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showInkAnnotation="0" codeName="ThisWorkbook" defaultThemeVersion="124226"/>
  <xr:revisionPtr revIDLastSave="0" documentId="13_ncr:1_{4D1E69DF-F97D-46DA-9A07-BCC9AF82B69A}" xr6:coauthVersionLast="47" xr6:coauthVersionMax="47" xr10:uidLastSave="{00000000-0000-0000-0000-000000000000}"/>
  <bookViews>
    <workbookView xWindow="-120" yWindow="-120" windowWidth="29040" windowHeight="15720" firstSheet="1" activeTab="8" xr2:uid="{00000000-000D-0000-FFFF-FFFF00000000}"/>
  </bookViews>
  <sheets>
    <sheet name="FOR OMWS (2)" sheetId="42" state="hidden" r:id="rId1"/>
    <sheet name="FINAL LIST WITH REMARKS" sheetId="55" r:id="rId2"/>
    <sheet name="Final List" sheetId="50" r:id="rId3"/>
    <sheet name="For Sir ECB" sheetId="16" r:id="rId4"/>
    <sheet name="LIST2" sheetId="43" r:id="rId5"/>
    <sheet name="L11 WP PREP" sheetId="54" r:id="rId6"/>
    <sheet name="For Explo" sheetId="17" r:id="rId7"/>
    <sheet name="LEVEL QUOTA" sheetId="6" r:id="rId8"/>
    <sheet name="CONTROLLER" sheetId="11" r:id="rId9"/>
    <sheet name="SC" sheetId="49" r:id="rId10"/>
    <sheet name="Common Area Remarks" sheetId="28" state="hidden" r:id="rId11"/>
    <sheet name="Sheet1" sheetId="48" state="hidden" r:id="rId12"/>
  </sheets>
  <definedNames>
    <definedName name="_xlnm._FilterDatabase" localSheetId="8" hidden="1">CONTROLLER!$B$1:$I$328</definedName>
    <definedName name="_xlnm._FilterDatabase" localSheetId="2" hidden="1">'Final List'!$Q$1:$Q$252</definedName>
    <definedName name="_xlnm._FilterDatabase" localSheetId="1" hidden="1">'FINAL LIST WITH REMARKS'!$A$1608:$Z$1901</definedName>
    <definedName name="_xlnm._FilterDatabase" localSheetId="0" hidden="1">'FOR OMWS (2)'!$A$2:$B$958</definedName>
    <definedName name="_xlnm._FilterDatabase" localSheetId="4" hidden="1">LIST2!$A$1:$Y$4151</definedName>
    <definedName name="_xlnm.Print_Area" localSheetId="6">'For Explo'!$A$31:$H$69,'For Explo'!$A$77:$H$111,'For Explo'!$A$120:$H$154,'For Explo'!$A$163:$H$197,'For Explo'!$A$206:$H$241,'For Explo'!$A$250:$H$288,'For Explo'!$A$297:$H$332,'For Explo'!$A$341:$H$374,'For Explo'!$A$384:$H$417,'For Explo'!$A$1:$H$22,'For Explo'!$A$465:$H$501,'For Explo'!$A$423:$H$457</definedName>
    <definedName name="_xlnm.Print_Area" localSheetId="3">'For Sir ECB'!$E$3:$O$21</definedName>
    <definedName name="_xlnm.Print_Area" localSheetId="7">'LEVEL QUOTA'!$A$1:$Y$38</definedName>
    <definedName name="_xlnm.Print_Area" localSheetId="11">Sheet1!$A$12:$L$32</definedName>
    <definedName name="Z_80854372_D2ED_4B6A_8325_BF67270E20DC_.wvu.PrintArea" localSheetId="6" hidden="1">'For Explo'!$A$297:$H$329</definedName>
    <definedName name="Z_80854372_D2ED_4B6A_8325_BF67270E20DC_.wvu.PrintArea" localSheetId="3" hidden="1">'For Sir ECB'!$E$3:$O$21</definedName>
    <definedName name="Z_80854372_D2ED_4B6A_8325_BF67270E20DC_.wvu.PrintArea" localSheetId="7" hidden="1">'LEVEL QUOTA'!$R$87:$W$96</definedName>
    <definedName name="Z_80854372_D2ED_4B6A_8325_BF67270E20DC_.wvu.Rows" localSheetId="6" hidden="1">'For Explo'!#REF!,'For Explo'!#REF!,'For Explo'!$47:$48</definedName>
    <definedName name="Z_AF6A22A6_5407_4536_A5A9_9818B972C404_.wvu.PrintArea" localSheetId="6" hidden="1">'For Explo'!$A$297:$H$329</definedName>
    <definedName name="Z_AF6A22A6_5407_4536_A5A9_9818B972C404_.wvu.PrintArea" localSheetId="3" hidden="1">'For Sir ECB'!$E$3:$O$21</definedName>
    <definedName name="Z_AF6A22A6_5407_4536_A5A9_9818B972C404_.wvu.PrintArea" localSheetId="7" hidden="1">'LEVEL QUOTA'!$R$87:$W$96</definedName>
    <definedName name="Z_AF6A22A6_5407_4536_A5A9_9818B972C404_.wvu.Rows" localSheetId="6" hidden="1">'For Explo'!#REF!,'For Explo'!#REF!,'For Explo'!$47:$48</definedName>
  </definedNames>
  <calcPr calcId="191029"/>
  <customWorkbookViews>
    <customWorkbookView name="Page 9" guid="{80854372-D2ED-4B6A-8325-BF67270E20DC}" maximized="1" xWindow="-8" yWindow="-8" windowWidth="1936" windowHeight="1056" activeSheetId="17"/>
    <customWorkbookView name="Page 8" guid="{AF6A22A6-5407-4536-A5A9-9818B972C404}" maximized="1" xWindow="-8" yWindow="-8" windowWidth="1936" windowHeight="1056" activeSheetId="17"/>
  </customWorkbookViews>
</workbook>
</file>

<file path=xl/calcChain.xml><?xml version="1.0" encoding="utf-8"?>
<calcChain xmlns="http://schemas.openxmlformats.org/spreadsheetml/2006/main">
  <c r="V4142" i="43" l="1"/>
  <c r="I4134" i="43" l="1"/>
  <c r="I4142" i="43"/>
  <c r="I4141" i="43"/>
  <c r="I4140" i="43"/>
  <c r="I4139" i="43" l="1"/>
  <c r="V118" i="50"/>
  <c r="I4138" i="43"/>
  <c r="I4137" i="43" l="1"/>
  <c r="I4136" i="43" l="1"/>
  <c r="I4135" i="43"/>
  <c r="I4133" i="43" l="1"/>
  <c r="I4132" i="43" l="1"/>
  <c r="F4137" i="43" l="1"/>
  <c r="F4138" i="43"/>
  <c r="F4139" i="43"/>
  <c r="F4140" i="43"/>
  <c r="F4141" i="43"/>
  <c r="F4142" i="43"/>
  <c r="F4143" i="43"/>
  <c r="F4144" i="43"/>
  <c r="F4145" i="43"/>
  <c r="F4146" i="43"/>
  <c r="F4147" i="43"/>
  <c r="F4148" i="43"/>
  <c r="F4149" i="43"/>
  <c r="V4138" i="43"/>
  <c r="V4139" i="43"/>
  <c r="V4140" i="43"/>
  <c r="V4141" i="43"/>
  <c r="V4143" i="43"/>
  <c r="V4144" i="43"/>
  <c r="V4145" i="43"/>
  <c r="V4146" i="43"/>
  <c r="V4147" i="43"/>
  <c r="V4148" i="43"/>
  <c r="V4149" i="43"/>
  <c r="V4150" i="43"/>
  <c r="V4151" i="43"/>
  <c r="I4131" i="43"/>
  <c r="I4130" i="43"/>
  <c r="V4129" i="43" l="1"/>
  <c r="V4130" i="43"/>
  <c r="V4131" i="43"/>
  <c r="V4132" i="43"/>
  <c r="V4133" i="43"/>
  <c r="V4134" i="43"/>
  <c r="V4135" i="43"/>
  <c r="V4136" i="43"/>
  <c r="V4137" i="43"/>
  <c r="I4129" i="43"/>
  <c r="F4006" i="43" l="1"/>
  <c r="F3695" i="43"/>
  <c r="F3608" i="43"/>
  <c r="F3363" i="43"/>
  <c r="F3310" i="43"/>
  <c r="F3330" i="43"/>
  <c r="F2801" i="43"/>
  <c r="F4136" i="43"/>
  <c r="F3811" i="43"/>
  <c r="F3667" i="43"/>
  <c r="F3581" i="43"/>
  <c r="F3358" i="43"/>
  <c r="F3209" i="43"/>
  <c r="F3208" i="43"/>
  <c r="F3547" i="43"/>
  <c r="F3404" i="43"/>
  <c r="F3352" i="43"/>
  <c r="F3281" i="43"/>
  <c r="F3280" i="43"/>
  <c r="F3218" i="43"/>
  <c r="F3081" i="43"/>
  <c r="F2904" i="43"/>
  <c r="F2815" i="43"/>
  <c r="F2729" i="43"/>
  <c r="F2685" i="43"/>
  <c r="F2684" i="43"/>
  <c r="F2421" i="43"/>
  <c r="F2370" i="43"/>
  <c r="F2205" i="43"/>
  <c r="F2193" i="43"/>
  <c r="F2139" i="43"/>
  <c r="F1790" i="43"/>
  <c r="F1324" i="43"/>
  <c r="F1293" i="43"/>
  <c r="F1275" i="43"/>
  <c r="F1267" i="43"/>
  <c r="F1108" i="43"/>
  <c r="F1005" i="43"/>
  <c r="F425" i="43"/>
  <c r="F134" i="43"/>
  <c r="F100" i="43"/>
  <c r="F98" i="43"/>
  <c r="F76" i="43"/>
  <c r="F51" i="43"/>
  <c r="F3095" i="43"/>
  <c r="F4100" i="43"/>
  <c r="F4010" i="43"/>
  <c r="F3956" i="43"/>
  <c r="F3939" i="43"/>
  <c r="F3841" i="43"/>
  <c r="F3727" i="43"/>
  <c r="F3584" i="43"/>
  <c r="F3535" i="43"/>
  <c r="F3534" i="43"/>
  <c r="F720" i="43" l="1"/>
  <c r="F2" i="43"/>
  <c r="F4125" i="43"/>
  <c r="F4128" i="43"/>
  <c r="F4122" i="43"/>
  <c r="F4114" i="43"/>
  <c r="F4108" i="43"/>
  <c r="F4083" i="43"/>
  <c r="F4081" i="43"/>
  <c r="F4077" i="43"/>
  <c r="F4058" i="43"/>
  <c r="F4048" i="43"/>
  <c r="F4015" i="43"/>
  <c r="F4007" i="43"/>
  <c r="F3966" i="43"/>
  <c r="F3958" i="43"/>
  <c r="F3957" i="43"/>
  <c r="F3897" i="43"/>
  <c r="F1838" i="43"/>
  <c r="F4078" i="43"/>
  <c r="F3" i="43"/>
  <c r="F4" i="43"/>
  <c r="F5" i="43"/>
  <c r="F6" i="43"/>
  <c r="F7" i="43"/>
  <c r="F8" i="43"/>
  <c r="F9" i="43"/>
  <c r="F10" i="43"/>
  <c r="F11"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2" i="43"/>
  <c r="F53" i="43"/>
  <c r="F54" i="43"/>
  <c r="F55" i="43"/>
  <c r="F56" i="43"/>
  <c r="F57" i="43"/>
  <c r="F58" i="43"/>
  <c r="F59" i="43"/>
  <c r="F60" i="43"/>
  <c r="F61" i="43"/>
  <c r="F62" i="43"/>
  <c r="F63" i="43"/>
  <c r="F64" i="43"/>
  <c r="F65" i="43"/>
  <c r="F66" i="43"/>
  <c r="F67" i="43"/>
  <c r="F68" i="43"/>
  <c r="F69" i="43"/>
  <c r="F70" i="43"/>
  <c r="F71" i="43"/>
  <c r="F72" i="43"/>
  <c r="F73" i="43"/>
  <c r="F74" i="43"/>
  <c r="F75" i="43"/>
  <c r="F77" i="43"/>
  <c r="F78" i="43"/>
  <c r="F79" i="43"/>
  <c r="F80" i="43"/>
  <c r="F81" i="43"/>
  <c r="F82" i="43"/>
  <c r="F83" i="43"/>
  <c r="F84" i="43"/>
  <c r="F85" i="43"/>
  <c r="F86" i="43"/>
  <c r="F87" i="43"/>
  <c r="F88" i="43"/>
  <c r="F89" i="43"/>
  <c r="F90" i="43"/>
  <c r="F91" i="43"/>
  <c r="F92" i="43"/>
  <c r="F93" i="43"/>
  <c r="F94" i="43"/>
  <c r="F95" i="43"/>
  <c r="F96" i="43"/>
  <c r="F97" i="43"/>
  <c r="F99" i="43"/>
  <c r="F101" i="43"/>
  <c r="F102" i="43"/>
  <c r="F103" i="43"/>
  <c r="F104" i="43"/>
  <c r="F105" i="43"/>
  <c r="F106" i="43"/>
  <c r="F107" i="43"/>
  <c r="F108" i="43"/>
  <c r="F109" i="43"/>
  <c r="F110" i="43"/>
  <c r="F111" i="43"/>
  <c r="F112" i="43"/>
  <c r="F113" i="43"/>
  <c r="F114" i="43"/>
  <c r="F115" i="43"/>
  <c r="F116" i="43"/>
  <c r="F117" i="43"/>
  <c r="F118" i="43"/>
  <c r="F119" i="43"/>
  <c r="F120" i="43"/>
  <c r="F121" i="43"/>
  <c r="F122" i="43"/>
  <c r="F123" i="43"/>
  <c r="F124" i="43"/>
  <c r="F125" i="43"/>
  <c r="F126" i="43"/>
  <c r="F127" i="43"/>
  <c r="F128" i="43"/>
  <c r="F129" i="43"/>
  <c r="F130" i="43"/>
  <c r="F131" i="43"/>
  <c r="F132" i="43"/>
  <c r="F133" i="43"/>
  <c r="F135" i="43"/>
  <c r="F136" i="43"/>
  <c r="F137" i="43"/>
  <c r="F138" i="43"/>
  <c r="F139" i="43"/>
  <c r="F140" i="43"/>
  <c r="F141" i="43"/>
  <c r="F142" i="43"/>
  <c r="F143" i="43"/>
  <c r="F144" i="43"/>
  <c r="F145" i="43"/>
  <c r="F146" i="43"/>
  <c r="F147" i="43"/>
  <c r="F148" i="43"/>
  <c r="F149" i="43"/>
  <c r="F150" i="43"/>
  <c r="F151" i="43"/>
  <c r="F152" i="43"/>
  <c r="F153" i="43"/>
  <c r="F154" i="43"/>
  <c r="F155" i="43"/>
  <c r="F156" i="43"/>
  <c r="F157" i="43"/>
  <c r="F158" i="43"/>
  <c r="F159" i="43"/>
  <c r="F160" i="43"/>
  <c r="F161" i="43"/>
  <c r="F162" i="43"/>
  <c r="F163" i="43"/>
  <c r="F164" i="43"/>
  <c r="F165" i="43"/>
  <c r="F166" i="43"/>
  <c r="F167" i="43"/>
  <c r="F168" i="43"/>
  <c r="F169" i="43"/>
  <c r="F170" i="43"/>
  <c r="F171" i="43"/>
  <c r="F172" i="43"/>
  <c r="F173" i="43"/>
  <c r="F174" i="43"/>
  <c r="F175" i="43"/>
  <c r="F176" i="43"/>
  <c r="F177" i="43"/>
  <c r="F178" i="43"/>
  <c r="F179" i="43"/>
  <c r="F180" i="43"/>
  <c r="F181" i="43"/>
  <c r="F182" i="43"/>
  <c r="F183" i="43"/>
  <c r="F184" i="43"/>
  <c r="F185" i="43"/>
  <c r="F186" i="43"/>
  <c r="F187" i="43"/>
  <c r="F188" i="43"/>
  <c r="F189" i="43"/>
  <c r="F190" i="43"/>
  <c r="F191" i="43"/>
  <c r="F192" i="43"/>
  <c r="F193" i="43"/>
  <c r="F194" i="43"/>
  <c r="F195" i="43"/>
  <c r="F196" i="43"/>
  <c r="F197" i="43"/>
  <c r="F198" i="43"/>
  <c r="F199" i="43"/>
  <c r="F200" i="43"/>
  <c r="F201" i="43"/>
  <c r="F202" i="43"/>
  <c r="F203" i="43"/>
  <c r="F204" i="43"/>
  <c r="F205" i="43"/>
  <c r="F206" i="43"/>
  <c r="F207" i="43"/>
  <c r="F208" i="43"/>
  <c r="F209" i="43"/>
  <c r="F210" i="43"/>
  <c r="F211" i="43"/>
  <c r="F212" i="43"/>
  <c r="F213" i="43"/>
  <c r="F214" i="43"/>
  <c r="F215" i="43"/>
  <c r="F216" i="43"/>
  <c r="F217" i="43"/>
  <c r="F218" i="43"/>
  <c r="F219" i="43"/>
  <c r="F220" i="43"/>
  <c r="F221" i="43"/>
  <c r="F222" i="43"/>
  <c r="F223" i="43"/>
  <c r="F224" i="43"/>
  <c r="F225" i="43"/>
  <c r="F226" i="43"/>
  <c r="F227" i="43"/>
  <c r="F228" i="43"/>
  <c r="F229" i="43"/>
  <c r="F230" i="43"/>
  <c r="F231" i="43"/>
  <c r="F232" i="43"/>
  <c r="F233" i="43"/>
  <c r="F234" i="43"/>
  <c r="F235" i="43"/>
  <c r="F236" i="43"/>
  <c r="F237" i="43"/>
  <c r="F238" i="43"/>
  <c r="F239" i="43"/>
  <c r="F240" i="43"/>
  <c r="F241" i="43"/>
  <c r="F242" i="43"/>
  <c r="F243" i="43"/>
  <c r="F244" i="43"/>
  <c r="F245" i="43"/>
  <c r="F246" i="43"/>
  <c r="F247" i="43"/>
  <c r="F248" i="43"/>
  <c r="F249" i="43"/>
  <c r="F250" i="43"/>
  <c r="F251" i="43"/>
  <c r="F252" i="43"/>
  <c r="F253" i="43"/>
  <c r="F254" i="43"/>
  <c r="F255" i="43"/>
  <c r="F256" i="43"/>
  <c r="F257" i="43"/>
  <c r="F258" i="43"/>
  <c r="F259" i="43"/>
  <c r="F260" i="43"/>
  <c r="F261" i="43"/>
  <c r="F262" i="43"/>
  <c r="F263" i="43"/>
  <c r="F264" i="43"/>
  <c r="F265" i="43"/>
  <c r="F266" i="43"/>
  <c r="F267" i="43"/>
  <c r="F268" i="43"/>
  <c r="F269" i="43"/>
  <c r="F270" i="43"/>
  <c r="F271" i="43"/>
  <c r="F272" i="43"/>
  <c r="F273" i="43"/>
  <c r="F274" i="43"/>
  <c r="F275" i="43"/>
  <c r="F276" i="43"/>
  <c r="F277" i="43"/>
  <c r="F278" i="43"/>
  <c r="F279" i="43"/>
  <c r="F280" i="43"/>
  <c r="F281" i="43"/>
  <c r="F282" i="43"/>
  <c r="F283" i="43"/>
  <c r="F284" i="43"/>
  <c r="F285" i="43"/>
  <c r="F286" i="43"/>
  <c r="F287" i="43"/>
  <c r="F288" i="43"/>
  <c r="F289" i="43"/>
  <c r="F290" i="43"/>
  <c r="F291" i="43"/>
  <c r="F292" i="43"/>
  <c r="F293" i="43"/>
  <c r="F294" i="43"/>
  <c r="F295" i="43"/>
  <c r="F296" i="43"/>
  <c r="F297" i="43"/>
  <c r="F298" i="43"/>
  <c r="F299" i="43"/>
  <c r="F300" i="43"/>
  <c r="F301" i="43"/>
  <c r="F302" i="43"/>
  <c r="F303" i="43"/>
  <c r="F304" i="43"/>
  <c r="F305" i="43"/>
  <c r="F306" i="43"/>
  <c r="F307" i="43"/>
  <c r="F308" i="43"/>
  <c r="F309" i="43"/>
  <c r="F310" i="43"/>
  <c r="F311" i="43"/>
  <c r="F312" i="43"/>
  <c r="F313" i="43"/>
  <c r="F314" i="43"/>
  <c r="F315" i="43"/>
  <c r="F316" i="43"/>
  <c r="F317" i="43"/>
  <c r="F318" i="43"/>
  <c r="F319" i="43"/>
  <c r="F320" i="43"/>
  <c r="F321" i="43"/>
  <c r="F322" i="43"/>
  <c r="F323" i="43"/>
  <c r="F324" i="43"/>
  <c r="F325" i="43"/>
  <c r="F326" i="43"/>
  <c r="F327" i="43"/>
  <c r="F328" i="43"/>
  <c r="F329" i="43"/>
  <c r="F330" i="43"/>
  <c r="F331" i="43"/>
  <c r="F332" i="43"/>
  <c r="F333" i="43"/>
  <c r="F334" i="43"/>
  <c r="F335" i="43"/>
  <c r="F336" i="43"/>
  <c r="F337" i="43"/>
  <c r="F338" i="43"/>
  <c r="F339" i="43"/>
  <c r="F340" i="43"/>
  <c r="F341" i="43"/>
  <c r="F342" i="43"/>
  <c r="F343" i="43"/>
  <c r="F344" i="43"/>
  <c r="F345" i="43"/>
  <c r="F346" i="43"/>
  <c r="F347" i="43"/>
  <c r="F348" i="43"/>
  <c r="F349" i="43"/>
  <c r="F350" i="43"/>
  <c r="F351" i="43"/>
  <c r="F352" i="43"/>
  <c r="F353" i="43"/>
  <c r="F354" i="43"/>
  <c r="F355" i="43"/>
  <c r="F356" i="43"/>
  <c r="F357" i="43"/>
  <c r="F358" i="43"/>
  <c r="F359" i="43"/>
  <c r="F360" i="43"/>
  <c r="F361" i="43"/>
  <c r="F362" i="43"/>
  <c r="F363" i="43"/>
  <c r="F364" i="43"/>
  <c r="F365" i="43"/>
  <c r="F366" i="43"/>
  <c r="F367" i="43"/>
  <c r="F368" i="43"/>
  <c r="F369" i="43"/>
  <c r="F370" i="43"/>
  <c r="F371" i="43"/>
  <c r="F372" i="43"/>
  <c r="F373" i="43"/>
  <c r="F374" i="43"/>
  <c r="F375" i="43"/>
  <c r="F376" i="43"/>
  <c r="F377" i="43"/>
  <c r="F378" i="43"/>
  <c r="F379" i="43"/>
  <c r="F380" i="43"/>
  <c r="F381" i="43"/>
  <c r="F382" i="43"/>
  <c r="F383" i="43"/>
  <c r="F384" i="43"/>
  <c r="F385" i="43"/>
  <c r="F386" i="43"/>
  <c r="F387" i="43"/>
  <c r="F388" i="43"/>
  <c r="F389" i="43"/>
  <c r="F390" i="43"/>
  <c r="F391" i="43"/>
  <c r="F392" i="43"/>
  <c r="F393" i="43"/>
  <c r="F394" i="43"/>
  <c r="F395" i="43"/>
  <c r="F396" i="43"/>
  <c r="F397" i="43"/>
  <c r="F398" i="43"/>
  <c r="F399" i="43"/>
  <c r="F400" i="43"/>
  <c r="F401" i="43"/>
  <c r="F402" i="43"/>
  <c r="F403" i="43"/>
  <c r="F404" i="43"/>
  <c r="F405" i="43"/>
  <c r="F406" i="43"/>
  <c r="F407" i="43"/>
  <c r="F408" i="43"/>
  <c r="F409" i="43"/>
  <c r="F410" i="43"/>
  <c r="F411" i="43"/>
  <c r="F412" i="43"/>
  <c r="F413" i="43"/>
  <c r="F414" i="43"/>
  <c r="F415" i="43"/>
  <c r="F416" i="43"/>
  <c r="F417" i="43"/>
  <c r="F418" i="43"/>
  <c r="F419" i="43"/>
  <c r="F420" i="43"/>
  <c r="F421" i="43"/>
  <c r="F422" i="43"/>
  <c r="F423" i="43"/>
  <c r="F424" i="43"/>
  <c r="F426" i="43"/>
  <c r="F427" i="43"/>
  <c r="F428" i="43"/>
  <c r="F429" i="43"/>
  <c r="F430" i="43"/>
  <c r="F431" i="43"/>
  <c r="F432" i="43"/>
  <c r="F433" i="43"/>
  <c r="F434" i="43"/>
  <c r="F435" i="43"/>
  <c r="F436" i="43"/>
  <c r="F437" i="43"/>
  <c r="F438" i="43"/>
  <c r="F439" i="43"/>
  <c r="F440" i="43"/>
  <c r="F441" i="43"/>
  <c r="F442" i="43"/>
  <c r="F443" i="43"/>
  <c r="F444" i="43"/>
  <c r="F445" i="43"/>
  <c r="F446" i="43"/>
  <c r="F447" i="43"/>
  <c r="F448" i="43"/>
  <c r="F449" i="43"/>
  <c r="F450" i="43"/>
  <c r="F451" i="43"/>
  <c r="F452" i="43"/>
  <c r="F453" i="43"/>
  <c r="F454" i="43"/>
  <c r="F455" i="43"/>
  <c r="F456" i="43"/>
  <c r="F457" i="43"/>
  <c r="F458" i="43"/>
  <c r="F459" i="43"/>
  <c r="F460" i="43"/>
  <c r="F461" i="43"/>
  <c r="F462" i="43"/>
  <c r="F463" i="43"/>
  <c r="F464" i="43"/>
  <c r="F465" i="43"/>
  <c r="F466" i="43"/>
  <c r="F467" i="43"/>
  <c r="F468" i="43"/>
  <c r="F469" i="43"/>
  <c r="F470" i="43"/>
  <c r="F471" i="43"/>
  <c r="F472" i="43"/>
  <c r="F473" i="43"/>
  <c r="F474" i="43"/>
  <c r="F475" i="43"/>
  <c r="F476" i="43"/>
  <c r="F477" i="43"/>
  <c r="F478" i="43"/>
  <c r="F479" i="43"/>
  <c r="F480" i="43"/>
  <c r="F481" i="43"/>
  <c r="F482" i="43"/>
  <c r="F483" i="43"/>
  <c r="F484" i="43"/>
  <c r="F485" i="43"/>
  <c r="F486" i="43"/>
  <c r="F487" i="43"/>
  <c r="F488" i="43"/>
  <c r="F489" i="43"/>
  <c r="F490" i="43"/>
  <c r="F491" i="43"/>
  <c r="F492" i="43"/>
  <c r="F493" i="43"/>
  <c r="F494" i="43"/>
  <c r="F495" i="43"/>
  <c r="F496" i="43"/>
  <c r="F497" i="43"/>
  <c r="F498" i="43"/>
  <c r="F499" i="43"/>
  <c r="F500" i="43"/>
  <c r="F501" i="43"/>
  <c r="F502" i="43"/>
  <c r="F503" i="43"/>
  <c r="F504" i="43"/>
  <c r="F505" i="43"/>
  <c r="F506" i="43"/>
  <c r="F507" i="43"/>
  <c r="F508" i="43"/>
  <c r="F509" i="43"/>
  <c r="F510" i="43"/>
  <c r="F511" i="43"/>
  <c r="F512" i="43"/>
  <c r="F513" i="43"/>
  <c r="F514" i="43"/>
  <c r="F515" i="43"/>
  <c r="F516" i="43"/>
  <c r="F517" i="43"/>
  <c r="F518" i="43"/>
  <c r="F519" i="43"/>
  <c r="F520" i="43"/>
  <c r="F521" i="43"/>
  <c r="F522" i="43"/>
  <c r="F523" i="43"/>
  <c r="F524" i="43"/>
  <c r="F525" i="43"/>
  <c r="F526" i="43"/>
  <c r="F527" i="43"/>
  <c r="F528" i="43"/>
  <c r="F529" i="43"/>
  <c r="F530" i="43"/>
  <c r="F531" i="43"/>
  <c r="F532" i="43"/>
  <c r="F533" i="43"/>
  <c r="F534" i="43"/>
  <c r="F535" i="43"/>
  <c r="F536" i="43"/>
  <c r="F537" i="43"/>
  <c r="F538" i="43"/>
  <c r="F539" i="43"/>
  <c r="F540" i="43"/>
  <c r="F541" i="43"/>
  <c r="F542" i="43"/>
  <c r="F543" i="43"/>
  <c r="F544" i="43"/>
  <c r="F545" i="43"/>
  <c r="F546" i="43"/>
  <c r="F547" i="43"/>
  <c r="F548" i="43"/>
  <c r="F549" i="43"/>
  <c r="F550" i="43"/>
  <c r="F551" i="43"/>
  <c r="F552" i="43"/>
  <c r="F553" i="43"/>
  <c r="F554" i="43"/>
  <c r="F555" i="43"/>
  <c r="F556" i="43"/>
  <c r="F557" i="43"/>
  <c r="F558" i="43"/>
  <c r="F559" i="43"/>
  <c r="F560" i="43"/>
  <c r="F561" i="43"/>
  <c r="F562" i="43"/>
  <c r="F563" i="43"/>
  <c r="F564" i="43"/>
  <c r="F565" i="43"/>
  <c r="F566" i="43"/>
  <c r="F567" i="43"/>
  <c r="F568" i="43"/>
  <c r="F569" i="43"/>
  <c r="F570" i="43"/>
  <c r="F571" i="43"/>
  <c r="F572" i="43"/>
  <c r="F573" i="43"/>
  <c r="F574" i="43"/>
  <c r="F575" i="43"/>
  <c r="F576" i="43"/>
  <c r="F577" i="43"/>
  <c r="F578" i="43"/>
  <c r="F579" i="43"/>
  <c r="F580" i="43"/>
  <c r="F581" i="43"/>
  <c r="F582" i="43"/>
  <c r="F583" i="43"/>
  <c r="F584" i="43"/>
  <c r="F585" i="43"/>
  <c r="F586" i="43"/>
  <c r="F587" i="43"/>
  <c r="F588" i="43"/>
  <c r="F589" i="43"/>
  <c r="F590" i="43"/>
  <c r="F591" i="43"/>
  <c r="F592" i="43"/>
  <c r="F593" i="43"/>
  <c r="F594" i="43"/>
  <c r="F595" i="43"/>
  <c r="F596" i="43"/>
  <c r="F597" i="43"/>
  <c r="F598" i="43"/>
  <c r="F599" i="43"/>
  <c r="F600" i="43"/>
  <c r="F601" i="43"/>
  <c r="F602" i="43"/>
  <c r="F603" i="43"/>
  <c r="F604" i="43"/>
  <c r="F605" i="43"/>
  <c r="F606" i="43"/>
  <c r="F607" i="43"/>
  <c r="F608" i="43"/>
  <c r="F609" i="43"/>
  <c r="F610" i="43"/>
  <c r="F611" i="43"/>
  <c r="F612" i="43"/>
  <c r="F613" i="43"/>
  <c r="F614" i="43"/>
  <c r="F615" i="43"/>
  <c r="F616" i="43"/>
  <c r="F617" i="43"/>
  <c r="F618" i="43"/>
  <c r="F619" i="43"/>
  <c r="F620" i="43"/>
  <c r="F621" i="43"/>
  <c r="F622" i="43"/>
  <c r="F623" i="43"/>
  <c r="F624" i="43"/>
  <c r="F625" i="43"/>
  <c r="F626" i="43"/>
  <c r="F627" i="43"/>
  <c r="F628" i="43"/>
  <c r="F629" i="43"/>
  <c r="F630" i="43"/>
  <c r="F631" i="43"/>
  <c r="F632" i="43"/>
  <c r="F633" i="43"/>
  <c r="F634" i="43"/>
  <c r="F635" i="43"/>
  <c r="F636" i="43"/>
  <c r="F637" i="43"/>
  <c r="F638" i="43"/>
  <c r="F639" i="43"/>
  <c r="F640" i="43"/>
  <c r="F641" i="43"/>
  <c r="F642" i="43"/>
  <c r="F643" i="43"/>
  <c r="F644" i="43"/>
  <c r="F645" i="43"/>
  <c r="F646" i="43"/>
  <c r="F647" i="43"/>
  <c r="F648" i="43"/>
  <c r="F649" i="43"/>
  <c r="F650" i="43"/>
  <c r="F651" i="43"/>
  <c r="F652" i="43"/>
  <c r="F653" i="43"/>
  <c r="F654" i="43"/>
  <c r="F655" i="43"/>
  <c r="F656" i="43"/>
  <c r="F657" i="43"/>
  <c r="F658" i="43"/>
  <c r="F659" i="43"/>
  <c r="F660" i="43"/>
  <c r="F661" i="43"/>
  <c r="F662" i="43"/>
  <c r="F663" i="43"/>
  <c r="F664" i="43"/>
  <c r="F665" i="43"/>
  <c r="F666" i="43"/>
  <c r="F667" i="43"/>
  <c r="F668" i="43"/>
  <c r="F669" i="43"/>
  <c r="F670" i="43"/>
  <c r="F671" i="43"/>
  <c r="F672" i="43"/>
  <c r="F673" i="43"/>
  <c r="F674" i="43"/>
  <c r="F675" i="43"/>
  <c r="F676" i="43"/>
  <c r="F677" i="43"/>
  <c r="F678" i="43"/>
  <c r="F679" i="43"/>
  <c r="F680" i="43"/>
  <c r="F681" i="43"/>
  <c r="F682" i="43"/>
  <c r="F683" i="43"/>
  <c r="F684" i="43"/>
  <c r="F685" i="43"/>
  <c r="F686" i="43"/>
  <c r="F687" i="43"/>
  <c r="F688" i="43"/>
  <c r="F689" i="43"/>
  <c r="F690" i="43"/>
  <c r="F691" i="43"/>
  <c r="F692" i="43"/>
  <c r="F693" i="43"/>
  <c r="F694" i="43"/>
  <c r="F695" i="43"/>
  <c r="F696" i="43"/>
  <c r="F697" i="43"/>
  <c r="F698" i="43"/>
  <c r="F699" i="43"/>
  <c r="F700" i="43"/>
  <c r="F701" i="43"/>
  <c r="F702" i="43"/>
  <c r="F703" i="43"/>
  <c r="F704" i="43"/>
  <c r="F705" i="43"/>
  <c r="F706" i="43"/>
  <c r="F707" i="43"/>
  <c r="F708" i="43"/>
  <c r="F709" i="43"/>
  <c r="F710" i="43"/>
  <c r="F711" i="43"/>
  <c r="F712" i="43"/>
  <c r="F713" i="43"/>
  <c r="F714" i="43"/>
  <c r="F715" i="43"/>
  <c r="F716" i="43"/>
  <c r="F717" i="43"/>
  <c r="F718" i="43"/>
  <c r="F721" i="43"/>
  <c r="F722" i="43"/>
  <c r="F723" i="43"/>
  <c r="F724" i="43"/>
  <c r="F725" i="43"/>
  <c r="F726" i="43"/>
  <c r="F727" i="43"/>
  <c r="F728" i="43"/>
  <c r="F729" i="43"/>
  <c r="F730" i="43"/>
  <c r="F731" i="43"/>
  <c r="F732" i="43"/>
  <c r="F733" i="43"/>
  <c r="F734" i="43"/>
  <c r="F735" i="43"/>
  <c r="F736" i="43"/>
  <c r="F737" i="43"/>
  <c r="F738" i="43"/>
  <c r="F739" i="43"/>
  <c r="F740" i="43"/>
  <c r="F741" i="43"/>
  <c r="F742" i="43"/>
  <c r="F743" i="43"/>
  <c r="F744" i="43"/>
  <c r="F745" i="43"/>
  <c r="F746" i="43"/>
  <c r="F747" i="43"/>
  <c r="F748" i="43"/>
  <c r="F749" i="43"/>
  <c r="F750" i="43"/>
  <c r="F751" i="43"/>
  <c r="F752" i="43"/>
  <c r="F753" i="43"/>
  <c r="F754" i="43"/>
  <c r="F755" i="43"/>
  <c r="F756" i="43"/>
  <c r="F757" i="43"/>
  <c r="F758" i="43"/>
  <c r="F759" i="43"/>
  <c r="F760" i="43"/>
  <c r="F761" i="43"/>
  <c r="F762" i="43"/>
  <c r="F763" i="43"/>
  <c r="F764" i="43"/>
  <c r="F765" i="43"/>
  <c r="F766" i="43"/>
  <c r="F767" i="43"/>
  <c r="F768" i="43"/>
  <c r="F769" i="43"/>
  <c r="F770" i="43"/>
  <c r="F771" i="43"/>
  <c r="F772" i="43"/>
  <c r="F773" i="43"/>
  <c r="F774" i="43"/>
  <c r="F775" i="43"/>
  <c r="F776" i="43"/>
  <c r="F777" i="43"/>
  <c r="F778" i="43"/>
  <c r="F779" i="43"/>
  <c r="F780" i="43"/>
  <c r="F781" i="43"/>
  <c r="F782" i="43"/>
  <c r="F783" i="43"/>
  <c r="F784" i="43"/>
  <c r="F785" i="43"/>
  <c r="F786" i="43"/>
  <c r="F787" i="43"/>
  <c r="F788" i="43"/>
  <c r="F789" i="43"/>
  <c r="F790" i="43"/>
  <c r="F791" i="43"/>
  <c r="F792" i="43"/>
  <c r="F793" i="43"/>
  <c r="F794" i="43"/>
  <c r="F795" i="43"/>
  <c r="F796" i="43"/>
  <c r="F797" i="43"/>
  <c r="F798" i="43"/>
  <c r="F799" i="43"/>
  <c r="F800" i="43"/>
  <c r="F801" i="43"/>
  <c r="F802" i="43"/>
  <c r="F803" i="43"/>
  <c r="F804" i="43"/>
  <c r="F805" i="43"/>
  <c r="F806" i="43"/>
  <c r="F807" i="43"/>
  <c r="F808" i="43"/>
  <c r="F809" i="43"/>
  <c r="F810" i="43"/>
  <c r="F811" i="43"/>
  <c r="F812" i="43"/>
  <c r="F813" i="43"/>
  <c r="F814" i="43"/>
  <c r="F815" i="43"/>
  <c r="F816" i="43"/>
  <c r="F817" i="43"/>
  <c r="F818" i="43"/>
  <c r="F819" i="43"/>
  <c r="F820" i="43"/>
  <c r="F821" i="43"/>
  <c r="F822" i="43"/>
  <c r="F823" i="43"/>
  <c r="F824" i="43"/>
  <c r="F825" i="43"/>
  <c r="F826" i="43"/>
  <c r="F827" i="43"/>
  <c r="F828" i="43"/>
  <c r="F829" i="43"/>
  <c r="F830" i="43"/>
  <c r="F831" i="43"/>
  <c r="F832" i="43"/>
  <c r="F833" i="43"/>
  <c r="F834" i="43"/>
  <c r="F835" i="43"/>
  <c r="F836" i="43"/>
  <c r="F837" i="43"/>
  <c r="F838" i="43"/>
  <c r="F839" i="43"/>
  <c r="F840" i="43"/>
  <c r="F841" i="43"/>
  <c r="F842" i="43"/>
  <c r="F843" i="43"/>
  <c r="F844" i="43"/>
  <c r="F845" i="43"/>
  <c r="F846" i="43"/>
  <c r="F847" i="43"/>
  <c r="F848" i="43"/>
  <c r="F849" i="43"/>
  <c r="F850" i="43"/>
  <c r="F851" i="43"/>
  <c r="F852" i="43"/>
  <c r="F853" i="43"/>
  <c r="F854" i="43"/>
  <c r="F855" i="43"/>
  <c r="F856" i="43"/>
  <c r="F857" i="43"/>
  <c r="F858" i="43"/>
  <c r="F859" i="43"/>
  <c r="F860" i="43"/>
  <c r="F861" i="43"/>
  <c r="F862" i="43"/>
  <c r="F863" i="43"/>
  <c r="F864" i="43"/>
  <c r="F865" i="43"/>
  <c r="F866" i="43"/>
  <c r="F867" i="43"/>
  <c r="F868" i="43"/>
  <c r="F869" i="43"/>
  <c r="F870" i="43"/>
  <c r="F871" i="43"/>
  <c r="F872" i="43"/>
  <c r="F873" i="43"/>
  <c r="F874" i="43"/>
  <c r="F875" i="43"/>
  <c r="F876" i="43"/>
  <c r="F877" i="43"/>
  <c r="F878" i="43"/>
  <c r="F879" i="43"/>
  <c r="F880" i="43"/>
  <c r="F881" i="43"/>
  <c r="F882" i="43"/>
  <c r="F883" i="43"/>
  <c r="F884" i="43"/>
  <c r="F885" i="43"/>
  <c r="F886" i="43"/>
  <c r="F887" i="43"/>
  <c r="F888" i="43"/>
  <c r="F889" i="43"/>
  <c r="F890" i="43"/>
  <c r="F891" i="43"/>
  <c r="F892" i="43"/>
  <c r="F893" i="43"/>
  <c r="F894" i="43"/>
  <c r="F895" i="43"/>
  <c r="F896" i="43"/>
  <c r="F897" i="43"/>
  <c r="F898" i="43"/>
  <c r="F899" i="43"/>
  <c r="F900" i="43"/>
  <c r="F901" i="43"/>
  <c r="F902" i="43"/>
  <c r="F903" i="43"/>
  <c r="F904" i="43"/>
  <c r="F905" i="43"/>
  <c r="F906" i="43"/>
  <c r="F907" i="43"/>
  <c r="F908" i="43"/>
  <c r="F909" i="43"/>
  <c r="F910" i="43"/>
  <c r="F911" i="43"/>
  <c r="F912" i="43"/>
  <c r="F913" i="43"/>
  <c r="F914" i="43"/>
  <c r="F915" i="43"/>
  <c r="F916" i="43"/>
  <c r="F917" i="43"/>
  <c r="F918" i="43"/>
  <c r="F919" i="43"/>
  <c r="F920" i="43"/>
  <c r="F921" i="43"/>
  <c r="F922" i="43"/>
  <c r="F923" i="43"/>
  <c r="F924" i="43"/>
  <c r="F925" i="43"/>
  <c r="F926" i="43"/>
  <c r="F927" i="43"/>
  <c r="F928" i="43"/>
  <c r="F929" i="43"/>
  <c r="F930" i="43"/>
  <c r="F931" i="43"/>
  <c r="F932" i="43"/>
  <c r="F933" i="43"/>
  <c r="F934" i="43"/>
  <c r="F935" i="43"/>
  <c r="F936" i="43"/>
  <c r="F937" i="43"/>
  <c r="F938" i="43"/>
  <c r="F939" i="43"/>
  <c r="F940" i="43"/>
  <c r="F941" i="43"/>
  <c r="F942" i="43"/>
  <c r="F943" i="43"/>
  <c r="F944" i="43"/>
  <c r="F945" i="43"/>
  <c r="F946" i="43"/>
  <c r="F947" i="43"/>
  <c r="F948" i="43"/>
  <c r="F949" i="43"/>
  <c r="F950" i="43"/>
  <c r="F951" i="43"/>
  <c r="F952" i="43"/>
  <c r="F953" i="43"/>
  <c r="F954" i="43"/>
  <c r="F955" i="43"/>
  <c r="F956" i="43"/>
  <c r="F957" i="43"/>
  <c r="F958" i="43"/>
  <c r="F959" i="43"/>
  <c r="F960" i="43"/>
  <c r="F961" i="43"/>
  <c r="F962" i="43"/>
  <c r="F963" i="43"/>
  <c r="F964" i="43"/>
  <c r="F965" i="43"/>
  <c r="F966" i="43"/>
  <c r="F967" i="43"/>
  <c r="F968" i="43"/>
  <c r="F969" i="43"/>
  <c r="F970" i="43"/>
  <c r="F971" i="43"/>
  <c r="F972" i="43"/>
  <c r="F973" i="43"/>
  <c r="F974" i="43"/>
  <c r="F975" i="43"/>
  <c r="F976" i="43"/>
  <c r="F977" i="43"/>
  <c r="F978" i="43"/>
  <c r="F979" i="43"/>
  <c r="F980" i="43"/>
  <c r="F981" i="43"/>
  <c r="F982" i="43"/>
  <c r="F983" i="43"/>
  <c r="F984" i="43"/>
  <c r="F985" i="43"/>
  <c r="F986" i="43"/>
  <c r="F987" i="43"/>
  <c r="F988" i="43"/>
  <c r="F989" i="43"/>
  <c r="F990" i="43"/>
  <c r="F991" i="43"/>
  <c r="F992" i="43"/>
  <c r="F993" i="43"/>
  <c r="F994" i="43"/>
  <c r="F995" i="43"/>
  <c r="F996" i="43"/>
  <c r="F997" i="43"/>
  <c r="F998" i="43"/>
  <c r="F999" i="43"/>
  <c r="F1000" i="43"/>
  <c r="F1001" i="43"/>
  <c r="F1002" i="43"/>
  <c r="F1003" i="43"/>
  <c r="F1004" i="43"/>
  <c r="F1006" i="43"/>
  <c r="F1007" i="43"/>
  <c r="F1008" i="43"/>
  <c r="F1009" i="43"/>
  <c r="F1010" i="43"/>
  <c r="F1011" i="43"/>
  <c r="F1012" i="43"/>
  <c r="F1013" i="43"/>
  <c r="F1014" i="43"/>
  <c r="F1015" i="43"/>
  <c r="F1016" i="43"/>
  <c r="F1017" i="43"/>
  <c r="F1018" i="43"/>
  <c r="F1019" i="43"/>
  <c r="F1020" i="43"/>
  <c r="F1021" i="43"/>
  <c r="F1022" i="43"/>
  <c r="F1023" i="43"/>
  <c r="F1024" i="43"/>
  <c r="F1025" i="43"/>
  <c r="F1026" i="43"/>
  <c r="F1027" i="43"/>
  <c r="F1028" i="43"/>
  <c r="F1029" i="43"/>
  <c r="F1030" i="43"/>
  <c r="F1031" i="43"/>
  <c r="F1032" i="43"/>
  <c r="F1033" i="43"/>
  <c r="F1034" i="43"/>
  <c r="F1035" i="43"/>
  <c r="F1036" i="43"/>
  <c r="F1037" i="43"/>
  <c r="F1038" i="43"/>
  <c r="F1039" i="43"/>
  <c r="F1040" i="43"/>
  <c r="F1041" i="43"/>
  <c r="F1042" i="43"/>
  <c r="F1043" i="43"/>
  <c r="F1044" i="43"/>
  <c r="F1045" i="43"/>
  <c r="F1046" i="43"/>
  <c r="F1047" i="43"/>
  <c r="F1048" i="43"/>
  <c r="F1049" i="43"/>
  <c r="F1050" i="43"/>
  <c r="F1051" i="43"/>
  <c r="F1052" i="43"/>
  <c r="F1053" i="43"/>
  <c r="F1054" i="43"/>
  <c r="F1055" i="43"/>
  <c r="F1056" i="43"/>
  <c r="F1057" i="43"/>
  <c r="F1058" i="43"/>
  <c r="F1059" i="43"/>
  <c r="F1060" i="43"/>
  <c r="F1061" i="43"/>
  <c r="F1062" i="43"/>
  <c r="F1063" i="43"/>
  <c r="F1064" i="43"/>
  <c r="F1065" i="43"/>
  <c r="F1066" i="43"/>
  <c r="F1067" i="43"/>
  <c r="F1068" i="43"/>
  <c r="F1069" i="43"/>
  <c r="F1070" i="43"/>
  <c r="F1071" i="43"/>
  <c r="F1072" i="43"/>
  <c r="F1073" i="43"/>
  <c r="F1074" i="43"/>
  <c r="F1075" i="43"/>
  <c r="F1076" i="43"/>
  <c r="F1077" i="43"/>
  <c r="F1078" i="43"/>
  <c r="F1079" i="43"/>
  <c r="F1080" i="43"/>
  <c r="F1081" i="43"/>
  <c r="F1082" i="43"/>
  <c r="F1083" i="43"/>
  <c r="F1084" i="43"/>
  <c r="F1085" i="43"/>
  <c r="F1086" i="43"/>
  <c r="F1087" i="43"/>
  <c r="F1088" i="43"/>
  <c r="F1089" i="43"/>
  <c r="F1090" i="43"/>
  <c r="F1091" i="43"/>
  <c r="F1092" i="43"/>
  <c r="F1093" i="43"/>
  <c r="F1094" i="43"/>
  <c r="F1095" i="43"/>
  <c r="F1096" i="43"/>
  <c r="F1097" i="43"/>
  <c r="F1098" i="43"/>
  <c r="F1099" i="43"/>
  <c r="F1100" i="43"/>
  <c r="F1101" i="43"/>
  <c r="F1102" i="43"/>
  <c r="F1103" i="43"/>
  <c r="F1104" i="43"/>
  <c r="F1105" i="43"/>
  <c r="F1106" i="43"/>
  <c r="F1107" i="43"/>
  <c r="F1109" i="43"/>
  <c r="F1110" i="43"/>
  <c r="F1111" i="43"/>
  <c r="F1112" i="43"/>
  <c r="F1113" i="43"/>
  <c r="F1114" i="43"/>
  <c r="F1115" i="43"/>
  <c r="F1116" i="43"/>
  <c r="F1117" i="43"/>
  <c r="F1118" i="43"/>
  <c r="F1119" i="43"/>
  <c r="F1120" i="43"/>
  <c r="F1121" i="43"/>
  <c r="F1122" i="43"/>
  <c r="F1123" i="43"/>
  <c r="F1124" i="43"/>
  <c r="F1125" i="43"/>
  <c r="F1126" i="43"/>
  <c r="F1127" i="43"/>
  <c r="F1128" i="43"/>
  <c r="F1129" i="43"/>
  <c r="F1130" i="43"/>
  <c r="F1131" i="43"/>
  <c r="F1132" i="43"/>
  <c r="F1133" i="43"/>
  <c r="F1134" i="43"/>
  <c r="F1135" i="43"/>
  <c r="F1136" i="43"/>
  <c r="F1137" i="43"/>
  <c r="F1138" i="43"/>
  <c r="F1139" i="43"/>
  <c r="F1140" i="43"/>
  <c r="F1141" i="43"/>
  <c r="F1142" i="43"/>
  <c r="F1143" i="43"/>
  <c r="F1144" i="43"/>
  <c r="F1145" i="43"/>
  <c r="F1146" i="43"/>
  <c r="F1147" i="43"/>
  <c r="F1148" i="43"/>
  <c r="F1149" i="43"/>
  <c r="F1150" i="43"/>
  <c r="F1151" i="43"/>
  <c r="F1152" i="43"/>
  <c r="F1153" i="43"/>
  <c r="F1154" i="43"/>
  <c r="F1155" i="43"/>
  <c r="F1156" i="43"/>
  <c r="F1157" i="43"/>
  <c r="F1158" i="43"/>
  <c r="F1159" i="43"/>
  <c r="F1160" i="43"/>
  <c r="F1161" i="43"/>
  <c r="F1162" i="43"/>
  <c r="F1163" i="43"/>
  <c r="F1164" i="43"/>
  <c r="F1165" i="43"/>
  <c r="F1166" i="43"/>
  <c r="F1167" i="43"/>
  <c r="F1168" i="43"/>
  <c r="F1169" i="43"/>
  <c r="F1170" i="43"/>
  <c r="F1171" i="43"/>
  <c r="F1172" i="43"/>
  <c r="F1173" i="43"/>
  <c r="F1174" i="43"/>
  <c r="F1175" i="43"/>
  <c r="F1176" i="43"/>
  <c r="F1177" i="43"/>
  <c r="F1178" i="43"/>
  <c r="F1179" i="43"/>
  <c r="F1180" i="43"/>
  <c r="F1181" i="43"/>
  <c r="F1182" i="43"/>
  <c r="F1183" i="43"/>
  <c r="F1184" i="43"/>
  <c r="F1185" i="43"/>
  <c r="F1186" i="43"/>
  <c r="F1187" i="43"/>
  <c r="F1188" i="43"/>
  <c r="F1189" i="43"/>
  <c r="F1190" i="43"/>
  <c r="F1191" i="43"/>
  <c r="F1192" i="43"/>
  <c r="F1193" i="43"/>
  <c r="F1194" i="43"/>
  <c r="F1195" i="43"/>
  <c r="F1196" i="43"/>
  <c r="F1197" i="43"/>
  <c r="F1198" i="43"/>
  <c r="F1199" i="43"/>
  <c r="F1200" i="43"/>
  <c r="F1201" i="43"/>
  <c r="F1202" i="43"/>
  <c r="F1203" i="43"/>
  <c r="F1204" i="43"/>
  <c r="F1205" i="43"/>
  <c r="F1206" i="43"/>
  <c r="F1207" i="43"/>
  <c r="F1208" i="43"/>
  <c r="F1209" i="43"/>
  <c r="F1210" i="43"/>
  <c r="F1211" i="43"/>
  <c r="F1212" i="43"/>
  <c r="F1213" i="43"/>
  <c r="F1214" i="43"/>
  <c r="F1215" i="43"/>
  <c r="F1216" i="43"/>
  <c r="F1217" i="43"/>
  <c r="F1218" i="43"/>
  <c r="F1219" i="43"/>
  <c r="F1220" i="43"/>
  <c r="F1221" i="43"/>
  <c r="F1222" i="43"/>
  <c r="F1223" i="43"/>
  <c r="F1224" i="43"/>
  <c r="F1225" i="43"/>
  <c r="F1226" i="43"/>
  <c r="F1227" i="43"/>
  <c r="F1228" i="43"/>
  <c r="F1229" i="43"/>
  <c r="F1230" i="43"/>
  <c r="F1231" i="43"/>
  <c r="F1232" i="43"/>
  <c r="F1233" i="43"/>
  <c r="F1234" i="43"/>
  <c r="F1235" i="43"/>
  <c r="F1236" i="43"/>
  <c r="F1237" i="43"/>
  <c r="F1238" i="43"/>
  <c r="F1239" i="43"/>
  <c r="F1240" i="43"/>
  <c r="F1241" i="43"/>
  <c r="F1242" i="43"/>
  <c r="F1243" i="43"/>
  <c r="F1244" i="43"/>
  <c r="F1245" i="43"/>
  <c r="F1246" i="43"/>
  <c r="F1247" i="43"/>
  <c r="F1248" i="43"/>
  <c r="F1249" i="43"/>
  <c r="F1250" i="43"/>
  <c r="F1251" i="43"/>
  <c r="F1252" i="43"/>
  <c r="F1253" i="43"/>
  <c r="F1254" i="43"/>
  <c r="F1255" i="43"/>
  <c r="F1256" i="43"/>
  <c r="F1257" i="43"/>
  <c r="F1258" i="43"/>
  <c r="F1259" i="43"/>
  <c r="F1260" i="43"/>
  <c r="F1261" i="43"/>
  <c r="F1262" i="43"/>
  <c r="F1263" i="43"/>
  <c r="F1264" i="43"/>
  <c r="F1265" i="43"/>
  <c r="F1266" i="43"/>
  <c r="F1268" i="43"/>
  <c r="F1269" i="43"/>
  <c r="F1270" i="43"/>
  <c r="F1271" i="43"/>
  <c r="F1272" i="43"/>
  <c r="F1273" i="43"/>
  <c r="F1274" i="43"/>
  <c r="F1276" i="43"/>
  <c r="F1277" i="43"/>
  <c r="F1278" i="43"/>
  <c r="F1279" i="43"/>
  <c r="F1280" i="43"/>
  <c r="F1281" i="43"/>
  <c r="F1282" i="43"/>
  <c r="F1283" i="43"/>
  <c r="F1284" i="43"/>
  <c r="F1285" i="43"/>
  <c r="F1286" i="43"/>
  <c r="F1287" i="43"/>
  <c r="F1288" i="43"/>
  <c r="F1289" i="43"/>
  <c r="F1290" i="43"/>
  <c r="F1291" i="43"/>
  <c r="F1292" i="43"/>
  <c r="F1294" i="43"/>
  <c r="F1295" i="43"/>
  <c r="F1296" i="43"/>
  <c r="F1297" i="43"/>
  <c r="F1298" i="43"/>
  <c r="F1299" i="43"/>
  <c r="F1300" i="43"/>
  <c r="F1301" i="43"/>
  <c r="F1302" i="43"/>
  <c r="F1303" i="43"/>
  <c r="F1304" i="43"/>
  <c r="F1305" i="43"/>
  <c r="F1306" i="43"/>
  <c r="F1307" i="43"/>
  <c r="F1308" i="43"/>
  <c r="F1309" i="43"/>
  <c r="F1310" i="43"/>
  <c r="F1311" i="43"/>
  <c r="F1312" i="43"/>
  <c r="F1313" i="43"/>
  <c r="F1314" i="43"/>
  <c r="F1315" i="43"/>
  <c r="F1316" i="43"/>
  <c r="F1317" i="43"/>
  <c r="F1318" i="43"/>
  <c r="F1319" i="43"/>
  <c r="F1320" i="43"/>
  <c r="F1321" i="43"/>
  <c r="F1322" i="43"/>
  <c r="F1323" i="43"/>
  <c r="F1325" i="43"/>
  <c r="F1326" i="43"/>
  <c r="F1327" i="43"/>
  <c r="F1328" i="43"/>
  <c r="F1329" i="43"/>
  <c r="F1330" i="43"/>
  <c r="F1331" i="43"/>
  <c r="F1332" i="43"/>
  <c r="F1333" i="43"/>
  <c r="F1334" i="43"/>
  <c r="F1335" i="43"/>
  <c r="F1336" i="43"/>
  <c r="F1337" i="43"/>
  <c r="F1338" i="43"/>
  <c r="F1339" i="43"/>
  <c r="F1340" i="43"/>
  <c r="F1341" i="43"/>
  <c r="F1342" i="43"/>
  <c r="F1343" i="43"/>
  <c r="F1344" i="43"/>
  <c r="F1345" i="43"/>
  <c r="F1346" i="43"/>
  <c r="F1347" i="43"/>
  <c r="F1348" i="43"/>
  <c r="F1349" i="43"/>
  <c r="F1350" i="43"/>
  <c r="F1351" i="43"/>
  <c r="F1352" i="43"/>
  <c r="F1353" i="43"/>
  <c r="F1354" i="43"/>
  <c r="F1355" i="43"/>
  <c r="F1356" i="43"/>
  <c r="F1357" i="43"/>
  <c r="F1358" i="43"/>
  <c r="F1359" i="43"/>
  <c r="F1360" i="43"/>
  <c r="F1361" i="43"/>
  <c r="F1362" i="43"/>
  <c r="F1363" i="43"/>
  <c r="F1364" i="43"/>
  <c r="F1365" i="43"/>
  <c r="F1366" i="43"/>
  <c r="F1367" i="43"/>
  <c r="F1368" i="43"/>
  <c r="F1369" i="43"/>
  <c r="F1370" i="43"/>
  <c r="F1371" i="43"/>
  <c r="F1372" i="43"/>
  <c r="F1373" i="43"/>
  <c r="F1374" i="43"/>
  <c r="F1375" i="43"/>
  <c r="F1376" i="43"/>
  <c r="F1377" i="43"/>
  <c r="F1378" i="43"/>
  <c r="F1379" i="43"/>
  <c r="F1380" i="43"/>
  <c r="F1381" i="43"/>
  <c r="F1382" i="43"/>
  <c r="F1383" i="43"/>
  <c r="F1384" i="43"/>
  <c r="F1385" i="43"/>
  <c r="F1386" i="43"/>
  <c r="F1387" i="43"/>
  <c r="F1388" i="43"/>
  <c r="F1389" i="43"/>
  <c r="F1390" i="43"/>
  <c r="F1391" i="43"/>
  <c r="F1392" i="43"/>
  <c r="F1393" i="43"/>
  <c r="F1394" i="43"/>
  <c r="F1395" i="43"/>
  <c r="F1396" i="43"/>
  <c r="F1397" i="43"/>
  <c r="F1398" i="43"/>
  <c r="F1399" i="43"/>
  <c r="F1400" i="43"/>
  <c r="F1401" i="43"/>
  <c r="F1402" i="43"/>
  <c r="F1403" i="43"/>
  <c r="F1404" i="43"/>
  <c r="F1405" i="43"/>
  <c r="F1406" i="43"/>
  <c r="F1407" i="43"/>
  <c r="F1408" i="43"/>
  <c r="F1409" i="43"/>
  <c r="F1410" i="43"/>
  <c r="F1411" i="43"/>
  <c r="F1412" i="43"/>
  <c r="F1413" i="43"/>
  <c r="F1414" i="43"/>
  <c r="F1415" i="43"/>
  <c r="F1416" i="43"/>
  <c r="F1417" i="43"/>
  <c r="F1418" i="43"/>
  <c r="F1419" i="43"/>
  <c r="F1420" i="43"/>
  <c r="F1421" i="43"/>
  <c r="F1422" i="43"/>
  <c r="F1423" i="43"/>
  <c r="F1424" i="43"/>
  <c r="F1425" i="43"/>
  <c r="F1426" i="43"/>
  <c r="F1427" i="43"/>
  <c r="F1428" i="43"/>
  <c r="F1429" i="43"/>
  <c r="F1430" i="43"/>
  <c r="F1431" i="43"/>
  <c r="F1432" i="43"/>
  <c r="F1433" i="43"/>
  <c r="F1434" i="43"/>
  <c r="F1435" i="43"/>
  <c r="F1436" i="43"/>
  <c r="F1437" i="43"/>
  <c r="F1438" i="43"/>
  <c r="F1439" i="43"/>
  <c r="F1440" i="43"/>
  <c r="F1441" i="43"/>
  <c r="F1442" i="43"/>
  <c r="F1443" i="43"/>
  <c r="F1444" i="43"/>
  <c r="F1445" i="43"/>
  <c r="F1446" i="43"/>
  <c r="F1447" i="43"/>
  <c r="F1448" i="43"/>
  <c r="F1449" i="43"/>
  <c r="F1450" i="43"/>
  <c r="F1451" i="43"/>
  <c r="F1452" i="43"/>
  <c r="F1453" i="43"/>
  <c r="F1454" i="43"/>
  <c r="F1455" i="43"/>
  <c r="F1456" i="43"/>
  <c r="F1457" i="43"/>
  <c r="F1458" i="43"/>
  <c r="F1459" i="43"/>
  <c r="F1460" i="43"/>
  <c r="F1461" i="43"/>
  <c r="F1462" i="43"/>
  <c r="F1463" i="43"/>
  <c r="F1464" i="43"/>
  <c r="F1465" i="43"/>
  <c r="F1467" i="43"/>
  <c r="F1468" i="43"/>
  <c r="F1469" i="43"/>
  <c r="F1470" i="43"/>
  <c r="F1471" i="43"/>
  <c r="F1472" i="43"/>
  <c r="F1473" i="43"/>
  <c r="F1474" i="43"/>
  <c r="F1475" i="43"/>
  <c r="F1476" i="43"/>
  <c r="F1477" i="43"/>
  <c r="F1478" i="43"/>
  <c r="F1479" i="43"/>
  <c r="F1480" i="43"/>
  <c r="F1481" i="43"/>
  <c r="F1482" i="43"/>
  <c r="F1483" i="43"/>
  <c r="F1484" i="43"/>
  <c r="F1485" i="43"/>
  <c r="F1486" i="43"/>
  <c r="F1487" i="43"/>
  <c r="F1488" i="43"/>
  <c r="F1489" i="43"/>
  <c r="F1490" i="43"/>
  <c r="F1491" i="43"/>
  <c r="F1492" i="43"/>
  <c r="F1493" i="43"/>
  <c r="F1494" i="43"/>
  <c r="F1495" i="43"/>
  <c r="F1496" i="43"/>
  <c r="F1497" i="43"/>
  <c r="F1498" i="43"/>
  <c r="F1499" i="43"/>
  <c r="F1500" i="43"/>
  <c r="F1501" i="43"/>
  <c r="F1502" i="43"/>
  <c r="F1503" i="43"/>
  <c r="F1504" i="43"/>
  <c r="F1505" i="43"/>
  <c r="F1506" i="43"/>
  <c r="F1507" i="43"/>
  <c r="F1508" i="43"/>
  <c r="F1509" i="43"/>
  <c r="F1510" i="43"/>
  <c r="F1511" i="43"/>
  <c r="F1512" i="43"/>
  <c r="F1513" i="43"/>
  <c r="F1514" i="43"/>
  <c r="F1515" i="43"/>
  <c r="F1516" i="43"/>
  <c r="F1517" i="43"/>
  <c r="F1518" i="43"/>
  <c r="F1519" i="43"/>
  <c r="F1520" i="43"/>
  <c r="F1521" i="43"/>
  <c r="F1522" i="43"/>
  <c r="F1523" i="43"/>
  <c r="F1524" i="43"/>
  <c r="F1525" i="43"/>
  <c r="F1526" i="43"/>
  <c r="F1527" i="43"/>
  <c r="F1528" i="43"/>
  <c r="F1529" i="43"/>
  <c r="F1530" i="43"/>
  <c r="F1531" i="43"/>
  <c r="F1532" i="43"/>
  <c r="F1533" i="43"/>
  <c r="F1534" i="43"/>
  <c r="F1535" i="43"/>
  <c r="F1536" i="43"/>
  <c r="F1537" i="43"/>
  <c r="F1538" i="43"/>
  <c r="F1539" i="43"/>
  <c r="F1540" i="43"/>
  <c r="F1541" i="43"/>
  <c r="F1542" i="43"/>
  <c r="F1543" i="43"/>
  <c r="F1544" i="43"/>
  <c r="F1545" i="43"/>
  <c r="F1546" i="43"/>
  <c r="F1547" i="43"/>
  <c r="F1548" i="43"/>
  <c r="F1549" i="43"/>
  <c r="F1550" i="43"/>
  <c r="F1551" i="43"/>
  <c r="F1552" i="43"/>
  <c r="F1553" i="43"/>
  <c r="F1554" i="43"/>
  <c r="F1555" i="43"/>
  <c r="F1556" i="43"/>
  <c r="F1557" i="43"/>
  <c r="F1558" i="43"/>
  <c r="F1559" i="43"/>
  <c r="F1560" i="43"/>
  <c r="F1561" i="43"/>
  <c r="F1562" i="43"/>
  <c r="F1563" i="43"/>
  <c r="F1564" i="43"/>
  <c r="F1565" i="43"/>
  <c r="F1566" i="43"/>
  <c r="F1567" i="43"/>
  <c r="F1568" i="43"/>
  <c r="F1569" i="43"/>
  <c r="F1570" i="43"/>
  <c r="F1571" i="43"/>
  <c r="F1572" i="43"/>
  <c r="F1573" i="43"/>
  <c r="F1574" i="43"/>
  <c r="F1575" i="43"/>
  <c r="F1576" i="43"/>
  <c r="F1577" i="43"/>
  <c r="F1578" i="43"/>
  <c r="F1579" i="43"/>
  <c r="F1580" i="43"/>
  <c r="F1581" i="43"/>
  <c r="F1582" i="43"/>
  <c r="F1583" i="43"/>
  <c r="F1584" i="43"/>
  <c r="F1585" i="43"/>
  <c r="F1586" i="43"/>
  <c r="F1587" i="43"/>
  <c r="F1588" i="43"/>
  <c r="F1589" i="43"/>
  <c r="F1590" i="43"/>
  <c r="F1591" i="43"/>
  <c r="F1592" i="43"/>
  <c r="F1593" i="43"/>
  <c r="F1594" i="43"/>
  <c r="F1595" i="43"/>
  <c r="F1596" i="43"/>
  <c r="F1597" i="43"/>
  <c r="F1598" i="43"/>
  <c r="F1599" i="43"/>
  <c r="F1600" i="43"/>
  <c r="F1601" i="43"/>
  <c r="F1602" i="43"/>
  <c r="F1603" i="43"/>
  <c r="F1604" i="43"/>
  <c r="F1605" i="43"/>
  <c r="F1606" i="43"/>
  <c r="F1607" i="43"/>
  <c r="F1608" i="43"/>
  <c r="F1609" i="43"/>
  <c r="F1610" i="43"/>
  <c r="F1611" i="43"/>
  <c r="F1612" i="43"/>
  <c r="F1613" i="43"/>
  <c r="F1614" i="43"/>
  <c r="F1615" i="43"/>
  <c r="F1616" i="43"/>
  <c r="F1617" i="43"/>
  <c r="F1618" i="43"/>
  <c r="F1619" i="43"/>
  <c r="F1620" i="43"/>
  <c r="F1621" i="43"/>
  <c r="F1622" i="43"/>
  <c r="F1623" i="43"/>
  <c r="F1624" i="43"/>
  <c r="F1625" i="43"/>
  <c r="F1626" i="43"/>
  <c r="F1627" i="43"/>
  <c r="F1628" i="43"/>
  <c r="F1629" i="43"/>
  <c r="F1630" i="43"/>
  <c r="F1631" i="43"/>
  <c r="F1632" i="43"/>
  <c r="F1633" i="43"/>
  <c r="F1634" i="43"/>
  <c r="F1635" i="43"/>
  <c r="F1636" i="43"/>
  <c r="F1637" i="43"/>
  <c r="F1638" i="43"/>
  <c r="F1639" i="43"/>
  <c r="F1640" i="43"/>
  <c r="F1641" i="43"/>
  <c r="F1642" i="43"/>
  <c r="F1643" i="43"/>
  <c r="F1644" i="43"/>
  <c r="F1645" i="43"/>
  <c r="F1646" i="43"/>
  <c r="F1647" i="43"/>
  <c r="F1648" i="43"/>
  <c r="F1649" i="43"/>
  <c r="F1650" i="43"/>
  <c r="F1651" i="43"/>
  <c r="F1652" i="43"/>
  <c r="F1653" i="43"/>
  <c r="F1654" i="43"/>
  <c r="F1655" i="43"/>
  <c r="F1656" i="43"/>
  <c r="F1657" i="43"/>
  <c r="F1658" i="43"/>
  <c r="F1659" i="43"/>
  <c r="F1660" i="43"/>
  <c r="F1661" i="43"/>
  <c r="F1662" i="43"/>
  <c r="F1663" i="43"/>
  <c r="F1664" i="43"/>
  <c r="F1665" i="43"/>
  <c r="F1666" i="43"/>
  <c r="F1667" i="43"/>
  <c r="F1668" i="43"/>
  <c r="F1669" i="43"/>
  <c r="F1670" i="43"/>
  <c r="F1671" i="43"/>
  <c r="F1672" i="43"/>
  <c r="F1673" i="43"/>
  <c r="F1674" i="43"/>
  <c r="F1675" i="43"/>
  <c r="F1676" i="43"/>
  <c r="F1677" i="43"/>
  <c r="F1678" i="43"/>
  <c r="F1679" i="43"/>
  <c r="F1680" i="43"/>
  <c r="F1681" i="43"/>
  <c r="F1682" i="43"/>
  <c r="F1683" i="43"/>
  <c r="F1684" i="43"/>
  <c r="F1685" i="43"/>
  <c r="F1686" i="43"/>
  <c r="F1687" i="43"/>
  <c r="F1688" i="43"/>
  <c r="F1689" i="43"/>
  <c r="F1690" i="43"/>
  <c r="F1691" i="43"/>
  <c r="F1692" i="43"/>
  <c r="F1693" i="43"/>
  <c r="F1694" i="43"/>
  <c r="F1695" i="43"/>
  <c r="F1696" i="43"/>
  <c r="F1697" i="43"/>
  <c r="F1698" i="43"/>
  <c r="F1699" i="43"/>
  <c r="F1700" i="43"/>
  <c r="F1701" i="43"/>
  <c r="F1702" i="43"/>
  <c r="F1703" i="43"/>
  <c r="F1704" i="43"/>
  <c r="F1705" i="43"/>
  <c r="F1706" i="43"/>
  <c r="F1707" i="43"/>
  <c r="F1708" i="43"/>
  <c r="F1709" i="43"/>
  <c r="F1710" i="43"/>
  <c r="F1711" i="43"/>
  <c r="F1712" i="43"/>
  <c r="F1713" i="43"/>
  <c r="F1714" i="43"/>
  <c r="F1715" i="43"/>
  <c r="F1716" i="43"/>
  <c r="F1717" i="43"/>
  <c r="F1718" i="43"/>
  <c r="F1719" i="43"/>
  <c r="F1720" i="43"/>
  <c r="F1721" i="43"/>
  <c r="F1722" i="43"/>
  <c r="F1723" i="43"/>
  <c r="F1724" i="43"/>
  <c r="F1725" i="43"/>
  <c r="F1726" i="43"/>
  <c r="F1727" i="43"/>
  <c r="F1728" i="43"/>
  <c r="F1729" i="43"/>
  <c r="F1730" i="43"/>
  <c r="F1731" i="43"/>
  <c r="F1732" i="43"/>
  <c r="F1733" i="43"/>
  <c r="F1734" i="43"/>
  <c r="F1735" i="43"/>
  <c r="F1736" i="43"/>
  <c r="F1737" i="43"/>
  <c r="F1738" i="43"/>
  <c r="F1739" i="43"/>
  <c r="F1740" i="43"/>
  <c r="F1741" i="43"/>
  <c r="F1742" i="43"/>
  <c r="F1743" i="43"/>
  <c r="F1744" i="43"/>
  <c r="F1745" i="43"/>
  <c r="F1746" i="43"/>
  <c r="F1747" i="43"/>
  <c r="F1748" i="43"/>
  <c r="F1749" i="43"/>
  <c r="F1750" i="43"/>
  <c r="F1751" i="43"/>
  <c r="F1752" i="43"/>
  <c r="F1753" i="43"/>
  <c r="F1754" i="43"/>
  <c r="F1755" i="43"/>
  <c r="F1756" i="43"/>
  <c r="F1757" i="43"/>
  <c r="F1758" i="43"/>
  <c r="F1759" i="43"/>
  <c r="F1760" i="43"/>
  <c r="F1761" i="43"/>
  <c r="F1762" i="43"/>
  <c r="F1763" i="43"/>
  <c r="F1764" i="43"/>
  <c r="F1765" i="43"/>
  <c r="F1766" i="43"/>
  <c r="F1767" i="43"/>
  <c r="F1768" i="43"/>
  <c r="F1769" i="43"/>
  <c r="F1770" i="43"/>
  <c r="F1771" i="43"/>
  <c r="F1772" i="43"/>
  <c r="F1773" i="43"/>
  <c r="F1774" i="43"/>
  <c r="F1775" i="43"/>
  <c r="F1776" i="43"/>
  <c r="F1777" i="43"/>
  <c r="F1778" i="43"/>
  <c r="F1779" i="43"/>
  <c r="F1780" i="43"/>
  <c r="F1781" i="43"/>
  <c r="F1782" i="43"/>
  <c r="F1783" i="43"/>
  <c r="F1784" i="43"/>
  <c r="F1785" i="43"/>
  <c r="F1786" i="43"/>
  <c r="F1787" i="43"/>
  <c r="F1788" i="43"/>
  <c r="F1789" i="43"/>
  <c r="F1791" i="43"/>
  <c r="F1792" i="43"/>
  <c r="F1793" i="43"/>
  <c r="F1794" i="43"/>
  <c r="F1795" i="43"/>
  <c r="F1796" i="43"/>
  <c r="F1797" i="43"/>
  <c r="F1798" i="43"/>
  <c r="F1799" i="43"/>
  <c r="F1800" i="43"/>
  <c r="F1801" i="43"/>
  <c r="F1802" i="43"/>
  <c r="F1803" i="43"/>
  <c r="F1804" i="43"/>
  <c r="F1805" i="43"/>
  <c r="F1806" i="43"/>
  <c r="F1807" i="43"/>
  <c r="F1808" i="43"/>
  <c r="F1809" i="43"/>
  <c r="F1810" i="43"/>
  <c r="F1811" i="43"/>
  <c r="F1812" i="43"/>
  <c r="F1813" i="43"/>
  <c r="F1814" i="43"/>
  <c r="F1815" i="43"/>
  <c r="F1816" i="43"/>
  <c r="F1817" i="43"/>
  <c r="F1818" i="43"/>
  <c r="F1819" i="43"/>
  <c r="F1820" i="43"/>
  <c r="F1821" i="43"/>
  <c r="F1822" i="43"/>
  <c r="F1823" i="43"/>
  <c r="F1824" i="43"/>
  <c r="F1825" i="43"/>
  <c r="F1826" i="43"/>
  <c r="F1827" i="43"/>
  <c r="F1828" i="43"/>
  <c r="F1829" i="43"/>
  <c r="F1830" i="43"/>
  <c r="F1831" i="43"/>
  <c r="F1832" i="43"/>
  <c r="F1833" i="43"/>
  <c r="F1834" i="43"/>
  <c r="F1835" i="43"/>
  <c r="F1836" i="43"/>
  <c r="F1837" i="43"/>
  <c r="F1839" i="43"/>
  <c r="F1840" i="43"/>
  <c r="F1841" i="43"/>
  <c r="F1842" i="43"/>
  <c r="F1843" i="43"/>
  <c r="F1844" i="43"/>
  <c r="F1845" i="43"/>
  <c r="F1846" i="43"/>
  <c r="F1847" i="43"/>
  <c r="F1848" i="43"/>
  <c r="F1849" i="43"/>
  <c r="F1850" i="43"/>
  <c r="F1851" i="43"/>
  <c r="F1852" i="43"/>
  <c r="F1853" i="43"/>
  <c r="F1854" i="43"/>
  <c r="F1855" i="43"/>
  <c r="F1856" i="43"/>
  <c r="F1857" i="43"/>
  <c r="F1858" i="43"/>
  <c r="F1859" i="43"/>
  <c r="F1860" i="43"/>
  <c r="F1862" i="43"/>
  <c r="F1863" i="43"/>
  <c r="F1864" i="43"/>
  <c r="F1865" i="43"/>
  <c r="F1866" i="43"/>
  <c r="F1867" i="43"/>
  <c r="F1868" i="43"/>
  <c r="F1869" i="43"/>
  <c r="F1870" i="43"/>
  <c r="F1871" i="43"/>
  <c r="F1872" i="43"/>
  <c r="F1873" i="43"/>
  <c r="F1874" i="43"/>
  <c r="F1875" i="43"/>
  <c r="F1876" i="43"/>
  <c r="F1877" i="43"/>
  <c r="F1878" i="43"/>
  <c r="F1879" i="43"/>
  <c r="F1880" i="43"/>
  <c r="F1881" i="43"/>
  <c r="F1882" i="43"/>
  <c r="F1883" i="43"/>
  <c r="F1884" i="43"/>
  <c r="F1885" i="43"/>
  <c r="F1886" i="43"/>
  <c r="F1887" i="43"/>
  <c r="F1888" i="43"/>
  <c r="F1889" i="43"/>
  <c r="F1890" i="43"/>
  <c r="F1891" i="43"/>
  <c r="F1892" i="43"/>
  <c r="F1893" i="43"/>
  <c r="F1894" i="43"/>
  <c r="F1895" i="43"/>
  <c r="F1896" i="43"/>
  <c r="F1897" i="43"/>
  <c r="F1898" i="43"/>
  <c r="F1899" i="43"/>
  <c r="F1900" i="43"/>
  <c r="F1901" i="43"/>
  <c r="F1902" i="43"/>
  <c r="F1903" i="43"/>
  <c r="F1904" i="43"/>
  <c r="F1905" i="43"/>
  <c r="F1906" i="43"/>
  <c r="F1907" i="43"/>
  <c r="F1908" i="43"/>
  <c r="F1909" i="43"/>
  <c r="F1910" i="43"/>
  <c r="F1911" i="43"/>
  <c r="F1912" i="43"/>
  <c r="F1913" i="43"/>
  <c r="F1914" i="43"/>
  <c r="F1915" i="43"/>
  <c r="F1916" i="43"/>
  <c r="F1917" i="43"/>
  <c r="F1918" i="43"/>
  <c r="F1919" i="43"/>
  <c r="F1920" i="43"/>
  <c r="F1921" i="43"/>
  <c r="F1922" i="43"/>
  <c r="F1923" i="43"/>
  <c r="F1924" i="43"/>
  <c r="F1925" i="43"/>
  <c r="F1926" i="43"/>
  <c r="F1927" i="43"/>
  <c r="F1928" i="43"/>
  <c r="F1929" i="43"/>
  <c r="F1930" i="43"/>
  <c r="F1931" i="43"/>
  <c r="F1932" i="43"/>
  <c r="F1933" i="43"/>
  <c r="F1935" i="43"/>
  <c r="F1936" i="43"/>
  <c r="F1937" i="43"/>
  <c r="F1938" i="43"/>
  <c r="F1939" i="43"/>
  <c r="F1940" i="43"/>
  <c r="F1941" i="43"/>
  <c r="F1942" i="43"/>
  <c r="F1943" i="43"/>
  <c r="F1944" i="43"/>
  <c r="F1945" i="43"/>
  <c r="F1946" i="43"/>
  <c r="F1947" i="43"/>
  <c r="F1948" i="43"/>
  <c r="F1949" i="43"/>
  <c r="F1950" i="43"/>
  <c r="F1951" i="43"/>
  <c r="F1952" i="43"/>
  <c r="F1953" i="43"/>
  <c r="F1954" i="43"/>
  <c r="F1955" i="43"/>
  <c r="F1956" i="43"/>
  <c r="F1957" i="43"/>
  <c r="F1958" i="43"/>
  <c r="F1959" i="43"/>
  <c r="F1960" i="43"/>
  <c r="F1961" i="43"/>
  <c r="F1962" i="43"/>
  <c r="F1963" i="43"/>
  <c r="F1964" i="43"/>
  <c r="F1965" i="43"/>
  <c r="F1966" i="43"/>
  <c r="F1967" i="43"/>
  <c r="F1968" i="43"/>
  <c r="F1969" i="43"/>
  <c r="F1970" i="43"/>
  <c r="F1971" i="43"/>
  <c r="F1972" i="43"/>
  <c r="F1973" i="43"/>
  <c r="F1974" i="43"/>
  <c r="F1975" i="43"/>
  <c r="F1976" i="43"/>
  <c r="F1977" i="43"/>
  <c r="F1978" i="43"/>
  <c r="F1979" i="43"/>
  <c r="F1980" i="43"/>
  <c r="F1981" i="43"/>
  <c r="F1982" i="43"/>
  <c r="F1983" i="43"/>
  <c r="F1984" i="43"/>
  <c r="F1985" i="43"/>
  <c r="F1986" i="43"/>
  <c r="F1987" i="43"/>
  <c r="F1988" i="43"/>
  <c r="F1989" i="43"/>
  <c r="F1990" i="43"/>
  <c r="F1991" i="43"/>
  <c r="F1992" i="43"/>
  <c r="F1993" i="43"/>
  <c r="F1994" i="43"/>
  <c r="F1995" i="43"/>
  <c r="F1996" i="43"/>
  <c r="F1997" i="43"/>
  <c r="F1998" i="43"/>
  <c r="F1999" i="43"/>
  <c r="F2000" i="43"/>
  <c r="F2001" i="43"/>
  <c r="F2002" i="43"/>
  <c r="F2003" i="43"/>
  <c r="F2004" i="43"/>
  <c r="F2005" i="43"/>
  <c r="F2006" i="43"/>
  <c r="F2007" i="43"/>
  <c r="F2008" i="43"/>
  <c r="F2009" i="43"/>
  <c r="F2010" i="43"/>
  <c r="F2011" i="43"/>
  <c r="F2012" i="43"/>
  <c r="F2013" i="43"/>
  <c r="F2014" i="43"/>
  <c r="F2015" i="43"/>
  <c r="F2016" i="43"/>
  <c r="F2017" i="43"/>
  <c r="F2018" i="43"/>
  <c r="F2019" i="43"/>
  <c r="F2020" i="43"/>
  <c r="F2021" i="43"/>
  <c r="F2022" i="43"/>
  <c r="F2023" i="43"/>
  <c r="F2024" i="43"/>
  <c r="F2025" i="43"/>
  <c r="F2026" i="43"/>
  <c r="F2027" i="43"/>
  <c r="F2028" i="43"/>
  <c r="F2029" i="43"/>
  <c r="F2031" i="43"/>
  <c r="F2032" i="43"/>
  <c r="F2033" i="43"/>
  <c r="F2034" i="43"/>
  <c r="F2035" i="43"/>
  <c r="F2036" i="43"/>
  <c r="F2037" i="43"/>
  <c r="F2038" i="43"/>
  <c r="F2040" i="43"/>
  <c r="F2041" i="43"/>
  <c r="F2042" i="43"/>
  <c r="F2043" i="43"/>
  <c r="F2044" i="43"/>
  <c r="F2045" i="43"/>
  <c r="F2046" i="43"/>
  <c r="F2047" i="43"/>
  <c r="F2048" i="43"/>
  <c r="F2049" i="43"/>
  <c r="F2050" i="43"/>
  <c r="F2051" i="43"/>
  <c r="F2052" i="43"/>
  <c r="F2053" i="43"/>
  <c r="F2054" i="43"/>
  <c r="F2056" i="43"/>
  <c r="F2057" i="43"/>
  <c r="F2058" i="43"/>
  <c r="F2059" i="43"/>
  <c r="F2060" i="43"/>
  <c r="F2061" i="43"/>
  <c r="F2062" i="43"/>
  <c r="F2063" i="43"/>
  <c r="F2064" i="43"/>
  <c r="F2065" i="43"/>
  <c r="F2066" i="43"/>
  <c r="F2067" i="43"/>
  <c r="F2068" i="43"/>
  <c r="F2069" i="43"/>
  <c r="F2070" i="43"/>
  <c r="F2071" i="43"/>
  <c r="F2072" i="43"/>
  <c r="F2073" i="43"/>
  <c r="F2074" i="43"/>
  <c r="F2075" i="43"/>
  <c r="F2076" i="43"/>
  <c r="F2077" i="43"/>
  <c r="F2078" i="43"/>
  <c r="F2079" i="43"/>
  <c r="F2080" i="43"/>
  <c r="F2081" i="43"/>
  <c r="F2082" i="43"/>
  <c r="F2083" i="43"/>
  <c r="F2084" i="43"/>
  <c r="F2085" i="43"/>
  <c r="F2086" i="43"/>
  <c r="F2087" i="43"/>
  <c r="F2088" i="43"/>
  <c r="F2089" i="43"/>
  <c r="F2090" i="43"/>
  <c r="F2091" i="43"/>
  <c r="F2092" i="43"/>
  <c r="F2093" i="43"/>
  <c r="F2094" i="43"/>
  <c r="F2095" i="43"/>
  <c r="F2096" i="43"/>
  <c r="F2097" i="43"/>
  <c r="F2098" i="43"/>
  <c r="F2099" i="43"/>
  <c r="F2100" i="43"/>
  <c r="F2101" i="43"/>
  <c r="F2102" i="43"/>
  <c r="F2103" i="43"/>
  <c r="F2104" i="43"/>
  <c r="F2105" i="43"/>
  <c r="F2106" i="43"/>
  <c r="F2107" i="43"/>
  <c r="F2108" i="43"/>
  <c r="F2109" i="43"/>
  <c r="F2110" i="43"/>
  <c r="F2111" i="43"/>
  <c r="F2112" i="43"/>
  <c r="F2113" i="43"/>
  <c r="F2114" i="43"/>
  <c r="F2115" i="43"/>
  <c r="F2116" i="43"/>
  <c r="F2117" i="43"/>
  <c r="F2118" i="43"/>
  <c r="F2119" i="43"/>
  <c r="F2120" i="43"/>
  <c r="F2121" i="43"/>
  <c r="F2122" i="43"/>
  <c r="F2123" i="43"/>
  <c r="F2124" i="43"/>
  <c r="F2125" i="43"/>
  <c r="F2126" i="43"/>
  <c r="F2127" i="43"/>
  <c r="F2128" i="43"/>
  <c r="F2129" i="43"/>
  <c r="F2130" i="43"/>
  <c r="F2131" i="43"/>
  <c r="F2132" i="43"/>
  <c r="F2133" i="43"/>
  <c r="F2134" i="43"/>
  <c r="F2135" i="43"/>
  <c r="F2136" i="43"/>
  <c r="F2137" i="43"/>
  <c r="F2138" i="43"/>
  <c r="F2140" i="43"/>
  <c r="F2141" i="43"/>
  <c r="F2142" i="43"/>
  <c r="F2143" i="43"/>
  <c r="F2144" i="43"/>
  <c r="F2145" i="43"/>
  <c r="F2146" i="43"/>
  <c r="F2147" i="43"/>
  <c r="F2148" i="43"/>
  <c r="F2149" i="43"/>
  <c r="F2150" i="43"/>
  <c r="F2151" i="43"/>
  <c r="F2152" i="43"/>
  <c r="F2153" i="43"/>
  <c r="F2154" i="43"/>
  <c r="F2155" i="43"/>
  <c r="F2156" i="43"/>
  <c r="F2157" i="43"/>
  <c r="F2158" i="43"/>
  <c r="F2159" i="43"/>
  <c r="F2160" i="43"/>
  <c r="F2161" i="43"/>
  <c r="F2162" i="43"/>
  <c r="F2163" i="43"/>
  <c r="F2164" i="43"/>
  <c r="F2165" i="43"/>
  <c r="F2166" i="43"/>
  <c r="F2167" i="43"/>
  <c r="F2168" i="43"/>
  <c r="F2169" i="43"/>
  <c r="F2170" i="43"/>
  <c r="F2171" i="43"/>
  <c r="F2172" i="43"/>
  <c r="F2173" i="43"/>
  <c r="F2174" i="43"/>
  <c r="F2175" i="43"/>
  <c r="F2176" i="43"/>
  <c r="F2177" i="43"/>
  <c r="F2178" i="43"/>
  <c r="F2179" i="43"/>
  <c r="F2180" i="43"/>
  <c r="F2181" i="43"/>
  <c r="F2182" i="43"/>
  <c r="F2183" i="43"/>
  <c r="F2184" i="43"/>
  <c r="F2185" i="43"/>
  <c r="F2186" i="43"/>
  <c r="F2187" i="43"/>
  <c r="F2188" i="43"/>
  <c r="F2189" i="43"/>
  <c r="F2190" i="43"/>
  <c r="F2191" i="43"/>
  <c r="F2192" i="43"/>
  <c r="F2194" i="43"/>
  <c r="F2195" i="43"/>
  <c r="F2196" i="43"/>
  <c r="F2197" i="43"/>
  <c r="F2198" i="43"/>
  <c r="F2199" i="43"/>
  <c r="F2200" i="43"/>
  <c r="F2201" i="43"/>
  <c r="F2202" i="43"/>
  <c r="F2203" i="43"/>
  <c r="F2204" i="43"/>
  <c r="F2206" i="43"/>
  <c r="F2207" i="43"/>
  <c r="F2208" i="43"/>
  <c r="F2209" i="43"/>
  <c r="F2210" i="43"/>
  <c r="F2211" i="43"/>
  <c r="F2212" i="43"/>
  <c r="F2213" i="43"/>
  <c r="F2214" i="43"/>
  <c r="F2215" i="43"/>
  <c r="F2216" i="43"/>
  <c r="F2217" i="43"/>
  <c r="F2218" i="43"/>
  <c r="F2219" i="43"/>
  <c r="F2220" i="43"/>
  <c r="F2221" i="43"/>
  <c r="F2222" i="43"/>
  <c r="F2223" i="43"/>
  <c r="F2224" i="43"/>
  <c r="F2225" i="43"/>
  <c r="F2226" i="43"/>
  <c r="F2227" i="43"/>
  <c r="F2228" i="43"/>
  <c r="F2229" i="43"/>
  <c r="F2230" i="43"/>
  <c r="F2231" i="43"/>
  <c r="F2232" i="43"/>
  <c r="F2233" i="43"/>
  <c r="F2234" i="43"/>
  <c r="F2235" i="43"/>
  <c r="F2236" i="43"/>
  <c r="F2237" i="43"/>
  <c r="F2238" i="43"/>
  <c r="F2239" i="43"/>
  <c r="F2240" i="43"/>
  <c r="F2241" i="43"/>
  <c r="F2242" i="43"/>
  <c r="F2243" i="43"/>
  <c r="F2244" i="43"/>
  <c r="F2245" i="43"/>
  <c r="F2246" i="43"/>
  <c r="F2247" i="43"/>
  <c r="F2248" i="43"/>
  <c r="F2249" i="43"/>
  <c r="F2250" i="43"/>
  <c r="F2251" i="43"/>
  <c r="F2252" i="43"/>
  <c r="F2253" i="43"/>
  <c r="F2255" i="43"/>
  <c r="F2256" i="43"/>
  <c r="F2257" i="43"/>
  <c r="F2258" i="43"/>
  <c r="F2259" i="43"/>
  <c r="F2260" i="43"/>
  <c r="F2261" i="43"/>
  <c r="F2262" i="43"/>
  <c r="F2263" i="43"/>
  <c r="F2264" i="43"/>
  <c r="F2266" i="43"/>
  <c r="F2267" i="43"/>
  <c r="F2268" i="43"/>
  <c r="F2269" i="43"/>
  <c r="F2270" i="43"/>
  <c r="F2271" i="43"/>
  <c r="F2272" i="43"/>
  <c r="F2273" i="43"/>
  <c r="F2274" i="43"/>
  <c r="F2275" i="43"/>
  <c r="F2276" i="43"/>
  <c r="F2277" i="43"/>
  <c r="F2278" i="43"/>
  <c r="F2279" i="43"/>
  <c r="F2280" i="43"/>
  <c r="F2281" i="43"/>
  <c r="F2282" i="43"/>
  <c r="F2283" i="43"/>
  <c r="F2284" i="43"/>
  <c r="F2285" i="43"/>
  <c r="F2286" i="43"/>
  <c r="F2287" i="43"/>
  <c r="F2288" i="43"/>
  <c r="F2289" i="43"/>
  <c r="F2290" i="43"/>
  <c r="F2291" i="43"/>
  <c r="F2292" i="43"/>
  <c r="F2293" i="43"/>
  <c r="F2294" i="43"/>
  <c r="F2295" i="43"/>
  <c r="F2296" i="43"/>
  <c r="F2297" i="43"/>
  <c r="F2298" i="43"/>
  <c r="F2299" i="43"/>
  <c r="F2300" i="43"/>
  <c r="F2301" i="43"/>
  <c r="F2302" i="43"/>
  <c r="F2303" i="43"/>
  <c r="F2304" i="43"/>
  <c r="F2305" i="43"/>
  <c r="F2306" i="43"/>
  <c r="F2307" i="43"/>
  <c r="F2308" i="43"/>
  <c r="F2309" i="43"/>
  <c r="F2310" i="43"/>
  <c r="F2311" i="43"/>
  <c r="F2312" i="43"/>
  <c r="F2313" i="43"/>
  <c r="F2314" i="43"/>
  <c r="F2315" i="43"/>
  <c r="F2316" i="43"/>
  <c r="F2317" i="43"/>
  <c r="F2318" i="43"/>
  <c r="F2319" i="43"/>
  <c r="F2320" i="43"/>
  <c r="F2321" i="43"/>
  <c r="F2322" i="43"/>
  <c r="F2323" i="43"/>
  <c r="F2324" i="43"/>
  <c r="F2325" i="43"/>
  <c r="F2326" i="43"/>
  <c r="F2327" i="43"/>
  <c r="F2328" i="43"/>
  <c r="F2329" i="43"/>
  <c r="F2330" i="43"/>
  <c r="F2331" i="43"/>
  <c r="F2332" i="43"/>
  <c r="F2333" i="43"/>
  <c r="F2334" i="43"/>
  <c r="F2335" i="43"/>
  <c r="F2336" i="43"/>
  <c r="F2337" i="43"/>
  <c r="F2338" i="43"/>
  <c r="F2339" i="43"/>
  <c r="F2340" i="43"/>
  <c r="F2341" i="43"/>
  <c r="F2342" i="43"/>
  <c r="F2343" i="43"/>
  <c r="F2344" i="43"/>
  <c r="F2345" i="43"/>
  <c r="F2346" i="43"/>
  <c r="F2347" i="43"/>
  <c r="F2348" i="43"/>
  <c r="F2349" i="43"/>
  <c r="F2350" i="43"/>
  <c r="F2351" i="43"/>
  <c r="F2352" i="43"/>
  <c r="F2353" i="43"/>
  <c r="F2354" i="43"/>
  <c r="F2355" i="43"/>
  <c r="F2356" i="43"/>
  <c r="F2357" i="43"/>
  <c r="F2358" i="43"/>
  <c r="F2359" i="43"/>
  <c r="F2360" i="43"/>
  <c r="F2361" i="43"/>
  <c r="F2362" i="43"/>
  <c r="F2363" i="43"/>
  <c r="F2364" i="43"/>
  <c r="F2365" i="43"/>
  <c r="F2366" i="43"/>
  <c r="F2367" i="43"/>
  <c r="F2368" i="43"/>
  <c r="F2369" i="43"/>
  <c r="F2371" i="43"/>
  <c r="F2372" i="43"/>
  <c r="F2373" i="43"/>
  <c r="F2374" i="43"/>
  <c r="F2375" i="43"/>
  <c r="F2376" i="43"/>
  <c r="F2377" i="43"/>
  <c r="F2378" i="43"/>
  <c r="F2379" i="43"/>
  <c r="F2380" i="43"/>
  <c r="F2381" i="43"/>
  <c r="F2382" i="43"/>
  <c r="F2383" i="43"/>
  <c r="F2384" i="43"/>
  <c r="F2385" i="43"/>
  <c r="F2386" i="43"/>
  <c r="F2387" i="43"/>
  <c r="F2388" i="43"/>
  <c r="F2389" i="43"/>
  <c r="F2390" i="43"/>
  <c r="F2391" i="43"/>
  <c r="F2392" i="43"/>
  <c r="F2393" i="43"/>
  <c r="F2394" i="43"/>
  <c r="F2395" i="43"/>
  <c r="F2396" i="43"/>
  <c r="F2397" i="43"/>
  <c r="F2398" i="43"/>
  <c r="F2399" i="43"/>
  <c r="F2400" i="43"/>
  <c r="F2401" i="43"/>
  <c r="F2402" i="43"/>
  <c r="F2403" i="43"/>
  <c r="F2404" i="43"/>
  <c r="F2405" i="43"/>
  <c r="F2406" i="43"/>
  <c r="F2407" i="43"/>
  <c r="F2408" i="43"/>
  <c r="F2409" i="43"/>
  <c r="F2410" i="43"/>
  <c r="F2411" i="43"/>
  <c r="F2412" i="43"/>
  <c r="F2413" i="43"/>
  <c r="F2414" i="43"/>
  <c r="F2415" i="43"/>
  <c r="F2416" i="43"/>
  <c r="F2417" i="43"/>
  <c r="F2418" i="43"/>
  <c r="F2419" i="43"/>
  <c r="F2420" i="43"/>
  <c r="F2422" i="43"/>
  <c r="F2423" i="43"/>
  <c r="F2424" i="43"/>
  <c r="F2425" i="43"/>
  <c r="F2426" i="43"/>
  <c r="F2427" i="43"/>
  <c r="F2428" i="43"/>
  <c r="F2429" i="43"/>
  <c r="F2430" i="43"/>
  <c r="F2431" i="43"/>
  <c r="F2432" i="43"/>
  <c r="F2433" i="43"/>
  <c r="F2434" i="43"/>
  <c r="F2435" i="43"/>
  <c r="F2436" i="43"/>
  <c r="F2437" i="43"/>
  <c r="F2438" i="43"/>
  <c r="F2439" i="43"/>
  <c r="F2440" i="43"/>
  <c r="F2441" i="43"/>
  <c r="F2442" i="43"/>
  <c r="F2443" i="43"/>
  <c r="F2444" i="43"/>
  <c r="F2445" i="43"/>
  <c r="F2446" i="43"/>
  <c r="F2447" i="43"/>
  <c r="F2448" i="43"/>
  <c r="F2449" i="43"/>
  <c r="F2450" i="43"/>
  <c r="F2451" i="43"/>
  <c r="F2452" i="43"/>
  <c r="F2453" i="43"/>
  <c r="F2454" i="43"/>
  <c r="F2455" i="43"/>
  <c r="F2456" i="43"/>
  <c r="F2457" i="43"/>
  <c r="F2458" i="43"/>
  <c r="F2459" i="43"/>
  <c r="F2460" i="43"/>
  <c r="F2461" i="43"/>
  <c r="F2462" i="43"/>
  <c r="F2463" i="43"/>
  <c r="F2464" i="43"/>
  <c r="F2465" i="43"/>
  <c r="F2466" i="43"/>
  <c r="F2467" i="43"/>
  <c r="F2468" i="43"/>
  <c r="F2469" i="43"/>
  <c r="F2470" i="43"/>
  <c r="F2471" i="43"/>
  <c r="F2472" i="43"/>
  <c r="F2473" i="43"/>
  <c r="F2474" i="43"/>
  <c r="F2475" i="43"/>
  <c r="F2476" i="43"/>
  <c r="F2477" i="43"/>
  <c r="F2478" i="43"/>
  <c r="F2479" i="43"/>
  <c r="F2480" i="43"/>
  <c r="F2481" i="43"/>
  <c r="F2482" i="43"/>
  <c r="F2483" i="43"/>
  <c r="F2484" i="43"/>
  <c r="F2485" i="43"/>
  <c r="F2486" i="43"/>
  <c r="F2487" i="43"/>
  <c r="F2488" i="43"/>
  <c r="F2489" i="43"/>
  <c r="F2490" i="43"/>
  <c r="F2491" i="43"/>
  <c r="F2492" i="43"/>
  <c r="F2493" i="43"/>
  <c r="F2494" i="43"/>
  <c r="F2495" i="43"/>
  <c r="F2496" i="43"/>
  <c r="F2497" i="43"/>
  <c r="F2498" i="43"/>
  <c r="F2499" i="43"/>
  <c r="F2500" i="43"/>
  <c r="F2501" i="43"/>
  <c r="F2502" i="43"/>
  <c r="F2503" i="43"/>
  <c r="F2504" i="43"/>
  <c r="F2505" i="43"/>
  <c r="F2506" i="43"/>
  <c r="F2507" i="43"/>
  <c r="F2508" i="43"/>
  <c r="F2509" i="43"/>
  <c r="F2510" i="43"/>
  <c r="F2511" i="43"/>
  <c r="F2512" i="43"/>
  <c r="F2513" i="43"/>
  <c r="F2514" i="43"/>
  <c r="F2515" i="43"/>
  <c r="F2516" i="43"/>
  <c r="F2517" i="43"/>
  <c r="F2518" i="43"/>
  <c r="F2519" i="43"/>
  <c r="F2520" i="43"/>
  <c r="F2521" i="43"/>
  <c r="F2522" i="43"/>
  <c r="F2523" i="43"/>
  <c r="F2524" i="43"/>
  <c r="F2525" i="43"/>
  <c r="F2526" i="43"/>
  <c r="F2527" i="43"/>
  <c r="F2528" i="43"/>
  <c r="F2529" i="43"/>
  <c r="F2530" i="43"/>
  <c r="F2531" i="43"/>
  <c r="F2532" i="43"/>
  <c r="F2533" i="43"/>
  <c r="F2534" i="43"/>
  <c r="F2535" i="43"/>
  <c r="F2536" i="43"/>
  <c r="F2537" i="43"/>
  <c r="F2538" i="43"/>
  <c r="F2539" i="43"/>
  <c r="F2540" i="43"/>
  <c r="F2541" i="43"/>
  <c r="F2542" i="43"/>
  <c r="F2543" i="43"/>
  <c r="F2544" i="43"/>
  <c r="F2545" i="43"/>
  <c r="F2546" i="43"/>
  <c r="F2547" i="43"/>
  <c r="F2548" i="43"/>
  <c r="F2549" i="43"/>
  <c r="F2550" i="43"/>
  <c r="F2551" i="43"/>
  <c r="F2552" i="43"/>
  <c r="F2553" i="43"/>
  <c r="F2554" i="43"/>
  <c r="F2555" i="43"/>
  <c r="F2556" i="43"/>
  <c r="F2557" i="43"/>
  <c r="F2558" i="43"/>
  <c r="F2559" i="43"/>
  <c r="F2560" i="43"/>
  <c r="F2561" i="43"/>
  <c r="F2562" i="43"/>
  <c r="F2563" i="43"/>
  <c r="F2564" i="43"/>
  <c r="F2565" i="43"/>
  <c r="F2566" i="43"/>
  <c r="F2567" i="43"/>
  <c r="F2568" i="43"/>
  <c r="F2569" i="43"/>
  <c r="F2570" i="43"/>
  <c r="F2571" i="43"/>
  <c r="F2572" i="43"/>
  <c r="F2573" i="43"/>
  <c r="F2574" i="43"/>
  <c r="F2575" i="43"/>
  <c r="F2576" i="43"/>
  <c r="F2577" i="43"/>
  <c r="F2578" i="43"/>
  <c r="F2579" i="43"/>
  <c r="F2580" i="43"/>
  <c r="F2581" i="43"/>
  <c r="F2582" i="43"/>
  <c r="F2583" i="43"/>
  <c r="F2584" i="43"/>
  <c r="F2585" i="43"/>
  <c r="F2586" i="43"/>
  <c r="F2588" i="43"/>
  <c r="F2589" i="43"/>
  <c r="F2590" i="43"/>
  <c r="F2591" i="43"/>
  <c r="F2592" i="43"/>
  <c r="F2593" i="43"/>
  <c r="F2594" i="43"/>
  <c r="F2595" i="43"/>
  <c r="F2596" i="43"/>
  <c r="F2597" i="43"/>
  <c r="F2598" i="43"/>
  <c r="F2599" i="43"/>
  <c r="F2600" i="43"/>
  <c r="F2601" i="43"/>
  <c r="F2602" i="43"/>
  <c r="F2603" i="43"/>
  <c r="F2604" i="43"/>
  <c r="F2605" i="43"/>
  <c r="F2606" i="43"/>
  <c r="F2607" i="43"/>
  <c r="F2608" i="43"/>
  <c r="F2609" i="43"/>
  <c r="F2610" i="43"/>
  <c r="F2611" i="43"/>
  <c r="F2612" i="43"/>
  <c r="F2613" i="43"/>
  <c r="F2614" i="43"/>
  <c r="F2615" i="43"/>
  <c r="F2616" i="43"/>
  <c r="F2617" i="43"/>
  <c r="F2618" i="43"/>
  <c r="F2619" i="43"/>
  <c r="F2620" i="43"/>
  <c r="F2621" i="43"/>
  <c r="F2622" i="43"/>
  <c r="F2623" i="43"/>
  <c r="F2624" i="43"/>
  <c r="F2625" i="43"/>
  <c r="F2626" i="43"/>
  <c r="F2627" i="43"/>
  <c r="F2628" i="43"/>
  <c r="F2629" i="43"/>
  <c r="F2630" i="43"/>
  <c r="F2631" i="43"/>
  <c r="F2632" i="43"/>
  <c r="F2633" i="43"/>
  <c r="F2634" i="43"/>
  <c r="F2635" i="43"/>
  <c r="F2636" i="43"/>
  <c r="F2637" i="43"/>
  <c r="F2638" i="43"/>
  <c r="F2639" i="43"/>
  <c r="F2640" i="43"/>
  <c r="F2641" i="43"/>
  <c r="F2642" i="43"/>
  <c r="F2643" i="43"/>
  <c r="F2644" i="43"/>
  <c r="F2645" i="43"/>
  <c r="F2646" i="43"/>
  <c r="F2647" i="43"/>
  <c r="F2648" i="43"/>
  <c r="F2649" i="43"/>
  <c r="F2650" i="43"/>
  <c r="F2651" i="43"/>
  <c r="F2652" i="43"/>
  <c r="F2653" i="43"/>
  <c r="F2654" i="43"/>
  <c r="F2655" i="43"/>
  <c r="F2656" i="43"/>
  <c r="F2657" i="43"/>
  <c r="F2658" i="43"/>
  <c r="F2659" i="43"/>
  <c r="F2660" i="43"/>
  <c r="F2661" i="43"/>
  <c r="F2662" i="43"/>
  <c r="F2663" i="43"/>
  <c r="F2664" i="43"/>
  <c r="F2665" i="43"/>
  <c r="F2666" i="43"/>
  <c r="F2667" i="43"/>
  <c r="F2668" i="43"/>
  <c r="F2669" i="43"/>
  <c r="F2670" i="43"/>
  <c r="F2671" i="43"/>
  <c r="F2672" i="43"/>
  <c r="F2673" i="43"/>
  <c r="F2674" i="43"/>
  <c r="F2675" i="43"/>
  <c r="F2676" i="43"/>
  <c r="F2677" i="43"/>
  <c r="F2678" i="43"/>
  <c r="F2679" i="43"/>
  <c r="F2680" i="43"/>
  <c r="F2681" i="43"/>
  <c r="F2682" i="43"/>
  <c r="F2683" i="43"/>
  <c r="F2686" i="43"/>
  <c r="F2687" i="43"/>
  <c r="F2688" i="43"/>
  <c r="F2689" i="43"/>
  <c r="F2690" i="43"/>
  <c r="F2691" i="43"/>
  <c r="F2692" i="43"/>
  <c r="F2693" i="43"/>
  <c r="F2694" i="43"/>
  <c r="F2695" i="43"/>
  <c r="F2696" i="43"/>
  <c r="F2697" i="43"/>
  <c r="F2698" i="43"/>
  <c r="F2699" i="43"/>
  <c r="F2700" i="43"/>
  <c r="F2701" i="43"/>
  <c r="F2702" i="43"/>
  <c r="F2703" i="43"/>
  <c r="F2704" i="43"/>
  <c r="F2705" i="43"/>
  <c r="F2706" i="43"/>
  <c r="F2707" i="43"/>
  <c r="F2708" i="43"/>
  <c r="F2709" i="43"/>
  <c r="F2710" i="43"/>
  <c r="F2711" i="43"/>
  <c r="F2712" i="43"/>
  <c r="F2713" i="43"/>
  <c r="F2714" i="43"/>
  <c r="F2715" i="43"/>
  <c r="F2716" i="43"/>
  <c r="F2717" i="43"/>
  <c r="F2718" i="43"/>
  <c r="F2719" i="43"/>
  <c r="F2720" i="43"/>
  <c r="F2721" i="43"/>
  <c r="F2722" i="43"/>
  <c r="F2723" i="43"/>
  <c r="F2724" i="43"/>
  <c r="F2725" i="43"/>
  <c r="F2726" i="43"/>
  <c r="F2727" i="43"/>
  <c r="F2728" i="43"/>
  <c r="F2730" i="43"/>
  <c r="F2731" i="43"/>
  <c r="F2732" i="43"/>
  <c r="F2733" i="43"/>
  <c r="F2734" i="43"/>
  <c r="F2735" i="43"/>
  <c r="F2736" i="43"/>
  <c r="F2737" i="43"/>
  <c r="F2738" i="43"/>
  <c r="F2739" i="43"/>
  <c r="F2740" i="43"/>
  <c r="F2741" i="43"/>
  <c r="F2742" i="43"/>
  <c r="F2743" i="43"/>
  <c r="F2744" i="43"/>
  <c r="F2745" i="43"/>
  <c r="F2746" i="43"/>
  <c r="F2747" i="43"/>
  <c r="F2748" i="43"/>
  <c r="F2749" i="43"/>
  <c r="F2750" i="43"/>
  <c r="F2751" i="43"/>
  <c r="F2752" i="43"/>
  <c r="F2753" i="43"/>
  <c r="F2754" i="43"/>
  <c r="F2755" i="43"/>
  <c r="F2756" i="43"/>
  <c r="F2757" i="43"/>
  <c r="F2758" i="43"/>
  <c r="F2759" i="43"/>
  <c r="F2760" i="43"/>
  <c r="F2761" i="43"/>
  <c r="F2762" i="43"/>
  <c r="F2763" i="43"/>
  <c r="F2764" i="43"/>
  <c r="F2765" i="43"/>
  <c r="F2766" i="43"/>
  <c r="F2767" i="43"/>
  <c r="F2768" i="43"/>
  <c r="F2769" i="43"/>
  <c r="F2770" i="43"/>
  <c r="F2771" i="43"/>
  <c r="F2772" i="43"/>
  <c r="F2773" i="43"/>
  <c r="F2774" i="43"/>
  <c r="F2775" i="43"/>
  <c r="F2776" i="43"/>
  <c r="F2777" i="43"/>
  <c r="F2778" i="43"/>
  <c r="F2779" i="43"/>
  <c r="F2780" i="43"/>
  <c r="F2781" i="43"/>
  <c r="F2782" i="43"/>
  <c r="F2783" i="43"/>
  <c r="F2784" i="43"/>
  <c r="F2785" i="43"/>
  <c r="F2786" i="43"/>
  <c r="F2787" i="43"/>
  <c r="F2788" i="43"/>
  <c r="F2789" i="43"/>
  <c r="F2790" i="43"/>
  <c r="F2791" i="43"/>
  <c r="F2792" i="43"/>
  <c r="F2793" i="43"/>
  <c r="F2794" i="43"/>
  <c r="F2795" i="43"/>
  <c r="F2796" i="43"/>
  <c r="F2797" i="43"/>
  <c r="F2798" i="43"/>
  <c r="F2799" i="43"/>
  <c r="F2802" i="43"/>
  <c r="F2803" i="43"/>
  <c r="F2804" i="43"/>
  <c r="F2805" i="43"/>
  <c r="F2806" i="43"/>
  <c r="F2807" i="43"/>
  <c r="F2808" i="43"/>
  <c r="F2809" i="43"/>
  <c r="F2810" i="43"/>
  <c r="F2811" i="43"/>
  <c r="F2812" i="43"/>
  <c r="F2813" i="43"/>
  <c r="F2814" i="43"/>
  <c r="F2816" i="43"/>
  <c r="F2817" i="43"/>
  <c r="F2818" i="43"/>
  <c r="F2819" i="43"/>
  <c r="F2820" i="43"/>
  <c r="F2821" i="43"/>
  <c r="F2822" i="43"/>
  <c r="F2823" i="43"/>
  <c r="F2824" i="43"/>
  <c r="F2825" i="43"/>
  <c r="F2826" i="43"/>
  <c r="F2827" i="43"/>
  <c r="F2828" i="43"/>
  <c r="F2829" i="43"/>
  <c r="F2830" i="43"/>
  <c r="F2831" i="43"/>
  <c r="F2833" i="43"/>
  <c r="F2834" i="43"/>
  <c r="F2835" i="43"/>
  <c r="F2836" i="43"/>
  <c r="F2837" i="43"/>
  <c r="F2838" i="43"/>
  <c r="F2839" i="43"/>
  <c r="F2840" i="43"/>
  <c r="F2841" i="43"/>
  <c r="F2842" i="43"/>
  <c r="F2843" i="43"/>
  <c r="F2844" i="43"/>
  <c r="F2845" i="43"/>
  <c r="F2846" i="43"/>
  <c r="F2847" i="43"/>
  <c r="F2848" i="43"/>
  <c r="F2849" i="43"/>
  <c r="F2850" i="43"/>
  <c r="F2851" i="43"/>
  <c r="F2852" i="43"/>
  <c r="F2853" i="43"/>
  <c r="F2854" i="43"/>
  <c r="F2855" i="43"/>
  <c r="F2856" i="43"/>
  <c r="F2857" i="43"/>
  <c r="F2858" i="43"/>
  <c r="F2859" i="43"/>
  <c r="F2860" i="43"/>
  <c r="F2861" i="43"/>
  <c r="F2862" i="43"/>
  <c r="F2863" i="43"/>
  <c r="F2864" i="43"/>
  <c r="F2865" i="43"/>
  <c r="F2866" i="43"/>
  <c r="F2867" i="43"/>
  <c r="F2868" i="43"/>
  <c r="F2869" i="43"/>
  <c r="F2870" i="43"/>
  <c r="F2871" i="43"/>
  <c r="F2872" i="43"/>
  <c r="F2873" i="43"/>
  <c r="F2874" i="43"/>
  <c r="F2875" i="43"/>
  <c r="F2876" i="43"/>
  <c r="F2877" i="43"/>
  <c r="F2878" i="43"/>
  <c r="F2879" i="43"/>
  <c r="F2880" i="43"/>
  <c r="F2881" i="43"/>
  <c r="F2882" i="43"/>
  <c r="F2883" i="43"/>
  <c r="F2884" i="43"/>
  <c r="F2885" i="43"/>
  <c r="F2886" i="43"/>
  <c r="F2888" i="43"/>
  <c r="F2889" i="43"/>
  <c r="F2890" i="43"/>
  <c r="F2891" i="43"/>
  <c r="F2892" i="43"/>
  <c r="F2893" i="43"/>
  <c r="F2894" i="43"/>
  <c r="F2895" i="43"/>
  <c r="F2896" i="43"/>
  <c r="F2897" i="43"/>
  <c r="F2898" i="43"/>
  <c r="F2899" i="43"/>
  <c r="F2900" i="43"/>
  <c r="F2901" i="43"/>
  <c r="F2902" i="43"/>
  <c r="F2903" i="43"/>
  <c r="F2905" i="43"/>
  <c r="F2906" i="43"/>
  <c r="F2907" i="43"/>
  <c r="F2909" i="43"/>
  <c r="F2910" i="43"/>
  <c r="F2911" i="43"/>
  <c r="F2912" i="43"/>
  <c r="F2913" i="43"/>
  <c r="F2914" i="43"/>
  <c r="F2915" i="43"/>
  <c r="F2916" i="43"/>
  <c r="F2917" i="43"/>
  <c r="F2918" i="43"/>
  <c r="F2919" i="43"/>
  <c r="F2920" i="43"/>
  <c r="F2921" i="43"/>
  <c r="F2922" i="43"/>
  <c r="F2923" i="43"/>
  <c r="F2924" i="43"/>
  <c r="F2925" i="43"/>
  <c r="F2926" i="43"/>
  <c r="F2927" i="43"/>
  <c r="F2928" i="43"/>
  <c r="F2929" i="43"/>
  <c r="F2930" i="43"/>
  <c r="F2931" i="43"/>
  <c r="F2932" i="43"/>
  <c r="F2933" i="43"/>
  <c r="F2934" i="43"/>
  <c r="F2935" i="43"/>
  <c r="F2936" i="43"/>
  <c r="F2937" i="43"/>
  <c r="F2938" i="43"/>
  <c r="F2939" i="43"/>
  <c r="F2940" i="43"/>
  <c r="F2941" i="43"/>
  <c r="F2942" i="43"/>
  <c r="F2943" i="43"/>
  <c r="F2944" i="43"/>
  <c r="F2945" i="43"/>
  <c r="F2946" i="43"/>
  <c r="F2947" i="43"/>
  <c r="F2948" i="43"/>
  <c r="F2949" i="43"/>
  <c r="F2950" i="43"/>
  <c r="F2951" i="43"/>
  <c r="F2952" i="43"/>
  <c r="F2953" i="43"/>
  <c r="F2954" i="43"/>
  <c r="F2955" i="43"/>
  <c r="F2957" i="43"/>
  <c r="F2958" i="43"/>
  <c r="F2959" i="43"/>
  <c r="F2960" i="43"/>
  <c r="F2961" i="43"/>
  <c r="F2962" i="43"/>
  <c r="F2963" i="43"/>
  <c r="F2964" i="43"/>
  <c r="F2965" i="43"/>
  <c r="F2966" i="43"/>
  <c r="F2967" i="43"/>
  <c r="F2968" i="43"/>
  <c r="F2969" i="43"/>
  <c r="F2970" i="43"/>
  <c r="F2971" i="43"/>
  <c r="F2972" i="43"/>
  <c r="F2973" i="43"/>
  <c r="F2974" i="43"/>
  <c r="F2975" i="43"/>
  <c r="F2976" i="43"/>
  <c r="F2977" i="43"/>
  <c r="F2978" i="43"/>
  <c r="F2979" i="43"/>
  <c r="F2980" i="43"/>
  <c r="F2981" i="43"/>
  <c r="F2982" i="43"/>
  <c r="F2983" i="43"/>
  <c r="F2984" i="43"/>
  <c r="F2985" i="43"/>
  <c r="F2986" i="43"/>
  <c r="F2987" i="43"/>
  <c r="F2988" i="43"/>
  <c r="F2989" i="43"/>
  <c r="F2990" i="43"/>
  <c r="F2991" i="43"/>
  <c r="F2992" i="43"/>
  <c r="F2993" i="43"/>
  <c r="F2994" i="43"/>
  <c r="F2995" i="43"/>
  <c r="F2996" i="43"/>
  <c r="F2997" i="43"/>
  <c r="F2998" i="43"/>
  <c r="F2999" i="43"/>
  <c r="F3000" i="43"/>
  <c r="F3001" i="43"/>
  <c r="F3002" i="43"/>
  <c r="F3003" i="43"/>
  <c r="F3004" i="43"/>
  <c r="F3005" i="43"/>
  <c r="F3006" i="43"/>
  <c r="F3007" i="43"/>
  <c r="F3008" i="43"/>
  <c r="F3009" i="43"/>
  <c r="F3010" i="43"/>
  <c r="F3011" i="43"/>
  <c r="F3012" i="43"/>
  <c r="F3013" i="43"/>
  <c r="F3014" i="43"/>
  <c r="F3015" i="43"/>
  <c r="F3016" i="43"/>
  <c r="F3017" i="43"/>
  <c r="F3018" i="43"/>
  <c r="F3019" i="43"/>
  <c r="F3020" i="43"/>
  <c r="F3021" i="43"/>
  <c r="F3022" i="43"/>
  <c r="F3023" i="43"/>
  <c r="F3024" i="43"/>
  <c r="F3025" i="43"/>
  <c r="F3026" i="43"/>
  <c r="F3027" i="43"/>
  <c r="F3028" i="43"/>
  <c r="F3029" i="43"/>
  <c r="F3030" i="43"/>
  <c r="F3031" i="43"/>
  <c r="F3032" i="43"/>
  <c r="F3034" i="43"/>
  <c r="F3035" i="43"/>
  <c r="F3037" i="43"/>
  <c r="F3038" i="43"/>
  <c r="F3039" i="43"/>
  <c r="F3040" i="43"/>
  <c r="F3041" i="43"/>
  <c r="F3042" i="43"/>
  <c r="F3043" i="43"/>
  <c r="F3044" i="43"/>
  <c r="F3045" i="43"/>
  <c r="F3046" i="43"/>
  <c r="F3047" i="43"/>
  <c r="F3049" i="43"/>
  <c r="F3050" i="43"/>
  <c r="F3051" i="43"/>
  <c r="F3052" i="43"/>
  <c r="F3053" i="43"/>
  <c r="F3054" i="43"/>
  <c r="F3055" i="43"/>
  <c r="F3056" i="43"/>
  <c r="F3057" i="43"/>
  <c r="F3058" i="43"/>
  <c r="F3059" i="43"/>
  <c r="F3060" i="43"/>
  <c r="F3061" i="43"/>
  <c r="F3062" i="43"/>
  <c r="F3063" i="43"/>
  <c r="F3064" i="43"/>
  <c r="F3065" i="43"/>
  <c r="F3066" i="43"/>
  <c r="F3067" i="43"/>
  <c r="F3068" i="43"/>
  <c r="F3069" i="43"/>
  <c r="F3070" i="43"/>
  <c r="F3071" i="43"/>
  <c r="F3072" i="43"/>
  <c r="F3073" i="43"/>
  <c r="F3074" i="43"/>
  <c r="F3075" i="43"/>
  <c r="F3076" i="43"/>
  <c r="F3077" i="43"/>
  <c r="F3078" i="43"/>
  <c r="F3079" i="43"/>
  <c r="F3080" i="43"/>
  <c r="F3082" i="43"/>
  <c r="F3083" i="43"/>
  <c r="F3084" i="43"/>
  <c r="F3085" i="43"/>
  <c r="F3086" i="43"/>
  <c r="F3087" i="43"/>
  <c r="F3088" i="43"/>
  <c r="F3089" i="43"/>
  <c r="F3090" i="43"/>
  <c r="F3091" i="43"/>
  <c r="F3092" i="43"/>
  <c r="F3093" i="43"/>
  <c r="F3094" i="43"/>
  <c r="F3096" i="43"/>
  <c r="F3097" i="43"/>
  <c r="F3098" i="43"/>
  <c r="F3099" i="43"/>
  <c r="F3100" i="43"/>
  <c r="F3101" i="43"/>
  <c r="F3102" i="43"/>
  <c r="F3103" i="43"/>
  <c r="F3104" i="43"/>
  <c r="F3105" i="43"/>
  <c r="F3106" i="43"/>
  <c r="F3107" i="43"/>
  <c r="F3108" i="43"/>
  <c r="F3109" i="43"/>
  <c r="F3110" i="43"/>
  <c r="F3111" i="43"/>
  <c r="F3112" i="43"/>
  <c r="F3113" i="43"/>
  <c r="F3114" i="43"/>
  <c r="F3115" i="43"/>
  <c r="F3116" i="43"/>
  <c r="F3117" i="43"/>
  <c r="F3118" i="43"/>
  <c r="F3119" i="43"/>
  <c r="F3120" i="43"/>
  <c r="F3121" i="43"/>
  <c r="F3122" i="43"/>
  <c r="F3124" i="43"/>
  <c r="F3125" i="43"/>
  <c r="F3126" i="43"/>
  <c r="F3127" i="43"/>
  <c r="F3128" i="43"/>
  <c r="F3129" i="43"/>
  <c r="F3130" i="43"/>
  <c r="F3131" i="43"/>
  <c r="F3132" i="43"/>
  <c r="F3133" i="43"/>
  <c r="F3134" i="43"/>
  <c r="F3135" i="43"/>
  <c r="F3136" i="43"/>
  <c r="F3137" i="43"/>
  <c r="F3138" i="43"/>
  <c r="F3139" i="43"/>
  <c r="F3140" i="43"/>
  <c r="F3141" i="43"/>
  <c r="F3142" i="43"/>
  <c r="F3143" i="43"/>
  <c r="F3144" i="43"/>
  <c r="F3145" i="43"/>
  <c r="F3146" i="43"/>
  <c r="F3148" i="43"/>
  <c r="F3149" i="43"/>
  <c r="F3150" i="43"/>
  <c r="F3151" i="43"/>
  <c r="F3152" i="43"/>
  <c r="F3153" i="43"/>
  <c r="F3154" i="43"/>
  <c r="F3155" i="43"/>
  <c r="F3156" i="43"/>
  <c r="F3157" i="43"/>
  <c r="F3158" i="43"/>
  <c r="F3159" i="43"/>
  <c r="F3160" i="43"/>
  <c r="F3161" i="43"/>
  <c r="F3162" i="43"/>
  <c r="F3163" i="43"/>
  <c r="F3164" i="43"/>
  <c r="F3165" i="43"/>
  <c r="F3166" i="43"/>
  <c r="F3167" i="43"/>
  <c r="F3168" i="43"/>
  <c r="F3169" i="43"/>
  <c r="F3170" i="43"/>
  <c r="F3171" i="43"/>
  <c r="F3172" i="43"/>
  <c r="F3173" i="43"/>
  <c r="F3174" i="43"/>
  <c r="F3175" i="43"/>
  <c r="F3176" i="43"/>
  <c r="F3177" i="43"/>
  <c r="F3178" i="43"/>
  <c r="F3179" i="43"/>
  <c r="F3180" i="43"/>
  <c r="F3181" i="43"/>
  <c r="F3182" i="43"/>
  <c r="F3183" i="43"/>
  <c r="F3184" i="43"/>
  <c r="F3185" i="43"/>
  <c r="F3186" i="43"/>
  <c r="F3187" i="43"/>
  <c r="F3188" i="43"/>
  <c r="F3189" i="43"/>
  <c r="F3190" i="43"/>
  <c r="F3191" i="43"/>
  <c r="F3192" i="43"/>
  <c r="F3193" i="43"/>
  <c r="F3194" i="43"/>
  <c r="F3195" i="43"/>
  <c r="F3196" i="43"/>
  <c r="F3197" i="43"/>
  <c r="F3198" i="43"/>
  <c r="F3199" i="43"/>
  <c r="F3200" i="43"/>
  <c r="F3201" i="43"/>
  <c r="F3202" i="43"/>
  <c r="F3203" i="43"/>
  <c r="F3204" i="43"/>
  <c r="F3205" i="43"/>
  <c r="F3206" i="43"/>
  <c r="F3210" i="43"/>
  <c r="F3211" i="43"/>
  <c r="F3213" i="43"/>
  <c r="F3214" i="43"/>
  <c r="F3215" i="43"/>
  <c r="F3216" i="43"/>
  <c r="F3217" i="43"/>
  <c r="F3219" i="43"/>
  <c r="F3220" i="43"/>
  <c r="F3221" i="43"/>
  <c r="F3222" i="43"/>
  <c r="F3223" i="43"/>
  <c r="F3224" i="43"/>
  <c r="F3225" i="43"/>
  <c r="F3227" i="43"/>
  <c r="F3228" i="43"/>
  <c r="F3229" i="43"/>
  <c r="F3230" i="43"/>
  <c r="F3231" i="43"/>
  <c r="F3232" i="43"/>
  <c r="F3233" i="43"/>
  <c r="F3234" i="43"/>
  <c r="F3235" i="43"/>
  <c r="F3236" i="43"/>
  <c r="F3237" i="43"/>
  <c r="F3238" i="43"/>
  <c r="F3239" i="43"/>
  <c r="F3240" i="43"/>
  <c r="F3241" i="43"/>
  <c r="F3242" i="43"/>
  <c r="F3243" i="43"/>
  <c r="F3244" i="43"/>
  <c r="F3245" i="43"/>
  <c r="F3246" i="43"/>
  <c r="F3247" i="43"/>
  <c r="F3248" i="43"/>
  <c r="F3249" i="43"/>
  <c r="F3250" i="43"/>
  <c r="F3251" i="43"/>
  <c r="F3252" i="43"/>
  <c r="F3253" i="43"/>
  <c r="F3254" i="43"/>
  <c r="F3255" i="43"/>
  <c r="F3256" i="43"/>
  <c r="F3257" i="43"/>
  <c r="F3258" i="43"/>
  <c r="F3259" i="43"/>
  <c r="F3260" i="43"/>
  <c r="F3261" i="43"/>
  <c r="F3262" i="43"/>
  <c r="F3263" i="43"/>
  <c r="F3264" i="43"/>
  <c r="F3265" i="43"/>
  <c r="F3266" i="43"/>
  <c r="F3267" i="43"/>
  <c r="F3268" i="43"/>
  <c r="F3269" i="43"/>
  <c r="F3270" i="43"/>
  <c r="F3273" i="43"/>
  <c r="F3274" i="43"/>
  <c r="F3275" i="43"/>
  <c r="F3276" i="43"/>
  <c r="F3277" i="43"/>
  <c r="F3278" i="43"/>
  <c r="F3279" i="43"/>
  <c r="F3282" i="43"/>
  <c r="F3284" i="43"/>
  <c r="F3285" i="43"/>
  <c r="F3286" i="43"/>
  <c r="F3287" i="43"/>
  <c r="F3288" i="43"/>
  <c r="F3289" i="43"/>
  <c r="F3290" i="43"/>
  <c r="F3291" i="43"/>
  <c r="F3292" i="43"/>
  <c r="F3293" i="43"/>
  <c r="F3294" i="43"/>
  <c r="F3295" i="43"/>
  <c r="F3296" i="43"/>
  <c r="F3297" i="43"/>
  <c r="F3298" i="43"/>
  <c r="F3299" i="43"/>
  <c r="F3300" i="43"/>
  <c r="F3301" i="43"/>
  <c r="F3302" i="43"/>
  <c r="F3303" i="43"/>
  <c r="F3304" i="43"/>
  <c r="F3305" i="43"/>
  <c r="F3306" i="43"/>
  <c r="F3307" i="43"/>
  <c r="F3308" i="43"/>
  <c r="F3309" i="43"/>
  <c r="F3311" i="43"/>
  <c r="F3312" i="43"/>
  <c r="F3313" i="43"/>
  <c r="F3314" i="43"/>
  <c r="F3315" i="43"/>
  <c r="F3316" i="43"/>
  <c r="F3317" i="43"/>
  <c r="F3318" i="43"/>
  <c r="F3319" i="43"/>
  <c r="F3320" i="43"/>
  <c r="F3321" i="43"/>
  <c r="F3322" i="43"/>
  <c r="F3323" i="43"/>
  <c r="F3324" i="43"/>
  <c r="F3325" i="43"/>
  <c r="F3326" i="43"/>
  <c r="F3327" i="43"/>
  <c r="F3328" i="43"/>
  <c r="F3329" i="43"/>
  <c r="F3332" i="43"/>
  <c r="F3333" i="43"/>
  <c r="F3334" i="43"/>
  <c r="F3335" i="43"/>
  <c r="F3336" i="43"/>
  <c r="F3337" i="43"/>
  <c r="F3338" i="43"/>
  <c r="F3339" i="43"/>
  <c r="F3341" i="43"/>
  <c r="F3342" i="43"/>
  <c r="F3343" i="43"/>
  <c r="F3344" i="43"/>
  <c r="F3345" i="43"/>
  <c r="F3346" i="43"/>
  <c r="F3347" i="43"/>
  <c r="F3348" i="43"/>
  <c r="F3349" i="43"/>
  <c r="F3350" i="43"/>
  <c r="F3351" i="43"/>
  <c r="F3353" i="43"/>
  <c r="F3354" i="43"/>
  <c r="F3355" i="43"/>
  <c r="F3356" i="43"/>
  <c r="F3357" i="43"/>
  <c r="F3359" i="43"/>
  <c r="F3360" i="43"/>
  <c r="F3361" i="43"/>
  <c r="F3362" i="43"/>
  <c r="F3364" i="43"/>
  <c r="F3365" i="43"/>
  <c r="F3366" i="43"/>
  <c r="F3367" i="43"/>
  <c r="F3368" i="43"/>
  <c r="F3369" i="43"/>
  <c r="F3370" i="43"/>
  <c r="F3371" i="43"/>
  <c r="F3372" i="43"/>
  <c r="F3373" i="43"/>
  <c r="F3374" i="43"/>
  <c r="F3375" i="43"/>
  <c r="F3376" i="43"/>
  <c r="F3377" i="43"/>
  <c r="F3378" i="43"/>
  <c r="F3379" i="43"/>
  <c r="F3380" i="43"/>
  <c r="F3381" i="43"/>
  <c r="F3382" i="43"/>
  <c r="F3383" i="43"/>
  <c r="F3384" i="43"/>
  <c r="F3385" i="43"/>
  <c r="F3386" i="43"/>
  <c r="F3387" i="43"/>
  <c r="F3388" i="43"/>
  <c r="F3389" i="43"/>
  <c r="F3390" i="43"/>
  <c r="F3391" i="43"/>
  <c r="F3392" i="43"/>
  <c r="F3393" i="43"/>
  <c r="F3394" i="43"/>
  <c r="F3395" i="43"/>
  <c r="F3396" i="43"/>
  <c r="F3397" i="43"/>
  <c r="F3398" i="43"/>
  <c r="F3399" i="43"/>
  <c r="F3400" i="43"/>
  <c r="F3401" i="43"/>
  <c r="F3402" i="43"/>
  <c r="F3403" i="43"/>
  <c r="F3405" i="43"/>
  <c r="F3406" i="43"/>
  <c r="F3407" i="43"/>
  <c r="F3408" i="43"/>
  <c r="F3409" i="43"/>
  <c r="F3410" i="43"/>
  <c r="F3411" i="43"/>
  <c r="F3412" i="43"/>
  <c r="F3413" i="43"/>
  <c r="F3414" i="43"/>
  <c r="F3415" i="43"/>
  <c r="F3416" i="43"/>
  <c r="F3417" i="43"/>
  <c r="F3418" i="43"/>
  <c r="F3419" i="43"/>
  <c r="F3420" i="43"/>
  <c r="F3421" i="43"/>
  <c r="F3422" i="43"/>
  <c r="F3423" i="43"/>
  <c r="F3424" i="43"/>
  <c r="F3425" i="43"/>
  <c r="F3426" i="43"/>
  <c r="F3427" i="43"/>
  <c r="F3428" i="43"/>
  <c r="F3429" i="43"/>
  <c r="F3430" i="43"/>
  <c r="F3431" i="43"/>
  <c r="F3432" i="43"/>
  <c r="F3433" i="43"/>
  <c r="F3434" i="43"/>
  <c r="F3435" i="43"/>
  <c r="F3436" i="43"/>
  <c r="F3437" i="43"/>
  <c r="F3438" i="43"/>
  <c r="F3439" i="43"/>
  <c r="F3440" i="43"/>
  <c r="F3441" i="43"/>
  <c r="F3442" i="43"/>
  <c r="F3443" i="43"/>
  <c r="F3444" i="43"/>
  <c r="F3445" i="43"/>
  <c r="F3446" i="43"/>
  <c r="F3447" i="43"/>
  <c r="F3448" i="43"/>
  <c r="F3449" i="43"/>
  <c r="F3450" i="43"/>
  <c r="F3451" i="43"/>
  <c r="F3452" i="43"/>
  <c r="F3453" i="43"/>
  <c r="F3454" i="43"/>
  <c r="F3455" i="43"/>
  <c r="F3456" i="43"/>
  <c r="F3457" i="43"/>
  <c r="F3458" i="43"/>
  <c r="F3459" i="43"/>
  <c r="F3460" i="43"/>
  <c r="F3461" i="43"/>
  <c r="F3462" i="43"/>
  <c r="F3463" i="43"/>
  <c r="F3464" i="43"/>
  <c r="F3465" i="43"/>
  <c r="F3466" i="43"/>
  <c r="F3467" i="43"/>
  <c r="F3468" i="43"/>
  <c r="F3469" i="43"/>
  <c r="F3470" i="43"/>
  <c r="F3471" i="43"/>
  <c r="F3472" i="43"/>
  <c r="F3473" i="43"/>
  <c r="F3474" i="43"/>
  <c r="F3475" i="43"/>
  <c r="F3476" i="43"/>
  <c r="F3477" i="43"/>
  <c r="F3478" i="43"/>
  <c r="F3479" i="43"/>
  <c r="F3480" i="43"/>
  <c r="F3481" i="43"/>
  <c r="F3482" i="43"/>
  <c r="F3483" i="43"/>
  <c r="F3484" i="43"/>
  <c r="F3485" i="43"/>
  <c r="F3486" i="43"/>
  <c r="F3487" i="43"/>
  <c r="F3488" i="43"/>
  <c r="F3489" i="43"/>
  <c r="F3490" i="43"/>
  <c r="F3491" i="43"/>
  <c r="F3492" i="43"/>
  <c r="F3493" i="43"/>
  <c r="F3494" i="43"/>
  <c r="F3495" i="43"/>
  <c r="F3496" i="43"/>
  <c r="F3497" i="43"/>
  <c r="F3498" i="43"/>
  <c r="F3499" i="43"/>
  <c r="F3500" i="43"/>
  <c r="F3501" i="43"/>
  <c r="F3502" i="43"/>
  <c r="F3503" i="43"/>
  <c r="F3504" i="43"/>
  <c r="F3505" i="43"/>
  <c r="F3506" i="43"/>
  <c r="F3507" i="43"/>
  <c r="F3508" i="43"/>
  <c r="F3509" i="43"/>
  <c r="F3510" i="43"/>
  <c r="F3511" i="43"/>
  <c r="F3512" i="43"/>
  <c r="F3513" i="43"/>
  <c r="F3514" i="43"/>
  <c r="F3515" i="43"/>
  <c r="F3516" i="43"/>
  <c r="F3517" i="43"/>
  <c r="F3518" i="43"/>
  <c r="F3519" i="43"/>
  <c r="F3520" i="43"/>
  <c r="F3521" i="43"/>
  <c r="F3522" i="43"/>
  <c r="F3523" i="43"/>
  <c r="F3524" i="43"/>
  <c r="F3525" i="43"/>
  <c r="F3526" i="43"/>
  <c r="F3527" i="43"/>
  <c r="F3528" i="43"/>
  <c r="F3529" i="43"/>
  <c r="F3530" i="43"/>
  <c r="F3531" i="43"/>
  <c r="F3532" i="43"/>
  <c r="F3533" i="43"/>
  <c r="F3536" i="43"/>
  <c r="F3537" i="43"/>
  <c r="F3538" i="43"/>
  <c r="F3539" i="43"/>
  <c r="F3540" i="43"/>
  <c r="F3541" i="43"/>
  <c r="F3542" i="43"/>
  <c r="F3543" i="43"/>
  <c r="F3544" i="43"/>
  <c r="F3545" i="43"/>
  <c r="F3546" i="43"/>
  <c r="F3548" i="43"/>
  <c r="F3549" i="43"/>
  <c r="F3550" i="43"/>
  <c r="F3551" i="43"/>
  <c r="F3552" i="43"/>
  <c r="F3553" i="43"/>
  <c r="F3554" i="43"/>
  <c r="F3555" i="43"/>
  <c r="F3556" i="43"/>
  <c r="F3557" i="43"/>
  <c r="F3558" i="43"/>
  <c r="F3559" i="43"/>
  <c r="F3560" i="43"/>
  <c r="F3561" i="43"/>
  <c r="F3562" i="43"/>
  <c r="F3563" i="43"/>
  <c r="F3564" i="43"/>
  <c r="F3565" i="43"/>
  <c r="F3566" i="43"/>
  <c r="F3567" i="43"/>
  <c r="F3568" i="43"/>
  <c r="F3569" i="43"/>
  <c r="F3570" i="43"/>
  <c r="F3571" i="43"/>
  <c r="F3572" i="43"/>
  <c r="F3573" i="43"/>
  <c r="F3574" i="43"/>
  <c r="F3575" i="43"/>
  <c r="F3576" i="43"/>
  <c r="F3577" i="43"/>
  <c r="F3578" i="43"/>
  <c r="F3579" i="43"/>
  <c r="F3580" i="43"/>
  <c r="F3582" i="43"/>
  <c r="F3583" i="43"/>
  <c r="F3585" i="43"/>
  <c r="F3586" i="43"/>
  <c r="F3587" i="43"/>
  <c r="F3588" i="43"/>
  <c r="F3589" i="43"/>
  <c r="F3590" i="43"/>
  <c r="F3591" i="43"/>
  <c r="F3592" i="43"/>
  <c r="F3593" i="43"/>
  <c r="F3594" i="43"/>
  <c r="F3595" i="43"/>
  <c r="F3596" i="43"/>
  <c r="F3597" i="43"/>
  <c r="F3598" i="43"/>
  <c r="F3599" i="43"/>
  <c r="F3600" i="43"/>
  <c r="F3601" i="43"/>
  <c r="F3602" i="43"/>
  <c r="F3603" i="43"/>
  <c r="F3604" i="43"/>
  <c r="F3605" i="43"/>
  <c r="F3606" i="43"/>
  <c r="F3607" i="43"/>
  <c r="F3609" i="43"/>
  <c r="F3610" i="43"/>
  <c r="F3611" i="43"/>
  <c r="F3612" i="43"/>
  <c r="F3613" i="43"/>
  <c r="F3614" i="43"/>
  <c r="F3615" i="43"/>
  <c r="F3616" i="43"/>
  <c r="F3617" i="43"/>
  <c r="F3618" i="43"/>
  <c r="F3619" i="43"/>
  <c r="F3620" i="43"/>
  <c r="F3621" i="43"/>
  <c r="F3622" i="43"/>
  <c r="F3623" i="43"/>
  <c r="F3624" i="43"/>
  <c r="F3625" i="43"/>
  <c r="F3626" i="43"/>
  <c r="F3627" i="43"/>
  <c r="F3628" i="43"/>
  <c r="F3629" i="43"/>
  <c r="F3630" i="43"/>
  <c r="F3631" i="43"/>
  <c r="F3632" i="43"/>
  <c r="F3633" i="43"/>
  <c r="F3634" i="43"/>
  <c r="F3635" i="43"/>
  <c r="F3636" i="43"/>
  <c r="F3637" i="43"/>
  <c r="F3638" i="43"/>
  <c r="F3639" i="43"/>
  <c r="F3640" i="43"/>
  <c r="F3641" i="43"/>
  <c r="F3642" i="43"/>
  <c r="F3643" i="43"/>
  <c r="F3644" i="43"/>
  <c r="F3646" i="43"/>
  <c r="F3647" i="43"/>
  <c r="F3648" i="43"/>
  <c r="F3649" i="43"/>
  <c r="F3650" i="43"/>
  <c r="F3651" i="43"/>
  <c r="F3652" i="43"/>
  <c r="F3653" i="43"/>
  <c r="F3654" i="43"/>
  <c r="F3655" i="43"/>
  <c r="F3656" i="43"/>
  <c r="F3657" i="43"/>
  <c r="F3658" i="43"/>
  <c r="F3659" i="43"/>
  <c r="F3660" i="43"/>
  <c r="F3661" i="43"/>
  <c r="F3662" i="43"/>
  <c r="F3663" i="43"/>
  <c r="F3664" i="43"/>
  <c r="F3665" i="43"/>
  <c r="F3666" i="43"/>
  <c r="F3668" i="43"/>
  <c r="F3669" i="43"/>
  <c r="F3670" i="43"/>
  <c r="F3671" i="43"/>
  <c r="F3672" i="43"/>
  <c r="F3673" i="43"/>
  <c r="F3674" i="43"/>
  <c r="F3675" i="43"/>
  <c r="F3676" i="43"/>
  <c r="F3677" i="43"/>
  <c r="F3678" i="43"/>
  <c r="F3679" i="43"/>
  <c r="F3680" i="43"/>
  <c r="F3681" i="43"/>
  <c r="F3682" i="43"/>
  <c r="F3683" i="43"/>
  <c r="F3684" i="43"/>
  <c r="F3685" i="43"/>
  <c r="F3686" i="43"/>
  <c r="F3687" i="43"/>
  <c r="F3688" i="43"/>
  <c r="F3689" i="43"/>
  <c r="F3690" i="43"/>
  <c r="F3691" i="43"/>
  <c r="F3692" i="43"/>
  <c r="F3693" i="43"/>
  <c r="F3694" i="43"/>
  <c r="F3696" i="43"/>
  <c r="F3697" i="43"/>
  <c r="F3698" i="43"/>
  <c r="F3699" i="43"/>
  <c r="F3700" i="43"/>
  <c r="F3701" i="43"/>
  <c r="F3702" i="43"/>
  <c r="F3703" i="43"/>
  <c r="F3704" i="43"/>
  <c r="F3705" i="43"/>
  <c r="F3706" i="43"/>
  <c r="F3707" i="43"/>
  <c r="F3708" i="43"/>
  <c r="F3709" i="43"/>
  <c r="F3710" i="43"/>
  <c r="F3711" i="43"/>
  <c r="F3712" i="43"/>
  <c r="F3713" i="43"/>
  <c r="F3714" i="43"/>
  <c r="F3715" i="43"/>
  <c r="F3716" i="43"/>
  <c r="F3717" i="43"/>
  <c r="F3718" i="43"/>
  <c r="F3719" i="43"/>
  <c r="F3720" i="43"/>
  <c r="F3721" i="43"/>
  <c r="F3722" i="43"/>
  <c r="F3723" i="43"/>
  <c r="F3724" i="43"/>
  <c r="F3725" i="43"/>
  <c r="F3728" i="43"/>
  <c r="F3729" i="43"/>
  <c r="F3730" i="43"/>
  <c r="F3731" i="43"/>
  <c r="F3732" i="43"/>
  <c r="F3733" i="43"/>
  <c r="F3734" i="43"/>
  <c r="F3735" i="43"/>
  <c r="F3736" i="43"/>
  <c r="F3737" i="43"/>
  <c r="F3738" i="43"/>
  <c r="F3739" i="43"/>
  <c r="F3740" i="43"/>
  <c r="F3741" i="43"/>
  <c r="F3742" i="43"/>
  <c r="F3743" i="43"/>
  <c r="F3744" i="43"/>
  <c r="F3745" i="43"/>
  <c r="F3746" i="43"/>
  <c r="F3747" i="43"/>
  <c r="F3748" i="43"/>
  <c r="F3749" i="43"/>
  <c r="F3750" i="43"/>
  <c r="F3751" i="43"/>
  <c r="F3752" i="43"/>
  <c r="F3753" i="43"/>
  <c r="F3754" i="43"/>
  <c r="F3755" i="43"/>
  <c r="F3756" i="43"/>
  <c r="F3757" i="43"/>
  <c r="F3758" i="43"/>
  <c r="F3759" i="43"/>
  <c r="F3760" i="43"/>
  <c r="F3761" i="43"/>
  <c r="F3762" i="43"/>
  <c r="F3763" i="43"/>
  <c r="F3764" i="43"/>
  <c r="F3765" i="43"/>
  <c r="F3766" i="43"/>
  <c r="F3767" i="43"/>
  <c r="F3768" i="43"/>
  <c r="F3769" i="43"/>
  <c r="F3770" i="43"/>
  <c r="F3771" i="43"/>
  <c r="F3772" i="43"/>
  <c r="F3773" i="43"/>
  <c r="F3774" i="43"/>
  <c r="F3775" i="43"/>
  <c r="F3776" i="43"/>
  <c r="F3777" i="43"/>
  <c r="F3778" i="43"/>
  <c r="F3779" i="43"/>
  <c r="F3780" i="43"/>
  <c r="F3781" i="43"/>
  <c r="F3782" i="43"/>
  <c r="F3783" i="43"/>
  <c r="F3784" i="43"/>
  <c r="F3785" i="43"/>
  <c r="F3786" i="43"/>
  <c r="F3787" i="43"/>
  <c r="F3788" i="43"/>
  <c r="F3789" i="43"/>
  <c r="F3790" i="43"/>
  <c r="F3791" i="43"/>
  <c r="F3792" i="43"/>
  <c r="F3793" i="43"/>
  <c r="F3794" i="43"/>
  <c r="F3795" i="43"/>
  <c r="F3796" i="43"/>
  <c r="F3797" i="43"/>
  <c r="F3798" i="43"/>
  <c r="F3799" i="43"/>
  <c r="F3800" i="43"/>
  <c r="F3801" i="43"/>
  <c r="F3802" i="43"/>
  <c r="F3804" i="43"/>
  <c r="F3805" i="43"/>
  <c r="F3806" i="43"/>
  <c r="F3807" i="43"/>
  <c r="F3808" i="43"/>
  <c r="F3809" i="43"/>
  <c r="F3810" i="43"/>
  <c r="F3812" i="43"/>
  <c r="F3813" i="43"/>
  <c r="F3814" i="43"/>
  <c r="F3815" i="43"/>
  <c r="F3816" i="43"/>
  <c r="F3817" i="43"/>
  <c r="F3818" i="43"/>
  <c r="F3819" i="43"/>
  <c r="F3820" i="43"/>
  <c r="F3821" i="43"/>
  <c r="F3822" i="43"/>
  <c r="F3823" i="43"/>
  <c r="F3824" i="43"/>
  <c r="F3825" i="43"/>
  <c r="F3826" i="43"/>
  <c r="F3827" i="43"/>
  <c r="F3828" i="43"/>
  <c r="F3829" i="43"/>
  <c r="F3830" i="43"/>
  <c r="F3831" i="43"/>
  <c r="F3832" i="43"/>
  <c r="F3833" i="43"/>
  <c r="F3834" i="43"/>
  <c r="F3835" i="43"/>
  <c r="F3836" i="43"/>
  <c r="F3837" i="43"/>
  <c r="F3838" i="43"/>
  <c r="F3839" i="43"/>
  <c r="F3840" i="43"/>
  <c r="F3842" i="43"/>
  <c r="F3843" i="43"/>
  <c r="F3844" i="43"/>
  <c r="F3845" i="43"/>
  <c r="F3846" i="43"/>
  <c r="F3847" i="43"/>
  <c r="F3848" i="43"/>
  <c r="F3849" i="43"/>
  <c r="F3850" i="43"/>
  <c r="F3851" i="43"/>
  <c r="F3852" i="43"/>
  <c r="F3853" i="43"/>
  <c r="F3854" i="43"/>
  <c r="F3855" i="43"/>
  <c r="F3856" i="43"/>
  <c r="F3857" i="43"/>
  <c r="F3858" i="43"/>
  <c r="F3859" i="43"/>
  <c r="F3860" i="43"/>
  <c r="F3861" i="43"/>
  <c r="F3862" i="43"/>
  <c r="F3863" i="43"/>
  <c r="F3864" i="43"/>
  <c r="F3865" i="43"/>
  <c r="F3866" i="43"/>
  <c r="F3867" i="43"/>
  <c r="F3868" i="43"/>
  <c r="F3869" i="43"/>
  <c r="F3870" i="43"/>
  <c r="F3871" i="43"/>
  <c r="F3872" i="43"/>
  <c r="F3873" i="43"/>
  <c r="F3874" i="43"/>
  <c r="F3875" i="43"/>
  <c r="F3876" i="43"/>
  <c r="F3877" i="43"/>
  <c r="F3878" i="43"/>
  <c r="F3879" i="43"/>
  <c r="F3880" i="43"/>
  <c r="F3881" i="43"/>
  <c r="F3882" i="43"/>
  <c r="F3883" i="43"/>
  <c r="F3884" i="43"/>
  <c r="F3885" i="43"/>
  <c r="F3886" i="43"/>
  <c r="F3887" i="43"/>
  <c r="F3888" i="43"/>
  <c r="F3889" i="43"/>
  <c r="F3890" i="43"/>
  <c r="F3891" i="43"/>
  <c r="F3892" i="43"/>
  <c r="F3893" i="43"/>
  <c r="F3894" i="43"/>
  <c r="F3895" i="43"/>
  <c r="F3896" i="43"/>
  <c r="F3898" i="43"/>
  <c r="F3899" i="43"/>
  <c r="F3900" i="43"/>
  <c r="F3901" i="43"/>
  <c r="F3902" i="43"/>
  <c r="F3903" i="43"/>
  <c r="F3904" i="43"/>
  <c r="F3905" i="43"/>
  <c r="F3906" i="43"/>
  <c r="F3907" i="43"/>
  <c r="F3908" i="43"/>
  <c r="F3909" i="43"/>
  <c r="F3910" i="43"/>
  <c r="F3911" i="43"/>
  <c r="F3912" i="43"/>
  <c r="F3913" i="43"/>
  <c r="F3914" i="43"/>
  <c r="F3915" i="43"/>
  <c r="F3916" i="43"/>
  <c r="F3917" i="43"/>
  <c r="F3918" i="43"/>
  <c r="F3919" i="43"/>
  <c r="F3920" i="43"/>
  <c r="F3921" i="43"/>
  <c r="F3922" i="43"/>
  <c r="F3923" i="43"/>
  <c r="F3924" i="43"/>
  <c r="F3925" i="43"/>
  <c r="F3926" i="43"/>
  <c r="F3927" i="43"/>
  <c r="F3928" i="43"/>
  <c r="F3929" i="43"/>
  <c r="F3930" i="43"/>
  <c r="F3931" i="43"/>
  <c r="F3932" i="43"/>
  <c r="F3933" i="43"/>
  <c r="F3934" i="43"/>
  <c r="F3935" i="43"/>
  <c r="F3936" i="43"/>
  <c r="F3937" i="43"/>
  <c r="F3938" i="43"/>
  <c r="F3940" i="43"/>
  <c r="F3941" i="43"/>
  <c r="F3942" i="43"/>
  <c r="F3943" i="43"/>
  <c r="F3944" i="43"/>
  <c r="F3945" i="43"/>
  <c r="F3946" i="43"/>
  <c r="F3947" i="43"/>
  <c r="F3948" i="43"/>
  <c r="F3949" i="43"/>
  <c r="F3950" i="43"/>
  <c r="F3951" i="43"/>
  <c r="F3952" i="43"/>
  <c r="F3953" i="43"/>
  <c r="F3954" i="43"/>
  <c r="F3955" i="43"/>
  <c r="F3959" i="43"/>
  <c r="F3960" i="43"/>
  <c r="F3961" i="43"/>
  <c r="F3962" i="43"/>
  <c r="F3963" i="43"/>
  <c r="F3965" i="43"/>
  <c r="F3967" i="43"/>
  <c r="F3968" i="43"/>
  <c r="F3969" i="43"/>
  <c r="F3971" i="43"/>
  <c r="F3972" i="43"/>
  <c r="F3973" i="43"/>
  <c r="F3974" i="43"/>
  <c r="F3975" i="43"/>
  <c r="F3976" i="43"/>
  <c r="F3977" i="43"/>
  <c r="F3978" i="43"/>
  <c r="F3979" i="43"/>
  <c r="F3980" i="43"/>
  <c r="F3981" i="43"/>
  <c r="F3982" i="43"/>
  <c r="F3983" i="43"/>
  <c r="F3984" i="43"/>
  <c r="F3985" i="43"/>
  <c r="F3986" i="43"/>
  <c r="F3987" i="43"/>
  <c r="F3988" i="43"/>
  <c r="F3989" i="43"/>
  <c r="F3990" i="43"/>
  <c r="F3991" i="43"/>
  <c r="F3992" i="43"/>
  <c r="F3993" i="43"/>
  <c r="F3994" i="43"/>
  <c r="F3995" i="43"/>
  <c r="F3996" i="43"/>
  <c r="F3997" i="43"/>
  <c r="F3998" i="43"/>
  <c r="F3999" i="43"/>
  <c r="F4000" i="43"/>
  <c r="F4001" i="43"/>
  <c r="F4002" i="43"/>
  <c r="F4003" i="43"/>
  <c r="F4004" i="43"/>
  <c r="F4005" i="43"/>
  <c r="F4008" i="43"/>
  <c r="F4009" i="43"/>
  <c r="F4011" i="43"/>
  <c r="F4012" i="43"/>
  <c r="F4013" i="43"/>
  <c r="F4014" i="43"/>
  <c r="F4016" i="43"/>
  <c r="F4017" i="43"/>
  <c r="F4018" i="43"/>
  <c r="F4019" i="43"/>
  <c r="F4020" i="43"/>
  <c r="F4021" i="43"/>
  <c r="F4022" i="43"/>
  <c r="F4023" i="43"/>
  <c r="F4024" i="43"/>
  <c r="F4025" i="43"/>
  <c r="F4026" i="43"/>
  <c r="F4027" i="43"/>
  <c r="F4028" i="43"/>
  <c r="F4029" i="43"/>
  <c r="F4030" i="43"/>
  <c r="F4031" i="43"/>
  <c r="F4032" i="43"/>
  <c r="F4033" i="43"/>
  <c r="F4034" i="43"/>
  <c r="F4035" i="43"/>
  <c r="F4036" i="43"/>
  <c r="F4038" i="43"/>
  <c r="F4039" i="43"/>
  <c r="F4040" i="43"/>
  <c r="F4041" i="43"/>
  <c r="F4042" i="43"/>
  <c r="F4043" i="43"/>
  <c r="F4044" i="43"/>
  <c r="F4045" i="43"/>
  <c r="F4046" i="43"/>
  <c r="F4047" i="43"/>
  <c r="F4049" i="43"/>
  <c r="F4050" i="43"/>
  <c r="F4051" i="43"/>
  <c r="F4052" i="43"/>
  <c r="F4053" i="43"/>
  <c r="F4054" i="43"/>
  <c r="F4055" i="43"/>
  <c r="F4056" i="43"/>
  <c r="F4057" i="43"/>
  <c r="F4059" i="43"/>
  <c r="F4060" i="43"/>
  <c r="F4061" i="43"/>
  <c r="F4062" i="43"/>
  <c r="F4063" i="43"/>
  <c r="F4064" i="43"/>
  <c r="F4065" i="43"/>
  <c r="F4066" i="43"/>
  <c r="F4067" i="43"/>
  <c r="F4068" i="43"/>
  <c r="F4069" i="43"/>
  <c r="F4070" i="43"/>
  <c r="F4071" i="43"/>
  <c r="F4072" i="43"/>
  <c r="F4073" i="43"/>
  <c r="F4074" i="43"/>
  <c r="F4075" i="43"/>
  <c r="F4076" i="43"/>
  <c r="F4079" i="43"/>
  <c r="F4080" i="43"/>
  <c r="F4082" i="43"/>
  <c r="F4084" i="43"/>
  <c r="F4085" i="43"/>
  <c r="F4086" i="43"/>
  <c r="F4087" i="43"/>
  <c r="F4088" i="43"/>
  <c r="F4089" i="43"/>
  <c r="F4090" i="43"/>
  <c r="F4091" i="43"/>
  <c r="F4092" i="43"/>
  <c r="F4093" i="43"/>
  <c r="F4094" i="43"/>
  <c r="F4095" i="43"/>
  <c r="F4096" i="43"/>
  <c r="F4097" i="43"/>
  <c r="F4098" i="43"/>
  <c r="F4099" i="43"/>
  <c r="F4101" i="43"/>
  <c r="F4102" i="43"/>
  <c r="F4103" i="43"/>
  <c r="F4104" i="43"/>
  <c r="F4105" i="43"/>
  <c r="F4106" i="43"/>
  <c r="F4107" i="43"/>
  <c r="F4109" i="43"/>
  <c r="F4110" i="43"/>
  <c r="F4111" i="43"/>
  <c r="F4112" i="43"/>
  <c r="F4113" i="43"/>
  <c r="F4115" i="43"/>
  <c r="F4116" i="43"/>
  <c r="F4117" i="43"/>
  <c r="F4118" i="43"/>
  <c r="F4119" i="43"/>
  <c r="F4120" i="43"/>
  <c r="F4121" i="43"/>
  <c r="F4123" i="43"/>
  <c r="F4124" i="43"/>
  <c r="F4126" i="43"/>
  <c r="F4127" i="43"/>
  <c r="F4129" i="43"/>
  <c r="F4130" i="43"/>
  <c r="F4131" i="43"/>
  <c r="F4132" i="43"/>
  <c r="F4133" i="43"/>
  <c r="F4134" i="43"/>
  <c r="F4135" i="43"/>
  <c r="V4128" i="43" l="1"/>
  <c r="I4128" i="43"/>
  <c r="I4127" i="43"/>
  <c r="I4126" i="43" l="1"/>
  <c r="I4125" i="43" l="1"/>
  <c r="I4124" i="43"/>
  <c r="I4123" i="43" l="1"/>
  <c r="I4122" i="43"/>
  <c r="I4121" i="43" l="1"/>
  <c r="AD33" i="55" l="1"/>
  <c r="I4120" i="43"/>
  <c r="I4119" i="43"/>
  <c r="I4118" i="43"/>
  <c r="I4117" i="43"/>
  <c r="I4116" i="43" l="1"/>
  <c r="I4115" i="43" l="1"/>
  <c r="I4114" i="43" l="1"/>
  <c r="I4113" i="43"/>
  <c r="V4112" i="43" l="1"/>
  <c r="V4113" i="43"/>
  <c r="V4114" i="43"/>
  <c r="V4115" i="43"/>
  <c r="V4116" i="43"/>
  <c r="V4117" i="43"/>
  <c r="V4118" i="43"/>
  <c r="V4119" i="43"/>
  <c r="V4120" i="43"/>
  <c r="V4121" i="43"/>
  <c r="V4122" i="43"/>
  <c r="V4123" i="43"/>
  <c r="V4124" i="43"/>
  <c r="V4125" i="43"/>
  <c r="V4126" i="43"/>
  <c r="V4127" i="43"/>
  <c r="I4112" i="43"/>
  <c r="I4111" i="43" l="1"/>
  <c r="I4110" i="43"/>
  <c r="I4109" i="43"/>
  <c r="I4108" i="43" l="1"/>
  <c r="I4107" i="43" l="1"/>
  <c r="I4106" i="43" l="1"/>
  <c r="I4105" i="43"/>
  <c r="I4104" i="43"/>
  <c r="I4103" i="43"/>
  <c r="I4102" i="43" l="1"/>
  <c r="I4101" i="43"/>
  <c r="I4100" i="43"/>
  <c r="I4099" i="43" l="1"/>
  <c r="I4098" i="43" l="1"/>
  <c r="I4097" i="43"/>
  <c r="I4096" i="43" l="1"/>
  <c r="I4095" i="43" l="1"/>
  <c r="I4094" i="43" l="1"/>
  <c r="I4093" i="43"/>
  <c r="I4092" i="43" l="1"/>
  <c r="I4091" i="43" l="1"/>
  <c r="I4090" i="43"/>
  <c r="I4089" i="43"/>
  <c r="I4088" i="43" l="1"/>
  <c r="I4087" i="43"/>
  <c r="I4086" i="43"/>
  <c r="I4085" i="43" l="1"/>
  <c r="I4084" i="43"/>
  <c r="I4083" i="43" l="1"/>
  <c r="I4082" i="43"/>
  <c r="I4081" i="43"/>
  <c r="I4080" i="43"/>
  <c r="I4079" i="43" l="1"/>
  <c r="I4078" i="43"/>
  <c r="I4077" i="43"/>
  <c r="H468" i="17"/>
  <c r="I4076" i="43" l="1"/>
  <c r="I4075" i="43"/>
  <c r="I4074" i="43" l="1"/>
  <c r="I4073" i="43"/>
  <c r="I4072" i="43"/>
  <c r="I4071" i="43" l="1"/>
  <c r="I4070" i="43"/>
  <c r="I4069" i="43" l="1"/>
  <c r="I4068" i="43" l="1"/>
  <c r="I4067" i="43" l="1"/>
  <c r="I4066" i="43" l="1"/>
  <c r="I4065" i="43"/>
  <c r="I4064" i="43" l="1"/>
  <c r="I4063" i="43" l="1"/>
  <c r="I4062" i="43"/>
  <c r="I4061" i="43" l="1"/>
  <c r="I4060" i="43"/>
  <c r="I4059" i="43" l="1"/>
  <c r="I4058" i="43" l="1"/>
  <c r="I4057" i="43" l="1"/>
  <c r="I4056" i="43"/>
  <c r="I4055" i="43" l="1"/>
  <c r="I4054" i="43" l="1"/>
  <c r="I4053" i="43"/>
  <c r="I4052" i="43" l="1"/>
  <c r="I4051" i="43" l="1"/>
  <c r="I4050" i="43" l="1"/>
  <c r="I4049" i="43"/>
  <c r="I4048" i="43"/>
  <c r="I4039" i="43" l="1"/>
  <c r="I4040" i="43"/>
  <c r="I4041" i="43"/>
  <c r="I4042" i="43"/>
  <c r="I4043" i="43"/>
  <c r="I4044" i="43"/>
  <c r="I4045" i="43"/>
  <c r="I4046" i="43"/>
  <c r="I4047" i="43"/>
  <c r="I4038" i="43" l="1"/>
  <c r="I4037" i="43"/>
  <c r="I4036" i="43"/>
  <c r="V4111" i="43"/>
  <c r="V4110" i="43"/>
  <c r="V4109" i="43"/>
  <c r="V4108" i="43"/>
  <c r="V4107" i="43"/>
  <c r="V4106" i="43"/>
  <c r="V4105" i="43"/>
  <c r="V4104" i="43"/>
  <c r="V4103" i="43"/>
  <c r="V4102" i="43"/>
  <c r="V4101" i="43"/>
  <c r="V4100" i="43"/>
  <c r="V4099" i="43"/>
  <c r="V4098" i="43"/>
  <c r="V4097" i="43"/>
  <c r="V4096" i="43"/>
  <c r="V4095" i="43"/>
  <c r="V4094" i="43"/>
  <c r="V4093" i="43"/>
  <c r="V4092" i="43"/>
  <c r="V4091" i="43"/>
  <c r="V4090" i="43"/>
  <c r="V4089" i="43"/>
  <c r="V4088" i="43"/>
  <c r="V4087" i="43"/>
  <c r="V4086" i="43"/>
  <c r="V4085" i="43"/>
  <c r="V4084" i="43"/>
  <c r="V4083" i="43"/>
  <c r="V4082" i="43"/>
  <c r="V4081" i="43"/>
  <c r="V4080" i="43"/>
  <c r="V4079" i="43"/>
  <c r="V4078" i="43"/>
  <c r="V4077" i="43"/>
  <c r="V4076" i="43"/>
  <c r="V4075" i="43"/>
  <c r="V4074" i="43"/>
  <c r="V4073" i="43"/>
  <c r="V4072" i="43"/>
  <c r="V4071" i="43"/>
  <c r="V4070" i="43"/>
  <c r="V4069" i="43"/>
  <c r="V4068" i="43"/>
  <c r="V4067" i="43"/>
  <c r="V4066" i="43"/>
  <c r="V4065" i="43"/>
  <c r="V4064" i="43"/>
  <c r="V4063" i="43"/>
  <c r="V4062" i="43"/>
  <c r="V4061" i="43"/>
  <c r="V4060" i="43"/>
  <c r="V4059" i="43"/>
  <c r="V4058" i="43"/>
  <c r="V4057" i="43"/>
  <c r="I4035" i="43" l="1"/>
  <c r="I4034" i="43"/>
  <c r="I4033" i="43" l="1"/>
  <c r="I4032" i="43" l="1"/>
  <c r="I4031" i="43"/>
  <c r="I4030" i="43" l="1"/>
  <c r="I4029" i="43" l="1"/>
  <c r="I4028" i="43"/>
  <c r="I4027" i="43"/>
  <c r="I4026" i="43"/>
  <c r="I4025" i="43" l="1"/>
  <c r="I4024" i="43"/>
  <c r="I4023" i="43" l="1"/>
  <c r="I4022" i="43"/>
  <c r="I4021" i="43"/>
  <c r="I4020" i="43" l="1"/>
  <c r="I4019" i="43" l="1"/>
  <c r="I4018" i="43" l="1"/>
  <c r="I4017" i="43"/>
  <c r="I4016" i="43"/>
  <c r="I4015" i="43"/>
  <c r="I4014" i="43" l="1"/>
  <c r="I4013" i="43"/>
  <c r="I4012" i="43"/>
  <c r="I4011" i="43"/>
  <c r="I4010" i="43"/>
  <c r="I4009" i="43" l="1"/>
  <c r="I4008" i="43" l="1"/>
  <c r="I4007" i="43" l="1"/>
  <c r="I4006" i="43"/>
  <c r="I4005" i="43"/>
  <c r="I4004" i="43" l="1"/>
  <c r="I4003" i="43" l="1"/>
  <c r="I4002" i="43"/>
  <c r="E240" i="17" l="1"/>
  <c r="I4001" i="43" l="1"/>
  <c r="I4000" i="43" l="1"/>
  <c r="I3999" i="43"/>
  <c r="I3998" i="43" l="1"/>
  <c r="I3997" i="43" l="1"/>
  <c r="I3996" i="43" l="1"/>
  <c r="I3995" i="43"/>
  <c r="I3994" i="43" l="1"/>
  <c r="I3993" i="43" l="1"/>
  <c r="I3992" i="43" l="1"/>
  <c r="I3991" i="43"/>
  <c r="I3990" i="43" l="1"/>
  <c r="V4011" i="43"/>
  <c r="V4012" i="43"/>
  <c r="V4013" i="43"/>
  <c r="V4014" i="43"/>
  <c r="V4015" i="43"/>
  <c r="V4016" i="43"/>
  <c r="V4017" i="43"/>
  <c r="V4018" i="43"/>
  <c r="V4019" i="43"/>
  <c r="V4020" i="43"/>
  <c r="V4021" i="43"/>
  <c r="V4022" i="43"/>
  <c r="V4023" i="43"/>
  <c r="V4024" i="43"/>
  <c r="V4025" i="43"/>
  <c r="V4026" i="43"/>
  <c r="V4027" i="43"/>
  <c r="V4028" i="43"/>
  <c r="V4029" i="43"/>
  <c r="V4030" i="43"/>
  <c r="V4031" i="43"/>
  <c r="V4032" i="43"/>
  <c r="V4033" i="43"/>
  <c r="V4034" i="43"/>
  <c r="V4035" i="43"/>
  <c r="V4036" i="43"/>
  <c r="V4037" i="43"/>
  <c r="V4038" i="43"/>
  <c r="V4039" i="43"/>
  <c r="V4040" i="43"/>
  <c r="V4041" i="43"/>
  <c r="V4042" i="43"/>
  <c r="V4043" i="43"/>
  <c r="V4044" i="43"/>
  <c r="V4045" i="43"/>
  <c r="V4046" i="43"/>
  <c r="V4047" i="43"/>
  <c r="V4048" i="43"/>
  <c r="V4049" i="43"/>
  <c r="V4050" i="43"/>
  <c r="V4051" i="43"/>
  <c r="V4052" i="43"/>
  <c r="V4053" i="43"/>
  <c r="V4054" i="43"/>
  <c r="V4055" i="43"/>
  <c r="V3993" i="43"/>
  <c r="V3994" i="43"/>
  <c r="V3995" i="43"/>
  <c r="V3996" i="43"/>
  <c r="V3997" i="43"/>
  <c r="V3998" i="43"/>
  <c r="V3999" i="43"/>
  <c r="V4000" i="43"/>
  <c r="V4001" i="43"/>
  <c r="V4002" i="43"/>
  <c r="V4003" i="43"/>
  <c r="V4004" i="43"/>
  <c r="V4005" i="43"/>
  <c r="V4006" i="43"/>
  <c r="V4007" i="43"/>
  <c r="V4008" i="43"/>
  <c r="V4009" i="43"/>
  <c r="V4010" i="43"/>
  <c r="I3989" i="43"/>
  <c r="I3988" i="43" l="1"/>
  <c r="I3987" i="43" l="1"/>
  <c r="I3986" i="43" l="1"/>
  <c r="I3985" i="43" l="1"/>
  <c r="I3984" i="43" l="1"/>
  <c r="I3983" i="43"/>
  <c r="I3982" i="43"/>
  <c r="I3981" i="43" l="1"/>
  <c r="I3980" i="43" l="1"/>
  <c r="I3979" i="43" l="1"/>
  <c r="I3978" i="43"/>
  <c r="I3977" i="43" l="1"/>
  <c r="I3976" i="43" l="1"/>
  <c r="I3975" i="43" l="1"/>
  <c r="I3974" i="43" l="1"/>
  <c r="I3973" i="43"/>
  <c r="I3972" i="43"/>
  <c r="I3971" i="43"/>
  <c r="I3970" i="43" l="1"/>
  <c r="I3969" i="43"/>
  <c r="I3968" i="43" l="1"/>
  <c r="I3967" i="43"/>
  <c r="I3966" i="43" l="1"/>
  <c r="I3965" i="43"/>
  <c r="I3964" i="43"/>
  <c r="I3963" i="43"/>
  <c r="V3981" i="43"/>
  <c r="V3982" i="43"/>
  <c r="V3983" i="43"/>
  <c r="V3984" i="43"/>
  <c r="V3985" i="43"/>
  <c r="V3986" i="43"/>
  <c r="V3987" i="43"/>
  <c r="V3988" i="43"/>
  <c r="V3989" i="43"/>
  <c r="V3990" i="43"/>
  <c r="V3991" i="43"/>
  <c r="V3992" i="43"/>
  <c r="I3962" i="43"/>
  <c r="I3961" i="43" l="1"/>
  <c r="I3960" i="43" l="1"/>
  <c r="I3959" i="43"/>
  <c r="I3958" i="43" l="1"/>
  <c r="I3957" i="43" l="1"/>
  <c r="I3956" i="43"/>
  <c r="F323" i="17" l="1"/>
  <c r="F324" i="17"/>
  <c r="I3955" i="43" l="1"/>
  <c r="I3954" i="43" l="1"/>
  <c r="I3953" i="43"/>
  <c r="I3952" i="43"/>
  <c r="I3951" i="43" l="1"/>
  <c r="I3950" i="43" l="1"/>
  <c r="I3949" i="43" l="1"/>
  <c r="I3948" i="43"/>
  <c r="I3947" i="43"/>
  <c r="I3946" i="43" l="1"/>
  <c r="I3945" i="43" l="1"/>
  <c r="I3944" i="43"/>
  <c r="I3943" i="43"/>
  <c r="I3942" i="43" l="1"/>
  <c r="I3941" i="43"/>
  <c r="I3940" i="43"/>
  <c r="I3939" i="43" l="1"/>
  <c r="I3938" i="43"/>
  <c r="I3937" i="43"/>
  <c r="I3936" i="43"/>
  <c r="I3935" i="43"/>
  <c r="I3934" i="43" l="1"/>
  <c r="G348" i="17" l="1"/>
  <c r="B408" i="17"/>
  <c r="A408" i="17"/>
  <c r="A409" i="17"/>
  <c r="B409" i="17"/>
  <c r="A410" i="17"/>
  <c r="B410" i="17"/>
  <c r="A411" i="17"/>
  <c r="B411" i="17"/>
  <c r="I3933" i="43"/>
  <c r="I3932" i="43" l="1"/>
  <c r="I3931" i="43"/>
  <c r="I3930" i="43" l="1"/>
  <c r="I3929" i="43" l="1"/>
  <c r="I3928" i="43"/>
  <c r="I3927" i="43"/>
  <c r="I3926" i="43" l="1"/>
  <c r="I3925" i="43" l="1"/>
  <c r="I3924" i="43"/>
  <c r="I3923" i="43" l="1"/>
  <c r="I3922" i="43"/>
  <c r="I3921" i="43" l="1"/>
  <c r="I3920" i="43" l="1"/>
  <c r="I3919" i="43"/>
  <c r="I3918" i="43"/>
  <c r="V3919" i="43"/>
  <c r="V3920" i="43"/>
  <c r="V3921" i="43"/>
  <c r="V3922" i="43"/>
  <c r="V3923" i="43"/>
  <c r="V3924" i="43"/>
  <c r="V3925" i="43"/>
  <c r="V3926" i="43"/>
  <c r="V3927" i="43"/>
  <c r="V3928" i="43"/>
  <c r="V3929" i="43"/>
  <c r="V3930" i="43"/>
  <c r="V3931" i="43"/>
  <c r="V3932" i="43"/>
  <c r="V3933" i="43"/>
  <c r="V3934" i="43"/>
  <c r="V3935" i="43"/>
  <c r="V3936" i="43"/>
  <c r="V3937" i="43"/>
  <c r="V3938" i="43"/>
  <c r="V3939" i="43"/>
  <c r="V3940" i="43"/>
  <c r="V3941" i="43"/>
  <c r="V3942" i="43"/>
  <c r="V3943" i="43"/>
  <c r="V3944" i="43"/>
  <c r="V3945" i="43"/>
  <c r="V3946" i="43"/>
  <c r="V3947" i="43"/>
  <c r="V3948" i="43"/>
  <c r="V3949" i="43"/>
  <c r="V3950" i="43"/>
  <c r="V3951" i="43"/>
  <c r="V3952" i="43"/>
  <c r="V3953" i="43"/>
  <c r="V3954" i="43"/>
  <c r="V3955" i="43"/>
  <c r="V3956" i="43"/>
  <c r="V3957" i="43"/>
  <c r="V3958" i="43"/>
  <c r="V3959" i="43"/>
  <c r="V3960" i="43"/>
  <c r="V3961" i="43"/>
  <c r="V3962" i="43"/>
  <c r="V3963" i="43"/>
  <c r="V3964" i="43"/>
  <c r="V3965" i="43"/>
  <c r="V3966" i="43"/>
  <c r="V3967" i="43"/>
  <c r="V3968" i="43"/>
  <c r="V3969" i="43"/>
  <c r="V3970" i="43"/>
  <c r="V3971" i="43"/>
  <c r="V3972" i="43"/>
  <c r="V3973" i="43"/>
  <c r="V3974" i="43"/>
  <c r="V3975" i="43"/>
  <c r="V3976" i="43"/>
  <c r="V3977" i="43"/>
  <c r="V3978" i="43"/>
  <c r="V3979" i="43"/>
  <c r="V3980" i="43"/>
  <c r="I3917" i="43"/>
  <c r="V3916" i="43" l="1"/>
  <c r="V3917" i="43"/>
  <c r="I3916" i="43"/>
  <c r="I3915" i="43"/>
  <c r="I3914" i="43"/>
  <c r="I3913" i="43" l="1"/>
  <c r="I3912" i="43" l="1"/>
  <c r="I3911" i="43"/>
  <c r="I3910" i="43" l="1"/>
  <c r="I3909" i="43"/>
  <c r="I3908" i="43" l="1"/>
  <c r="I3907" i="43"/>
  <c r="I3906" i="43" l="1"/>
  <c r="I3905" i="43" l="1"/>
  <c r="I3904" i="43"/>
  <c r="I3903" i="43"/>
  <c r="I3902" i="43" l="1"/>
  <c r="I3901" i="43"/>
  <c r="I3900" i="43" l="1"/>
  <c r="V3903" i="43"/>
  <c r="V3904" i="43"/>
  <c r="V3905" i="43"/>
  <c r="V3906" i="43"/>
  <c r="V3907" i="43"/>
  <c r="V3908" i="43"/>
  <c r="V3909" i="43"/>
  <c r="V3910" i="43"/>
  <c r="V3911" i="43"/>
  <c r="V3912" i="43"/>
  <c r="V3913" i="43"/>
  <c r="V3914" i="43"/>
  <c r="V3915" i="43"/>
  <c r="V3918" i="43"/>
  <c r="I3899" i="43"/>
  <c r="I3898" i="43" l="1"/>
  <c r="V3894" i="43" l="1"/>
  <c r="I3897" i="43" l="1"/>
  <c r="I3896" i="43" l="1"/>
  <c r="I3895" i="43" l="1"/>
  <c r="I3894" i="43"/>
  <c r="I3893" i="43"/>
  <c r="I3892" i="43"/>
  <c r="I3891" i="43"/>
  <c r="I3890" i="43" l="1"/>
  <c r="I3889" i="43"/>
  <c r="I3888" i="43"/>
  <c r="V3889" i="43" l="1"/>
  <c r="V3890" i="43"/>
  <c r="V3891" i="43"/>
  <c r="V3892" i="43"/>
  <c r="V3893" i="43"/>
  <c r="V3895" i="43"/>
  <c r="V3896" i="43"/>
  <c r="V3897" i="43"/>
  <c r="V3898" i="43"/>
  <c r="V3899" i="43"/>
  <c r="V3900" i="43"/>
  <c r="V3901" i="43"/>
  <c r="V3902" i="43"/>
  <c r="I3887" i="43"/>
  <c r="I3886" i="43" l="1"/>
  <c r="I3885" i="43" l="1"/>
  <c r="I3884" i="43" l="1"/>
  <c r="I3883" i="43"/>
  <c r="I3882" i="43" l="1"/>
  <c r="I3881" i="43" l="1"/>
  <c r="I3880" i="43" l="1"/>
  <c r="I3879" i="43" l="1"/>
  <c r="I3878" i="43"/>
  <c r="I3877" i="43"/>
  <c r="I3876" i="43" l="1"/>
  <c r="I3875" i="43"/>
  <c r="I3874" i="43" l="1"/>
  <c r="I3873" i="43"/>
  <c r="I3872" i="43" l="1"/>
  <c r="I3871" i="43"/>
  <c r="I3870" i="43" l="1"/>
  <c r="I3869" i="43"/>
  <c r="I3868" i="43"/>
  <c r="I3867" i="43"/>
  <c r="I3866" i="43"/>
  <c r="V3871" i="43"/>
  <c r="V3872" i="43"/>
  <c r="V3873" i="43"/>
  <c r="V3874" i="43"/>
  <c r="V3875" i="43"/>
  <c r="V3876" i="43"/>
  <c r="V3877" i="43"/>
  <c r="V3878" i="43"/>
  <c r="V3879" i="43"/>
  <c r="V3880" i="43"/>
  <c r="V3881" i="43"/>
  <c r="V3882" i="43"/>
  <c r="V3883" i="43"/>
  <c r="V3884" i="43"/>
  <c r="V3885" i="43"/>
  <c r="V3886" i="43"/>
  <c r="V3887" i="43"/>
  <c r="V3888" i="43"/>
  <c r="I3865" i="43"/>
  <c r="I3864" i="43" l="1"/>
  <c r="I3863" i="43" l="1"/>
  <c r="I3862" i="43" l="1"/>
  <c r="I3861" i="43"/>
  <c r="V3860" i="43" l="1"/>
  <c r="V3861" i="43"/>
  <c r="V3862" i="43"/>
  <c r="V3863" i="43"/>
  <c r="V3864" i="43"/>
  <c r="V3865" i="43"/>
  <c r="V3866" i="43"/>
  <c r="V3867" i="43"/>
  <c r="V3868" i="43"/>
  <c r="V3869" i="43"/>
  <c r="V3870" i="43"/>
  <c r="I3860" i="43"/>
  <c r="I3859" i="43"/>
  <c r="I3858" i="43" l="1"/>
  <c r="I3857" i="43"/>
  <c r="I3856" i="43" l="1"/>
  <c r="I3855" i="43"/>
  <c r="I3854" i="43"/>
  <c r="I3853" i="43"/>
  <c r="I3852" i="43" l="1"/>
  <c r="I3851" i="43"/>
  <c r="V3844" i="43" l="1"/>
  <c r="I3850" i="43"/>
  <c r="I3849" i="43"/>
  <c r="I3848" i="43" l="1"/>
  <c r="I3847" i="43" l="1"/>
  <c r="V3847" i="43"/>
  <c r="V3848" i="43"/>
  <c r="V3849" i="43"/>
  <c r="V3850" i="43"/>
  <c r="V3851" i="43"/>
  <c r="V3852" i="43"/>
  <c r="V3853" i="43"/>
  <c r="V3854" i="43"/>
  <c r="V3855" i="43"/>
  <c r="V3856" i="43"/>
  <c r="V3857" i="43"/>
  <c r="V3858" i="43"/>
  <c r="V3859" i="43"/>
  <c r="I3846" i="43"/>
  <c r="I3845" i="43" l="1"/>
  <c r="I3844" i="43" l="1"/>
  <c r="I3843" i="43" l="1"/>
  <c r="I3842" i="43" l="1"/>
  <c r="I3841" i="43"/>
  <c r="I3840" i="43"/>
  <c r="I3839" i="43"/>
  <c r="I3838" i="43" l="1"/>
  <c r="I3837" i="43"/>
  <c r="I3836" i="43"/>
  <c r="I3835" i="43" l="1"/>
  <c r="I3834" i="43"/>
  <c r="V3835" i="43" l="1"/>
  <c r="V3836" i="43"/>
  <c r="V3837" i="43"/>
  <c r="V3838" i="43"/>
  <c r="V3839" i="43"/>
  <c r="V3840" i="43"/>
  <c r="V3841" i="43"/>
  <c r="V3842" i="43"/>
  <c r="V3843" i="43"/>
  <c r="V3845" i="43"/>
  <c r="V3846" i="43"/>
  <c r="I3833" i="43" l="1"/>
  <c r="I3832" i="43" l="1"/>
  <c r="I3831" i="43"/>
  <c r="I3830" i="43" l="1"/>
  <c r="I3829" i="43" l="1"/>
  <c r="I3828" i="43"/>
  <c r="I3827" i="43" l="1"/>
  <c r="I3826" i="43"/>
  <c r="I3825" i="43" l="1"/>
  <c r="V3830" i="43" l="1"/>
  <c r="V3831" i="43"/>
  <c r="V3832" i="43"/>
  <c r="V3833" i="43"/>
  <c r="V3834" i="43"/>
  <c r="V3824" i="43"/>
  <c r="V3825" i="43"/>
  <c r="V3826" i="43"/>
  <c r="V3827" i="43"/>
  <c r="V3828" i="43"/>
  <c r="V3829" i="43"/>
  <c r="I3824" i="43"/>
  <c r="I3823" i="43" l="1"/>
  <c r="I3822" i="43"/>
  <c r="I3821" i="43"/>
  <c r="I3820" i="43"/>
  <c r="I3819" i="43" l="1"/>
  <c r="I3818" i="43" l="1"/>
  <c r="V3817" i="43" l="1"/>
  <c r="V3818" i="43"/>
  <c r="V3819" i="43"/>
  <c r="V3820" i="43"/>
  <c r="V3821" i="43"/>
  <c r="V3822" i="43"/>
  <c r="V3823" i="43"/>
  <c r="I3817" i="43"/>
  <c r="I3816" i="43"/>
  <c r="I3815" i="43"/>
  <c r="I3814" i="43"/>
  <c r="I3813" i="43" l="1"/>
  <c r="I3812" i="43" l="1"/>
  <c r="I3811" i="43" l="1"/>
  <c r="I3810" i="43" l="1"/>
  <c r="I3809" i="43"/>
  <c r="I3808" i="43" l="1"/>
  <c r="I3807" i="43" l="1"/>
  <c r="I3806" i="43" l="1"/>
  <c r="I3805" i="43"/>
  <c r="I3804" i="43" l="1"/>
  <c r="V3805" i="43" l="1"/>
  <c r="V3806" i="43"/>
  <c r="V3807" i="43"/>
  <c r="V3808" i="43"/>
  <c r="V3809" i="43"/>
  <c r="V3810" i="43"/>
  <c r="V3811" i="43"/>
  <c r="V3812" i="43"/>
  <c r="V3813" i="43"/>
  <c r="V3814" i="43"/>
  <c r="V3815" i="43"/>
  <c r="V3816" i="43"/>
  <c r="I3803" i="43"/>
  <c r="I3802" i="43" l="1"/>
  <c r="I3801" i="43"/>
  <c r="I3800" i="43"/>
  <c r="I3799" i="43" l="1"/>
  <c r="I3798" i="43" l="1"/>
  <c r="I3797" i="43" l="1"/>
  <c r="I3796" i="43" l="1"/>
  <c r="V3795" i="43" l="1"/>
  <c r="V3796" i="43"/>
  <c r="V3797" i="43"/>
  <c r="V3798" i="43"/>
  <c r="V3799" i="43"/>
  <c r="V3800" i="43"/>
  <c r="V3801" i="43"/>
  <c r="V3802" i="43"/>
  <c r="V3803" i="43"/>
  <c r="V3804" i="43"/>
  <c r="I3795" i="43"/>
  <c r="I3794" i="43" l="1"/>
  <c r="I3793" i="43"/>
  <c r="I3792" i="43"/>
  <c r="I3791" i="43" l="1"/>
  <c r="I3790" i="43"/>
  <c r="I3789" i="43"/>
  <c r="I3788" i="43" l="1"/>
  <c r="I3787" i="43" l="1"/>
  <c r="I3786" i="43" l="1"/>
  <c r="I3785" i="43" l="1"/>
  <c r="J3785" i="43"/>
  <c r="V3784" i="43"/>
  <c r="V3785" i="43"/>
  <c r="V3786" i="43"/>
  <c r="V3787" i="43"/>
  <c r="V3788" i="43"/>
  <c r="V3789" i="43"/>
  <c r="V3790" i="43"/>
  <c r="V3791" i="43"/>
  <c r="V3792" i="43"/>
  <c r="V3793" i="43"/>
  <c r="V3794" i="43"/>
  <c r="I3784" i="43"/>
  <c r="J3784" i="43"/>
  <c r="I3783" i="43" l="1"/>
  <c r="J3783" i="43"/>
  <c r="I3782" i="43"/>
  <c r="J3782" i="43"/>
  <c r="I3781" i="43" l="1"/>
  <c r="J3781" i="43"/>
  <c r="I3780" i="43"/>
  <c r="J3780" i="43"/>
  <c r="I3779" i="43" l="1"/>
  <c r="J3779" i="43"/>
  <c r="I3778" i="43" l="1"/>
  <c r="J3778" i="43"/>
  <c r="I3777" i="43"/>
  <c r="J3777" i="43"/>
  <c r="F500" i="17" l="1"/>
  <c r="F455" i="17"/>
  <c r="E416" i="17"/>
  <c r="E373" i="17"/>
  <c r="E331" i="17"/>
  <c r="E287" i="17"/>
  <c r="E196" i="17"/>
  <c r="F153" i="17"/>
  <c r="E110" i="17"/>
  <c r="I3776" i="43" l="1"/>
  <c r="J3776" i="43"/>
  <c r="V3779" i="43"/>
  <c r="V3780" i="43"/>
  <c r="V3781" i="43"/>
  <c r="V3782" i="43"/>
  <c r="V3783" i="43"/>
  <c r="I3775" i="43"/>
  <c r="J3775" i="43"/>
  <c r="I3774" i="43" l="1"/>
  <c r="J3774" i="43"/>
  <c r="I3773" i="43" l="1"/>
  <c r="J3773" i="43"/>
  <c r="I3772" i="43"/>
  <c r="I3771" i="43"/>
  <c r="J3771" i="43"/>
  <c r="I3770" i="43"/>
  <c r="J3770" i="43"/>
  <c r="I3769" i="43" l="1"/>
  <c r="J3769" i="43"/>
  <c r="I3768" i="43"/>
  <c r="J3768" i="43"/>
  <c r="V3769" i="43"/>
  <c r="V3770" i="43"/>
  <c r="V3771" i="43"/>
  <c r="V3772" i="43"/>
  <c r="V3773" i="43"/>
  <c r="V3774" i="43"/>
  <c r="V3775" i="43"/>
  <c r="V3776" i="43"/>
  <c r="V3777" i="43"/>
  <c r="V3778" i="43"/>
  <c r="I3767" i="43"/>
  <c r="J3767" i="43"/>
  <c r="I3766" i="43" l="1"/>
  <c r="J3766" i="43"/>
  <c r="I3765" i="43" l="1"/>
  <c r="J3765" i="43"/>
  <c r="I3764" i="43"/>
  <c r="J3764" i="43"/>
  <c r="I3763" i="43"/>
  <c r="J3763" i="43"/>
  <c r="I3762" i="43" l="1"/>
  <c r="J3762" i="43"/>
  <c r="I3761" i="43" l="1"/>
  <c r="J3761" i="43"/>
  <c r="I3760" i="43" l="1"/>
  <c r="J3760" i="43"/>
  <c r="I3759" i="43"/>
  <c r="J3759" i="43"/>
  <c r="V3758" i="43"/>
  <c r="V3759" i="43"/>
  <c r="V3760" i="43"/>
  <c r="V3761" i="43"/>
  <c r="V3762" i="43"/>
  <c r="V3763" i="43"/>
  <c r="V3764" i="43"/>
  <c r="V3765" i="43"/>
  <c r="V3766" i="43"/>
  <c r="V3767" i="43"/>
  <c r="V3768" i="43"/>
  <c r="I3758" i="43"/>
  <c r="J3758" i="43"/>
  <c r="I3757" i="43"/>
  <c r="J3757" i="43"/>
  <c r="I3756" i="43"/>
  <c r="I3755" i="43"/>
  <c r="V3754" i="43" l="1"/>
  <c r="V3755" i="43"/>
  <c r="V3756" i="43"/>
  <c r="V3757" i="43"/>
  <c r="I3754" i="43"/>
  <c r="I3753" i="43"/>
  <c r="I3752" i="43"/>
  <c r="I3751" i="43" l="1"/>
  <c r="C426" i="17" l="1"/>
  <c r="I3750" i="43"/>
  <c r="V3749" i="43"/>
  <c r="V3750" i="43"/>
  <c r="V3751" i="43"/>
  <c r="V3752" i="43"/>
  <c r="V3753" i="43"/>
  <c r="I3749" i="43"/>
  <c r="J3750" i="43" l="1"/>
  <c r="J3751" i="43"/>
  <c r="J3752" i="43"/>
  <c r="J3753" i="43"/>
  <c r="J3754" i="43"/>
  <c r="J3755" i="43"/>
  <c r="J3756" i="43"/>
  <c r="J3748" i="43"/>
  <c r="J3749" i="43"/>
  <c r="J3747" i="43"/>
  <c r="I3748" i="43"/>
  <c r="I3747" i="43"/>
  <c r="V175" i="50" l="1"/>
  <c r="I3746" i="43" l="1"/>
  <c r="I3745" i="43" l="1"/>
  <c r="I3744" i="43" l="1"/>
  <c r="I3743" i="43"/>
  <c r="I3742" i="43" l="1"/>
  <c r="V3741" i="43"/>
  <c r="V3742" i="43"/>
  <c r="V3743" i="43"/>
  <c r="V3744" i="43"/>
  <c r="V3745" i="43"/>
  <c r="V3746" i="43"/>
  <c r="V3747" i="43"/>
  <c r="V3748" i="43"/>
  <c r="I3741" i="43"/>
  <c r="I3740" i="43" l="1"/>
  <c r="V3739" i="43"/>
  <c r="V3740" i="43"/>
  <c r="I3739" i="43"/>
  <c r="I3738" i="43"/>
  <c r="V3737" i="43"/>
  <c r="V3738" i="43"/>
  <c r="I3737" i="43"/>
  <c r="I3736" i="43" l="1"/>
  <c r="V3735" i="43"/>
  <c r="V3736" i="43"/>
  <c r="I3735" i="43"/>
  <c r="I3734" i="43" l="1"/>
  <c r="I3733" i="43" l="1"/>
  <c r="I3732" i="43"/>
  <c r="I3731" i="43"/>
  <c r="I3730" i="43" l="1"/>
  <c r="I3729" i="43"/>
  <c r="I3728" i="43" l="1"/>
  <c r="I3727" i="43"/>
  <c r="I3726" i="43"/>
  <c r="V3725" i="43" l="1"/>
  <c r="V3726" i="43"/>
  <c r="V3727" i="43"/>
  <c r="V3728" i="43"/>
  <c r="V3729" i="43"/>
  <c r="V3730" i="43"/>
  <c r="V3731" i="43"/>
  <c r="V3732" i="43"/>
  <c r="V3733" i="43"/>
  <c r="V3734" i="43"/>
  <c r="I3725" i="43"/>
  <c r="V3724" i="43" l="1"/>
  <c r="I3724" i="43"/>
  <c r="I3723" i="43"/>
  <c r="I3722" i="43"/>
  <c r="I3721" i="43" l="1"/>
  <c r="V3720" i="43"/>
  <c r="V3721" i="43"/>
  <c r="V3722" i="43"/>
  <c r="V3723" i="43"/>
  <c r="I3720" i="43"/>
  <c r="V3719" i="43" l="1"/>
  <c r="I3719" i="43"/>
  <c r="I3718" i="43"/>
  <c r="I3717" i="43"/>
  <c r="I3716" i="43"/>
  <c r="I3715" i="43"/>
  <c r="V3714" i="43" l="1"/>
  <c r="V3715" i="43"/>
  <c r="V3716" i="43"/>
  <c r="V3717" i="43"/>
  <c r="V3718" i="43"/>
  <c r="I3714" i="43"/>
  <c r="I3713" i="43"/>
  <c r="I3712" i="43"/>
  <c r="I3711" i="43" l="1"/>
  <c r="V3710" i="43" l="1"/>
  <c r="V3711" i="43"/>
  <c r="V3712" i="43"/>
  <c r="V3713" i="43"/>
  <c r="I3710" i="43"/>
  <c r="I3709" i="43" l="1"/>
  <c r="I3708" i="43"/>
  <c r="I3707" i="43" l="1"/>
  <c r="I3705" i="43" l="1"/>
  <c r="B221" i="50"/>
  <c r="I3704" i="43"/>
  <c r="I3706" i="43"/>
  <c r="I3703" i="43"/>
  <c r="I3702" i="43" l="1"/>
  <c r="V3701" i="43"/>
  <c r="V3702" i="43"/>
  <c r="V3703" i="43"/>
  <c r="V3704" i="43"/>
  <c r="V3705" i="43"/>
  <c r="V3706" i="43"/>
  <c r="V3707" i="43"/>
  <c r="V3708" i="43"/>
  <c r="V3709" i="43"/>
  <c r="I3701" i="43"/>
  <c r="V3700" i="43"/>
  <c r="I3700" i="43"/>
  <c r="V3699" i="43" l="1"/>
  <c r="I3699" i="43"/>
  <c r="V3698" i="43" l="1"/>
  <c r="I3698" i="43"/>
  <c r="I3697" i="43"/>
  <c r="I3696" i="43" l="1"/>
  <c r="I3695" i="43"/>
  <c r="I3694" i="43" l="1"/>
  <c r="I3693" i="43" l="1"/>
  <c r="I3692" i="43"/>
  <c r="I3691" i="43"/>
  <c r="I3690" i="43" l="1"/>
  <c r="I3689" i="43"/>
  <c r="V3695" i="43"/>
  <c r="V3696" i="43"/>
  <c r="V3697" i="43"/>
  <c r="V3690" i="43"/>
  <c r="V3691" i="43"/>
  <c r="V3692" i="43"/>
  <c r="V3693" i="43"/>
  <c r="V3694" i="43"/>
  <c r="I3688" i="43"/>
  <c r="I3687" i="43" l="1"/>
  <c r="I3686" i="43"/>
  <c r="I3685" i="43" l="1"/>
  <c r="I3684" i="43" l="1"/>
  <c r="I3683" i="43"/>
  <c r="I3682" i="43" l="1"/>
  <c r="I3681" i="43" l="1"/>
  <c r="V3678" i="43"/>
  <c r="V3679" i="43"/>
  <c r="V3680" i="43"/>
  <c r="V3681" i="43"/>
  <c r="V3682" i="43"/>
  <c r="V3683" i="43"/>
  <c r="V3684" i="43"/>
  <c r="V3685" i="43"/>
  <c r="V3686" i="43"/>
  <c r="V3687" i="43"/>
  <c r="V3688" i="43"/>
  <c r="V3689" i="43"/>
  <c r="I3528" i="43" l="1"/>
  <c r="V3671" i="43"/>
  <c r="V3672" i="43"/>
  <c r="V3673" i="43"/>
  <c r="V3674" i="43"/>
  <c r="V3675" i="43"/>
  <c r="V3676" i="43"/>
  <c r="V3677" i="43"/>
  <c r="V3670" i="43" l="1"/>
  <c r="I3669" i="43" l="1"/>
  <c r="I3670" i="43"/>
  <c r="I3671" i="43"/>
  <c r="I3672" i="43"/>
  <c r="I3673" i="43"/>
  <c r="I3674" i="43"/>
  <c r="I3675" i="43"/>
  <c r="I3676" i="43"/>
  <c r="I3677" i="43"/>
  <c r="I3678" i="43"/>
  <c r="I3679" i="43"/>
  <c r="I3680" i="43"/>
  <c r="I3668" i="43"/>
  <c r="I3667" i="43"/>
  <c r="I3666" i="43"/>
  <c r="I3665" i="43"/>
  <c r="V3667" i="43" l="1"/>
  <c r="I3664" i="43"/>
  <c r="I3663" i="43"/>
  <c r="I3662" i="43"/>
  <c r="V3661" i="43" l="1"/>
  <c r="V3660" i="43" l="1"/>
  <c r="I3660" i="43"/>
  <c r="V3659" i="43"/>
  <c r="I3659" i="43"/>
  <c r="I3661" i="43" l="1"/>
  <c r="I3658" i="43" l="1"/>
  <c r="I3657" i="43" l="1"/>
  <c r="V3658" i="43"/>
  <c r="V3662" i="43"/>
  <c r="V3663" i="43"/>
  <c r="V3664" i="43"/>
  <c r="V3665" i="43"/>
  <c r="V3666" i="43"/>
  <c r="V3668" i="43"/>
  <c r="V3669" i="43"/>
  <c r="V3656" i="43"/>
  <c r="V3657" i="43"/>
  <c r="I3656" i="43"/>
  <c r="I3655" i="43" l="1"/>
  <c r="I3654" i="43" l="1"/>
  <c r="V3653" i="43"/>
  <c r="V3654" i="43"/>
  <c r="V3655" i="43"/>
  <c r="I3653" i="43"/>
  <c r="I3652" i="43"/>
  <c r="I3651" i="43"/>
  <c r="I3650" i="43" l="1"/>
  <c r="I3649" i="43"/>
  <c r="I3648" i="43" l="1"/>
  <c r="Y101" i="6" l="1"/>
  <c r="X101" i="6"/>
  <c r="V101" i="6"/>
  <c r="U101" i="6"/>
  <c r="T101" i="6"/>
  <c r="S101" i="6"/>
  <c r="R101" i="6"/>
  <c r="I101" i="6"/>
  <c r="J101" i="6"/>
  <c r="N100" i="6"/>
  <c r="O100" i="6"/>
  <c r="Q100" i="6"/>
  <c r="W100" i="6"/>
  <c r="M83" i="6"/>
  <c r="P83" i="6"/>
  <c r="H213" i="11"/>
  <c r="G213" i="11"/>
  <c r="G212" i="11"/>
  <c r="H211" i="11"/>
  <c r="G211" i="11"/>
  <c r="G210" i="11"/>
  <c r="H209" i="11"/>
  <c r="G209" i="11"/>
  <c r="H208" i="11"/>
  <c r="G208" i="11"/>
  <c r="H207" i="11"/>
  <c r="G207" i="11"/>
  <c r="H206" i="11"/>
  <c r="G206" i="11"/>
  <c r="H205" i="11"/>
  <c r="G205" i="11"/>
  <c r="H204" i="11"/>
  <c r="G204" i="11"/>
  <c r="H203" i="11"/>
  <c r="G203" i="11"/>
  <c r="H202" i="11"/>
  <c r="G202" i="11"/>
  <c r="H201" i="11"/>
  <c r="G201" i="11"/>
  <c r="H200" i="11"/>
  <c r="G200" i="11"/>
  <c r="H199" i="11"/>
  <c r="G199" i="11"/>
  <c r="H198" i="11"/>
  <c r="I198" i="11" s="1"/>
  <c r="G198" i="11"/>
  <c r="G197" i="11"/>
  <c r="G196" i="11"/>
  <c r="A405" i="17"/>
  <c r="B405" i="17"/>
  <c r="C405" i="17"/>
  <c r="D405" i="17"/>
  <c r="E405" i="17"/>
  <c r="F405" i="17"/>
  <c r="G405" i="17"/>
  <c r="H405" i="17"/>
  <c r="A406" i="17"/>
  <c r="B406" i="17"/>
  <c r="C406" i="17"/>
  <c r="D406" i="17"/>
  <c r="E406" i="17"/>
  <c r="F406" i="17"/>
  <c r="G406" i="17"/>
  <c r="H406" i="17"/>
  <c r="A407" i="17"/>
  <c r="B407" i="17"/>
  <c r="C407" i="17"/>
  <c r="D407" i="17"/>
  <c r="E407" i="17"/>
  <c r="F407" i="17"/>
  <c r="G407" i="17"/>
  <c r="H407" i="17"/>
  <c r="C408" i="17"/>
  <c r="D408" i="17"/>
  <c r="E408" i="17"/>
  <c r="F408" i="17"/>
  <c r="G408" i="17"/>
  <c r="H408" i="17"/>
  <c r="C409" i="17"/>
  <c r="D409" i="17"/>
  <c r="E409" i="17"/>
  <c r="F409" i="17"/>
  <c r="G409" i="17"/>
  <c r="H409" i="17"/>
  <c r="C410" i="17"/>
  <c r="D410" i="17"/>
  <c r="E410" i="17"/>
  <c r="F410" i="17"/>
  <c r="G410" i="17"/>
  <c r="H410" i="17"/>
  <c r="C411" i="17"/>
  <c r="D411" i="17"/>
  <c r="E411" i="17"/>
  <c r="F411" i="17"/>
  <c r="G411" i="17"/>
  <c r="H411" i="17"/>
  <c r="A412" i="17"/>
  <c r="B412" i="17"/>
  <c r="C412" i="17"/>
  <c r="D412" i="17"/>
  <c r="E412" i="17"/>
  <c r="F412" i="17"/>
  <c r="G412" i="17"/>
  <c r="H412" i="17"/>
  <c r="A413" i="17"/>
  <c r="B413" i="17"/>
  <c r="C413" i="17"/>
  <c r="D413" i="17"/>
  <c r="E413" i="17"/>
  <c r="F413" i="17"/>
  <c r="G413" i="17"/>
  <c r="H413" i="17"/>
  <c r="A414" i="17"/>
  <c r="B414" i="17"/>
  <c r="C414" i="17"/>
  <c r="D414" i="17"/>
  <c r="E414" i="17"/>
  <c r="F414" i="17"/>
  <c r="G414" i="17"/>
  <c r="H414" i="17"/>
  <c r="A415" i="17"/>
  <c r="B415" i="17"/>
  <c r="C415" i="17"/>
  <c r="D415" i="17"/>
  <c r="E415" i="17"/>
  <c r="F415" i="17"/>
  <c r="G415" i="17"/>
  <c r="H415" i="17"/>
  <c r="A388" i="17"/>
  <c r="B388" i="17"/>
  <c r="C388" i="17"/>
  <c r="D388" i="17"/>
  <c r="E388" i="17"/>
  <c r="F388" i="17"/>
  <c r="G388" i="17"/>
  <c r="H388" i="17"/>
  <c r="A389" i="17"/>
  <c r="B389" i="17"/>
  <c r="C389" i="17"/>
  <c r="D389" i="17"/>
  <c r="E389" i="17"/>
  <c r="F389" i="17"/>
  <c r="G389" i="17"/>
  <c r="H389" i="17"/>
  <c r="A390" i="17"/>
  <c r="B390" i="17"/>
  <c r="C390" i="17"/>
  <c r="D390" i="17"/>
  <c r="E390" i="17"/>
  <c r="F390" i="17"/>
  <c r="G390" i="17"/>
  <c r="H390" i="17"/>
  <c r="A391" i="17"/>
  <c r="B391" i="17"/>
  <c r="C391" i="17"/>
  <c r="D391" i="17"/>
  <c r="E391" i="17"/>
  <c r="F391" i="17"/>
  <c r="G391" i="17"/>
  <c r="H391" i="17"/>
  <c r="A392" i="17"/>
  <c r="B392" i="17"/>
  <c r="C392" i="17"/>
  <c r="D392" i="17"/>
  <c r="E392" i="17"/>
  <c r="F392" i="17"/>
  <c r="G392" i="17"/>
  <c r="H392" i="17"/>
  <c r="A393" i="17"/>
  <c r="B393" i="17"/>
  <c r="C393" i="17"/>
  <c r="D393" i="17"/>
  <c r="E393" i="17"/>
  <c r="F393" i="17"/>
  <c r="G393" i="17"/>
  <c r="H393" i="17"/>
  <c r="A394" i="17"/>
  <c r="B394" i="17"/>
  <c r="C394" i="17"/>
  <c r="D394" i="17"/>
  <c r="E394" i="17"/>
  <c r="F394" i="17"/>
  <c r="G394" i="17"/>
  <c r="H394" i="17"/>
  <c r="A395" i="17"/>
  <c r="B395" i="17"/>
  <c r="C395" i="17"/>
  <c r="D395" i="17"/>
  <c r="E395" i="17"/>
  <c r="F395" i="17"/>
  <c r="G395" i="17"/>
  <c r="H395" i="17"/>
  <c r="A396" i="17"/>
  <c r="B396" i="17"/>
  <c r="C396" i="17"/>
  <c r="D396" i="17"/>
  <c r="E396" i="17"/>
  <c r="F396" i="17"/>
  <c r="G396" i="17"/>
  <c r="H396" i="17"/>
  <c r="A397" i="17"/>
  <c r="B397" i="17"/>
  <c r="C397" i="17"/>
  <c r="D397" i="17"/>
  <c r="E397" i="17"/>
  <c r="F397" i="17"/>
  <c r="G397" i="17"/>
  <c r="H397" i="17"/>
  <c r="A398" i="17"/>
  <c r="B398" i="17"/>
  <c r="C398" i="17"/>
  <c r="D398" i="17"/>
  <c r="E398" i="17"/>
  <c r="F398" i="17"/>
  <c r="G398" i="17"/>
  <c r="H398" i="17"/>
  <c r="A399" i="17"/>
  <c r="B399" i="17"/>
  <c r="C399" i="17"/>
  <c r="D399" i="17"/>
  <c r="E399" i="17"/>
  <c r="F399" i="17"/>
  <c r="G399" i="17"/>
  <c r="H399" i="17"/>
  <c r="A400" i="17"/>
  <c r="B400" i="17"/>
  <c r="C400" i="17"/>
  <c r="D400" i="17"/>
  <c r="E400" i="17"/>
  <c r="F400" i="17"/>
  <c r="G400" i="17"/>
  <c r="H400" i="17"/>
  <c r="A401" i="17"/>
  <c r="B401" i="17"/>
  <c r="C401" i="17"/>
  <c r="D401" i="17"/>
  <c r="E401" i="17"/>
  <c r="F401" i="17"/>
  <c r="G401" i="17"/>
  <c r="H401" i="17"/>
  <c r="P192" i="50"/>
  <c r="N192" i="50"/>
  <c r="J192" i="50"/>
  <c r="H192" i="50"/>
  <c r="F192" i="50"/>
  <c r="D192" i="50"/>
  <c r="A52" i="17"/>
  <c r="B52" i="17"/>
  <c r="C52" i="17"/>
  <c r="D52" i="17"/>
  <c r="E52" i="17"/>
  <c r="F52" i="17"/>
  <c r="G52" i="17"/>
  <c r="H52" i="17"/>
  <c r="A53" i="17"/>
  <c r="B53" i="17"/>
  <c r="C53" i="17"/>
  <c r="D53" i="17"/>
  <c r="E53" i="17"/>
  <c r="F53" i="17"/>
  <c r="G53" i="17"/>
  <c r="H53" i="17"/>
  <c r="A54" i="17"/>
  <c r="B54" i="17"/>
  <c r="C54" i="17"/>
  <c r="D54" i="17"/>
  <c r="E54" i="17"/>
  <c r="F54" i="17"/>
  <c r="G54" i="17"/>
  <c r="H54" i="17"/>
  <c r="A55" i="17"/>
  <c r="B55" i="17"/>
  <c r="C55" i="17"/>
  <c r="D55" i="17"/>
  <c r="E55" i="17"/>
  <c r="F55" i="17"/>
  <c r="G55" i="17"/>
  <c r="H55" i="17"/>
  <c r="A56" i="17"/>
  <c r="B56" i="17"/>
  <c r="C56" i="17"/>
  <c r="D56" i="17"/>
  <c r="E56" i="17"/>
  <c r="F56" i="17"/>
  <c r="G56" i="17"/>
  <c r="H56" i="17"/>
  <c r="A57" i="17"/>
  <c r="B57" i="17"/>
  <c r="C57" i="17"/>
  <c r="D57" i="17"/>
  <c r="E57" i="17"/>
  <c r="F57" i="17"/>
  <c r="G57" i="17"/>
  <c r="H57" i="17"/>
  <c r="A58" i="17"/>
  <c r="B58" i="17"/>
  <c r="C58" i="17"/>
  <c r="D58" i="17"/>
  <c r="E58" i="17"/>
  <c r="F58" i="17"/>
  <c r="G58" i="17"/>
  <c r="H58" i="17"/>
  <c r="A59" i="17"/>
  <c r="B59" i="17"/>
  <c r="C59" i="17"/>
  <c r="D59" i="17"/>
  <c r="E59" i="17"/>
  <c r="F59" i="17"/>
  <c r="G59" i="17"/>
  <c r="H59" i="17"/>
  <c r="A60" i="17"/>
  <c r="B60" i="17"/>
  <c r="C60" i="17"/>
  <c r="D60" i="17"/>
  <c r="E60" i="17"/>
  <c r="F60" i="17"/>
  <c r="G60" i="17"/>
  <c r="H60" i="17"/>
  <c r="A61" i="17"/>
  <c r="B61" i="17"/>
  <c r="C61" i="17"/>
  <c r="D61" i="17"/>
  <c r="E61" i="17"/>
  <c r="F61" i="17"/>
  <c r="G61" i="17"/>
  <c r="H61" i="17"/>
  <c r="A62" i="17"/>
  <c r="B62" i="17"/>
  <c r="C62" i="17"/>
  <c r="D62" i="17"/>
  <c r="E62" i="17"/>
  <c r="F62" i="17"/>
  <c r="G62" i="17"/>
  <c r="H62" i="17"/>
  <c r="A63" i="17"/>
  <c r="B63" i="17"/>
  <c r="C63" i="17"/>
  <c r="D63" i="17"/>
  <c r="E63" i="17"/>
  <c r="F63" i="17"/>
  <c r="G63" i="17"/>
  <c r="H63" i="17"/>
  <c r="A64" i="17"/>
  <c r="B64" i="17"/>
  <c r="C64" i="17"/>
  <c r="D64" i="17"/>
  <c r="E64" i="17"/>
  <c r="F64" i="17"/>
  <c r="G64" i="17"/>
  <c r="H64" i="17"/>
  <c r="A65" i="17"/>
  <c r="B65" i="17"/>
  <c r="C65" i="17"/>
  <c r="D65" i="17"/>
  <c r="E65" i="17"/>
  <c r="F65" i="17"/>
  <c r="G65" i="17"/>
  <c r="H65" i="17"/>
  <c r="A66" i="17"/>
  <c r="B66" i="17"/>
  <c r="C66" i="17"/>
  <c r="D66" i="17"/>
  <c r="E66" i="17"/>
  <c r="F66" i="17"/>
  <c r="G66" i="17"/>
  <c r="H66" i="17"/>
  <c r="A35" i="17"/>
  <c r="B35" i="17"/>
  <c r="C35" i="17"/>
  <c r="D35" i="17"/>
  <c r="E35" i="17"/>
  <c r="F35" i="17"/>
  <c r="G35" i="17"/>
  <c r="H35" i="17"/>
  <c r="A36" i="17"/>
  <c r="B36" i="17"/>
  <c r="C36" i="17"/>
  <c r="D36" i="17"/>
  <c r="E36" i="17"/>
  <c r="F36" i="17"/>
  <c r="G36" i="17"/>
  <c r="H36" i="17"/>
  <c r="A37" i="17"/>
  <c r="B37" i="17"/>
  <c r="C37" i="17"/>
  <c r="D37" i="17"/>
  <c r="E37" i="17"/>
  <c r="F37" i="17"/>
  <c r="G37" i="17"/>
  <c r="H37" i="17"/>
  <c r="A38" i="17"/>
  <c r="B38" i="17"/>
  <c r="C38" i="17"/>
  <c r="D38" i="17"/>
  <c r="E38" i="17"/>
  <c r="F38" i="17"/>
  <c r="G38" i="17"/>
  <c r="H38" i="17"/>
  <c r="A39" i="17"/>
  <c r="B39" i="17"/>
  <c r="C39" i="17"/>
  <c r="D39" i="17"/>
  <c r="E39" i="17"/>
  <c r="F39" i="17"/>
  <c r="G39" i="17"/>
  <c r="H39" i="17"/>
  <c r="A40" i="17"/>
  <c r="B40" i="17"/>
  <c r="C40" i="17"/>
  <c r="D40" i="17"/>
  <c r="E40" i="17"/>
  <c r="F40" i="17"/>
  <c r="G40" i="17"/>
  <c r="H40" i="17"/>
  <c r="A41" i="17"/>
  <c r="B41" i="17"/>
  <c r="C41" i="17"/>
  <c r="D41" i="17"/>
  <c r="E41" i="17"/>
  <c r="F41" i="17"/>
  <c r="G41" i="17"/>
  <c r="H41" i="17"/>
  <c r="A42" i="17"/>
  <c r="B42" i="17"/>
  <c r="C42" i="17"/>
  <c r="D42" i="17"/>
  <c r="E42" i="17"/>
  <c r="F42" i="17"/>
  <c r="G42" i="17"/>
  <c r="H42" i="17"/>
  <c r="A43" i="17"/>
  <c r="B43" i="17"/>
  <c r="C43" i="17"/>
  <c r="D43" i="17"/>
  <c r="E43" i="17"/>
  <c r="F43" i="17"/>
  <c r="G43" i="17"/>
  <c r="H43" i="17"/>
  <c r="A44" i="17"/>
  <c r="B44" i="17"/>
  <c r="C44" i="17"/>
  <c r="D44" i="17"/>
  <c r="E44" i="17"/>
  <c r="F44" i="17"/>
  <c r="G44" i="17"/>
  <c r="H44" i="17"/>
  <c r="A45" i="17"/>
  <c r="B45" i="17"/>
  <c r="C45" i="17"/>
  <c r="D45" i="17"/>
  <c r="E45" i="17"/>
  <c r="F45" i="17"/>
  <c r="G45" i="17"/>
  <c r="H45" i="17"/>
  <c r="A46" i="17"/>
  <c r="B46" i="17"/>
  <c r="C46" i="17"/>
  <c r="D46" i="17"/>
  <c r="E46" i="17"/>
  <c r="F46" i="17"/>
  <c r="G46" i="17"/>
  <c r="H46" i="17"/>
  <c r="A14" i="17"/>
  <c r="B14" i="17"/>
  <c r="C14" i="17"/>
  <c r="D14" i="17"/>
  <c r="E14" i="17"/>
  <c r="F14" i="17"/>
  <c r="G14" i="17"/>
  <c r="H14" i="17"/>
  <c r="A15" i="17"/>
  <c r="B15" i="17"/>
  <c r="C15" i="17"/>
  <c r="D15" i="17"/>
  <c r="E15" i="17"/>
  <c r="F15" i="17"/>
  <c r="G15" i="17"/>
  <c r="H15" i="17"/>
  <c r="A16" i="17"/>
  <c r="B16" i="17"/>
  <c r="C16" i="17"/>
  <c r="D16" i="17"/>
  <c r="E16" i="17"/>
  <c r="F16" i="17"/>
  <c r="G16" i="17"/>
  <c r="H16" i="17"/>
  <c r="A17" i="17"/>
  <c r="B17" i="17"/>
  <c r="C17" i="17"/>
  <c r="D17" i="17"/>
  <c r="E17" i="17"/>
  <c r="F17" i="17"/>
  <c r="G17" i="17"/>
  <c r="H17" i="17"/>
  <c r="A18" i="17"/>
  <c r="B18" i="17"/>
  <c r="C18" i="17"/>
  <c r="D18" i="17"/>
  <c r="E18" i="17"/>
  <c r="F18" i="17"/>
  <c r="G18" i="17"/>
  <c r="H18" i="17"/>
  <c r="A19" i="17"/>
  <c r="B19" i="17"/>
  <c r="C19" i="17"/>
  <c r="D19" i="17"/>
  <c r="E19" i="17"/>
  <c r="F19" i="17"/>
  <c r="G19" i="17"/>
  <c r="H19" i="17"/>
  <c r="A20" i="17"/>
  <c r="B20" i="17"/>
  <c r="C20" i="17"/>
  <c r="D20" i="17"/>
  <c r="E20" i="17"/>
  <c r="F20" i="17"/>
  <c r="G20" i="17"/>
  <c r="H20" i="17"/>
  <c r="A5" i="17"/>
  <c r="B5" i="17"/>
  <c r="C5" i="17"/>
  <c r="D5" i="17"/>
  <c r="E5" i="17"/>
  <c r="F5" i="17"/>
  <c r="G5" i="17"/>
  <c r="H5" i="17"/>
  <c r="A6" i="17"/>
  <c r="B6" i="17"/>
  <c r="C6" i="17"/>
  <c r="D6" i="17"/>
  <c r="E6" i="17"/>
  <c r="F6" i="17"/>
  <c r="G6" i="17"/>
  <c r="H6" i="17"/>
  <c r="A7" i="17"/>
  <c r="B7" i="17"/>
  <c r="C7" i="17"/>
  <c r="D7" i="17"/>
  <c r="E7" i="17"/>
  <c r="F7" i="17"/>
  <c r="G7" i="17"/>
  <c r="H7" i="17"/>
  <c r="A8" i="17"/>
  <c r="B8" i="17"/>
  <c r="C8" i="17"/>
  <c r="D8" i="17"/>
  <c r="E8" i="17"/>
  <c r="F8" i="17"/>
  <c r="G8" i="17"/>
  <c r="H8" i="17"/>
  <c r="A9" i="17"/>
  <c r="B9" i="17"/>
  <c r="C9" i="17"/>
  <c r="D9" i="17"/>
  <c r="E9" i="17"/>
  <c r="F9" i="17"/>
  <c r="G9" i="17"/>
  <c r="H9" i="17"/>
  <c r="A10" i="17"/>
  <c r="B10" i="17"/>
  <c r="C10" i="17"/>
  <c r="D10" i="17"/>
  <c r="E10" i="17"/>
  <c r="F10" i="17"/>
  <c r="G10" i="17"/>
  <c r="H10" i="17"/>
  <c r="A227" i="17"/>
  <c r="B227" i="17"/>
  <c r="C227" i="17"/>
  <c r="D227" i="17"/>
  <c r="E227" i="17"/>
  <c r="F227" i="17"/>
  <c r="G227" i="17"/>
  <c r="H227" i="17"/>
  <c r="A228" i="17"/>
  <c r="B228" i="17"/>
  <c r="C228" i="17"/>
  <c r="D228" i="17"/>
  <c r="E228" i="17"/>
  <c r="F228" i="17"/>
  <c r="G228" i="17"/>
  <c r="H228" i="17"/>
  <c r="A229" i="17"/>
  <c r="B229" i="17"/>
  <c r="C229" i="17"/>
  <c r="D229" i="17"/>
  <c r="E229" i="17"/>
  <c r="F229" i="17"/>
  <c r="G229" i="17"/>
  <c r="H229" i="17"/>
  <c r="A230" i="17"/>
  <c r="B230" i="17"/>
  <c r="C230" i="17"/>
  <c r="D230" i="17"/>
  <c r="E230" i="17"/>
  <c r="F230" i="17"/>
  <c r="G230" i="17"/>
  <c r="H230" i="17"/>
  <c r="A231" i="17"/>
  <c r="B231" i="17"/>
  <c r="C231" i="17"/>
  <c r="D231" i="17"/>
  <c r="E231" i="17"/>
  <c r="F231" i="17"/>
  <c r="G231" i="17"/>
  <c r="H231" i="17"/>
  <c r="A232" i="17"/>
  <c r="B232" i="17"/>
  <c r="C232" i="17"/>
  <c r="D232" i="17"/>
  <c r="E232" i="17"/>
  <c r="F232" i="17"/>
  <c r="G232" i="17"/>
  <c r="H232" i="17"/>
  <c r="A233" i="17"/>
  <c r="B233" i="17"/>
  <c r="C233" i="17"/>
  <c r="D233" i="17"/>
  <c r="E233" i="17"/>
  <c r="F233" i="17"/>
  <c r="G233" i="17"/>
  <c r="H233" i="17"/>
  <c r="A234" i="17"/>
  <c r="B234" i="17"/>
  <c r="C234" i="17"/>
  <c r="D234" i="17"/>
  <c r="E234" i="17"/>
  <c r="F234" i="17"/>
  <c r="G234" i="17"/>
  <c r="H234" i="17"/>
  <c r="A235" i="17"/>
  <c r="B235" i="17"/>
  <c r="C235" i="17"/>
  <c r="D235" i="17"/>
  <c r="E235" i="17"/>
  <c r="F235" i="17"/>
  <c r="G235" i="17"/>
  <c r="H235" i="17"/>
  <c r="A236" i="17"/>
  <c r="B236" i="17"/>
  <c r="C236" i="17"/>
  <c r="D236" i="17"/>
  <c r="E236" i="17"/>
  <c r="F236" i="17"/>
  <c r="G236" i="17"/>
  <c r="H236" i="17"/>
  <c r="A237" i="17"/>
  <c r="B237" i="17"/>
  <c r="C237" i="17"/>
  <c r="D237" i="17"/>
  <c r="E237" i="17"/>
  <c r="F237" i="17"/>
  <c r="G237" i="17"/>
  <c r="H237" i="17"/>
  <c r="A238" i="17"/>
  <c r="B238" i="17"/>
  <c r="C238" i="17"/>
  <c r="D238" i="17"/>
  <c r="E238" i="17"/>
  <c r="F238" i="17"/>
  <c r="G238" i="17"/>
  <c r="H238" i="17"/>
  <c r="A239" i="17"/>
  <c r="B239" i="17"/>
  <c r="C239" i="17"/>
  <c r="E239" i="17"/>
  <c r="F239" i="17"/>
  <c r="G239" i="17"/>
  <c r="H239" i="17"/>
  <c r="A210" i="17"/>
  <c r="B210" i="17"/>
  <c r="C210" i="17"/>
  <c r="D210" i="17"/>
  <c r="E210" i="17"/>
  <c r="F210" i="17"/>
  <c r="G210" i="17"/>
  <c r="H210" i="17"/>
  <c r="A211" i="17"/>
  <c r="B211" i="17"/>
  <c r="C211" i="17"/>
  <c r="D211" i="17"/>
  <c r="E211" i="17"/>
  <c r="F211" i="17"/>
  <c r="G211" i="17"/>
  <c r="H211" i="17"/>
  <c r="A212" i="17"/>
  <c r="B212" i="17"/>
  <c r="C212" i="17"/>
  <c r="D212" i="17"/>
  <c r="E212" i="17"/>
  <c r="F212" i="17"/>
  <c r="G212" i="17"/>
  <c r="H212" i="17"/>
  <c r="A213" i="17"/>
  <c r="B213" i="17"/>
  <c r="C213" i="17"/>
  <c r="D213" i="17"/>
  <c r="F213" i="17"/>
  <c r="G213" i="17"/>
  <c r="H213" i="17"/>
  <c r="A214" i="17"/>
  <c r="B214" i="17"/>
  <c r="C214" i="17"/>
  <c r="D214" i="17"/>
  <c r="E214" i="17"/>
  <c r="F214" i="17"/>
  <c r="G214" i="17"/>
  <c r="H214" i="17"/>
  <c r="A215" i="17"/>
  <c r="B215" i="17"/>
  <c r="C215" i="17"/>
  <c r="D215" i="17"/>
  <c r="E215" i="17"/>
  <c r="F215" i="17"/>
  <c r="G215" i="17"/>
  <c r="H215" i="17"/>
  <c r="A216" i="17"/>
  <c r="B216" i="17"/>
  <c r="C216" i="17"/>
  <c r="D216" i="17"/>
  <c r="E216" i="17"/>
  <c r="F216" i="17"/>
  <c r="G216" i="17"/>
  <c r="H216" i="17"/>
  <c r="A217" i="17"/>
  <c r="B217" i="17"/>
  <c r="C217" i="17"/>
  <c r="D217" i="17"/>
  <c r="E217" i="17"/>
  <c r="F217" i="17"/>
  <c r="G217" i="17"/>
  <c r="H217" i="17"/>
  <c r="A218" i="17"/>
  <c r="B218" i="17"/>
  <c r="C218" i="17"/>
  <c r="D218" i="17"/>
  <c r="E218" i="17"/>
  <c r="F218" i="17"/>
  <c r="G218" i="17"/>
  <c r="H218" i="17"/>
  <c r="A219" i="17"/>
  <c r="B219" i="17"/>
  <c r="C219" i="17"/>
  <c r="D219" i="17"/>
  <c r="E219" i="17"/>
  <c r="F219" i="17"/>
  <c r="G219" i="17"/>
  <c r="H219" i="17"/>
  <c r="A220" i="17"/>
  <c r="B220" i="17"/>
  <c r="C220" i="17"/>
  <c r="D220" i="17"/>
  <c r="E220" i="17"/>
  <c r="F220" i="17"/>
  <c r="G220" i="17"/>
  <c r="H220" i="17"/>
  <c r="A221" i="17"/>
  <c r="B221" i="17"/>
  <c r="C221" i="17"/>
  <c r="D221" i="17"/>
  <c r="E221" i="17"/>
  <c r="F221" i="17"/>
  <c r="G221" i="17"/>
  <c r="H221" i="17"/>
  <c r="A222" i="17"/>
  <c r="B222" i="17"/>
  <c r="C222" i="17"/>
  <c r="D222" i="17"/>
  <c r="E222" i="17"/>
  <c r="F222" i="17"/>
  <c r="G222" i="17"/>
  <c r="H222" i="17"/>
  <c r="A223" i="17"/>
  <c r="B223" i="17"/>
  <c r="C223" i="17"/>
  <c r="D223" i="17"/>
  <c r="E223" i="17"/>
  <c r="F223" i="17"/>
  <c r="G223" i="17"/>
  <c r="H223" i="17"/>
  <c r="A271" i="17"/>
  <c r="B271" i="17"/>
  <c r="C271" i="17"/>
  <c r="D271" i="17"/>
  <c r="E271" i="17"/>
  <c r="F271" i="17"/>
  <c r="G271" i="17"/>
  <c r="H271" i="17"/>
  <c r="A272" i="17"/>
  <c r="B272" i="17"/>
  <c r="C272" i="17"/>
  <c r="D272" i="17"/>
  <c r="E272" i="17"/>
  <c r="F272" i="17"/>
  <c r="G272" i="17"/>
  <c r="H272" i="17"/>
  <c r="A273" i="17"/>
  <c r="B273" i="17"/>
  <c r="C273" i="17"/>
  <c r="D273" i="17"/>
  <c r="E273" i="17"/>
  <c r="F273" i="17"/>
  <c r="G273" i="17"/>
  <c r="H273" i="17"/>
  <c r="A274" i="17"/>
  <c r="B274" i="17"/>
  <c r="C274" i="17"/>
  <c r="D274" i="17"/>
  <c r="E274" i="17"/>
  <c r="F274" i="17"/>
  <c r="G274" i="17"/>
  <c r="H274" i="17"/>
  <c r="A275" i="17"/>
  <c r="B275" i="17"/>
  <c r="C275" i="17"/>
  <c r="D275" i="17"/>
  <c r="E275" i="17"/>
  <c r="F275" i="17"/>
  <c r="G275" i="17"/>
  <c r="H275" i="17"/>
  <c r="A276" i="17"/>
  <c r="B276" i="17"/>
  <c r="C276" i="17"/>
  <c r="D276" i="17"/>
  <c r="E276" i="17"/>
  <c r="F276" i="17"/>
  <c r="G276" i="17"/>
  <c r="H276" i="17"/>
  <c r="A277" i="17"/>
  <c r="B277" i="17"/>
  <c r="C277" i="17"/>
  <c r="D277" i="17"/>
  <c r="E277" i="17"/>
  <c r="F277" i="17"/>
  <c r="G277" i="17"/>
  <c r="H277" i="17"/>
  <c r="A278" i="17"/>
  <c r="B278" i="17"/>
  <c r="C278" i="17"/>
  <c r="D278" i="17"/>
  <c r="E278" i="17"/>
  <c r="F278" i="17"/>
  <c r="G278" i="17"/>
  <c r="H278" i="17"/>
  <c r="A279" i="17"/>
  <c r="B279" i="17"/>
  <c r="C279" i="17"/>
  <c r="D279" i="17"/>
  <c r="E279" i="17"/>
  <c r="F279" i="17"/>
  <c r="G279" i="17"/>
  <c r="H279" i="17"/>
  <c r="A280" i="17"/>
  <c r="B280" i="17"/>
  <c r="C280" i="17"/>
  <c r="D280" i="17"/>
  <c r="E280" i="17"/>
  <c r="F280" i="17"/>
  <c r="G280" i="17"/>
  <c r="H280" i="17"/>
  <c r="A281" i="17"/>
  <c r="B281" i="17"/>
  <c r="C281" i="17"/>
  <c r="D281" i="17"/>
  <c r="E281" i="17"/>
  <c r="F281" i="17"/>
  <c r="G281" i="17"/>
  <c r="H281" i="17"/>
  <c r="A282" i="17"/>
  <c r="B282" i="17"/>
  <c r="C282" i="17"/>
  <c r="D282" i="17"/>
  <c r="E282" i="17"/>
  <c r="F282" i="17"/>
  <c r="G282" i="17"/>
  <c r="H282" i="17"/>
  <c r="A283" i="17"/>
  <c r="B283" i="17"/>
  <c r="C283" i="17"/>
  <c r="D283" i="17"/>
  <c r="E283" i="17"/>
  <c r="F283" i="17"/>
  <c r="G283" i="17"/>
  <c r="H283" i="17"/>
  <c r="A284" i="17"/>
  <c r="B284" i="17"/>
  <c r="C284" i="17"/>
  <c r="D284" i="17"/>
  <c r="E284" i="17"/>
  <c r="F284" i="17"/>
  <c r="G284" i="17"/>
  <c r="H284" i="17"/>
  <c r="A285" i="17"/>
  <c r="B285" i="17"/>
  <c r="C285" i="17"/>
  <c r="D285" i="17"/>
  <c r="E285" i="17"/>
  <c r="F285" i="17"/>
  <c r="G285" i="17"/>
  <c r="H285" i="17"/>
  <c r="A286" i="17"/>
  <c r="B286" i="17"/>
  <c r="C286" i="17"/>
  <c r="D286" i="17"/>
  <c r="E286" i="17"/>
  <c r="F286" i="17"/>
  <c r="G286" i="17"/>
  <c r="H286" i="17"/>
  <c r="A318" i="17"/>
  <c r="B318" i="17"/>
  <c r="C318" i="17"/>
  <c r="D318" i="17"/>
  <c r="E318" i="17"/>
  <c r="F318" i="17"/>
  <c r="G318" i="17"/>
  <c r="H318" i="17"/>
  <c r="A319" i="17"/>
  <c r="B319" i="17"/>
  <c r="C319" i="17"/>
  <c r="D319" i="17"/>
  <c r="E319" i="17"/>
  <c r="F319" i="17"/>
  <c r="G319" i="17"/>
  <c r="H319" i="17"/>
  <c r="A320" i="17"/>
  <c r="B320" i="17"/>
  <c r="C320" i="17"/>
  <c r="D320" i="17"/>
  <c r="E320" i="17"/>
  <c r="F320" i="17"/>
  <c r="G320" i="17"/>
  <c r="H320" i="17"/>
  <c r="A321" i="17"/>
  <c r="B321" i="17"/>
  <c r="C321" i="17"/>
  <c r="D321" i="17"/>
  <c r="E321" i="17"/>
  <c r="F321" i="17"/>
  <c r="G321" i="17"/>
  <c r="H321" i="17"/>
  <c r="A322" i="17"/>
  <c r="B322" i="17"/>
  <c r="C322" i="17"/>
  <c r="D322" i="17"/>
  <c r="E322" i="17"/>
  <c r="F322" i="17"/>
  <c r="G322" i="17"/>
  <c r="H322" i="17"/>
  <c r="A323" i="17"/>
  <c r="B323" i="17"/>
  <c r="C323" i="17"/>
  <c r="D323" i="17"/>
  <c r="E323" i="17"/>
  <c r="G323" i="17"/>
  <c r="H323" i="17"/>
  <c r="A324" i="17"/>
  <c r="B324" i="17"/>
  <c r="C324" i="17"/>
  <c r="D324" i="17"/>
  <c r="E324" i="17"/>
  <c r="G324" i="17"/>
  <c r="H324" i="17"/>
  <c r="A325" i="17"/>
  <c r="B325" i="17"/>
  <c r="C325" i="17"/>
  <c r="D325" i="17"/>
  <c r="E325" i="17"/>
  <c r="F325" i="17"/>
  <c r="G325" i="17"/>
  <c r="H325" i="17"/>
  <c r="A326" i="17"/>
  <c r="B326" i="17"/>
  <c r="C326" i="17"/>
  <c r="D326" i="17"/>
  <c r="E326" i="17"/>
  <c r="F326" i="17"/>
  <c r="G326" i="17"/>
  <c r="H326" i="17"/>
  <c r="A327" i="17"/>
  <c r="B327" i="17"/>
  <c r="C327" i="17"/>
  <c r="D327" i="17"/>
  <c r="E327" i="17"/>
  <c r="F327" i="17"/>
  <c r="G327" i="17"/>
  <c r="H327" i="17"/>
  <c r="A328" i="17"/>
  <c r="B328" i="17"/>
  <c r="C328" i="17"/>
  <c r="D328" i="17"/>
  <c r="E328" i="17"/>
  <c r="F328" i="17"/>
  <c r="G328" i="17"/>
  <c r="H328" i="17"/>
  <c r="A329" i="17"/>
  <c r="B329" i="17"/>
  <c r="C329" i="17"/>
  <c r="D329" i="17"/>
  <c r="E329" i="17"/>
  <c r="F329" i="17"/>
  <c r="G329" i="17"/>
  <c r="H329" i="17"/>
  <c r="A330" i="17"/>
  <c r="B330" i="17"/>
  <c r="C330" i="17"/>
  <c r="D330" i="17"/>
  <c r="E330" i="17"/>
  <c r="F330" i="17"/>
  <c r="G330" i="17"/>
  <c r="H330" i="17"/>
  <c r="A301" i="17"/>
  <c r="B301" i="17"/>
  <c r="C301" i="17"/>
  <c r="D301" i="17"/>
  <c r="E301" i="17"/>
  <c r="F301" i="17"/>
  <c r="G301" i="17"/>
  <c r="H301" i="17"/>
  <c r="A302" i="17"/>
  <c r="B302" i="17"/>
  <c r="C302" i="17"/>
  <c r="D302" i="17"/>
  <c r="E302" i="17"/>
  <c r="F302" i="17"/>
  <c r="G302" i="17"/>
  <c r="H302" i="17"/>
  <c r="A303" i="17"/>
  <c r="B303" i="17"/>
  <c r="C303" i="17"/>
  <c r="D303" i="17"/>
  <c r="E303" i="17"/>
  <c r="F303" i="17"/>
  <c r="G303" i="17"/>
  <c r="H303" i="17"/>
  <c r="A304" i="17"/>
  <c r="B304" i="17"/>
  <c r="C304" i="17"/>
  <c r="D304" i="17"/>
  <c r="E304" i="17"/>
  <c r="F304" i="17"/>
  <c r="G304" i="17"/>
  <c r="H304" i="17"/>
  <c r="A305" i="17"/>
  <c r="B305" i="17"/>
  <c r="C305" i="17"/>
  <c r="D305" i="17"/>
  <c r="E305" i="17"/>
  <c r="F305" i="17"/>
  <c r="G305" i="17"/>
  <c r="H305" i="17"/>
  <c r="A306" i="17"/>
  <c r="B306" i="17"/>
  <c r="C306" i="17"/>
  <c r="D306" i="17"/>
  <c r="E306" i="17"/>
  <c r="F306" i="17"/>
  <c r="G306" i="17"/>
  <c r="H306" i="17"/>
  <c r="A307" i="17"/>
  <c r="B307" i="17"/>
  <c r="C307" i="17"/>
  <c r="D307" i="17"/>
  <c r="E307" i="17"/>
  <c r="F307" i="17"/>
  <c r="G307" i="17"/>
  <c r="H307" i="17"/>
  <c r="A308" i="17"/>
  <c r="B308" i="17"/>
  <c r="C308" i="17"/>
  <c r="D308" i="17"/>
  <c r="E308" i="17"/>
  <c r="F308" i="17"/>
  <c r="G308" i="17"/>
  <c r="H308" i="17"/>
  <c r="A309" i="17"/>
  <c r="B309" i="17"/>
  <c r="C309" i="17"/>
  <c r="D309" i="17"/>
  <c r="E309" i="17"/>
  <c r="F309" i="17"/>
  <c r="G309" i="17"/>
  <c r="H309" i="17"/>
  <c r="A310" i="17"/>
  <c r="B310" i="17"/>
  <c r="C310" i="17"/>
  <c r="D310" i="17"/>
  <c r="E310" i="17"/>
  <c r="F310" i="17"/>
  <c r="G310" i="17"/>
  <c r="H310" i="17"/>
  <c r="A311" i="17"/>
  <c r="B311" i="17"/>
  <c r="C311" i="17"/>
  <c r="D311" i="17"/>
  <c r="E311" i="17"/>
  <c r="F311" i="17"/>
  <c r="G311" i="17"/>
  <c r="H311" i="17"/>
  <c r="A312" i="17"/>
  <c r="B312" i="17"/>
  <c r="C312" i="17"/>
  <c r="D312" i="17"/>
  <c r="E312" i="17"/>
  <c r="F312" i="17"/>
  <c r="G312" i="17"/>
  <c r="H312" i="17"/>
  <c r="A313" i="17"/>
  <c r="B313" i="17"/>
  <c r="C313" i="17"/>
  <c r="D313" i="17"/>
  <c r="E313" i="17"/>
  <c r="F313" i="17"/>
  <c r="G313" i="17"/>
  <c r="H313" i="17"/>
  <c r="A314" i="17"/>
  <c r="B314" i="17"/>
  <c r="C314" i="17"/>
  <c r="D314" i="17"/>
  <c r="E314" i="17"/>
  <c r="F314" i="17"/>
  <c r="G314" i="17"/>
  <c r="H314" i="17"/>
  <c r="H372" i="17"/>
  <c r="G372" i="17"/>
  <c r="F372" i="17"/>
  <c r="E372" i="17"/>
  <c r="D372" i="17"/>
  <c r="C372" i="17"/>
  <c r="B372" i="17"/>
  <c r="A372" i="17"/>
  <c r="H371" i="17"/>
  <c r="G371" i="17"/>
  <c r="F371" i="17"/>
  <c r="E371" i="17"/>
  <c r="D371" i="17"/>
  <c r="C371" i="17"/>
  <c r="B371" i="17"/>
  <c r="A371" i="17"/>
  <c r="H370" i="17"/>
  <c r="G370" i="17"/>
  <c r="F370" i="17"/>
  <c r="E370" i="17"/>
  <c r="D370" i="17"/>
  <c r="C370" i="17"/>
  <c r="B370" i="17"/>
  <c r="A370" i="17"/>
  <c r="H369" i="17"/>
  <c r="G369" i="17"/>
  <c r="F369" i="17"/>
  <c r="E369" i="17"/>
  <c r="D369" i="17"/>
  <c r="C369" i="17"/>
  <c r="B369" i="17"/>
  <c r="A369" i="17"/>
  <c r="A362" i="17"/>
  <c r="B362" i="17"/>
  <c r="C362" i="17"/>
  <c r="D362" i="17"/>
  <c r="E362" i="17"/>
  <c r="F362" i="17"/>
  <c r="G362" i="17"/>
  <c r="H362" i="17"/>
  <c r="A363" i="17"/>
  <c r="B363" i="17"/>
  <c r="C363" i="17"/>
  <c r="D363" i="17"/>
  <c r="E363" i="17"/>
  <c r="F363" i="17"/>
  <c r="G363" i="17"/>
  <c r="H363" i="17"/>
  <c r="A364" i="17"/>
  <c r="B364" i="17"/>
  <c r="C364" i="17"/>
  <c r="D364" i="17"/>
  <c r="E364" i="17"/>
  <c r="F364" i="17"/>
  <c r="G364" i="17"/>
  <c r="H364" i="17"/>
  <c r="A365" i="17"/>
  <c r="B365" i="17"/>
  <c r="C365" i="17"/>
  <c r="D365" i="17"/>
  <c r="E365" i="17"/>
  <c r="F365" i="17"/>
  <c r="G365" i="17"/>
  <c r="H365" i="17"/>
  <c r="A366" i="17"/>
  <c r="B366" i="17"/>
  <c r="C366" i="17"/>
  <c r="D366" i="17"/>
  <c r="E366" i="17"/>
  <c r="F366" i="17"/>
  <c r="G366" i="17"/>
  <c r="H366" i="17"/>
  <c r="A367" i="17"/>
  <c r="B367" i="17"/>
  <c r="C367" i="17"/>
  <c r="D367" i="17"/>
  <c r="E367" i="17"/>
  <c r="F367" i="17"/>
  <c r="G367" i="17"/>
  <c r="H367" i="17"/>
  <c r="A368" i="17"/>
  <c r="B368" i="17"/>
  <c r="C368" i="17"/>
  <c r="D368" i="17"/>
  <c r="E368" i="17"/>
  <c r="F368" i="17"/>
  <c r="G368" i="17"/>
  <c r="H368" i="17"/>
  <c r="H358" i="17"/>
  <c r="G358" i="17"/>
  <c r="F358" i="17"/>
  <c r="E358" i="17"/>
  <c r="D358" i="17"/>
  <c r="C358" i="17"/>
  <c r="B358" i="17"/>
  <c r="A358" i="17"/>
  <c r="H357" i="17"/>
  <c r="G357" i="17"/>
  <c r="F357" i="17"/>
  <c r="E357" i="17"/>
  <c r="D357" i="17"/>
  <c r="C357" i="17"/>
  <c r="B357" i="17"/>
  <c r="A357" i="17"/>
  <c r="H356" i="17"/>
  <c r="G356" i="17"/>
  <c r="F356" i="17"/>
  <c r="E356" i="17"/>
  <c r="D356" i="17"/>
  <c r="C356" i="17"/>
  <c r="B356" i="17"/>
  <c r="A356" i="17"/>
  <c r="H355" i="17"/>
  <c r="G355" i="17"/>
  <c r="F355" i="17"/>
  <c r="E355" i="17"/>
  <c r="D355" i="17"/>
  <c r="C355" i="17"/>
  <c r="B355" i="17"/>
  <c r="A355" i="17"/>
  <c r="A345" i="17"/>
  <c r="B345" i="17"/>
  <c r="C345" i="17"/>
  <c r="D345" i="17"/>
  <c r="E345" i="17"/>
  <c r="F345" i="17"/>
  <c r="G345" i="17"/>
  <c r="H345" i="17"/>
  <c r="A346" i="17"/>
  <c r="B346" i="17"/>
  <c r="C346" i="17"/>
  <c r="D346" i="17"/>
  <c r="E346" i="17"/>
  <c r="F346" i="17"/>
  <c r="G346" i="17"/>
  <c r="H346" i="17"/>
  <c r="A347" i="17"/>
  <c r="B347" i="17"/>
  <c r="C347" i="17"/>
  <c r="D347" i="17"/>
  <c r="E347" i="17"/>
  <c r="F347" i="17"/>
  <c r="G347" i="17"/>
  <c r="H347" i="17"/>
  <c r="A348" i="17"/>
  <c r="B348" i="17"/>
  <c r="C348" i="17"/>
  <c r="D348" i="17"/>
  <c r="E348" i="17"/>
  <c r="F348" i="17"/>
  <c r="H348" i="17"/>
  <c r="A349" i="17"/>
  <c r="B349" i="17"/>
  <c r="C349" i="17"/>
  <c r="D349" i="17"/>
  <c r="E349" i="17"/>
  <c r="F349" i="17"/>
  <c r="G349" i="17"/>
  <c r="H349" i="17"/>
  <c r="A350" i="17"/>
  <c r="B350" i="17"/>
  <c r="C350" i="17"/>
  <c r="D350" i="17"/>
  <c r="E350" i="17"/>
  <c r="F350" i="17"/>
  <c r="G350" i="17"/>
  <c r="H350" i="17"/>
  <c r="A351" i="17"/>
  <c r="B351" i="17"/>
  <c r="C351" i="17"/>
  <c r="D351" i="17"/>
  <c r="E351" i="17"/>
  <c r="F351" i="17"/>
  <c r="G351" i="17"/>
  <c r="H351" i="17"/>
  <c r="A352" i="17"/>
  <c r="B352" i="17"/>
  <c r="C352" i="17"/>
  <c r="D352" i="17"/>
  <c r="E352" i="17"/>
  <c r="F352" i="17"/>
  <c r="G352" i="17"/>
  <c r="H352" i="17"/>
  <c r="A353" i="17"/>
  <c r="B353" i="17"/>
  <c r="C353" i="17"/>
  <c r="D353" i="17"/>
  <c r="E353" i="17"/>
  <c r="F353" i="17"/>
  <c r="G353" i="17"/>
  <c r="H353" i="17"/>
  <c r="A354" i="17"/>
  <c r="B354" i="17"/>
  <c r="C354" i="17"/>
  <c r="D354" i="17"/>
  <c r="E354" i="17"/>
  <c r="F354" i="17"/>
  <c r="G354" i="17"/>
  <c r="H354" i="17"/>
  <c r="A486" i="17"/>
  <c r="B486" i="17"/>
  <c r="C486" i="17"/>
  <c r="D486" i="17"/>
  <c r="E486" i="17"/>
  <c r="F486" i="17"/>
  <c r="G486" i="17"/>
  <c r="H486" i="17"/>
  <c r="A487" i="17"/>
  <c r="B487" i="17"/>
  <c r="C487" i="17"/>
  <c r="D487" i="17"/>
  <c r="E487" i="17"/>
  <c r="F487" i="17"/>
  <c r="G487" i="17"/>
  <c r="H487" i="17"/>
  <c r="A488" i="17"/>
  <c r="B488" i="17"/>
  <c r="C488" i="17"/>
  <c r="D488" i="17"/>
  <c r="E488" i="17"/>
  <c r="F488" i="17"/>
  <c r="G488" i="17"/>
  <c r="H488" i="17"/>
  <c r="A489" i="17"/>
  <c r="B489" i="17"/>
  <c r="C489" i="17"/>
  <c r="D489" i="17"/>
  <c r="E489" i="17"/>
  <c r="F489" i="17"/>
  <c r="G489" i="17"/>
  <c r="H489" i="17"/>
  <c r="A490" i="17"/>
  <c r="B490" i="17"/>
  <c r="C490" i="17"/>
  <c r="D490" i="17"/>
  <c r="E490" i="17"/>
  <c r="F490" i="17"/>
  <c r="G490" i="17"/>
  <c r="H490" i="17"/>
  <c r="A491" i="17"/>
  <c r="B491" i="17"/>
  <c r="C491" i="17"/>
  <c r="D491" i="17"/>
  <c r="E491" i="17"/>
  <c r="F491" i="17"/>
  <c r="G491" i="17"/>
  <c r="H491" i="17"/>
  <c r="A492" i="17"/>
  <c r="B492" i="17"/>
  <c r="C492" i="17"/>
  <c r="D492" i="17"/>
  <c r="E492" i="17"/>
  <c r="F492" i="17"/>
  <c r="G492" i="17"/>
  <c r="H492" i="17"/>
  <c r="A493" i="17"/>
  <c r="B493" i="17"/>
  <c r="C493" i="17"/>
  <c r="D493" i="17"/>
  <c r="E493" i="17"/>
  <c r="F493" i="17"/>
  <c r="G493" i="17"/>
  <c r="H493" i="17"/>
  <c r="A494" i="17"/>
  <c r="B494" i="17"/>
  <c r="C494" i="17"/>
  <c r="D494" i="17"/>
  <c r="E494" i="17"/>
  <c r="F494" i="17"/>
  <c r="G494" i="17"/>
  <c r="H494" i="17"/>
  <c r="A495" i="17"/>
  <c r="B495" i="17"/>
  <c r="C495" i="17"/>
  <c r="D495" i="17"/>
  <c r="E495" i="17"/>
  <c r="F495" i="17"/>
  <c r="G495" i="17"/>
  <c r="H495" i="17"/>
  <c r="A496" i="17"/>
  <c r="B496" i="17"/>
  <c r="C496" i="17"/>
  <c r="D496" i="17"/>
  <c r="E496" i="17"/>
  <c r="F496" i="17"/>
  <c r="G496" i="17"/>
  <c r="H496" i="17"/>
  <c r="A497" i="17"/>
  <c r="B497" i="17"/>
  <c r="C497" i="17"/>
  <c r="D497" i="17"/>
  <c r="E497" i="17"/>
  <c r="F497" i="17"/>
  <c r="G497" i="17"/>
  <c r="H497" i="17"/>
  <c r="A498" i="17"/>
  <c r="B498" i="17"/>
  <c r="C498" i="17"/>
  <c r="D498" i="17"/>
  <c r="E498" i="17"/>
  <c r="F498" i="17"/>
  <c r="G498" i="17"/>
  <c r="H498" i="17"/>
  <c r="A499" i="17"/>
  <c r="B499" i="17"/>
  <c r="C499" i="17"/>
  <c r="D499" i="17"/>
  <c r="E499" i="17"/>
  <c r="F499" i="17"/>
  <c r="G499" i="17"/>
  <c r="H499" i="17"/>
  <c r="H503" i="17"/>
  <c r="G503" i="17"/>
  <c r="F503" i="17"/>
  <c r="E503" i="17"/>
  <c r="D503" i="17"/>
  <c r="C503" i="17"/>
  <c r="B503" i="17"/>
  <c r="A503" i="17"/>
  <c r="A469" i="17"/>
  <c r="B469" i="17"/>
  <c r="C469" i="17"/>
  <c r="D469" i="17"/>
  <c r="E469" i="17"/>
  <c r="F469" i="17"/>
  <c r="G469" i="17"/>
  <c r="H469" i="17"/>
  <c r="A470" i="17"/>
  <c r="B470" i="17"/>
  <c r="C470" i="17"/>
  <c r="D470" i="17"/>
  <c r="E470" i="17"/>
  <c r="F470" i="17"/>
  <c r="G470" i="17"/>
  <c r="H470" i="17"/>
  <c r="A471" i="17"/>
  <c r="B471" i="17"/>
  <c r="C471" i="17"/>
  <c r="D471" i="17"/>
  <c r="E471" i="17"/>
  <c r="F471" i="17"/>
  <c r="G471" i="17"/>
  <c r="H471" i="17"/>
  <c r="A472" i="17"/>
  <c r="B472" i="17"/>
  <c r="C472" i="17"/>
  <c r="D472" i="17"/>
  <c r="E472" i="17"/>
  <c r="F472" i="17"/>
  <c r="G472" i="17"/>
  <c r="H472" i="17"/>
  <c r="A473" i="17"/>
  <c r="B473" i="17"/>
  <c r="C473" i="17"/>
  <c r="D473" i="17"/>
  <c r="E473" i="17"/>
  <c r="F473" i="17"/>
  <c r="G473" i="17"/>
  <c r="H473" i="17"/>
  <c r="A474" i="17"/>
  <c r="B474" i="17"/>
  <c r="C474" i="17"/>
  <c r="D474" i="17"/>
  <c r="E474" i="17"/>
  <c r="F474" i="17"/>
  <c r="G474" i="17"/>
  <c r="H474" i="17"/>
  <c r="A475" i="17"/>
  <c r="B475" i="17"/>
  <c r="C475" i="17"/>
  <c r="D475" i="17"/>
  <c r="E475" i="17"/>
  <c r="F475" i="17"/>
  <c r="G475" i="17"/>
  <c r="H475" i="17"/>
  <c r="A476" i="17"/>
  <c r="B476" i="17"/>
  <c r="C476" i="17"/>
  <c r="D476" i="17"/>
  <c r="E476" i="17"/>
  <c r="F476" i="17"/>
  <c r="G476" i="17"/>
  <c r="H476" i="17"/>
  <c r="A477" i="17"/>
  <c r="B477" i="17"/>
  <c r="C477" i="17"/>
  <c r="D477" i="17"/>
  <c r="E477" i="17"/>
  <c r="F477" i="17"/>
  <c r="G477" i="17"/>
  <c r="H477" i="17"/>
  <c r="A478" i="17"/>
  <c r="B478" i="17"/>
  <c r="C478" i="17"/>
  <c r="D478" i="17"/>
  <c r="E478" i="17"/>
  <c r="F478" i="17"/>
  <c r="G478" i="17"/>
  <c r="H478" i="17"/>
  <c r="A479" i="17"/>
  <c r="B479" i="17"/>
  <c r="C479" i="17"/>
  <c r="D479" i="17"/>
  <c r="E479" i="17"/>
  <c r="F479" i="17"/>
  <c r="G479" i="17"/>
  <c r="H479" i="17"/>
  <c r="A480" i="17"/>
  <c r="B480" i="17"/>
  <c r="C480" i="17"/>
  <c r="D480" i="17"/>
  <c r="E480" i="17"/>
  <c r="F480" i="17"/>
  <c r="G480" i="17"/>
  <c r="H480" i="17"/>
  <c r="A481" i="17"/>
  <c r="B481" i="17"/>
  <c r="C481" i="17"/>
  <c r="D481" i="17"/>
  <c r="E481" i="17"/>
  <c r="F481" i="17"/>
  <c r="G481" i="17"/>
  <c r="H481" i="17"/>
  <c r="A482" i="17"/>
  <c r="B482" i="17"/>
  <c r="C482" i="17"/>
  <c r="D482" i="17"/>
  <c r="E482" i="17"/>
  <c r="F482" i="17"/>
  <c r="G482" i="17"/>
  <c r="H482" i="17"/>
  <c r="AW16" i="11"/>
  <c r="AV16" i="11"/>
  <c r="AU16" i="11"/>
  <c r="AT16" i="11"/>
  <c r="AS16" i="11"/>
  <c r="AR16" i="11"/>
  <c r="AQ16" i="11"/>
  <c r="AB14" i="11"/>
  <c r="AC14" i="11"/>
  <c r="AD14" i="11"/>
  <c r="AH14" i="11"/>
  <c r="AB15" i="11"/>
  <c r="AC15" i="11"/>
  <c r="AD15" i="11"/>
  <c r="AH15" i="11"/>
  <c r="B485" i="17"/>
  <c r="C485" i="17"/>
  <c r="D485" i="17"/>
  <c r="E485" i="17"/>
  <c r="F485" i="17"/>
  <c r="G485" i="17"/>
  <c r="H485" i="17"/>
  <c r="A485" i="17"/>
  <c r="G468" i="17"/>
  <c r="F468" i="17"/>
  <c r="E468" i="17"/>
  <c r="D468" i="17"/>
  <c r="C468" i="17"/>
  <c r="B468" i="17"/>
  <c r="A468" i="17"/>
  <c r="B465" i="17"/>
  <c r="Z250" i="50"/>
  <c r="Y250" i="50"/>
  <c r="X250" i="50"/>
  <c r="W250" i="50"/>
  <c r="S250" i="50"/>
  <c r="P250" i="50"/>
  <c r="N250" i="50"/>
  <c r="L250" i="50"/>
  <c r="G15" i="6" s="1"/>
  <c r="U15" i="11" s="1"/>
  <c r="K18" i="16" s="1"/>
  <c r="J250" i="50"/>
  <c r="H250" i="50"/>
  <c r="F250" i="50"/>
  <c r="D15" i="6" s="1"/>
  <c r="R15" i="11" s="1"/>
  <c r="H18" i="16" s="1"/>
  <c r="D250" i="50"/>
  <c r="C15" i="6" s="1"/>
  <c r="Q15" i="11" s="1"/>
  <c r="G18" i="16" s="1"/>
  <c r="B250" i="50"/>
  <c r="B15" i="6" s="1"/>
  <c r="V249" i="50"/>
  <c r="V237" i="50"/>
  <c r="V236" i="50"/>
  <c r="V235" i="50"/>
  <c r="V234" i="50"/>
  <c r="V233" i="50"/>
  <c r="V232" i="50"/>
  <c r="V231" i="50"/>
  <c r="V230" i="50"/>
  <c r="V229" i="50"/>
  <c r="V228" i="50"/>
  <c r="V227" i="50"/>
  <c r="V226" i="50"/>
  <c r="V225" i="50"/>
  <c r="V224" i="50"/>
  <c r="V223" i="50"/>
  <c r="V222" i="50"/>
  <c r="W2462" i="55"/>
  <c r="T2462" i="55"/>
  <c r="Q2462" i="55"/>
  <c r="N2462" i="55"/>
  <c r="K2462" i="55"/>
  <c r="H2462" i="55"/>
  <c r="E2462" i="55"/>
  <c r="B2462" i="55"/>
  <c r="B2394" i="55"/>
  <c r="I3647" i="43"/>
  <c r="I3646" i="43"/>
  <c r="F15" i="6" l="1"/>
  <c r="T15" i="11" s="1"/>
  <c r="J18" i="16" s="1"/>
  <c r="E15" i="6"/>
  <c r="S15" i="11" s="1"/>
  <c r="I18" i="16" s="1"/>
  <c r="H15" i="6"/>
  <c r="V15" i="11" s="1"/>
  <c r="I200" i="11"/>
  <c r="M15" i="6"/>
  <c r="C505" i="17"/>
  <c r="E505" i="17"/>
  <c r="G505" i="17"/>
  <c r="Z2462" i="55"/>
  <c r="G507" i="17"/>
  <c r="R33" i="11"/>
  <c r="AC33" i="11" s="1"/>
  <c r="T250" i="50"/>
  <c r="J506" i="17" s="1"/>
  <c r="C507" i="17"/>
  <c r="A507" i="17"/>
  <c r="V250" i="50"/>
  <c r="J15" i="6" s="1"/>
  <c r="I15" i="6" s="1"/>
  <c r="W15" i="11" s="1"/>
  <c r="M18" i="16" s="1"/>
  <c r="E507" i="17"/>
  <c r="G100" i="6"/>
  <c r="Q33" i="11"/>
  <c r="AB33" i="11" s="1"/>
  <c r="U33" i="11"/>
  <c r="AF33" i="11" s="1"/>
  <c r="X33" i="11"/>
  <c r="P33" i="11"/>
  <c r="P15" i="11"/>
  <c r="F18" i="16" s="1"/>
  <c r="AE15" i="11"/>
  <c r="I203" i="11"/>
  <c r="I209" i="11"/>
  <c r="AF15" i="11"/>
  <c r="I213" i="11"/>
  <c r="W50" i="11" s="1"/>
  <c r="I32" i="6" s="1"/>
  <c r="I202" i="11"/>
  <c r="I206" i="11"/>
  <c r="I207" i="11"/>
  <c r="I208" i="11"/>
  <c r="I205" i="11"/>
  <c r="I201" i="11"/>
  <c r="I199" i="11"/>
  <c r="I211" i="11"/>
  <c r="I204" i="11"/>
  <c r="AE14" i="11"/>
  <c r="N15" i="6"/>
  <c r="A505" i="17"/>
  <c r="AF14" i="11"/>
  <c r="AG14" i="11" s="1"/>
  <c r="R250" i="50"/>
  <c r="V3649" i="43"/>
  <c r="V3650" i="43"/>
  <c r="V3651" i="43"/>
  <c r="V3652" i="43"/>
  <c r="I3645" i="43"/>
  <c r="L18" i="16" l="1"/>
  <c r="U50" i="11"/>
  <c r="G32" i="6" s="1"/>
  <c r="O15" i="6"/>
  <c r="K15" i="6"/>
  <c r="P15" i="6"/>
  <c r="X15" i="11"/>
  <c r="N18" i="16" s="1"/>
  <c r="AA33" i="11"/>
  <c r="Q50" i="11"/>
  <c r="C32" i="6" s="1"/>
  <c r="X50" i="11"/>
  <c r="J32" i="6" s="1"/>
  <c r="P32" i="6" s="1"/>
  <c r="R50" i="11"/>
  <c r="D32" i="6" s="1"/>
  <c r="P50" i="11"/>
  <c r="B32" i="6" s="1"/>
  <c r="J505" i="17"/>
  <c r="U250" i="50" s="1"/>
  <c r="I3644" i="43"/>
  <c r="I3643" i="43"/>
  <c r="I3642" i="43"/>
  <c r="AI33" i="11" l="1"/>
  <c r="L15" i="6"/>
  <c r="M32" i="6"/>
  <c r="I3641" i="43"/>
  <c r="I3640" i="43" l="1"/>
  <c r="I3639" i="43"/>
  <c r="I3638" i="43" l="1"/>
  <c r="I3637" i="43" l="1"/>
  <c r="I3636" i="43"/>
  <c r="I3635" i="43" l="1"/>
  <c r="I3634" i="43" l="1"/>
  <c r="I3633" i="43" l="1"/>
  <c r="I3632" i="43" l="1"/>
  <c r="V3631" i="43"/>
  <c r="V3632" i="43"/>
  <c r="V3633" i="43"/>
  <c r="V3634" i="43"/>
  <c r="V3635" i="43"/>
  <c r="V3636" i="43"/>
  <c r="V3637" i="43"/>
  <c r="V3638" i="43"/>
  <c r="V3639" i="43"/>
  <c r="V3640" i="43"/>
  <c r="V3641" i="43"/>
  <c r="V3642" i="43"/>
  <c r="V3643" i="43"/>
  <c r="V3644" i="43"/>
  <c r="V3645" i="43"/>
  <c r="V3646" i="43"/>
  <c r="V3647" i="43"/>
  <c r="V3648" i="43"/>
  <c r="I3631" i="43"/>
  <c r="V3630" i="43" l="1"/>
  <c r="I3630" i="43"/>
  <c r="I3629" i="43"/>
  <c r="V3628" i="43"/>
  <c r="V3629" i="43"/>
  <c r="I3628" i="43"/>
  <c r="V3627" i="43" l="1"/>
  <c r="I3627" i="43"/>
  <c r="V3626" i="43"/>
  <c r="I3626" i="43"/>
  <c r="V3625" i="43" l="1"/>
  <c r="I3625" i="43"/>
  <c r="V3624" i="43" l="1"/>
  <c r="I3624" i="43"/>
  <c r="I3623" i="43" l="1"/>
  <c r="I3622" i="43"/>
  <c r="I3621" i="43"/>
  <c r="I3620" i="43"/>
  <c r="I3619" i="43" l="1"/>
  <c r="I3618" i="43" l="1"/>
  <c r="I3617" i="43"/>
  <c r="I3616" i="43" l="1"/>
  <c r="I3615" i="43" l="1"/>
  <c r="V3614" i="43"/>
  <c r="V3615" i="43"/>
  <c r="V3616" i="43"/>
  <c r="V3617" i="43"/>
  <c r="V3618" i="43"/>
  <c r="V3619" i="43"/>
  <c r="V3620" i="43"/>
  <c r="V3621" i="43"/>
  <c r="V3622" i="43"/>
  <c r="V3623" i="43"/>
  <c r="I3614" i="43"/>
  <c r="V3613" i="43" l="1"/>
  <c r="I3613" i="43"/>
  <c r="V3612" i="43" l="1"/>
  <c r="I3612" i="43"/>
  <c r="V3611" i="43" l="1"/>
  <c r="I3611" i="43"/>
  <c r="I3610" i="43"/>
  <c r="V3609" i="43" l="1"/>
  <c r="V3610" i="43"/>
  <c r="I3609" i="43"/>
  <c r="V3608" i="43"/>
  <c r="I3608" i="43"/>
  <c r="I3607" i="43" l="1"/>
  <c r="I3606" i="43" l="1"/>
  <c r="I3605" i="43"/>
  <c r="I3604" i="43" l="1"/>
  <c r="I3603" i="43" l="1"/>
  <c r="I3602" i="43" l="1"/>
  <c r="V3601" i="43"/>
  <c r="V3602" i="43"/>
  <c r="V3603" i="43"/>
  <c r="V3604" i="43"/>
  <c r="V3605" i="43"/>
  <c r="V3606" i="43"/>
  <c r="V3607" i="43"/>
  <c r="I3601" i="43"/>
  <c r="V3600" i="43" l="1"/>
  <c r="I3600" i="43"/>
  <c r="V3599" i="43"/>
  <c r="I3599" i="43"/>
  <c r="V3598" i="43" l="1"/>
  <c r="I3598" i="43"/>
  <c r="V3597" i="43" l="1"/>
  <c r="I3597" i="43"/>
  <c r="V3596" i="43" l="1"/>
  <c r="I3596" i="43"/>
  <c r="V3595" i="43"/>
  <c r="I3595" i="43"/>
  <c r="V3594" i="43"/>
  <c r="I3594" i="43"/>
  <c r="V3593" i="43" l="1"/>
  <c r="I3593" i="43"/>
  <c r="V3592" i="43" l="1"/>
  <c r="I3592" i="43"/>
  <c r="V3591" i="43" l="1"/>
  <c r="I3591" i="43"/>
  <c r="V3590" i="43" l="1"/>
  <c r="V3589" i="43"/>
  <c r="I3588" i="43" l="1"/>
  <c r="V3588" i="43"/>
  <c r="V3587" i="43" l="1"/>
  <c r="I3587" i="43"/>
  <c r="I3586" i="43" l="1"/>
  <c r="I3585" i="43" l="1"/>
  <c r="I3584" i="43" l="1"/>
  <c r="V3583" i="43"/>
  <c r="V3584" i="43"/>
  <c r="V3585" i="43"/>
  <c r="V3586" i="43"/>
  <c r="I3583" i="43"/>
  <c r="I3582" i="43"/>
  <c r="I3581" i="43" l="1"/>
  <c r="I3580" i="43"/>
  <c r="V3580" i="43" l="1"/>
  <c r="V3581" i="43"/>
  <c r="V3582" i="43"/>
  <c r="V3579" i="43" l="1"/>
  <c r="I3579" i="43"/>
  <c r="I3590" i="43"/>
  <c r="I3589" i="43"/>
  <c r="V3578" i="43" l="1"/>
  <c r="I3578" i="43"/>
  <c r="V3577" i="43" l="1"/>
  <c r="I3577" i="43"/>
  <c r="V3576" i="43"/>
  <c r="I3576" i="43"/>
  <c r="V3575" i="43" l="1"/>
  <c r="I3575" i="43"/>
  <c r="I3574" i="43" l="1"/>
  <c r="V3573" i="43" l="1"/>
  <c r="V3574" i="43"/>
  <c r="I3573" i="43"/>
  <c r="I3572" i="43"/>
  <c r="V3571" i="43" l="1"/>
  <c r="V3572" i="43"/>
  <c r="I3571" i="43"/>
  <c r="V3570" i="43" l="1"/>
  <c r="I3570" i="43"/>
  <c r="I3569" i="43" l="1"/>
  <c r="V3568" i="43" l="1"/>
  <c r="V3569" i="43"/>
  <c r="I3568" i="43"/>
  <c r="F387" i="17"/>
  <c r="E387" i="17"/>
  <c r="E420" i="17" s="1"/>
  <c r="G427" i="17"/>
  <c r="H427" i="17"/>
  <c r="G428" i="17"/>
  <c r="H428" i="17"/>
  <c r="H465" i="17" s="1"/>
  <c r="G429" i="17"/>
  <c r="H429" i="17"/>
  <c r="G430" i="17"/>
  <c r="H430" i="17"/>
  <c r="G431" i="17"/>
  <c r="H431" i="17"/>
  <c r="G432" i="17"/>
  <c r="H432" i="17"/>
  <c r="G433" i="17"/>
  <c r="H433" i="17"/>
  <c r="G434" i="17"/>
  <c r="H434" i="17"/>
  <c r="G435" i="17"/>
  <c r="H435" i="17"/>
  <c r="G436" i="17"/>
  <c r="H436" i="17"/>
  <c r="G437" i="17"/>
  <c r="H437" i="17"/>
  <c r="G438" i="17"/>
  <c r="H438" i="17"/>
  <c r="G439" i="17"/>
  <c r="H439" i="17"/>
  <c r="G440" i="17"/>
  <c r="H440" i="17"/>
  <c r="H426" i="17"/>
  <c r="G426" i="17"/>
  <c r="A444" i="17"/>
  <c r="B444" i="17"/>
  <c r="A445" i="17"/>
  <c r="B445" i="17"/>
  <c r="A446" i="17"/>
  <c r="B446" i="17"/>
  <c r="A447" i="17"/>
  <c r="B447" i="17"/>
  <c r="A448" i="17"/>
  <c r="B448" i="17"/>
  <c r="A449" i="17"/>
  <c r="B449" i="17"/>
  <c r="A443" i="17"/>
  <c r="J221" i="50"/>
  <c r="B443" i="17"/>
  <c r="G460" i="17" l="1"/>
  <c r="I3567" i="43"/>
  <c r="I3566" i="43"/>
  <c r="V3565" i="43"/>
  <c r="V3566" i="43"/>
  <c r="V3567" i="43"/>
  <c r="I3565" i="43"/>
  <c r="I3564" i="43" l="1"/>
  <c r="V3563" i="43"/>
  <c r="V3564" i="43"/>
  <c r="I3562" i="43"/>
  <c r="I3561" i="43"/>
  <c r="I3560" i="43" l="1"/>
  <c r="I3559" i="43" l="1"/>
  <c r="I3558" i="43"/>
  <c r="V161" i="50" l="1"/>
  <c r="AI28" i="43"/>
  <c r="I3557" i="43"/>
  <c r="I3556" i="43"/>
  <c r="I3555" i="43" l="1"/>
  <c r="I3563" i="43"/>
  <c r="I3554" i="43" l="1"/>
  <c r="I3553" i="43" l="1"/>
  <c r="V3555" i="43" l="1"/>
  <c r="V3556" i="43"/>
  <c r="V3557" i="43"/>
  <c r="V3558" i="43"/>
  <c r="V3559" i="43"/>
  <c r="V3560" i="43"/>
  <c r="V3561" i="43"/>
  <c r="V3562" i="43"/>
  <c r="I3552" i="43" l="1"/>
  <c r="N110" i="50" l="1"/>
  <c r="I3551" i="43"/>
  <c r="I3550" i="43" l="1"/>
  <c r="V3550" i="43"/>
  <c r="V3551" i="43"/>
  <c r="V3552" i="43"/>
  <c r="V3553" i="43"/>
  <c r="V3554" i="43"/>
  <c r="V3549" i="43"/>
  <c r="I3549" i="43"/>
  <c r="I3548" i="43"/>
  <c r="I3547" i="43" l="1"/>
  <c r="V3546" i="43"/>
  <c r="V3547" i="43"/>
  <c r="V3548" i="43"/>
  <c r="I3546" i="43"/>
  <c r="I3545" i="43" l="1"/>
  <c r="I3544" i="43" l="1"/>
  <c r="V3543" i="43" l="1"/>
  <c r="V3544" i="43"/>
  <c r="V3545" i="43"/>
  <c r="I3543" i="43"/>
  <c r="I3542" i="43"/>
  <c r="V3541" i="43"/>
  <c r="V3542" i="43"/>
  <c r="I3541" i="43"/>
  <c r="I3540" i="43"/>
  <c r="V3539" i="43" l="1"/>
  <c r="V3540" i="43"/>
  <c r="I3539" i="43"/>
  <c r="I3538" i="43"/>
  <c r="V3537" i="43"/>
  <c r="V3538" i="43"/>
  <c r="I3537" i="43"/>
  <c r="E447" i="17"/>
  <c r="I3536" i="43" l="1"/>
  <c r="I3535" i="43"/>
  <c r="I3534" i="43" l="1"/>
  <c r="V3532" i="43" l="1"/>
  <c r="V3533" i="43"/>
  <c r="V3534" i="43"/>
  <c r="V3535" i="43"/>
  <c r="V3536" i="43"/>
  <c r="I3527" i="43" l="1"/>
  <c r="I3526" i="43"/>
  <c r="V3525" i="43"/>
  <c r="V3526" i="43"/>
  <c r="V3527" i="43"/>
  <c r="V3528" i="43"/>
  <c r="V3529" i="43"/>
  <c r="V3530" i="43"/>
  <c r="I3525" i="43"/>
  <c r="V3524" i="43"/>
  <c r="I3524" i="43"/>
  <c r="V3523" i="43"/>
  <c r="I3523" i="43"/>
  <c r="V3531" i="43" l="1"/>
  <c r="I3533" i="43" l="1"/>
  <c r="I3532" i="43"/>
  <c r="I3531" i="43"/>
  <c r="I3530" i="43"/>
  <c r="I3529" i="43"/>
  <c r="V3522" i="43" l="1"/>
  <c r="I3522" i="43" l="1"/>
  <c r="V3521" i="43" l="1"/>
  <c r="V3518" i="43" l="1"/>
  <c r="V3519" i="43"/>
  <c r="V3520" i="43"/>
  <c r="I3520" i="43" l="1"/>
  <c r="I3521" i="43"/>
  <c r="I3519" i="43"/>
  <c r="V3517" i="43"/>
  <c r="V3516" i="43" l="1"/>
  <c r="I3516" i="43" l="1"/>
  <c r="I3517" i="43"/>
  <c r="I3518" i="43"/>
  <c r="I3511" i="43" l="1"/>
  <c r="I3512" i="43"/>
  <c r="I3513" i="43"/>
  <c r="I3514" i="43"/>
  <c r="I3515" i="43"/>
  <c r="I3510" i="43" l="1"/>
  <c r="V3507" i="43"/>
  <c r="V3508" i="43"/>
  <c r="V3509" i="43"/>
  <c r="V3510" i="43"/>
  <c r="V3511" i="43"/>
  <c r="V3512" i="43"/>
  <c r="V3513" i="43"/>
  <c r="V3514" i="43"/>
  <c r="V3515" i="43"/>
  <c r="I3509" i="43"/>
  <c r="I3507" i="43"/>
  <c r="V3504" i="43" l="1"/>
  <c r="V3505" i="43"/>
  <c r="V3506" i="43"/>
  <c r="V3503" i="43"/>
  <c r="V3502" i="43" l="1"/>
  <c r="I3503" i="43" l="1"/>
  <c r="I3504" i="43"/>
  <c r="I3505" i="43"/>
  <c r="I3506" i="43"/>
  <c r="V3501" i="43"/>
  <c r="V3500" i="43"/>
  <c r="I3501" i="43"/>
  <c r="I3502" i="43"/>
  <c r="V3495" i="43" l="1"/>
  <c r="V3496" i="43"/>
  <c r="I3495" i="43"/>
  <c r="I3496" i="43"/>
  <c r="V3492" i="43" l="1"/>
  <c r="I3493" i="43"/>
  <c r="I3494" i="43"/>
  <c r="I3497" i="43"/>
  <c r="I3498" i="43"/>
  <c r="I3499" i="43"/>
  <c r="I3500" i="43"/>
  <c r="V3488" i="43" l="1"/>
  <c r="I3492" i="43"/>
  <c r="I3488" i="43"/>
  <c r="A428" i="17" l="1"/>
  <c r="I3491" i="43" l="1"/>
  <c r="V3490" i="43"/>
  <c r="V3491" i="43"/>
  <c r="V3493" i="43"/>
  <c r="V3494" i="43"/>
  <c r="V3497" i="43"/>
  <c r="V3498" i="43"/>
  <c r="V3499" i="43"/>
  <c r="V3489" i="43"/>
  <c r="I3489" i="43" l="1"/>
  <c r="I3490" i="43"/>
  <c r="V3487" i="43" l="1"/>
  <c r="V3486" i="43"/>
  <c r="V3485" i="43"/>
  <c r="V3484" i="43" l="1"/>
  <c r="I3485" i="43" l="1"/>
  <c r="I3486" i="43"/>
  <c r="I3487" i="43"/>
  <c r="V3483" i="43"/>
  <c r="V3482" i="43" l="1"/>
  <c r="I3483" i="43"/>
  <c r="I3484" i="43"/>
  <c r="V3481" i="43"/>
  <c r="V3480" i="43"/>
  <c r="V3479" i="43" l="1"/>
  <c r="V3478" i="43" l="1"/>
  <c r="I3480" i="43"/>
  <c r="I3481" i="43"/>
  <c r="I3482" i="43"/>
  <c r="V3477" i="43" l="1"/>
  <c r="V3476" i="43" l="1"/>
  <c r="I3477" i="43"/>
  <c r="I3478" i="43"/>
  <c r="I3479" i="43"/>
  <c r="V3475" i="43"/>
  <c r="I3475" i="43"/>
  <c r="V3474" i="43"/>
  <c r="I3476" i="43"/>
  <c r="V3473" i="43" l="1"/>
  <c r="I3473" i="43" l="1"/>
  <c r="I3474" i="43"/>
  <c r="V3472" i="43"/>
  <c r="V3471" i="43" l="1"/>
  <c r="V3470" i="43"/>
  <c r="V3469" i="43"/>
  <c r="I3470" i="43"/>
  <c r="I3471" i="43"/>
  <c r="I3472" i="43"/>
  <c r="V3468" i="43"/>
  <c r="V3467" i="43"/>
  <c r="I3468" i="43"/>
  <c r="I3469" i="43"/>
  <c r="I3467" i="43" l="1"/>
  <c r="V3466" i="43"/>
  <c r="I3463" i="43" l="1"/>
  <c r="I3464" i="43"/>
  <c r="I3465" i="43"/>
  <c r="I3466" i="43"/>
  <c r="I3459" i="43" l="1"/>
  <c r="I3460" i="43"/>
  <c r="I3461" i="43"/>
  <c r="I3462" i="43"/>
  <c r="V3454" i="43" l="1"/>
  <c r="V3455" i="43"/>
  <c r="V3456" i="43"/>
  <c r="V3457" i="43"/>
  <c r="V3458" i="43"/>
  <c r="V3459" i="43"/>
  <c r="V3460" i="43"/>
  <c r="V3461" i="43"/>
  <c r="V3462" i="43"/>
  <c r="V3463" i="43"/>
  <c r="V3464" i="43"/>
  <c r="V3465" i="43"/>
  <c r="V3453" i="43" l="1"/>
  <c r="V3452" i="43" l="1"/>
  <c r="V3451" i="43" l="1"/>
  <c r="I3454" i="43"/>
  <c r="I3455" i="43"/>
  <c r="I3456" i="43"/>
  <c r="I3457" i="43"/>
  <c r="I3458" i="43"/>
  <c r="V3450" i="43"/>
  <c r="V3449" i="43"/>
  <c r="I3451" i="43"/>
  <c r="I3452" i="43"/>
  <c r="I3453" i="43"/>
  <c r="V3447" i="43" l="1"/>
  <c r="V3448" i="43"/>
  <c r="V3446" i="43" l="1"/>
  <c r="I3448" i="43"/>
  <c r="I3449" i="43"/>
  <c r="I3450" i="43"/>
  <c r="I3446" i="43" l="1"/>
  <c r="I3447" i="43"/>
  <c r="V3445" i="43"/>
  <c r="V3444" i="43"/>
  <c r="V3443" i="43"/>
  <c r="V3442" i="43" l="1"/>
  <c r="V3441" i="43" l="1"/>
  <c r="V3440" i="43" l="1"/>
  <c r="I3442" i="43"/>
  <c r="I3443" i="43"/>
  <c r="I3444" i="43"/>
  <c r="I3445" i="43"/>
  <c r="V3432" i="43"/>
  <c r="I3432" i="43"/>
  <c r="V3439" i="43"/>
  <c r="V3438" i="43"/>
  <c r="V3437" i="43" l="1"/>
  <c r="V3436" i="43"/>
  <c r="I3438" i="43"/>
  <c r="I3439" i="43"/>
  <c r="I3440" i="43"/>
  <c r="I3441" i="43"/>
  <c r="V3435" i="43" l="1"/>
  <c r="V3434" i="43" l="1"/>
  <c r="V3433" i="43" l="1"/>
  <c r="I3433" i="43" l="1"/>
  <c r="I3434" i="43"/>
  <c r="I3435" i="43"/>
  <c r="I3436" i="43"/>
  <c r="I3437" i="43"/>
  <c r="V3431" i="43"/>
  <c r="V3430" i="43" l="1"/>
  <c r="V3429" i="43" l="1"/>
  <c r="V3428" i="43"/>
  <c r="V3427" i="43"/>
  <c r="V3426" i="43" l="1"/>
  <c r="I3428" i="43"/>
  <c r="I3429" i="43"/>
  <c r="I3430" i="43"/>
  <c r="I3431" i="43"/>
  <c r="V3425" i="43" l="1"/>
  <c r="I3426" i="43"/>
  <c r="I3427" i="43"/>
  <c r="V3424" i="43"/>
  <c r="V3423" i="43" l="1"/>
  <c r="V3422" i="43"/>
  <c r="I3424" i="43"/>
  <c r="I3425" i="43"/>
  <c r="V3421" i="43"/>
  <c r="V3420" i="43"/>
  <c r="V3419" i="43" l="1"/>
  <c r="V3418" i="43" l="1"/>
  <c r="V3417" i="43" l="1"/>
  <c r="I3418" i="43"/>
  <c r="I3419" i="43"/>
  <c r="I3420" i="43"/>
  <c r="I3421" i="43"/>
  <c r="I3422" i="43"/>
  <c r="I3423" i="43"/>
  <c r="V3416" i="43"/>
  <c r="V3415" i="43"/>
  <c r="V3414" i="43" l="1"/>
  <c r="I3415" i="43" l="1"/>
  <c r="I3416" i="43"/>
  <c r="I3417" i="43"/>
  <c r="V3413" i="43"/>
  <c r="V3412" i="43"/>
  <c r="V3411" i="43"/>
  <c r="V3410" i="43" l="1"/>
  <c r="I3412" i="43"/>
  <c r="I3413" i="43"/>
  <c r="I3414" i="43"/>
  <c r="V3409" i="43" l="1"/>
  <c r="V3408" i="43"/>
  <c r="I3409" i="43"/>
  <c r="I3410" i="43"/>
  <c r="I3411" i="43"/>
  <c r="V3407" i="43"/>
  <c r="V3406" i="43"/>
  <c r="I3407" i="43" l="1"/>
  <c r="I3408" i="43"/>
  <c r="I3400" i="43" l="1"/>
  <c r="I3401" i="43"/>
  <c r="I3402" i="43"/>
  <c r="I3403" i="43"/>
  <c r="I3404" i="43"/>
  <c r="I3405" i="43"/>
  <c r="I3406" i="43"/>
  <c r="I3399" i="43" l="1"/>
  <c r="I3398" i="43"/>
  <c r="I3397" i="43" l="1"/>
  <c r="I3396" i="43" l="1"/>
  <c r="I3395" i="43" l="1"/>
  <c r="I3394" i="43"/>
  <c r="I3393" i="43"/>
  <c r="I3392" i="43" l="1"/>
  <c r="V3391" i="43" l="1"/>
  <c r="V3392" i="43"/>
  <c r="V3393" i="43"/>
  <c r="V3394" i="43"/>
  <c r="V3395" i="43"/>
  <c r="V3396" i="43"/>
  <c r="V3397" i="43"/>
  <c r="V3398" i="43"/>
  <c r="V3399" i="43"/>
  <c r="V3400" i="43"/>
  <c r="V3401" i="43"/>
  <c r="V3402" i="43"/>
  <c r="V3403" i="43"/>
  <c r="V3404" i="43"/>
  <c r="V3405" i="43"/>
  <c r="I3391" i="43"/>
  <c r="I3390" i="43"/>
  <c r="V3389" i="43" l="1"/>
  <c r="V3390" i="43"/>
  <c r="V3388" i="43" l="1"/>
  <c r="V3387" i="43"/>
  <c r="V3386" i="43"/>
  <c r="V3385" i="43" l="1"/>
  <c r="I3387" i="43"/>
  <c r="I3388" i="43"/>
  <c r="I3389" i="43"/>
  <c r="V3384" i="43"/>
  <c r="V3383" i="43" l="1"/>
  <c r="I3383" i="43"/>
  <c r="I3384" i="43"/>
  <c r="I3385" i="43"/>
  <c r="I3386" i="43"/>
  <c r="V3382" i="43"/>
  <c r="I3382" i="43"/>
  <c r="V3381" i="43" l="1"/>
  <c r="I3381" i="43"/>
  <c r="V3380" i="43" l="1"/>
  <c r="I3380" i="43"/>
  <c r="A189" i="17" l="1"/>
  <c r="B189" i="17"/>
  <c r="C189" i="17"/>
  <c r="A190" i="17"/>
  <c r="B190" i="17"/>
  <c r="C190" i="17"/>
  <c r="A191" i="17"/>
  <c r="B191" i="17"/>
  <c r="C191" i="17"/>
  <c r="A192" i="17"/>
  <c r="B192" i="17"/>
  <c r="C192" i="17"/>
  <c r="G172" i="17"/>
  <c r="H172" i="17"/>
  <c r="G173" i="17"/>
  <c r="H173" i="17"/>
  <c r="G174" i="17"/>
  <c r="H174" i="17"/>
  <c r="V3379" i="43" l="1"/>
  <c r="I3379" i="43"/>
  <c r="D444" i="17" l="1"/>
  <c r="D445" i="17"/>
  <c r="D446" i="17"/>
  <c r="D447" i="17"/>
  <c r="D448" i="17"/>
  <c r="D449" i="17"/>
  <c r="D450" i="17"/>
  <c r="D451" i="17"/>
  <c r="D452" i="17"/>
  <c r="D453" i="17"/>
  <c r="D443" i="17"/>
  <c r="C444" i="17"/>
  <c r="C445" i="17"/>
  <c r="C446" i="17"/>
  <c r="C447" i="17"/>
  <c r="C448" i="17"/>
  <c r="C449" i="17"/>
  <c r="C450" i="17"/>
  <c r="C451" i="17"/>
  <c r="C452" i="17"/>
  <c r="C453" i="17"/>
  <c r="C454" i="17"/>
  <c r="C443" i="17"/>
  <c r="C462" i="17" l="1"/>
  <c r="V3378" i="43"/>
  <c r="I3378" i="43"/>
  <c r="V3377" i="43" l="1"/>
  <c r="I3377" i="43"/>
  <c r="V3376" i="43" l="1"/>
  <c r="I3376" i="43"/>
  <c r="V3375" i="43" l="1"/>
  <c r="I3375" i="43"/>
  <c r="I3374" i="43"/>
  <c r="V3373" i="43" l="1"/>
  <c r="V3374" i="43"/>
  <c r="I3373" i="43"/>
  <c r="V3372" i="43"/>
  <c r="V3371" i="43" l="1"/>
  <c r="V3370" i="43"/>
  <c r="V3369" i="43" l="1"/>
  <c r="I3371" i="43"/>
  <c r="I3372" i="43"/>
  <c r="V3368" i="43" l="1"/>
  <c r="I3369" i="43" l="1"/>
  <c r="I3370" i="43"/>
  <c r="V3367" i="43"/>
  <c r="V3366" i="43"/>
  <c r="I3366" i="43"/>
  <c r="V3365" i="43"/>
  <c r="V3364" i="43" l="1"/>
  <c r="I3365" i="43"/>
  <c r="I3367" i="43"/>
  <c r="I3368" i="43"/>
  <c r="V3363" i="43"/>
  <c r="I3363" i="43"/>
  <c r="V3362" i="43" l="1"/>
  <c r="V3361" i="43" l="1"/>
  <c r="V3360" i="43" l="1"/>
  <c r="I3362" i="43"/>
  <c r="I3364" i="43"/>
  <c r="V3359" i="43" l="1"/>
  <c r="V3358" i="43"/>
  <c r="V3357" i="43" l="1"/>
  <c r="I3359" i="43"/>
  <c r="I3360" i="43"/>
  <c r="I3361" i="43"/>
  <c r="V3356" i="43"/>
  <c r="B1925" i="55" l="1"/>
  <c r="V3355" i="43" l="1"/>
  <c r="V3354" i="43"/>
  <c r="V3353" i="43"/>
  <c r="I3355" i="43"/>
  <c r="I3356" i="43"/>
  <c r="I3357" i="43"/>
  <c r="I3358" i="43"/>
  <c r="V3352" i="43" l="1"/>
  <c r="V3351" i="43"/>
  <c r="I3353" i="43"/>
  <c r="I3354" i="43"/>
  <c r="V3350" i="43" l="1"/>
  <c r="V3349" i="43" l="1"/>
  <c r="V3348" i="43" l="1"/>
  <c r="I3350" i="43"/>
  <c r="I3351" i="43"/>
  <c r="I3352" i="43"/>
  <c r="V3347" i="43" l="1"/>
  <c r="V3346" i="43" l="1"/>
  <c r="I3347" i="43" l="1"/>
  <c r="I3348" i="43"/>
  <c r="I3349" i="43"/>
  <c r="V3345" i="43"/>
  <c r="V3344" i="43" l="1"/>
  <c r="I3344" i="43" l="1"/>
  <c r="I3345" i="43"/>
  <c r="I3346" i="43"/>
  <c r="V3341" i="43" l="1"/>
  <c r="V3342" i="43"/>
  <c r="V3343" i="43"/>
  <c r="I3341" i="43"/>
  <c r="I3342" i="43"/>
  <c r="I3343" i="43"/>
  <c r="V3340" i="43" l="1"/>
  <c r="V3335" i="43"/>
  <c r="V3336" i="43"/>
  <c r="V3337" i="43"/>
  <c r="V3338" i="43"/>
  <c r="V3339" i="43"/>
  <c r="I3335" i="43" l="1"/>
  <c r="I3336" i="43"/>
  <c r="I3337" i="43"/>
  <c r="I3338" i="43"/>
  <c r="I3339" i="43"/>
  <c r="I3340" i="43"/>
  <c r="V3331" i="43" l="1"/>
  <c r="V3332" i="43"/>
  <c r="V3333" i="43"/>
  <c r="V3334" i="43"/>
  <c r="V3326" i="43" l="1"/>
  <c r="V3327" i="43"/>
  <c r="V3328" i="43"/>
  <c r="V3329" i="43"/>
  <c r="V3330" i="43"/>
  <c r="V3205" i="43"/>
  <c r="I3326" i="43"/>
  <c r="I3328" i="43"/>
  <c r="I3329" i="43"/>
  <c r="I3330" i="43"/>
  <c r="I3331" i="43"/>
  <c r="I3332" i="43"/>
  <c r="I3333" i="43"/>
  <c r="I3334" i="43"/>
  <c r="V3325" i="43" l="1"/>
  <c r="V3324" i="43"/>
  <c r="V3323" i="43" l="1"/>
  <c r="V3322" i="43" l="1"/>
  <c r="I3322" i="43"/>
  <c r="I3324" i="43"/>
  <c r="I3325" i="43"/>
  <c r="I3327" i="43"/>
  <c r="V3321" i="43"/>
  <c r="V3320" i="43" l="1"/>
  <c r="V3319" i="43"/>
  <c r="I3321" i="43"/>
  <c r="I3323" i="43"/>
  <c r="V3318" i="43" l="1"/>
  <c r="V3317" i="43"/>
  <c r="V3316" i="43" l="1"/>
  <c r="V3315" i="43"/>
  <c r="V3314" i="43" l="1"/>
  <c r="I3316" i="43"/>
  <c r="I3317" i="43"/>
  <c r="I3318" i="43"/>
  <c r="I3319" i="43"/>
  <c r="I3320" i="43"/>
  <c r="V3313" i="43" l="1"/>
  <c r="V3312" i="43" l="1"/>
  <c r="V3303" i="43" l="1"/>
  <c r="V3304" i="43"/>
  <c r="V3305" i="43"/>
  <c r="V3306" i="43"/>
  <c r="V3307" i="43"/>
  <c r="V3308" i="43"/>
  <c r="V3309" i="43"/>
  <c r="V3310" i="43"/>
  <c r="V3311" i="43"/>
  <c r="H221" i="50"/>
  <c r="I3311" i="43" l="1"/>
  <c r="I3312" i="43"/>
  <c r="I3313" i="43"/>
  <c r="I3314" i="43"/>
  <c r="I3315" i="43"/>
  <c r="D221" i="50" l="1"/>
  <c r="I3308" i="43" l="1"/>
  <c r="I3309" i="43"/>
  <c r="I3310" i="43"/>
  <c r="I3306" i="43" l="1"/>
  <c r="I3307" i="43"/>
  <c r="K1608" i="55" l="1"/>
  <c r="I3304" i="43" l="1"/>
  <c r="I3303" i="43" l="1"/>
  <c r="I3302" i="43" l="1"/>
  <c r="V3301" i="43"/>
  <c r="V3302" i="43"/>
  <c r="I3298" i="43"/>
  <c r="I3299" i="43"/>
  <c r="I3300" i="43"/>
  <c r="I3301" i="43"/>
  <c r="V3295" i="43"/>
  <c r="V3296" i="43"/>
  <c r="V3297" i="43"/>
  <c r="V3298" i="43"/>
  <c r="V3299" i="43"/>
  <c r="V3300" i="43"/>
  <c r="I3295" i="43"/>
  <c r="I3296" i="43"/>
  <c r="I3297" i="43"/>
  <c r="V3294" i="43" l="1"/>
  <c r="V3293" i="43" l="1"/>
  <c r="V3292" i="43" l="1"/>
  <c r="I3294" i="43"/>
  <c r="V3291" i="43"/>
  <c r="V3290" i="43"/>
  <c r="V3289" i="43"/>
  <c r="V3288" i="43" l="1"/>
  <c r="G10" i="11" l="1"/>
  <c r="V3287" i="43" l="1"/>
  <c r="I3289" i="43"/>
  <c r="I3290" i="43"/>
  <c r="I3291" i="43"/>
  <c r="I3292" i="43"/>
  <c r="I3293" i="43"/>
  <c r="V3285" i="43" l="1"/>
  <c r="V3286" i="43"/>
  <c r="V3284" i="43" l="1"/>
  <c r="I3285" i="43" l="1"/>
  <c r="I3286" i="43"/>
  <c r="I3287" i="43"/>
  <c r="I3288" i="43"/>
  <c r="V3283" i="43" l="1"/>
  <c r="V3282" i="43" l="1"/>
  <c r="V3274" i="43" l="1"/>
  <c r="V3275" i="43"/>
  <c r="V3276" i="43"/>
  <c r="V3277" i="43"/>
  <c r="V3278" i="43"/>
  <c r="V3279" i="43"/>
  <c r="V3280" i="43"/>
  <c r="V3281" i="43"/>
  <c r="I3282" i="43" l="1"/>
  <c r="I3283" i="43"/>
  <c r="I3284" i="43"/>
  <c r="I3280" i="43" l="1"/>
  <c r="I3281" i="43"/>
  <c r="I3276" i="43" l="1"/>
  <c r="I3277" i="43"/>
  <c r="I3278" i="43"/>
  <c r="I3279" i="43"/>
  <c r="I3275" i="43" l="1"/>
  <c r="AE26" i="43"/>
  <c r="V3273" i="43" l="1"/>
  <c r="V3272" i="43"/>
  <c r="I3273" i="43"/>
  <c r="I3274" i="43"/>
  <c r="V3271" i="43"/>
  <c r="V3270" i="43"/>
  <c r="V3269" i="43" l="1"/>
  <c r="V3268" i="43" l="1"/>
  <c r="V3267" i="43" l="1"/>
  <c r="V3266" i="43"/>
  <c r="B402" i="55"/>
  <c r="E402" i="55"/>
  <c r="H402" i="55"/>
  <c r="W402" i="55"/>
  <c r="W2394" i="55"/>
  <c r="T2394" i="55"/>
  <c r="Q2394" i="55"/>
  <c r="N2394" i="55"/>
  <c r="K2394" i="55"/>
  <c r="H2394" i="55"/>
  <c r="E2394" i="55"/>
  <c r="I3267" i="43"/>
  <c r="I3268" i="43"/>
  <c r="I3269" i="43"/>
  <c r="I3270" i="43"/>
  <c r="I3271" i="43"/>
  <c r="I3272" i="43"/>
  <c r="Z2394" i="55" l="1"/>
  <c r="S221" i="50" s="1"/>
  <c r="W2299" i="55" l="1"/>
  <c r="T2299" i="55"/>
  <c r="Q2299" i="55"/>
  <c r="N2299" i="55"/>
  <c r="K2299" i="55"/>
  <c r="H2299" i="55"/>
  <c r="E2299" i="55"/>
  <c r="B2299" i="55"/>
  <c r="W2141" i="55"/>
  <c r="T2141" i="55"/>
  <c r="Q2141" i="55"/>
  <c r="N2141" i="55"/>
  <c r="K2141" i="55"/>
  <c r="H2141" i="55"/>
  <c r="E2141" i="55"/>
  <c r="B2141" i="55"/>
  <c r="W1925" i="55"/>
  <c r="T1925" i="55"/>
  <c r="Q1925" i="55"/>
  <c r="N1925" i="55"/>
  <c r="K1925" i="55"/>
  <c r="H1925" i="55"/>
  <c r="E1925" i="55"/>
  <c r="W1608" i="55"/>
  <c r="T1608" i="55"/>
  <c r="Q1608" i="55"/>
  <c r="N1608" i="55"/>
  <c r="H1608" i="55"/>
  <c r="E1608" i="55"/>
  <c r="B1608" i="55"/>
  <c r="W1215" i="55"/>
  <c r="T1215" i="55"/>
  <c r="Q1215" i="55"/>
  <c r="N1215" i="55"/>
  <c r="K1215" i="55"/>
  <c r="H1215" i="55"/>
  <c r="E1215" i="55"/>
  <c r="B1215" i="55"/>
  <c r="W936" i="55"/>
  <c r="T936" i="55"/>
  <c r="Q936" i="55"/>
  <c r="N936" i="55"/>
  <c r="K936" i="55"/>
  <c r="H936" i="55"/>
  <c r="E936" i="55"/>
  <c r="B936" i="55"/>
  <c r="W676" i="55"/>
  <c r="T676" i="55"/>
  <c r="Q676" i="55"/>
  <c r="N676" i="55"/>
  <c r="K676" i="55"/>
  <c r="H676" i="55"/>
  <c r="E676" i="55"/>
  <c r="B676" i="55"/>
  <c r="T402" i="55"/>
  <c r="Q402" i="55"/>
  <c r="N402" i="55"/>
  <c r="K402" i="55"/>
  <c r="W186" i="55"/>
  <c r="T186" i="55"/>
  <c r="Q186" i="55"/>
  <c r="N186" i="55"/>
  <c r="K186" i="55"/>
  <c r="H186" i="55"/>
  <c r="E186" i="55"/>
  <c r="B186" i="55"/>
  <c r="Z402" i="55" l="1"/>
  <c r="S50" i="50" s="1"/>
  <c r="Z676" i="55"/>
  <c r="S69" i="50" s="1"/>
  <c r="Z186" i="55"/>
  <c r="S13" i="50" s="1"/>
  <c r="Z1608" i="55"/>
  <c r="S136" i="50" s="1"/>
  <c r="Z936" i="55"/>
  <c r="S88" i="50" s="1"/>
  <c r="Z1215" i="55"/>
  <c r="S110" i="50" s="1"/>
  <c r="Z1925" i="55"/>
  <c r="S158" i="50" s="1"/>
  <c r="Z2299" i="55"/>
  <c r="S192" i="50" s="1"/>
  <c r="Z2141" i="55"/>
  <c r="S174" i="50" s="1"/>
  <c r="F221" i="50"/>
  <c r="P69" i="50"/>
  <c r="V3265" i="43"/>
  <c r="I3265" i="43"/>
  <c r="I3266" i="43"/>
  <c r="V3264" i="43"/>
  <c r="V3263" i="43"/>
  <c r="V3262" i="43"/>
  <c r="I3264" i="43"/>
  <c r="D14" i="6" l="1"/>
  <c r="R14" i="11" s="1"/>
  <c r="AK14" i="11" s="1"/>
  <c r="S31" i="50"/>
  <c r="S252" i="50" s="1"/>
  <c r="V3261" i="43"/>
  <c r="V3260" i="43" l="1"/>
  <c r="I3262" i="43"/>
  <c r="I3263" i="43"/>
  <c r="V3259" i="43"/>
  <c r="V3258" i="43" l="1"/>
  <c r="V3257" i="43"/>
  <c r="I3261" i="43"/>
  <c r="I3259" i="43"/>
  <c r="I3260" i="43"/>
  <c r="V3256" i="43" l="1"/>
  <c r="V3255" i="43" l="1"/>
  <c r="I3255" i="43"/>
  <c r="I3256" i="43"/>
  <c r="V3254" i="43" l="1"/>
  <c r="V3253" i="43" l="1"/>
  <c r="V3252" i="43"/>
  <c r="I3254" i="43"/>
  <c r="I3257" i="43"/>
  <c r="I3258" i="43"/>
  <c r="V3251" i="43"/>
  <c r="V3250" i="43"/>
  <c r="V3249" i="43" l="1"/>
  <c r="V3248" i="43" l="1"/>
  <c r="V3247" i="43" l="1"/>
  <c r="I3247" i="43"/>
  <c r="I3248" i="43"/>
  <c r="I3249" i="43"/>
  <c r="I3250" i="43"/>
  <c r="I3251" i="43"/>
  <c r="I3252" i="43"/>
  <c r="I3253" i="43"/>
  <c r="V3246" i="43" l="1"/>
  <c r="V3245" i="43" l="1"/>
  <c r="V3244" i="43"/>
  <c r="V3243" i="43" l="1"/>
  <c r="I3245" i="43"/>
  <c r="I3246" i="43"/>
  <c r="V3242" i="43" l="1"/>
  <c r="V3239" i="43" l="1"/>
  <c r="I3239" i="43" l="1"/>
  <c r="I3240" i="43"/>
  <c r="I3241" i="43"/>
  <c r="I3242" i="43"/>
  <c r="I3243" i="43"/>
  <c r="I3244" i="43"/>
  <c r="V3240" i="43"/>
  <c r="V3241" i="43"/>
  <c r="V3234" i="43" l="1"/>
  <c r="V3235" i="43"/>
  <c r="I3234" i="43"/>
  <c r="I3235" i="43"/>
  <c r="I3232" i="43" l="1"/>
  <c r="V3232" i="43"/>
  <c r="V3233" i="43"/>
  <c r="I3233" i="43"/>
  <c r="A1" i="54" l="1"/>
  <c r="K20" i="54" l="1"/>
  <c r="I3236" i="43" l="1"/>
  <c r="I3237" i="43"/>
  <c r="I3238" i="43"/>
  <c r="V3236" i="43"/>
  <c r="V3237" i="43"/>
  <c r="V3238" i="43"/>
  <c r="V3227" i="43"/>
  <c r="V3228" i="43"/>
  <c r="I3228" i="43"/>
  <c r="V3231" i="43"/>
  <c r="I3231" i="43"/>
  <c r="V3229" i="43"/>
  <c r="I3229" i="43"/>
  <c r="I3230" i="43"/>
  <c r="C5" i="54" l="1"/>
  <c r="B5" i="54" s="1"/>
  <c r="C6" i="54"/>
  <c r="B6" i="54" s="1"/>
  <c r="C7" i="54"/>
  <c r="B7" i="54" s="1"/>
  <c r="C8" i="54"/>
  <c r="B8" i="54" s="1"/>
  <c r="C9" i="54"/>
  <c r="B9" i="54" s="1"/>
  <c r="C10" i="54"/>
  <c r="B10" i="54" s="1"/>
  <c r="C11" i="54"/>
  <c r="B11" i="54" s="1"/>
  <c r="C12" i="54"/>
  <c r="B12" i="54" s="1"/>
  <c r="C13" i="54"/>
  <c r="B13" i="54" s="1"/>
  <c r="C14" i="54"/>
  <c r="B14" i="54" s="1"/>
  <c r="C15" i="54"/>
  <c r="B15" i="54" s="1"/>
  <c r="C16" i="54"/>
  <c r="B16" i="54" s="1"/>
  <c r="C17" i="54"/>
  <c r="B17" i="54" s="1"/>
  <c r="C18" i="54"/>
  <c r="B18" i="54" s="1"/>
  <c r="C19" i="54"/>
  <c r="B19" i="54" s="1"/>
  <c r="C20" i="54"/>
  <c r="B20" i="54" s="1"/>
  <c r="C21" i="54"/>
  <c r="B21" i="54" s="1"/>
  <c r="C22" i="54"/>
  <c r="B22" i="54" s="1"/>
  <c r="C23" i="54"/>
  <c r="B23" i="54" s="1"/>
  <c r="C24" i="54"/>
  <c r="B24" i="54" s="1"/>
  <c r="C25" i="54"/>
  <c r="B25" i="54" s="1"/>
  <c r="C26" i="54"/>
  <c r="B26" i="54" s="1"/>
  <c r="C27" i="54"/>
  <c r="B27" i="54" s="1"/>
  <c r="C28" i="54"/>
  <c r="B28" i="54" s="1"/>
  <c r="C29" i="54"/>
  <c r="B29" i="54" s="1"/>
  <c r="C30" i="54"/>
  <c r="B30" i="54" s="1"/>
  <c r="C31" i="54"/>
  <c r="B31" i="54" s="1"/>
  <c r="C32" i="54"/>
  <c r="B32" i="54" s="1"/>
  <c r="C33" i="54"/>
  <c r="B33" i="54" s="1"/>
  <c r="C34" i="54"/>
  <c r="B34" i="54" s="1"/>
  <c r="C35" i="54"/>
  <c r="B35" i="54" s="1"/>
  <c r="C36" i="54"/>
  <c r="B36" i="54" s="1"/>
  <c r="C37" i="54"/>
  <c r="B37" i="54" s="1"/>
  <c r="C38" i="54"/>
  <c r="B38" i="54" s="1"/>
  <c r="C39" i="54"/>
  <c r="B39" i="54" s="1"/>
  <c r="C40" i="54"/>
  <c r="B40" i="54" s="1"/>
  <c r="C41" i="54"/>
  <c r="B41" i="54" s="1"/>
  <c r="C42" i="54"/>
  <c r="B42" i="54" s="1"/>
  <c r="C43" i="54"/>
  <c r="B43" i="54" s="1"/>
  <c r="C44" i="54"/>
  <c r="B44" i="54" s="1"/>
  <c r="C45" i="54"/>
  <c r="B45" i="54" s="1"/>
  <c r="C46" i="54"/>
  <c r="B46" i="54" s="1"/>
  <c r="C47" i="54"/>
  <c r="B47" i="54" s="1"/>
  <c r="C48" i="54"/>
  <c r="B48" i="54" s="1"/>
  <c r="C49" i="54"/>
  <c r="B49" i="54" s="1"/>
  <c r="C50" i="54"/>
  <c r="B50" i="54" s="1"/>
  <c r="C51" i="54"/>
  <c r="B51" i="54" s="1"/>
  <c r="C52" i="54"/>
  <c r="B52" i="54" s="1"/>
  <c r="C53" i="54"/>
  <c r="B53" i="54" s="1"/>
  <c r="C54" i="54"/>
  <c r="B54" i="54" s="1"/>
  <c r="C55" i="54"/>
  <c r="B55" i="54" s="1"/>
  <c r="C56" i="54"/>
  <c r="B56" i="54" s="1"/>
  <c r="C57" i="54"/>
  <c r="B57" i="54" s="1"/>
  <c r="C58" i="54"/>
  <c r="B58" i="54" s="1"/>
  <c r="C59" i="54"/>
  <c r="B59" i="54" s="1"/>
  <c r="C60" i="54"/>
  <c r="B60" i="54" s="1"/>
  <c r="C61" i="54"/>
  <c r="B61" i="54" s="1"/>
  <c r="C62" i="54"/>
  <c r="B62" i="54" s="1"/>
  <c r="C63" i="54"/>
  <c r="B63" i="54" s="1"/>
  <c r="C64" i="54"/>
  <c r="B64" i="54" s="1"/>
  <c r="C65" i="54"/>
  <c r="B65" i="54" s="1"/>
  <c r="C66" i="54"/>
  <c r="B66" i="54" s="1"/>
  <c r="C67" i="54"/>
  <c r="B67" i="54" s="1"/>
  <c r="C68" i="54"/>
  <c r="B68" i="54" s="1"/>
  <c r="C69" i="54"/>
  <c r="B69" i="54" s="1"/>
  <c r="C70" i="54"/>
  <c r="B70" i="54" s="1"/>
  <c r="C71" i="54"/>
  <c r="B71" i="54" s="1"/>
  <c r="C72" i="54"/>
  <c r="B72" i="54" s="1"/>
  <c r="C73" i="54"/>
  <c r="B73" i="54" s="1"/>
  <c r="C74" i="54"/>
  <c r="B74" i="54" s="1"/>
  <c r="C75" i="54"/>
  <c r="B75" i="54" s="1"/>
  <c r="C76" i="54"/>
  <c r="B76" i="54" s="1"/>
  <c r="C77" i="54"/>
  <c r="B77" i="54" s="1"/>
  <c r="C78" i="54"/>
  <c r="B78" i="54" s="1"/>
  <c r="C79" i="54"/>
  <c r="B79" i="54" s="1"/>
  <c r="C80" i="54"/>
  <c r="B80" i="54" s="1"/>
  <c r="C81" i="54"/>
  <c r="B81" i="54" s="1"/>
  <c r="C82" i="54"/>
  <c r="B82" i="54" s="1"/>
  <c r="C83" i="54"/>
  <c r="B83" i="54" s="1"/>
  <c r="C84" i="54"/>
  <c r="B84" i="54" s="1"/>
  <c r="C85" i="54"/>
  <c r="B85" i="54" s="1"/>
  <c r="C86" i="54"/>
  <c r="B86" i="54" s="1"/>
  <c r="C87" i="54"/>
  <c r="B87" i="54" s="1"/>
  <c r="C88" i="54"/>
  <c r="B88" i="54" s="1"/>
  <c r="C89" i="54"/>
  <c r="B89" i="54" s="1"/>
  <c r="C90" i="54"/>
  <c r="B90" i="54" s="1"/>
  <c r="C91" i="54"/>
  <c r="B91" i="54" s="1"/>
  <c r="C92" i="54"/>
  <c r="B92" i="54" s="1"/>
  <c r="C93" i="54"/>
  <c r="B93" i="54" s="1"/>
  <c r="C94" i="54"/>
  <c r="B94" i="54" s="1"/>
  <c r="C95" i="54"/>
  <c r="B95" i="54" s="1"/>
  <c r="C96" i="54"/>
  <c r="B96" i="54" s="1"/>
  <c r="C97" i="54"/>
  <c r="B97" i="54" s="1"/>
  <c r="C98" i="54"/>
  <c r="B98" i="54" s="1"/>
  <c r="C99" i="54"/>
  <c r="B99" i="54" s="1"/>
  <c r="C100" i="54"/>
  <c r="B100" i="54" s="1"/>
  <c r="C101" i="54"/>
  <c r="B101" i="54" s="1"/>
  <c r="C102" i="54"/>
  <c r="B102" i="54" s="1"/>
  <c r="C103" i="54"/>
  <c r="B103" i="54" s="1"/>
  <c r="C104" i="54"/>
  <c r="B104" i="54" s="1"/>
  <c r="C105" i="54"/>
  <c r="B105" i="54" s="1"/>
  <c r="C106" i="54"/>
  <c r="B106" i="54" s="1"/>
  <c r="C107" i="54"/>
  <c r="B107" i="54" s="1"/>
  <c r="C108" i="54"/>
  <c r="B108" i="54" s="1"/>
  <c r="C109" i="54"/>
  <c r="B109" i="54" s="1"/>
  <c r="C110" i="54"/>
  <c r="B110" i="54" s="1"/>
  <c r="C111" i="54"/>
  <c r="B111" i="54" s="1"/>
  <c r="C112" i="54"/>
  <c r="B112" i="54" s="1"/>
  <c r="C113" i="54"/>
  <c r="B113" i="54" s="1"/>
  <c r="C114" i="54"/>
  <c r="B114" i="54" s="1"/>
  <c r="C115" i="54"/>
  <c r="B115" i="54" s="1"/>
  <c r="C116" i="54"/>
  <c r="B116" i="54" s="1"/>
  <c r="C117" i="54"/>
  <c r="B117" i="54" s="1"/>
  <c r="C118" i="54"/>
  <c r="B118" i="54" s="1"/>
  <c r="C119" i="54"/>
  <c r="B119" i="54" s="1"/>
  <c r="C120" i="54"/>
  <c r="B120" i="54" s="1"/>
  <c r="C121" i="54"/>
  <c r="B121" i="54" s="1"/>
  <c r="C122" i="54"/>
  <c r="B122" i="54" s="1"/>
  <c r="C123" i="54"/>
  <c r="B123" i="54" s="1"/>
  <c r="C124" i="54"/>
  <c r="B124" i="54" s="1"/>
  <c r="C125" i="54"/>
  <c r="B125" i="54" s="1"/>
  <c r="C126" i="54"/>
  <c r="B126" i="54" s="1"/>
  <c r="C127" i="54"/>
  <c r="B127" i="54" s="1"/>
  <c r="C128" i="54"/>
  <c r="B128" i="54" s="1"/>
  <c r="C129" i="54"/>
  <c r="B129" i="54" s="1"/>
  <c r="C130" i="54"/>
  <c r="B130" i="54" s="1"/>
  <c r="C131" i="54"/>
  <c r="B131" i="54" s="1"/>
  <c r="C132" i="54"/>
  <c r="B132" i="54" s="1"/>
  <c r="C133" i="54"/>
  <c r="B133" i="54" s="1"/>
  <c r="C134" i="54"/>
  <c r="B134" i="54" s="1"/>
  <c r="C135" i="54"/>
  <c r="B135" i="54" s="1"/>
  <c r="C136" i="54"/>
  <c r="B136" i="54" s="1"/>
  <c r="C137" i="54"/>
  <c r="B137" i="54" s="1"/>
  <c r="C138" i="54"/>
  <c r="B138" i="54" s="1"/>
  <c r="C139" i="54"/>
  <c r="B139" i="54" s="1"/>
  <c r="C140" i="54"/>
  <c r="B140" i="54" s="1"/>
  <c r="C141" i="54"/>
  <c r="B141" i="54" s="1"/>
  <c r="C142" i="54"/>
  <c r="B142" i="54" s="1"/>
  <c r="C143" i="54"/>
  <c r="B143" i="54" s="1"/>
  <c r="C144" i="54"/>
  <c r="B144" i="54" s="1"/>
  <c r="C145" i="54"/>
  <c r="B145" i="54" s="1"/>
  <c r="C146" i="54"/>
  <c r="B146" i="54" s="1"/>
  <c r="C147" i="54"/>
  <c r="B147" i="54" s="1"/>
  <c r="C148" i="54"/>
  <c r="B148" i="54" s="1"/>
  <c r="C149" i="54"/>
  <c r="B149" i="54" s="1"/>
  <c r="C150" i="54"/>
  <c r="B150" i="54" s="1"/>
  <c r="C151" i="54"/>
  <c r="B151" i="54" s="1"/>
  <c r="C152" i="54"/>
  <c r="B152" i="54" s="1"/>
  <c r="C153" i="54"/>
  <c r="B153" i="54" s="1"/>
  <c r="C154" i="54"/>
  <c r="B154" i="54" s="1"/>
  <c r="C155" i="54"/>
  <c r="B155" i="54" s="1"/>
  <c r="C156" i="54"/>
  <c r="B156" i="54" s="1"/>
  <c r="C157" i="54"/>
  <c r="B157" i="54" s="1"/>
  <c r="C158" i="54"/>
  <c r="B158" i="54" s="1"/>
  <c r="C159" i="54"/>
  <c r="B159" i="54" s="1"/>
  <c r="C160" i="54"/>
  <c r="B160" i="54" s="1"/>
  <c r="C161" i="54"/>
  <c r="B161" i="54" s="1"/>
  <c r="C162" i="54"/>
  <c r="B162" i="54" s="1"/>
  <c r="C163" i="54"/>
  <c r="B163" i="54" s="1"/>
  <c r="C164" i="54"/>
  <c r="B164" i="54" s="1"/>
  <c r="C165" i="54"/>
  <c r="B165" i="54" s="1"/>
  <c r="C166" i="54"/>
  <c r="B166" i="54" s="1"/>
  <c r="C167" i="54"/>
  <c r="B167" i="54" s="1"/>
  <c r="C168" i="54"/>
  <c r="B168" i="54" s="1"/>
  <c r="C169" i="54"/>
  <c r="B169" i="54" s="1"/>
  <c r="C170" i="54"/>
  <c r="B170" i="54" s="1"/>
  <c r="C171" i="54"/>
  <c r="B171" i="54" s="1"/>
  <c r="C172" i="54"/>
  <c r="B172" i="54" s="1"/>
  <c r="C173" i="54"/>
  <c r="B173" i="54" s="1"/>
  <c r="C174" i="54"/>
  <c r="B174" i="54" s="1"/>
  <c r="C175" i="54"/>
  <c r="B175" i="54" s="1"/>
  <c r="C176" i="54"/>
  <c r="B176" i="54" s="1"/>
  <c r="C177" i="54"/>
  <c r="B177" i="54" s="1"/>
  <c r="C178" i="54"/>
  <c r="B178" i="54" s="1"/>
  <c r="C179" i="54"/>
  <c r="B179" i="54" s="1"/>
  <c r="C180" i="54"/>
  <c r="B180" i="54" s="1"/>
  <c r="C181" i="54"/>
  <c r="B181" i="54" s="1"/>
  <c r="C182" i="54"/>
  <c r="B182" i="54" s="1"/>
  <c r="C183" i="54"/>
  <c r="B183" i="54" s="1"/>
  <c r="C184" i="54"/>
  <c r="B184" i="54" s="1"/>
  <c r="C185" i="54"/>
  <c r="B185" i="54" s="1"/>
  <c r="C186" i="54"/>
  <c r="B186" i="54" s="1"/>
  <c r="C187" i="54"/>
  <c r="B187" i="54" s="1"/>
  <c r="C188" i="54"/>
  <c r="B188" i="54" s="1"/>
  <c r="C189" i="54"/>
  <c r="B189" i="54" s="1"/>
  <c r="C190" i="54"/>
  <c r="B190" i="54" s="1"/>
  <c r="C191" i="54"/>
  <c r="B191" i="54" s="1"/>
  <c r="C192" i="54"/>
  <c r="B192" i="54" s="1"/>
  <c r="C193" i="54"/>
  <c r="B193" i="54" s="1"/>
  <c r="C194" i="54"/>
  <c r="B194" i="54" s="1"/>
  <c r="C195" i="54"/>
  <c r="B195" i="54" s="1"/>
  <c r="C196" i="54"/>
  <c r="B196" i="54" s="1"/>
  <c r="C197" i="54"/>
  <c r="B197" i="54" s="1"/>
  <c r="C198" i="54"/>
  <c r="B198" i="54" s="1"/>
  <c r="C199" i="54"/>
  <c r="B199" i="54" s="1"/>
  <c r="C200" i="54"/>
  <c r="B200" i="54" s="1"/>
  <c r="C201" i="54"/>
  <c r="B201" i="54" s="1"/>
  <c r="C202" i="54"/>
  <c r="B202" i="54" s="1"/>
  <c r="C203" i="54"/>
  <c r="B203" i="54" s="1"/>
  <c r="C204" i="54"/>
  <c r="B204" i="54" s="1"/>
  <c r="C205" i="54"/>
  <c r="B205" i="54" s="1"/>
  <c r="C206" i="54"/>
  <c r="B206" i="54" s="1"/>
  <c r="C207" i="54"/>
  <c r="B207" i="54" s="1"/>
  <c r="C208" i="54"/>
  <c r="B208" i="54" s="1"/>
  <c r="C209" i="54"/>
  <c r="B209" i="54" s="1"/>
  <c r="C210" i="54"/>
  <c r="B210" i="54" s="1"/>
  <c r="C211" i="54"/>
  <c r="B211" i="54" s="1"/>
  <c r="C212" i="54"/>
  <c r="B212" i="54" s="1"/>
  <c r="C213" i="54"/>
  <c r="B213" i="54" s="1"/>
  <c r="C214" i="54"/>
  <c r="B214" i="54" s="1"/>
  <c r="C215" i="54"/>
  <c r="B215" i="54" s="1"/>
  <c r="C216" i="54"/>
  <c r="B216" i="54" s="1"/>
  <c r="C217" i="54"/>
  <c r="B217" i="54" s="1"/>
  <c r="C218" i="54"/>
  <c r="B218" i="54" s="1"/>
  <c r="C219" i="54"/>
  <c r="B219" i="54" s="1"/>
  <c r="C220" i="54"/>
  <c r="B220" i="54" s="1"/>
  <c r="C221" i="54"/>
  <c r="B221" i="54" s="1"/>
  <c r="C222" i="54"/>
  <c r="B222" i="54" s="1"/>
  <c r="C223" i="54"/>
  <c r="B223" i="54" s="1"/>
  <c r="C224" i="54"/>
  <c r="B224" i="54" s="1"/>
  <c r="C225" i="54"/>
  <c r="B225" i="54" s="1"/>
  <c r="C226" i="54"/>
  <c r="B226" i="54" s="1"/>
  <c r="C227" i="54"/>
  <c r="B227" i="54" s="1"/>
  <c r="C228" i="54"/>
  <c r="B228" i="54" s="1"/>
  <c r="C229" i="54"/>
  <c r="B229" i="54" s="1"/>
  <c r="C230" i="54"/>
  <c r="B230" i="54" s="1"/>
  <c r="C231" i="54"/>
  <c r="B231" i="54" s="1"/>
  <c r="C232" i="54"/>
  <c r="B232" i="54" s="1"/>
  <c r="C233" i="54"/>
  <c r="B233" i="54" s="1"/>
  <c r="C234" i="54"/>
  <c r="B234" i="54" s="1"/>
  <c r="C235" i="54"/>
  <c r="B235" i="54" s="1"/>
  <c r="I219" i="54"/>
  <c r="J219" i="54" s="1"/>
  <c r="I220" i="54"/>
  <c r="J220" i="54" s="1"/>
  <c r="I221" i="54"/>
  <c r="J221" i="54" s="1"/>
  <c r="I222" i="54"/>
  <c r="J222" i="54" s="1"/>
  <c r="I223" i="54"/>
  <c r="J223" i="54" s="1"/>
  <c r="I224" i="54"/>
  <c r="J224" i="54" s="1"/>
  <c r="I225" i="54"/>
  <c r="J225" i="54" s="1"/>
  <c r="I226" i="54"/>
  <c r="J226" i="54" s="1"/>
  <c r="I227" i="54"/>
  <c r="J227" i="54" s="1"/>
  <c r="I228" i="54"/>
  <c r="J228" i="54" s="1"/>
  <c r="I229" i="54"/>
  <c r="J229" i="54" s="1"/>
  <c r="I230" i="54"/>
  <c r="J230" i="54" s="1"/>
  <c r="I231" i="54"/>
  <c r="J231" i="54" s="1"/>
  <c r="I232" i="54"/>
  <c r="J232" i="54" s="1"/>
  <c r="I233" i="54"/>
  <c r="J233" i="54" s="1"/>
  <c r="I234" i="54"/>
  <c r="J234" i="54" s="1"/>
  <c r="I235" i="54"/>
  <c r="J235" i="54" s="1"/>
  <c r="A19" i="54"/>
  <c r="A20" i="54"/>
  <c r="A21" i="54"/>
  <c r="A22" i="54"/>
  <c r="A23" i="54"/>
  <c r="A24" i="54"/>
  <c r="A25" i="54"/>
  <c r="A26" i="54"/>
  <c r="A27" i="54"/>
  <c r="A28" i="54"/>
  <c r="A29" i="54"/>
  <c r="A30" i="54"/>
  <c r="A31" i="54"/>
  <c r="A32" i="54"/>
  <c r="A33" i="54"/>
  <c r="A34" i="54"/>
  <c r="A35" i="54"/>
  <c r="A36" i="54"/>
  <c r="A37" i="54"/>
  <c r="A38" i="54"/>
  <c r="A39" i="54"/>
  <c r="A40" i="54"/>
  <c r="A41" i="54"/>
  <c r="A42" i="54"/>
  <c r="A43" i="54"/>
  <c r="A44" i="54"/>
  <c r="A45" i="54"/>
  <c r="A46" i="54"/>
  <c r="A47" i="54"/>
  <c r="A48" i="54"/>
  <c r="A49" i="54"/>
  <c r="A50" i="54"/>
  <c r="A51" i="54"/>
  <c r="A52" i="54"/>
  <c r="A53" i="54"/>
  <c r="A54" i="54"/>
  <c r="A55" i="54"/>
  <c r="A56" i="54"/>
  <c r="A57" i="54"/>
  <c r="A58" i="54"/>
  <c r="A59" i="54"/>
  <c r="A60" i="54"/>
  <c r="A61" i="54"/>
  <c r="A62" i="54"/>
  <c r="A63" i="54"/>
  <c r="A64" i="54"/>
  <c r="A65" i="54"/>
  <c r="A66" i="54"/>
  <c r="A67" i="54"/>
  <c r="A68" i="54"/>
  <c r="A69" i="54"/>
  <c r="A70" i="54"/>
  <c r="A71" i="54"/>
  <c r="A72" i="54"/>
  <c r="A73" i="54"/>
  <c r="A74" i="54"/>
  <c r="A75" i="54"/>
  <c r="A76" i="54"/>
  <c r="A77" i="54"/>
  <c r="A78" i="54"/>
  <c r="A79" i="54"/>
  <c r="A80" i="54"/>
  <c r="A81" i="54"/>
  <c r="A82" i="54"/>
  <c r="A83" i="54"/>
  <c r="A84" i="54"/>
  <c r="A85" i="54"/>
  <c r="A86" i="54"/>
  <c r="A87" i="54"/>
  <c r="A88" i="54"/>
  <c r="A89" i="54"/>
  <c r="A90" i="54"/>
  <c r="A91" i="54"/>
  <c r="A92" i="54"/>
  <c r="A93" i="54"/>
  <c r="A94" i="54"/>
  <c r="A95" i="54"/>
  <c r="A96" i="54"/>
  <c r="A97" i="54"/>
  <c r="A98" i="54"/>
  <c r="A99" i="54"/>
  <c r="A100" i="54"/>
  <c r="A101" i="54"/>
  <c r="A102" i="54"/>
  <c r="A103" i="54"/>
  <c r="A104" i="54"/>
  <c r="A105" i="54"/>
  <c r="A106" i="54"/>
  <c r="A107" i="54"/>
  <c r="A108" i="54"/>
  <c r="A109" i="54"/>
  <c r="A110" i="54"/>
  <c r="A111" i="54"/>
  <c r="A112" i="54"/>
  <c r="A113" i="54"/>
  <c r="A114" i="54"/>
  <c r="A115" i="54"/>
  <c r="A116" i="54"/>
  <c r="A117" i="54"/>
  <c r="A118" i="54"/>
  <c r="A119" i="54"/>
  <c r="A120" i="54"/>
  <c r="A121" i="54"/>
  <c r="A122" i="54"/>
  <c r="A123" i="54"/>
  <c r="A124" i="54"/>
  <c r="A125" i="54"/>
  <c r="A126" i="54"/>
  <c r="A127" i="54"/>
  <c r="A128" i="54"/>
  <c r="A129" i="54"/>
  <c r="A130" i="54"/>
  <c r="A131" i="54"/>
  <c r="A132" i="54"/>
  <c r="A133" i="54"/>
  <c r="A134" i="54"/>
  <c r="A135" i="54"/>
  <c r="A136" i="54"/>
  <c r="A137" i="54"/>
  <c r="A138" i="54"/>
  <c r="A139" i="54"/>
  <c r="A140" i="54"/>
  <c r="A141" i="54"/>
  <c r="A142" i="54"/>
  <c r="A143" i="54"/>
  <c r="A144" i="54"/>
  <c r="A145" i="54"/>
  <c r="A146" i="54"/>
  <c r="A147" i="54"/>
  <c r="A148" i="54"/>
  <c r="A149" i="54"/>
  <c r="A150" i="54"/>
  <c r="A151" i="54"/>
  <c r="A152" i="54"/>
  <c r="A153" i="54"/>
  <c r="A154" i="54"/>
  <c r="A155" i="54"/>
  <c r="A156" i="54"/>
  <c r="A157" i="54"/>
  <c r="A158" i="54"/>
  <c r="A159" i="54"/>
  <c r="A160" i="54"/>
  <c r="A161" i="54"/>
  <c r="A162" i="54"/>
  <c r="A163" i="54"/>
  <c r="A164" i="54"/>
  <c r="A165" i="54"/>
  <c r="A166" i="54"/>
  <c r="A167" i="54"/>
  <c r="A168" i="54"/>
  <c r="A169" i="54"/>
  <c r="A170" i="54"/>
  <c r="A171" i="54"/>
  <c r="A172" i="54"/>
  <c r="A173" i="54"/>
  <c r="A174" i="54"/>
  <c r="A175" i="54"/>
  <c r="A176" i="54"/>
  <c r="A177" i="54"/>
  <c r="A178" i="54"/>
  <c r="A179" i="54"/>
  <c r="A180" i="54"/>
  <c r="A181" i="54"/>
  <c r="A182" i="54"/>
  <c r="C4" i="54"/>
  <c r="B4" i="54" s="1"/>
  <c r="I5" i="54" l="1"/>
  <c r="J5" i="54" s="1"/>
  <c r="I6" i="54"/>
  <c r="J6" i="54" s="1"/>
  <c r="I7" i="54"/>
  <c r="J7" i="54" s="1"/>
  <c r="I8" i="54"/>
  <c r="J8" i="54" s="1"/>
  <c r="I9" i="54"/>
  <c r="J9" i="54" s="1"/>
  <c r="I10" i="54"/>
  <c r="J10" i="54" s="1"/>
  <c r="I11" i="54"/>
  <c r="J11" i="54" s="1"/>
  <c r="I12" i="54"/>
  <c r="J12" i="54" s="1"/>
  <c r="I13" i="54"/>
  <c r="J13" i="54" s="1"/>
  <c r="I14" i="54"/>
  <c r="J14" i="54" s="1"/>
  <c r="I15" i="54"/>
  <c r="J15" i="54" s="1"/>
  <c r="I16" i="54"/>
  <c r="J16" i="54" s="1"/>
  <c r="I17" i="54"/>
  <c r="J17" i="54" s="1"/>
  <c r="I18" i="54"/>
  <c r="J18" i="54" s="1"/>
  <c r="L18" i="54" s="1"/>
  <c r="M18" i="54" s="1"/>
  <c r="I19" i="54"/>
  <c r="J19" i="54" s="1"/>
  <c r="I20" i="54"/>
  <c r="J20" i="54" s="1"/>
  <c r="L20" i="54" s="1"/>
  <c r="M20" i="54" s="1"/>
  <c r="I21" i="54"/>
  <c r="J21" i="54" s="1"/>
  <c r="I22" i="54"/>
  <c r="J22" i="54" s="1"/>
  <c r="I23" i="54"/>
  <c r="J23" i="54" s="1"/>
  <c r="I24" i="54"/>
  <c r="J24" i="54" s="1"/>
  <c r="I25" i="54"/>
  <c r="J25" i="54" s="1"/>
  <c r="I26" i="54"/>
  <c r="J26" i="54" s="1"/>
  <c r="I27" i="54"/>
  <c r="J27" i="54" s="1"/>
  <c r="I28" i="54"/>
  <c r="J28" i="54" s="1"/>
  <c r="I29" i="54"/>
  <c r="J29" i="54" s="1"/>
  <c r="I30" i="54"/>
  <c r="J30" i="54" s="1"/>
  <c r="I31" i="54"/>
  <c r="J31" i="54" s="1"/>
  <c r="I32" i="54"/>
  <c r="J32" i="54" s="1"/>
  <c r="I33" i="54"/>
  <c r="J33" i="54" s="1"/>
  <c r="I34" i="54"/>
  <c r="J34" i="54" s="1"/>
  <c r="I35" i="54"/>
  <c r="J35" i="54" s="1"/>
  <c r="I36" i="54"/>
  <c r="J36" i="54" s="1"/>
  <c r="I37" i="54"/>
  <c r="J37" i="54" s="1"/>
  <c r="I38" i="54"/>
  <c r="J38" i="54" s="1"/>
  <c r="I39" i="54"/>
  <c r="J39" i="54" s="1"/>
  <c r="I40" i="54"/>
  <c r="J40" i="54" s="1"/>
  <c r="I41" i="54"/>
  <c r="J41" i="54" s="1"/>
  <c r="I42" i="54"/>
  <c r="J42" i="54" s="1"/>
  <c r="I43" i="54"/>
  <c r="J43" i="54" s="1"/>
  <c r="I44" i="54"/>
  <c r="J44" i="54" s="1"/>
  <c r="I45" i="54"/>
  <c r="J45" i="54" s="1"/>
  <c r="I46" i="54"/>
  <c r="J46" i="54" s="1"/>
  <c r="I47" i="54"/>
  <c r="J47" i="54" s="1"/>
  <c r="I48" i="54"/>
  <c r="J48" i="54" s="1"/>
  <c r="I49" i="54"/>
  <c r="J49" i="54" s="1"/>
  <c r="I50" i="54"/>
  <c r="J50" i="54" s="1"/>
  <c r="I51" i="54"/>
  <c r="J51" i="54" s="1"/>
  <c r="I52" i="54"/>
  <c r="J52" i="54" s="1"/>
  <c r="I53" i="54"/>
  <c r="J53" i="54" s="1"/>
  <c r="I54" i="54"/>
  <c r="J54" i="54" s="1"/>
  <c r="I55" i="54"/>
  <c r="J55" i="54" s="1"/>
  <c r="I56" i="54"/>
  <c r="J56" i="54" s="1"/>
  <c r="I57" i="54"/>
  <c r="J57" i="54" s="1"/>
  <c r="I58" i="54"/>
  <c r="J58" i="54" s="1"/>
  <c r="I59" i="54"/>
  <c r="J59" i="54" s="1"/>
  <c r="I60" i="54"/>
  <c r="J60" i="54" s="1"/>
  <c r="I61" i="54"/>
  <c r="J61" i="54" s="1"/>
  <c r="I62" i="54"/>
  <c r="J62" i="54" s="1"/>
  <c r="I63" i="54"/>
  <c r="J63" i="54" s="1"/>
  <c r="I64" i="54"/>
  <c r="J64" i="54" s="1"/>
  <c r="I65" i="54"/>
  <c r="J65" i="54" s="1"/>
  <c r="I66" i="54"/>
  <c r="J66" i="54" s="1"/>
  <c r="I67" i="54"/>
  <c r="J67" i="54" s="1"/>
  <c r="I68" i="54"/>
  <c r="J68" i="54" s="1"/>
  <c r="I69" i="54"/>
  <c r="J69" i="54" s="1"/>
  <c r="I70" i="54"/>
  <c r="J70" i="54" s="1"/>
  <c r="I71" i="54"/>
  <c r="J71" i="54" s="1"/>
  <c r="I72" i="54"/>
  <c r="J72" i="54" s="1"/>
  <c r="I73" i="54"/>
  <c r="J73" i="54" s="1"/>
  <c r="I74" i="54"/>
  <c r="J74" i="54" s="1"/>
  <c r="I75" i="54"/>
  <c r="J75" i="54" s="1"/>
  <c r="I76" i="54"/>
  <c r="J76" i="54" s="1"/>
  <c r="I77" i="54"/>
  <c r="J77" i="54" s="1"/>
  <c r="I78" i="54"/>
  <c r="J78" i="54" s="1"/>
  <c r="I79" i="54"/>
  <c r="J79" i="54" s="1"/>
  <c r="I80" i="54"/>
  <c r="J80" i="54" s="1"/>
  <c r="I81" i="54"/>
  <c r="J81" i="54" s="1"/>
  <c r="I82" i="54"/>
  <c r="J82" i="54" s="1"/>
  <c r="I83" i="54"/>
  <c r="J83" i="54" s="1"/>
  <c r="I84" i="54"/>
  <c r="J84" i="54" s="1"/>
  <c r="I85" i="54"/>
  <c r="J85" i="54" s="1"/>
  <c r="I86" i="54"/>
  <c r="J86" i="54" s="1"/>
  <c r="I87" i="54"/>
  <c r="J87" i="54" s="1"/>
  <c r="I88" i="54"/>
  <c r="J88" i="54" s="1"/>
  <c r="I89" i="54"/>
  <c r="J89" i="54" s="1"/>
  <c r="I90" i="54"/>
  <c r="J90" i="54" s="1"/>
  <c r="I91" i="54"/>
  <c r="J91" i="54" s="1"/>
  <c r="I92" i="54"/>
  <c r="J92" i="54" s="1"/>
  <c r="I93" i="54"/>
  <c r="J93" i="54" s="1"/>
  <c r="I94" i="54"/>
  <c r="J94" i="54" s="1"/>
  <c r="I95" i="54"/>
  <c r="J95" i="54" s="1"/>
  <c r="I96" i="54"/>
  <c r="J96" i="54" s="1"/>
  <c r="I97" i="54"/>
  <c r="J97" i="54" s="1"/>
  <c r="I98" i="54"/>
  <c r="J98" i="54" s="1"/>
  <c r="I99" i="54"/>
  <c r="J99" i="54" s="1"/>
  <c r="I100" i="54"/>
  <c r="J100" i="54" s="1"/>
  <c r="I101" i="54"/>
  <c r="J101" i="54" s="1"/>
  <c r="I102" i="54"/>
  <c r="J102" i="54" s="1"/>
  <c r="I103" i="54"/>
  <c r="J103" i="54" s="1"/>
  <c r="I104" i="54"/>
  <c r="J104" i="54" s="1"/>
  <c r="I105" i="54"/>
  <c r="J105" i="54" s="1"/>
  <c r="I106" i="54"/>
  <c r="J106" i="54" s="1"/>
  <c r="I107" i="54"/>
  <c r="J107" i="54" s="1"/>
  <c r="I108" i="54"/>
  <c r="J108" i="54" s="1"/>
  <c r="I109" i="54"/>
  <c r="J109" i="54" s="1"/>
  <c r="I110" i="54"/>
  <c r="J110" i="54" s="1"/>
  <c r="I111" i="54"/>
  <c r="J111" i="54" s="1"/>
  <c r="I112" i="54"/>
  <c r="J112" i="54" s="1"/>
  <c r="I113" i="54"/>
  <c r="J113" i="54" s="1"/>
  <c r="I114" i="54"/>
  <c r="J114" i="54" s="1"/>
  <c r="I115" i="54"/>
  <c r="J115" i="54" s="1"/>
  <c r="I116" i="54"/>
  <c r="J116" i="54" s="1"/>
  <c r="I117" i="54"/>
  <c r="J117" i="54" s="1"/>
  <c r="I118" i="54"/>
  <c r="J118" i="54" s="1"/>
  <c r="I119" i="54"/>
  <c r="J119" i="54" s="1"/>
  <c r="I120" i="54"/>
  <c r="J120" i="54" s="1"/>
  <c r="I121" i="54"/>
  <c r="J121" i="54" s="1"/>
  <c r="I122" i="54"/>
  <c r="J122" i="54" s="1"/>
  <c r="I123" i="54"/>
  <c r="J123" i="54" s="1"/>
  <c r="I124" i="54"/>
  <c r="J124" i="54" s="1"/>
  <c r="I125" i="54"/>
  <c r="J125" i="54" s="1"/>
  <c r="I126" i="54"/>
  <c r="J126" i="54" s="1"/>
  <c r="I127" i="54"/>
  <c r="J127" i="54" s="1"/>
  <c r="I128" i="54"/>
  <c r="J128" i="54" s="1"/>
  <c r="I129" i="54"/>
  <c r="J129" i="54" s="1"/>
  <c r="I130" i="54"/>
  <c r="J130" i="54" s="1"/>
  <c r="I131" i="54"/>
  <c r="J131" i="54" s="1"/>
  <c r="I132" i="54"/>
  <c r="J132" i="54" s="1"/>
  <c r="I133" i="54"/>
  <c r="J133" i="54" s="1"/>
  <c r="I134" i="54"/>
  <c r="J134" i="54" s="1"/>
  <c r="I135" i="54"/>
  <c r="J135" i="54" s="1"/>
  <c r="I136" i="54"/>
  <c r="J136" i="54" s="1"/>
  <c r="I137" i="54"/>
  <c r="J137" i="54" s="1"/>
  <c r="I138" i="54"/>
  <c r="J138" i="54" s="1"/>
  <c r="I139" i="54"/>
  <c r="J139" i="54" s="1"/>
  <c r="I140" i="54"/>
  <c r="J140" i="54" s="1"/>
  <c r="I141" i="54"/>
  <c r="J141" i="54" s="1"/>
  <c r="I142" i="54"/>
  <c r="J142" i="54" s="1"/>
  <c r="I143" i="54"/>
  <c r="J143" i="54" s="1"/>
  <c r="I144" i="54"/>
  <c r="J144" i="54" s="1"/>
  <c r="I145" i="54"/>
  <c r="J145" i="54" s="1"/>
  <c r="I146" i="54"/>
  <c r="J146" i="54" s="1"/>
  <c r="I147" i="54"/>
  <c r="J147" i="54" s="1"/>
  <c r="I148" i="54"/>
  <c r="J148" i="54" s="1"/>
  <c r="I149" i="54"/>
  <c r="J149" i="54" s="1"/>
  <c r="I150" i="54"/>
  <c r="J150" i="54" s="1"/>
  <c r="I151" i="54"/>
  <c r="J151" i="54" s="1"/>
  <c r="I152" i="54"/>
  <c r="J152" i="54" s="1"/>
  <c r="I153" i="54"/>
  <c r="J153" i="54" s="1"/>
  <c r="I154" i="54"/>
  <c r="J154" i="54" s="1"/>
  <c r="I155" i="54"/>
  <c r="J155" i="54" s="1"/>
  <c r="I156" i="54"/>
  <c r="J156" i="54" s="1"/>
  <c r="I157" i="54"/>
  <c r="J157" i="54" s="1"/>
  <c r="I158" i="54"/>
  <c r="J158" i="54" s="1"/>
  <c r="I159" i="54"/>
  <c r="J159" i="54" s="1"/>
  <c r="I160" i="54"/>
  <c r="J160" i="54" s="1"/>
  <c r="I161" i="54"/>
  <c r="J161" i="54" s="1"/>
  <c r="I162" i="54"/>
  <c r="J162" i="54" s="1"/>
  <c r="I163" i="54"/>
  <c r="J163" i="54" s="1"/>
  <c r="I164" i="54"/>
  <c r="J164" i="54" s="1"/>
  <c r="I165" i="54"/>
  <c r="J165" i="54" s="1"/>
  <c r="I166" i="54"/>
  <c r="J166" i="54" s="1"/>
  <c r="I167" i="54"/>
  <c r="J167" i="54" s="1"/>
  <c r="I168" i="54"/>
  <c r="J168" i="54" s="1"/>
  <c r="I169" i="54"/>
  <c r="J169" i="54" s="1"/>
  <c r="I170" i="54"/>
  <c r="J170" i="54" s="1"/>
  <c r="I171" i="54"/>
  <c r="J171" i="54" s="1"/>
  <c r="I172" i="54"/>
  <c r="J172" i="54" s="1"/>
  <c r="I173" i="54"/>
  <c r="J173" i="54" s="1"/>
  <c r="I174" i="54"/>
  <c r="J174" i="54" s="1"/>
  <c r="I175" i="54"/>
  <c r="J175" i="54" s="1"/>
  <c r="I176" i="54"/>
  <c r="J176" i="54" s="1"/>
  <c r="I177" i="54"/>
  <c r="J177" i="54" s="1"/>
  <c r="I178" i="54"/>
  <c r="J178" i="54" s="1"/>
  <c r="I179" i="54"/>
  <c r="J179" i="54" s="1"/>
  <c r="I180" i="54"/>
  <c r="J180" i="54" s="1"/>
  <c r="I181" i="54"/>
  <c r="J181" i="54" s="1"/>
  <c r="I182" i="54"/>
  <c r="J182" i="54" s="1"/>
  <c r="I183" i="54"/>
  <c r="J183" i="54" s="1"/>
  <c r="I184" i="54"/>
  <c r="J184" i="54" s="1"/>
  <c r="I185" i="54"/>
  <c r="J185" i="54" s="1"/>
  <c r="I186" i="54"/>
  <c r="J186" i="54" s="1"/>
  <c r="I187" i="54"/>
  <c r="J187" i="54" s="1"/>
  <c r="I188" i="54"/>
  <c r="J188" i="54" s="1"/>
  <c r="I189" i="54"/>
  <c r="J189" i="54" s="1"/>
  <c r="I190" i="54"/>
  <c r="J190" i="54" s="1"/>
  <c r="I191" i="54"/>
  <c r="J191" i="54" s="1"/>
  <c r="I192" i="54"/>
  <c r="J192" i="54" s="1"/>
  <c r="I193" i="54"/>
  <c r="J193" i="54" s="1"/>
  <c r="I194" i="54"/>
  <c r="J194" i="54" s="1"/>
  <c r="I195" i="54"/>
  <c r="J195" i="54" s="1"/>
  <c r="I196" i="54"/>
  <c r="J196" i="54" s="1"/>
  <c r="I197" i="54"/>
  <c r="J197" i="54" s="1"/>
  <c r="I198" i="54"/>
  <c r="J198" i="54" s="1"/>
  <c r="I199" i="54"/>
  <c r="J199" i="54" s="1"/>
  <c r="I200" i="54"/>
  <c r="J200" i="54" s="1"/>
  <c r="I201" i="54"/>
  <c r="J201" i="54" s="1"/>
  <c r="I202" i="54"/>
  <c r="J202" i="54" s="1"/>
  <c r="I203" i="54"/>
  <c r="J203" i="54" s="1"/>
  <c r="I204" i="54"/>
  <c r="J204" i="54" s="1"/>
  <c r="I205" i="54"/>
  <c r="J205" i="54" s="1"/>
  <c r="I206" i="54"/>
  <c r="J206" i="54" s="1"/>
  <c r="I207" i="54"/>
  <c r="J207" i="54" s="1"/>
  <c r="I208" i="54"/>
  <c r="J208" i="54" s="1"/>
  <c r="I209" i="54"/>
  <c r="J209" i="54" s="1"/>
  <c r="I210" i="54"/>
  <c r="J210" i="54" s="1"/>
  <c r="I211" i="54"/>
  <c r="J211" i="54" s="1"/>
  <c r="I212" i="54"/>
  <c r="J212" i="54" s="1"/>
  <c r="I213" i="54"/>
  <c r="J213" i="54" s="1"/>
  <c r="I214" i="54"/>
  <c r="J214" i="54" s="1"/>
  <c r="I215" i="54"/>
  <c r="J215" i="54" s="1"/>
  <c r="I216" i="54"/>
  <c r="J216" i="54" s="1"/>
  <c r="I217" i="54"/>
  <c r="J217" i="54" s="1"/>
  <c r="I218" i="54"/>
  <c r="J218" i="54" s="1"/>
  <c r="I3227" i="43" l="1"/>
  <c r="V3225" i="43" l="1"/>
  <c r="V3226" i="43"/>
  <c r="V3230" i="43"/>
  <c r="V3224" i="43"/>
  <c r="I3225" i="43" l="1"/>
  <c r="I3226" i="43" l="1"/>
  <c r="I3224" i="43" l="1"/>
  <c r="A228" i="54"/>
  <c r="A227" i="54"/>
  <c r="A226" i="54"/>
  <c r="A225" i="54"/>
  <c r="A224" i="54"/>
  <c r="A223" i="54"/>
  <c r="A222" i="54"/>
  <c r="A221" i="54"/>
  <c r="A220" i="54"/>
  <c r="A219" i="54"/>
  <c r="A218" i="54"/>
  <c r="A217" i="54"/>
  <c r="A216" i="54"/>
  <c r="A215" i="54"/>
  <c r="A214" i="54"/>
  <c r="A213" i="54"/>
  <c r="A212" i="54"/>
  <c r="A211" i="54"/>
  <c r="A210" i="54"/>
  <c r="A209" i="54"/>
  <c r="A208" i="54"/>
  <c r="A207" i="54"/>
  <c r="A206" i="54"/>
  <c r="A205" i="54"/>
  <c r="A204" i="54"/>
  <c r="A203" i="54"/>
  <c r="A202" i="54"/>
  <c r="A201" i="54"/>
  <c r="A200" i="54"/>
  <c r="A199" i="54"/>
  <c r="A198" i="54"/>
  <c r="A197" i="54"/>
  <c r="A196" i="54"/>
  <c r="A195" i="54"/>
  <c r="A194" i="54"/>
  <c r="A193" i="54"/>
  <c r="A192" i="54"/>
  <c r="A191" i="54"/>
  <c r="A190" i="54"/>
  <c r="A189" i="54"/>
  <c r="A188" i="54"/>
  <c r="A187" i="54"/>
  <c r="A186" i="54"/>
  <c r="A185" i="54"/>
  <c r="A184" i="54"/>
  <c r="A183" i="54"/>
  <c r="A18" i="54"/>
  <c r="A17" i="54"/>
  <c r="A16" i="54"/>
  <c r="A15" i="54"/>
  <c r="A14" i="54"/>
  <c r="A13" i="54"/>
  <c r="A12" i="54"/>
  <c r="A11" i="54"/>
  <c r="A10" i="54"/>
  <c r="A9" i="54"/>
  <c r="A8" i="54"/>
  <c r="A7" i="54"/>
  <c r="A6" i="54"/>
  <c r="A5" i="54"/>
  <c r="I4" i="54"/>
  <c r="J4" i="54" s="1"/>
  <c r="L4" i="54" s="1"/>
  <c r="A4" i="54"/>
  <c r="L19" i="54" l="1"/>
  <c r="M19" i="54" s="1"/>
  <c r="K19" i="54"/>
  <c r="L221" i="54"/>
  <c r="M221" i="54" s="1"/>
  <c r="L225" i="54"/>
  <c r="M225" i="54" s="1"/>
  <c r="L229" i="54"/>
  <c r="M229" i="54" s="1"/>
  <c r="L233" i="54"/>
  <c r="M233" i="54" s="1"/>
  <c r="K220" i="54"/>
  <c r="K224" i="54"/>
  <c r="K228" i="54"/>
  <c r="K232" i="54"/>
  <c r="L235" i="54"/>
  <c r="M235" i="54" s="1"/>
  <c r="K233" i="54"/>
  <c r="K219" i="54"/>
  <c r="K223" i="54"/>
  <c r="K227" i="54"/>
  <c r="K231" i="54"/>
  <c r="K235" i="54"/>
  <c r="L223" i="54"/>
  <c r="M223" i="54" s="1"/>
  <c r="L227" i="54"/>
  <c r="M227" i="54" s="1"/>
  <c r="L231" i="54"/>
  <c r="M231" i="54" s="1"/>
  <c r="K225" i="54"/>
  <c r="K222" i="54"/>
  <c r="K226" i="54"/>
  <c r="K230" i="54"/>
  <c r="K234" i="54"/>
  <c r="K221" i="54"/>
  <c r="K229" i="54"/>
  <c r="L228" i="54"/>
  <c r="M228" i="54" s="1"/>
  <c r="L230" i="54"/>
  <c r="M230" i="54" s="1"/>
  <c r="L224" i="54"/>
  <c r="M224" i="54" s="1"/>
  <c r="L220" i="54"/>
  <c r="M220" i="54" s="1"/>
  <c r="L219" i="54"/>
  <c r="M219" i="54" s="1"/>
  <c r="L232" i="54"/>
  <c r="M232" i="54" s="1"/>
  <c r="L234" i="54"/>
  <c r="M234" i="54" s="1"/>
  <c r="L226" i="54"/>
  <c r="M226" i="54" s="1"/>
  <c r="L222" i="54"/>
  <c r="M222" i="54" s="1"/>
  <c r="K11" i="54"/>
  <c r="K27" i="54"/>
  <c r="K35" i="54"/>
  <c r="L38" i="54"/>
  <c r="M38" i="54" s="1"/>
  <c r="K43" i="54"/>
  <c r="K51" i="54"/>
  <c r="K59" i="54"/>
  <c r="K67" i="54"/>
  <c r="K75" i="54"/>
  <c r="K83" i="54"/>
  <c r="K91" i="54"/>
  <c r="K99" i="54"/>
  <c r="K107" i="54"/>
  <c r="K115" i="54"/>
  <c r="K123" i="54"/>
  <c r="K131" i="54"/>
  <c r="K139" i="54"/>
  <c r="K147" i="54"/>
  <c r="K155" i="54"/>
  <c r="K163" i="54"/>
  <c r="K8" i="54"/>
  <c r="K16" i="54"/>
  <c r="K24" i="54"/>
  <c r="K32" i="54"/>
  <c r="K40" i="54"/>
  <c r="K48" i="54"/>
  <c r="K56" i="54"/>
  <c r="K64" i="54"/>
  <c r="K72" i="54"/>
  <c r="K80" i="54"/>
  <c r="K88" i="54"/>
  <c r="K96" i="54"/>
  <c r="K104" i="54"/>
  <c r="K112" i="54"/>
  <c r="K120" i="54"/>
  <c r="K128" i="54"/>
  <c r="K136" i="54"/>
  <c r="K144" i="54"/>
  <c r="K152" i="54"/>
  <c r="K160" i="54"/>
  <c r="K5" i="54"/>
  <c r="K13" i="54"/>
  <c r="K21" i="54"/>
  <c r="K29" i="54"/>
  <c r="K37" i="54"/>
  <c r="K45" i="54"/>
  <c r="K53" i="54"/>
  <c r="K61" i="54"/>
  <c r="K69" i="54"/>
  <c r="K77" i="54"/>
  <c r="K85" i="54"/>
  <c r="K93" i="54"/>
  <c r="K101" i="54"/>
  <c r="K109" i="54"/>
  <c r="K117" i="54"/>
  <c r="K125" i="54"/>
  <c r="K133" i="54"/>
  <c r="K141" i="54"/>
  <c r="K149" i="54"/>
  <c r="K157" i="54"/>
  <c r="K165" i="54"/>
  <c r="K173" i="54"/>
  <c r="K10" i="54"/>
  <c r="K18" i="54"/>
  <c r="K26" i="54"/>
  <c r="K34" i="54"/>
  <c r="K42" i="54"/>
  <c r="K50" i="54"/>
  <c r="K58" i="54"/>
  <c r="K66" i="54"/>
  <c r="K74" i="54"/>
  <c r="K82" i="54"/>
  <c r="K90" i="54"/>
  <c r="K98" i="54"/>
  <c r="K106" i="54"/>
  <c r="K114" i="54"/>
  <c r="K122" i="54"/>
  <c r="K130" i="54"/>
  <c r="K138" i="54"/>
  <c r="K146" i="54"/>
  <c r="K154" i="54"/>
  <c r="K162" i="54"/>
  <c r="K7" i="54"/>
  <c r="K15" i="54"/>
  <c r="K23" i="54"/>
  <c r="K31" i="54"/>
  <c r="K39" i="54"/>
  <c r="K47" i="54"/>
  <c r="K55" i="54"/>
  <c r="K63" i="54"/>
  <c r="K71" i="54"/>
  <c r="K79" i="54"/>
  <c r="K87" i="54"/>
  <c r="K95" i="54"/>
  <c r="K103" i="54"/>
  <c r="K111" i="54"/>
  <c r="K119" i="54"/>
  <c r="K127" i="54"/>
  <c r="K135" i="54"/>
  <c r="K143" i="54"/>
  <c r="K151" i="54"/>
  <c r="K159" i="54"/>
  <c r="K12" i="54"/>
  <c r="K28" i="54"/>
  <c r="K36" i="54"/>
  <c r="K44" i="54"/>
  <c r="K52" i="54"/>
  <c r="K60" i="54"/>
  <c r="K68" i="54"/>
  <c r="K76" i="54"/>
  <c r="K84" i="54"/>
  <c r="K92" i="54"/>
  <c r="K100" i="54"/>
  <c r="K108" i="54"/>
  <c r="K116" i="54"/>
  <c r="K124" i="54"/>
  <c r="K132" i="54"/>
  <c r="K140" i="54"/>
  <c r="K148" i="54"/>
  <c r="K156" i="54"/>
  <c r="K164" i="54"/>
  <c r="K172" i="54"/>
  <c r="K9" i="54"/>
  <c r="K17" i="54"/>
  <c r="K25" i="54"/>
  <c r="K33" i="54"/>
  <c r="K41" i="54"/>
  <c r="K49" i="54"/>
  <c r="K57" i="54"/>
  <c r="K65" i="54"/>
  <c r="K73" i="54"/>
  <c r="K81" i="54"/>
  <c r="K89" i="54"/>
  <c r="K97" i="54"/>
  <c r="K105" i="54"/>
  <c r="K113" i="54"/>
  <c r="K121" i="54"/>
  <c r="K129" i="54"/>
  <c r="K137" i="54"/>
  <c r="K145" i="54"/>
  <c r="K153" i="54"/>
  <c r="K161" i="54"/>
  <c r="K169" i="54"/>
  <c r="K177" i="54"/>
  <c r="K46" i="54"/>
  <c r="K110" i="54"/>
  <c r="K167" i="54"/>
  <c r="K178" i="54"/>
  <c r="K186" i="54"/>
  <c r="K194" i="54"/>
  <c r="K202" i="54"/>
  <c r="K210" i="54"/>
  <c r="K218" i="54"/>
  <c r="K94" i="54"/>
  <c r="L170" i="54"/>
  <c r="M170" i="54" s="1"/>
  <c r="K180" i="54"/>
  <c r="K196" i="54"/>
  <c r="K212" i="54"/>
  <c r="L171" i="54"/>
  <c r="M171" i="54" s="1"/>
  <c r="L203" i="54"/>
  <c r="M203" i="54" s="1"/>
  <c r="K54" i="54"/>
  <c r="K118" i="54"/>
  <c r="L161" i="54"/>
  <c r="M161" i="54" s="1"/>
  <c r="K176" i="54"/>
  <c r="L200" i="54"/>
  <c r="M200" i="54" s="1"/>
  <c r="K30" i="54"/>
  <c r="K38" i="54"/>
  <c r="L81" i="54"/>
  <c r="M81" i="54" s="1"/>
  <c r="K102" i="54"/>
  <c r="L145" i="54"/>
  <c r="M145" i="54" s="1"/>
  <c r="K170" i="54"/>
  <c r="K183" i="54"/>
  <c r="K191" i="54"/>
  <c r="K199" i="54"/>
  <c r="K207" i="54"/>
  <c r="K215" i="54"/>
  <c r="L137" i="54"/>
  <c r="M137" i="54" s="1"/>
  <c r="K126" i="54"/>
  <c r="L187" i="54"/>
  <c r="M187" i="54" s="1"/>
  <c r="K200" i="54"/>
  <c r="L184" i="54"/>
  <c r="M184" i="54" s="1"/>
  <c r="K197" i="54"/>
  <c r="K22" i="54"/>
  <c r="L73" i="54"/>
  <c r="M73" i="54" s="1"/>
  <c r="K158" i="54"/>
  <c r="K188" i="54"/>
  <c r="K204" i="54"/>
  <c r="L25" i="54"/>
  <c r="M25" i="54" s="1"/>
  <c r="L208" i="54"/>
  <c r="M208" i="54" s="1"/>
  <c r="K14" i="54"/>
  <c r="L65" i="54"/>
  <c r="M65" i="54" s="1"/>
  <c r="K86" i="54"/>
  <c r="K150" i="54"/>
  <c r="K166" i="54"/>
  <c r="K168" i="54"/>
  <c r="K185" i="54"/>
  <c r="K193" i="54"/>
  <c r="K201" i="54"/>
  <c r="K209" i="54"/>
  <c r="K217" i="54"/>
  <c r="K179" i="54"/>
  <c r="K211" i="54"/>
  <c r="K62" i="54"/>
  <c r="L105" i="54"/>
  <c r="M105" i="54" s="1"/>
  <c r="L169" i="54"/>
  <c r="M169" i="54" s="1"/>
  <c r="L179" i="54"/>
  <c r="M179" i="54" s="1"/>
  <c r="K208" i="54"/>
  <c r="K189" i="54"/>
  <c r="K205" i="54"/>
  <c r="L216" i="54"/>
  <c r="M216" i="54" s="1"/>
  <c r="K6" i="54"/>
  <c r="L57" i="54"/>
  <c r="M57" i="54" s="1"/>
  <c r="K78" i="54"/>
  <c r="L121" i="54"/>
  <c r="M121" i="54" s="1"/>
  <c r="K142" i="54"/>
  <c r="K175" i="54"/>
  <c r="K182" i="54"/>
  <c r="K190" i="54"/>
  <c r="K198" i="54"/>
  <c r="K206" i="54"/>
  <c r="K214" i="54"/>
  <c r="K187" i="54"/>
  <c r="K195" i="54"/>
  <c r="K203" i="54"/>
  <c r="L33" i="54"/>
  <c r="M33" i="54" s="1"/>
  <c r="K192" i="54"/>
  <c r="L211" i="54"/>
  <c r="M211" i="54" s="1"/>
  <c r="K174" i="54"/>
  <c r="L192" i="54"/>
  <c r="M192" i="54" s="1"/>
  <c r="K70" i="54"/>
  <c r="K134" i="54"/>
  <c r="K171" i="54"/>
  <c r="L41" i="54"/>
  <c r="M41" i="54" s="1"/>
  <c r="K184" i="54"/>
  <c r="L195" i="54"/>
  <c r="M195" i="54" s="1"/>
  <c r="K216" i="54"/>
  <c r="L17" i="54"/>
  <c r="M17" i="54" s="1"/>
  <c r="L97" i="54"/>
  <c r="M97" i="54" s="1"/>
  <c r="K181" i="54"/>
  <c r="K213" i="54"/>
  <c r="L185" i="54"/>
  <c r="M185" i="54" s="1"/>
  <c r="L129" i="54"/>
  <c r="M129" i="54" s="1"/>
  <c r="L197" i="54"/>
  <c r="M197" i="54" s="1"/>
  <c r="L207" i="54"/>
  <c r="M207" i="54" s="1"/>
  <c r="L218" i="54"/>
  <c r="M218" i="54" s="1"/>
  <c r="L205" i="54"/>
  <c r="M205" i="54" s="1"/>
  <c r="L67" i="54"/>
  <c r="M67" i="54" s="1"/>
  <c r="L96" i="54"/>
  <c r="M96" i="54" s="1"/>
  <c r="L12" i="54"/>
  <c r="M12" i="54" s="1"/>
  <c r="L37" i="54"/>
  <c r="M37" i="54" s="1"/>
  <c r="L100" i="54"/>
  <c r="M100" i="54" s="1"/>
  <c r="L24" i="54"/>
  <c r="M24" i="54" s="1"/>
  <c r="L155" i="54"/>
  <c r="M155" i="54" s="1"/>
  <c r="L78" i="54"/>
  <c r="M78" i="54" s="1"/>
  <c r="L28" i="54"/>
  <c r="M28" i="54" s="1"/>
  <c r="L168" i="54"/>
  <c r="M168" i="54" s="1"/>
  <c r="L14" i="54"/>
  <c r="M14" i="54" s="1"/>
  <c r="L45" i="54"/>
  <c r="M45" i="54" s="1"/>
  <c r="L128" i="54"/>
  <c r="M128" i="54" s="1"/>
  <c r="L60" i="54"/>
  <c r="M60" i="54" s="1"/>
  <c r="L101" i="54"/>
  <c r="M101" i="54" s="1"/>
  <c r="L111" i="54"/>
  <c r="M111" i="54" s="1"/>
  <c r="L102" i="54"/>
  <c r="M102" i="54" s="1"/>
  <c r="L178" i="54"/>
  <c r="M178" i="54" s="1"/>
  <c r="L26" i="54"/>
  <c r="M26" i="54" s="1"/>
  <c r="L158" i="54"/>
  <c r="M158" i="54" s="1"/>
  <c r="L63" i="54"/>
  <c r="M63" i="54" s="1"/>
  <c r="L189" i="54"/>
  <c r="M189" i="54" s="1"/>
  <c r="L50" i="54"/>
  <c r="M50" i="54" s="1"/>
  <c r="L30" i="54"/>
  <c r="M30" i="54" s="1"/>
  <c r="L209" i="54"/>
  <c r="M209" i="54" s="1"/>
  <c r="L113" i="54"/>
  <c r="M113" i="54" s="1"/>
  <c r="L177" i="54"/>
  <c r="M177" i="54" s="1"/>
  <c r="L196" i="54"/>
  <c r="M196" i="54" s="1"/>
  <c r="L9" i="54"/>
  <c r="M9" i="54" s="1"/>
  <c r="L191" i="54"/>
  <c r="M191" i="54" s="1"/>
  <c r="L160" i="54"/>
  <c r="M160" i="54" s="1"/>
  <c r="L92" i="54"/>
  <c r="M92" i="54" s="1"/>
  <c r="L7" i="54"/>
  <c r="M7" i="54" s="1"/>
  <c r="L164" i="54"/>
  <c r="M164" i="54" s="1"/>
  <c r="L95" i="54"/>
  <c r="M95" i="54" s="1"/>
  <c r="L142" i="54"/>
  <c r="M142" i="54" s="1"/>
  <c r="L74" i="54"/>
  <c r="M74" i="54" s="1"/>
  <c r="L23" i="54"/>
  <c r="M23" i="54" s="1"/>
  <c r="L141" i="54"/>
  <c r="M141" i="54" s="1"/>
  <c r="L144" i="54"/>
  <c r="M144" i="54" s="1"/>
  <c r="L163" i="54"/>
  <c r="M163" i="54" s="1"/>
  <c r="L124" i="54"/>
  <c r="M124" i="54" s="1"/>
  <c r="L55" i="54"/>
  <c r="M55" i="54" s="1"/>
  <c r="L34" i="54"/>
  <c r="M34" i="54" s="1"/>
  <c r="L77" i="54"/>
  <c r="M77" i="54" s="1"/>
  <c r="L98" i="54"/>
  <c r="M98" i="54" s="1"/>
  <c r="L13" i="54"/>
  <c r="M13" i="54" s="1"/>
  <c r="L199" i="54"/>
  <c r="M199" i="54" s="1"/>
  <c r="L58" i="54"/>
  <c r="M58" i="54" s="1"/>
  <c r="L108" i="54"/>
  <c r="M108" i="54" s="1"/>
  <c r="L152" i="54"/>
  <c r="M152" i="54" s="1"/>
  <c r="L132" i="54"/>
  <c r="M132" i="54" s="1"/>
  <c r="L212" i="54"/>
  <c r="M212" i="54" s="1"/>
  <c r="L16" i="54"/>
  <c r="M16" i="54" s="1"/>
  <c r="L31" i="54"/>
  <c r="M31" i="54" s="1"/>
  <c r="L5" i="54"/>
  <c r="L174" i="54"/>
  <c r="M174" i="54" s="1"/>
  <c r="L49" i="54"/>
  <c r="M49" i="54" s="1"/>
  <c r="L165" i="54"/>
  <c r="M165" i="54" s="1"/>
  <c r="L186" i="54"/>
  <c r="M186" i="54" s="1"/>
  <c r="L172" i="54"/>
  <c r="M172" i="54" s="1"/>
  <c r="L175" i="54"/>
  <c r="M175" i="54" s="1"/>
  <c r="L156" i="54"/>
  <c r="M156" i="54" s="1"/>
  <c r="L87" i="54"/>
  <c r="M87" i="54" s="1"/>
  <c r="L110" i="54"/>
  <c r="M110" i="54" s="1"/>
  <c r="L159" i="54"/>
  <c r="M159" i="54" s="1"/>
  <c r="L83" i="54"/>
  <c r="M83" i="54" s="1"/>
  <c r="L15" i="54"/>
  <c r="M15" i="54" s="1"/>
  <c r="L138" i="54"/>
  <c r="M138" i="54" s="1"/>
  <c r="L69" i="54"/>
  <c r="M69" i="54" s="1"/>
  <c r="L11" i="54"/>
  <c r="M11" i="54" s="1"/>
  <c r="L116" i="54"/>
  <c r="M116" i="54" s="1"/>
  <c r="L106" i="54"/>
  <c r="M106" i="54" s="1"/>
  <c r="L146" i="54"/>
  <c r="M146" i="54" s="1"/>
  <c r="L119" i="54"/>
  <c r="M119" i="54" s="1"/>
  <c r="L43" i="54"/>
  <c r="M43" i="54" s="1"/>
  <c r="L148" i="54"/>
  <c r="M148" i="54" s="1"/>
  <c r="L162" i="54"/>
  <c r="M162" i="54" s="1"/>
  <c r="L93" i="54"/>
  <c r="M93" i="54" s="1"/>
  <c r="L213" i="54"/>
  <c r="M213" i="54" s="1"/>
  <c r="L130" i="54"/>
  <c r="M130" i="54" s="1"/>
  <c r="L52" i="54"/>
  <c r="M52" i="54" s="1"/>
  <c r="L29" i="54"/>
  <c r="M29" i="54" s="1"/>
  <c r="L210" i="54"/>
  <c r="M210" i="54" s="1"/>
  <c r="L8" i="54"/>
  <c r="M8" i="54" s="1"/>
  <c r="L149" i="54"/>
  <c r="M149" i="54" s="1"/>
  <c r="L173" i="54"/>
  <c r="M173" i="54" s="1"/>
  <c r="L215" i="54"/>
  <c r="M215" i="54" s="1"/>
  <c r="L180" i="54"/>
  <c r="M180" i="54" s="1"/>
  <c r="L181" i="54"/>
  <c r="M181" i="54" s="1"/>
  <c r="L202" i="54"/>
  <c r="M202" i="54" s="1"/>
  <c r="L153" i="54"/>
  <c r="M153" i="54" s="1"/>
  <c r="L151" i="54"/>
  <c r="M151" i="54" s="1"/>
  <c r="L75" i="54"/>
  <c r="M75" i="54" s="1"/>
  <c r="L59" i="54"/>
  <c r="M59" i="54" s="1"/>
  <c r="L147" i="54"/>
  <c r="M147" i="54" s="1"/>
  <c r="L70" i="54"/>
  <c r="M70" i="54" s="1"/>
  <c r="L167" i="54"/>
  <c r="M167" i="54" s="1"/>
  <c r="L133" i="54"/>
  <c r="M133" i="54" s="1"/>
  <c r="L48" i="54"/>
  <c r="M48" i="54" s="1"/>
  <c r="L6" i="54"/>
  <c r="L86" i="54"/>
  <c r="M86" i="54" s="1"/>
  <c r="L76" i="54"/>
  <c r="M76" i="54" s="1"/>
  <c r="L99" i="54"/>
  <c r="M99" i="54" s="1"/>
  <c r="L107" i="54"/>
  <c r="M107" i="54" s="1"/>
  <c r="L35" i="54"/>
  <c r="M35" i="54" s="1"/>
  <c r="L114" i="54"/>
  <c r="M114" i="54" s="1"/>
  <c r="L157" i="54"/>
  <c r="M157" i="54" s="1"/>
  <c r="L72" i="54"/>
  <c r="M72" i="54" s="1"/>
  <c r="L190" i="54"/>
  <c r="M190" i="54" s="1"/>
  <c r="L126" i="54"/>
  <c r="M126" i="54" s="1"/>
  <c r="L61" i="54"/>
  <c r="M61" i="54" s="1"/>
  <c r="L80" i="54"/>
  <c r="M80" i="54" s="1"/>
  <c r="L22" i="54"/>
  <c r="M22" i="54" s="1"/>
  <c r="L166" i="54"/>
  <c r="M166" i="54" s="1"/>
  <c r="L32" i="54"/>
  <c r="M32" i="54" s="1"/>
  <c r="L79" i="54"/>
  <c r="M79" i="54" s="1"/>
  <c r="L115" i="54"/>
  <c r="M115" i="54" s="1"/>
  <c r="L188" i="54"/>
  <c r="M188" i="54" s="1"/>
  <c r="L204" i="54"/>
  <c r="M204" i="54" s="1"/>
  <c r="L194" i="54"/>
  <c r="M194" i="54" s="1"/>
  <c r="L176" i="54"/>
  <c r="M176" i="54" s="1"/>
  <c r="L182" i="54"/>
  <c r="M182" i="54" s="1"/>
  <c r="L89" i="54"/>
  <c r="M89" i="54" s="1"/>
  <c r="L139" i="54"/>
  <c r="M139" i="54" s="1"/>
  <c r="L62" i="54"/>
  <c r="M62" i="54" s="1"/>
  <c r="L21" i="54"/>
  <c r="M21" i="54" s="1"/>
  <c r="L134" i="54"/>
  <c r="M134" i="54" s="1"/>
  <c r="L66" i="54"/>
  <c r="M66" i="54" s="1"/>
  <c r="L123" i="54"/>
  <c r="M123" i="54" s="1"/>
  <c r="L112" i="54"/>
  <c r="M112" i="54" s="1"/>
  <c r="L44" i="54"/>
  <c r="M44" i="54" s="1"/>
  <c r="L140" i="54"/>
  <c r="M140" i="54" s="1"/>
  <c r="L56" i="54"/>
  <c r="M56" i="54" s="1"/>
  <c r="L42" i="54"/>
  <c r="M42" i="54" s="1"/>
  <c r="L82" i="54"/>
  <c r="M82" i="54" s="1"/>
  <c r="L94" i="54"/>
  <c r="M94" i="54" s="1"/>
  <c r="L27" i="54"/>
  <c r="M27" i="54" s="1"/>
  <c r="L54" i="54"/>
  <c r="M54" i="54" s="1"/>
  <c r="L136" i="54"/>
  <c r="M136" i="54" s="1"/>
  <c r="L68" i="54"/>
  <c r="M68" i="54" s="1"/>
  <c r="L206" i="54"/>
  <c r="M206" i="54" s="1"/>
  <c r="L135" i="54"/>
  <c r="M135" i="54" s="1"/>
  <c r="L118" i="54"/>
  <c r="M118" i="54" s="1"/>
  <c r="L39" i="54"/>
  <c r="M39" i="54" s="1"/>
  <c r="L90" i="54"/>
  <c r="M90" i="54" s="1"/>
  <c r="L217" i="54"/>
  <c r="M217" i="54" s="1"/>
  <c r="L117" i="54"/>
  <c r="M117" i="54" s="1"/>
  <c r="L91" i="54"/>
  <c r="M91" i="54" s="1"/>
  <c r="L120" i="54"/>
  <c r="M120" i="54" s="1"/>
  <c r="L183" i="54"/>
  <c r="M183" i="54" s="1"/>
  <c r="L198" i="54"/>
  <c r="M198" i="54" s="1"/>
  <c r="L193" i="54"/>
  <c r="M193" i="54" s="1"/>
  <c r="L214" i="54"/>
  <c r="M214" i="54" s="1"/>
  <c r="L201" i="54"/>
  <c r="M201" i="54" s="1"/>
  <c r="L71" i="54"/>
  <c r="M71" i="54" s="1"/>
  <c r="L122" i="54"/>
  <c r="M122" i="54" s="1"/>
  <c r="L53" i="54"/>
  <c r="M53" i="54" s="1"/>
  <c r="L84" i="54"/>
  <c r="M84" i="54" s="1"/>
  <c r="L125" i="54"/>
  <c r="M125" i="54" s="1"/>
  <c r="L40" i="54"/>
  <c r="M40" i="54" s="1"/>
  <c r="L143" i="54"/>
  <c r="M143" i="54" s="1"/>
  <c r="L103" i="54"/>
  <c r="M103" i="54" s="1"/>
  <c r="L36" i="54"/>
  <c r="M36" i="54" s="1"/>
  <c r="L46" i="54"/>
  <c r="M46" i="54" s="1"/>
  <c r="L47" i="54"/>
  <c r="M47" i="54" s="1"/>
  <c r="L109" i="54"/>
  <c r="M109" i="54" s="1"/>
  <c r="L154" i="54"/>
  <c r="M154" i="54" s="1"/>
  <c r="L85" i="54"/>
  <c r="M85" i="54" s="1"/>
  <c r="L10" i="54"/>
  <c r="M10" i="54" s="1"/>
  <c r="L150" i="54"/>
  <c r="M150" i="54" s="1"/>
  <c r="L127" i="54"/>
  <c r="M127" i="54" s="1"/>
  <c r="L51" i="54"/>
  <c r="M51" i="54" s="1"/>
  <c r="L131" i="54"/>
  <c r="M131" i="54" s="1"/>
  <c r="L104" i="54"/>
  <c r="M104" i="54" s="1"/>
  <c r="L88" i="54"/>
  <c r="M88" i="54" s="1"/>
  <c r="L64" i="54"/>
  <c r="M64" i="54" s="1"/>
  <c r="M4" i="54"/>
  <c r="K4" i="54"/>
  <c r="M6" i="54" l="1"/>
  <c r="M5" i="54"/>
  <c r="I3221" i="43"/>
  <c r="I3222" i="43"/>
  <c r="V3223" i="43"/>
  <c r="V3222" i="43" l="1"/>
  <c r="V3221" i="43" l="1"/>
  <c r="V3220" i="43" l="1"/>
  <c r="V3219" i="43"/>
  <c r="V3218" i="43"/>
  <c r="V3217" i="43" l="1"/>
  <c r="V3216" i="43"/>
  <c r="I3218" i="43"/>
  <c r="I3219" i="43"/>
  <c r="I3220" i="43"/>
  <c r="I3223" i="43"/>
  <c r="V3215" i="43" l="1"/>
  <c r="V3214" i="43" l="1"/>
  <c r="V3213" i="43"/>
  <c r="V3212" i="43" l="1"/>
  <c r="I2587" i="43"/>
  <c r="V2587" i="43"/>
  <c r="P88" i="50"/>
  <c r="I3212" i="43"/>
  <c r="I3213" i="43"/>
  <c r="V3211" i="43"/>
  <c r="V3210" i="43" l="1"/>
  <c r="I3214" i="43"/>
  <c r="I3215" i="43"/>
  <c r="I3216" i="43"/>
  <c r="I3217" i="43"/>
  <c r="V3209" i="43"/>
  <c r="V3208" i="43" l="1"/>
  <c r="V3207" i="43" l="1"/>
  <c r="I3207" i="43"/>
  <c r="I3208" i="43"/>
  <c r="I3209" i="43"/>
  <c r="I3210" i="43"/>
  <c r="I3211" i="43"/>
  <c r="V3206" i="43" l="1"/>
  <c r="I3206" i="43"/>
  <c r="V3204" i="43"/>
  <c r="G254" i="17" l="1"/>
  <c r="H254" i="17"/>
  <c r="G255" i="17"/>
  <c r="H255" i="17"/>
  <c r="G256" i="17"/>
  <c r="H256" i="17"/>
  <c r="G257" i="17"/>
  <c r="H257" i="17"/>
  <c r="G258" i="17"/>
  <c r="H258" i="17"/>
  <c r="G259" i="17"/>
  <c r="H259" i="17"/>
  <c r="V3203" i="43" l="1"/>
  <c r="V3202" i="43"/>
  <c r="V3201" i="43" l="1"/>
  <c r="I3202" i="43"/>
  <c r="I3203" i="43"/>
  <c r="I3204" i="43"/>
  <c r="I3205" i="43"/>
  <c r="V3200" i="43"/>
  <c r="V3199" i="43"/>
  <c r="V3198" i="43"/>
  <c r="V3197" i="43"/>
  <c r="V3196" i="43"/>
  <c r="V3195" i="43" l="1"/>
  <c r="I3197" i="43"/>
  <c r="I3198" i="43"/>
  <c r="I3199" i="43"/>
  <c r="I3200" i="43"/>
  <c r="I3201" i="43"/>
  <c r="V3194" i="43" l="1"/>
  <c r="V3193" i="43"/>
  <c r="V3192" i="43"/>
  <c r="V3191" i="43"/>
  <c r="F317" i="17" l="1"/>
  <c r="H361" i="17"/>
  <c r="G361" i="17"/>
  <c r="G380" i="17" s="1"/>
  <c r="V3190" i="43"/>
  <c r="V3189" i="43" l="1"/>
  <c r="I3192" i="43"/>
  <c r="I3193" i="43"/>
  <c r="I3194" i="43"/>
  <c r="I3195" i="43"/>
  <c r="I3196" i="43"/>
  <c r="V3188" i="43" l="1"/>
  <c r="V3187" i="43"/>
  <c r="V3186" i="43" l="1"/>
  <c r="I3189" i="43"/>
  <c r="I3190" i="43"/>
  <c r="I3191" i="43"/>
  <c r="V3185" i="43" l="1"/>
  <c r="A450" i="17" l="1"/>
  <c r="B450" i="17"/>
  <c r="A451" i="17"/>
  <c r="B451" i="17"/>
  <c r="A452" i="17"/>
  <c r="B452" i="17"/>
  <c r="A453" i="17"/>
  <c r="B453" i="17"/>
  <c r="A454" i="17"/>
  <c r="B454" i="17"/>
  <c r="E444" i="17"/>
  <c r="F444" i="17"/>
  <c r="E445" i="17"/>
  <c r="F445" i="17"/>
  <c r="E446" i="17"/>
  <c r="F446" i="17"/>
  <c r="F447" i="17"/>
  <c r="E448" i="17"/>
  <c r="F448" i="17"/>
  <c r="E449" i="17"/>
  <c r="F449" i="17"/>
  <c r="E450" i="17"/>
  <c r="F450" i="17"/>
  <c r="E451" i="17"/>
  <c r="F451" i="17"/>
  <c r="E452" i="17"/>
  <c r="F452" i="17"/>
  <c r="E453" i="17"/>
  <c r="F453" i="17"/>
  <c r="E454" i="17"/>
  <c r="F454" i="17"/>
  <c r="G444" i="17"/>
  <c r="H444" i="17"/>
  <c r="G445" i="17"/>
  <c r="H445" i="17"/>
  <c r="G446" i="17"/>
  <c r="H446" i="17"/>
  <c r="G447" i="17"/>
  <c r="H447" i="17"/>
  <c r="G448" i="17"/>
  <c r="H448" i="17"/>
  <c r="G449" i="17"/>
  <c r="H449" i="17"/>
  <c r="G450" i="17"/>
  <c r="H450" i="17"/>
  <c r="G451" i="17"/>
  <c r="H451" i="17"/>
  <c r="G452" i="17"/>
  <c r="H452" i="17"/>
  <c r="G453" i="17"/>
  <c r="H453" i="17"/>
  <c r="G454" i="17"/>
  <c r="H454" i="17"/>
  <c r="E427" i="17"/>
  <c r="F427" i="17"/>
  <c r="E428" i="17"/>
  <c r="F428" i="17"/>
  <c r="E429" i="17"/>
  <c r="F429" i="17"/>
  <c r="E430" i="17"/>
  <c r="F430" i="17"/>
  <c r="E431" i="17"/>
  <c r="F431" i="17"/>
  <c r="E432" i="17"/>
  <c r="F432" i="17"/>
  <c r="E433" i="17"/>
  <c r="F433" i="17"/>
  <c r="E434" i="17"/>
  <c r="F434" i="17"/>
  <c r="E435" i="17"/>
  <c r="F435" i="17"/>
  <c r="E436" i="17"/>
  <c r="F436" i="17"/>
  <c r="E437" i="17"/>
  <c r="F437" i="17"/>
  <c r="E438" i="17"/>
  <c r="F438" i="17"/>
  <c r="E439" i="17"/>
  <c r="F439" i="17"/>
  <c r="E440" i="17"/>
  <c r="F440" i="17"/>
  <c r="C427" i="17"/>
  <c r="D427" i="17"/>
  <c r="C428" i="17"/>
  <c r="D428" i="17"/>
  <c r="C429" i="17"/>
  <c r="D429" i="17"/>
  <c r="C430" i="17"/>
  <c r="D430" i="17"/>
  <c r="C431" i="17"/>
  <c r="D431" i="17"/>
  <c r="C432" i="17"/>
  <c r="D432" i="17"/>
  <c r="C433" i="17"/>
  <c r="D433" i="17"/>
  <c r="C434" i="17"/>
  <c r="D434" i="17"/>
  <c r="C435" i="17"/>
  <c r="D435" i="17"/>
  <c r="C436" i="17"/>
  <c r="D436" i="17"/>
  <c r="C437" i="17"/>
  <c r="D437" i="17"/>
  <c r="C438" i="17"/>
  <c r="D438" i="17"/>
  <c r="C439" i="17"/>
  <c r="D439" i="17"/>
  <c r="C440" i="17"/>
  <c r="D440" i="17"/>
  <c r="A427" i="17"/>
  <c r="B427" i="17"/>
  <c r="B428" i="17"/>
  <c r="A429" i="17"/>
  <c r="B429" i="17"/>
  <c r="A430" i="17"/>
  <c r="B430" i="17"/>
  <c r="A431" i="17"/>
  <c r="B431" i="17"/>
  <c r="A432" i="17"/>
  <c r="B432" i="17"/>
  <c r="A433" i="17"/>
  <c r="B433" i="17"/>
  <c r="A434" i="17"/>
  <c r="B434" i="17"/>
  <c r="A435" i="17"/>
  <c r="B435" i="17"/>
  <c r="A436" i="17"/>
  <c r="B436" i="17"/>
  <c r="A437" i="17"/>
  <c r="B437" i="17"/>
  <c r="A438" i="17"/>
  <c r="B438" i="17"/>
  <c r="A439" i="17"/>
  <c r="B439" i="17"/>
  <c r="A440" i="17"/>
  <c r="B440" i="17"/>
  <c r="V3184" i="43"/>
  <c r="V3183" i="43"/>
  <c r="A462" i="17" l="1"/>
  <c r="V3182" i="43"/>
  <c r="I3184" i="43"/>
  <c r="I3185" i="43"/>
  <c r="I3186" i="43"/>
  <c r="I3187" i="43"/>
  <c r="I3188" i="43"/>
  <c r="V3181" i="43" l="1"/>
  <c r="V3180" i="43" l="1"/>
  <c r="V3179" i="43" l="1"/>
  <c r="I3179" i="43"/>
  <c r="V3178" i="43"/>
  <c r="V3177" i="43" l="1"/>
  <c r="I3178" i="43" l="1"/>
  <c r="I3180" i="43"/>
  <c r="I3181" i="43"/>
  <c r="I3182" i="43"/>
  <c r="I3183" i="43"/>
  <c r="V3176" i="43"/>
  <c r="V3175" i="43" l="1"/>
  <c r="I3175" i="43" l="1"/>
  <c r="V3174" i="43" l="1"/>
  <c r="V3173" i="43"/>
  <c r="V3172" i="43" l="1"/>
  <c r="V3171" i="43"/>
  <c r="V3170" i="43" l="1"/>
  <c r="I3172" i="43"/>
  <c r="I3173" i="43"/>
  <c r="I3174" i="43"/>
  <c r="I3176" i="43"/>
  <c r="I3177" i="43"/>
  <c r="V3169" i="43" l="1"/>
  <c r="I3169" i="43"/>
  <c r="V3168" i="43" l="1"/>
  <c r="V3167" i="43"/>
  <c r="V3160" i="43"/>
  <c r="I3160" i="43"/>
  <c r="V3166" i="43" l="1"/>
  <c r="V3165" i="43"/>
  <c r="I3167" i="43"/>
  <c r="I3168" i="43"/>
  <c r="I3170" i="43"/>
  <c r="I3171" i="43"/>
  <c r="V3164" i="43"/>
  <c r="V3163" i="43"/>
  <c r="V3162" i="43" l="1"/>
  <c r="V3161" i="43"/>
  <c r="I3161" i="43" l="1"/>
  <c r="I3163" i="43"/>
  <c r="I3164" i="43"/>
  <c r="I3165" i="43"/>
  <c r="I3166" i="43"/>
  <c r="V3159" i="43"/>
  <c r="V3158" i="43"/>
  <c r="V3157" i="43" l="1"/>
  <c r="I3157" i="43"/>
  <c r="V3156" i="43" l="1"/>
  <c r="I3158" i="43"/>
  <c r="I3159" i="43"/>
  <c r="I3162" i="43"/>
  <c r="V3155" i="43"/>
  <c r="I3155" i="43"/>
  <c r="V3154" i="43" l="1"/>
  <c r="V3153" i="43" l="1"/>
  <c r="I3153" i="43" l="1"/>
  <c r="I3154" i="43"/>
  <c r="V3152" i="43"/>
  <c r="I3156" i="43"/>
  <c r="V3151" i="43" l="1"/>
  <c r="V3150" i="43"/>
  <c r="V3149" i="43" l="1"/>
  <c r="V3148" i="43" l="1"/>
  <c r="V3147" i="43" l="1"/>
  <c r="I3149" i="43"/>
  <c r="I3150" i="43"/>
  <c r="I3151" i="43"/>
  <c r="I3152" i="43"/>
  <c r="V3146" i="43"/>
  <c r="V3145" i="43"/>
  <c r="V3144" i="43" l="1"/>
  <c r="V3143" i="43" l="1"/>
  <c r="I3143" i="43"/>
  <c r="V3029" i="43"/>
  <c r="I3029" i="43"/>
  <c r="V3142" i="43" l="1"/>
  <c r="I3145" i="43"/>
  <c r="I3146" i="43"/>
  <c r="I3147" i="43"/>
  <c r="I3148" i="43"/>
  <c r="R13" i="6" l="1"/>
  <c r="R12" i="6"/>
  <c r="R16" i="6" l="1"/>
  <c r="AG15" i="11" s="1"/>
  <c r="V3141" i="43"/>
  <c r="V3140" i="43"/>
  <c r="V3139" i="43" l="1"/>
  <c r="I3139" i="43"/>
  <c r="I3140" i="43"/>
  <c r="I3141" i="43"/>
  <c r="V3138" i="43" l="1"/>
  <c r="V3137" i="43"/>
  <c r="V3136" i="43" l="1"/>
  <c r="V3135" i="43"/>
  <c r="I3137" i="43"/>
  <c r="I3138" i="43"/>
  <c r="I3142" i="43"/>
  <c r="I3144" i="43"/>
  <c r="V3134" i="43" l="1"/>
  <c r="V3133" i="43" l="1"/>
  <c r="V3132" i="43" l="1"/>
  <c r="I3134" i="43"/>
  <c r="I3135" i="43"/>
  <c r="I3136" i="43"/>
  <c r="V3131" i="43" l="1"/>
  <c r="V3130" i="43"/>
  <c r="V3129" i="43"/>
  <c r="I3129" i="43"/>
  <c r="I3130" i="43"/>
  <c r="I3131" i="43"/>
  <c r="I3132" i="43"/>
  <c r="I3133" i="43"/>
  <c r="V3128" i="43"/>
  <c r="V3127" i="43"/>
  <c r="V3126" i="43"/>
  <c r="V3125" i="43" l="1"/>
  <c r="I3127" i="43"/>
  <c r="I3128" i="43"/>
  <c r="V3124" i="43" l="1"/>
  <c r="I3124" i="43"/>
  <c r="V3123" i="43" l="1"/>
  <c r="V3122" i="43"/>
  <c r="V3121" i="43" l="1"/>
  <c r="V3120" i="43" l="1"/>
  <c r="I3123" i="43"/>
  <c r="I3125" i="43"/>
  <c r="I3126" i="43"/>
  <c r="V3119" i="43" l="1"/>
  <c r="V3118" i="43"/>
  <c r="I3120" i="43"/>
  <c r="I3121" i="43"/>
  <c r="I3122" i="43"/>
  <c r="V3117" i="43"/>
  <c r="V3116" i="43" l="1"/>
  <c r="V3115" i="43"/>
  <c r="V3114" i="43" l="1"/>
  <c r="V3113" i="43" l="1"/>
  <c r="I3115" i="43"/>
  <c r="I3116" i="43"/>
  <c r="I3117" i="43"/>
  <c r="I3118" i="43"/>
  <c r="I3119" i="43"/>
  <c r="V3112" i="43" l="1"/>
  <c r="I3112" i="43"/>
  <c r="V3111" i="43"/>
  <c r="V3110" i="43" l="1"/>
  <c r="H31" i="17" l="1"/>
  <c r="H77" i="17" s="1"/>
  <c r="H120" i="17" s="1"/>
  <c r="H163" i="17" s="1"/>
  <c r="H206" i="17" s="1"/>
  <c r="H250" i="17" s="1"/>
  <c r="H297" i="17" s="1"/>
  <c r="H341" i="17" s="1"/>
  <c r="H384" i="17" s="1"/>
  <c r="H423" i="17" s="1"/>
  <c r="B1" i="17"/>
  <c r="V3109" i="43"/>
  <c r="V3108" i="43"/>
  <c r="V3107" i="43" l="1"/>
  <c r="V3106" i="43"/>
  <c r="V3105" i="43"/>
  <c r="I3107" i="43"/>
  <c r="I3108" i="43"/>
  <c r="I3109" i="43"/>
  <c r="I3110" i="43"/>
  <c r="I3111" i="43"/>
  <c r="I3113" i="43"/>
  <c r="I3114" i="43"/>
  <c r="V3104" i="43" l="1"/>
  <c r="V3103" i="43"/>
  <c r="V3102" i="43" l="1"/>
  <c r="V3101" i="43"/>
  <c r="V3100" i="43" l="1"/>
  <c r="I3102" i="43"/>
  <c r="I3103" i="43"/>
  <c r="I3104" i="43"/>
  <c r="I3105" i="43"/>
  <c r="I3106" i="43"/>
  <c r="V3099" i="43" l="1"/>
  <c r="V3098" i="43"/>
  <c r="V3097" i="43" l="1"/>
  <c r="V3096" i="43"/>
  <c r="I3098" i="43"/>
  <c r="I3099" i="43"/>
  <c r="I3100" i="43"/>
  <c r="I3101" i="43"/>
  <c r="V3095" i="43" l="1"/>
  <c r="V3094" i="43" l="1"/>
  <c r="V3093" i="43" l="1"/>
  <c r="V3092" i="43" l="1"/>
  <c r="V3091" i="43"/>
  <c r="I3093" i="43"/>
  <c r="I3094" i="43"/>
  <c r="I3096" i="43"/>
  <c r="I3097" i="43"/>
  <c r="W99" i="6" l="1"/>
  <c r="Q99" i="6"/>
  <c r="O99" i="6"/>
  <c r="N99" i="6"/>
  <c r="B101" i="6"/>
  <c r="C101" i="6"/>
  <c r="D101" i="6"/>
  <c r="M82" i="6"/>
  <c r="P82" i="6"/>
  <c r="B84" i="6"/>
  <c r="C84" i="6"/>
  <c r="D84" i="6"/>
  <c r="V3090" i="43" l="1"/>
  <c r="V3089" i="43" l="1"/>
  <c r="V3088" i="43" l="1"/>
  <c r="I3090" i="43"/>
  <c r="I3091" i="43"/>
  <c r="I3092" i="43"/>
  <c r="V3087" i="43"/>
  <c r="V3086" i="43"/>
  <c r="V3085" i="43"/>
  <c r="V3084" i="43" l="1"/>
  <c r="I3087" i="43"/>
  <c r="I3088" i="43"/>
  <c r="I3089" i="43"/>
  <c r="V3083" i="43"/>
  <c r="V3082" i="43"/>
  <c r="V3081" i="43" l="1"/>
  <c r="V3080" i="43"/>
  <c r="V3079" i="43"/>
  <c r="I3080" i="43"/>
  <c r="I3081" i="43"/>
  <c r="I3082" i="43"/>
  <c r="I3083" i="43"/>
  <c r="I3084" i="43"/>
  <c r="I3085" i="43"/>
  <c r="I3086" i="43"/>
  <c r="V3078" i="43" l="1"/>
  <c r="V3077" i="43"/>
  <c r="I3077" i="43"/>
  <c r="V3076" i="43" l="1"/>
  <c r="I3076" i="43"/>
  <c r="V3075" i="43"/>
  <c r="V3074" i="43" l="1"/>
  <c r="I3078" i="43"/>
  <c r="I3079" i="43"/>
  <c r="V3073" i="43"/>
  <c r="V3072" i="43"/>
  <c r="V3071" i="43"/>
  <c r="I3074" i="43"/>
  <c r="I3075" i="43"/>
  <c r="V3070" i="43"/>
  <c r="V3069" i="43" l="1"/>
  <c r="I3071" i="43"/>
  <c r="I3072" i="43"/>
  <c r="I3073" i="43"/>
  <c r="V3068" i="43" l="1"/>
  <c r="V3067" i="43"/>
  <c r="V3066" i="43"/>
  <c r="I3068" i="43"/>
  <c r="I3069" i="43"/>
  <c r="I3070" i="43"/>
  <c r="V3065" i="43" l="1"/>
  <c r="V3064" i="43"/>
  <c r="V3063" i="43" l="1"/>
  <c r="V3062" i="43" l="1"/>
  <c r="V3061" i="43" l="1"/>
  <c r="I3061" i="43"/>
  <c r="V3060" i="43"/>
  <c r="I3062" i="43"/>
  <c r="I3063" i="43"/>
  <c r="I3064" i="43"/>
  <c r="I3065" i="43"/>
  <c r="I3066" i="43"/>
  <c r="I3067" i="43"/>
  <c r="V3059" i="43" l="1"/>
  <c r="V3058" i="43" l="1"/>
  <c r="I3060" i="43"/>
  <c r="V3057" i="43"/>
  <c r="V3056" i="43"/>
  <c r="V3055" i="43" l="1"/>
  <c r="V3054" i="43" l="1"/>
  <c r="V3053" i="43" l="1"/>
  <c r="V3052" i="43" l="1"/>
  <c r="I3053" i="43"/>
  <c r="I3054" i="43"/>
  <c r="I3055" i="43"/>
  <c r="I3056" i="43"/>
  <c r="I3057" i="43"/>
  <c r="I3058" i="43"/>
  <c r="I3059" i="43"/>
  <c r="V3051" i="43"/>
  <c r="V3050" i="43" l="1"/>
  <c r="V3049" i="43"/>
  <c r="V3048" i="43"/>
  <c r="V3047" i="43" l="1"/>
  <c r="V3046" i="43"/>
  <c r="I3049" i="43"/>
  <c r="I3050" i="43"/>
  <c r="I3051" i="43"/>
  <c r="I3052" i="43"/>
  <c r="V3045" i="43" l="1"/>
  <c r="V3044" i="43"/>
  <c r="I3045" i="43"/>
  <c r="I3046" i="43"/>
  <c r="I3047" i="43"/>
  <c r="I3048" i="43"/>
  <c r="V3042" i="43" l="1"/>
  <c r="V3043" i="43"/>
  <c r="V3041" i="43" l="1"/>
  <c r="V3040" i="43"/>
  <c r="I3042" i="43"/>
  <c r="I3043" i="43"/>
  <c r="I3044" i="43"/>
  <c r="V3039" i="43" l="1"/>
  <c r="V3038" i="43" l="1"/>
  <c r="I3040" i="43"/>
  <c r="I3041" i="43"/>
  <c r="V3036" i="43" l="1"/>
  <c r="V3037" i="43"/>
  <c r="V3035" i="43" l="1"/>
  <c r="V3034" i="43" l="1"/>
  <c r="I3036" i="43"/>
  <c r="I3037" i="43"/>
  <c r="I3038" i="43"/>
  <c r="I3039" i="43"/>
  <c r="V3033" i="43"/>
  <c r="G31" i="11" l="1"/>
  <c r="G47" i="11"/>
  <c r="H194" i="11"/>
  <c r="G194" i="11"/>
  <c r="G193" i="11"/>
  <c r="H192" i="11"/>
  <c r="G192" i="11"/>
  <c r="G191" i="11"/>
  <c r="H190" i="11"/>
  <c r="G190" i="11"/>
  <c r="H189" i="11"/>
  <c r="G189" i="11"/>
  <c r="H188" i="11"/>
  <c r="G188" i="11"/>
  <c r="G187" i="11"/>
  <c r="G186" i="11"/>
  <c r="G185" i="11"/>
  <c r="G184" i="11"/>
  <c r="G183" i="11"/>
  <c r="G182" i="11"/>
  <c r="G181" i="11"/>
  <c r="H180" i="11"/>
  <c r="G180" i="11"/>
  <c r="H179" i="11"/>
  <c r="G179" i="11"/>
  <c r="G178" i="11"/>
  <c r="G177" i="11"/>
  <c r="V3032" i="43"/>
  <c r="V3031" i="43"/>
  <c r="I3033" i="43"/>
  <c r="I3034" i="43"/>
  <c r="I3035" i="43"/>
  <c r="V3030" i="43"/>
  <c r="I190" i="11" l="1"/>
  <c r="I189" i="11"/>
  <c r="I188" i="11"/>
  <c r="I192" i="11"/>
  <c r="I179" i="11"/>
  <c r="I180" i="11"/>
  <c r="I194" i="11"/>
  <c r="I3030" i="43" l="1"/>
  <c r="I3031" i="43"/>
  <c r="I3032" i="43"/>
  <c r="V3028" i="43"/>
  <c r="V3027" i="43"/>
  <c r="V3026" i="43" l="1"/>
  <c r="V3025" i="43"/>
  <c r="I3026" i="43"/>
  <c r="I3027" i="43"/>
  <c r="I3028" i="43"/>
  <c r="A1" i="50" l="1"/>
  <c r="V3024" i="43" l="1"/>
  <c r="V3023" i="43" l="1"/>
  <c r="V3022" i="43" l="1"/>
  <c r="I3023" i="43"/>
  <c r="I3024" i="43"/>
  <c r="I3025" i="43"/>
  <c r="V3021" i="43"/>
  <c r="V3020" i="43"/>
  <c r="I3021" i="43"/>
  <c r="I3022" i="43"/>
  <c r="V3019" i="43"/>
  <c r="V3018" i="43"/>
  <c r="V3017" i="43"/>
  <c r="V3016" i="43"/>
  <c r="V3015" i="43" l="1"/>
  <c r="I3015" i="43" l="1"/>
  <c r="I3016" i="43"/>
  <c r="I3017" i="43"/>
  <c r="I3018" i="43"/>
  <c r="I3019" i="43"/>
  <c r="I3020" i="43"/>
  <c r="V3013" i="43"/>
  <c r="V3014" i="43"/>
  <c r="V3012" i="43"/>
  <c r="V3011" i="43"/>
  <c r="V3010" i="43" l="1"/>
  <c r="V3009" i="43" l="1"/>
  <c r="V3008" i="43" l="1"/>
  <c r="G443" i="17" l="1"/>
  <c r="G462" i="17" s="1"/>
  <c r="E443" i="17" l="1"/>
  <c r="E462" i="17" s="1"/>
  <c r="V3007" i="43" l="1"/>
  <c r="I3009" i="43"/>
  <c r="I3010" i="43"/>
  <c r="I3011" i="43"/>
  <c r="I3012" i="43"/>
  <c r="I3013" i="43"/>
  <c r="I3014" i="43"/>
  <c r="V3005" i="43" l="1"/>
  <c r="V3004" i="43" l="1"/>
  <c r="V3003" i="43" l="1"/>
  <c r="V3002" i="43" l="1"/>
  <c r="I3005" i="43"/>
  <c r="I3007" i="43"/>
  <c r="I3008" i="43"/>
  <c r="V3001" i="43" l="1"/>
  <c r="V3000" i="43" l="1"/>
  <c r="V2999" i="43" l="1"/>
  <c r="V2998" i="43"/>
  <c r="I3000" i="43"/>
  <c r="I3001" i="43"/>
  <c r="I3002" i="43"/>
  <c r="I3003" i="43"/>
  <c r="I3004" i="43"/>
  <c r="V2997" i="43"/>
  <c r="V2996" i="43"/>
  <c r="V2995" i="43" l="1"/>
  <c r="I2997" i="43"/>
  <c r="I2998" i="43"/>
  <c r="I2999" i="43"/>
  <c r="V2994" i="43"/>
  <c r="V2993" i="43" l="1"/>
  <c r="V2992" i="43"/>
  <c r="V2991" i="43" l="1"/>
  <c r="V2990" i="43" l="1"/>
  <c r="I2992" i="43"/>
  <c r="I2993" i="43"/>
  <c r="I2994" i="43"/>
  <c r="I2995" i="43"/>
  <c r="I2996" i="43"/>
  <c r="V2989" i="43"/>
  <c r="V2988" i="43" l="1"/>
  <c r="V2987" i="43" l="1"/>
  <c r="V2986" i="43" l="1"/>
  <c r="V2985" i="43" l="1"/>
  <c r="I2988" i="43"/>
  <c r="I2989" i="43"/>
  <c r="I2990" i="43"/>
  <c r="I2991" i="43"/>
  <c r="V2984" i="43" l="1"/>
  <c r="V2983" i="43" l="1"/>
  <c r="V2982" i="43"/>
  <c r="V2981" i="43" l="1"/>
  <c r="V2980" i="43" l="1"/>
  <c r="V2979" i="43"/>
  <c r="V2978" i="43" l="1"/>
  <c r="I2980" i="43"/>
  <c r="I2981" i="43"/>
  <c r="I2982" i="43"/>
  <c r="I2983" i="43"/>
  <c r="I2984" i="43"/>
  <c r="I2985" i="43"/>
  <c r="I2986" i="43"/>
  <c r="I2987" i="43"/>
  <c r="V2977" i="43" l="1"/>
  <c r="V2975" i="43" l="1"/>
  <c r="V2976" i="43"/>
  <c r="V2974" i="43" l="1"/>
  <c r="I2976" i="43" l="1"/>
  <c r="I2977" i="43"/>
  <c r="I2978" i="43"/>
  <c r="I2979" i="43"/>
  <c r="V2973" i="43"/>
  <c r="V2972" i="43"/>
  <c r="V2971" i="43" l="1"/>
  <c r="I2973" i="43"/>
  <c r="I2974" i="43"/>
  <c r="I2975" i="43"/>
  <c r="V2970" i="43"/>
  <c r="V2969" i="43" l="1"/>
  <c r="V2968" i="43"/>
  <c r="V2967" i="43" l="1"/>
  <c r="I2970" i="43"/>
  <c r="I2971" i="43"/>
  <c r="I2972" i="43"/>
  <c r="V2966" i="43"/>
  <c r="V2965" i="43" l="1"/>
  <c r="V2964" i="43"/>
  <c r="V2963" i="43"/>
  <c r="I2965" i="43"/>
  <c r="I2966" i="43"/>
  <c r="I2967" i="43"/>
  <c r="I2968" i="43"/>
  <c r="I2969" i="43"/>
  <c r="V2962" i="43"/>
  <c r="V194" i="50" l="1"/>
  <c r="V195" i="50"/>
  <c r="V196" i="50"/>
  <c r="V197" i="50"/>
  <c r="V198" i="50"/>
  <c r="V199" i="50"/>
  <c r="V200" i="50"/>
  <c r="V201" i="50"/>
  <c r="V202" i="50"/>
  <c r="V203" i="50"/>
  <c r="V204" i="50"/>
  <c r="V205" i="50"/>
  <c r="V206" i="50"/>
  <c r="V207" i="50"/>
  <c r="V208" i="50"/>
  <c r="V220" i="50"/>
  <c r="F443" i="17"/>
  <c r="H443" i="17"/>
  <c r="F426" i="17"/>
  <c r="E426" i="17"/>
  <c r="E460" i="17" s="1"/>
  <c r="D426" i="17"/>
  <c r="C460" i="17"/>
  <c r="B426" i="17"/>
  <c r="A426" i="17"/>
  <c r="A460" i="17" s="1"/>
  <c r="H418" i="17"/>
  <c r="G418" i="17"/>
  <c r="F418" i="17"/>
  <c r="E418" i="17"/>
  <c r="D418" i="17"/>
  <c r="C418" i="17"/>
  <c r="B418" i="17"/>
  <c r="A418" i="17"/>
  <c r="Z221" i="50"/>
  <c r="Y221" i="50"/>
  <c r="X221" i="50"/>
  <c r="W221" i="50"/>
  <c r="P221" i="50"/>
  <c r="N221" i="50"/>
  <c r="L221" i="50"/>
  <c r="V193" i="50"/>
  <c r="B423" i="17"/>
  <c r="V2961" i="43"/>
  <c r="T221" i="50" l="1"/>
  <c r="J461" i="17" s="1"/>
  <c r="G14" i="6"/>
  <c r="C14" i="6"/>
  <c r="B14" i="6"/>
  <c r="H14" i="6"/>
  <c r="H17" i="16"/>
  <c r="F14" i="6"/>
  <c r="E14" i="6"/>
  <c r="S14" i="11" s="1"/>
  <c r="R221" i="50"/>
  <c r="V221" i="50"/>
  <c r="J14" i="6" s="1"/>
  <c r="X14" i="11" s="1"/>
  <c r="AL14" i="11" s="1"/>
  <c r="V2960" i="43"/>
  <c r="I2962" i="43"/>
  <c r="I2963" i="43"/>
  <c r="I2964" i="43"/>
  <c r="T14" i="11" l="1"/>
  <c r="V14" i="11"/>
  <c r="L17" i="16" s="1"/>
  <c r="Q14" i="11"/>
  <c r="AJ14" i="11" s="1"/>
  <c r="P14" i="11"/>
  <c r="F17" i="16" s="1"/>
  <c r="U14" i="11"/>
  <c r="K17" i="16" s="1"/>
  <c r="M14" i="6"/>
  <c r="N14" i="6"/>
  <c r="I17" i="16"/>
  <c r="I14" i="6"/>
  <c r="W14" i="11" s="1"/>
  <c r="K14" i="6"/>
  <c r="P14" i="6"/>
  <c r="V2959" i="43"/>
  <c r="V2958" i="43"/>
  <c r="V2957" i="43"/>
  <c r="J17" i="16" l="1"/>
  <c r="G17" i="16"/>
  <c r="Y14" i="11"/>
  <c r="AI14" i="11"/>
  <c r="AM14" i="11" s="1"/>
  <c r="AN14" i="11" s="1"/>
  <c r="N17" i="16"/>
  <c r="M17" i="16"/>
  <c r="O14" i="6"/>
  <c r="L14" i="6" s="1"/>
  <c r="D226" i="17"/>
  <c r="V2880" i="43"/>
  <c r="V2956" i="43"/>
  <c r="O17" i="16" l="1"/>
  <c r="V2955" i="43"/>
  <c r="V2954" i="43"/>
  <c r="I2956" i="43"/>
  <c r="I2957" i="43"/>
  <c r="I2958" i="43"/>
  <c r="I2959" i="43"/>
  <c r="I2960" i="43"/>
  <c r="I2961" i="43"/>
  <c r="V2953" i="43" l="1"/>
  <c r="V2952" i="43" l="1"/>
  <c r="I2952" i="43" l="1"/>
  <c r="V2951" i="43" l="1"/>
  <c r="I2953" i="43"/>
  <c r="I2954" i="43"/>
  <c r="I2955" i="43"/>
  <c r="V2950" i="43"/>
  <c r="V2949" i="43" l="1"/>
  <c r="I2950" i="43"/>
  <c r="I2951" i="43"/>
  <c r="V2948" i="43"/>
  <c r="V2947" i="43"/>
  <c r="E404" i="17" l="1"/>
  <c r="E422" i="17" s="1"/>
  <c r="F404" i="17"/>
  <c r="V2946" i="43" l="1"/>
  <c r="V2945" i="43" l="1"/>
  <c r="I2946" i="43"/>
  <c r="I2947" i="43"/>
  <c r="I2948" i="43"/>
  <c r="I2949" i="43"/>
  <c r="V2944" i="43" l="1"/>
  <c r="V2943" i="43" l="1"/>
  <c r="V2942" i="43"/>
  <c r="V2941" i="43" l="1"/>
  <c r="V2940" i="43" l="1"/>
  <c r="I2943" i="43"/>
  <c r="I2944" i="43"/>
  <c r="I2945" i="43"/>
  <c r="V2939" i="43" l="1"/>
  <c r="V2938" i="43" l="1"/>
  <c r="V2937" i="43"/>
  <c r="I2939" i="43"/>
  <c r="I2940" i="43"/>
  <c r="I2941" i="43"/>
  <c r="I2942" i="43"/>
  <c r="V2936" i="43" l="1"/>
  <c r="V2935" i="43" l="1"/>
  <c r="V2934" i="43" l="1"/>
  <c r="V2933" i="43" l="1"/>
  <c r="V2932" i="43" l="1"/>
  <c r="T22" i="6" l="1"/>
  <c r="S22" i="6"/>
  <c r="T21" i="6"/>
  <c r="S21" i="6"/>
  <c r="T20" i="6"/>
  <c r="T19" i="6"/>
  <c r="S20" i="6"/>
  <c r="S19" i="6"/>
  <c r="V2931" i="43" l="1"/>
  <c r="I2931" i="43" l="1"/>
  <c r="I2932" i="43"/>
  <c r="I2933" i="43"/>
  <c r="I2934" i="43"/>
  <c r="I2935" i="43"/>
  <c r="I2936" i="43"/>
  <c r="I2937" i="43"/>
  <c r="I2938" i="43"/>
  <c r="V2930" i="43" l="1"/>
  <c r="V2929" i="43" l="1"/>
  <c r="V2928" i="43"/>
  <c r="V2927" i="43"/>
  <c r="I2929" i="43"/>
  <c r="I2930" i="43"/>
  <c r="V2926" i="43" l="1"/>
  <c r="V2925" i="43" l="1"/>
  <c r="V2924" i="43"/>
  <c r="V2923" i="43"/>
  <c r="I2925" i="43" l="1"/>
  <c r="I2926" i="43"/>
  <c r="I2927" i="43"/>
  <c r="I2928" i="43"/>
  <c r="V2922" i="43"/>
  <c r="V2921" i="43"/>
  <c r="I2922" i="43" l="1"/>
  <c r="I2923" i="43"/>
  <c r="I2924" i="43"/>
  <c r="V2920" i="43"/>
  <c r="V2919" i="43" l="1"/>
  <c r="V2918" i="43" l="1"/>
  <c r="V2917" i="43" l="1"/>
  <c r="V2916" i="43" l="1"/>
  <c r="V2915" i="43" l="1"/>
  <c r="V2914" i="43" l="1"/>
  <c r="V2913" i="43"/>
  <c r="V2912" i="43" l="1"/>
  <c r="V2911" i="43" l="1"/>
  <c r="H158" i="50" l="1"/>
  <c r="V2910" i="43" l="1"/>
  <c r="I2912" i="43"/>
  <c r="I2913" i="43"/>
  <c r="I2914" i="43"/>
  <c r="I2915" i="43"/>
  <c r="I2916" i="43"/>
  <c r="I2917" i="43"/>
  <c r="I2918" i="43"/>
  <c r="I2919" i="43"/>
  <c r="I2920" i="43"/>
  <c r="I2921" i="43"/>
  <c r="V2909" i="43" l="1"/>
  <c r="I2909" i="43"/>
  <c r="V2908" i="43" l="1"/>
  <c r="V2907" i="43"/>
  <c r="V2906" i="43" l="1"/>
  <c r="V2905" i="43"/>
  <c r="I2907" i="43"/>
  <c r="I2908" i="43"/>
  <c r="I2910" i="43"/>
  <c r="I2911" i="43"/>
  <c r="V2904" i="43" l="1"/>
  <c r="V2903" i="43" l="1"/>
  <c r="I2905" i="43" l="1"/>
  <c r="I2906" i="43"/>
  <c r="V2902" i="43"/>
  <c r="I2903" i="43"/>
  <c r="I2904" i="43"/>
  <c r="V2901" i="43" l="1"/>
  <c r="V2900" i="43"/>
  <c r="V2899" i="43" l="1"/>
  <c r="V2898" i="43"/>
  <c r="V2897" i="43"/>
  <c r="V2896" i="43"/>
  <c r="I2898" i="43"/>
  <c r="I2899" i="43"/>
  <c r="I2900" i="43"/>
  <c r="I2901" i="43"/>
  <c r="I2902" i="43"/>
  <c r="V2895" i="43" l="1"/>
  <c r="V2894" i="43" l="1"/>
  <c r="V2893" i="43"/>
  <c r="I2893" i="43"/>
  <c r="I2894" i="43"/>
  <c r="I2895" i="43"/>
  <c r="I2896" i="43"/>
  <c r="I2897" i="43"/>
  <c r="V2892" i="43" l="1"/>
  <c r="I2892" i="43" l="1"/>
  <c r="V2891" i="43" l="1"/>
  <c r="I2891" i="43"/>
  <c r="V141" i="50" l="1"/>
  <c r="V142" i="50"/>
  <c r="V143" i="50"/>
  <c r="V144" i="50"/>
  <c r="V2890" i="43"/>
  <c r="I2890" i="43"/>
  <c r="V2889" i="43"/>
  <c r="I2889" i="43"/>
  <c r="V2888" i="43" l="1"/>
  <c r="I2888" i="43"/>
  <c r="A93" i="17" l="1"/>
  <c r="I2887" i="43" l="1"/>
  <c r="V2886" i="43" l="1"/>
  <c r="V2887" i="43"/>
  <c r="I2886" i="43"/>
  <c r="V2884" i="43"/>
  <c r="V2885" i="43"/>
  <c r="V2883" i="43" l="1"/>
  <c r="V2882" i="43"/>
  <c r="V2881" i="43" l="1"/>
  <c r="V2879" i="43" l="1"/>
  <c r="I2880" i="43"/>
  <c r="I2881" i="43"/>
  <c r="I2882" i="43"/>
  <c r="I2883" i="43"/>
  <c r="I2884" i="43"/>
  <c r="I2885" i="43"/>
  <c r="B344" i="17" l="1"/>
  <c r="V2878" i="43" l="1"/>
  <c r="V2877" i="43"/>
  <c r="V2876" i="43" l="1"/>
  <c r="V2875" i="43" l="1"/>
  <c r="I2876" i="43"/>
  <c r="I2877" i="43"/>
  <c r="I2878" i="43"/>
  <c r="I2879" i="43"/>
  <c r="V2873" i="43" l="1"/>
  <c r="V2874" i="43"/>
  <c r="V2872" i="43" l="1"/>
  <c r="V2871" i="43" l="1"/>
  <c r="V2870" i="43" l="1"/>
  <c r="I2871" i="43"/>
  <c r="I2872" i="43"/>
  <c r="I2873" i="43"/>
  <c r="I2874" i="43"/>
  <c r="I2875" i="43"/>
  <c r="V2869" i="43"/>
  <c r="V2868" i="43"/>
  <c r="V2867" i="43" l="1"/>
  <c r="I2869" i="43"/>
  <c r="I2870" i="43"/>
  <c r="V2866" i="43" l="1"/>
  <c r="V2865" i="43" l="1"/>
  <c r="I2866" i="43"/>
  <c r="I2867" i="43"/>
  <c r="I2868" i="43"/>
  <c r="V2864" i="43" l="1"/>
  <c r="V2863" i="43" l="1"/>
  <c r="V2862" i="43"/>
  <c r="I2863" i="43"/>
  <c r="I2864" i="43"/>
  <c r="I2865" i="43"/>
  <c r="V2861" i="43"/>
  <c r="V2860" i="43"/>
  <c r="I2861" i="43"/>
  <c r="I2862" i="43"/>
  <c r="V2859" i="43"/>
  <c r="V2858" i="43"/>
  <c r="V2857" i="43" l="1"/>
  <c r="V2856" i="43"/>
  <c r="V2855" i="43" l="1"/>
  <c r="I2856" i="43"/>
  <c r="I2857" i="43"/>
  <c r="I2858" i="43"/>
  <c r="I2859" i="43"/>
  <c r="I2860" i="43"/>
  <c r="V2854" i="43" l="1"/>
  <c r="V2853" i="43" l="1"/>
  <c r="V2852" i="43"/>
  <c r="V2851" i="43"/>
  <c r="I2853" i="43"/>
  <c r="I2854" i="43"/>
  <c r="I2855" i="43"/>
  <c r="V2850" i="43" l="1"/>
  <c r="V2849" i="43"/>
  <c r="I2850" i="43" l="1"/>
  <c r="I2851" i="43"/>
  <c r="I2852" i="43"/>
  <c r="V2848" i="43"/>
  <c r="V2847" i="43" l="1"/>
  <c r="V2846" i="43" l="1"/>
  <c r="I2847" i="43"/>
  <c r="I2848" i="43"/>
  <c r="I2849" i="43"/>
  <c r="V2845" i="43"/>
  <c r="V2844" i="43" l="1"/>
  <c r="V2843" i="43" l="1"/>
  <c r="V2842" i="43" l="1"/>
  <c r="I2843" i="43" l="1"/>
  <c r="I2844" i="43"/>
  <c r="I2845" i="43"/>
  <c r="I2846" i="43"/>
  <c r="V2841" i="43"/>
  <c r="V2840" i="43" l="1"/>
  <c r="I2841" i="43"/>
  <c r="I2842" i="43"/>
  <c r="I2838" i="43" l="1"/>
  <c r="I2839" i="43"/>
  <c r="I2840" i="43"/>
  <c r="V2834" i="43" l="1"/>
  <c r="V2835" i="43"/>
  <c r="V2836" i="43"/>
  <c r="V2837" i="43"/>
  <c r="V2838" i="43"/>
  <c r="V2839" i="43"/>
  <c r="V2833" i="43" l="1"/>
  <c r="I2834" i="43"/>
  <c r="I2835" i="43"/>
  <c r="I2836" i="43"/>
  <c r="I2837" i="43"/>
  <c r="I2833" i="43" l="1"/>
  <c r="V2830" i="43" l="1"/>
  <c r="V2831" i="43"/>
  <c r="V2832" i="43"/>
  <c r="V2829" i="43" l="1"/>
  <c r="V2828" i="43" l="1"/>
  <c r="V2827" i="43" l="1"/>
  <c r="I2829" i="43"/>
  <c r="I2830" i="43"/>
  <c r="I2831" i="43"/>
  <c r="I2832" i="43"/>
  <c r="V2826" i="43"/>
  <c r="V2825" i="43" l="1"/>
  <c r="V2824" i="43" l="1"/>
  <c r="I2826" i="43"/>
  <c r="I2827" i="43"/>
  <c r="I2828" i="43"/>
  <c r="V2823" i="43" l="1"/>
  <c r="I2825" i="43"/>
  <c r="V2822" i="43"/>
  <c r="V2821" i="43"/>
  <c r="I2822" i="43"/>
  <c r="I2823" i="43"/>
  <c r="I2824" i="43"/>
  <c r="V2820" i="43"/>
  <c r="V2819" i="43" l="1"/>
  <c r="V2818" i="43" l="1"/>
  <c r="V2817" i="43" l="1"/>
  <c r="V2816" i="43" l="1"/>
  <c r="V2815" i="43" l="1"/>
  <c r="I2821" i="43"/>
  <c r="I2817" i="43"/>
  <c r="I2818" i="43"/>
  <c r="I2819" i="43"/>
  <c r="I2820" i="43"/>
  <c r="V2814" i="43" l="1"/>
  <c r="V2813" i="43" l="1"/>
  <c r="I2813" i="43"/>
  <c r="V2812" i="43" l="1"/>
  <c r="I2812" i="43"/>
  <c r="I2814" i="43"/>
  <c r="I2815" i="43"/>
  <c r="I2816" i="43"/>
  <c r="V2811" i="43" l="1"/>
  <c r="V2800" i="43" l="1"/>
  <c r="V2801" i="43"/>
  <c r="V2802" i="43"/>
  <c r="V2803" i="43"/>
  <c r="V2804" i="43"/>
  <c r="V2805" i="43"/>
  <c r="V2806" i="43"/>
  <c r="V2807" i="43"/>
  <c r="V2808" i="43"/>
  <c r="V2809" i="43"/>
  <c r="V2810" i="43"/>
  <c r="I2809" i="43" l="1"/>
  <c r="I2810" i="43"/>
  <c r="I2811" i="43"/>
  <c r="I2804" i="43" l="1"/>
  <c r="I2805" i="43"/>
  <c r="I2806" i="43"/>
  <c r="I2807" i="43"/>
  <c r="I2808" i="43"/>
  <c r="I2801" i="43" l="1"/>
  <c r="I2802" i="43"/>
  <c r="I2803" i="43"/>
  <c r="V2799" i="43"/>
  <c r="V2798" i="43" l="1"/>
  <c r="V2797" i="43" l="1"/>
  <c r="V2796" i="43"/>
  <c r="V2795" i="43" l="1"/>
  <c r="I2796" i="43"/>
  <c r="I2797" i="43"/>
  <c r="I2798" i="43"/>
  <c r="I2799" i="43"/>
  <c r="I2800" i="43"/>
  <c r="I2795" i="43"/>
  <c r="V2794" i="43" l="1"/>
  <c r="I2794" i="43"/>
  <c r="V2793" i="43" l="1"/>
  <c r="I2793" i="43"/>
  <c r="V2792" i="43" l="1"/>
  <c r="I2792" i="43"/>
  <c r="V2791" i="43"/>
  <c r="I2791" i="43"/>
  <c r="V2790" i="43" l="1"/>
  <c r="V2789" i="43" l="1"/>
  <c r="V2788" i="43" l="1"/>
  <c r="V2787" i="43" l="1"/>
  <c r="V2786" i="43" l="1"/>
  <c r="V2785" i="43" l="1"/>
  <c r="V2784" i="43" l="1"/>
  <c r="V2783" i="43"/>
  <c r="I2785" i="43"/>
  <c r="I2786" i="43"/>
  <c r="I2787" i="43"/>
  <c r="I2788" i="43"/>
  <c r="I2789" i="43"/>
  <c r="I2790" i="43"/>
  <c r="V2782" i="43"/>
  <c r="V2781" i="43" l="1"/>
  <c r="V2780" i="43" l="1"/>
  <c r="I2782" i="43"/>
  <c r="I2783" i="43"/>
  <c r="I2784" i="43"/>
  <c r="V2779" i="43"/>
  <c r="V2778" i="43"/>
  <c r="V2777" i="43" l="1"/>
  <c r="V2776" i="43" l="1"/>
  <c r="V2775" i="43"/>
  <c r="V2774" i="43" l="1"/>
  <c r="I2776" i="43"/>
  <c r="I2777" i="43"/>
  <c r="I2778" i="43"/>
  <c r="I2779" i="43"/>
  <c r="I2780" i="43"/>
  <c r="I2781" i="43"/>
  <c r="V2773" i="43" l="1"/>
  <c r="V2772" i="43"/>
  <c r="V2771" i="43" l="1"/>
  <c r="V2770" i="43"/>
  <c r="V2769" i="43"/>
  <c r="I2772" i="43"/>
  <c r="I2773" i="43"/>
  <c r="I2774" i="43"/>
  <c r="I2775" i="43"/>
  <c r="V2768" i="43"/>
  <c r="V2767" i="43" l="1"/>
  <c r="I2769" i="43"/>
  <c r="I2770" i="43"/>
  <c r="I2771" i="43"/>
  <c r="V2766" i="43"/>
  <c r="V2765" i="43" l="1"/>
  <c r="I2767" i="43"/>
  <c r="I2768" i="43"/>
  <c r="V2764" i="43"/>
  <c r="V2763" i="43" l="1"/>
  <c r="V2762" i="43" l="1"/>
  <c r="V2761" i="43" l="1"/>
  <c r="V2760" i="43" l="1"/>
  <c r="V2759" i="43" l="1"/>
  <c r="V2758" i="43"/>
  <c r="I2760" i="43" l="1"/>
  <c r="I2761" i="43"/>
  <c r="I2762" i="43"/>
  <c r="I2763" i="43"/>
  <c r="I2764" i="43"/>
  <c r="I2765" i="43"/>
  <c r="I2766" i="43"/>
  <c r="V2757" i="43"/>
  <c r="I2758" i="43" l="1"/>
  <c r="I2759" i="43"/>
  <c r="V2753" i="43" l="1"/>
  <c r="V2754" i="43"/>
  <c r="V2755" i="43"/>
  <c r="V2756" i="43"/>
  <c r="V2752" i="43" l="1"/>
  <c r="I2754" i="43" l="1"/>
  <c r="I2755" i="43"/>
  <c r="I2756" i="43"/>
  <c r="I2757" i="43"/>
  <c r="V2751" i="43" l="1"/>
  <c r="V2750" i="43" l="1"/>
  <c r="V2749" i="43" l="1"/>
  <c r="V2748" i="43" l="1"/>
  <c r="V2747" i="43" l="1"/>
  <c r="V2746" i="43" l="1"/>
  <c r="I2748" i="43"/>
  <c r="I2749" i="43"/>
  <c r="I2750" i="43"/>
  <c r="I2751" i="43"/>
  <c r="I2752" i="43"/>
  <c r="I2753" i="43"/>
  <c r="V2745" i="43"/>
  <c r="V2744" i="43"/>
  <c r="V2743" i="43" l="1"/>
  <c r="I2743" i="43"/>
  <c r="V2742" i="43" l="1"/>
  <c r="V2741" i="43" l="1"/>
  <c r="I2742" i="43" l="1"/>
  <c r="I2744" i="43"/>
  <c r="I2745" i="43"/>
  <c r="I2746" i="43"/>
  <c r="I2747" i="43"/>
  <c r="V2740" i="43" l="1"/>
  <c r="V2739" i="43"/>
  <c r="V2738" i="43" l="1"/>
  <c r="V2737" i="43" l="1"/>
  <c r="V2736" i="43"/>
  <c r="I2738" i="43"/>
  <c r="I2739" i="43"/>
  <c r="I2740" i="43"/>
  <c r="I2741" i="43"/>
  <c r="V2735" i="43"/>
  <c r="V2734" i="43" l="1"/>
  <c r="V2733" i="43" l="1"/>
  <c r="V2732" i="43"/>
  <c r="I2735" i="43"/>
  <c r="I2736" i="43"/>
  <c r="I2737" i="43"/>
  <c r="V2731" i="43"/>
  <c r="V2730" i="43" l="1"/>
  <c r="V2729" i="43" l="1"/>
  <c r="I2730" i="43" l="1"/>
  <c r="I2731" i="43"/>
  <c r="I2732" i="43"/>
  <c r="I2733" i="43"/>
  <c r="I2734" i="43"/>
  <c r="V2728" i="43" l="1"/>
  <c r="I2728" i="43"/>
  <c r="V2726" i="43" l="1"/>
  <c r="V2727" i="43"/>
  <c r="I2726" i="43"/>
  <c r="I2727" i="43"/>
  <c r="I2729" i="43"/>
  <c r="I2720" i="43" l="1"/>
  <c r="I2721" i="43"/>
  <c r="V2720" i="43"/>
  <c r="V139" i="50"/>
  <c r="V140" i="50"/>
  <c r="V2721" i="43"/>
  <c r="V2722" i="43"/>
  <c r="V2723" i="43"/>
  <c r="V2724" i="43"/>
  <c r="V2725" i="43"/>
  <c r="I2722" i="43"/>
  <c r="I2723" i="43"/>
  <c r="I2724" i="43"/>
  <c r="I2725" i="43"/>
  <c r="V2713" i="43" l="1"/>
  <c r="V2714" i="43"/>
  <c r="V2715" i="43"/>
  <c r="V2716" i="43"/>
  <c r="V2717" i="43"/>
  <c r="V2718" i="43"/>
  <c r="V2719" i="43"/>
  <c r="I2715" i="43"/>
  <c r="I2716" i="43"/>
  <c r="I2717" i="43"/>
  <c r="I2718" i="43"/>
  <c r="I2719" i="43"/>
  <c r="V2712" i="43" l="1"/>
  <c r="V2711" i="43" l="1"/>
  <c r="V2710" i="43" l="1"/>
  <c r="I2712" i="43"/>
  <c r="I2713" i="43"/>
  <c r="I2714" i="43"/>
  <c r="V2709" i="43"/>
  <c r="V2708" i="43" l="1"/>
  <c r="I2709" i="43" l="1"/>
  <c r="I2710" i="43"/>
  <c r="I2711" i="43"/>
  <c r="I2707" i="43"/>
  <c r="I2708" i="43"/>
  <c r="V2706" i="43" l="1"/>
  <c r="V2707" i="43"/>
  <c r="I2706" i="43"/>
  <c r="V2705" i="43" l="1"/>
  <c r="I2705" i="43"/>
  <c r="V2704" i="43" l="1"/>
  <c r="I2704" i="43"/>
  <c r="V2703" i="43"/>
  <c r="I2703" i="43"/>
  <c r="V2702" i="43"/>
  <c r="I2702" i="43"/>
  <c r="V2701" i="43" l="1"/>
  <c r="I2701" i="43"/>
  <c r="V2700" i="43" l="1"/>
  <c r="I2700" i="43"/>
  <c r="V2699" i="43" l="1"/>
  <c r="I2699" i="43"/>
  <c r="V2698" i="43" l="1"/>
  <c r="I2698" i="43"/>
  <c r="V2697" i="43" l="1"/>
  <c r="I2697" i="43"/>
  <c r="V2696" i="43"/>
  <c r="I2696" i="43"/>
  <c r="I2695" i="43"/>
  <c r="I2694" i="43" l="1"/>
  <c r="V2693" i="43" l="1"/>
  <c r="V2694" i="43"/>
  <c r="V2695" i="43"/>
  <c r="I2693" i="43"/>
  <c r="V2686" i="43" l="1"/>
  <c r="V2687" i="43"/>
  <c r="V2688" i="43"/>
  <c r="V2689" i="43"/>
  <c r="V2690" i="43"/>
  <c r="V2691" i="43"/>
  <c r="V2692" i="43"/>
  <c r="I2688" i="43"/>
  <c r="I2689" i="43"/>
  <c r="I2690" i="43"/>
  <c r="I2691" i="43"/>
  <c r="I2692" i="43"/>
  <c r="V2685" i="43" l="1"/>
  <c r="I2686" i="43"/>
  <c r="I2687" i="43"/>
  <c r="V2684" i="43" l="1"/>
  <c r="V2683" i="43" l="1"/>
  <c r="I2684" i="43"/>
  <c r="I2685" i="43"/>
  <c r="V2682" i="43"/>
  <c r="I2682" i="43" l="1"/>
  <c r="I2683" i="43"/>
  <c r="I2675" i="43" l="1"/>
  <c r="V2674" i="43"/>
  <c r="V2675" i="43"/>
  <c r="V2676" i="43"/>
  <c r="V2677" i="43"/>
  <c r="V2678" i="43"/>
  <c r="V2679" i="43"/>
  <c r="V2680" i="43"/>
  <c r="V2681" i="43"/>
  <c r="I2676" i="43"/>
  <c r="I2677" i="43"/>
  <c r="I2678" i="43"/>
  <c r="I2679" i="43"/>
  <c r="I2680" i="43"/>
  <c r="I2681" i="43"/>
  <c r="V2672" i="43"/>
  <c r="V2673" i="43"/>
  <c r="I2672" i="43" l="1"/>
  <c r="I2673" i="43"/>
  <c r="I2674" i="43"/>
  <c r="V2669" i="43" l="1"/>
  <c r="V2670" i="43"/>
  <c r="V2671" i="43"/>
  <c r="V2668" i="43" l="1"/>
  <c r="V2667" i="43"/>
  <c r="I2669" i="43"/>
  <c r="I2670" i="43"/>
  <c r="I2671" i="43"/>
  <c r="V2666" i="43" l="1"/>
  <c r="V2665" i="43"/>
  <c r="V2664" i="43" l="1"/>
  <c r="V2663" i="43"/>
  <c r="V2662" i="43" l="1"/>
  <c r="I2662" i="43"/>
  <c r="I2663" i="43"/>
  <c r="I2664" i="43"/>
  <c r="I2665" i="43"/>
  <c r="I2666" i="43"/>
  <c r="I2667" i="43"/>
  <c r="I2668" i="43"/>
  <c r="V2661" i="43" l="1"/>
  <c r="I2661" i="43"/>
  <c r="V2660" i="43"/>
  <c r="I2660" i="43"/>
  <c r="V2659" i="43"/>
  <c r="I2659" i="43"/>
  <c r="V2658" i="43" l="1"/>
  <c r="I2658" i="43"/>
  <c r="V2657" i="43" l="1"/>
  <c r="I2657" i="43"/>
  <c r="V2656" i="43" l="1"/>
  <c r="I2656" i="43"/>
  <c r="V2655" i="43"/>
  <c r="I2655" i="43"/>
  <c r="V2654" i="43" l="1"/>
  <c r="I2654" i="43"/>
  <c r="V2653" i="43" l="1"/>
  <c r="I2653" i="43"/>
  <c r="V2652" i="43"/>
  <c r="I2652" i="43"/>
  <c r="V2651" i="43"/>
  <c r="I2651" i="43"/>
  <c r="V2650" i="43" l="1"/>
  <c r="I2650" i="43"/>
  <c r="V2649" i="43"/>
  <c r="I2649" i="43"/>
  <c r="V2648" i="43" l="1"/>
  <c r="I2648" i="43"/>
  <c r="V2647" i="43"/>
  <c r="I2647" i="43"/>
  <c r="V2646" i="43"/>
  <c r="I2646" i="43"/>
  <c r="V2645" i="43" l="1"/>
  <c r="I2645" i="43"/>
  <c r="V2644" i="43" l="1"/>
  <c r="I2644" i="43"/>
  <c r="V5" i="43" l="1"/>
  <c r="I5" i="43"/>
  <c r="V10" i="43" l="1"/>
  <c r="I10" i="43"/>
  <c r="V2643" i="43" l="1"/>
  <c r="I2643" i="43"/>
  <c r="V2642" i="43"/>
  <c r="I2642" i="43"/>
  <c r="V7" i="43"/>
  <c r="I7" i="43"/>
  <c r="V2641" i="43" l="1"/>
  <c r="I2641" i="43"/>
  <c r="V2640" i="43"/>
  <c r="I2640" i="43"/>
  <c r="V2639" i="43"/>
  <c r="I2639" i="43"/>
  <c r="V2638" i="43"/>
  <c r="I2638" i="43"/>
  <c r="V2637" i="43"/>
  <c r="I2637" i="43"/>
  <c r="V8" i="43" l="1"/>
  <c r="I8" i="43"/>
  <c r="V2636" i="43" l="1"/>
  <c r="I2636" i="43"/>
  <c r="V2635" i="43"/>
  <c r="I2635" i="43"/>
  <c r="V2634" i="43"/>
  <c r="I2634" i="43"/>
  <c r="A92" i="17" l="1"/>
  <c r="V2633" i="43" l="1"/>
  <c r="I2633" i="43"/>
  <c r="V2632" i="43"/>
  <c r="I2632" i="43"/>
  <c r="V11" i="43" l="1"/>
  <c r="I11" i="43"/>
  <c r="I2631" i="43"/>
  <c r="I2630" i="43"/>
  <c r="V2631" i="43"/>
  <c r="I9" i="43"/>
  <c r="I2629" i="43" l="1"/>
  <c r="I2" i="43" l="1"/>
  <c r="V2629" i="43"/>
  <c r="V9" i="43"/>
  <c r="V2630" i="43"/>
  <c r="I2628" i="43" l="1"/>
  <c r="I2627" i="43"/>
  <c r="B158" i="50" l="1"/>
  <c r="I2626" i="43"/>
  <c r="I2625" i="43" l="1"/>
  <c r="I6" i="43"/>
  <c r="V2624" i="43"/>
  <c r="V6" i="43"/>
  <c r="V2625" i="43"/>
  <c r="V2626" i="43"/>
  <c r="V2627" i="43"/>
  <c r="V2628" i="43"/>
  <c r="V2" i="43"/>
  <c r="I2624" i="43"/>
  <c r="V2623" i="43" l="1"/>
  <c r="I2623" i="43"/>
  <c r="V2622" i="43"/>
  <c r="I2622" i="43"/>
  <c r="V2621" i="43" l="1"/>
  <c r="I2621" i="43"/>
  <c r="I2620" i="43" l="1"/>
  <c r="V2619" i="43"/>
  <c r="V2620" i="43"/>
  <c r="I2619" i="43"/>
  <c r="V2618" i="43" l="1"/>
  <c r="I2618" i="43"/>
  <c r="V2617" i="43" l="1"/>
  <c r="I2617" i="43"/>
  <c r="V2616" i="43" l="1"/>
  <c r="I2616" i="43"/>
  <c r="V2615" i="43"/>
  <c r="I2615" i="43"/>
  <c r="V2614" i="43"/>
  <c r="I2614" i="43"/>
  <c r="I2613" i="43" l="1"/>
  <c r="V2613" i="43"/>
  <c r="I2612" i="43" l="1"/>
  <c r="V2611" i="43" l="1"/>
  <c r="V2612" i="43"/>
  <c r="I2611" i="43"/>
  <c r="V2610" i="43"/>
  <c r="I2610" i="43"/>
  <c r="V2609" i="43" l="1"/>
  <c r="I2609" i="43"/>
  <c r="V2608" i="43"/>
  <c r="I2608" i="43"/>
  <c r="V4" i="43" l="1"/>
  <c r="I4" i="43"/>
  <c r="V2607" i="43" l="1"/>
  <c r="I2607" i="43"/>
  <c r="V2606" i="43"/>
  <c r="I2606" i="43"/>
  <c r="V2605" i="43" l="1"/>
  <c r="I2605" i="43"/>
  <c r="V2604" i="43"/>
  <c r="I2604" i="43"/>
  <c r="V2603" i="43"/>
  <c r="I2603" i="43"/>
  <c r="V2602" i="43" l="1"/>
  <c r="I2602" i="43"/>
  <c r="V2601" i="43"/>
  <c r="I2601" i="43"/>
  <c r="V2600" i="43" l="1"/>
  <c r="I2600" i="43"/>
  <c r="V2599" i="43" l="1"/>
  <c r="I2599" i="43"/>
  <c r="V2598" i="43" l="1"/>
  <c r="I2598" i="43"/>
  <c r="V2597" i="43"/>
  <c r="I2597" i="43"/>
  <c r="V2596" i="43" l="1"/>
  <c r="V2595" i="43"/>
  <c r="V2594" i="43"/>
  <c r="V2593" i="43" l="1"/>
  <c r="V2592" i="43" l="1"/>
  <c r="V2591" i="43" l="1"/>
  <c r="I2593" i="43"/>
  <c r="I2594" i="43"/>
  <c r="I2595" i="43"/>
  <c r="I2596" i="43"/>
  <c r="V2590" i="43" l="1"/>
  <c r="V2589" i="43" l="1"/>
  <c r="V2588" i="43"/>
  <c r="V2586" i="43" l="1"/>
  <c r="I2588" i="43" l="1"/>
  <c r="I2589" i="43"/>
  <c r="I2590" i="43"/>
  <c r="I2591" i="43"/>
  <c r="I2592" i="43"/>
  <c r="V2585" i="43"/>
  <c r="V2584" i="43"/>
  <c r="V2583" i="43"/>
  <c r="V2582" i="43"/>
  <c r="I2584" i="43"/>
  <c r="I2585" i="43"/>
  <c r="I2586" i="43"/>
  <c r="V2581" i="43" l="1"/>
  <c r="V2580" i="43"/>
  <c r="I2581" i="43"/>
  <c r="I2582" i="43"/>
  <c r="I2583" i="43"/>
  <c r="V2579" i="43"/>
  <c r="V2578" i="43" l="1"/>
  <c r="V2577" i="43" l="1"/>
  <c r="V2576" i="43" l="1"/>
  <c r="V2575" i="43" l="1"/>
  <c r="I2576" i="43"/>
  <c r="I2577" i="43"/>
  <c r="I2578" i="43"/>
  <c r="I2579" i="43"/>
  <c r="I2580" i="43"/>
  <c r="V2574" i="43" l="1"/>
  <c r="V2573" i="43" l="1"/>
  <c r="V2572" i="43" l="1"/>
  <c r="I2574" i="43"/>
  <c r="I2575" i="43"/>
  <c r="V2571" i="43" l="1"/>
  <c r="V2570" i="43" l="1"/>
  <c r="V2569" i="43" l="1"/>
  <c r="V2568" i="43"/>
  <c r="I2570" i="43"/>
  <c r="I2571" i="43"/>
  <c r="I2572" i="43"/>
  <c r="I2573" i="43"/>
  <c r="V2567" i="43" l="1"/>
  <c r="V2566" i="43"/>
  <c r="V2565" i="43"/>
  <c r="V2564" i="43"/>
  <c r="V2563" i="43"/>
  <c r="I2565" i="43" l="1"/>
  <c r="I2566" i="43"/>
  <c r="I2567" i="43"/>
  <c r="I2568" i="43"/>
  <c r="I2569" i="43"/>
  <c r="V2562" i="43"/>
  <c r="V2561" i="43" l="1"/>
  <c r="V2560" i="43" l="1"/>
  <c r="V2559" i="43"/>
  <c r="I2560" i="43"/>
  <c r="I2561" i="43"/>
  <c r="I2562" i="43"/>
  <c r="I2563" i="43"/>
  <c r="I2564" i="43"/>
  <c r="V2558" i="43"/>
  <c r="V2557" i="43" l="1"/>
  <c r="V2556" i="43" l="1"/>
  <c r="V2555" i="43"/>
  <c r="A317" i="17" l="1"/>
  <c r="A338" i="17" s="1"/>
  <c r="I2555" i="43" l="1"/>
  <c r="I2556" i="43"/>
  <c r="I2557" i="43"/>
  <c r="I2558" i="43"/>
  <c r="I2559" i="43"/>
  <c r="V2544" i="43" l="1"/>
  <c r="V2545" i="43"/>
  <c r="V2546" i="43"/>
  <c r="V2547" i="43"/>
  <c r="V2548" i="43"/>
  <c r="V2549" i="43"/>
  <c r="V2550" i="43"/>
  <c r="V2551" i="43"/>
  <c r="V2552" i="43"/>
  <c r="V2553" i="43"/>
  <c r="V2554" i="43"/>
  <c r="V2541" i="43"/>
  <c r="I2545" i="43"/>
  <c r="V2535" i="43"/>
  <c r="V2536" i="43"/>
  <c r="V2537" i="43"/>
  <c r="V2538" i="43"/>
  <c r="V2539" i="43"/>
  <c r="V2540" i="43"/>
  <c r="V2542" i="43"/>
  <c r="V2543" i="43"/>
  <c r="I2535" i="43"/>
  <c r="I2536" i="43"/>
  <c r="I2537" i="43"/>
  <c r="I2538" i="43"/>
  <c r="I2539" i="43"/>
  <c r="I2540" i="43"/>
  <c r="I2541" i="43"/>
  <c r="I2542" i="43"/>
  <c r="I2543" i="43"/>
  <c r="I2544" i="43"/>
  <c r="I2550" i="43"/>
  <c r="I2551" i="43"/>
  <c r="I2552" i="43"/>
  <c r="I2553" i="43"/>
  <c r="I2554" i="43"/>
  <c r="I2549" i="43" l="1"/>
  <c r="I2548" i="43"/>
  <c r="I2547" i="43"/>
  <c r="I2546" i="43"/>
  <c r="V2534" i="43" l="1"/>
  <c r="I2457" i="43"/>
  <c r="V2457" i="43"/>
  <c r="V2533" i="43" l="1"/>
  <c r="V2532" i="43"/>
  <c r="I2531" i="43" l="1"/>
  <c r="V2531" i="43"/>
  <c r="V2530" i="43" l="1"/>
  <c r="I2532" i="43"/>
  <c r="I2533" i="43"/>
  <c r="I2534" i="43"/>
  <c r="V2529" i="43"/>
  <c r="V2528" i="43"/>
  <c r="V2527" i="43"/>
  <c r="V2526" i="43" l="1"/>
  <c r="V2525" i="43" l="1"/>
  <c r="V2524" i="43"/>
  <c r="I2524" i="43" l="1"/>
  <c r="I2525" i="43"/>
  <c r="I2526" i="43"/>
  <c r="I2527" i="43"/>
  <c r="I2528" i="43"/>
  <c r="I2529" i="43"/>
  <c r="I2530" i="43"/>
  <c r="V2523" i="43"/>
  <c r="I2523" i="43"/>
  <c r="V2522" i="43"/>
  <c r="I2522" i="43"/>
  <c r="V2521" i="43" l="1"/>
  <c r="I2521" i="43"/>
  <c r="V2520" i="43" l="1"/>
  <c r="I2520" i="43"/>
  <c r="V2519" i="43" l="1"/>
  <c r="I2519" i="43"/>
  <c r="V2518" i="43"/>
  <c r="I2518" i="43"/>
  <c r="V2517" i="43" l="1"/>
  <c r="I2517" i="43"/>
  <c r="V2516" i="43" l="1"/>
  <c r="I2516" i="43"/>
  <c r="V2515" i="43" l="1"/>
  <c r="I2515" i="43"/>
  <c r="V2514" i="43"/>
  <c r="I2514" i="43"/>
  <c r="V2513" i="43" l="1"/>
  <c r="I2513" i="43"/>
  <c r="V2512" i="43"/>
  <c r="I2512" i="43"/>
  <c r="V2511" i="43" l="1"/>
  <c r="I2511" i="43"/>
  <c r="V2510" i="43" l="1"/>
  <c r="I2510" i="43"/>
  <c r="V2509" i="43" l="1"/>
  <c r="I2509" i="43"/>
  <c r="V2508" i="43" l="1"/>
  <c r="I2508" i="43"/>
  <c r="V2507" i="43" l="1"/>
  <c r="I2507" i="43"/>
  <c r="V2506" i="43" l="1"/>
  <c r="I2506" i="43"/>
  <c r="V2505" i="43" l="1"/>
  <c r="I2505" i="43"/>
  <c r="V2504" i="43"/>
  <c r="I2504" i="43"/>
  <c r="V2503" i="43"/>
  <c r="I2503" i="43"/>
  <c r="V2502" i="43"/>
  <c r="I2502" i="43"/>
  <c r="V2501" i="43"/>
  <c r="I2501" i="43"/>
  <c r="I2500" i="43"/>
  <c r="I2499" i="43"/>
  <c r="I2498" i="43" l="1"/>
  <c r="I2497" i="43" l="1"/>
  <c r="V2496" i="43" l="1"/>
  <c r="V2497" i="43"/>
  <c r="V2498" i="43"/>
  <c r="V2499" i="43"/>
  <c r="V2500" i="43"/>
  <c r="I2496" i="43"/>
  <c r="I2495" i="43"/>
  <c r="I2494" i="43"/>
  <c r="I2493" i="43"/>
  <c r="V2492" i="43"/>
  <c r="V2493" i="43"/>
  <c r="V2494" i="43"/>
  <c r="V2495" i="43"/>
  <c r="I2492" i="43"/>
  <c r="V2491" i="43" l="1"/>
  <c r="I2491" i="43"/>
  <c r="V2490" i="43" l="1"/>
  <c r="I2490" i="43"/>
  <c r="V2489" i="43" l="1"/>
  <c r="I2489" i="43"/>
  <c r="V2488" i="43"/>
  <c r="I2488" i="43"/>
  <c r="V2487" i="43"/>
  <c r="I2487" i="43"/>
  <c r="V2486" i="43" l="1"/>
  <c r="I2486" i="43"/>
  <c r="V2485" i="43" l="1"/>
  <c r="I2485" i="43"/>
  <c r="V2484" i="43" l="1"/>
  <c r="I2484" i="43"/>
  <c r="V2483" i="43" l="1"/>
  <c r="I2483" i="43"/>
  <c r="V2482" i="43"/>
  <c r="I2482" i="43"/>
  <c r="V2481" i="43" l="1"/>
  <c r="I2481" i="43"/>
  <c r="V2480" i="43"/>
  <c r="I2480" i="43"/>
  <c r="V2479" i="43" l="1"/>
  <c r="I2479" i="43"/>
  <c r="V2478" i="43" l="1"/>
  <c r="I2478" i="43"/>
  <c r="V2477" i="43"/>
  <c r="I2477" i="43"/>
  <c r="V2476" i="43" l="1"/>
  <c r="I2476" i="43"/>
  <c r="V2475" i="43"/>
  <c r="I2475" i="43"/>
  <c r="V2474" i="43" l="1"/>
  <c r="I2474" i="43"/>
  <c r="V2473" i="43"/>
  <c r="I2473" i="43"/>
  <c r="V2472" i="43" l="1"/>
  <c r="I2472" i="43"/>
  <c r="V2471" i="43" l="1"/>
  <c r="I2471" i="43"/>
  <c r="V2470" i="43" l="1"/>
  <c r="I2470" i="43"/>
  <c r="V2469" i="43" l="1"/>
  <c r="I2469" i="43"/>
  <c r="V2468" i="43" l="1"/>
  <c r="I2468" i="43"/>
  <c r="V2467" i="43"/>
  <c r="I2467" i="43"/>
  <c r="V2466" i="43" l="1"/>
  <c r="I2466" i="43"/>
  <c r="V2465" i="43"/>
  <c r="I2465" i="43"/>
  <c r="V2464" i="43"/>
  <c r="I2464" i="43"/>
  <c r="V2463" i="43"/>
  <c r="I2463" i="43"/>
  <c r="V2462" i="43" l="1"/>
  <c r="I2462" i="43"/>
  <c r="V2461" i="43"/>
  <c r="I2461" i="43"/>
  <c r="V2460" i="43" l="1"/>
  <c r="I2460" i="43"/>
  <c r="V2459" i="43" l="1"/>
  <c r="I2459" i="43"/>
  <c r="V2458" i="43"/>
  <c r="I2458" i="43"/>
  <c r="V2456" i="43" l="1"/>
  <c r="I2456" i="43"/>
  <c r="V2455" i="43" l="1"/>
  <c r="I2455" i="43"/>
  <c r="V2454" i="43"/>
  <c r="I2454" i="43"/>
  <c r="V2453" i="43" l="1"/>
  <c r="I2453" i="43"/>
  <c r="I2452" i="43" l="1"/>
  <c r="V2451" i="43"/>
  <c r="V2452" i="43"/>
  <c r="I2451" i="43"/>
  <c r="I2450" i="43" l="1"/>
  <c r="I2449" i="43"/>
  <c r="V2448" i="43"/>
  <c r="V2449" i="43"/>
  <c r="V2450" i="43"/>
  <c r="I2448" i="43"/>
  <c r="I2388" i="43"/>
  <c r="V2447" i="43"/>
  <c r="I2447" i="43"/>
  <c r="V2446" i="43" l="1"/>
  <c r="I2446" i="43"/>
  <c r="V2445" i="43"/>
  <c r="I2445" i="43"/>
  <c r="V2444" i="43" l="1"/>
  <c r="I2444" i="43"/>
  <c r="V2443" i="43"/>
  <c r="I2443" i="43"/>
  <c r="V2442" i="43"/>
  <c r="I2442" i="43"/>
  <c r="V2441" i="43" l="1"/>
  <c r="I2441" i="43"/>
  <c r="V2440" i="43"/>
  <c r="I2440" i="43"/>
  <c r="V2439" i="43" l="1"/>
  <c r="I2439" i="43"/>
  <c r="V2438" i="43" l="1"/>
  <c r="I2438" i="43"/>
  <c r="B317" i="17" l="1"/>
  <c r="V2437" i="43" l="1"/>
  <c r="I2437" i="43"/>
  <c r="V2436" i="43" l="1"/>
  <c r="I2436" i="43"/>
  <c r="V2435" i="43" l="1"/>
  <c r="I2435" i="43"/>
  <c r="V2434" i="43" l="1"/>
  <c r="I2434" i="43"/>
  <c r="V2433" i="43" l="1"/>
  <c r="I2433" i="43"/>
  <c r="V2432" i="43"/>
  <c r="I2432" i="43"/>
  <c r="V2431" i="43" l="1"/>
  <c r="I2431" i="43"/>
  <c r="V2430" i="43" l="1"/>
  <c r="I2430" i="43"/>
  <c r="V2429" i="43"/>
  <c r="I2429" i="43"/>
  <c r="V2428" i="43" l="1"/>
  <c r="I2428" i="43"/>
  <c r="V2427" i="43"/>
  <c r="I2427" i="43"/>
  <c r="V2426" i="43" l="1"/>
  <c r="I2426" i="43"/>
  <c r="V2425" i="43"/>
  <c r="I2425" i="43"/>
  <c r="V2424" i="43"/>
  <c r="I2424" i="43"/>
  <c r="V2423" i="43" l="1"/>
  <c r="I2423" i="43"/>
  <c r="V2422" i="43"/>
  <c r="I2422" i="43"/>
  <c r="V2421" i="43" l="1"/>
  <c r="I2421" i="43"/>
  <c r="V2420" i="43"/>
  <c r="I2420" i="43"/>
  <c r="V2419" i="43"/>
  <c r="I2419" i="43"/>
  <c r="V2418" i="43" l="1"/>
  <c r="I2418" i="43"/>
  <c r="V2417" i="43" l="1"/>
  <c r="I2417" i="43"/>
  <c r="V2416" i="43"/>
  <c r="I2416" i="43"/>
  <c r="V2415" i="43" l="1"/>
  <c r="I2415" i="43"/>
  <c r="V2414" i="43"/>
  <c r="I2414" i="43"/>
  <c r="V2413" i="43" l="1"/>
  <c r="I2413" i="43"/>
  <c r="V2412" i="43" l="1"/>
  <c r="I2412" i="43"/>
  <c r="V2411" i="43" l="1"/>
  <c r="I2411" i="43"/>
  <c r="V2410" i="43" l="1"/>
  <c r="I2410" i="43"/>
  <c r="I2409" i="43"/>
  <c r="V2408" i="43"/>
  <c r="V2409" i="43"/>
  <c r="I2408" i="43"/>
  <c r="V2407" i="43" l="1"/>
  <c r="I2407" i="43"/>
  <c r="V2406" i="43" l="1"/>
  <c r="I2406" i="43"/>
  <c r="P13" i="50"/>
  <c r="V2405" i="43" l="1"/>
  <c r="I2405" i="43"/>
  <c r="V2404" i="43" l="1"/>
  <c r="I2404" i="43"/>
  <c r="V9" i="50" l="1"/>
  <c r="V10" i="50"/>
  <c r="V11" i="50"/>
  <c r="V2403" i="43" l="1"/>
  <c r="I2403" i="43"/>
  <c r="V2402" i="43"/>
  <c r="I2402" i="43"/>
  <c r="V2401" i="43" l="1"/>
  <c r="I2401" i="43"/>
  <c r="V2400" i="43" l="1"/>
  <c r="I2400" i="43"/>
  <c r="V2399" i="43" l="1"/>
  <c r="I2399" i="43"/>
  <c r="V2398" i="43" l="1"/>
  <c r="I2398" i="43"/>
  <c r="V2397" i="43" l="1"/>
  <c r="I2397" i="43"/>
  <c r="V2396" i="43" l="1"/>
  <c r="I2396" i="43"/>
  <c r="V2395" i="43" l="1"/>
  <c r="I2395" i="43"/>
  <c r="V2394" i="43" l="1"/>
  <c r="I2394" i="43"/>
  <c r="G226" i="17" l="1"/>
  <c r="G247" i="17" s="1"/>
  <c r="V2393" i="43" l="1"/>
  <c r="I2393" i="43"/>
  <c r="I2382" i="43"/>
  <c r="V2392" i="43" l="1"/>
  <c r="I2392" i="43"/>
  <c r="V2391" i="43" l="1"/>
  <c r="I2391" i="43"/>
  <c r="V2390" i="43"/>
  <c r="I2390" i="43"/>
  <c r="V2389" i="43" l="1"/>
  <c r="I2389" i="43"/>
  <c r="V2387" i="43"/>
  <c r="I2387" i="43"/>
  <c r="V2386" i="43" l="1"/>
  <c r="I2386" i="43"/>
  <c r="V2385" i="43" l="1"/>
  <c r="I2385" i="43"/>
  <c r="V2384" i="43" l="1"/>
  <c r="I2384" i="43"/>
  <c r="V2383" i="43" l="1"/>
  <c r="I2383" i="43"/>
  <c r="V2382" i="43" l="1"/>
  <c r="V2381" i="43" l="1"/>
  <c r="I2381" i="43"/>
  <c r="V2380" i="43"/>
  <c r="I2380" i="43"/>
  <c r="V2379" i="43"/>
  <c r="I2379" i="43"/>
  <c r="V2378" i="43" l="1"/>
  <c r="I2378" i="43"/>
  <c r="V2377" i="43"/>
  <c r="I2377" i="43"/>
  <c r="V2376" i="43" l="1"/>
  <c r="I2376" i="43"/>
  <c r="V2375" i="43"/>
  <c r="I2375" i="43"/>
  <c r="V2374" i="43"/>
  <c r="I2374" i="43"/>
  <c r="V2373" i="43" l="1"/>
  <c r="I2373" i="43"/>
  <c r="V2372" i="43" l="1"/>
  <c r="I2372" i="43"/>
  <c r="V2371" i="43" l="1"/>
  <c r="I2371" i="43"/>
  <c r="V2370" i="43" l="1"/>
  <c r="I2370" i="43"/>
  <c r="V2369" i="43"/>
  <c r="I2369" i="43"/>
  <c r="V2368" i="43"/>
  <c r="I2368" i="43"/>
  <c r="I2367" i="43" l="1"/>
  <c r="I2366" i="43" l="1"/>
  <c r="I2365" i="43" l="1"/>
  <c r="I2364" i="43"/>
  <c r="I2363" i="43"/>
  <c r="I2362" i="43" l="1"/>
  <c r="I2361" i="43"/>
  <c r="V2362" i="43" l="1"/>
  <c r="V2363" i="43"/>
  <c r="V2364" i="43"/>
  <c r="V2365" i="43"/>
  <c r="V2366" i="43"/>
  <c r="V2367" i="43"/>
  <c r="V2360" i="43"/>
  <c r="V2361" i="43"/>
  <c r="I2360" i="43"/>
  <c r="V2359" i="43"/>
  <c r="I2359" i="43"/>
  <c r="V2358" i="43"/>
  <c r="I2358" i="43"/>
  <c r="V2357" i="43" l="1"/>
  <c r="I2357" i="43"/>
  <c r="V2356" i="43"/>
  <c r="I2356" i="43"/>
  <c r="V2355" i="43"/>
  <c r="I2355" i="43"/>
  <c r="V2354" i="43" l="1"/>
  <c r="I2354" i="43"/>
  <c r="V2353" i="43"/>
  <c r="I2353" i="43"/>
  <c r="V2352" i="43" l="1"/>
  <c r="I2352" i="43"/>
  <c r="V2351" i="43" l="1"/>
  <c r="I2351" i="43"/>
  <c r="V2350" i="43" l="1"/>
  <c r="I2350" i="43"/>
  <c r="V2349" i="43" l="1"/>
  <c r="I2349" i="43"/>
  <c r="V2348" i="43"/>
  <c r="I2348" i="43"/>
  <c r="V2347" i="43" l="1"/>
  <c r="I2347" i="43"/>
  <c r="V2346" i="43" l="1"/>
  <c r="I2346" i="43"/>
  <c r="V2345" i="43"/>
  <c r="I2079" i="43"/>
  <c r="V2079" i="43"/>
  <c r="I2345" i="43"/>
  <c r="V2344" i="43" l="1"/>
  <c r="I2344" i="43"/>
  <c r="V2343" i="43" l="1"/>
  <c r="I2343" i="43"/>
  <c r="V2342" i="43"/>
  <c r="I2342" i="43"/>
  <c r="V2341" i="43"/>
  <c r="I2341" i="43"/>
  <c r="V2340" i="43" l="1"/>
  <c r="I2340" i="43"/>
  <c r="V2339" i="43" l="1"/>
  <c r="I2339" i="43"/>
  <c r="V2338" i="43"/>
  <c r="I2338" i="43"/>
  <c r="V2337" i="43" l="1"/>
  <c r="I2337" i="43"/>
  <c r="V2336" i="43"/>
  <c r="I2336" i="43"/>
  <c r="V2335" i="43"/>
  <c r="I2335" i="43"/>
  <c r="V2334" i="43" l="1"/>
  <c r="I2334" i="43"/>
  <c r="V2333" i="43" l="1"/>
  <c r="I2333" i="43"/>
  <c r="V2332" i="43" l="1"/>
  <c r="I2332" i="43"/>
  <c r="V2331" i="43" l="1"/>
  <c r="I2331" i="43"/>
  <c r="V2330" i="43" l="1"/>
  <c r="I2330" i="43"/>
  <c r="V2329" i="43" l="1"/>
  <c r="I2329" i="43"/>
  <c r="V2328" i="43"/>
  <c r="I2328" i="43"/>
  <c r="V2327" i="43" l="1"/>
  <c r="I2327" i="43"/>
  <c r="V2326" i="43"/>
  <c r="I2326" i="43"/>
  <c r="V2325" i="43" l="1"/>
  <c r="I2325" i="43"/>
  <c r="V2324" i="43" l="1"/>
  <c r="I2324" i="43"/>
  <c r="V2323" i="43"/>
  <c r="I2323" i="43"/>
  <c r="V2322" i="43"/>
  <c r="I2322" i="43"/>
  <c r="V2321" i="43"/>
  <c r="I2321" i="43"/>
  <c r="V2320" i="43" l="1"/>
  <c r="I2320" i="43"/>
  <c r="V2319" i="43"/>
  <c r="I2319" i="43"/>
  <c r="V2318" i="43" l="1"/>
  <c r="I2318" i="43"/>
  <c r="V2317" i="43"/>
  <c r="I2317" i="43"/>
  <c r="V2316" i="43"/>
  <c r="I2316" i="43"/>
  <c r="V2315" i="43"/>
  <c r="I2315" i="43"/>
  <c r="V2314" i="43"/>
  <c r="I2314" i="43"/>
  <c r="V2313" i="43"/>
  <c r="I2313" i="43"/>
  <c r="V2311" i="43" l="1"/>
  <c r="I2307" i="43"/>
  <c r="I2311" i="43"/>
  <c r="V2312" i="43" l="1"/>
  <c r="I2309" i="43" l="1"/>
  <c r="I2308" i="43"/>
  <c r="V2310" i="43"/>
  <c r="V2309" i="43"/>
  <c r="V2308" i="43" l="1"/>
  <c r="V2307" i="43" l="1"/>
  <c r="V2306" i="43"/>
  <c r="V2305" i="43" l="1"/>
  <c r="V2304" i="43" l="1"/>
  <c r="I2310" i="43" l="1"/>
  <c r="I2312" i="43"/>
  <c r="V2303" i="43"/>
  <c r="V2302" i="43"/>
  <c r="V2301" i="43" l="1"/>
  <c r="I2306" i="43"/>
  <c r="I2304" i="43"/>
  <c r="I2305" i="43"/>
  <c r="V2300" i="43"/>
  <c r="V2299" i="43" l="1"/>
  <c r="V2298" i="43" l="1"/>
  <c r="V2297" i="43"/>
  <c r="I2300" i="43"/>
  <c r="I2301" i="43"/>
  <c r="I2302" i="43"/>
  <c r="I2303" i="43"/>
  <c r="I2297" i="43"/>
  <c r="I2298" i="43"/>
  <c r="I2299" i="43"/>
  <c r="V2296" i="43" l="1"/>
  <c r="I2296" i="43"/>
  <c r="I2295" i="43"/>
  <c r="I2294" i="43" l="1"/>
  <c r="V2292" i="43" l="1"/>
  <c r="V2293" i="43"/>
  <c r="V2294" i="43"/>
  <c r="V2295" i="43"/>
  <c r="G387" i="17" l="1"/>
  <c r="G420" i="17" s="1"/>
  <c r="H387" i="17"/>
  <c r="G13" i="17"/>
  <c r="G28" i="17" s="1"/>
  <c r="H13" i="17"/>
  <c r="G270" i="17"/>
  <c r="G294" i="17" s="1"/>
  <c r="H270" i="17"/>
  <c r="C300" i="17"/>
  <c r="C336" i="17" s="1"/>
  <c r="D300" i="17"/>
  <c r="E300" i="17"/>
  <c r="E336" i="17" s="1"/>
  <c r="F300" i="17"/>
  <c r="G300" i="17"/>
  <c r="G336" i="17" s="1"/>
  <c r="H300" i="17"/>
  <c r="G317" i="17"/>
  <c r="G338" i="17" s="1"/>
  <c r="H317" i="17"/>
  <c r="G344" i="17"/>
  <c r="G378" i="17" s="1"/>
  <c r="H344" i="17"/>
  <c r="A361" i="17"/>
  <c r="B361" i="17"/>
  <c r="V2291" i="43" l="1"/>
  <c r="V2290" i="43"/>
  <c r="I2290" i="43" l="1"/>
  <c r="I2291" i="43"/>
  <c r="I2292" i="43"/>
  <c r="I2293" i="43"/>
  <c r="V2285" i="43" l="1"/>
  <c r="V2286" i="43"/>
  <c r="V2287" i="43"/>
  <c r="V2288" i="43"/>
  <c r="V2289" i="43"/>
  <c r="I2286" i="43"/>
  <c r="I2287" i="43"/>
  <c r="I2288" i="43"/>
  <c r="I2289" i="43"/>
  <c r="V2280" i="43" l="1"/>
  <c r="V2281" i="43"/>
  <c r="V2282" i="43"/>
  <c r="V2283" i="43"/>
  <c r="V2284" i="43"/>
  <c r="I2280" i="43"/>
  <c r="I2281" i="43"/>
  <c r="I2282" i="43"/>
  <c r="I2283" i="43"/>
  <c r="I2284" i="43"/>
  <c r="I2285" i="43"/>
  <c r="V2279" i="43" l="1"/>
  <c r="V2277" i="43"/>
  <c r="V2278" i="43"/>
  <c r="I2277" i="43"/>
  <c r="I2278" i="43"/>
  <c r="I2279" i="43"/>
  <c r="V2271" i="43" l="1"/>
  <c r="V2272" i="43"/>
  <c r="V2273" i="43"/>
  <c r="V2274" i="43"/>
  <c r="V2275" i="43"/>
  <c r="V2276" i="43"/>
  <c r="I2271" i="43"/>
  <c r="I2272" i="43"/>
  <c r="I2273" i="43"/>
  <c r="I2274" i="43"/>
  <c r="I2275" i="43"/>
  <c r="I2276" i="43"/>
  <c r="V2268" i="43" l="1"/>
  <c r="V2269" i="43"/>
  <c r="V2270" i="43"/>
  <c r="I2268" i="43"/>
  <c r="I2269" i="43"/>
  <c r="I2270" i="43"/>
  <c r="V2265" i="43" l="1"/>
  <c r="V2266" i="43"/>
  <c r="V2267" i="43"/>
  <c r="I2265" i="43"/>
  <c r="I2266" i="43"/>
  <c r="I2267" i="43"/>
  <c r="I2254" i="43" l="1"/>
  <c r="V2255" i="43" l="1"/>
  <c r="V2256" i="43"/>
  <c r="V2257" i="43"/>
  <c r="V2258" i="43"/>
  <c r="V2259" i="43"/>
  <c r="V2260" i="43"/>
  <c r="V2261" i="43"/>
  <c r="V2262" i="43"/>
  <c r="V2263" i="43"/>
  <c r="V2264" i="43"/>
  <c r="I2259" i="43"/>
  <c r="I2260" i="43"/>
  <c r="I2261" i="43"/>
  <c r="I2262" i="43"/>
  <c r="I2263" i="43"/>
  <c r="P110" i="50" l="1"/>
  <c r="I2255" i="43" l="1"/>
  <c r="I2256" i="43"/>
  <c r="I2257" i="43"/>
  <c r="I2258" i="43"/>
  <c r="V2248" i="43" l="1"/>
  <c r="V2249" i="43"/>
  <c r="V2250" i="43"/>
  <c r="V2251" i="43"/>
  <c r="V2252" i="43"/>
  <c r="V2253" i="43"/>
  <c r="V2254" i="43"/>
  <c r="I2249" i="43"/>
  <c r="I2250" i="43"/>
  <c r="I2251" i="43"/>
  <c r="I2252" i="43"/>
  <c r="I2253" i="43"/>
  <c r="V2246" i="43" l="1"/>
  <c r="V2247" i="43"/>
  <c r="I2246" i="43"/>
  <c r="I2247" i="43"/>
  <c r="I2248" i="43"/>
  <c r="I2055" i="43" l="1"/>
  <c r="V2055" i="43"/>
  <c r="I2237" i="43" l="1"/>
  <c r="L158" i="50" l="1"/>
  <c r="I2231" i="43"/>
  <c r="I2194" i="43"/>
  <c r="I2230" i="43"/>
  <c r="C317" i="17"/>
  <c r="C338" i="17" s="1"/>
  <c r="D317" i="17"/>
  <c r="I2229" i="43" l="1"/>
  <c r="V2245" i="43" l="1"/>
  <c r="V2244" i="43"/>
  <c r="V2243" i="43"/>
  <c r="V2242" i="43"/>
  <c r="V2241" i="43"/>
  <c r="V2240" i="43"/>
  <c r="I2245" i="43"/>
  <c r="I2244" i="43"/>
  <c r="I2243" i="43"/>
  <c r="I2242" i="43"/>
  <c r="I2241" i="43"/>
  <c r="I2240" i="43"/>
  <c r="I2224" i="43" l="1"/>
  <c r="V2224" i="43"/>
  <c r="V2225" i="43"/>
  <c r="V2226" i="43"/>
  <c r="V2227" i="43"/>
  <c r="V2228" i="43"/>
  <c r="V2229" i="43"/>
  <c r="V2230" i="43"/>
  <c r="V2231" i="43"/>
  <c r="V2232" i="43"/>
  <c r="V2233" i="43"/>
  <c r="V2234" i="43"/>
  <c r="V2235" i="43"/>
  <c r="V2236" i="43"/>
  <c r="V2237" i="43"/>
  <c r="V2238" i="43"/>
  <c r="V2239" i="43"/>
  <c r="I2235" i="43"/>
  <c r="I2236" i="43"/>
  <c r="I2238" i="43"/>
  <c r="I2239" i="43"/>
  <c r="I2225" i="43"/>
  <c r="I2226" i="43"/>
  <c r="I2227" i="43"/>
  <c r="I2228" i="43"/>
  <c r="I2232" i="43"/>
  <c r="I2233" i="43"/>
  <c r="I2234" i="43"/>
  <c r="I2223" i="43"/>
  <c r="V2221" i="43" l="1"/>
  <c r="V2222" i="43"/>
  <c r="V2223" i="43"/>
  <c r="I2220" i="43" l="1"/>
  <c r="I2221" i="43"/>
  <c r="I2222" i="43"/>
  <c r="V2216" i="43"/>
  <c r="V2217" i="43"/>
  <c r="V2218" i="43"/>
  <c r="V2219" i="43"/>
  <c r="V2220" i="43"/>
  <c r="I2208" i="43" l="1"/>
  <c r="I2205" i="43"/>
  <c r="I2207" i="43"/>
  <c r="I2209" i="43"/>
  <c r="I2210" i="43"/>
  <c r="I2211" i="43"/>
  <c r="I2212" i="43"/>
  <c r="I2213" i="43"/>
  <c r="I2214" i="43"/>
  <c r="I2215" i="43"/>
  <c r="I2216" i="43"/>
  <c r="I2217" i="43"/>
  <c r="I2218" i="43"/>
  <c r="I2219" i="43"/>
  <c r="I2206" i="43"/>
  <c r="I2204" i="43" l="1"/>
  <c r="I2203" i="43"/>
  <c r="I2202" i="43" l="1"/>
  <c r="I2201" i="43"/>
  <c r="I2200" i="43"/>
  <c r="V2199" i="43"/>
  <c r="V2200" i="43"/>
  <c r="V2201" i="43"/>
  <c r="V2202" i="43"/>
  <c r="V2203" i="43"/>
  <c r="V2204" i="43"/>
  <c r="V2205" i="43"/>
  <c r="V2206" i="43"/>
  <c r="V2207" i="43"/>
  <c r="V2208" i="43"/>
  <c r="V2209" i="43"/>
  <c r="V2210" i="43"/>
  <c r="V2211" i="43"/>
  <c r="V2212" i="43"/>
  <c r="V2213" i="43"/>
  <c r="V2214" i="43"/>
  <c r="V2215" i="43"/>
  <c r="I2199" i="43"/>
  <c r="I2198" i="43"/>
  <c r="I2197" i="43"/>
  <c r="I2196" i="43"/>
  <c r="I2195" i="43" l="1"/>
  <c r="V2193" i="43" l="1"/>
  <c r="V2194" i="43"/>
  <c r="V2195" i="43"/>
  <c r="V2196" i="43"/>
  <c r="V2197" i="43"/>
  <c r="V2198" i="43"/>
  <c r="I2193" i="43"/>
  <c r="I2192" i="43" l="1"/>
  <c r="I2191" i="43"/>
  <c r="I2190" i="43"/>
  <c r="I2189" i="43" l="1"/>
  <c r="I2188" i="43" l="1"/>
  <c r="V2186" i="43" l="1"/>
  <c r="V2187" i="43"/>
  <c r="V2188" i="43"/>
  <c r="V2189" i="43"/>
  <c r="V2190" i="43"/>
  <c r="V2191" i="43"/>
  <c r="V2192" i="43"/>
  <c r="I2185" i="43"/>
  <c r="I2186" i="43"/>
  <c r="I2187" i="43"/>
  <c r="I2184" i="43"/>
  <c r="I2183" i="43" l="1"/>
  <c r="I2182" i="43"/>
  <c r="V2181" i="43"/>
  <c r="V2182" i="43"/>
  <c r="V2183" i="43"/>
  <c r="V2184" i="43"/>
  <c r="V2185" i="43"/>
  <c r="I2181" i="43"/>
  <c r="I2180" i="43" l="1"/>
  <c r="I2179" i="43"/>
  <c r="I2178" i="43"/>
  <c r="V2177" i="43" l="1"/>
  <c r="V2178" i="43"/>
  <c r="V2179" i="43"/>
  <c r="V2180" i="43"/>
  <c r="I2177" i="43"/>
  <c r="V2176" i="43" l="1"/>
  <c r="I2176" i="43"/>
  <c r="V2175" i="43"/>
  <c r="I2175" i="43"/>
  <c r="V2174" i="43"/>
  <c r="I2174" i="43"/>
  <c r="I2173" i="43" l="1"/>
  <c r="I2172" i="43"/>
  <c r="I2171" i="43" l="1"/>
  <c r="I2170" i="43"/>
  <c r="I2169" i="43" l="1"/>
  <c r="I2168" i="43" l="1"/>
  <c r="I2167" i="43"/>
  <c r="I2166" i="43"/>
  <c r="I2165" i="43"/>
  <c r="I2164" i="43"/>
  <c r="V2164" i="43" l="1"/>
  <c r="V2165" i="43"/>
  <c r="V2166" i="43"/>
  <c r="V2167" i="43"/>
  <c r="V2168" i="43"/>
  <c r="V2169" i="43"/>
  <c r="V2170" i="43"/>
  <c r="V2171" i="43"/>
  <c r="V2172" i="43"/>
  <c r="V2173" i="43"/>
  <c r="I2163" i="43"/>
  <c r="I2162" i="43"/>
  <c r="I2161" i="43" l="1"/>
  <c r="I2160" i="43" l="1"/>
  <c r="V2159" i="43" l="1"/>
  <c r="V2160" i="43"/>
  <c r="V2161" i="43"/>
  <c r="V2162" i="43"/>
  <c r="V2163" i="43"/>
  <c r="I2159" i="43"/>
  <c r="I2158" i="43" l="1"/>
  <c r="I2157" i="43" l="1"/>
  <c r="I2156" i="43"/>
  <c r="I2155" i="43" l="1"/>
  <c r="V2154" i="43" l="1"/>
  <c r="V2155" i="43"/>
  <c r="V2156" i="43"/>
  <c r="V2157" i="43"/>
  <c r="V2158" i="43"/>
  <c r="I2154" i="43"/>
  <c r="I2153" i="43" l="1"/>
  <c r="I2152" i="43" l="1"/>
  <c r="I2151" i="43" l="1"/>
  <c r="I2150" i="43"/>
  <c r="I2137" i="43"/>
  <c r="V2147" i="43" l="1"/>
  <c r="V2148" i="43"/>
  <c r="V2149" i="43"/>
  <c r="V2150" i="43"/>
  <c r="V2151" i="43"/>
  <c r="V2152" i="43"/>
  <c r="V2153" i="43"/>
  <c r="I2142" i="43"/>
  <c r="I2143" i="43"/>
  <c r="I2144" i="43"/>
  <c r="I2145" i="43"/>
  <c r="I2146" i="43"/>
  <c r="I2147" i="43"/>
  <c r="I2148" i="43"/>
  <c r="I2149" i="43"/>
  <c r="I2141" i="43"/>
  <c r="I2140" i="43"/>
  <c r="V2146" i="43" l="1"/>
  <c r="V2145" i="43"/>
  <c r="V2144" i="43"/>
  <c r="V2143" i="43" l="1"/>
  <c r="V2142" i="43" l="1"/>
  <c r="V2141" i="43"/>
  <c r="V2140" i="43" l="1"/>
  <c r="V2139" i="43"/>
  <c r="I2139" i="43"/>
  <c r="V2138" i="43"/>
  <c r="I2138" i="43"/>
  <c r="I2136" i="43" l="1"/>
  <c r="I2135" i="43" l="1"/>
  <c r="I2134" i="43" l="1"/>
  <c r="G101" i="17" l="1"/>
  <c r="I2133" i="43" l="1"/>
  <c r="V2132" i="43"/>
  <c r="V2133" i="43"/>
  <c r="V2134" i="43"/>
  <c r="V2135" i="43"/>
  <c r="V2136" i="43"/>
  <c r="V2137" i="43"/>
  <c r="I2132" i="43"/>
  <c r="I2131" i="43"/>
  <c r="I2130" i="43"/>
  <c r="V2129" i="43" l="1"/>
  <c r="V2130" i="43"/>
  <c r="V2131" i="43"/>
  <c r="I2129" i="43"/>
  <c r="I2128" i="43"/>
  <c r="I2127" i="43" l="1"/>
  <c r="V2126" i="43" l="1"/>
  <c r="V2127" i="43"/>
  <c r="V2128" i="43"/>
  <c r="I2126" i="43"/>
  <c r="I2125" i="43" l="1"/>
  <c r="I2124" i="43" l="1"/>
  <c r="I2123" i="43" l="1"/>
  <c r="V2122" i="43"/>
  <c r="V2123" i="43"/>
  <c r="V2124" i="43"/>
  <c r="V2125" i="43"/>
  <c r="I2122" i="43"/>
  <c r="V2121" i="43" l="1"/>
  <c r="I2121" i="43"/>
  <c r="V2120" i="43" l="1"/>
  <c r="I2120" i="43"/>
  <c r="V2119" i="43"/>
  <c r="I2119" i="43"/>
  <c r="G20" i="11" l="1"/>
  <c r="G21" i="11"/>
  <c r="G22" i="11"/>
  <c r="H22" i="11"/>
  <c r="G23" i="11"/>
  <c r="G24" i="11"/>
  <c r="G25" i="11"/>
  <c r="G26" i="11"/>
  <c r="G27" i="11"/>
  <c r="H27" i="11"/>
  <c r="G28" i="11"/>
  <c r="G29" i="11"/>
  <c r="G30" i="11"/>
  <c r="G32" i="11"/>
  <c r="G33" i="11"/>
  <c r="G34" i="11"/>
  <c r="G35" i="11"/>
  <c r="G36" i="11"/>
  <c r="G37" i="11"/>
  <c r="G38" i="11"/>
  <c r="G39" i="11"/>
  <c r="G40" i="11"/>
  <c r="G41" i="11"/>
  <c r="G42" i="11"/>
  <c r="G43" i="11"/>
  <c r="G44" i="11"/>
  <c r="H44" i="11"/>
  <c r="G45" i="11"/>
  <c r="G46" i="11"/>
  <c r="G48" i="11"/>
  <c r="G49" i="11"/>
  <c r="G50" i="11"/>
  <c r="G51" i="11"/>
  <c r="G52" i="11"/>
  <c r="G53" i="11"/>
  <c r="G54" i="11"/>
  <c r="G55" i="11"/>
  <c r="G56" i="11"/>
  <c r="G57" i="11"/>
  <c r="G58" i="11"/>
  <c r="G59" i="11"/>
  <c r="G60" i="11"/>
  <c r="G61" i="11"/>
  <c r="H61" i="11"/>
  <c r="G62" i="11"/>
  <c r="G63" i="11"/>
  <c r="G64" i="11"/>
  <c r="G65" i="11"/>
  <c r="H65" i="11"/>
  <c r="G66" i="11"/>
  <c r="G67" i="11"/>
  <c r="G68" i="11"/>
  <c r="G69" i="11"/>
  <c r="G70" i="11"/>
  <c r="G71" i="11"/>
  <c r="H71" i="11"/>
  <c r="G72" i="11"/>
  <c r="H72" i="11"/>
  <c r="G73" i="11"/>
  <c r="G74" i="11"/>
  <c r="G75" i="11"/>
  <c r="G76" i="11"/>
  <c r="G77" i="11"/>
  <c r="H77" i="11"/>
  <c r="G78" i="11"/>
  <c r="G79" i="11"/>
  <c r="G80" i="11"/>
  <c r="G81" i="11"/>
  <c r="G82" i="11"/>
  <c r="G83" i="11"/>
  <c r="G84" i="11"/>
  <c r="G85" i="11"/>
  <c r="G86" i="11"/>
  <c r="G87" i="11"/>
  <c r="G88" i="11"/>
  <c r="G89" i="11"/>
  <c r="G90" i="11"/>
  <c r="G91" i="11"/>
  <c r="G92" i="11"/>
  <c r="G93" i="11"/>
  <c r="H93" i="11"/>
  <c r="G94" i="11"/>
  <c r="G95" i="11"/>
  <c r="G96" i="11"/>
  <c r="G97" i="11"/>
  <c r="G98" i="11"/>
  <c r="G99" i="11"/>
  <c r="G100" i="11"/>
  <c r="G101" i="11"/>
  <c r="G102" i="11"/>
  <c r="G103" i="11"/>
  <c r="G104" i="11"/>
  <c r="G105" i="11"/>
  <c r="G106" i="11"/>
  <c r="G107" i="11"/>
  <c r="G108" i="11"/>
  <c r="G109" i="11"/>
  <c r="H109" i="11"/>
  <c r="G110" i="11"/>
  <c r="G111" i="11"/>
  <c r="G112" i="11"/>
  <c r="G113" i="11"/>
  <c r="G114" i="11"/>
  <c r="G115" i="11"/>
  <c r="G116" i="11"/>
  <c r="G117" i="11"/>
  <c r="G118" i="11"/>
  <c r="G119" i="11"/>
  <c r="G120" i="11"/>
  <c r="G121" i="11"/>
  <c r="G122" i="11"/>
  <c r="G123" i="11"/>
  <c r="G124" i="11"/>
  <c r="G125" i="11"/>
  <c r="H125" i="11"/>
  <c r="G126" i="11"/>
  <c r="G127" i="11"/>
  <c r="G128" i="11"/>
  <c r="G129" i="11"/>
  <c r="G130" i="11"/>
  <c r="G131" i="11"/>
  <c r="G132" i="11"/>
  <c r="G133" i="11"/>
  <c r="G134" i="11"/>
  <c r="G135" i="11"/>
  <c r="H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H161" i="11"/>
  <c r="G162" i="11"/>
  <c r="G163" i="11"/>
  <c r="G164" i="11"/>
  <c r="G165" i="11"/>
  <c r="G166" i="11"/>
  <c r="G167" i="11"/>
  <c r="H167" i="11"/>
  <c r="G168" i="11"/>
  <c r="H168" i="11"/>
  <c r="G169" i="11"/>
  <c r="G170" i="11"/>
  <c r="H170" i="11"/>
  <c r="G171" i="11"/>
  <c r="H171" i="11"/>
  <c r="G172" i="11"/>
  <c r="H172" i="11"/>
  <c r="G173" i="11"/>
  <c r="G174" i="11"/>
  <c r="G175" i="11"/>
  <c r="I61" i="11" l="1"/>
  <c r="I170" i="11"/>
  <c r="I161" i="11"/>
  <c r="I125" i="11"/>
  <c r="I77" i="11"/>
  <c r="I22" i="11"/>
  <c r="I109" i="11"/>
  <c r="I27" i="11"/>
  <c r="I44" i="11"/>
  <c r="I93" i="11"/>
  <c r="I65" i="11"/>
  <c r="I171" i="11"/>
  <c r="I172" i="11"/>
  <c r="I167" i="11"/>
  <c r="I135" i="11"/>
  <c r="I71" i="11"/>
  <c r="I168" i="11"/>
  <c r="I72" i="11"/>
  <c r="V2118" i="43" l="1"/>
  <c r="I2118" i="43"/>
  <c r="V2117" i="43" l="1"/>
  <c r="I2117" i="43"/>
  <c r="V2116" i="43"/>
  <c r="I2116" i="43"/>
  <c r="V2115" i="43" l="1"/>
  <c r="I2115" i="43"/>
  <c r="V2114" i="43"/>
  <c r="I2114" i="43"/>
  <c r="I2113" i="43" l="1"/>
  <c r="I2112" i="43"/>
  <c r="V2111" i="43"/>
  <c r="V2112" i="43"/>
  <c r="V2113" i="43"/>
  <c r="I2111" i="43"/>
  <c r="V2110" i="43" l="1"/>
  <c r="I2110" i="43"/>
  <c r="I2109" i="43"/>
  <c r="V2109" i="43"/>
  <c r="V2108" i="43"/>
  <c r="I2108" i="43"/>
  <c r="V2107" i="43" l="1"/>
  <c r="I2107" i="43"/>
  <c r="V2106" i="43"/>
  <c r="I2106" i="43"/>
  <c r="V2105" i="43" l="1"/>
  <c r="I2105" i="43"/>
  <c r="I2104" i="43" l="1"/>
  <c r="I2103" i="43"/>
  <c r="I2102" i="43"/>
  <c r="I2101" i="43" l="1"/>
  <c r="I2100" i="43" l="1"/>
  <c r="I2099" i="43"/>
  <c r="I2098" i="43" l="1"/>
  <c r="I2097" i="43" l="1"/>
  <c r="I2096" i="43"/>
  <c r="I2095" i="43" l="1"/>
  <c r="V2095" i="43" l="1"/>
  <c r="V2096" i="43"/>
  <c r="V2097" i="43"/>
  <c r="V2098" i="43"/>
  <c r="V2099" i="43"/>
  <c r="V2100" i="43"/>
  <c r="V2101" i="43"/>
  <c r="V2102" i="43"/>
  <c r="V2103" i="43"/>
  <c r="V2104" i="43"/>
  <c r="I1847" i="43"/>
  <c r="V2094" i="43" l="1"/>
  <c r="I2094" i="43"/>
  <c r="V2093" i="43" l="1"/>
  <c r="I2093" i="43"/>
  <c r="V2092" i="43" l="1"/>
  <c r="I2092" i="43"/>
  <c r="V2091" i="43" l="1"/>
  <c r="I2091" i="43"/>
  <c r="V2090" i="43"/>
  <c r="I2090" i="43"/>
  <c r="V2089" i="43" l="1"/>
  <c r="I2089" i="43"/>
  <c r="V2088" i="43" l="1"/>
  <c r="I2088" i="43"/>
  <c r="I1761" i="43" l="1"/>
  <c r="V2087" i="43" l="1"/>
  <c r="I2087" i="43"/>
  <c r="V2086" i="43"/>
  <c r="I2086" i="43"/>
  <c r="V2085" i="43"/>
  <c r="I2085" i="43"/>
  <c r="V2084" i="43"/>
  <c r="I2084" i="43"/>
  <c r="V2083" i="43"/>
  <c r="I2083" i="43"/>
  <c r="V2082" i="43" l="1"/>
  <c r="I2082" i="43"/>
  <c r="V2081" i="43"/>
  <c r="I2081" i="43"/>
  <c r="V2080" i="43"/>
  <c r="I2080" i="43"/>
  <c r="V2078" i="43"/>
  <c r="I2078" i="43"/>
  <c r="V2077" i="43"/>
  <c r="I2077" i="43"/>
  <c r="V2076" i="43" l="1"/>
  <c r="I2076" i="43"/>
  <c r="V2075" i="43" l="1"/>
  <c r="I2075" i="43"/>
  <c r="V2074" i="43"/>
  <c r="I2074" i="43"/>
  <c r="V383" i="43"/>
  <c r="V2073" i="43"/>
  <c r="I2073" i="43"/>
  <c r="V2072" i="43" l="1"/>
  <c r="I2072" i="43"/>
  <c r="V2071" i="43" l="1"/>
  <c r="I2071" i="43"/>
  <c r="V2070" i="43"/>
  <c r="I2070" i="43"/>
  <c r="V2069" i="43"/>
  <c r="I2069" i="43"/>
  <c r="V2068" i="43"/>
  <c r="I2068" i="43"/>
  <c r="V2067" i="43" l="1"/>
  <c r="I2067" i="43"/>
  <c r="V2066" i="43"/>
  <c r="I2066" i="43"/>
  <c r="V2065" i="43" l="1"/>
  <c r="I2065" i="43"/>
  <c r="V2064" i="43"/>
  <c r="I2064" i="43"/>
  <c r="V2063" i="43"/>
  <c r="I2063" i="43"/>
  <c r="V2062" i="43"/>
  <c r="I2062" i="43"/>
  <c r="V2061" i="43"/>
  <c r="I2061" i="43"/>
  <c r="V2060" i="43" l="1"/>
  <c r="I2060" i="43"/>
  <c r="V2059" i="43"/>
  <c r="I2059" i="43"/>
  <c r="V2058" i="43"/>
  <c r="I2058" i="43"/>
  <c r="V2057" i="43"/>
  <c r="I2057" i="43"/>
  <c r="V2056" i="43" l="1"/>
  <c r="I2056" i="43"/>
  <c r="I2054" i="43"/>
  <c r="V115" i="50" l="1"/>
  <c r="V116" i="50"/>
  <c r="V2053" i="43"/>
  <c r="V2054" i="43"/>
  <c r="I2053" i="43"/>
  <c r="E3" i="16"/>
  <c r="V2052" i="43" l="1"/>
  <c r="I2052" i="43"/>
  <c r="V2051" i="43"/>
  <c r="I2051" i="43"/>
  <c r="V2050" i="43"/>
  <c r="I2050" i="43"/>
  <c r="V2049" i="43"/>
  <c r="I2049" i="43"/>
  <c r="V2048" i="43" l="1"/>
  <c r="I2048" i="43"/>
  <c r="V2047" i="43"/>
  <c r="I2047" i="43"/>
  <c r="V2046" i="43"/>
  <c r="I2046" i="43"/>
  <c r="V2045" i="43"/>
  <c r="I2045" i="43"/>
  <c r="V2044" i="43"/>
  <c r="I2044" i="43"/>
  <c r="I2043" i="43" l="1"/>
  <c r="V2041" i="43" l="1"/>
  <c r="V2042" i="43"/>
  <c r="V2043" i="43"/>
  <c r="G262" i="17" l="1"/>
  <c r="V2040" i="43"/>
  <c r="V2038" i="43"/>
  <c r="V2039" i="43"/>
  <c r="V2037" i="43"/>
  <c r="I2034" i="43" l="1"/>
  <c r="I1533" i="43" l="1"/>
  <c r="V1533" i="43"/>
  <c r="I2033" i="43"/>
  <c r="V2033" i="43"/>
  <c r="V2034" i="43"/>
  <c r="V2035" i="43"/>
  <c r="V2036" i="43"/>
  <c r="V2032" i="43"/>
  <c r="I2022" i="43"/>
  <c r="I2023" i="43"/>
  <c r="I2024" i="43"/>
  <c r="I2025" i="43"/>
  <c r="I2026" i="43"/>
  <c r="I2027" i="43"/>
  <c r="I2028" i="43"/>
  <c r="I2029" i="43"/>
  <c r="I2030" i="43"/>
  <c r="I2031" i="43"/>
  <c r="I2032" i="43"/>
  <c r="I2035" i="43"/>
  <c r="I2036" i="43"/>
  <c r="I2037" i="43"/>
  <c r="I2038" i="43"/>
  <c r="I2039" i="43"/>
  <c r="I2040" i="43"/>
  <c r="I2041" i="43"/>
  <c r="I2042" i="43"/>
  <c r="V2027" i="43" l="1"/>
  <c r="V2028" i="43"/>
  <c r="V2029" i="43"/>
  <c r="V2030" i="43"/>
  <c r="V2031" i="43"/>
  <c r="A387" i="17" l="1"/>
  <c r="B387" i="17"/>
  <c r="V2023" i="43"/>
  <c r="V2024" i="43"/>
  <c r="V2025" i="43"/>
  <c r="V2026" i="43"/>
  <c r="I2021" i="43"/>
  <c r="I2020" i="43"/>
  <c r="I2019" i="43"/>
  <c r="I2018" i="43"/>
  <c r="I2017" i="43"/>
  <c r="I2016" i="43"/>
  <c r="I2015" i="43"/>
  <c r="I2014" i="43" l="1"/>
  <c r="I2013" i="43"/>
  <c r="I2012" i="43" l="1"/>
  <c r="I2011" i="43"/>
  <c r="I2010" i="43" l="1"/>
  <c r="I2009" i="43"/>
  <c r="C188" i="17"/>
  <c r="I2008" i="43"/>
  <c r="I2007" i="43"/>
  <c r="I2006" i="43"/>
  <c r="I2005" i="43"/>
  <c r="I2004" i="43"/>
  <c r="I2003" i="43"/>
  <c r="I2002" i="43" l="1"/>
  <c r="I2001" i="43"/>
  <c r="I2000" i="43" l="1"/>
  <c r="I1999" i="43"/>
  <c r="I1998" i="43"/>
  <c r="I1997" i="43"/>
  <c r="I1996" i="43"/>
  <c r="I1995" i="43"/>
  <c r="I1994" i="43"/>
  <c r="I1993" i="43" l="1"/>
  <c r="I1992" i="43"/>
  <c r="I1991" i="43"/>
  <c r="I1990" i="43" l="1"/>
  <c r="I1989" i="43"/>
  <c r="I1988" i="43"/>
  <c r="I1987" i="43" l="1"/>
  <c r="I1986" i="43"/>
  <c r="I1985" i="43"/>
  <c r="I1984" i="43"/>
  <c r="I1983" i="43"/>
  <c r="I1982" i="43"/>
  <c r="I1981" i="43"/>
  <c r="V1981" i="43"/>
  <c r="G11" i="11" l="1"/>
  <c r="I1980" i="43" l="1"/>
  <c r="I1979" i="43" l="1"/>
  <c r="I1978" i="43"/>
  <c r="I1977" i="43"/>
  <c r="I1976" i="43"/>
  <c r="I1975" i="43"/>
  <c r="I1974" i="43"/>
  <c r="I1973" i="43"/>
  <c r="I1972" i="43"/>
  <c r="I1971" i="43" l="1"/>
  <c r="I1970" i="43"/>
  <c r="I1969" i="43"/>
  <c r="I1968" i="43"/>
  <c r="I1967" i="43"/>
  <c r="I1966" i="43"/>
  <c r="I1965" i="43"/>
  <c r="I1964" i="43"/>
  <c r="I1963" i="43" l="1"/>
  <c r="I1962" i="43" l="1"/>
  <c r="I1961" i="43"/>
  <c r="I1960" i="43"/>
  <c r="I1959" i="43"/>
  <c r="V1959" i="43" l="1"/>
  <c r="V1960" i="43"/>
  <c r="V1961" i="43"/>
  <c r="V1962" i="43"/>
  <c r="V1963" i="43"/>
  <c r="V1964" i="43"/>
  <c r="V1965" i="43"/>
  <c r="V1966" i="43"/>
  <c r="V1967" i="43"/>
  <c r="V1968" i="43"/>
  <c r="V1969" i="43"/>
  <c r="V1970" i="43"/>
  <c r="V1971" i="43"/>
  <c r="V1972" i="43"/>
  <c r="V1973" i="43"/>
  <c r="V1974" i="43"/>
  <c r="V1975" i="43"/>
  <c r="V1976" i="43"/>
  <c r="V1977" i="43"/>
  <c r="V1978" i="43"/>
  <c r="V1979" i="43"/>
  <c r="V1980" i="43"/>
  <c r="V1982" i="43"/>
  <c r="V1983" i="43"/>
  <c r="V1984" i="43"/>
  <c r="V1985" i="43"/>
  <c r="V1986" i="43"/>
  <c r="V1987" i="43"/>
  <c r="V1988" i="43"/>
  <c r="V1989" i="43"/>
  <c r="V1990" i="43"/>
  <c r="V1991" i="43"/>
  <c r="V1992" i="43"/>
  <c r="V1993" i="43"/>
  <c r="V1994" i="43"/>
  <c r="V1995" i="43"/>
  <c r="V1996" i="43"/>
  <c r="V1997" i="43"/>
  <c r="V1998" i="43"/>
  <c r="V1999" i="43"/>
  <c r="V2000" i="43"/>
  <c r="V2001" i="43"/>
  <c r="V2002" i="43"/>
  <c r="V2003" i="43"/>
  <c r="V2004" i="43"/>
  <c r="V2005" i="43"/>
  <c r="V2006" i="43"/>
  <c r="V2007" i="43"/>
  <c r="V2008" i="43"/>
  <c r="V2009" i="43"/>
  <c r="V2010" i="43"/>
  <c r="V2011" i="43"/>
  <c r="V2012" i="43"/>
  <c r="V2013" i="43"/>
  <c r="V2014" i="43"/>
  <c r="V2015" i="43"/>
  <c r="V2016" i="43"/>
  <c r="V2017" i="43"/>
  <c r="V2018" i="43"/>
  <c r="V2019" i="43"/>
  <c r="V2020" i="43"/>
  <c r="V2021" i="43"/>
  <c r="V2022" i="43"/>
  <c r="V1869" i="43"/>
  <c r="V1870" i="43"/>
  <c r="V1871" i="43"/>
  <c r="V1872" i="43"/>
  <c r="V1873" i="43"/>
  <c r="V1874" i="43"/>
  <c r="V1875" i="43"/>
  <c r="V1876" i="43"/>
  <c r="V1877" i="43"/>
  <c r="V1878" i="43"/>
  <c r="V1879" i="43"/>
  <c r="V1880" i="43"/>
  <c r="V1881" i="43"/>
  <c r="V1882" i="43"/>
  <c r="V1883" i="43"/>
  <c r="V1884" i="43"/>
  <c r="V1885" i="43"/>
  <c r="V1886" i="43"/>
  <c r="V1887" i="43"/>
  <c r="V1888" i="43"/>
  <c r="V1889" i="43"/>
  <c r="V1890" i="43"/>
  <c r="V1891" i="43"/>
  <c r="V1892" i="43"/>
  <c r="V1893" i="43"/>
  <c r="V1894" i="43"/>
  <c r="V1895" i="43"/>
  <c r="V1896" i="43"/>
  <c r="V1897" i="43"/>
  <c r="V1898" i="43"/>
  <c r="V1899" i="43"/>
  <c r="V1900" i="43"/>
  <c r="V1901" i="43"/>
  <c r="V1902" i="43"/>
  <c r="V1903" i="43"/>
  <c r="V1904" i="43"/>
  <c r="V1905" i="43"/>
  <c r="V1906" i="43"/>
  <c r="V1907" i="43"/>
  <c r="V1908" i="43"/>
  <c r="V1909" i="43"/>
  <c r="V1910" i="43"/>
  <c r="V1911" i="43"/>
  <c r="V1912" i="43"/>
  <c r="V1913" i="43"/>
  <c r="V1914" i="43"/>
  <c r="V1915" i="43"/>
  <c r="V1916" i="43"/>
  <c r="V1917" i="43"/>
  <c r="V1918" i="43"/>
  <c r="V1919" i="43"/>
  <c r="V1920" i="43"/>
  <c r="V1921" i="43"/>
  <c r="V1922" i="43"/>
  <c r="V1923" i="43"/>
  <c r="V1924" i="43"/>
  <c r="V1925" i="43"/>
  <c r="V1926" i="43"/>
  <c r="V1927" i="43"/>
  <c r="V1928" i="43"/>
  <c r="V1929" i="43"/>
  <c r="V1930" i="43"/>
  <c r="V1931" i="43"/>
  <c r="V1932" i="43"/>
  <c r="V1933" i="43"/>
  <c r="V1934" i="43"/>
  <c r="V1935" i="43"/>
  <c r="V1936" i="43"/>
  <c r="V1937" i="43"/>
  <c r="V1938" i="43"/>
  <c r="V1939" i="43"/>
  <c r="V1940" i="43"/>
  <c r="V1941" i="43"/>
  <c r="V1942" i="43"/>
  <c r="V1943" i="43"/>
  <c r="V1944" i="43"/>
  <c r="V1945" i="43"/>
  <c r="V1946" i="43"/>
  <c r="V1947" i="43"/>
  <c r="V1948" i="43"/>
  <c r="V1949" i="43"/>
  <c r="V1950" i="43"/>
  <c r="V1951" i="43"/>
  <c r="V1952" i="43"/>
  <c r="V1953" i="43"/>
  <c r="V1954" i="43"/>
  <c r="V1955" i="43"/>
  <c r="V1956" i="43"/>
  <c r="V1957" i="43"/>
  <c r="V1958" i="43"/>
  <c r="I1958" i="43" l="1"/>
  <c r="I1957" i="43"/>
  <c r="I1956" i="43" l="1"/>
  <c r="I1955" i="43"/>
  <c r="I1954" i="43"/>
  <c r="I1953" i="43" l="1"/>
  <c r="I1952" i="43"/>
  <c r="I1951" i="43"/>
  <c r="I1950" i="43"/>
  <c r="I1949" i="43"/>
  <c r="I1948" i="43"/>
  <c r="I1947" i="43"/>
  <c r="I1946" i="43"/>
  <c r="I1945" i="43"/>
  <c r="I1944" i="43"/>
  <c r="I1943" i="43"/>
  <c r="I1942" i="43"/>
  <c r="I1941" i="43"/>
  <c r="I1940" i="43"/>
  <c r="I1939" i="43"/>
  <c r="I1938" i="43"/>
  <c r="I1937" i="43"/>
  <c r="I1936" i="43" l="1"/>
  <c r="I1935" i="43"/>
  <c r="I1934" i="43"/>
  <c r="I1933" i="43" l="1"/>
  <c r="I1932" i="43"/>
  <c r="I1931" i="43"/>
  <c r="I1930" i="43"/>
  <c r="I1929" i="43"/>
  <c r="I1928" i="43"/>
  <c r="I1927" i="43" l="1"/>
  <c r="I1926" i="43"/>
  <c r="I1925" i="43"/>
  <c r="I1924" i="43"/>
  <c r="I1923" i="43"/>
  <c r="I1922" i="43"/>
  <c r="I1921" i="43"/>
  <c r="I1920" i="43" l="1"/>
  <c r="I1919" i="43"/>
  <c r="I1918" i="43"/>
  <c r="I1917" i="43"/>
  <c r="I1916" i="43"/>
  <c r="I1915" i="43"/>
  <c r="I1914" i="43"/>
  <c r="I1913" i="43"/>
  <c r="I1912" i="43"/>
  <c r="I1911" i="43"/>
  <c r="V1434" i="43" l="1"/>
  <c r="V1435" i="43"/>
  <c r="V1436" i="43"/>
  <c r="V1437" i="43"/>
  <c r="V1438" i="43"/>
  <c r="V1439" i="43"/>
  <c r="V1440" i="43"/>
  <c r="V1441" i="43"/>
  <c r="V1442" i="43"/>
  <c r="V1443" i="43"/>
  <c r="V1444" i="43"/>
  <c r="V1445" i="43"/>
  <c r="V1446" i="43"/>
  <c r="V1447" i="43"/>
  <c r="V1448" i="43"/>
  <c r="V1449" i="43"/>
  <c r="V1450" i="43"/>
  <c r="V1451" i="43"/>
  <c r="V1452" i="43"/>
  <c r="V1453" i="43"/>
  <c r="V1454" i="43"/>
  <c r="V1455" i="43"/>
  <c r="V1456" i="43"/>
  <c r="V1457" i="43"/>
  <c r="V1458" i="43"/>
  <c r="V1459" i="43"/>
  <c r="V1460" i="43"/>
  <c r="V1461" i="43"/>
  <c r="V1462" i="43"/>
  <c r="V1463" i="43"/>
  <c r="V1464" i="43"/>
  <c r="V1465" i="43"/>
  <c r="V1466" i="43"/>
  <c r="V1467" i="43"/>
  <c r="V1468" i="43"/>
  <c r="V1469" i="43"/>
  <c r="V1470" i="43"/>
  <c r="V1471" i="43"/>
  <c r="V1472" i="43"/>
  <c r="V1473" i="43"/>
  <c r="V1474" i="43"/>
  <c r="V1475" i="43"/>
  <c r="V1476" i="43"/>
  <c r="V1477" i="43"/>
  <c r="V1478" i="43"/>
  <c r="V1479" i="43"/>
  <c r="V1480" i="43"/>
  <c r="V1481" i="43"/>
  <c r="V1482" i="43"/>
  <c r="V1483" i="43"/>
  <c r="V1484" i="43"/>
  <c r="V1485" i="43"/>
  <c r="V1486" i="43"/>
  <c r="V1487" i="43"/>
  <c r="V1488" i="43"/>
  <c r="V1489" i="43"/>
  <c r="V1490" i="43"/>
  <c r="V1491" i="43"/>
  <c r="V1492" i="43"/>
  <c r="V1493" i="43"/>
  <c r="V1494" i="43"/>
  <c r="V1495" i="43"/>
  <c r="V1496" i="43"/>
  <c r="V1497" i="43"/>
  <c r="V1498" i="43"/>
  <c r="V1499" i="43"/>
  <c r="V1500" i="43"/>
  <c r="V1501" i="43"/>
  <c r="V1502" i="43"/>
  <c r="V1503" i="43"/>
  <c r="V1504" i="43"/>
  <c r="V1505" i="43"/>
  <c r="V1506" i="43"/>
  <c r="V1507" i="43"/>
  <c r="V1508" i="43"/>
  <c r="V1509" i="43"/>
  <c r="V1510" i="43"/>
  <c r="V1511" i="43"/>
  <c r="V1512" i="43"/>
  <c r="V1513" i="43"/>
  <c r="V1514" i="43"/>
  <c r="V1515" i="43"/>
  <c r="V1516" i="43"/>
  <c r="V1517" i="43"/>
  <c r="V1518" i="43"/>
  <c r="V1519" i="43"/>
  <c r="V1520" i="43"/>
  <c r="V1521" i="43"/>
  <c r="V1522" i="43"/>
  <c r="V1523" i="43"/>
  <c r="V1524" i="43"/>
  <c r="V1525" i="43"/>
  <c r="V1526" i="43"/>
  <c r="V1527" i="43"/>
  <c r="V1528" i="43"/>
  <c r="V1529" i="43"/>
  <c r="V1530" i="43"/>
  <c r="V1531" i="43"/>
  <c r="V1532" i="43"/>
  <c r="V1534" i="43"/>
  <c r="V1535" i="43"/>
  <c r="V1536" i="43"/>
  <c r="V1537" i="43"/>
  <c r="V1538" i="43"/>
  <c r="V1539" i="43"/>
  <c r="V1540" i="43"/>
  <c r="V1541" i="43"/>
  <c r="V1542" i="43"/>
  <c r="V1543" i="43"/>
  <c r="V1544" i="43"/>
  <c r="V1545" i="43"/>
  <c r="V1546" i="43"/>
  <c r="V1547" i="43"/>
  <c r="V1548" i="43"/>
  <c r="V1549" i="43"/>
  <c r="V1550" i="43"/>
  <c r="V1551" i="43"/>
  <c r="V1552" i="43"/>
  <c r="V1553" i="43"/>
  <c r="V1554" i="43"/>
  <c r="V1555" i="43"/>
  <c r="V1556" i="43"/>
  <c r="V1557" i="43"/>
  <c r="V1558" i="43"/>
  <c r="V1559" i="43"/>
  <c r="V1560" i="43"/>
  <c r="V1561" i="43"/>
  <c r="V1562" i="43"/>
  <c r="V1563" i="43"/>
  <c r="V1564" i="43"/>
  <c r="V1565" i="43"/>
  <c r="V1566" i="43"/>
  <c r="V1567" i="43"/>
  <c r="V1568" i="43"/>
  <c r="V1569" i="43"/>
  <c r="V1570" i="43"/>
  <c r="V1571" i="43"/>
  <c r="V1572" i="43"/>
  <c r="V1573" i="43"/>
  <c r="V1574" i="43"/>
  <c r="V1575" i="43"/>
  <c r="V1576" i="43"/>
  <c r="V1577" i="43"/>
  <c r="V1578" i="43"/>
  <c r="V1579" i="43"/>
  <c r="V1580" i="43"/>
  <c r="V1581" i="43"/>
  <c r="V1582" i="43"/>
  <c r="V1583" i="43"/>
  <c r="V1584" i="43"/>
  <c r="V1585" i="43"/>
  <c r="V1586" i="43"/>
  <c r="V1587" i="43"/>
  <c r="V1588" i="43"/>
  <c r="V1589" i="43"/>
  <c r="V1590" i="43"/>
  <c r="V1591" i="43"/>
  <c r="V1592" i="43"/>
  <c r="V1593" i="43"/>
  <c r="V1594" i="43"/>
  <c r="V1595" i="43"/>
  <c r="V1596" i="43"/>
  <c r="V1597" i="43"/>
  <c r="V1598" i="43"/>
  <c r="V1599" i="43"/>
  <c r="V1600" i="43"/>
  <c r="V1601" i="43"/>
  <c r="V1602" i="43"/>
  <c r="V1603" i="43"/>
  <c r="V1604" i="43"/>
  <c r="V1605" i="43"/>
  <c r="V1606" i="43"/>
  <c r="V1607" i="43"/>
  <c r="V1608" i="43"/>
  <c r="V1609" i="43"/>
  <c r="V1610" i="43"/>
  <c r="V1611" i="43"/>
  <c r="V1612" i="43"/>
  <c r="V1613" i="43"/>
  <c r="V1614" i="43"/>
  <c r="V1615" i="43"/>
  <c r="V1616" i="43"/>
  <c r="V1617" i="43"/>
  <c r="V1618" i="43"/>
  <c r="V1619" i="43"/>
  <c r="V1620" i="43"/>
  <c r="V1621" i="43"/>
  <c r="V1622" i="43"/>
  <c r="V1623" i="43"/>
  <c r="V1624" i="43"/>
  <c r="V1625" i="43"/>
  <c r="V1626" i="43"/>
  <c r="V1627" i="43"/>
  <c r="V1628" i="43"/>
  <c r="V1629" i="43"/>
  <c r="V1630" i="43"/>
  <c r="V1631" i="43"/>
  <c r="V1632" i="43"/>
  <c r="V1633" i="43"/>
  <c r="V1634" i="43"/>
  <c r="V1635" i="43"/>
  <c r="V1636" i="43"/>
  <c r="V1637" i="43"/>
  <c r="V1638" i="43"/>
  <c r="V1639" i="43"/>
  <c r="V1640" i="43"/>
  <c r="V1641" i="43"/>
  <c r="V1642" i="43"/>
  <c r="V1643" i="43"/>
  <c r="V1644" i="43"/>
  <c r="V1645" i="43"/>
  <c r="V1646" i="43"/>
  <c r="V1647" i="43"/>
  <c r="V1648" i="43"/>
  <c r="V1649" i="43"/>
  <c r="V1650" i="43"/>
  <c r="V1651" i="43"/>
  <c r="V1652" i="43"/>
  <c r="V1653" i="43"/>
  <c r="V1654" i="43"/>
  <c r="V1655" i="43"/>
  <c r="V1656" i="43"/>
  <c r="V1657" i="43"/>
  <c r="V1658" i="43"/>
  <c r="V1659" i="43"/>
  <c r="V1660" i="43"/>
  <c r="V1661" i="43"/>
  <c r="V1662" i="43"/>
  <c r="V1663" i="43"/>
  <c r="V1664" i="43"/>
  <c r="V1665" i="43"/>
  <c r="V1666" i="43"/>
  <c r="V1667" i="43"/>
  <c r="V1668" i="43"/>
  <c r="V1669" i="43"/>
  <c r="V1670" i="43"/>
  <c r="V1671" i="43"/>
  <c r="V1672" i="43"/>
  <c r="V1673" i="43"/>
  <c r="V1674" i="43"/>
  <c r="V1675" i="43"/>
  <c r="V1676" i="43"/>
  <c r="V1677" i="43"/>
  <c r="V1678" i="43"/>
  <c r="V1679" i="43"/>
  <c r="V1680" i="43"/>
  <c r="V1681" i="43"/>
  <c r="V1682" i="43"/>
  <c r="V1683" i="43"/>
  <c r="V1684" i="43"/>
  <c r="V1685" i="43"/>
  <c r="V1686" i="43"/>
  <c r="V1687" i="43"/>
  <c r="V1688" i="43"/>
  <c r="V1689" i="43"/>
  <c r="V1690" i="43"/>
  <c r="V1691" i="43"/>
  <c r="V1692" i="43"/>
  <c r="V1693" i="43"/>
  <c r="V1694" i="43"/>
  <c r="V1695" i="43"/>
  <c r="V1696" i="43"/>
  <c r="V1697" i="43"/>
  <c r="V1698" i="43"/>
  <c r="V1699" i="43"/>
  <c r="V1700" i="43"/>
  <c r="V1701" i="43"/>
  <c r="V1702" i="43"/>
  <c r="V1703" i="43"/>
  <c r="V1704" i="43"/>
  <c r="V1705" i="43"/>
  <c r="V1706" i="43"/>
  <c r="V1707" i="43"/>
  <c r="V1708" i="43"/>
  <c r="V1709" i="43"/>
  <c r="V1710" i="43"/>
  <c r="V1711" i="43"/>
  <c r="V1712" i="43"/>
  <c r="V1713" i="43"/>
  <c r="V1714" i="43"/>
  <c r="V1715" i="43"/>
  <c r="V1716" i="43"/>
  <c r="V1717" i="43"/>
  <c r="V1718" i="43"/>
  <c r="V1719" i="43"/>
  <c r="V1720" i="43"/>
  <c r="V1721" i="43"/>
  <c r="V1722" i="43"/>
  <c r="V1723" i="43"/>
  <c r="V1724" i="43"/>
  <c r="V1725" i="43"/>
  <c r="V1726" i="43"/>
  <c r="V1727" i="43"/>
  <c r="V1728" i="43"/>
  <c r="V1729" i="43"/>
  <c r="V1730" i="43"/>
  <c r="V1731" i="43"/>
  <c r="V1732" i="43"/>
  <c r="V1733" i="43"/>
  <c r="V1734" i="43"/>
  <c r="V1735" i="43"/>
  <c r="V1736" i="43"/>
  <c r="V1737" i="43"/>
  <c r="V1738" i="43"/>
  <c r="V1739" i="43"/>
  <c r="V1740" i="43"/>
  <c r="V1741" i="43"/>
  <c r="V1742" i="43"/>
  <c r="V1743" i="43"/>
  <c r="V1744" i="43"/>
  <c r="V1745" i="43"/>
  <c r="V1746" i="43"/>
  <c r="V1747" i="43"/>
  <c r="V1748" i="43"/>
  <c r="V1749" i="43"/>
  <c r="V1750" i="43"/>
  <c r="V1751" i="43"/>
  <c r="V1752" i="43"/>
  <c r="V1753" i="43"/>
  <c r="V1754" i="43"/>
  <c r="V1755" i="43"/>
  <c r="V1756" i="43"/>
  <c r="V1757" i="43"/>
  <c r="V1758" i="43"/>
  <c r="V1759" i="43"/>
  <c r="V1760" i="43"/>
  <c r="V1761" i="43"/>
  <c r="V1762" i="43"/>
  <c r="V1763" i="43"/>
  <c r="V1764" i="43"/>
  <c r="V1765" i="43"/>
  <c r="V1766" i="43"/>
  <c r="V1767" i="43"/>
  <c r="V1768" i="43"/>
  <c r="V1769" i="43"/>
  <c r="V1770" i="43"/>
  <c r="V1771" i="43"/>
  <c r="V1772" i="43"/>
  <c r="V1773" i="43"/>
  <c r="V1774" i="43"/>
  <c r="V1775" i="43"/>
  <c r="V1776" i="43"/>
  <c r="V1777" i="43"/>
  <c r="V1778" i="43"/>
  <c r="V1779" i="43"/>
  <c r="V1780" i="43"/>
  <c r="V1781" i="43"/>
  <c r="V1782" i="43"/>
  <c r="V1783" i="43"/>
  <c r="V1784" i="43"/>
  <c r="V1785" i="43"/>
  <c r="V1786" i="43"/>
  <c r="V1787" i="43"/>
  <c r="V1788" i="43"/>
  <c r="V1789" i="43"/>
  <c r="V1790" i="43"/>
  <c r="V1791" i="43"/>
  <c r="V1792" i="43"/>
  <c r="V1793" i="43"/>
  <c r="V1794" i="43"/>
  <c r="V1795" i="43"/>
  <c r="V1796" i="43"/>
  <c r="V1797" i="43"/>
  <c r="V1798" i="43"/>
  <c r="V1799" i="43"/>
  <c r="V1800" i="43"/>
  <c r="V1801" i="43"/>
  <c r="V1802" i="43"/>
  <c r="V1803" i="43"/>
  <c r="V1804" i="43"/>
  <c r="V1805" i="43"/>
  <c r="V1806" i="43"/>
  <c r="V1807" i="43"/>
  <c r="V1808" i="43"/>
  <c r="V1809" i="43"/>
  <c r="V1810" i="43"/>
  <c r="V1811" i="43"/>
  <c r="V1812" i="43"/>
  <c r="V1813" i="43"/>
  <c r="V1814" i="43"/>
  <c r="V1815" i="43"/>
  <c r="V1816" i="43"/>
  <c r="V1817" i="43"/>
  <c r="V1818" i="43"/>
  <c r="V1819" i="43"/>
  <c r="V1820" i="43"/>
  <c r="V1821" i="43"/>
  <c r="V1822" i="43"/>
  <c r="V1823" i="43"/>
  <c r="V1824" i="43"/>
  <c r="V1825" i="43"/>
  <c r="V1826" i="43"/>
  <c r="V1827" i="43"/>
  <c r="V1828" i="43"/>
  <c r="V1829" i="43"/>
  <c r="V1830" i="43"/>
  <c r="V1831" i="43"/>
  <c r="V1832" i="43"/>
  <c r="V1833" i="43"/>
  <c r="V1834" i="43"/>
  <c r="V1835" i="43"/>
  <c r="V1836" i="43"/>
  <c r="V1837" i="43"/>
  <c r="V1838" i="43"/>
  <c r="V1839" i="43"/>
  <c r="V1840" i="43"/>
  <c r="V1841" i="43"/>
  <c r="V1842" i="43"/>
  <c r="V1843" i="43"/>
  <c r="V1844" i="43"/>
  <c r="V1845" i="43"/>
  <c r="V1846" i="43"/>
  <c r="V1847" i="43"/>
  <c r="V1848" i="43"/>
  <c r="V1849" i="43"/>
  <c r="V1850" i="43"/>
  <c r="V1851" i="43"/>
  <c r="V1852" i="43"/>
  <c r="V1853" i="43"/>
  <c r="V1854" i="43"/>
  <c r="V1855" i="43"/>
  <c r="V1856" i="43"/>
  <c r="V1857" i="43"/>
  <c r="V1858" i="43"/>
  <c r="V1859" i="43"/>
  <c r="V1860" i="43"/>
  <c r="V1861" i="43"/>
  <c r="V1862" i="43"/>
  <c r="V1863" i="43"/>
  <c r="V1864" i="43"/>
  <c r="V1865" i="43"/>
  <c r="V1866" i="43"/>
  <c r="V1867" i="43"/>
  <c r="V1868" i="43"/>
  <c r="I1910" i="43"/>
  <c r="I1909" i="43" l="1"/>
  <c r="I1908" i="43"/>
  <c r="I1907" i="43"/>
  <c r="I1906" i="43"/>
  <c r="I1905" i="43" l="1"/>
  <c r="I1903" i="43" l="1"/>
  <c r="I1902" i="43"/>
  <c r="I1901" i="43"/>
  <c r="I1900" i="43" l="1"/>
  <c r="I1854" i="43"/>
  <c r="I1899" i="43"/>
  <c r="I1898" i="43"/>
  <c r="I1897" i="43"/>
  <c r="V60" i="50"/>
  <c r="V61" i="50"/>
  <c r="V62" i="50"/>
  <c r="V63" i="50"/>
  <c r="V64" i="50"/>
  <c r="V65" i="50"/>
  <c r="V114" i="50"/>
  <c r="V117" i="50"/>
  <c r="V17" i="50"/>
  <c r="V18" i="50"/>
  <c r="V19" i="50"/>
  <c r="V20" i="50"/>
  <c r="I1896" i="43" l="1"/>
  <c r="I1895" i="43"/>
  <c r="I1894" i="43"/>
  <c r="I1893" i="43" l="1"/>
  <c r="I1892" i="43"/>
  <c r="I1891" i="43" l="1"/>
  <c r="I1890" i="43"/>
  <c r="B110" i="50"/>
  <c r="I1889" i="43" l="1"/>
  <c r="I1888" i="43"/>
  <c r="I1887" i="43" l="1"/>
  <c r="I1886" i="43" l="1"/>
  <c r="I1884" i="43"/>
  <c r="I1883" i="43" l="1"/>
  <c r="I1882" i="43"/>
  <c r="I1881" i="43"/>
  <c r="I1880" i="43" l="1"/>
  <c r="I1879" i="43"/>
  <c r="I1878" i="43"/>
  <c r="I1877" i="43"/>
  <c r="I1876" i="43"/>
  <c r="I1875" i="43"/>
  <c r="W50" i="50" l="1"/>
  <c r="X50" i="50"/>
  <c r="Y50" i="50"/>
  <c r="I1874" i="43"/>
  <c r="I1871" i="43"/>
  <c r="I1873" i="43"/>
  <c r="I1872" i="43" l="1"/>
  <c r="I1870" i="43"/>
  <c r="I1869" i="43"/>
  <c r="I1868" i="43"/>
  <c r="I1867" i="43"/>
  <c r="I1866" i="43"/>
  <c r="I1865" i="43"/>
  <c r="I1864" i="43"/>
  <c r="I1863" i="43" l="1"/>
  <c r="I1862" i="43" l="1"/>
  <c r="I1861" i="43" l="1"/>
  <c r="I1860" i="43" l="1"/>
  <c r="I1859" i="43"/>
  <c r="I1858" i="43"/>
  <c r="I1857" i="43"/>
  <c r="I1856" i="43"/>
  <c r="I1855" i="43"/>
  <c r="I1853" i="43"/>
  <c r="I1852" i="43" l="1"/>
  <c r="I1851" i="43" l="1"/>
  <c r="I1850" i="43"/>
  <c r="I1849" i="43"/>
  <c r="I1848" i="43" l="1"/>
  <c r="I1846" i="43" l="1"/>
  <c r="I1845" i="43" l="1"/>
  <c r="I1844" i="43" l="1"/>
  <c r="I1843" i="43"/>
  <c r="I1842" i="43" l="1"/>
  <c r="I1841" i="43" l="1"/>
  <c r="I1840" i="43"/>
  <c r="I1839" i="43" l="1"/>
  <c r="I1838" i="43" l="1"/>
  <c r="I1837" i="43" l="1"/>
  <c r="I1836" i="43"/>
  <c r="I1835" i="43"/>
  <c r="I1834" i="43"/>
  <c r="I1833" i="43" l="1"/>
  <c r="I1832" i="43"/>
  <c r="V145" i="50"/>
  <c r="V146" i="50"/>
  <c r="I1831" i="43"/>
  <c r="I1830" i="43" l="1"/>
  <c r="I1829" i="43"/>
  <c r="I1828" i="43"/>
  <c r="I1827" i="43"/>
  <c r="I1826" i="43"/>
  <c r="I1825" i="43" l="1"/>
  <c r="I1824" i="43"/>
  <c r="I1823" i="43"/>
  <c r="I1822" i="43"/>
  <c r="I1821" i="43" l="1"/>
  <c r="I1820" i="43"/>
  <c r="I1819" i="43" l="1"/>
  <c r="V112" i="50" l="1"/>
  <c r="V113" i="50"/>
  <c r="I1802" i="43"/>
  <c r="I1803" i="43"/>
  <c r="I1804" i="43"/>
  <c r="I1805" i="43"/>
  <c r="I1806" i="43"/>
  <c r="I1807" i="43"/>
  <c r="I1808" i="43"/>
  <c r="I1809" i="43"/>
  <c r="I1810" i="43"/>
  <c r="I1811" i="43"/>
  <c r="I1812" i="43"/>
  <c r="I1813" i="43"/>
  <c r="I1814" i="43"/>
  <c r="I1815" i="43"/>
  <c r="I1816" i="43"/>
  <c r="I1817" i="43"/>
  <c r="I1818" i="43"/>
  <c r="I1801" i="43" l="1"/>
  <c r="I1800" i="43" l="1"/>
  <c r="I1799" i="43"/>
  <c r="W98" i="6" l="1"/>
  <c r="W97" i="6"/>
  <c r="W96" i="6"/>
  <c r="W95" i="6"/>
  <c r="W94" i="6"/>
  <c r="W93" i="6"/>
  <c r="W92" i="6"/>
  <c r="W91" i="6"/>
  <c r="W90" i="6"/>
  <c r="W89" i="6"/>
  <c r="W101" i="6" l="1"/>
  <c r="P99" i="6"/>
  <c r="P100" i="6"/>
  <c r="I1798" i="43"/>
  <c r="I1797" i="43" l="1"/>
  <c r="E97" i="17" l="1"/>
  <c r="I1796" i="43"/>
  <c r="I1795" i="43"/>
  <c r="I1794" i="43" l="1"/>
  <c r="I1793" i="43"/>
  <c r="I1792" i="43"/>
  <c r="C3" i="49" l="1"/>
  <c r="G2" i="49" s="1"/>
  <c r="I1791" i="43"/>
  <c r="I1790" i="43" l="1"/>
  <c r="I1789" i="43" l="1"/>
  <c r="I1788" i="43" l="1"/>
  <c r="I1787" i="43" l="1"/>
  <c r="I1786" i="43"/>
  <c r="I1785" i="43"/>
  <c r="I1784" i="43"/>
  <c r="I1783" i="43"/>
  <c r="I1782" i="43" l="1"/>
  <c r="I1781" i="43"/>
  <c r="I1780" i="43" l="1"/>
  <c r="I1779" i="43"/>
  <c r="I1778" i="43"/>
  <c r="I1777" i="43"/>
  <c r="I1776" i="43" l="1"/>
  <c r="I1775" i="43" l="1"/>
  <c r="I1774" i="43"/>
  <c r="I1773" i="43"/>
  <c r="I1772" i="43"/>
  <c r="I1771" i="43" l="1"/>
  <c r="I1770" i="43" l="1"/>
  <c r="I1769" i="43" l="1"/>
  <c r="I1768" i="43"/>
  <c r="I1767" i="43"/>
  <c r="I1766" i="43"/>
  <c r="I1765" i="43" l="1"/>
  <c r="I1764" i="43"/>
  <c r="I1763" i="43"/>
  <c r="I1762" i="43" l="1"/>
  <c r="I1760" i="43" l="1"/>
  <c r="I1759" i="43"/>
  <c r="I1758" i="43"/>
  <c r="I1757" i="43"/>
  <c r="I1756" i="43"/>
  <c r="I1755" i="43"/>
  <c r="I1754" i="43" l="1"/>
  <c r="I1753" i="43"/>
  <c r="I1752" i="43"/>
  <c r="I1751" i="43" l="1"/>
  <c r="I1750" i="43"/>
  <c r="I1749" i="43"/>
  <c r="I1748" i="43"/>
  <c r="I1747" i="43"/>
  <c r="I1746" i="43"/>
  <c r="I1745" i="43"/>
  <c r="I1744" i="43"/>
  <c r="I1743" i="43" l="1"/>
  <c r="I1742" i="43"/>
  <c r="I1741" i="43" l="1"/>
  <c r="I1740" i="43" l="1"/>
  <c r="I1739" i="43" l="1"/>
  <c r="I1738" i="43" l="1"/>
  <c r="I1737" i="43"/>
  <c r="I1736" i="43"/>
  <c r="I1735" i="43" l="1"/>
  <c r="I1734" i="43"/>
  <c r="I1733" i="43" l="1"/>
  <c r="I1732" i="43" l="1"/>
  <c r="I1731" i="43"/>
  <c r="I1730" i="43" l="1"/>
  <c r="I1729" i="43"/>
  <c r="I1728" i="43"/>
  <c r="I1727" i="43" l="1"/>
  <c r="I1726" i="43"/>
  <c r="I1725" i="43"/>
  <c r="I1724" i="43"/>
  <c r="I1723" i="43" l="1"/>
  <c r="B384" i="17"/>
  <c r="B341" i="17"/>
  <c r="B297" i="17"/>
  <c r="B31" i="17"/>
  <c r="B77" i="17"/>
  <c r="B120" i="17"/>
  <c r="B163" i="17"/>
  <c r="B206" i="17"/>
  <c r="I1722" i="43" l="1"/>
  <c r="I1721" i="43" l="1"/>
  <c r="I1720" i="43"/>
  <c r="I1719" i="43"/>
  <c r="I1718" i="43"/>
  <c r="I1717" i="43" l="1"/>
  <c r="I1716" i="43"/>
  <c r="I1715" i="43"/>
  <c r="I1714" i="43"/>
  <c r="I1713" i="43"/>
  <c r="I1712" i="43"/>
  <c r="I1711" i="43" l="1"/>
  <c r="I1710" i="43"/>
  <c r="I1709" i="43"/>
  <c r="I1708" i="43"/>
  <c r="I1707" i="43"/>
  <c r="I1706" i="43"/>
  <c r="I1705" i="43" l="1"/>
  <c r="I1704" i="43"/>
  <c r="I1703" i="43" l="1"/>
  <c r="I1702" i="43"/>
  <c r="I1701" i="43" l="1"/>
  <c r="I1700" i="43" l="1"/>
  <c r="I1699" i="43" l="1"/>
  <c r="I1698" i="43"/>
  <c r="I1697" i="43"/>
  <c r="I1696" i="43"/>
  <c r="I1695" i="43" l="1"/>
  <c r="I1694" i="43" l="1"/>
  <c r="I1693" i="43"/>
  <c r="I1692" i="43"/>
  <c r="I1691" i="43" l="1"/>
  <c r="I1690" i="43"/>
  <c r="I1689" i="43"/>
  <c r="I1688" i="43" l="1"/>
  <c r="I1687" i="43"/>
  <c r="I1686" i="43"/>
  <c r="I1685" i="43"/>
  <c r="I1684" i="43"/>
  <c r="I1683" i="43"/>
  <c r="I1682" i="43"/>
  <c r="I1681" i="43"/>
  <c r="I1680" i="43"/>
  <c r="I1679" i="43"/>
  <c r="I1678" i="43"/>
  <c r="I1677" i="43"/>
  <c r="I1676" i="43"/>
  <c r="I1675" i="43" l="1"/>
  <c r="I1674" i="43" l="1"/>
  <c r="I1673" i="43"/>
  <c r="I1672" i="43"/>
  <c r="I1671" i="43"/>
  <c r="I1670" i="43" l="1"/>
  <c r="I1669" i="43" l="1"/>
  <c r="I1668" i="43" l="1"/>
  <c r="I1667" i="43" l="1"/>
  <c r="I1666" i="43" l="1"/>
  <c r="I1665" i="43"/>
  <c r="I1664" i="43" l="1"/>
  <c r="I1663" i="43"/>
  <c r="I1662" i="43"/>
  <c r="I1661" i="43"/>
  <c r="I1660" i="43"/>
  <c r="B107" i="17" l="1"/>
  <c r="I1659" i="43"/>
  <c r="I1658" i="43"/>
  <c r="I1657" i="43" l="1"/>
  <c r="I1656" i="43"/>
  <c r="I1655" i="43"/>
  <c r="I1654" i="43"/>
  <c r="I1653" i="43" l="1"/>
  <c r="I1652" i="43" l="1"/>
  <c r="I1651" i="43"/>
  <c r="I1650" i="43" l="1"/>
  <c r="I1649" i="43" l="1"/>
  <c r="I1648" i="43" l="1"/>
  <c r="I1647" i="43"/>
  <c r="I1646" i="43"/>
  <c r="I1645" i="43"/>
  <c r="I1644" i="43"/>
  <c r="I1643" i="43"/>
  <c r="I1642" i="43" l="1"/>
  <c r="I1641" i="43"/>
  <c r="I1637" i="43"/>
  <c r="I1638" i="43"/>
  <c r="I1639" i="43"/>
  <c r="I1640" i="43"/>
  <c r="I1636" i="43" l="1"/>
  <c r="I1635" i="43"/>
  <c r="I1634" i="43" l="1"/>
  <c r="I1633" i="43"/>
  <c r="I1632" i="43"/>
  <c r="I1631" i="43" l="1"/>
  <c r="I1630" i="43" l="1"/>
  <c r="I1629" i="43" l="1"/>
  <c r="I1628" i="43"/>
  <c r="I1623" i="43" l="1"/>
  <c r="G102" i="17" l="1"/>
  <c r="G103" i="17"/>
  <c r="G104" i="17"/>
  <c r="G105" i="17"/>
  <c r="I1627" i="43"/>
  <c r="I1626" i="43" l="1"/>
  <c r="I1625" i="43"/>
  <c r="I1624" i="43"/>
  <c r="I1622" i="43"/>
  <c r="I1621" i="43"/>
  <c r="I1620" i="43"/>
  <c r="I1619" i="43"/>
  <c r="I1618" i="43" l="1"/>
  <c r="I1617" i="43"/>
  <c r="I1616" i="43"/>
  <c r="I1615" i="43" l="1"/>
  <c r="I1614" i="43"/>
  <c r="I1613" i="43" l="1"/>
  <c r="I1612" i="43" l="1"/>
  <c r="V33" i="50" l="1"/>
  <c r="V34" i="50"/>
  <c r="V35" i="50"/>
  <c r="V36" i="50"/>
  <c r="V37" i="50"/>
  <c r="V38" i="50"/>
  <c r="V39" i="50"/>
  <c r="V40" i="50"/>
  <c r="V41" i="50"/>
  <c r="V42" i="50"/>
  <c r="V43" i="50"/>
  <c r="V44" i="50"/>
  <c r="V45" i="50"/>
  <c r="V46" i="50"/>
  <c r="V47" i="50"/>
  <c r="I1611" i="43" l="1"/>
  <c r="I1610" i="43"/>
  <c r="I1609" i="43"/>
  <c r="I1608" i="43" l="1"/>
  <c r="I1607" i="43"/>
  <c r="I1606" i="43"/>
  <c r="I1605" i="43"/>
  <c r="I1604" i="43"/>
  <c r="I1603" i="43"/>
  <c r="I1602" i="43" l="1"/>
  <c r="Q89" i="6" l="1"/>
  <c r="P89" i="6"/>
  <c r="O89" i="6"/>
  <c r="N89" i="6"/>
  <c r="P72" i="6"/>
  <c r="M72" i="6"/>
  <c r="AH4" i="11"/>
  <c r="AD4" i="11"/>
  <c r="AC4" i="11"/>
  <c r="AB4" i="11"/>
  <c r="AF4" i="11" l="1"/>
  <c r="AG4" i="11" s="1"/>
  <c r="AE4" i="11"/>
  <c r="F13" i="17" l="1"/>
  <c r="E13" i="17"/>
  <c r="E28" i="17" s="1"/>
  <c r="D13" i="17"/>
  <c r="C13" i="17"/>
  <c r="C28" i="17" s="1"/>
  <c r="B13" i="17"/>
  <c r="A13" i="17"/>
  <c r="A28" i="17" s="1"/>
  <c r="H4" i="17"/>
  <c r="G4" i="17"/>
  <c r="G26" i="17" s="1"/>
  <c r="F4" i="17"/>
  <c r="E4" i="17"/>
  <c r="E26" i="17" s="1"/>
  <c r="D4" i="17"/>
  <c r="C4" i="17"/>
  <c r="C26" i="17" s="1"/>
  <c r="B4" i="17"/>
  <c r="A4" i="17"/>
  <c r="A34" i="17"/>
  <c r="N13" i="50"/>
  <c r="L13" i="50"/>
  <c r="J13" i="50"/>
  <c r="H13" i="50"/>
  <c r="F13" i="50"/>
  <c r="D13" i="50"/>
  <c r="B13" i="50"/>
  <c r="Z13" i="50"/>
  <c r="Y13" i="50"/>
  <c r="X13" i="50"/>
  <c r="W13" i="50"/>
  <c r="V8" i="50"/>
  <c r="V7" i="50"/>
  <c r="V6" i="50"/>
  <c r="V5" i="50"/>
  <c r="V4" i="50"/>
  <c r="I1601" i="43"/>
  <c r="I1600" i="43"/>
  <c r="B4" i="6" l="1"/>
  <c r="V13" i="50"/>
  <c r="J4" i="6" s="1"/>
  <c r="A26" i="17"/>
  <c r="R13" i="50"/>
  <c r="E4" i="6"/>
  <c r="G4" i="6"/>
  <c r="F4" i="6"/>
  <c r="H4" i="6"/>
  <c r="C4" i="6"/>
  <c r="D4" i="6"/>
  <c r="T13" i="50"/>
  <c r="J27" i="17" s="1"/>
  <c r="I1599" i="43"/>
  <c r="T4" i="11" l="1"/>
  <c r="Q4" i="11"/>
  <c r="R4" i="11"/>
  <c r="P4" i="6"/>
  <c r="J26" i="17"/>
  <c r="U13" i="50" s="1"/>
  <c r="X4" i="11"/>
  <c r="I4" i="6"/>
  <c r="V4" i="11"/>
  <c r="N4" i="6"/>
  <c r="S4" i="11"/>
  <c r="K4" i="6"/>
  <c r="M4" i="6"/>
  <c r="P4" i="11"/>
  <c r="F7" i="16" s="1"/>
  <c r="U4" i="11"/>
  <c r="I1598" i="43"/>
  <c r="AK4" i="11" l="1"/>
  <c r="AJ4" i="11"/>
  <c r="H7" i="16"/>
  <c r="G7" i="16"/>
  <c r="L7" i="16"/>
  <c r="N7" i="16"/>
  <c r="I7" i="16"/>
  <c r="K7" i="16"/>
  <c r="J7" i="16"/>
  <c r="W4" i="11"/>
  <c r="O4" i="6"/>
  <c r="AL4" i="11"/>
  <c r="AI4" i="11"/>
  <c r="I1597" i="43"/>
  <c r="I1596" i="43"/>
  <c r="L4" i="6" l="1"/>
  <c r="Y4" i="11"/>
  <c r="M7" i="16"/>
  <c r="AM4" i="11"/>
  <c r="AN4" i="11" s="1"/>
  <c r="I1595" i="43"/>
  <c r="I1594" i="43"/>
  <c r="I1593" i="43"/>
  <c r="O7" i="16" l="1"/>
  <c r="I1592" i="43"/>
  <c r="I1591" i="43"/>
  <c r="I1590" i="43"/>
  <c r="I1589" i="43"/>
  <c r="I1588" i="43"/>
  <c r="I1587" i="43" l="1"/>
  <c r="I1586" i="43"/>
  <c r="I1585" i="43"/>
  <c r="I1584" i="43"/>
  <c r="I1583" i="43"/>
  <c r="V14" i="50" l="1"/>
  <c r="V15" i="50"/>
  <c r="V16" i="50"/>
  <c r="V21" i="50"/>
  <c r="V22" i="50"/>
  <c r="V23" i="50"/>
  <c r="V24" i="50"/>
  <c r="V25" i="50"/>
  <c r="V26" i="50"/>
  <c r="V27" i="50"/>
  <c r="V28" i="50"/>
  <c r="V29" i="50"/>
  <c r="V30" i="50"/>
  <c r="B31" i="50"/>
  <c r="D31" i="50"/>
  <c r="F31" i="50"/>
  <c r="H31" i="50"/>
  <c r="J31" i="50"/>
  <c r="L31" i="50"/>
  <c r="N31" i="50"/>
  <c r="P31" i="50"/>
  <c r="W31" i="50"/>
  <c r="X31" i="50"/>
  <c r="Y31" i="50"/>
  <c r="Z31" i="50"/>
  <c r="V32" i="50"/>
  <c r="V48" i="50"/>
  <c r="V49" i="50"/>
  <c r="B50" i="50"/>
  <c r="D50" i="50"/>
  <c r="F50" i="50"/>
  <c r="H50" i="50"/>
  <c r="J50" i="50"/>
  <c r="L50" i="50"/>
  <c r="N50" i="50"/>
  <c r="P50" i="50"/>
  <c r="Z50" i="50"/>
  <c r="V51" i="50"/>
  <c r="V52" i="50"/>
  <c r="V53" i="50"/>
  <c r="V54" i="50"/>
  <c r="V55" i="50"/>
  <c r="V56" i="50"/>
  <c r="V57" i="50"/>
  <c r="V58" i="50"/>
  <c r="V59" i="50"/>
  <c r="V66" i="50"/>
  <c r="V67" i="50"/>
  <c r="V68" i="50"/>
  <c r="B69" i="50"/>
  <c r="D69" i="50"/>
  <c r="F69" i="50"/>
  <c r="H69" i="50"/>
  <c r="J69" i="50"/>
  <c r="L69" i="50"/>
  <c r="N69" i="50"/>
  <c r="W69" i="50"/>
  <c r="X69" i="50"/>
  <c r="Y69" i="50"/>
  <c r="Z69" i="50"/>
  <c r="V70" i="50"/>
  <c r="V71" i="50"/>
  <c r="V72" i="50"/>
  <c r="V73" i="50"/>
  <c r="V74" i="50"/>
  <c r="V75" i="50"/>
  <c r="V76" i="50"/>
  <c r="V77" i="50"/>
  <c r="V78" i="50"/>
  <c r="V79" i="50"/>
  <c r="V80" i="50"/>
  <c r="V81" i="50"/>
  <c r="V82" i="50"/>
  <c r="V83" i="50"/>
  <c r="V84" i="50"/>
  <c r="V85" i="50"/>
  <c r="V86" i="50"/>
  <c r="V87" i="50"/>
  <c r="B88" i="50"/>
  <c r="D88" i="50"/>
  <c r="F88" i="50"/>
  <c r="H88" i="50"/>
  <c r="J88" i="50"/>
  <c r="L88" i="50"/>
  <c r="N88" i="50"/>
  <c r="W88" i="50"/>
  <c r="X88" i="50"/>
  <c r="Y88" i="50"/>
  <c r="Z88" i="50"/>
  <c r="V89" i="50"/>
  <c r="V90" i="50"/>
  <c r="V91" i="50"/>
  <c r="V92" i="50"/>
  <c r="V93" i="50"/>
  <c r="V94" i="50"/>
  <c r="V95" i="50"/>
  <c r="V96" i="50"/>
  <c r="V97" i="50"/>
  <c r="V98" i="50"/>
  <c r="V99" i="50"/>
  <c r="V100" i="50"/>
  <c r="V101" i="50"/>
  <c r="V102" i="50"/>
  <c r="V103" i="50"/>
  <c r="V104" i="50"/>
  <c r="V105" i="50"/>
  <c r="V106" i="50"/>
  <c r="V107" i="50"/>
  <c r="V108" i="50"/>
  <c r="V109" i="50"/>
  <c r="D110" i="50"/>
  <c r="F110" i="50"/>
  <c r="H110" i="50"/>
  <c r="J110" i="50"/>
  <c r="L110" i="50"/>
  <c r="W110" i="50"/>
  <c r="X110" i="50"/>
  <c r="Y110" i="50"/>
  <c r="Z110" i="50"/>
  <c r="V111" i="50"/>
  <c r="V119" i="50"/>
  <c r="V120" i="50"/>
  <c r="V121" i="50"/>
  <c r="V122" i="50"/>
  <c r="V123" i="50"/>
  <c r="V124" i="50"/>
  <c r="V125" i="50"/>
  <c r="V126" i="50"/>
  <c r="V127" i="50"/>
  <c r="V128" i="50"/>
  <c r="V129" i="50"/>
  <c r="V130" i="50"/>
  <c r="V131" i="50"/>
  <c r="V132" i="50"/>
  <c r="V133" i="50"/>
  <c r="V134" i="50"/>
  <c r="V135" i="50"/>
  <c r="B136" i="50"/>
  <c r="D136" i="50"/>
  <c r="F136" i="50"/>
  <c r="H136" i="50"/>
  <c r="J136" i="50"/>
  <c r="L136" i="50"/>
  <c r="N136" i="50"/>
  <c r="P136" i="50"/>
  <c r="W136" i="50"/>
  <c r="X136" i="50"/>
  <c r="Y136" i="50"/>
  <c r="Z136" i="50"/>
  <c r="V137" i="50"/>
  <c r="V138" i="50"/>
  <c r="V147" i="50"/>
  <c r="V148" i="50"/>
  <c r="V149" i="50"/>
  <c r="V150" i="50"/>
  <c r="V151" i="50"/>
  <c r="V152" i="50"/>
  <c r="V153" i="50"/>
  <c r="V154" i="50"/>
  <c r="V155" i="50"/>
  <c r="V156" i="50"/>
  <c r="V157" i="50"/>
  <c r="D158" i="50"/>
  <c r="F158" i="50"/>
  <c r="J158" i="50"/>
  <c r="N158" i="50"/>
  <c r="P158" i="50"/>
  <c r="W158" i="50"/>
  <c r="X158" i="50"/>
  <c r="Y158" i="50"/>
  <c r="Z158" i="50"/>
  <c r="V159" i="50"/>
  <c r="V160" i="50"/>
  <c r="V162" i="50"/>
  <c r="V163" i="50"/>
  <c r="V164" i="50"/>
  <c r="V165" i="50"/>
  <c r="V166" i="50"/>
  <c r="V167" i="50"/>
  <c r="V168" i="50"/>
  <c r="V169" i="50"/>
  <c r="V170" i="50"/>
  <c r="V171" i="50"/>
  <c r="V172" i="50"/>
  <c r="V173" i="50"/>
  <c r="B174" i="50"/>
  <c r="D174" i="50"/>
  <c r="F174" i="50"/>
  <c r="H174" i="50"/>
  <c r="J174" i="50"/>
  <c r="L174" i="50"/>
  <c r="N174" i="50"/>
  <c r="P174" i="50"/>
  <c r="W174" i="50"/>
  <c r="X174" i="50"/>
  <c r="Y174" i="50"/>
  <c r="Z174" i="50"/>
  <c r="V176" i="50"/>
  <c r="V177" i="50"/>
  <c r="V178" i="50"/>
  <c r="V179" i="50"/>
  <c r="V180" i="50"/>
  <c r="V181" i="50"/>
  <c r="V182" i="50"/>
  <c r="V183" i="50"/>
  <c r="V184" i="50"/>
  <c r="V185" i="50"/>
  <c r="V186" i="50"/>
  <c r="V187" i="50"/>
  <c r="V188" i="50"/>
  <c r="V189" i="50"/>
  <c r="V190" i="50"/>
  <c r="V191" i="50"/>
  <c r="B192" i="50"/>
  <c r="L192" i="50"/>
  <c r="W192" i="50"/>
  <c r="X192" i="50"/>
  <c r="Y192" i="50"/>
  <c r="Z192" i="50"/>
  <c r="O4142" i="43" l="1"/>
  <c r="M4043" i="43"/>
  <c r="M4139" i="43"/>
  <c r="M4142" i="43"/>
  <c r="M4140" i="43"/>
  <c r="M4141" i="43"/>
  <c r="L4140" i="43"/>
  <c r="M4138" i="43"/>
  <c r="Q4140" i="43"/>
  <c r="Q4137" i="43"/>
  <c r="O4139" i="43"/>
  <c r="L4133" i="43"/>
  <c r="K4135" i="43"/>
  <c r="N4136" i="43"/>
  <c r="M4137" i="43"/>
  <c r="M4136" i="43"/>
  <c r="M4135" i="43"/>
  <c r="M4134" i="43"/>
  <c r="M4133" i="43"/>
  <c r="M4132" i="43"/>
  <c r="M4130" i="43"/>
  <c r="M4131" i="43"/>
  <c r="K4131" i="43"/>
  <c r="M4110" i="43"/>
  <c r="M4128" i="43"/>
  <c r="M4126" i="43"/>
  <c r="M4117" i="43"/>
  <c r="M4112" i="43"/>
  <c r="M4127" i="43"/>
  <c r="M4121" i="43"/>
  <c r="M4120" i="43"/>
  <c r="M4125" i="43"/>
  <c r="M4113" i="43"/>
  <c r="M4122" i="43"/>
  <c r="M4115" i="43"/>
  <c r="M4124" i="43"/>
  <c r="M4129" i="43"/>
  <c r="M4116" i="43"/>
  <c r="M4109" i="43"/>
  <c r="M4114" i="43"/>
  <c r="M4123" i="43"/>
  <c r="M4111" i="43"/>
  <c r="M4108" i="43"/>
  <c r="M4119" i="43"/>
  <c r="M4118" i="43"/>
  <c r="N4122" i="43"/>
  <c r="R4129" i="43"/>
  <c r="R4112" i="43"/>
  <c r="R4101" i="43"/>
  <c r="R4097" i="43"/>
  <c r="L4107" i="43"/>
  <c r="L4089" i="43"/>
  <c r="K4096" i="43"/>
  <c r="K4070" i="43"/>
  <c r="K4095" i="43"/>
  <c r="P4127" i="43"/>
  <c r="L4106" i="43"/>
  <c r="L4126" i="43"/>
  <c r="O4121" i="43"/>
  <c r="K4123" i="43"/>
  <c r="N4118" i="43"/>
  <c r="N4116" i="43"/>
  <c r="N4115" i="43"/>
  <c r="Q4111" i="43"/>
  <c r="N4108" i="43"/>
  <c r="R4099" i="43"/>
  <c r="N4104" i="43"/>
  <c r="N4105" i="43"/>
  <c r="M4107" i="43"/>
  <c r="M4104" i="43"/>
  <c r="M4101" i="43"/>
  <c r="M4105" i="43"/>
  <c r="M4102" i="43"/>
  <c r="M4106" i="43"/>
  <c r="M4103" i="43"/>
  <c r="L4098" i="43"/>
  <c r="L4091" i="43"/>
  <c r="M4100" i="43"/>
  <c r="M4096" i="43"/>
  <c r="M4092" i="43"/>
  <c r="M4099" i="43"/>
  <c r="M4095" i="43"/>
  <c r="M4098" i="43"/>
  <c r="M4094" i="43"/>
  <c r="M4097" i="43"/>
  <c r="M4093" i="43"/>
  <c r="N4086" i="43"/>
  <c r="K4092" i="43"/>
  <c r="M4091" i="43"/>
  <c r="M4090" i="43"/>
  <c r="M4089" i="43"/>
  <c r="M4088" i="43"/>
  <c r="M4087" i="43"/>
  <c r="M4086" i="43"/>
  <c r="M4081" i="43"/>
  <c r="M4077" i="43"/>
  <c r="M4074" i="43"/>
  <c r="M4085" i="43"/>
  <c r="M4082" i="43"/>
  <c r="M4078" i="43"/>
  <c r="M4072" i="43"/>
  <c r="M4084" i="43"/>
  <c r="M4080" i="43"/>
  <c r="M4076" i="43"/>
  <c r="M4073" i="43"/>
  <c r="M4083" i="43"/>
  <c r="M4079" i="43"/>
  <c r="M4075" i="43"/>
  <c r="N4079" i="43"/>
  <c r="L4069" i="43"/>
  <c r="M4070" i="43"/>
  <c r="M4071" i="43"/>
  <c r="M4069" i="43"/>
  <c r="M4068" i="43"/>
  <c r="M4067" i="43"/>
  <c r="L4066" i="43"/>
  <c r="M4066" i="43"/>
  <c r="M4064" i="43"/>
  <c r="M4065" i="43"/>
  <c r="M4062" i="43"/>
  <c r="M4063" i="43"/>
  <c r="Q4060" i="43"/>
  <c r="M4060" i="43"/>
  <c r="M4061" i="43"/>
  <c r="M4059" i="43"/>
  <c r="M4058" i="43"/>
  <c r="M4054" i="43"/>
  <c r="M4057" i="43"/>
  <c r="M4053" i="43"/>
  <c r="M4056" i="43"/>
  <c r="M4055" i="43"/>
  <c r="N4061" i="43"/>
  <c r="L4051" i="43"/>
  <c r="L4044" i="43"/>
  <c r="M4052" i="43"/>
  <c r="M4049" i="43"/>
  <c r="M4051" i="43"/>
  <c r="M4050" i="43"/>
  <c r="M4048" i="43"/>
  <c r="M4046" i="43"/>
  <c r="M4047" i="43"/>
  <c r="M4045" i="43"/>
  <c r="M4044" i="43"/>
  <c r="L4046" i="43"/>
  <c r="P4043" i="43"/>
  <c r="M4042" i="43"/>
  <c r="M4041" i="43"/>
  <c r="M4040" i="43"/>
  <c r="P4009" i="43"/>
  <c r="N4036" i="43"/>
  <c r="R4037" i="43"/>
  <c r="M4039" i="43"/>
  <c r="M4036" i="43"/>
  <c r="M4037" i="43"/>
  <c r="M4038" i="43"/>
  <c r="M4034" i="43"/>
  <c r="M4035" i="43"/>
  <c r="M4033" i="43"/>
  <c r="M4032" i="43"/>
  <c r="M4031" i="43"/>
  <c r="M4030" i="43"/>
  <c r="M4028" i="43"/>
  <c r="M4026" i="43"/>
  <c r="M4029" i="43"/>
  <c r="M4027" i="43"/>
  <c r="L4032" i="43"/>
  <c r="P4022" i="43"/>
  <c r="N4033" i="43"/>
  <c r="M4025" i="43"/>
  <c r="M4024" i="43"/>
  <c r="M4021" i="43"/>
  <c r="M4023" i="43"/>
  <c r="M4022" i="43"/>
  <c r="M4020" i="43"/>
  <c r="M4019" i="43"/>
  <c r="M4018" i="43"/>
  <c r="M4016" i="43"/>
  <c r="M4017" i="43"/>
  <c r="M4015" i="43"/>
  <c r="M4011" i="43"/>
  <c r="M4012" i="43"/>
  <c r="M4013" i="43"/>
  <c r="M4014" i="43"/>
  <c r="M4010" i="43"/>
  <c r="L4021" i="43"/>
  <c r="P4005" i="43"/>
  <c r="M4009" i="43"/>
  <c r="M4008" i="43"/>
  <c r="M4006" i="43"/>
  <c r="M4007" i="43"/>
  <c r="M4004" i="43"/>
  <c r="M4005" i="43"/>
  <c r="M4003" i="43"/>
  <c r="M4002" i="43"/>
  <c r="M4001" i="43"/>
  <c r="M4000" i="43"/>
  <c r="M3999" i="43"/>
  <c r="M3998" i="43"/>
  <c r="M3997" i="43"/>
  <c r="M3996" i="43"/>
  <c r="M3995" i="43"/>
  <c r="M3994" i="43"/>
  <c r="M3993" i="43"/>
  <c r="M3991" i="43"/>
  <c r="M3992" i="43"/>
  <c r="M3989" i="43"/>
  <c r="M3990" i="43"/>
  <c r="M3988" i="43"/>
  <c r="M3987" i="43"/>
  <c r="M3986" i="43"/>
  <c r="M3985" i="43"/>
  <c r="M3984" i="43"/>
  <c r="M3982" i="43"/>
  <c r="M3983" i="43"/>
  <c r="N3985" i="43"/>
  <c r="M3981" i="43"/>
  <c r="M3980" i="43"/>
  <c r="M3978" i="43"/>
  <c r="M3979" i="43"/>
  <c r="M3977" i="43"/>
  <c r="M3972" i="43"/>
  <c r="M3958" i="43"/>
  <c r="M3974" i="43"/>
  <c r="M3969" i="43"/>
  <c r="M3968" i="43"/>
  <c r="M3964" i="43"/>
  <c r="M3963" i="43"/>
  <c r="M3966" i="43"/>
  <c r="M3952" i="43"/>
  <c r="M3962" i="43"/>
  <c r="M3971" i="43"/>
  <c r="M3961" i="43"/>
  <c r="M3953" i="43"/>
  <c r="M3960" i="43"/>
  <c r="M3970" i="43"/>
  <c r="M3967" i="43"/>
  <c r="M3965" i="43"/>
  <c r="M3973" i="43"/>
  <c r="M3975" i="43"/>
  <c r="M3954" i="43"/>
  <c r="M3956" i="43"/>
  <c r="M3957" i="43"/>
  <c r="M3976" i="43"/>
  <c r="M3955" i="43"/>
  <c r="M3959" i="43"/>
  <c r="P3919" i="43"/>
  <c r="R3972" i="43"/>
  <c r="L3954" i="43"/>
  <c r="N3949" i="43"/>
  <c r="L3933" i="43"/>
  <c r="M3951" i="43"/>
  <c r="M3945" i="43"/>
  <c r="M3949" i="43"/>
  <c r="M3948" i="43"/>
  <c r="M3947" i="43"/>
  <c r="M3946" i="43"/>
  <c r="M3943" i="43"/>
  <c r="M3950" i="43"/>
  <c r="M3944" i="43"/>
  <c r="M3934" i="43"/>
  <c r="M3939" i="43"/>
  <c r="M3941" i="43"/>
  <c r="M3936" i="43"/>
  <c r="M3942" i="43"/>
  <c r="M3937" i="43"/>
  <c r="M3940" i="43"/>
  <c r="M3938" i="43"/>
  <c r="M3935" i="43"/>
  <c r="M3933" i="43"/>
  <c r="M3925" i="43"/>
  <c r="M3923" i="43"/>
  <c r="M3929" i="43"/>
  <c r="M3931" i="43"/>
  <c r="M3918" i="43"/>
  <c r="M3927" i="43"/>
  <c r="M3922" i="43"/>
  <c r="M3924" i="43"/>
  <c r="M3932" i="43"/>
  <c r="M3930" i="43"/>
  <c r="M3928" i="43"/>
  <c r="M3926" i="43"/>
  <c r="Q3924" i="43"/>
  <c r="M3921" i="43"/>
  <c r="M3920" i="43"/>
  <c r="M3919" i="43"/>
  <c r="M3917" i="43"/>
  <c r="M3916" i="43"/>
  <c r="M3915" i="43"/>
  <c r="M3914" i="43"/>
  <c r="M3913" i="43"/>
  <c r="M3905" i="43"/>
  <c r="M3907" i="43"/>
  <c r="M3904" i="43"/>
  <c r="M3908" i="43"/>
  <c r="M3912" i="43"/>
  <c r="M3909" i="43"/>
  <c r="M3906" i="43"/>
  <c r="M3910" i="43"/>
  <c r="M3903" i="43"/>
  <c r="M3911" i="43"/>
  <c r="M3900" i="43"/>
  <c r="M3899" i="43"/>
  <c r="M3902" i="43"/>
  <c r="M3901" i="43"/>
  <c r="M3896" i="43"/>
  <c r="M3881" i="43"/>
  <c r="M3884" i="43"/>
  <c r="M3892" i="43"/>
  <c r="M3889" i="43"/>
  <c r="M3893" i="43"/>
  <c r="M3885" i="43"/>
  <c r="M3887" i="43"/>
  <c r="M3888" i="43"/>
  <c r="M3895" i="43"/>
  <c r="M3890" i="43"/>
  <c r="M3886" i="43"/>
  <c r="M3894" i="43"/>
  <c r="M3898" i="43"/>
  <c r="M3882" i="43"/>
  <c r="M3897" i="43"/>
  <c r="M3883" i="43"/>
  <c r="M3891" i="43"/>
  <c r="M3880" i="43"/>
  <c r="M3879" i="43"/>
  <c r="M3878" i="43"/>
  <c r="M3877" i="43"/>
  <c r="M3876" i="43"/>
  <c r="M3875" i="43"/>
  <c r="M3867" i="43"/>
  <c r="M3864" i="43"/>
  <c r="M3870" i="43"/>
  <c r="M3863" i="43"/>
  <c r="M3866" i="43"/>
  <c r="M3874" i="43"/>
  <c r="M3868" i="43"/>
  <c r="M3873" i="43"/>
  <c r="M3865" i="43"/>
  <c r="M3871" i="43"/>
  <c r="M3869" i="43"/>
  <c r="M3872" i="43"/>
  <c r="Q3866" i="43"/>
  <c r="M3862" i="43"/>
  <c r="M3861" i="43"/>
  <c r="M3859" i="43"/>
  <c r="M3860" i="43"/>
  <c r="M3857" i="43"/>
  <c r="M3858" i="43"/>
  <c r="M3855" i="43"/>
  <c r="M3852" i="43"/>
  <c r="M3853" i="43"/>
  <c r="M3854" i="43"/>
  <c r="M3856" i="43"/>
  <c r="M3851" i="43"/>
  <c r="M3850" i="43"/>
  <c r="M3847" i="43"/>
  <c r="M3848" i="43"/>
  <c r="M3849" i="43"/>
  <c r="M3846" i="43"/>
  <c r="M3845" i="43"/>
  <c r="M3844" i="43"/>
  <c r="M3843" i="43"/>
  <c r="M3838" i="43"/>
  <c r="M3836" i="43"/>
  <c r="M3830" i="43"/>
  <c r="M3824" i="43"/>
  <c r="M3842" i="43"/>
  <c r="M3835" i="43"/>
  <c r="M3829" i="43"/>
  <c r="M3826" i="43"/>
  <c r="M3840" i="43"/>
  <c r="M3834" i="43"/>
  <c r="M3828" i="43"/>
  <c r="M3825" i="43"/>
  <c r="M3841" i="43"/>
  <c r="M3833" i="43"/>
  <c r="M3827" i="43"/>
  <c r="M3839" i="43"/>
  <c r="M3832" i="43"/>
  <c r="M3837" i="43"/>
  <c r="M3831" i="43"/>
  <c r="M3823" i="43"/>
  <c r="M3822" i="43"/>
  <c r="M3821" i="43"/>
  <c r="M3820" i="43"/>
  <c r="M3819" i="43"/>
  <c r="M3812" i="43"/>
  <c r="M3805" i="43"/>
  <c r="M3818" i="43"/>
  <c r="M3811" i="43"/>
  <c r="M3814" i="43"/>
  <c r="M3810" i="43"/>
  <c r="M3817" i="43"/>
  <c r="M3809" i="43"/>
  <c r="M3816" i="43"/>
  <c r="M3808" i="43"/>
  <c r="M3815" i="43"/>
  <c r="M3807" i="43"/>
  <c r="M3813" i="43"/>
  <c r="M3806" i="43"/>
  <c r="R3811" i="43"/>
  <c r="M3803" i="43"/>
  <c r="M3795" i="43"/>
  <c r="M3787" i="43"/>
  <c r="M3779" i="43"/>
  <c r="M3773" i="43"/>
  <c r="M3763" i="43"/>
  <c r="M3801" i="43"/>
  <c r="M3794" i="43"/>
  <c r="M3786" i="43"/>
  <c r="M3778" i="43"/>
  <c r="M3770" i="43"/>
  <c r="M3790" i="43"/>
  <c r="M3802" i="43"/>
  <c r="M3793" i="43"/>
  <c r="M3784" i="43"/>
  <c r="M3777" i="43"/>
  <c r="M3767" i="43"/>
  <c r="M3783" i="43"/>
  <c r="M3780" i="43"/>
  <c r="M3800" i="43"/>
  <c r="M3792" i="43"/>
  <c r="M3785" i="43"/>
  <c r="M3775" i="43"/>
  <c r="M3768" i="43"/>
  <c r="M3766" i="43"/>
  <c r="M3797" i="43"/>
  <c r="M3764" i="43"/>
  <c r="M3799" i="43"/>
  <c r="M3791" i="43"/>
  <c r="M3782" i="43"/>
  <c r="M3776" i="43"/>
  <c r="M3769" i="43"/>
  <c r="M3798" i="43"/>
  <c r="M3789" i="43"/>
  <c r="M3774" i="43"/>
  <c r="M3771" i="43"/>
  <c r="M3804" i="43"/>
  <c r="M3796" i="43"/>
  <c r="M3788" i="43"/>
  <c r="M3781" i="43"/>
  <c r="M3772" i="43"/>
  <c r="M3765" i="43"/>
  <c r="M3748" i="43"/>
  <c r="M3755" i="43"/>
  <c r="M3753" i="43"/>
  <c r="M3749" i="43"/>
  <c r="M3756" i="43"/>
  <c r="M3747" i="43"/>
  <c r="M3760" i="43"/>
  <c r="M3759" i="43"/>
  <c r="M3758" i="43"/>
  <c r="M3751" i="43"/>
  <c r="M3746" i="43"/>
  <c r="M3745" i="43"/>
  <c r="M3742" i="43"/>
  <c r="M3750" i="43"/>
  <c r="M3744" i="43"/>
  <c r="M3743" i="43"/>
  <c r="M3741" i="43"/>
  <c r="M3752" i="43"/>
  <c r="M3762" i="43"/>
  <c r="M3757" i="43"/>
  <c r="M3754" i="43"/>
  <c r="M3761" i="43"/>
  <c r="M3737" i="43"/>
  <c r="M3735" i="43"/>
  <c r="M3738" i="43"/>
  <c r="M3734" i="43"/>
  <c r="M3740" i="43"/>
  <c r="M3736" i="43"/>
  <c r="M3739" i="43"/>
  <c r="R3726" i="43"/>
  <c r="M3731" i="43"/>
  <c r="M3725" i="43"/>
  <c r="M3721" i="43"/>
  <c r="M3732" i="43"/>
  <c r="M3722" i="43"/>
  <c r="M3726" i="43"/>
  <c r="M3733" i="43"/>
  <c r="M3724" i="43"/>
  <c r="M3730" i="43"/>
  <c r="M3723" i="43"/>
  <c r="M3728" i="43"/>
  <c r="M3729" i="43"/>
  <c r="M3720" i="43"/>
  <c r="M3727" i="43"/>
  <c r="M3713" i="43"/>
  <c r="M3707" i="43"/>
  <c r="M3696" i="43"/>
  <c r="M3714" i="43"/>
  <c r="M3699" i="43"/>
  <c r="M3706" i="43"/>
  <c r="M3716" i="43"/>
  <c r="M3711" i="43"/>
  <c r="M3704" i="43"/>
  <c r="M3695" i="43"/>
  <c r="M3709" i="43"/>
  <c r="M3712" i="43"/>
  <c r="M3719" i="43"/>
  <c r="M3710" i="43"/>
  <c r="M3698" i="43"/>
  <c r="M3715" i="43"/>
  <c r="M3705" i="43"/>
  <c r="M3697" i="43"/>
  <c r="M3700" i="43"/>
  <c r="M3717" i="43"/>
  <c r="M3708" i="43"/>
  <c r="M3702" i="43"/>
  <c r="M3701" i="43"/>
  <c r="M3718" i="43"/>
  <c r="M3703" i="43"/>
  <c r="M3682" i="43"/>
  <c r="M3688" i="43"/>
  <c r="M3687" i="43"/>
  <c r="M3694" i="43"/>
  <c r="M3686" i="43"/>
  <c r="M3692" i="43"/>
  <c r="M3685" i="43"/>
  <c r="M3691" i="43"/>
  <c r="M3684" i="43"/>
  <c r="M3693" i="43"/>
  <c r="M3683" i="43"/>
  <c r="M3690" i="43"/>
  <c r="M3689" i="43"/>
  <c r="M3680" i="43"/>
  <c r="M3679" i="43"/>
  <c r="M3681" i="43"/>
  <c r="M3678" i="43"/>
  <c r="M3677" i="43"/>
  <c r="B252" i="50"/>
  <c r="K4141" i="43" s="1"/>
  <c r="P252" i="50"/>
  <c r="M3665" i="43"/>
  <c r="M3672" i="43"/>
  <c r="M3662" i="43"/>
  <c r="M3664" i="43"/>
  <c r="M3676" i="43"/>
  <c r="M3674" i="43"/>
  <c r="M3669" i="43"/>
  <c r="M3666" i="43"/>
  <c r="M3663" i="43"/>
  <c r="M3675" i="43"/>
  <c r="M3671" i="43"/>
  <c r="M3668" i="43"/>
  <c r="M3673" i="43"/>
  <c r="M3670" i="43"/>
  <c r="M3667" i="43"/>
  <c r="D252" i="50"/>
  <c r="L4132" i="43" s="1"/>
  <c r="M3661" i="43"/>
  <c r="M3659" i="43"/>
  <c r="M3660" i="43"/>
  <c r="M3658" i="43"/>
  <c r="M3657" i="43"/>
  <c r="M3656" i="43"/>
  <c r="M3655" i="43"/>
  <c r="M3654" i="43"/>
  <c r="M3652" i="43"/>
  <c r="M3651" i="43"/>
  <c r="M3653" i="43"/>
  <c r="M3650" i="43"/>
  <c r="M3649" i="43"/>
  <c r="M3648" i="43"/>
  <c r="F252" i="50"/>
  <c r="H26" i="16" s="1"/>
  <c r="N252" i="50"/>
  <c r="Q4138" i="43" s="1"/>
  <c r="L252" i="50"/>
  <c r="P4128" i="43" s="1"/>
  <c r="J252" i="50"/>
  <c r="O4135" i="43" s="1"/>
  <c r="T110" i="50"/>
  <c r="P18" i="16"/>
  <c r="H252" i="50"/>
  <c r="M3647" i="43"/>
  <c r="M3646" i="43"/>
  <c r="M3645" i="43"/>
  <c r="M3644" i="43"/>
  <c r="M3643" i="43"/>
  <c r="M3642" i="43"/>
  <c r="M3641" i="43"/>
  <c r="M3640" i="43"/>
  <c r="M3639" i="43"/>
  <c r="M3638" i="43"/>
  <c r="M3636" i="43"/>
  <c r="M3637" i="43"/>
  <c r="M3635" i="43"/>
  <c r="M3634" i="43"/>
  <c r="M3633" i="43"/>
  <c r="M3632" i="43"/>
  <c r="M3631" i="43"/>
  <c r="M3630" i="43"/>
  <c r="M3628" i="43"/>
  <c r="M3629" i="43"/>
  <c r="M3626" i="43"/>
  <c r="M3627" i="43"/>
  <c r="M3625" i="43"/>
  <c r="M3624" i="43"/>
  <c r="M3622" i="43"/>
  <c r="M3623" i="43"/>
  <c r="M3620" i="43"/>
  <c r="M3621" i="43"/>
  <c r="M3619" i="43"/>
  <c r="M3617" i="43"/>
  <c r="M3618" i="43"/>
  <c r="M3616" i="43"/>
  <c r="M3615" i="43"/>
  <c r="M3614" i="43"/>
  <c r="M3613" i="43"/>
  <c r="M3612" i="43"/>
  <c r="M3611" i="43"/>
  <c r="M3610" i="43"/>
  <c r="M3608" i="43"/>
  <c r="M3601" i="43"/>
  <c r="M3593" i="43"/>
  <c r="M3609" i="43"/>
  <c r="M3600" i="43"/>
  <c r="M3592" i="43"/>
  <c r="M3587" i="43"/>
  <c r="M3607" i="43"/>
  <c r="M3599" i="43"/>
  <c r="M3591" i="43"/>
  <c r="M3603" i="43"/>
  <c r="M3602" i="43"/>
  <c r="M3606" i="43"/>
  <c r="M3598" i="43"/>
  <c r="M3590" i="43"/>
  <c r="M3596" i="43"/>
  <c r="M3605" i="43"/>
  <c r="M3597" i="43"/>
  <c r="M3589" i="43"/>
  <c r="M3604" i="43"/>
  <c r="M3594" i="43"/>
  <c r="M3588" i="43"/>
  <c r="M3595" i="43"/>
  <c r="M3568" i="43"/>
  <c r="M3586" i="43"/>
  <c r="M3581" i="43"/>
  <c r="M3574" i="43"/>
  <c r="M3573" i="43"/>
  <c r="M3585" i="43"/>
  <c r="M3579" i="43"/>
  <c r="M3572" i="43"/>
  <c r="M3578" i="43"/>
  <c r="M3582" i="43"/>
  <c r="M3583" i="43"/>
  <c r="M3577" i="43"/>
  <c r="M3571" i="43"/>
  <c r="M3584" i="43"/>
  <c r="M3576" i="43"/>
  <c r="M3570" i="43"/>
  <c r="M3580" i="43"/>
  <c r="M3575" i="43"/>
  <c r="M3569" i="43"/>
  <c r="M3562" i="43"/>
  <c r="M3561" i="43"/>
  <c r="M3565" i="43"/>
  <c r="M3564" i="43"/>
  <c r="M3563" i="43"/>
  <c r="M3567" i="43"/>
  <c r="M3560" i="43"/>
  <c r="M3566" i="43"/>
  <c r="M3558" i="43"/>
  <c r="M3559" i="43"/>
  <c r="M3557" i="43"/>
  <c r="M3556" i="43"/>
  <c r="M3555" i="43"/>
  <c r="M3543" i="43"/>
  <c r="M3554" i="43"/>
  <c r="M3553" i="43"/>
  <c r="M3552" i="43"/>
  <c r="M3551" i="43"/>
  <c r="M3550" i="43"/>
  <c r="M3548" i="43"/>
  <c r="M3549" i="43"/>
  <c r="M3547" i="43"/>
  <c r="M3546" i="43"/>
  <c r="M3545" i="43"/>
  <c r="M3544" i="43"/>
  <c r="M3542" i="43"/>
  <c r="M3541" i="43"/>
  <c r="M3540" i="43"/>
  <c r="M3536" i="43"/>
  <c r="M3539" i="43"/>
  <c r="M3535" i="43"/>
  <c r="M3538" i="43"/>
  <c r="M3537" i="43"/>
  <c r="M3534" i="43"/>
  <c r="M3532" i="43"/>
  <c r="M3531" i="43"/>
  <c r="M3533" i="43"/>
  <c r="M3529" i="43"/>
  <c r="M3524" i="43"/>
  <c r="M3530" i="43"/>
  <c r="M3523" i="43"/>
  <c r="M3525" i="43"/>
  <c r="M3526" i="43"/>
  <c r="M3527" i="43"/>
  <c r="M3528" i="43"/>
  <c r="M3522" i="43"/>
  <c r="M3521" i="43"/>
  <c r="M3520" i="43"/>
  <c r="M3519" i="43"/>
  <c r="M3518" i="43"/>
  <c r="M3517" i="43"/>
  <c r="M3516" i="43"/>
  <c r="M3515" i="43"/>
  <c r="M3514" i="43"/>
  <c r="M3513" i="43"/>
  <c r="M3512" i="43"/>
  <c r="M3511" i="43"/>
  <c r="M3507" i="43"/>
  <c r="M3509" i="43"/>
  <c r="M3508" i="43"/>
  <c r="M3510" i="43"/>
  <c r="M3506" i="43"/>
  <c r="M3504" i="43"/>
  <c r="M3503" i="43"/>
  <c r="M3505" i="43"/>
  <c r="M3502" i="43"/>
  <c r="M3499" i="43"/>
  <c r="M3501" i="43"/>
  <c r="M3500" i="43"/>
  <c r="M3498" i="43"/>
  <c r="M3496" i="43"/>
  <c r="M3497" i="43"/>
  <c r="M3495" i="43"/>
  <c r="M3494" i="43"/>
  <c r="M3493" i="43"/>
  <c r="M3492" i="43"/>
  <c r="M3488" i="43"/>
  <c r="M3436" i="43"/>
  <c r="M3490" i="43"/>
  <c r="M3489" i="43"/>
  <c r="M3491" i="43"/>
  <c r="M3485" i="43"/>
  <c r="M3486" i="43"/>
  <c r="M3487" i="43"/>
  <c r="M3484" i="43"/>
  <c r="M3483" i="43"/>
  <c r="M3482" i="43"/>
  <c r="M3480" i="43"/>
  <c r="M3481" i="43"/>
  <c r="M3479" i="43"/>
  <c r="M3478" i="43"/>
  <c r="M3477" i="43"/>
  <c r="M3474" i="43"/>
  <c r="M3476" i="43"/>
  <c r="M3475" i="43"/>
  <c r="M3473" i="43"/>
  <c r="M3472" i="43"/>
  <c r="M3471" i="43"/>
  <c r="M3469" i="43"/>
  <c r="M3470" i="43"/>
  <c r="M3466" i="43"/>
  <c r="M3468" i="43"/>
  <c r="M3467" i="43"/>
  <c r="M3465" i="43"/>
  <c r="M3464" i="43"/>
  <c r="M3463" i="43"/>
  <c r="M3462" i="43"/>
  <c r="M3461" i="43"/>
  <c r="M3460" i="43"/>
  <c r="M3458" i="43"/>
  <c r="M3459" i="43"/>
  <c r="M3457" i="43"/>
  <c r="M3456" i="43"/>
  <c r="M3455" i="43"/>
  <c r="M3447" i="43"/>
  <c r="M3439" i="43"/>
  <c r="M3454" i="43"/>
  <c r="M3446" i="43"/>
  <c r="M3440" i="43"/>
  <c r="M3453" i="43"/>
  <c r="M3444" i="43"/>
  <c r="M3432" i="43"/>
  <c r="M3445" i="43"/>
  <c r="M3452" i="43"/>
  <c r="M3443" i="43"/>
  <c r="M3437" i="43"/>
  <c r="M3451" i="43"/>
  <c r="M3449" i="43"/>
  <c r="M3442" i="43"/>
  <c r="M3450" i="43"/>
  <c r="M3441" i="43"/>
  <c r="M3448" i="43"/>
  <c r="M3438" i="43"/>
  <c r="M3418" i="43"/>
  <c r="M3429" i="43"/>
  <c r="M3427" i="43"/>
  <c r="M3435" i="43"/>
  <c r="M3428" i="43"/>
  <c r="M3430" i="43"/>
  <c r="M3433" i="43"/>
  <c r="M3431" i="43"/>
  <c r="M3434" i="43"/>
  <c r="M3426" i="43"/>
  <c r="M3425" i="43"/>
  <c r="M3424" i="43"/>
  <c r="M3423" i="43"/>
  <c r="M3421" i="43"/>
  <c r="M3422" i="43"/>
  <c r="M3420" i="43"/>
  <c r="M3419" i="43"/>
  <c r="M3415" i="43"/>
  <c r="M3416" i="43"/>
  <c r="M3417" i="43"/>
  <c r="M3414" i="43"/>
  <c r="M3413" i="43"/>
  <c r="M3412" i="43"/>
  <c r="M3411" i="43"/>
  <c r="M3410" i="43"/>
  <c r="M3407" i="43"/>
  <c r="M3406" i="43"/>
  <c r="M3409" i="43"/>
  <c r="M3408" i="43"/>
  <c r="M3405" i="43"/>
  <c r="M3404" i="43"/>
  <c r="M3403" i="43"/>
  <c r="M3395" i="43"/>
  <c r="M3397" i="43"/>
  <c r="M3402" i="43"/>
  <c r="M3394" i="43"/>
  <c r="M3400" i="43"/>
  <c r="M3393" i="43"/>
  <c r="M3401" i="43"/>
  <c r="M3398" i="43"/>
  <c r="M3399" i="43"/>
  <c r="M3396" i="43"/>
  <c r="M3390" i="43"/>
  <c r="M3391" i="43"/>
  <c r="M3392" i="43"/>
  <c r="M3371" i="43"/>
  <c r="M3389" i="43"/>
  <c r="M3387" i="43"/>
  <c r="M3388" i="43"/>
  <c r="M3386" i="43"/>
  <c r="M3385" i="43"/>
  <c r="M3384" i="43"/>
  <c r="M3383" i="43"/>
  <c r="M3382" i="43"/>
  <c r="M3381" i="43"/>
  <c r="M3380" i="43"/>
  <c r="M3379" i="43"/>
  <c r="M3377" i="43"/>
  <c r="M3376" i="43"/>
  <c r="M3375" i="43"/>
  <c r="M3374" i="43"/>
  <c r="M3373" i="43"/>
  <c r="M3372" i="43"/>
  <c r="M3378" i="43"/>
  <c r="M3368" i="43"/>
  <c r="M3370" i="43"/>
  <c r="M3369" i="43"/>
  <c r="M3365" i="43"/>
  <c r="M3366" i="43"/>
  <c r="M3367" i="43"/>
  <c r="M3364" i="43"/>
  <c r="M3363" i="43"/>
  <c r="M3362" i="43"/>
  <c r="M3361" i="43"/>
  <c r="M3360" i="43"/>
  <c r="M3359" i="43"/>
  <c r="M3358" i="43"/>
  <c r="M3357" i="43"/>
  <c r="M3356" i="43"/>
  <c r="M3353" i="43"/>
  <c r="M3350" i="43"/>
  <c r="M3354" i="43"/>
  <c r="M3355" i="43"/>
  <c r="M3352" i="43"/>
  <c r="M3351" i="43"/>
  <c r="M3349" i="43"/>
  <c r="M3348" i="43"/>
  <c r="M3347" i="43"/>
  <c r="M3346" i="43"/>
  <c r="M3345" i="43"/>
  <c r="M3344" i="43"/>
  <c r="M3343" i="43"/>
  <c r="M3342" i="43"/>
  <c r="M3341" i="43"/>
  <c r="M3340" i="43"/>
  <c r="M3335" i="43"/>
  <c r="M3336" i="43"/>
  <c r="M3337" i="43"/>
  <c r="M3338" i="43"/>
  <c r="M3339" i="43"/>
  <c r="M3334" i="43"/>
  <c r="M3333" i="43"/>
  <c r="M3332" i="43"/>
  <c r="M3331" i="43"/>
  <c r="M3330" i="43"/>
  <c r="M3329" i="43"/>
  <c r="M3328" i="43"/>
  <c r="M3327" i="43"/>
  <c r="M3326" i="43"/>
  <c r="M3321" i="43"/>
  <c r="M3324" i="43"/>
  <c r="M3322" i="43"/>
  <c r="M3319" i="43"/>
  <c r="M3320" i="43"/>
  <c r="M3325" i="43"/>
  <c r="M3323" i="43"/>
  <c r="M3317" i="43"/>
  <c r="M3318" i="43"/>
  <c r="M3316" i="43"/>
  <c r="M3315" i="43"/>
  <c r="M3314" i="43"/>
  <c r="M3313" i="43"/>
  <c r="M3312" i="43"/>
  <c r="M3311" i="43"/>
  <c r="M3310" i="43"/>
  <c r="M3309" i="43"/>
  <c r="M3308" i="43"/>
  <c r="M3306" i="43"/>
  <c r="M3307" i="43"/>
  <c r="R110" i="50"/>
  <c r="M3305" i="43"/>
  <c r="R136" i="50"/>
  <c r="M3302" i="43"/>
  <c r="M3304" i="43"/>
  <c r="M3303" i="43"/>
  <c r="M3300" i="43"/>
  <c r="M3301" i="43"/>
  <c r="M3294" i="43"/>
  <c r="P7" i="16"/>
  <c r="P8" i="16"/>
  <c r="P9" i="16"/>
  <c r="P10" i="16"/>
  <c r="P11" i="16"/>
  <c r="P12" i="16"/>
  <c r="P13" i="16"/>
  <c r="P14" i="16"/>
  <c r="P15" i="16"/>
  <c r="P17" i="16"/>
  <c r="M3295" i="43"/>
  <c r="M3298" i="43"/>
  <c r="M3296" i="43"/>
  <c r="M3299" i="43"/>
  <c r="M3297" i="43"/>
  <c r="M3293" i="43"/>
  <c r="M3289" i="43"/>
  <c r="M3291" i="43"/>
  <c r="M3290" i="43"/>
  <c r="M3292" i="43"/>
  <c r="M3288" i="43"/>
  <c r="M3287" i="43"/>
  <c r="M3286" i="43"/>
  <c r="M3282" i="43"/>
  <c r="M3283" i="43"/>
  <c r="M3285" i="43"/>
  <c r="M3284" i="43"/>
  <c r="M3274" i="43"/>
  <c r="M3281" i="43"/>
  <c r="M3280" i="43"/>
  <c r="M3278" i="43"/>
  <c r="M3279" i="43"/>
  <c r="M3277" i="43"/>
  <c r="M3276" i="43"/>
  <c r="M3275" i="43"/>
  <c r="M3269" i="43"/>
  <c r="M3273" i="43"/>
  <c r="M3268" i="43"/>
  <c r="M3272" i="43"/>
  <c r="M3267" i="43"/>
  <c r="M3266" i="43"/>
  <c r="M3270" i="43"/>
  <c r="M3271" i="43"/>
  <c r="M2821" i="43"/>
  <c r="M2998" i="43"/>
  <c r="M2988" i="43"/>
  <c r="B6" i="16"/>
  <c r="B14" i="16"/>
  <c r="B10" i="16"/>
  <c r="B12" i="16"/>
  <c r="B11" i="16"/>
  <c r="M3238" i="43"/>
  <c r="C13" i="6"/>
  <c r="Q13" i="11" s="1"/>
  <c r="G16" i="16" s="1"/>
  <c r="P16" i="16"/>
  <c r="V158" i="50"/>
  <c r="R192" i="50"/>
  <c r="V50" i="50"/>
  <c r="V31" i="50"/>
  <c r="R31" i="50"/>
  <c r="R88" i="50"/>
  <c r="R69" i="50"/>
  <c r="V69" i="50"/>
  <c r="T31" i="50"/>
  <c r="T69" i="50"/>
  <c r="V110" i="50"/>
  <c r="V174" i="50"/>
  <c r="T88" i="50"/>
  <c r="V88" i="50"/>
  <c r="T50" i="50"/>
  <c r="R50" i="50"/>
  <c r="V136" i="50"/>
  <c r="V192" i="50"/>
  <c r="R174" i="50"/>
  <c r="T174" i="50"/>
  <c r="T158" i="50"/>
  <c r="R158" i="50"/>
  <c r="T136" i="50"/>
  <c r="T192" i="50"/>
  <c r="P4142" i="43" l="1"/>
  <c r="L4134" i="43"/>
  <c r="K4142" i="43"/>
  <c r="Q4142" i="43"/>
  <c r="P4139" i="43"/>
  <c r="Q4139" i="43"/>
  <c r="L4141" i="43"/>
  <c r="P4140" i="43"/>
  <c r="P4141" i="43"/>
  <c r="Q4141" i="43"/>
  <c r="L4142" i="43"/>
  <c r="R4140" i="43"/>
  <c r="R4142" i="43"/>
  <c r="R4141" i="43"/>
  <c r="O4076" i="43"/>
  <c r="N4140" i="43"/>
  <c r="N4142" i="43"/>
  <c r="N4141" i="43"/>
  <c r="N4109" i="43"/>
  <c r="O4141" i="43"/>
  <c r="O4140" i="43"/>
  <c r="N4081" i="43"/>
  <c r="K4085" i="43"/>
  <c r="K4140" i="43"/>
  <c r="K4093" i="43"/>
  <c r="L4139" i="43"/>
  <c r="O4132" i="43"/>
  <c r="N4110" i="43"/>
  <c r="N4139" i="43"/>
  <c r="R4135" i="43"/>
  <c r="R4139" i="43"/>
  <c r="K4125" i="43"/>
  <c r="K4139" i="43"/>
  <c r="K4136" i="43"/>
  <c r="L4136" i="43"/>
  <c r="P4130" i="43"/>
  <c r="P4135" i="43"/>
  <c r="P4129" i="43"/>
  <c r="N4138" i="43"/>
  <c r="O4136" i="43"/>
  <c r="L4137" i="43"/>
  <c r="P4132" i="43"/>
  <c r="P4136" i="43"/>
  <c r="N4137" i="43"/>
  <c r="K4137" i="43"/>
  <c r="O4137" i="43"/>
  <c r="L4138" i="43"/>
  <c r="P4134" i="43"/>
  <c r="P4138" i="43"/>
  <c r="R4138" i="43"/>
  <c r="K4138" i="43"/>
  <c r="O4138" i="43"/>
  <c r="L4135" i="43"/>
  <c r="P4131" i="43"/>
  <c r="P4133" i="43"/>
  <c r="P4137" i="43"/>
  <c r="R3956" i="43"/>
  <c r="R4137" i="43"/>
  <c r="R4010" i="43"/>
  <c r="R4134" i="43"/>
  <c r="R4133" i="43"/>
  <c r="R4136" i="43"/>
  <c r="R4132" i="43"/>
  <c r="Q4135" i="43"/>
  <c r="Q4132" i="43"/>
  <c r="Q4136" i="43"/>
  <c r="Q4131" i="43"/>
  <c r="Q4134" i="43"/>
  <c r="Q4133" i="43"/>
  <c r="N4134" i="43"/>
  <c r="N4133" i="43"/>
  <c r="N4135" i="43"/>
  <c r="K4134" i="43"/>
  <c r="O4133" i="43"/>
  <c r="O4134" i="43"/>
  <c r="K4133" i="43"/>
  <c r="K4087" i="43"/>
  <c r="K4132" i="43"/>
  <c r="N4131" i="43"/>
  <c r="N4132" i="43"/>
  <c r="L4124" i="43"/>
  <c r="L4131" i="43"/>
  <c r="L4130" i="43"/>
  <c r="L3953" i="43"/>
  <c r="O4118" i="43"/>
  <c r="O4131" i="43"/>
  <c r="O4130" i="43"/>
  <c r="R3662" i="43"/>
  <c r="R4130" i="43"/>
  <c r="R4131" i="43"/>
  <c r="R4045" i="43"/>
  <c r="K4127" i="43"/>
  <c r="K4130" i="43"/>
  <c r="N4120" i="43"/>
  <c r="N4130" i="43"/>
  <c r="Q4127" i="43"/>
  <c r="Q4130" i="43"/>
  <c r="Q4126" i="43"/>
  <c r="Q4123" i="43"/>
  <c r="K4128" i="43"/>
  <c r="Q4121" i="43"/>
  <c r="Q4129" i="43"/>
  <c r="Q4124" i="43"/>
  <c r="Q4128" i="43"/>
  <c r="Q4120" i="43"/>
  <c r="Q4118" i="43"/>
  <c r="K4126" i="43"/>
  <c r="Q4125" i="43"/>
  <c r="Q4122" i="43"/>
  <c r="L4129" i="43"/>
  <c r="O4128" i="43"/>
  <c r="K4129" i="43"/>
  <c r="Q4119" i="43"/>
  <c r="O4129" i="43"/>
  <c r="N4125" i="43"/>
  <c r="N4129" i="43"/>
  <c r="N4117" i="43"/>
  <c r="R4125" i="43"/>
  <c r="R4127" i="43"/>
  <c r="R4128" i="43"/>
  <c r="R4126" i="43"/>
  <c r="N4128" i="43"/>
  <c r="L4127" i="43"/>
  <c r="L4128" i="43"/>
  <c r="L4125" i="43"/>
  <c r="N4126" i="43"/>
  <c r="N4127" i="43"/>
  <c r="O4127" i="43"/>
  <c r="P4126" i="43"/>
  <c r="P4122" i="43"/>
  <c r="P4117" i="43"/>
  <c r="P4114" i="43"/>
  <c r="P4110" i="43"/>
  <c r="P4106" i="43"/>
  <c r="P4124" i="43"/>
  <c r="P4121" i="43"/>
  <c r="P4118" i="43"/>
  <c r="P4113" i="43"/>
  <c r="P4109" i="43"/>
  <c r="P4104" i="43"/>
  <c r="P4125" i="43"/>
  <c r="P4119" i="43"/>
  <c r="P4116" i="43"/>
  <c r="P4112" i="43"/>
  <c r="P4108" i="43"/>
  <c r="P4105" i="43"/>
  <c r="P4123" i="43"/>
  <c r="P4120" i="43"/>
  <c r="P4115" i="43"/>
  <c r="P4111" i="43"/>
  <c r="P4107" i="43"/>
  <c r="P4011" i="43"/>
  <c r="O4126" i="43"/>
  <c r="K4090" i="43"/>
  <c r="O4082" i="43"/>
  <c r="L3923" i="43"/>
  <c r="N4123" i="43"/>
  <c r="N4124" i="43"/>
  <c r="O4123" i="43"/>
  <c r="O4122" i="43"/>
  <c r="O4124" i="43"/>
  <c r="O4125" i="43"/>
  <c r="K4056" i="43"/>
  <c r="K4124" i="43"/>
  <c r="K4075" i="43"/>
  <c r="R4123" i="43"/>
  <c r="R4124" i="43"/>
  <c r="L4063" i="43"/>
  <c r="L4122" i="43"/>
  <c r="L4117" i="43"/>
  <c r="L4111" i="43"/>
  <c r="L4123" i="43"/>
  <c r="L4116" i="43"/>
  <c r="L4109" i="43"/>
  <c r="L4121" i="43"/>
  <c r="L4110" i="43"/>
  <c r="L4119" i="43"/>
  <c r="L4113" i="43"/>
  <c r="L4108" i="43"/>
  <c r="L4118" i="43"/>
  <c r="L4114" i="43"/>
  <c r="L4120" i="43"/>
  <c r="L4112" i="43"/>
  <c r="L4115" i="43"/>
  <c r="R4120" i="43"/>
  <c r="R4118" i="43"/>
  <c r="R4121" i="43"/>
  <c r="R4119" i="43"/>
  <c r="R4122" i="43"/>
  <c r="R4117" i="43"/>
  <c r="K4106" i="43"/>
  <c r="K4122" i="43"/>
  <c r="K4120" i="43"/>
  <c r="K4114" i="43"/>
  <c r="K4109" i="43"/>
  <c r="K4121" i="43"/>
  <c r="K4118" i="43"/>
  <c r="K4113" i="43"/>
  <c r="K4110" i="43"/>
  <c r="K4119" i="43"/>
  <c r="K4116" i="43"/>
  <c r="K4112" i="43"/>
  <c r="K4108" i="43"/>
  <c r="K4117" i="43"/>
  <c r="K4115" i="43"/>
  <c r="K4111" i="43"/>
  <c r="K4107" i="43"/>
  <c r="N4119" i="43"/>
  <c r="N4121" i="43"/>
  <c r="N4088" i="43"/>
  <c r="O4119" i="43"/>
  <c r="N4083" i="43"/>
  <c r="O4120" i="43"/>
  <c r="N4114" i="43"/>
  <c r="N4053" i="43"/>
  <c r="O4117" i="43"/>
  <c r="Q4112" i="43"/>
  <c r="Q4117" i="43"/>
  <c r="Q4116" i="43"/>
  <c r="Q4115" i="43"/>
  <c r="R4116" i="43"/>
  <c r="R4115" i="43"/>
  <c r="O4116" i="43"/>
  <c r="O4115" i="43"/>
  <c r="N4113" i="43"/>
  <c r="Q4113" i="43"/>
  <c r="Q4114" i="43"/>
  <c r="O4114" i="43"/>
  <c r="O4113" i="43"/>
  <c r="O4112" i="43"/>
  <c r="O4111" i="43"/>
  <c r="R4108" i="43"/>
  <c r="R4113" i="43"/>
  <c r="R4114" i="43"/>
  <c r="N4059" i="43"/>
  <c r="N4112" i="43"/>
  <c r="N4111" i="43"/>
  <c r="R4109" i="43"/>
  <c r="R4110" i="43"/>
  <c r="R4111" i="43"/>
  <c r="Q4097" i="43"/>
  <c r="Q4110" i="43"/>
  <c r="Q4109" i="43"/>
  <c r="N4067" i="43"/>
  <c r="O4110" i="43"/>
  <c r="O4109" i="43"/>
  <c r="O4108" i="43"/>
  <c r="Q4106" i="43"/>
  <c r="Q4105" i="43"/>
  <c r="Q4107" i="43"/>
  <c r="Q4108" i="43"/>
  <c r="N4064" i="43"/>
  <c r="R4102" i="43"/>
  <c r="R4107" i="43"/>
  <c r="R4103" i="43"/>
  <c r="R4106" i="43"/>
  <c r="R4105" i="43"/>
  <c r="R4104" i="43"/>
  <c r="O4103" i="43"/>
  <c r="O4107" i="43"/>
  <c r="O4101" i="43"/>
  <c r="O4104" i="43"/>
  <c r="O4105" i="43"/>
  <c r="O4106" i="43"/>
  <c r="O4102" i="43"/>
  <c r="N4102" i="43"/>
  <c r="N4106" i="43"/>
  <c r="N4107" i="43"/>
  <c r="L4016" i="43"/>
  <c r="L3901" i="43"/>
  <c r="L4104" i="43"/>
  <c r="L4105" i="43"/>
  <c r="L4103" i="43"/>
  <c r="K4091" i="43"/>
  <c r="K4104" i="43"/>
  <c r="K4100" i="43"/>
  <c r="K4099" i="43"/>
  <c r="K4103" i="43"/>
  <c r="K4105" i="43"/>
  <c r="K4101" i="43"/>
  <c r="K4102" i="43"/>
  <c r="K4098" i="43"/>
  <c r="Q4103" i="43"/>
  <c r="Q4101" i="43"/>
  <c r="Q4099" i="43"/>
  <c r="Q4102" i="43"/>
  <c r="Q4100" i="43"/>
  <c r="Q4104" i="43"/>
  <c r="N4068" i="43"/>
  <c r="N4103" i="43"/>
  <c r="P4102" i="43"/>
  <c r="P4099" i="43"/>
  <c r="P4095" i="43"/>
  <c r="P4097" i="43"/>
  <c r="P4100" i="43"/>
  <c r="P4103" i="43"/>
  <c r="P4098" i="43"/>
  <c r="P4094" i="43"/>
  <c r="P4101" i="43"/>
  <c r="P4096" i="43"/>
  <c r="L4099" i="43"/>
  <c r="L4100" i="43"/>
  <c r="L4101" i="43"/>
  <c r="L4102" i="43"/>
  <c r="N4097" i="43"/>
  <c r="N4095" i="43"/>
  <c r="N4099" i="43"/>
  <c r="N4096" i="43"/>
  <c r="N4101" i="43"/>
  <c r="N4098" i="43"/>
  <c r="N4100" i="43"/>
  <c r="O4080" i="43"/>
  <c r="O4100" i="43"/>
  <c r="O4096" i="43"/>
  <c r="O4099" i="43"/>
  <c r="O4095" i="43"/>
  <c r="O4098" i="43"/>
  <c r="O4097" i="43"/>
  <c r="O4013" i="43"/>
  <c r="R4096" i="43"/>
  <c r="R4100" i="43"/>
  <c r="R4098" i="43"/>
  <c r="Q4096" i="43"/>
  <c r="Q4098" i="43"/>
  <c r="L4094" i="43"/>
  <c r="L4095" i="43"/>
  <c r="L4096" i="43"/>
  <c r="L4097" i="43"/>
  <c r="K4054" i="43"/>
  <c r="K4097" i="43"/>
  <c r="R4094" i="43"/>
  <c r="R4093" i="43"/>
  <c r="R4095" i="43"/>
  <c r="K4084" i="43"/>
  <c r="Q4095" i="43"/>
  <c r="Q4093" i="43"/>
  <c r="Q4094" i="43"/>
  <c r="Q4092" i="43"/>
  <c r="O4071" i="43"/>
  <c r="K4094" i="43"/>
  <c r="N4078" i="43"/>
  <c r="N4094" i="43"/>
  <c r="N4017" i="43"/>
  <c r="O4094" i="43"/>
  <c r="P4093" i="43"/>
  <c r="P4088" i="43"/>
  <c r="P4080" i="43"/>
  <c r="P4092" i="43"/>
  <c r="P4087" i="43"/>
  <c r="P4082" i="43"/>
  <c r="P4077" i="43"/>
  <c r="P4089" i="43"/>
  <c r="P4085" i="43"/>
  <c r="P4079" i="43"/>
  <c r="P4091" i="43"/>
  <c r="P4084" i="43"/>
  <c r="P4078" i="43"/>
  <c r="P4090" i="43"/>
  <c r="P4083" i="43"/>
  <c r="P4086" i="43"/>
  <c r="P4081" i="43"/>
  <c r="L4088" i="43"/>
  <c r="L4093" i="43"/>
  <c r="L4092" i="43"/>
  <c r="N4077" i="43"/>
  <c r="O4092" i="43"/>
  <c r="O4093" i="43"/>
  <c r="N4093" i="43"/>
  <c r="N4092" i="43"/>
  <c r="N4091" i="43"/>
  <c r="N4089" i="43"/>
  <c r="N4090" i="43"/>
  <c r="R4092" i="43"/>
  <c r="R4091" i="43"/>
  <c r="R4090" i="43"/>
  <c r="R4089" i="43"/>
  <c r="O4090" i="43"/>
  <c r="O4089" i="43"/>
  <c r="O4091" i="43"/>
  <c r="O4088" i="43"/>
  <c r="Q3873" i="43"/>
  <c r="Q4090" i="43"/>
  <c r="Q4088" i="43"/>
  <c r="Q4091" i="43"/>
  <c r="Q4087" i="43"/>
  <c r="Q4089" i="43"/>
  <c r="Q4084" i="43"/>
  <c r="Q4086" i="43"/>
  <c r="Q4085" i="43"/>
  <c r="L4057" i="43"/>
  <c r="L4090" i="43"/>
  <c r="K4083" i="43"/>
  <c r="K4089" i="43"/>
  <c r="L4087" i="43"/>
  <c r="K4088" i="43"/>
  <c r="R4088" i="43"/>
  <c r="R4084" i="43"/>
  <c r="R4087" i="43"/>
  <c r="R4086" i="43"/>
  <c r="R4085" i="43"/>
  <c r="N3966" i="43"/>
  <c r="N4087" i="43"/>
  <c r="O4050" i="43"/>
  <c r="O4087" i="43"/>
  <c r="K4086" i="43"/>
  <c r="O4084" i="43"/>
  <c r="O4085" i="43"/>
  <c r="O4086" i="43"/>
  <c r="L4080" i="43"/>
  <c r="L4086" i="43"/>
  <c r="L4081" i="43"/>
  <c r="L4084" i="43"/>
  <c r="L4082" i="43"/>
  <c r="L4085" i="43"/>
  <c r="L4083" i="43"/>
  <c r="N4085" i="43"/>
  <c r="N4084" i="43"/>
  <c r="K4049" i="43"/>
  <c r="K4077" i="43"/>
  <c r="K4079" i="43"/>
  <c r="K4082" i="43"/>
  <c r="K4080" i="43"/>
  <c r="K4076" i="43"/>
  <c r="K4081" i="43"/>
  <c r="K4078" i="43"/>
  <c r="N4074" i="43"/>
  <c r="Q4052" i="43"/>
  <c r="Q4083" i="43"/>
  <c r="Q4078" i="43"/>
  <c r="Q4071" i="43"/>
  <c r="Q4080" i="43"/>
  <c r="Q4076" i="43"/>
  <c r="Q4070" i="43"/>
  <c r="Q4082" i="43"/>
  <c r="Q4075" i="43"/>
  <c r="Q4069" i="43"/>
  <c r="Q4081" i="43"/>
  <c r="Q4072" i="43"/>
  <c r="Q4068" i="43"/>
  <c r="Q4077" i="43"/>
  <c r="Q4074" i="43"/>
  <c r="Q4079" i="43"/>
  <c r="Q4073" i="43"/>
  <c r="Q4065" i="43"/>
  <c r="O4081" i="43"/>
  <c r="O4083" i="43"/>
  <c r="R4081" i="43"/>
  <c r="R4082" i="43"/>
  <c r="R4083" i="43"/>
  <c r="N4082" i="43"/>
  <c r="R4070" i="43"/>
  <c r="R4074" i="43"/>
  <c r="R4079" i="43"/>
  <c r="R4067" i="43"/>
  <c r="R4071" i="43"/>
  <c r="R4075" i="43"/>
  <c r="R4078" i="43"/>
  <c r="R4068" i="43"/>
  <c r="R4073" i="43"/>
  <c r="R4076" i="43"/>
  <c r="R4080" i="43"/>
  <c r="R4069" i="43"/>
  <c r="R4072" i="43"/>
  <c r="R4077" i="43"/>
  <c r="L4072" i="43"/>
  <c r="L4077" i="43"/>
  <c r="L4071" i="43"/>
  <c r="L4073" i="43"/>
  <c r="L4078" i="43"/>
  <c r="L4070" i="43"/>
  <c r="L4075" i="43"/>
  <c r="L4079" i="43"/>
  <c r="L4074" i="43"/>
  <c r="L4076" i="43"/>
  <c r="N4076" i="43"/>
  <c r="N4080" i="43"/>
  <c r="O4025" i="43"/>
  <c r="O4079" i="43"/>
  <c r="O4078" i="43"/>
  <c r="O4077" i="43"/>
  <c r="P4012" i="43"/>
  <c r="P4076" i="43"/>
  <c r="P4072" i="43"/>
  <c r="P4068" i="43"/>
  <c r="P4065" i="43"/>
  <c r="P4060" i="43"/>
  <c r="P4056" i="43"/>
  <c r="P4052" i="43"/>
  <c r="P4048" i="43"/>
  <c r="P4075" i="43"/>
  <c r="P4070" i="43"/>
  <c r="P4067" i="43"/>
  <c r="P4063" i="43"/>
  <c r="P4059" i="43"/>
  <c r="P4055" i="43"/>
  <c r="P4049" i="43"/>
  <c r="P4074" i="43"/>
  <c r="P4071" i="43"/>
  <c r="P4066" i="43"/>
  <c r="P4062" i="43"/>
  <c r="P4058" i="43"/>
  <c r="P4054" i="43"/>
  <c r="P4051" i="43"/>
  <c r="P4073" i="43"/>
  <c r="P4069" i="43"/>
  <c r="P4064" i="43"/>
  <c r="P4061" i="43"/>
  <c r="P4057" i="43"/>
  <c r="P4053" i="43"/>
  <c r="P4050" i="43"/>
  <c r="O4055" i="43"/>
  <c r="O4063" i="43"/>
  <c r="O4075" i="43"/>
  <c r="N4069" i="43"/>
  <c r="N4075" i="43"/>
  <c r="K4073" i="43"/>
  <c r="K4074" i="43"/>
  <c r="O4073" i="43"/>
  <c r="O4062" i="43"/>
  <c r="O4074" i="43"/>
  <c r="N4071" i="43"/>
  <c r="N4072" i="43"/>
  <c r="N4073" i="43"/>
  <c r="O4072" i="43"/>
  <c r="K4071" i="43"/>
  <c r="K4072" i="43"/>
  <c r="O4070" i="43"/>
  <c r="N3978" i="43"/>
  <c r="N4070" i="43"/>
  <c r="K4068" i="43"/>
  <c r="K4069" i="43"/>
  <c r="O3975" i="43"/>
  <c r="N4007" i="43"/>
  <c r="O3279" i="43"/>
  <c r="O4067" i="43"/>
  <c r="O4064" i="43"/>
  <c r="O4068" i="43"/>
  <c r="O4035" i="43"/>
  <c r="O4065" i="43"/>
  <c r="O4069" i="43"/>
  <c r="O4066" i="43"/>
  <c r="L4068" i="43"/>
  <c r="L4067" i="43"/>
  <c r="K4018" i="43"/>
  <c r="K4067" i="43"/>
  <c r="Q4067" i="43"/>
  <c r="N4062" i="43"/>
  <c r="N4066" i="43"/>
  <c r="N4065" i="43"/>
  <c r="R3970" i="43"/>
  <c r="R4066" i="43"/>
  <c r="K4062" i="43"/>
  <c r="K4066" i="43"/>
  <c r="Q4066" i="43"/>
  <c r="Q4064" i="43"/>
  <c r="L4064" i="43"/>
  <c r="L4065" i="43"/>
  <c r="K4063" i="43"/>
  <c r="K4065" i="43"/>
  <c r="K4064" i="43"/>
  <c r="R4064" i="43"/>
  <c r="R4065" i="43"/>
  <c r="N3991" i="43"/>
  <c r="R4062" i="43"/>
  <c r="R4063" i="43"/>
  <c r="R4061" i="43"/>
  <c r="R3732" i="43"/>
  <c r="Q4061" i="43"/>
  <c r="Q4063" i="43"/>
  <c r="Q4062" i="43"/>
  <c r="O3995" i="43"/>
  <c r="O3997" i="43"/>
  <c r="N4063" i="43"/>
  <c r="K4003" i="43"/>
  <c r="L4060" i="43"/>
  <c r="L4062" i="43"/>
  <c r="N4058" i="43"/>
  <c r="L4061" i="43"/>
  <c r="K4045" i="43"/>
  <c r="K4060" i="43"/>
  <c r="K4061" i="43"/>
  <c r="K4059" i="43"/>
  <c r="K4058" i="43"/>
  <c r="K4057" i="43"/>
  <c r="K4034" i="43"/>
  <c r="O4056" i="43"/>
  <c r="O4061" i="43"/>
  <c r="O4060" i="43"/>
  <c r="O4059" i="43"/>
  <c r="N4056" i="43"/>
  <c r="N4060" i="43"/>
  <c r="R4039" i="43"/>
  <c r="R4060" i="43"/>
  <c r="R4059" i="43"/>
  <c r="L4058" i="43"/>
  <c r="L4059" i="43"/>
  <c r="Q4051" i="43"/>
  <c r="Q4059" i="43"/>
  <c r="Q4054" i="43"/>
  <c r="Q4058" i="43"/>
  <c r="Q4056" i="43"/>
  <c r="Q4057" i="43"/>
  <c r="Q4055" i="43"/>
  <c r="Q4053" i="43"/>
  <c r="N4019" i="43"/>
  <c r="N3983" i="43"/>
  <c r="R4058" i="43"/>
  <c r="R4056" i="43"/>
  <c r="R4057" i="43"/>
  <c r="R4055" i="43"/>
  <c r="O3984" i="43"/>
  <c r="N4001" i="43"/>
  <c r="O4057" i="43"/>
  <c r="O4058" i="43"/>
  <c r="N4048" i="43"/>
  <c r="N4057" i="43"/>
  <c r="K4026" i="43"/>
  <c r="N4054" i="43"/>
  <c r="N4055" i="43"/>
  <c r="L4047" i="43"/>
  <c r="L4055" i="43"/>
  <c r="L4049" i="43"/>
  <c r="L4056" i="43"/>
  <c r="L4054" i="43"/>
  <c r="L4053" i="43"/>
  <c r="L4052" i="43"/>
  <c r="K4055" i="43"/>
  <c r="O4020" i="43"/>
  <c r="O4054" i="43"/>
  <c r="O4053" i="43"/>
  <c r="R4049" i="43"/>
  <c r="R4054" i="43"/>
  <c r="R4053" i="43"/>
  <c r="R4052" i="43"/>
  <c r="K4052" i="43"/>
  <c r="K4053" i="43"/>
  <c r="N4052" i="43"/>
  <c r="N4049" i="43"/>
  <c r="O4049" i="43"/>
  <c r="O4052" i="43"/>
  <c r="Q4049" i="43"/>
  <c r="R3752" i="43"/>
  <c r="K4051" i="43"/>
  <c r="R4051" i="43"/>
  <c r="R4050" i="43"/>
  <c r="R4048" i="43"/>
  <c r="N4031" i="43"/>
  <c r="N4028" i="43"/>
  <c r="N4051" i="43"/>
  <c r="N4050" i="43"/>
  <c r="Q4030" i="43"/>
  <c r="L4029" i="43"/>
  <c r="O4047" i="43"/>
  <c r="O4051" i="43"/>
  <c r="K4047" i="43"/>
  <c r="K3994" i="43"/>
  <c r="K4048" i="43"/>
  <c r="K4046" i="43"/>
  <c r="K4050" i="43"/>
  <c r="L4048" i="43"/>
  <c r="L4050" i="43"/>
  <c r="Q4012" i="43"/>
  <c r="Q4048" i="43"/>
  <c r="Q4046" i="43"/>
  <c r="Q4050" i="43"/>
  <c r="Q4045" i="43"/>
  <c r="Q4044" i="43"/>
  <c r="Q4047" i="43"/>
  <c r="Q4024" i="43"/>
  <c r="O4046" i="43"/>
  <c r="O4048" i="43"/>
  <c r="L3800" i="43"/>
  <c r="P4045" i="43"/>
  <c r="P4044" i="43"/>
  <c r="P4047" i="43"/>
  <c r="P4046" i="43"/>
  <c r="N4044" i="43"/>
  <c r="N4045" i="43"/>
  <c r="N4047" i="43"/>
  <c r="N4043" i="43"/>
  <c r="N4046" i="43"/>
  <c r="R4044" i="43"/>
  <c r="R4047" i="43"/>
  <c r="R4046" i="43"/>
  <c r="K4044" i="43"/>
  <c r="L4039" i="43"/>
  <c r="L4045" i="43"/>
  <c r="O4041" i="43"/>
  <c r="O4045" i="43"/>
  <c r="O4044" i="43"/>
  <c r="K4042" i="43"/>
  <c r="K4043" i="43"/>
  <c r="K3987" i="43"/>
  <c r="K4041" i="43"/>
  <c r="L4043" i="43"/>
  <c r="R4038" i="43"/>
  <c r="R4043" i="43"/>
  <c r="Q4043" i="43"/>
  <c r="O4043" i="43"/>
  <c r="P4041" i="43"/>
  <c r="N3965" i="43"/>
  <c r="L4027" i="43"/>
  <c r="R3880" i="43"/>
  <c r="R4041" i="43"/>
  <c r="R4042" i="43"/>
  <c r="L4041" i="43"/>
  <c r="P4042" i="43"/>
  <c r="Q4041" i="43"/>
  <c r="L4042" i="43"/>
  <c r="Q4042" i="43"/>
  <c r="N4039" i="43"/>
  <c r="N4041" i="43"/>
  <c r="N4042" i="43"/>
  <c r="O4038" i="43"/>
  <c r="O4042" i="43"/>
  <c r="Q4039" i="43"/>
  <c r="Q4040" i="43"/>
  <c r="R4040" i="43"/>
  <c r="P4027" i="43"/>
  <c r="P4035" i="43"/>
  <c r="P4006" i="43"/>
  <c r="P4039" i="43"/>
  <c r="P4040" i="43"/>
  <c r="N4040" i="43"/>
  <c r="L4023" i="43"/>
  <c r="L4040" i="43"/>
  <c r="O4040" i="43"/>
  <c r="K3979" i="43"/>
  <c r="K4040" i="43"/>
  <c r="N3958" i="43"/>
  <c r="L3827" i="43"/>
  <c r="K4039" i="43"/>
  <c r="K4035" i="43"/>
  <c r="K4037" i="43"/>
  <c r="K4036" i="43"/>
  <c r="K4038" i="43"/>
  <c r="O3986" i="43"/>
  <c r="O4039" i="43"/>
  <c r="L4036" i="43"/>
  <c r="L4038" i="43"/>
  <c r="L4037" i="43"/>
  <c r="L4035" i="43"/>
  <c r="L4034" i="43"/>
  <c r="L4033" i="43"/>
  <c r="N4015" i="43"/>
  <c r="N4038" i="43"/>
  <c r="N4037" i="43"/>
  <c r="P4029" i="43"/>
  <c r="P4033" i="43"/>
  <c r="P4023" i="43"/>
  <c r="P4026" i="43"/>
  <c r="P4034" i="43"/>
  <c r="P4024" i="43"/>
  <c r="P4030" i="43"/>
  <c r="P4036" i="43"/>
  <c r="P4025" i="43"/>
  <c r="P4031" i="43"/>
  <c r="P4037" i="43"/>
  <c r="P4028" i="43"/>
  <c r="P4032" i="43"/>
  <c r="P4038" i="43"/>
  <c r="Q4033" i="43"/>
  <c r="Q4034" i="43"/>
  <c r="Q4035" i="43"/>
  <c r="Q4036" i="43"/>
  <c r="Q4032" i="43"/>
  <c r="Q4037" i="43"/>
  <c r="Q4031" i="43"/>
  <c r="Q4038" i="43"/>
  <c r="O4033" i="43"/>
  <c r="O4037" i="43"/>
  <c r="O4036" i="43"/>
  <c r="R3962" i="43"/>
  <c r="R4036" i="43"/>
  <c r="N4032" i="43"/>
  <c r="N4035" i="43"/>
  <c r="N4034" i="43"/>
  <c r="R3939" i="43"/>
  <c r="R4035" i="43"/>
  <c r="R4027" i="43"/>
  <c r="R4021" i="43"/>
  <c r="R4016" i="43"/>
  <c r="R4012" i="43"/>
  <c r="R4034" i="43"/>
  <c r="R4026" i="43"/>
  <c r="R4023" i="43"/>
  <c r="R4017" i="43"/>
  <c r="R4033" i="43"/>
  <c r="R4028" i="43"/>
  <c r="R4022" i="43"/>
  <c r="R4015" i="43"/>
  <c r="R4031" i="43"/>
  <c r="R4029" i="43"/>
  <c r="R4020" i="43"/>
  <c r="R4014" i="43"/>
  <c r="R4032" i="43"/>
  <c r="R4025" i="43"/>
  <c r="R4019" i="43"/>
  <c r="R4011" i="43"/>
  <c r="R4030" i="43"/>
  <c r="R4024" i="43"/>
  <c r="R4018" i="43"/>
  <c r="R4013" i="43"/>
  <c r="O4034" i="43"/>
  <c r="K4033" i="43"/>
  <c r="K4032" i="43"/>
  <c r="O3990" i="43"/>
  <c r="O4031" i="43"/>
  <c r="O4032" i="43"/>
  <c r="K3967" i="43"/>
  <c r="K4031" i="43"/>
  <c r="K4030" i="43"/>
  <c r="K4029" i="43"/>
  <c r="K3980" i="43"/>
  <c r="L4030" i="43"/>
  <c r="L4031" i="43"/>
  <c r="N4029" i="43"/>
  <c r="N4030" i="43"/>
  <c r="Q3999" i="43"/>
  <c r="L3902" i="43"/>
  <c r="O4029" i="43"/>
  <c r="O4030" i="43"/>
  <c r="O3993" i="43"/>
  <c r="Q4029" i="43"/>
  <c r="Q4028" i="43"/>
  <c r="Q4027" i="43"/>
  <c r="Q4026" i="43"/>
  <c r="Q4025" i="43"/>
  <c r="N3996" i="43"/>
  <c r="L4022" i="43"/>
  <c r="L4028" i="43"/>
  <c r="K3976" i="43"/>
  <c r="K4028" i="43"/>
  <c r="K4027" i="43"/>
  <c r="O3998" i="43"/>
  <c r="O4028" i="43"/>
  <c r="O4027" i="43"/>
  <c r="N4027" i="43"/>
  <c r="N4026" i="43"/>
  <c r="N4024" i="43"/>
  <c r="N4025" i="43"/>
  <c r="L4024" i="43"/>
  <c r="L4025" i="43"/>
  <c r="L4026" i="43"/>
  <c r="O3955" i="43"/>
  <c r="O4026" i="43"/>
  <c r="K4022" i="43"/>
  <c r="K4021" i="43"/>
  <c r="K4023" i="43"/>
  <c r="K4024" i="43"/>
  <c r="K4025" i="43"/>
  <c r="O4022" i="43"/>
  <c r="O4024" i="43"/>
  <c r="O4023" i="43"/>
  <c r="Q4021" i="43"/>
  <c r="Q4018" i="43"/>
  <c r="Q4023" i="43"/>
  <c r="Q4022" i="43"/>
  <c r="Q4020" i="43"/>
  <c r="Q4019" i="43"/>
  <c r="Q4017" i="43"/>
  <c r="N4021" i="43"/>
  <c r="N4023" i="43"/>
  <c r="N4022" i="43"/>
  <c r="N3935" i="43"/>
  <c r="O4021" i="43"/>
  <c r="P4017" i="43"/>
  <c r="P4018" i="43"/>
  <c r="P4016" i="43"/>
  <c r="P4019" i="43"/>
  <c r="P4020" i="43"/>
  <c r="P4015" i="43"/>
  <c r="P4021" i="43"/>
  <c r="L4020" i="43"/>
  <c r="L4019" i="43"/>
  <c r="K3974" i="43"/>
  <c r="K4020" i="43"/>
  <c r="K4019" i="43"/>
  <c r="N4018" i="43"/>
  <c r="N4020" i="43"/>
  <c r="O3952" i="43"/>
  <c r="O4019" i="43"/>
  <c r="O4018" i="43"/>
  <c r="O4017" i="43"/>
  <c r="O4016" i="43"/>
  <c r="O4015" i="43"/>
  <c r="O4014" i="43"/>
  <c r="L3882" i="43"/>
  <c r="L4017" i="43"/>
  <c r="L4018" i="43"/>
  <c r="K4016" i="43"/>
  <c r="K4017" i="43"/>
  <c r="N4009" i="43"/>
  <c r="N4016" i="43"/>
  <c r="Q4016" i="43"/>
  <c r="Q4013" i="43"/>
  <c r="Q4014" i="43"/>
  <c r="Q4015" i="43"/>
  <c r="Q4008" i="43"/>
  <c r="L4013" i="43"/>
  <c r="L4012" i="43"/>
  <c r="L4011" i="43"/>
  <c r="L4010" i="43"/>
  <c r="L4014" i="43"/>
  <c r="L4015" i="43"/>
  <c r="K4005" i="43"/>
  <c r="K4011" i="43"/>
  <c r="K4004" i="43"/>
  <c r="K4012" i="43"/>
  <c r="K4006" i="43"/>
  <c r="K4010" i="43"/>
  <c r="K4007" i="43"/>
  <c r="K4013" i="43"/>
  <c r="K4008" i="43"/>
  <c r="K4014" i="43"/>
  <c r="K3961" i="43"/>
  <c r="K4009" i="43"/>
  <c r="K4015" i="43"/>
  <c r="P4013" i="43"/>
  <c r="P4014" i="43"/>
  <c r="N4014" i="43"/>
  <c r="N4010" i="43"/>
  <c r="N4013" i="43"/>
  <c r="N4012" i="43"/>
  <c r="N4011" i="43"/>
  <c r="O4011" i="43"/>
  <c r="O4012" i="43"/>
  <c r="Q4011" i="43"/>
  <c r="Q4009" i="43"/>
  <c r="Q4010" i="43"/>
  <c r="P4004" i="43"/>
  <c r="P4010" i="43"/>
  <c r="O4009" i="43"/>
  <c r="O4010" i="43"/>
  <c r="O4000" i="43"/>
  <c r="O3943" i="43"/>
  <c r="R4005" i="43"/>
  <c r="R4009" i="43"/>
  <c r="R4008" i="43"/>
  <c r="R4007" i="43"/>
  <c r="R4006" i="43"/>
  <c r="L3998" i="43"/>
  <c r="L4009" i="43"/>
  <c r="L4003" i="43"/>
  <c r="L4008" i="43"/>
  <c r="L4002" i="43"/>
  <c r="L4005" i="43"/>
  <c r="L4001" i="43"/>
  <c r="L4006" i="43"/>
  <c r="L4000" i="43"/>
  <c r="L4007" i="43"/>
  <c r="L4004" i="43"/>
  <c r="L3999" i="43"/>
  <c r="P4007" i="43"/>
  <c r="P4008" i="43"/>
  <c r="Q3930" i="43"/>
  <c r="Q4004" i="43"/>
  <c r="O4001" i="43"/>
  <c r="O4008" i="43"/>
  <c r="O4007" i="43"/>
  <c r="O3945" i="43"/>
  <c r="N3959" i="43"/>
  <c r="N4008" i="43"/>
  <c r="Q4005" i="43"/>
  <c r="Q4006" i="43"/>
  <c r="Q4007" i="43"/>
  <c r="N4005" i="43"/>
  <c r="N4004" i="43"/>
  <c r="N4006" i="43"/>
  <c r="O4005" i="43"/>
  <c r="O4006" i="43"/>
  <c r="O4004" i="43"/>
  <c r="R3999" i="43"/>
  <c r="R4001" i="43"/>
  <c r="R4002" i="43"/>
  <c r="R3948" i="43"/>
  <c r="R4003" i="43"/>
  <c r="R4004" i="43"/>
  <c r="R4000" i="43"/>
  <c r="P3987" i="43"/>
  <c r="P3993" i="43"/>
  <c r="P4000" i="43"/>
  <c r="P3988" i="43"/>
  <c r="P3994" i="43"/>
  <c r="P3999" i="43"/>
  <c r="P3989" i="43"/>
  <c r="P3995" i="43"/>
  <c r="P4001" i="43"/>
  <c r="P3990" i="43"/>
  <c r="P3996" i="43"/>
  <c r="P4003" i="43"/>
  <c r="P3991" i="43"/>
  <c r="P3997" i="43"/>
  <c r="P4002" i="43"/>
  <c r="P3992" i="43"/>
  <c r="P3998" i="43"/>
  <c r="O3977" i="43"/>
  <c r="Q3831" i="43"/>
  <c r="Q4003" i="43"/>
  <c r="Q4002" i="43"/>
  <c r="K4002" i="43"/>
  <c r="N3992" i="43"/>
  <c r="N4002" i="43"/>
  <c r="N4003" i="43"/>
  <c r="O4003" i="43"/>
  <c r="O4002" i="43"/>
  <c r="K3996" i="43"/>
  <c r="K3997" i="43"/>
  <c r="K3998" i="43"/>
  <c r="K3999" i="43"/>
  <c r="K4000" i="43"/>
  <c r="K3995" i="43"/>
  <c r="K4001" i="43"/>
  <c r="Q4000" i="43"/>
  <c r="Q4001" i="43"/>
  <c r="N4000" i="43"/>
  <c r="N3999" i="43"/>
  <c r="O3996" i="43"/>
  <c r="O3999" i="43"/>
  <c r="Q3998" i="43"/>
  <c r="Q3997" i="43"/>
  <c r="R3667" i="43"/>
  <c r="R3535" i="43"/>
  <c r="R3998" i="43"/>
  <c r="R3992" i="43"/>
  <c r="R3997" i="43"/>
  <c r="R3991" i="43"/>
  <c r="R3995" i="43"/>
  <c r="R3990" i="43"/>
  <c r="R3989" i="43"/>
  <c r="R3994" i="43"/>
  <c r="R3993" i="43"/>
  <c r="O3988" i="43"/>
  <c r="L3973" i="43"/>
  <c r="L3764" i="43"/>
  <c r="L3993" i="43"/>
  <c r="L3994" i="43"/>
  <c r="L3995" i="43"/>
  <c r="L3996" i="43"/>
  <c r="L3991" i="43"/>
  <c r="L3997" i="43"/>
  <c r="L3992" i="43"/>
  <c r="N3997" i="43"/>
  <c r="N3998" i="43"/>
  <c r="N3914" i="43"/>
  <c r="Q3989" i="43"/>
  <c r="Q3996" i="43"/>
  <c r="Q3990" i="43"/>
  <c r="Q3995" i="43"/>
  <c r="Q3994" i="43"/>
  <c r="Q3993" i="43"/>
  <c r="Q3991" i="43"/>
  <c r="Q3992" i="43"/>
  <c r="O3963" i="43"/>
  <c r="N3995" i="43"/>
  <c r="N3994" i="43"/>
  <c r="O3864" i="43"/>
  <c r="O3994" i="43"/>
  <c r="K3988" i="43"/>
  <c r="K3990" i="43"/>
  <c r="K3989" i="43"/>
  <c r="K3992" i="43"/>
  <c r="K3991" i="43"/>
  <c r="K3993" i="43"/>
  <c r="N3990" i="43"/>
  <c r="N3993" i="43"/>
  <c r="O3982" i="43"/>
  <c r="O3989" i="43"/>
  <c r="O3991" i="43"/>
  <c r="O3992" i="43"/>
  <c r="O3950" i="43"/>
  <c r="L3979" i="43"/>
  <c r="L3989" i="43"/>
  <c r="L3990" i="43"/>
  <c r="N3988" i="43"/>
  <c r="N3989" i="43"/>
  <c r="L3906" i="43"/>
  <c r="L3988" i="43"/>
  <c r="Q3978" i="43"/>
  <c r="Q3988" i="43"/>
  <c r="N3917" i="43"/>
  <c r="N3987" i="43"/>
  <c r="R3988" i="43"/>
  <c r="R3987" i="43"/>
  <c r="L3986" i="43"/>
  <c r="L3987" i="43"/>
  <c r="Q3981" i="43"/>
  <c r="Q3987" i="43"/>
  <c r="O3979" i="43"/>
  <c r="O3987" i="43"/>
  <c r="K3985" i="43"/>
  <c r="K3986" i="43"/>
  <c r="P3963" i="43"/>
  <c r="P3986" i="43"/>
  <c r="Q3982" i="43"/>
  <c r="Q3984" i="43"/>
  <c r="Q3983" i="43"/>
  <c r="Q3985" i="43"/>
  <c r="Q3986" i="43"/>
  <c r="R3755" i="43"/>
  <c r="R3986" i="43"/>
  <c r="R3985" i="43"/>
  <c r="R3982" i="43"/>
  <c r="R3983" i="43"/>
  <c r="R3984" i="43"/>
  <c r="N3951" i="43"/>
  <c r="N3986" i="43"/>
  <c r="O3985" i="43"/>
  <c r="P3980" i="43"/>
  <c r="P3981" i="43"/>
  <c r="P3977" i="43"/>
  <c r="P3984" i="43"/>
  <c r="P3970" i="43"/>
  <c r="P3979" i="43"/>
  <c r="P3983" i="43"/>
  <c r="P3974" i="43"/>
  <c r="P3982" i="43"/>
  <c r="P3927" i="43"/>
  <c r="P3985" i="43"/>
  <c r="N3947" i="43"/>
  <c r="K3981" i="43"/>
  <c r="K3982" i="43"/>
  <c r="K3983" i="43"/>
  <c r="K3984" i="43"/>
  <c r="L3980" i="43"/>
  <c r="L3981" i="43"/>
  <c r="L3983" i="43"/>
  <c r="L3984" i="43"/>
  <c r="L3982" i="43"/>
  <c r="L3985" i="43"/>
  <c r="N3938" i="43"/>
  <c r="N3984" i="43"/>
  <c r="N3971" i="43"/>
  <c r="O3983" i="43"/>
  <c r="N3982" i="43"/>
  <c r="O3964" i="43"/>
  <c r="N3932" i="43"/>
  <c r="O3980" i="43"/>
  <c r="O3981" i="43"/>
  <c r="N3981" i="43"/>
  <c r="Q3980" i="43"/>
  <c r="R3674" i="43"/>
  <c r="R3981" i="43"/>
  <c r="R3980" i="43"/>
  <c r="N3980" i="43"/>
  <c r="N3941" i="43"/>
  <c r="R3979" i="43"/>
  <c r="P3978" i="43"/>
  <c r="R3978" i="43"/>
  <c r="P3967" i="43"/>
  <c r="Q3977" i="43"/>
  <c r="P3969" i="43"/>
  <c r="N3979" i="43"/>
  <c r="Q3979" i="43"/>
  <c r="P3975" i="43"/>
  <c r="L3978" i="43"/>
  <c r="R3977" i="43"/>
  <c r="K3968" i="43"/>
  <c r="K3978" i="43"/>
  <c r="O3976" i="43"/>
  <c r="O3978" i="43"/>
  <c r="N3977" i="43"/>
  <c r="O3969" i="43"/>
  <c r="L3972" i="43"/>
  <c r="L3977" i="43"/>
  <c r="K3920" i="43"/>
  <c r="K3977" i="43"/>
  <c r="N3916" i="43"/>
  <c r="P3976" i="43"/>
  <c r="N3975" i="43"/>
  <c r="N3976" i="43"/>
  <c r="P3971" i="43"/>
  <c r="P3966" i="43"/>
  <c r="P3968" i="43"/>
  <c r="L3975" i="43"/>
  <c r="P3973" i="43"/>
  <c r="L3974" i="43"/>
  <c r="P3972" i="43"/>
  <c r="L3976" i="43"/>
  <c r="R3973" i="43"/>
  <c r="R3976" i="43"/>
  <c r="R3975" i="43"/>
  <c r="R3974" i="43"/>
  <c r="Q3966" i="43"/>
  <c r="Q3976" i="43"/>
  <c r="Q3975" i="43"/>
  <c r="Q3972" i="43"/>
  <c r="Q3973" i="43"/>
  <c r="Q3974" i="43"/>
  <c r="K3975" i="43"/>
  <c r="O3968" i="43"/>
  <c r="O3973" i="43"/>
  <c r="O3974" i="43"/>
  <c r="O3971" i="43"/>
  <c r="O3972" i="43"/>
  <c r="N3970" i="43"/>
  <c r="N3974" i="43"/>
  <c r="N3937" i="43"/>
  <c r="K3898" i="43"/>
  <c r="K3973" i="43"/>
  <c r="N3972" i="43"/>
  <c r="N3973" i="43"/>
  <c r="K3969" i="43"/>
  <c r="K3972" i="43"/>
  <c r="K3971" i="43"/>
  <c r="K3970" i="43"/>
  <c r="L3970" i="43"/>
  <c r="L3971" i="43"/>
  <c r="R3971" i="43"/>
  <c r="R3969" i="43"/>
  <c r="Q3928" i="43"/>
  <c r="Q3971" i="43"/>
  <c r="O3970" i="43"/>
  <c r="Q3970" i="43"/>
  <c r="Q3967" i="43"/>
  <c r="Q3942" i="43"/>
  <c r="Q3968" i="43"/>
  <c r="Q3969" i="43"/>
  <c r="K3925" i="43"/>
  <c r="L3969" i="43"/>
  <c r="L3965" i="43"/>
  <c r="L3968" i="43"/>
  <c r="L3963" i="43"/>
  <c r="L3967" i="43"/>
  <c r="L3961" i="43"/>
  <c r="L3966" i="43"/>
  <c r="L3964" i="43"/>
  <c r="L3962" i="43"/>
  <c r="N3903" i="43"/>
  <c r="N3969" i="43"/>
  <c r="N3921" i="43"/>
  <c r="R3967" i="43"/>
  <c r="R3968" i="43"/>
  <c r="R3964" i="43"/>
  <c r="R3963" i="43"/>
  <c r="R3965" i="43"/>
  <c r="R3966" i="43"/>
  <c r="N3963" i="43"/>
  <c r="N3968" i="43"/>
  <c r="N3967" i="43"/>
  <c r="N3960" i="43"/>
  <c r="O3836" i="43"/>
  <c r="O3965" i="43"/>
  <c r="O3967" i="43"/>
  <c r="K3908" i="43"/>
  <c r="K3966" i="43"/>
  <c r="K3965" i="43"/>
  <c r="K3963" i="43"/>
  <c r="K3962" i="43"/>
  <c r="K3964" i="43"/>
  <c r="O3966" i="43"/>
  <c r="N3900" i="43"/>
  <c r="Q3961" i="43"/>
  <c r="Q3962" i="43"/>
  <c r="Q3963" i="43"/>
  <c r="Q3964" i="43"/>
  <c r="Q3965" i="43"/>
  <c r="P3889" i="43"/>
  <c r="P3941" i="43"/>
  <c r="P3949" i="43"/>
  <c r="P3952" i="43"/>
  <c r="P3960" i="43"/>
  <c r="P3940" i="43"/>
  <c r="P3947" i="43"/>
  <c r="P3955" i="43"/>
  <c r="P3961" i="43"/>
  <c r="P3945" i="43"/>
  <c r="P3948" i="43"/>
  <c r="P3956" i="43"/>
  <c r="P3964" i="43"/>
  <c r="P3943" i="43"/>
  <c r="P3950" i="43"/>
  <c r="P3957" i="43"/>
  <c r="P3965" i="43"/>
  <c r="P3953" i="43"/>
  <c r="P3944" i="43"/>
  <c r="P3951" i="43"/>
  <c r="P3958" i="43"/>
  <c r="P3962" i="43"/>
  <c r="P3942" i="43"/>
  <c r="P3946" i="43"/>
  <c r="P3954" i="43"/>
  <c r="P3959" i="43"/>
  <c r="N3962" i="43"/>
  <c r="N3964" i="43"/>
  <c r="O3899" i="43"/>
  <c r="O3962" i="43"/>
  <c r="R3947" i="43"/>
  <c r="R3960" i="43"/>
  <c r="R3959" i="43"/>
  <c r="R3958" i="43"/>
  <c r="R3957" i="43"/>
  <c r="R3961" i="43"/>
  <c r="O3891" i="43"/>
  <c r="O3954" i="43"/>
  <c r="O3961" i="43"/>
  <c r="N3926" i="43"/>
  <c r="N3961" i="43"/>
  <c r="N3936" i="43"/>
  <c r="K3955" i="43"/>
  <c r="K3956" i="43"/>
  <c r="K3957" i="43"/>
  <c r="K3958" i="43"/>
  <c r="K3953" i="43"/>
  <c r="K3959" i="43"/>
  <c r="K3954" i="43"/>
  <c r="K3960" i="43"/>
  <c r="Q3960" i="43"/>
  <c r="Q3952" i="43"/>
  <c r="Q3959" i="43"/>
  <c r="Q3954" i="43"/>
  <c r="Q3958" i="43"/>
  <c r="Q3951" i="43"/>
  <c r="Q3957" i="43"/>
  <c r="Q3950" i="43"/>
  <c r="Q3956" i="43"/>
  <c r="Q3953" i="43"/>
  <c r="Q3955" i="43"/>
  <c r="O3959" i="43"/>
  <c r="O3960" i="43"/>
  <c r="L3959" i="43"/>
  <c r="L3960" i="43"/>
  <c r="L3958" i="43"/>
  <c r="L3957" i="43"/>
  <c r="O3946" i="43"/>
  <c r="O3896" i="43"/>
  <c r="O3958" i="43"/>
  <c r="O3876" i="43"/>
  <c r="O3957" i="43"/>
  <c r="N3955" i="43"/>
  <c r="N3957" i="43"/>
  <c r="N3956" i="43"/>
  <c r="L3956" i="43"/>
  <c r="L3955" i="43"/>
  <c r="O3956" i="43"/>
  <c r="R3949" i="43"/>
  <c r="R3950" i="43"/>
  <c r="R3951" i="43"/>
  <c r="R3954" i="43"/>
  <c r="R3952" i="43"/>
  <c r="R3953" i="43"/>
  <c r="R3955" i="43"/>
  <c r="N3912" i="43"/>
  <c r="N3934" i="43"/>
  <c r="O3953" i="43"/>
  <c r="N3950" i="43"/>
  <c r="N3952" i="43"/>
  <c r="N3954" i="43"/>
  <c r="N3953" i="43"/>
  <c r="L3820" i="43"/>
  <c r="L3952" i="43"/>
  <c r="K3930" i="43"/>
  <c r="F26" i="16"/>
  <c r="K3952" i="43"/>
  <c r="K3946" i="43"/>
  <c r="K3941" i="43"/>
  <c r="K3934" i="43"/>
  <c r="K3951" i="43"/>
  <c r="K3945" i="43"/>
  <c r="K3939" i="43"/>
  <c r="K3933" i="43"/>
  <c r="K3950" i="43"/>
  <c r="K3944" i="43"/>
  <c r="K3937" i="43"/>
  <c r="K3938" i="43"/>
  <c r="K3949" i="43"/>
  <c r="K3943" i="43"/>
  <c r="K3936" i="43"/>
  <c r="K3948" i="43"/>
  <c r="K3940" i="43"/>
  <c r="K3935" i="43"/>
  <c r="K3947" i="43"/>
  <c r="K3942" i="43"/>
  <c r="O3944" i="43"/>
  <c r="O3951" i="43"/>
  <c r="L3946" i="43"/>
  <c r="L3826" i="43"/>
  <c r="L3947" i="43"/>
  <c r="L3949" i="43"/>
  <c r="L3944" i="43"/>
  <c r="L3948" i="43"/>
  <c r="L3943" i="43"/>
  <c r="L3950" i="43"/>
  <c r="L3945" i="43"/>
  <c r="L3951" i="43"/>
  <c r="N3892" i="43"/>
  <c r="O3948" i="43"/>
  <c r="O3949" i="43"/>
  <c r="O3947" i="43"/>
  <c r="Q3949" i="43"/>
  <c r="Q3948" i="43"/>
  <c r="Q3947" i="43"/>
  <c r="Q3946" i="43"/>
  <c r="Q3945" i="43"/>
  <c r="Q3944" i="43"/>
  <c r="N3862" i="43"/>
  <c r="N3948" i="43"/>
  <c r="R3922" i="43"/>
  <c r="R3945" i="43"/>
  <c r="R3943" i="43"/>
  <c r="R3944" i="43"/>
  <c r="R3946" i="43"/>
  <c r="N3910" i="43"/>
  <c r="N3946" i="43"/>
  <c r="N3945" i="43"/>
  <c r="N3915" i="43"/>
  <c r="N3943" i="43"/>
  <c r="N3944" i="43"/>
  <c r="N3942" i="43"/>
  <c r="Q3932" i="43"/>
  <c r="Q3943" i="43"/>
  <c r="Q3941" i="43"/>
  <c r="R3940" i="43"/>
  <c r="R3942" i="43"/>
  <c r="R3941" i="43"/>
  <c r="O3932" i="43"/>
  <c r="O3942" i="43"/>
  <c r="O3941" i="43"/>
  <c r="O3940" i="43"/>
  <c r="L3767" i="43"/>
  <c r="L3768" i="43"/>
  <c r="L3942" i="43"/>
  <c r="L3937" i="43"/>
  <c r="L3941" i="43"/>
  <c r="L3935" i="43"/>
  <c r="L3939" i="43"/>
  <c r="L3940" i="43"/>
  <c r="L3938" i="43"/>
  <c r="L3934" i="43"/>
  <c r="L3936" i="43"/>
  <c r="N3940" i="43"/>
  <c r="Q3938" i="43"/>
  <c r="Q3939" i="43"/>
  <c r="Q3937" i="43"/>
  <c r="Q3936" i="43"/>
  <c r="Q3933" i="43"/>
  <c r="Q3935" i="43"/>
  <c r="Q3934" i="43"/>
  <c r="Q3940" i="43"/>
  <c r="N3930" i="43"/>
  <c r="N3939" i="43"/>
  <c r="O3939" i="43"/>
  <c r="O3936" i="43"/>
  <c r="O3937" i="43"/>
  <c r="O3938" i="43"/>
  <c r="P3938" i="43"/>
  <c r="P3937" i="43"/>
  <c r="P3939" i="43"/>
  <c r="R3933" i="43"/>
  <c r="R3937" i="43"/>
  <c r="R3936" i="43"/>
  <c r="R3935" i="43"/>
  <c r="R3938" i="43"/>
  <c r="R3934" i="43"/>
  <c r="P3908" i="43"/>
  <c r="P3936" i="43"/>
  <c r="P3935" i="43"/>
  <c r="P3934" i="43"/>
  <c r="P3931" i="43"/>
  <c r="P3933" i="43"/>
  <c r="P3932" i="43"/>
  <c r="P3665" i="43"/>
  <c r="O3918" i="43"/>
  <c r="O3815" i="43"/>
  <c r="O3934" i="43"/>
  <c r="O3935" i="43"/>
  <c r="N3931" i="43"/>
  <c r="N3871" i="43"/>
  <c r="O3933" i="43"/>
  <c r="N3933" i="43"/>
  <c r="K3932" i="43"/>
  <c r="K3931" i="43"/>
  <c r="Q3883" i="43"/>
  <c r="R3918" i="43"/>
  <c r="R3931" i="43"/>
  <c r="R3928" i="43"/>
  <c r="R3932" i="43"/>
  <c r="R3927" i="43"/>
  <c r="R3930" i="43"/>
  <c r="R3926" i="43"/>
  <c r="R3929" i="43"/>
  <c r="O3913" i="43"/>
  <c r="O3651" i="43"/>
  <c r="L3932" i="43"/>
  <c r="L3926" i="43"/>
  <c r="L3931" i="43"/>
  <c r="L3918" i="43"/>
  <c r="L3930" i="43"/>
  <c r="L3925" i="43"/>
  <c r="L3929" i="43"/>
  <c r="L3924" i="43"/>
  <c r="L3928" i="43"/>
  <c r="L3927" i="43"/>
  <c r="N3909" i="43"/>
  <c r="Q3904" i="43"/>
  <c r="Q3931" i="43"/>
  <c r="O3931" i="43"/>
  <c r="O3930" i="43"/>
  <c r="O3929" i="43"/>
  <c r="P3792" i="43"/>
  <c r="P3929" i="43"/>
  <c r="P3928" i="43"/>
  <c r="P3930" i="43"/>
  <c r="N3907" i="43"/>
  <c r="N3911" i="43"/>
  <c r="K3927" i="43"/>
  <c r="K3928" i="43"/>
  <c r="K3929" i="43"/>
  <c r="N3928" i="43"/>
  <c r="N3929" i="43"/>
  <c r="Q3927" i="43"/>
  <c r="Q3929" i="43"/>
  <c r="O3927" i="43"/>
  <c r="O3928" i="43"/>
  <c r="N3893" i="43"/>
  <c r="N3927" i="43"/>
  <c r="O3857" i="43"/>
  <c r="Q3926" i="43"/>
  <c r="Q3918" i="43"/>
  <c r="Q3925" i="43"/>
  <c r="Q3884" i="43"/>
  <c r="O3868" i="43"/>
  <c r="P3926" i="43"/>
  <c r="K3918" i="43"/>
  <c r="K3926" i="43"/>
  <c r="O3926" i="43"/>
  <c r="N3869" i="43"/>
  <c r="N3890" i="43"/>
  <c r="N3918" i="43"/>
  <c r="N3924" i="43"/>
  <c r="N3925" i="43"/>
  <c r="R3923" i="43"/>
  <c r="R3924" i="43"/>
  <c r="R3925" i="43"/>
  <c r="P3921" i="43"/>
  <c r="P3923" i="43"/>
  <c r="P3922" i="43"/>
  <c r="P3924" i="43"/>
  <c r="P3925" i="43"/>
  <c r="P3920" i="43"/>
  <c r="P3918" i="43"/>
  <c r="O3921" i="43"/>
  <c r="O3924" i="43"/>
  <c r="O3925" i="43"/>
  <c r="O3922" i="43"/>
  <c r="O3923" i="43"/>
  <c r="K3924" i="43"/>
  <c r="K3923" i="43"/>
  <c r="Q3923" i="43"/>
  <c r="Q3922" i="43"/>
  <c r="N3920" i="43"/>
  <c r="N3923" i="43"/>
  <c r="N3922" i="43"/>
  <c r="L3778" i="43"/>
  <c r="L3922" i="43"/>
  <c r="K3922" i="43"/>
  <c r="K3921" i="43"/>
  <c r="R3913" i="43"/>
  <c r="R3921" i="43"/>
  <c r="R3915" i="43"/>
  <c r="R3920" i="43"/>
  <c r="R3919" i="43"/>
  <c r="R3917" i="43"/>
  <c r="R3916" i="43"/>
  <c r="R3867" i="43"/>
  <c r="O3786" i="43"/>
  <c r="L3916" i="43"/>
  <c r="L3919" i="43"/>
  <c r="L3917" i="43"/>
  <c r="L3920" i="43"/>
  <c r="L3921" i="43"/>
  <c r="Q3908" i="43"/>
  <c r="Q3921" i="43"/>
  <c r="Q3915" i="43"/>
  <c r="Q3917" i="43"/>
  <c r="Q3919" i="43"/>
  <c r="Q3920" i="43"/>
  <c r="Q3916" i="43"/>
  <c r="Q3855" i="43"/>
  <c r="O3919" i="43"/>
  <c r="O3920" i="43"/>
  <c r="K3915" i="43"/>
  <c r="K3914" i="43"/>
  <c r="K3917" i="43"/>
  <c r="K3916" i="43"/>
  <c r="K3919" i="43"/>
  <c r="N3897" i="43"/>
  <c r="N3919" i="43"/>
  <c r="P3915" i="43"/>
  <c r="P3914" i="43"/>
  <c r="P3916" i="43"/>
  <c r="P3917" i="43"/>
  <c r="O3870" i="43"/>
  <c r="O3916" i="43"/>
  <c r="O3917" i="43"/>
  <c r="N3835" i="43"/>
  <c r="N3886" i="43"/>
  <c r="L3817" i="43"/>
  <c r="L3914" i="43"/>
  <c r="L3915" i="43"/>
  <c r="O3915" i="43"/>
  <c r="Q3865" i="43"/>
  <c r="Q3914" i="43"/>
  <c r="O3914" i="43"/>
  <c r="R3859" i="43"/>
  <c r="R3914" i="43"/>
  <c r="L3819" i="43"/>
  <c r="N3805" i="43"/>
  <c r="P3911" i="43"/>
  <c r="L3907" i="43"/>
  <c r="N3913" i="43"/>
  <c r="P3912" i="43"/>
  <c r="Q3910" i="43"/>
  <c r="L3913" i="43"/>
  <c r="P3913" i="43"/>
  <c r="Q3909" i="43"/>
  <c r="L3908" i="43"/>
  <c r="Q3911" i="43"/>
  <c r="L3909" i="43"/>
  <c r="Q3912" i="43"/>
  <c r="L3910" i="43"/>
  <c r="Q3913" i="43"/>
  <c r="L3911" i="43"/>
  <c r="L3912" i="43"/>
  <c r="K3913" i="43"/>
  <c r="K3911" i="43"/>
  <c r="K3912" i="43"/>
  <c r="K3910" i="43"/>
  <c r="K3909" i="43"/>
  <c r="O3911" i="43"/>
  <c r="O3912" i="43"/>
  <c r="N3887" i="43"/>
  <c r="R3906" i="43"/>
  <c r="R3911" i="43"/>
  <c r="R3912" i="43"/>
  <c r="R3910" i="43"/>
  <c r="R3909" i="43"/>
  <c r="R3908" i="43"/>
  <c r="R3907" i="43"/>
  <c r="O3906" i="43"/>
  <c r="O3907" i="43"/>
  <c r="O3908" i="43"/>
  <c r="O3909" i="43"/>
  <c r="O3910" i="43"/>
  <c r="P3910" i="43"/>
  <c r="P3909" i="43"/>
  <c r="P3907" i="43"/>
  <c r="N3863" i="43"/>
  <c r="N3908" i="43"/>
  <c r="N3872" i="43"/>
  <c r="Q3818" i="43"/>
  <c r="K3878" i="43"/>
  <c r="K3907" i="43"/>
  <c r="K3906" i="43"/>
  <c r="Q3907" i="43"/>
  <c r="Q3906" i="43"/>
  <c r="P3888" i="43"/>
  <c r="P3906" i="43"/>
  <c r="P3905" i="43"/>
  <c r="P3903" i="43"/>
  <c r="P3904" i="43"/>
  <c r="N3905" i="43"/>
  <c r="N3906" i="43"/>
  <c r="K3901" i="43"/>
  <c r="K3905" i="43"/>
  <c r="K3903" i="43"/>
  <c r="K3904" i="43"/>
  <c r="L3903" i="43"/>
  <c r="L3905" i="43"/>
  <c r="L3904" i="43"/>
  <c r="Q3898" i="43"/>
  <c r="Q3905" i="43"/>
  <c r="R3872" i="43"/>
  <c r="R3904" i="43"/>
  <c r="R3903" i="43"/>
  <c r="R3905" i="43"/>
  <c r="O3885" i="43"/>
  <c r="O3901" i="43"/>
  <c r="O3905" i="43"/>
  <c r="O3895" i="43"/>
  <c r="O3903" i="43"/>
  <c r="O3904" i="43"/>
  <c r="N3891" i="43"/>
  <c r="N3904" i="43"/>
  <c r="Q3903" i="43"/>
  <c r="L3801" i="43"/>
  <c r="K3902" i="43"/>
  <c r="Q3902" i="43"/>
  <c r="R3901" i="43"/>
  <c r="Q3901" i="43"/>
  <c r="R3902" i="43"/>
  <c r="N3901" i="43"/>
  <c r="N3902" i="43"/>
  <c r="Q3900" i="43"/>
  <c r="R3900" i="43"/>
  <c r="O3902" i="43"/>
  <c r="Q3899" i="43"/>
  <c r="R3899" i="43"/>
  <c r="P3897" i="43"/>
  <c r="P3902" i="43"/>
  <c r="P3901" i="43"/>
  <c r="K3852" i="43"/>
  <c r="K3899" i="43"/>
  <c r="K3900" i="43"/>
  <c r="K3851" i="43"/>
  <c r="P3900" i="43"/>
  <c r="P3899" i="43"/>
  <c r="O3894" i="43"/>
  <c r="O3900" i="43"/>
  <c r="L3898" i="43"/>
  <c r="L3900" i="43"/>
  <c r="L3899" i="43"/>
  <c r="N3797" i="43"/>
  <c r="N3899" i="43"/>
  <c r="N3879" i="43"/>
  <c r="P3898" i="43"/>
  <c r="R3898" i="43"/>
  <c r="P3690" i="43"/>
  <c r="P3896" i="43"/>
  <c r="Q3897" i="43"/>
  <c r="P3895" i="43"/>
  <c r="N3898" i="43"/>
  <c r="L3897" i="43"/>
  <c r="O3898" i="43"/>
  <c r="K3879" i="43"/>
  <c r="K3897" i="43"/>
  <c r="K3891" i="43"/>
  <c r="K3885" i="43"/>
  <c r="K3896" i="43"/>
  <c r="K3890" i="43"/>
  <c r="K3884" i="43"/>
  <c r="K3895" i="43"/>
  <c r="K3889" i="43"/>
  <c r="K3883" i="43"/>
  <c r="K3894" i="43"/>
  <c r="K3888" i="43"/>
  <c r="K3886" i="43"/>
  <c r="K3892" i="43"/>
  <c r="K3887" i="43"/>
  <c r="K3893" i="43"/>
  <c r="O3897" i="43"/>
  <c r="N3894" i="43"/>
  <c r="R3896" i="43"/>
  <c r="R3897" i="43"/>
  <c r="N3854" i="43"/>
  <c r="N3896" i="43"/>
  <c r="L3896" i="43"/>
  <c r="L3890" i="43"/>
  <c r="L3884" i="43"/>
  <c r="L3893" i="43"/>
  <c r="L3888" i="43"/>
  <c r="L3883" i="43"/>
  <c r="L3895" i="43"/>
  <c r="L3889" i="43"/>
  <c r="L3894" i="43"/>
  <c r="L3887" i="43"/>
  <c r="L3891" i="43"/>
  <c r="L3886" i="43"/>
  <c r="L3892" i="43"/>
  <c r="L3885" i="43"/>
  <c r="L3780" i="43"/>
  <c r="Q3885" i="43"/>
  <c r="Q3896" i="43"/>
  <c r="Q3889" i="43"/>
  <c r="Q3891" i="43"/>
  <c r="Q3890" i="43"/>
  <c r="Q3895" i="43"/>
  <c r="Q3894" i="43"/>
  <c r="Q3888" i="43"/>
  <c r="Q3886" i="43"/>
  <c r="Q3892" i="43"/>
  <c r="Q3887" i="43"/>
  <c r="Q3893" i="43"/>
  <c r="R3883" i="43"/>
  <c r="R3888" i="43"/>
  <c r="R3885" i="43"/>
  <c r="R3891" i="43"/>
  <c r="R3886" i="43"/>
  <c r="R3892" i="43"/>
  <c r="R3881" i="43"/>
  <c r="R3887" i="43"/>
  <c r="R3894" i="43"/>
  <c r="R3882" i="43"/>
  <c r="R3889" i="43"/>
  <c r="R3893" i="43"/>
  <c r="R3884" i="43"/>
  <c r="R3890" i="43"/>
  <c r="R3895" i="43"/>
  <c r="N3881" i="43"/>
  <c r="N3895" i="43"/>
  <c r="O3842" i="43"/>
  <c r="O3856" i="43"/>
  <c r="N3833" i="43"/>
  <c r="O3893" i="43"/>
  <c r="O3892" i="43"/>
  <c r="P3893" i="43"/>
  <c r="P3892" i="43"/>
  <c r="P3894" i="43"/>
  <c r="P3891" i="43"/>
  <c r="P3890" i="43"/>
  <c r="O3890" i="43"/>
  <c r="O3889" i="43"/>
  <c r="O3888" i="43"/>
  <c r="O3887" i="43"/>
  <c r="O3886" i="43"/>
  <c r="O3783" i="43"/>
  <c r="N3885" i="43"/>
  <c r="N3888" i="43"/>
  <c r="N3889" i="43"/>
  <c r="P3689" i="43"/>
  <c r="P3887" i="43"/>
  <c r="P3882" i="43"/>
  <c r="P3886" i="43"/>
  <c r="P3885" i="43"/>
  <c r="P3884" i="43"/>
  <c r="P3883" i="43"/>
  <c r="P3881" i="43"/>
  <c r="Q3849" i="43"/>
  <c r="O3880" i="43"/>
  <c r="O3884" i="43"/>
  <c r="O3883" i="43"/>
  <c r="O3882" i="43"/>
  <c r="O3881" i="43"/>
  <c r="N3870" i="43"/>
  <c r="N3883" i="43"/>
  <c r="N3884" i="43"/>
  <c r="N3882" i="43"/>
  <c r="Q3872" i="43"/>
  <c r="Q3881" i="43"/>
  <c r="Q3882" i="43"/>
  <c r="K3882" i="43"/>
  <c r="L3794" i="43"/>
  <c r="L3881" i="43"/>
  <c r="K3848" i="43"/>
  <c r="K3881" i="43"/>
  <c r="O3740" i="43"/>
  <c r="N3874" i="43"/>
  <c r="Q3880" i="43"/>
  <c r="L3880" i="43"/>
  <c r="P3880" i="43"/>
  <c r="N3880" i="43"/>
  <c r="K3880" i="43"/>
  <c r="P3877" i="43"/>
  <c r="N3858" i="43"/>
  <c r="Q3847" i="43"/>
  <c r="R3877" i="43"/>
  <c r="Q3879" i="43"/>
  <c r="R3879" i="43"/>
  <c r="P3878" i="43"/>
  <c r="L3877" i="43"/>
  <c r="P3879" i="43"/>
  <c r="L3878" i="43"/>
  <c r="L3879" i="43"/>
  <c r="R3878" i="43"/>
  <c r="N3771" i="43"/>
  <c r="O3879" i="43"/>
  <c r="O3878" i="43"/>
  <c r="N3877" i="43"/>
  <c r="N3878" i="43"/>
  <c r="Q3878" i="43"/>
  <c r="Q3877" i="43"/>
  <c r="K3872" i="43"/>
  <c r="K3877" i="43"/>
  <c r="O3874" i="43"/>
  <c r="O3877" i="43"/>
  <c r="Q3876" i="43"/>
  <c r="L3876" i="43"/>
  <c r="R3876" i="43"/>
  <c r="P3876" i="43"/>
  <c r="N3876" i="43"/>
  <c r="K3876" i="43"/>
  <c r="Q3875" i="43"/>
  <c r="L3875" i="43"/>
  <c r="R3875" i="43"/>
  <c r="P3875" i="43"/>
  <c r="N3875" i="43"/>
  <c r="K3875" i="43"/>
  <c r="O3875" i="43"/>
  <c r="L3769" i="43"/>
  <c r="O3860" i="43"/>
  <c r="K3873" i="43"/>
  <c r="L3871" i="43"/>
  <c r="L3874" i="43"/>
  <c r="R3874" i="43"/>
  <c r="P3874" i="43"/>
  <c r="K3874" i="43"/>
  <c r="L3869" i="43"/>
  <c r="L3863" i="43"/>
  <c r="P3873" i="43"/>
  <c r="Q3874" i="43"/>
  <c r="L3872" i="43"/>
  <c r="L3868" i="43"/>
  <c r="K3870" i="43"/>
  <c r="L3866" i="43"/>
  <c r="L3864" i="43"/>
  <c r="K3871" i="43"/>
  <c r="L3873" i="43"/>
  <c r="L3870" i="43"/>
  <c r="O3873" i="43"/>
  <c r="L3867" i="43"/>
  <c r="L3865" i="43"/>
  <c r="R3873" i="43"/>
  <c r="N3873" i="43"/>
  <c r="O3869" i="43"/>
  <c r="O3872" i="43"/>
  <c r="O3871" i="43"/>
  <c r="O3795" i="43"/>
  <c r="R3871" i="43"/>
  <c r="R3804" i="43"/>
  <c r="P3872" i="43"/>
  <c r="P3871" i="43"/>
  <c r="Q3857" i="43"/>
  <c r="Q3871" i="43"/>
  <c r="Q3867" i="43"/>
  <c r="Q3868" i="43"/>
  <c r="Q3869" i="43"/>
  <c r="Q3870" i="43"/>
  <c r="R3868" i="43"/>
  <c r="R3870" i="43"/>
  <c r="R3869" i="43"/>
  <c r="P3869" i="43"/>
  <c r="P3867" i="43"/>
  <c r="P3866" i="43"/>
  <c r="P3870" i="43"/>
  <c r="P3728" i="43"/>
  <c r="P3863" i="43"/>
  <c r="P3865" i="43"/>
  <c r="P3864" i="43"/>
  <c r="P3868" i="43"/>
  <c r="K3847" i="43"/>
  <c r="K3865" i="43"/>
  <c r="K3863" i="43"/>
  <c r="K3867" i="43"/>
  <c r="K3868" i="43"/>
  <c r="K3869" i="43"/>
  <c r="K3866" i="43"/>
  <c r="K3864" i="43"/>
  <c r="N3855" i="43"/>
  <c r="N3867" i="43"/>
  <c r="N3868" i="43"/>
  <c r="N3865" i="43"/>
  <c r="N3866" i="43"/>
  <c r="N3864" i="43"/>
  <c r="O3839" i="43"/>
  <c r="O3866" i="43"/>
  <c r="O3867" i="43"/>
  <c r="R3757" i="43"/>
  <c r="R3865" i="43"/>
  <c r="R3866" i="43"/>
  <c r="R3864" i="43"/>
  <c r="R3863" i="43"/>
  <c r="O3846" i="43"/>
  <c r="O3865" i="43"/>
  <c r="Q3864" i="43"/>
  <c r="N3843" i="43"/>
  <c r="O3785" i="43"/>
  <c r="N3762" i="43"/>
  <c r="Q3863" i="43"/>
  <c r="O3830" i="43"/>
  <c r="O3863" i="43"/>
  <c r="N3841" i="43"/>
  <c r="Q3861" i="43"/>
  <c r="N3853" i="43"/>
  <c r="O3782" i="43"/>
  <c r="Q3862" i="43"/>
  <c r="L3862" i="43"/>
  <c r="R3862" i="43"/>
  <c r="P3862" i="43"/>
  <c r="K3862" i="43"/>
  <c r="O3862" i="43"/>
  <c r="Q3845" i="43"/>
  <c r="L3861" i="43"/>
  <c r="R3861" i="43"/>
  <c r="P3861" i="43"/>
  <c r="N3861" i="43"/>
  <c r="K3861" i="43"/>
  <c r="O3861" i="43"/>
  <c r="L3745" i="43"/>
  <c r="N3799" i="43"/>
  <c r="Q3860" i="43"/>
  <c r="Q3859" i="43"/>
  <c r="P3859" i="43"/>
  <c r="L3859" i="43"/>
  <c r="N3860" i="43"/>
  <c r="P3860" i="43"/>
  <c r="L3860" i="43"/>
  <c r="N3859" i="43"/>
  <c r="K3859" i="43"/>
  <c r="O3859" i="43"/>
  <c r="K3856" i="43"/>
  <c r="K3860" i="43"/>
  <c r="R3860" i="43"/>
  <c r="R3834" i="43"/>
  <c r="L3759" i="43"/>
  <c r="N3793" i="43"/>
  <c r="P3856" i="43"/>
  <c r="Q3856" i="43"/>
  <c r="K3853" i="43"/>
  <c r="P3858" i="43"/>
  <c r="Q3858" i="43"/>
  <c r="K3857" i="43"/>
  <c r="P3853" i="43"/>
  <c r="K3858" i="43"/>
  <c r="N3719" i="43"/>
  <c r="P3857" i="43"/>
  <c r="L3855" i="43"/>
  <c r="P3851" i="43"/>
  <c r="K3854" i="43"/>
  <c r="L3858" i="43"/>
  <c r="P3855" i="43"/>
  <c r="P3852" i="43"/>
  <c r="K3855" i="43"/>
  <c r="L3857" i="43"/>
  <c r="P3854" i="43"/>
  <c r="L3856" i="43"/>
  <c r="O3779" i="43"/>
  <c r="R3854" i="43"/>
  <c r="R3856" i="43"/>
  <c r="R3853" i="43"/>
  <c r="R3855" i="43"/>
  <c r="R3852" i="43"/>
  <c r="R3857" i="43"/>
  <c r="R3851" i="43"/>
  <c r="R3858" i="43"/>
  <c r="O3850" i="43"/>
  <c r="O3858" i="43"/>
  <c r="N3856" i="43"/>
  <c r="N3857" i="43"/>
  <c r="O3829" i="43"/>
  <c r="N3789" i="43"/>
  <c r="O3837" i="43"/>
  <c r="O3840" i="43"/>
  <c r="O3855" i="43"/>
  <c r="O3854" i="43"/>
  <c r="O3853" i="43"/>
  <c r="Q3854" i="43"/>
  <c r="Q3853" i="43"/>
  <c r="Q3852" i="43"/>
  <c r="Q3851" i="43"/>
  <c r="L3772" i="43"/>
  <c r="L3853" i="43"/>
  <c r="L3854" i="43"/>
  <c r="L3852" i="43"/>
  <c r="L3851" i="43"/>
  <c r="O3851" i="43"/>
  <c r="O3852" i="43"/>
  <c r="N3828" i="43"/>
  <c r="N3852" i="43"/>
  <c r="N3851" i="43"/>
  <c r="O3729" i="43"/>
  <c r="O3742" i="43"/>
  <c r="P3842" i="43"/>
  <c r="P3845" i="43"/>
  <c r="P3841" i="43"/>
  <c r="P3846" i="43"/>
  <c r="L3847" i="43"/>
  <c r="P3827" i="43"/>
  <c r="P3848" i="43"/>
  <c r="K3850" i="43"/>
  <c r="L3848" i="43"/>
  <c r="P3829" i="43"/>
  <c r="P3847" i="43"/>
  <c r="K3849" i="43"/>
  <c r="L3850" i="43"/>
  <c r="P3833" i="43"/>
  <c r="P3849" i="43"/>
  <c r="L3849" i="43"/>
  <c r="P3834" i="43"/>
  <c r="P3850" i="43"/>
  <c r="N3849" i="43"/>
  <c r="N3850" i="43"/>
  <c r="R3848" i="43"/>
  <c r="R3850" i="43"/>
  <c r="R3849" i="43"/>
  <c r="R3770" i="43"/>
  <c r="Q3850" i="43"/>
  <c r="Q3844" i="43"/>
  <c r="O3849" i="43"/>
  <c r="R3843" i="43"/>
  <c r="R3844" i="43"/>
  <c r="R3845" i="43"/>
  <c r="R3846" i="43"/>
  <c r="R3841" i="43"/>
  <c r="R3847" i="43"/>
  <c r="R3842" i="43"/>
  <c r="Q3846" i="43"/>
  <c r="Q3848" i="43"/>
  <c r="Q3825" i="43"/>
  <c r="O3798" i="43"/>
  <c r="O3847" i="43"/>
  <c r="O3848" i="43"/>
  <c r="N3847" i="43"/>
  <c r="N3848" i="43"/>
  <c r="K3840" i="43"/>
  <c r="K3832" i="43"/>
  <c r="K3843" i="43"/>
  <c r="K3842" i="43"/>
  <c r="K3844" i="43"/>
  <c r="K3839" i="43"/>
  <c r="K3845" i="43"/>
  <c r="K3838" i="43"/>
  <c r="K3846" i="43"/>
  <c r="K3841" i="43"/>
  <c r="O3814" i="43"/>
  <c r="N3838" i="43"/>
  <c r="N3846" i="43"/>
  <c r="N3845" i="43"/>
  <c r="L3843" i="43"/>
  <c r="L3844" i="43"/>
  <c r="L3845" i="43"/>
  <c r="L3846" i="43"/>
  <c r="O3845" i="43"/>
  <c r="P3828" i="43"/>
  <c r="P3835" i="43"/>
  <c r="P3838" i="43"/>
  <c r="P3824" i="43"/>
  <c r="P3830" i="43"/>
  <c r="P3837" i="43"/>
  <c r="P3840" i="43"/>
  <c r="P3825" i="43"/>
  <c r="P3831" i="43"/>
  <c r="P3836" i="43"/>
  <c r="P3843" i="43"/>
  <c r="P3826" i="43"/>
  <c r="P3832" i="43"/>
  <c r="P3839" i="43"/>
  <c r="P3844" i="43"/>
  <c r="O3823" i="43"/>
  <c r="O3843" i="43"/>
  <c r="O3844" i="43"/>
  <c r="N3844" i="43"/>
  <c r="Q3838" i="43"/>
  <c r="Q3843" i="43"/>
  <c r="Q3839" i="43"/>
  <c r="Q3840" i="43"/>
  <c r="Q3841" i="43"/>
  <c r="Q3842" i="43"/>
  <c r="Q3834" i="43"/>
  <c r="L3802" i="43"/>
  <c r="L3842" i="43"/>
  <c r="L3838" i="43"/>
  <c r="L3840" i="43"/>
  <c r="L3841" i="43"/>
  <c r="L3839" i="43"/>
  <c r="N3842" i="43"/>
  <c r="O3841" i="43"/>
  <c r="N3840" i="43"/>
  <c r="N3839" i="43"/>
  <c r="R3839" i="43"/>
  <c r="R3840" i="43"/>
  <c r="R3838" i="43"/>
  <c r="R3836" i="43"/>
  <c r="R3837" i="43"/>
  <c r="R3822" i="43"/>
  <c r="O3754" i="43"/>
  <c r="O3838" i="43"/>
  <c r="Q3812" i="43"/>
  <c r="Q3833" i="43"/>
  <c r="Q3835" i="43"/>
  <c r="Q3837" i="43"/>
  <c r="Q3836" i="43"/>
  <c r="Q3832" i="43"/>
  <c r="L3523" i="43"/>
  <c r="L3837" i="43"/>
  <c r="L3836" i="43"/>
  <c r="L3835" i="43"/>
  <c r="L3834" i="43"/>
  <c r="L3833" i="43"/>
  <c r="K3787" i="43"/>
  <c r="K3837" i="43"/>
  <c r="K3831" i="43"/>
  <c r="K3834" i="43"/>
  <c r="K3830" i="43"/>
  <c r="K3826" i="43"/>
  <c r="K3836" i="43"/>
  <c r="K3829" i="43"/>
  <c r="K3828" i="43"/>
  <c r="K3835" i="43"/>
  <c r="K3827" i="43"/>
  <c r="K3833" i="43"/>
  <c r="K3806" i="43"/>
  <c r="K3821" i="43"/>
  <c r="N3831" i="43"/>
  <c r="N3837" i="43"/>
  <c r="N3836" i="43"/>
  <c r="N3832" i="43"/>
  <c r="O3773" i="43"/>
  <c r="O3835" i="43"/>
  <c r="O3834" i="43"/>
  <c r="R3815" i="43"/>
  <c r="R3835" i="43"/>
  <c r="R3737" i="43"/>
  <c r="N3834" i="43"/>
  <c r="R3829" i="43"/>
  <c r="R3828" i="43"/>
  <c r="R3824" i="43"/>
  <c r="R3830" i="43"/>
  <c r="R3825" i="43"/>
  <c r="R3832" i="43"/>
  <c r="R3826" i="43"/>
  <c r="R3831" i="43"/>
  <c r="R3827" i="43"/>
  <c r="R3833" i="43"/>
  <c r="N3810" i="43"/>
  <c r="O3833" i="43"/>
  <c r="L3822" i="43"/>
  <c r="L3832" i="43"/>
  <c r="L3831" i="43"/>
  <c r="L3830" i="43"/>
  <c r="L3828" i="43"/>
  <c r="L3829" i="43"/>
  <c r="O3828" i="43"/>
  <c r="O3831" i="43"/>
  <c r="O3832" i="43"/>
  <c r="O3807" i="43"/>
  <c r="Q3830" i="43"/>
  <c r="Q3829" i="43"/>
  <c r="Q3828" i="43"/>
  <c r="Q3826" i="43"/>
  <c r="Q3827" i="43"/>
  <c r="N3791" i="43"/>
  <c r="N3830" i="43"/>
  <c r="N3738" i="43"/>
  <c r="N3829" i="43"/>
  <c r="N3803" i="43"/>
  <c r="N3827" i="43"/>
  <c r="N3826" i="43"/>
  <c r="N3825" i="43"/>
  <c r="N3824" i="43"/>
  <c r="O3826" i="43"/>
  <c r="O3827" i="43"/>
  <c r="O3825" i="43"/>
  <c r="L3824" i="43"/>
  <c r="L3825" i="43"/>
  <c r="K3824" i="43"/>
  <c r="K3825" i="43"/>
  <c r="Q3819" i="43"/>
  <c r="Q3824" i="43"/>
  <c r="O3718" i="43"/>
  <c r="O3824" i="43"/>
  <c r="O3774" i="43"/>
  <c r="O3813" i="43"/>
  <c r="N3796" i="43"/>
  <c r="Q3823" i="43"/>
  <c r="L3823" i="43"/>
  <c r="R3823" i="43"/>
  <c r="P3823" i="43"/>
  <c r="N3823" i="43"/>
  <c r="K3823" i="43"/>
  <c r="Q3822" i="43"/>
  <c r="P3822" i="43"/>
  <c r="N3822" i="43"/>
  <c r="K3822" i="43"/>
  <c r="O3822" i="43"/>
  <c r="L3815" i="43"/>
  <c r="Q3821" i="43"/>
  <c r="L3821" i="43"/>
  <c r="R3821" i="43"/>
  <c r="P3821" i="43"/>
  <c r="N3821" i="43"/>
  <c r="O3821" i="43"/>
  <c r="Q3820" i="43"/>
  <c r="R3820" i="43"/>
  <c r="P3820" i="43"/>
  <c r="N3820" i="43"/>
  <c r="K3820" i="43"/>
  <c r="O3820" i="43"/>
  <c r="K3766" i="43"/>
  <c r="Q3590" i="43"/>
  <c r="R3819" i="43"/>
  <c r="N3817" i="43"/>
  <c r="K3784" i="43"/>
  <c r="R3818" i="43"/>
  <c r="P3819" i="43"/>
  <c r="N3819" i="43"/>
  <c r="K3819" i="43"/>
  <c r="O3819" i="43"/>
  <c r="O3816" i="43"/>
  <c r="P3675" i="43"/>
  <c r="N3814" i="43"/>
  <c r="P3816" i="43"/>
  <c r="L3818" i="43"/>
  <c r="K3640" i="43"/>
  <c r="N3818" i="43"/>
  <c r="P3814" i="43"/>
  <c r="R3812" i="43"/>
  <c r="K3814" i="43"/>
  <c r="P3815" i="43"/>
  <c r="R3813" i="43"/>
  <c r="K3815" i="43"/>
  <c r="L3812" i="43"/>
  <c r="P3818" i="43"/>
  <c r="R3816" i="43"/>
  <c r="K3817" i="43"/>
  <c r="O3818" i="43"/>
  <c r="P3817" i="43"/>
  <c r="R3817" i="43"/>
  <c r="K3816" i="43"/>
  <c r="O3717" i="43"/>
  <c r="N3815" i="43"/>
  <c r="O3817" i="43"/>
  <c r="P3813" i="43"/>
  <c r="R3814" i="43"/>
  <c r="K3818" i="43"/>
  <c r="N3816" i="43"/>
  <c r="Q3811" i="43"/>
  <c r="Q3814" i="43"/>
  <c r="Q3817" i="43"/>
  <c r="Q3815" i="43"/>
  <c r="Q3816" i="43"/>
  <c r="Q3813" i="43"/>
  <c r="L3813" i="43"/>
  <c r="L3816" i="43"/>
  <c r="L3814" i="43"/>
  <c r="K3813" i="43"/>
  <c r="K3807" i="43"/>
  <c r="K3812" i="43"/>
  <c r="K3811" i="43"/>
  <c r="K3810" i="43"/>
  <c r="K3809" i="43"/>
  <c r="K3808" i="43"/>
  <c r="N3765" i="43"/>
  <c r="N3790" i="43"/>
  <c r="N3812" i="43"/>
  <c r="N3813" i="43"/>
  <c r="O3781" i="43"/>
  <c r="O3812" i="43"/>
  <c r="O3811" i="43"/>
  <c r="P3810" i="43"/>
  <c r="P3811" i="43"/>
  <c r="P3812" i="43"/>
  <c r="N3753" i="43"/>
  <c r="N3811" i="43"/>
  <c r="Q3810" i="43"/>
  <c r="L3803" i="43"/>
  <c r="L3811" i="43"/>
  <c r="L3810" i="43"/>
  <c r="L3809" i="43"/>
  <c r="L3808" i="43"/>
  <c r="L3807" i="43"/>
  <c r="L3806" i="43"/>
  <c r="R3808" i="43"/>
  <c r="R3810" i="43"/>
  <c r="R3809" i="43"/>
  <c r="O3749" i="43"/>
  <c r="O3810" i="43"/>
  <c r="O3809" i="43"/>
  <c r="N3808" i="43"/>
  <c r="N3809" i="43"/>
  <c r="P3798" i="43"/>
  <c r="P3805" i="43"/>
  <c r="P3795" i="43"/>
  <c r="P3807" i="43"/>
  <c r="P3806" i="43"/>
  <c r="P3797" i="43"/>
  <c r="P3808" i="43"/>
  <c r="P3793" i="43"/>
  <c r="P3809" i="43"/>
  <c r="Q3804" i="43"/>
  <c r="Q3809" i="43"/>
  <c r="Q3797" i="43"/>
  <c r="Q3808" i="43"/>
  <c r="Q3807" i="43"/>
  <c r="Q3806" i="43"/>
  <c r="Q3805" i="43"/>
  <c r="O3799" i="43"/>
  <c r="O3808" i="43"/>
  <c r="R3806" i="43"/>
  <c r="R3807" i="43"/>
  <c r="N3806" i="43"/>
  <c r="N3807" i="43"/>
  <c r="O3806" i="43"/>
  <c r="K3800" i="43"/>
  <c r="K3805" i="43"/>
  <c r="K3802" i="43"/>
  <c r="O3776" i="43"/>
  <c r="R3799" i="43"/>
  <c r="R3805" i="43"/>
  <c r="O3805" i="43"/>
  <c r="L3804" i="43"/>
  <c r="L3805" i="43"/>
  <c r="N3804" i="43"/>
  <c r="O3804" i="43"/>
  <c r="P3801" i="43"/>
  <c r="Q3803" i="43"/>
  <c r="R3687" i="43"/>
  <c r="O3802" i="43"/>
  <c r="P3800" i="43"/>
  <c r="P3803" i="43"/>
  <c r="K3804" i="43"/>
  <c r="O3801" i="43"/>
  <c r="P3794" i="43"/>
  <c r="P3796" i="43"/>
  <c r="K3803" i="43"/>
  <c r="P3802" i="43"/>
  <c r="P3804" i="43"/>
  <c r="O3803" i="43"/>
  <c r="P3799" i="43"/>
  <c r="Q3802" i="43"/>
  <c r="O3800" i="43"/>
  <c r="Q3801" i="43"/>
  <c r="R3800" i="43"/>
  <c r="R3801" i="43"/>
  <c r="R3802" i="43"/>
  <c r="R3803" i="43"/>
  <c r="N3802" i="43"/>
  <c r="N3801" i="43"/>
  <c r="K3739" i="43"/>
  <c r="K3801" i="43"/>
  <c r="K3724" i="43"/>
  <c r="Q3798" i="43"/>
  <c r="Q3799" i="43"/>
  <c r="Q3800" i="43"/>
  <c r="N3792" i="43"/>
  <c r="N3798" i="43"/>
  <c r="N3800" i="43"/>
  <c r="R3795" i="43"/>
  <c r="R3775" i="43"/>
  <c r="R3796" i="43"/>
  <c r="R3797" i="43"/>
  <c r="R3798" i="43"/>
  <c r="O3741" i="43"/>
  <c r="L3799" i="43"/>
  <c r="L3798" i="43"/>
  <c r="L3797" i="43"/>
  <c r="L3796" i="43"/>
  <c r="L3795" i="43"/>
  <c r="K3799" i="43"/>
  <c r="K3798" i="43"/>
  <c r="K3797" i="43"/>
  <c r="K3796" i="43"/>
  <c r="K3795" i="43"/>
  <c r="K3794" i="43"/>
  <c r="N3756" i="43"/>
  <c r="N3681" i="43"/>
  <c r="Q3794" i="43"/>
  <c r="Q3699" i="43"/>
  <c r="Q3793" i="43"/>
  <c r="Q3795" i="43"/>
  <c r="Q3796" i="43"/>
  <c r="O3794" i="43"/>
  <c r="O3797" i="43"/>
  <c r="O3796" i="43"/>
  <c r="O3763" i="43"/>
  <c r="N3795" i="43"/>
  <c r="R3774" i="43"/>
  <c r="R3792" i="43"/>
  <c r="R3793" i="43"/>
  <c r="R3794" i="43"/>
  <c r="R3791" i="43"/>
  <c r="R3789" i="43"/>
  <c r="R3790" i="43"/>
  <c r="N3794" i="43"/>
  <c r="O3791" i="43"/>
  <c r="O3648" i="43"/>
  <c r="O3790" i="43"/>
  <c r="O3716" i="43"/>
  <c r="O3670" i="43"/>
  <c r="O3793" i="43"/>
  <c r="O3792" i="43"/>
  <c r="L3793" i="43"/>
  <c r="L3792" i="43"/>
  <c r="L3791" i="43"/>
  <c r="L3790" i="43"/>
  <c r="L3789" i="43"/>
  <c r="L3788" i="43"/>
  <c r="K3758" i="43"/>
  <c r="K3793" i="43"/>
  <c r="K3792" i="43"/>
  <c r="K3789" i="43"/>
  <c r="K3791" i="43"/>
  <c r="K3790" i="43"/>
  <c r="K3788" i="43"/>
  <c r="Q3792" i="43"/>
  <c r="Q3791" i="43"/>
  <c r="Q3790" i="43"/>
  <c r="P3788" i="43"/>
  <c r="P3791" i="43"/>
  <c r="P3789" i="43"/>
  <c r="P3790" i="43"/>
  <c r="O3787" i="43"/>
  <c r="O3789" i="43"/>
  <c r="Q3752" i="43"/>
  <c r="Q3789" i="43"/>
  <c r="O3788" i="43"/>
  <c r="R3788" i="43"/>
  <c r="N3787" i="43"/>
  <c r="N3788" i="43"/>
  <c r="Q3786" i="43"/>
  <c r="Q3787" i="43"/>
  <c r="Q3788" i="43"/>
  <c r="R3783" i="43"/>
  <c r="R3777" i="43"/>
  <c r="R3782" i="43"/>
  <c r="R3778" i="43"/>
  <c r="R3785" i="43"/>
  <c r="R3779" i="43"/>
  <c r="R3784" i="43"/>
  <c r="R3781" i="43"/>
  <c r="R3786" i="43"/>
  <c r="R3776" i="43"/>
  <c r="R3780" i="43"/>
  <c r="R3787" i="43"/>
  <c r="P3785" i="43"/>
  <c r="P3786" i="43"/>
  <c r="P3787" i="43"/>
  <c r="L3779" i="43"/>
  <c r="L3787" i="43"/>
  <c r="L3781" i="43"/>
  <c r="L3786" i="43"/>
  <c r="L3785" i="43"/>
  <c r="L3784" i="43"/>
  <c r="L3782" i="43"/>
  <c r="L3783" i="43"/>
  <c r="O3777" i="43"/>
  <c r="N3677" i="43"/>
  <c r="K3786" i="43"/>
  <c r="K3785" i="43"/>
  <c r="N3784" i="43"/>
  <c r="N3786" i="43"/>
  <c r="Q3754" i="43"/>
  <c r="Q3768" i="43"/>
  <c r="Q3774" i="43"/>
  <c r="Q3781" i="43"/>
  <c r="Q3756" i="43"/>
  <c r="Q3763" i="43"/>
  <c r="Q3767" i="43"/>
  <c r="Q3775" i="43"/>
  <c r="Q3780" i="43"/>
  <c r="Q3757" i="43"/>
  <c r="Q3762" i="43"/>
  <c r="Q3765" i="43"/>
  <c r="Q3772" i="43"/>
  <c r="Q3776" i="43"/>
  <c r="Q3782" i="43"/>
  <c r="Q3759" i="43"/>
  <c r="Q3755" i="43"/>
  <c r="Q3764" i="43"/>
  <c r="Q3771" i="43"/>
  <c r="Q3778" i="43"/>
  <c r="Q3783" i="43"/>
  <c r="Q3758" i="43"/>
  <c r="Q3766" i="43"/>
  <c r="Q3773" i="43"/>
  <c r="Q3777" i="43"/>
  <c r="Q3785" i="43"/>
  <c r="Q3753" i="43"/>
  <c r="Q3769" i="43"/>
  <c r="Q3770" i="43"/>
  <c r="Q3779" i="43"/>
  <c r="Q3784" i="43"/>
  <c r="N3683" i="43"/>
  <c r="N3785" i="43"/>
  <c r="O3701" i="43"/>
  <c r="O3784" i="43"/>
  <c r="O3748" i="43"/>
  <c r="P3769" i="43"/>
  <c r="P3773" i="43"/>
  <c r="P3779" i="43"/>
  <c r="P3761" i="43"/>
  <c r="P3768" i="43"/>
  <c r="P3774" i="43"/>
  <c r="P3781" i="43"/>
  <c r="P3762" i="43"/>
  <c r="P3763" i="43"/>
  <c r="P3767" i="43"/>
  <c r="P3776" i="43"/>
  <c r="P3780" i="43"/>
  <c r="P3764" i="43"/>
  <c r="P3772" i="43"/>
  <c r="P3775" i="43"/>
  <c r="P3782" i="43"/>
  <c r="P3765" i="43"/>
  <c r="P3770" i="43"/>
  <c r="P3777" i="43"/>
  <c r="P3783" i="43"/>
  <c r="P3766" i="43"/>
  <c r="P3771" i="43"/>
  <c r="P3778" i="43"/>
  <c r="P3784" i="43"/>
  <c r="N3672" i="43"/>
  <c r="N3702" i="43"/>
  <c r="N3783" i="43"/>
  <c r="N3782" i="43"/>
  <c r="K3780" i="43"/>
  <c r="K3783" i="43"/>
  <c r="K3782" i="43"/>
  <c r="K3781" i="43"/>
  <c r="N3743" i="43"/>
  <c r="N3781" i="43"/>
  <c r="O3710" i="43"/>
  <c r="O3780" i="43"/>
  <c r="N3777" i="43"/>
  <c r="N3780" i="43"/>
  <c r="N3779" i="43"/>
  <c r="K3770" i="43"/>
  <c r="K3779" i="43"/>
  <c r="K3778" i="43"/>
  <c r="O3778" i="43"/>
  <c r="N3666" i="43"/>
  <c r="N3778" i="43"/>
  <c r="L3777" i="43"/>
  <c r="L3776" i="43"/>
  <c r="L3775" i="43"/>
  <c r="L3774" i="43"/>
  <c r="L3773" i="43"/>
  <c r="K3712" i="43"/>
  <c r="K3775" i="43"/>
  <c r="K3776" i="43"/>
  <c r="K3777" i="43"/>
  <c r="N3770" i="43"/>
  <c r="N3775" i="43"/>
  <c r="N3776" i="43"/>
  <c r="N3774" i="43"/>
  <c r="N3772" i="43"/>
  <c r="N3773" i="43"/>
  <c r="O3775" i="43"/>
  <c r="K3760" i="43"/>
  <c r="K3772" i="43"/>
  <c r="K3773" i="43"/>
  <c r="K3774" i="43"/>
  <c r="O3711" i="43"/>
  <c r="R3772" i="43"/>
  <c r="R3773" i="43"/>
  <c r="R3771" i="43"/>
  <c r="O3769" i="43"/>
  <c r="O3768" i="43"/>
  <c r="O3767" i="43"/>
  <c r="O3771" i="43"/>
  <c r="O3772" i="43"/>
  <c r="O3770" i="43"/>
  <c r="K3771" i="43"/>
  <c r="L3771" i="43"/>
  <c r="L3770" i="43"/>
  <c r="N3682" i="43"/>
  <c r="N3767" i="43"/>
  <c r="N3769" i="43"/>
  <c r="N3768" i="43"/>
  <c r="K3768" i="43"/>
  <c r="K3769" i="43"/>
  <c r="R3756" i="43"/>
  <c r="R3769" i="43"/>
  <c r="R3765" i="43"/>
  <c r="R3767" i="43"/>
  <c r="R3768" i="43"/>
  <c r="R3766" i="43"/>
  <c r="R3764" i="43"/>
  <c r="R3763" i="43"/>
  <c r="K3696" i="43"/>
  <c r="K3722" i="43"/>
  <c r="K3767" i="43"/>
  <c r="L3762" i="43"/>
  <c r="L3766" i="43"/>
  <c r="L3763" i="43"/>
  <c r="L3765" i="43"/>
  <c r="O3765" i="43"/>
  <c r="O3764" i="43"/>
  <c r="O3766" i="43"/>
  <c r="N3735" i="43"/>
  <c r="N3766" i="43"/>
  <c r="K3730" i="43"/>
  <c r="K3765" i="43"/>
  <c r="N3764" i="43"/>
  <c r="N3763" i="43"/>
  <c r="N3676" i="43"/>
  <c r="K3763" i="43"/>
  <c r="K3764" i="43"/>
  <c r="R3760" i="43"/>
  <c r="R3759" i="43"/>
  <c r="Q3761" i="43"/>
  <c r="R3762" i="43"/>
  <c r="Q3760" i="43"/>
  <c r="L3760" i="43"/>
  <c r="O3762" i="43"/>
  <c r="K3761" i="43"/>
  <c r="R3758" i="43"/>
  <c r="L3761" i="43"/>
  <c r="K3762" i="43"/>
  <c r="R3761" i="43"/>
  <c r="O3758" i="43"/>
  <c r="O3759" i="43"/>
  <c r="O3760" i="43"/>
  <c r="O3692" i="43"/>
  <c r="O3757" i="43"/>
  <c r="O3761" i="43"/>
  <c r="N3714" i="43"/>
  <c r="N3761" i="43"/>
  <c r="N3758" i="43"/>
  <c r="N3760" i="43"/>
  <c r="N3757" i="43"/>
  <c r="N3759" i="43"/>
  <c r="P3756" i="43"/>
  <c r="P3754" i="43"/>
  <c r="P3759" i="43"/>
  <c r="P3760" i="43"/>
  <c r="P3755" i="43"/>
  <c r="P3757" i="43"/>
  <c r="P3753" i="43"/>
  <c r="P3758" i="43"/>
  <c r="K3759" i="43"/>
  <c r="L3758" i="43"/>
  <c r="L3752" i="43"/>
  <c r="L3755" i="43"/>
  <c r="L3750" i="43"/>
  <c r="L3756" i="43"/>
  <c r="L3751" i="43"/>
  <c r="L3754" i="43"/>
  <c r="L3757" i="43"/>
  <c r="L3753" i="43"/>
  <c r="K3688" i="43"/>
  <c r="K3747" i="43"/>
  <c r="K3754" i="43"/>
  <c r="K3746" i="43"/>
  <c r="K3752" i="43"/>
  <c r="K3748" i="43"/>
  <c r="K3753" i="43"/>
  <c r="K3751" i="43"/>
  <c r="K3755" i="43"/>
  <c r="K3749" i="43"/>
  <c r="K3757" i="43"/>
  <c r="K3750" i="43"/>
  <c r="K3756" i="43"/>
  <c r="O3723" i="43"/>
  <c r="O3756" i="43"/>
  <c r="O3755" i="43"/>
  <c r="N3755" i="43"/>
  <c r="R3753" i="43"/>
  <c r="R3754" i="43"/>
  <c r="N3751" i="43"/>
  <c r="N3754" i="43"/>
  <c r="O3751" i="43"/>
  <c r="O3750" i="43"/>
  <c r="O3752" i="43"/>
  <c r="O3753" i="43"/>
  <c r="P3747" i="43"/>
  <c r="P3746" i="43"/>
  <c r="P3741" i="43"/>
  <c r="P3751" i="43"/>
  <c r="P3742" i="43"/>
  <c r="P3748" i="43"/>
  <c r="P3743" i="43"/>
  <c r="P3749" i="43"/>
  <c r="P3744" i="43"/>
  <c r="P3750" i="43"/>
  <c r="P3745" i="43"/>
  <c r="P3752" i="43"/>
  <c r="N3752" i="43"/>
  <c r="Q3684" i="43"/>
  <c r="Q3751" i="43"/>
  <c r="Q3750" i="43"/>
  <c r="R3541" i="43"/>
  <c r="R3751" i="43"/>
  <c r="N3750" i="43"/>
  <c r="R3747" i="43"/>
  <c r="R3750" i="43"/>
  <c r="R3749" i="43"/>
  <c r="R3748" i="43"/>
  <c r="L3710" i="43"/>
  <c r="L3749" i="43"/>
  <c r="L3748" i="43"/>
  <c r="L3746" i="43"/>
  <c r="L3747" i="43"/>
  <c r="L3725" i="43"/>
  <c r="N3663" i="43"/>
  <c r="N3749" i="43"/>
  <c r="Q3729" i="43"/>
  <c r="Q3749" i="43"/>
  <c r="Q3747" i="43"/>
  <c r="Q3748" i="43"/>
  <c r="Q3746" i="43"/>
  <c r="Q3745" i="43"/>
  <c r="Q3743" i="43"/>
  <c r="Q3744" i="43"/>
  <c r="Q3731" i="43"/>
  <c r="N3745" i="43"/>
  <c r="N3748" i="43"/>
  <c r="N3747" i="43"/>
  <c r="O3747" i="43"/>
  <c r="O3649" i="43"/>
  <c r="O3746" i="43"/>
  <c r="P19" i="16"/>
  <c r="R3733" i="43"/>
  <c r="R3746" i="43"/>
  <c r="N3668" i="43"/>
  <c r="N3746" i="43"/>
  <c r="N3715" i="43"/>
  <c r="K3745" i="43"/>
  <c r="O3739" i="43"/>
  <c r="O3745" i="43"/>
  <c r="O3744" i="43"/>
  <c r="O3743" i="43"/>
  <c r="N3744" i="43"/>
  <c r="R3744" i="43"/>
  <c r="R3745" i="43"/>
  <c r="L3734" i="43"/>
  <c r="L3735" i="43"/>
  <c r="L3742" i="43"/>
  <c r="L3739" i="43"/>
  <c r="L3741" i="43"/>
  <c r="L3738" i="43"/>
  <c r="L3743" i="43"/>
  <c r="L3736" i="43"/>
  <c r="L3744" i="43"/>
  <c r="K3744" i="43"/>
  <c r="K3743" i="43"/>
  <c r="K3742" i="43"/>
  <c r="K3741" i="43"/>
  <c r="R3738" i="43"/>
  <c r="R3743" i="43"/>
  <c r="N3740" i="43"/>
  <c r="N3742" i="43"/>
  <c r="O3620" i="43"/>
  <c r="Q3740" i="43"/>
  <c r="Q3741" i="43"/>
  <c r="Q3742" i="43"/>
  <c r="R3741" i="43"/>
  <c r="R3742" i="43"/>
  <c r="N3709" i="43"/>
  <c r="N3741" i="43"/>
  <c r="R3739" i="43"/>
  <c r="R3489" i="43"/>
  <c r="R3740" i="43"/>
  <c r="R3655" i="43"/>
  <c r="K3740" i="43"/>
  <c r="P3735" i="43"/>
  <c r="L3729" i="43"/>
  <c r="P3738" i="43"/>
  <c r="L3728" i="43"/>
  <c r="P3734" i="43"/>
  <c r="L3740" i="43"/>
  <c r="K3655" i="43"/>
  <c r="P3736" i="43"/>
  <c r="L3737" i="43"/>
  <c r="P3739" i="43"/>
  <c r="P3737" i="43"/>
  <c r="R3604" i="43"/>
  <c r="R3616" i="43"/>
  <c r="P3740" i="43"/>
  <c r="Q3734" i="43"/>
  <c r="Q3736" i="43"/>
  <c r="Q3735" i="43"/>
  <c r="Q3739" i="43"/>
  <c r="Q3738" i="43"/>
  <c r="Q3737" i="43"/>
  <c r="N3737" i="43"/>
  <c r="N3739" i="43"/>
  <c r="N3720" i="43"/>
  <c r="K3734" i="43"/>
  <c r="K3735" i="43"/>
  <c r="K3733" i="43"/>
  <c r="K3736" i="43"/>
  <c r="K3737" i="43"/>
  <c r="K3738" i="43"/>
  <c r="O3707" i="43"/>
  <c r="O3737" i="43"/>
  <c r="O3738" i="43"/>
  <c r="O3734" i="43"/>
  <c r="O3736" i="43"/>
  <c r="O3708" i="43"/>
  <c r="O3735" i="43"/>
  <c r="N3661" i="43"/>
  <c r="N3736" i="43"/>
  <c r="R3594" i="43"/>
  <c r="R3610" i="43"/>
  <c r="R3611" i="43"/>
  <c r="R3656" i="43"/>
  <c r="R3657" i="43"/>
  <c r="R3721" i="43"/>
  <c r="R3645" i="43"/>
  <c r="R3666" i="43"/>
  <c r="R3734" i="43"/>
  <c r="R3735" i="43"/>
  <c r="R3736" i="43"/>
  <c r="N3733" i="43"/>
  <c r="N3685" i="43"/>
  <c r="N3734" i="43"/>
  <c r="P3733" i="43"/>
  <c r="N3694" i="43"/>
  <c r="N3646" i="43"/>
  <c r="Q3732" i="43"/>
  <c r="K3732" i="43"/>
  <c r="L3721" i="43"/>
  <c r="P3732" i="43"/>
  <c r="L3731" i="43"/>
  <c r="L3732" i="43"/>
  <c r="P3731" i="43"/>
  <c r="L3727" i="43"/>
  <c r="L3723" i="43"/>
  <c r="L3726" i="43"/>
  <c r="L3730" i="43"/>
  <c r="P3724" i="43"/>
  <c r="P3730" i="43"/>
  <c r="L3724" i="43"/>
  <c r="L3722" i="43"/>
  <c r="P3729" i="43"/>
  <c r="Q3733" i="43"/>
  <c r="K3731" i="43"/>
  <c r="L3720" i="43"/>
  <c r="L3733" i="43"/>
  <c r="O3726" i="43"/>
  <c r="O3733" i="43"/>
  <c r="N3732" i="43"/>
  <c r="N3731" i="43"/>
  <c r="O3732" i="43"/>
  <c r="O3731" i="43"/>
  <c r="R3730" i="43"/>
  <c r="R3731" i="43"/>
  <c r="Q3725" i="43"/>
  <c r="Q3726" i="43"/>
  <c r="Q3728" i="43"/>
  <c r="Q3727" i="43"/>
  <c r="Q3730" i="43"/>
  <c r="Q3724" i="43"/>
  <c r="R3727" i="43"/>
  <c r="O3506" i="43"/>
  <c r="O3671" i="43"/>
  <c r="O3730" i="43"/>
  <c r="R3729" i="43"/>
  <c r="N3632" i="43"/>
  <c r="N3552" i="43"/>
  <c r="N3576" i="43"/>
  <c r="N3565" i="43"/>
  <c r="N3596" i="43"/>
  <c r="N3673" i="43"/>
  <c r="N3653" i="43"/>
  <c r="N3730" i="43"/>
  <c r="R3728" i="43"/>
  <c r="K3723" i="43"/>
  <c r="K3729" i="43"/>
  <c r="K3728" i="43"/>
  <c r="K3727" i="43"/>
  <c r="K3726" i="43"/>
  <c r="K3725" i="43"/>
  <c r="K3583" i="43"/>
  <c r="N3686" i="43"/>
  <c r="N3729" i="43"/>
  <c r="O3643" i="43"/>
  <c r="O3728" i="43"/>
  <c r="O3679" i="43"/>
  <c r="O3727" i="43"/>
  <c r="N3691" i="43"/>
  <c r="N3726" i="43"/>
  <c r="N3728" i="43"/>
  <c r="N3727" i="43"/>
  <c r="P3608" i="43"/>
  <c r="P3723" i="43"/>
  <c r="P3420" i="43"/>
  <c r="P3722" i="43"/>
  <c r="P3725" i="43"/>
  <c r="P3720" i="43"/>
  <c r="P3727" i="43"/>
  <c r="P3721" i="43"/>
  <c r="P3726" i="43"/>
  <c r="O3623" i="43"/>
  <c r="O3725" i="43"/>
  <c r="O3724" i="43"/>
  <c r="O3689" i="43"/>
  <c r="R3719" i="43"/>
  <c r="R3725" i="43"/>
  <c r="R3724" i="43"/>
  <c r="R3723" i="43"/>
  <c r="R3722" i="43"/>
  <c r="R3720" i="43"/>
  <c r="N3725" i="43"/>
  <c r="N3724" i="43"/>
  <c r="N3716" i="43"/>
  <c r="N3722" i="43"/>
  <c r="N3723" i="43"/>
  <c r="N3721" i="43"/>
  <c r="Q3707" i="43"/>
  <c r="Q3723" i="43"/>
  <c r="Q3722" i="43"/>
  <c r="Q3721" i="43"/>
  <c r="Q3720" i="43"/>
  <c r="O3722" i="43"/>
  <c r="K3703" i="43"/>
  <c r="K3721" i="43"/>
  <c r="K3720" i="43"/>
  <c r="O3697" i="43"/>
  <c r="O3720" i="43"/>
  <c r="O3721" i="43"/>
  <c r="Q3713" i="43"/>
  <c r="Q3711" i="43"/>
  <c r="L3714" i="43"/>
  <c r="K3664" i="43"/>
  <c r="N3652" i="43"/>
  <c r="Q3708" i="43"/>
  <c r="Q3718" i="43"/>
  <c r="L3712" i="43"/>
  <c r="K3628" i="43"/>
  <c r="K3651" i="43"/>
  <c r="R3691" i="43"/>
  <c r="Q3715" i="43"/>
  <c r="L3717" i="43"/>
  <c r="L3709" i="43"/>
  <c r="K3654" i="43"/>
  <c r="Q3709" i="43"/>
  <c r="L3711" i="43"/>
  <c r="L3707" i="43"/>
  <c r="K3644" i="43"/>
  <c r="K3653" i="43"/>
  <c r="Q3702" i="43"/>
  <c r="Q3719" i="43"/>
  <c r="L3719" i="43"/>
  <c r="L3716" i="43"/>
  <c r="K3650" i="43"/>
  <c r="K3663" i="43"/>
  <c r="Q3704" i="43"/>
  <c r="P3709" i="43"/>
  <c r="Q3710" i="43"/>
  <c r="L3713" i="43"/>
  <c r="L3708" i="43"/>
  <c r="K3672" i="43"/>
  <c r="K3649" i="43"/>
  <c r="P3715" i="43"/>
  <c r="Q3717" i="43"/>
  <c r="Q3716" i="43"/>
  <c r="L3715" i="43"/>
  <c r="L3718" i="43"/>
  <c r="K3652" i="43"/>
  <c r="K3716" i="43"/>
  <c r="Q3714" i="43"/>
  <c r="Q3712" i="43"/>
  <c r="K3713" i="43"/>
  <c r="K3717" i="43"/>
  <c r="K3718" i="43"/>
  <c r="K3719" i="43"/>
  <c r="K3714" i="43"/>
  <c r="K3715" i="43"/>
  <c r="O3592" i="43"/>
  <c r="O3657" i="43"/>
  <c r="O3579" i="43"/>
  <c r="O3600" i="43"/>
  <c r="O3614" i="43"/>
  <c r="O3622" i="43"/>
  <c r="O3602" i="43"/>
  <c r="O3634" i="43"/>
  <c r="O3719" i="43"/>
  <c r="P3708" i="43"/>
  <c r="P3713" i="43"/>
  <c r="P3710" i="43"/>
  <c r="P3716" i="43"/>
  <c r="P3711" i="43"/>
  <c r="P3717" i="43"/>
  <c r="P3696" i="43"/>
  <c r="P3712" i="43"/>
  <c r="P3718" i="43"/>
  <c r="P3714" i="43"/>
  <c r="P3719" i="43"/>
  <c r="N3718" i="43"/>
  <c r="N3717" i="43"/>
  <c r="R3716" i="43"/>
  <c r="R3713" i="43"/>
  <c r="R3717" i="43"/>
  <c r="R3715" i="43"/>
  <c r="R3718" i="43"/>
  <c r="R3714" i="43"/>
  <c r="R3712" i="43"/>
  <c r="O3714" i="43"/>
  <c r="O3715" i="43"/>
  <c r="N3713" i="43"/>
  <c r="N3712" i="43"/>
  <c r="N3711" i="43"/>
  <c r="O3656" i="43"/>
  <c r="O3713" i="43"/>
  <c r="O3712" i="43"/>
  <c r="K3707" i="43"/>
  <c r="K3708" i="43"/>
  <c r="K3709" i="43"/>
  <c r="K3710" i="43"/>
  <c r="K3711" i="43"/>
  <c r="O3700" i="43"/>
  <c r="O3660" i="43"/>
  <c r="R3711" i="43"/>
  <c r="R3710" i="43"/>
  <c r="R3708" i="43"/>
  <c r="R3709" i="43"/>
  <c r="N3707" i="43"/>
  <c r="N3710" i="43"/>
  <c r="O3624" i="43"/>
  <c r="O3709" i="43"/>
  <c r="N3708" i="43"/>
  <c r="P3702" i="43"/>
  <c r="P3697" i="43"/>
  <c r="P3703" i="43"/>
  <c r="P3698" i="43"/>
  <c r="P3704" i="43"/>
  <c r="P3699" i="43"/>
  <c r="P3705" i="43"/>
  <c r="P3700" i="43"/>
  <c r="P3706" i="43"/>
  <c r="P3701" i="43"/>
  <c r="P3707" i="43"/>
  <c r="R3689" i="43"/>
  <c r="R3707" i="43"/>
  <c r="R3700" i="43"/>
  <c r="R3695" i="43"/>
  <c r="R3706" i="43"/>
  <c r="R3701" i="43"/>
  <c r="R3705" i="43"/>
  <c r="R3699" i="43"/>
  <c r="R3704" i="43"/>
  <c r="R3697" i="43"/>
  <c r="R3703" i="43"/>
  <c r="R3698" i="43"/>
  <c r="R3702" i="43"/>
  <c r="R3696" i="43"/>
  <c r="Q3701" i="43"/>
  <c r="Q3706" i="43"/>
  <c r="Q3703" i="43"/>
  <c r="Q3705" i="43"/>
  <c r="Q3700" i="43"/>
  <c r="N3678" i="43"/>
  <c r="O3702" i="43"/>
  <c r="O3703" i="43"/>
  <c r="O3704" i="43"/>
  <c r="O3705" i="43"/>
  <c r="O3706" i="43"/>
  <c r="N3680" i="43"/>
  <c r="N3706" i="43"/>
  <c r="N3704" i="43"/>
  <c r="N3703" i="43"/>
  <c r="N3705" i="43"/>
  <c r="L3706" i="43"/>
  <c r="L3700" i="43"/>
  <c r="L3705" i="43"/>
  <c r="L3704" i="43"/>
  <c r="L3703" i="43"/>
  <c r="L3702" i="43"/>
  <c r="L3701" i="43"/>
  <c r="K3705" i="43"/>
  <c r="K3704" i="43"/>
  <c r="K3706" i="43"/>
  <c r="K3668" i="43"/>
  <c r="K3658" i="43"/>
  <c r="K3659" i="43"/>
  <c r="K3693" i="43"/>
  <c r="K3702" i="43"/>
  <c r="K3695" i="43"/>
  <c r="K3701" i="43"/>
  <c r="K3700" i="43"/>
  <c r="K3699" i="43"/>
  <c r="K3698" i="43"/>
  <c r="K3697" i="43"/>
  <c r="K3694" i="43"/>
  <c r="K3671" i="43"/>
  <c r="K3673" i="43"/>
  <c r="N3698" i="43"/>
  <c r="N3701" i="43"/>
  <c r="N3700" i="43"/>
  <c r="N3664" i="43"/>
  <c r="N3697" i="43"/>
  <c r="N3699" i="43"/>
  <c r="O3696" i="43"/>
  <c r="O3699" i="43"/>
  <c r="O3698" i="43"/>
  <c r="L3692" i="43"/>
  <c r="L3699" i="43"/>
  <c r="L3698" i="43"/>
  <c r="L3697" i="43"/>
  <c r="L3696" i="43"/>
  <c r="L3695" i="43"/>
  <c r="Q3693" i="43"/>
  <c r="Q3698" i="43"/>
  <c r="Q3697" i="43"/>
  <c r="Q3696" i="43"/>
  <c r="Q3695" i="43"/>
  <c r="Q3694" i="43"/>
  <c r="N3696" i="43"/>
  <c r="N3695" i="43"/>
  <c r="O3694" i="43"/>
  <c r="O3695" i="43"/>
  <c r="P3695" i="43"/>
  <c r="N3556" i="43"/>
  <c r="P3693" i="43"/>
  <c r="Q3692" i="43"/>
  <c r="R3692" i="43"/>
  <c r="L3689" i="43"/>
  <c r="P3691" i="43"/>
  <c r="R3693" i="43"/>
  <c r="K3689" i="43"/>
  <c r="L3688" i="43"/>
  <c r="P3694" i="43"/>
  <c r="R3686" i="43"/>
  <c r="L3690" i="43"/>
  <c r="P3688" i="43"/>
  <c r="R3694" i="43"/>
  <c r="K3690" i="43"/>
  <c r="L3693" i="43"/>
  <c r="R3688" i="43"/>
  <c r="K3691" i="43"/>
  <c r="L3691" i="43"/>
  <c r="P3692" i="43"/>
  <c r="R3690" i="43"/>
  <c r="K3692" i="43"/>
  <c r="L3694" i="43"/>
  <c r="N3692" i="43"/>
  <c r="N3693" i="43"/>
  <c r="O3685" i="43"/>
  <c r="O3693" i="43"/>
  <c r="Q3599" i="43"/>
  <c r="Q3691" i="43"/>
  <c r="Q3685" i="43"/>
  <c r="Q3690" i="43"/>
  <c r="Q3683" i="43"/>
  <c r="Q3688" i="43"/>
  <c r="Q3689" i="43"/>
  <c r="Q3687" i="43"/>
  <c r="Q3686" i="43"/>
  <c r="O3691" i="43"/>
  <c r="N3688" i="43"/>
  <c r="N3690" i="43"/>
  <c r="N3689" i="43"/>
  <c r="O3690" i="43"/>
  <c r="O3687" i="43"/>
  <c r="O3686" i="43"/>
  <c r="O3688" i="43"/>
  <c r="N3687" i="43"/>
  <c r="P3674" i="43"/>
  <c r="P3686" i="43"/>
  <c r="P3687" i="43"/>
  <c r="P3685" i="43"/>
  <c r="P3684" i="43"/>
  <c r="P3683" i="43"/>
  <c r="K3687" i="43"/>
  <c r="K3686" i="43"/>
  <c r="K3685" i="43"/>
  <c r="L3686" i="43"/>
  <c r="L3687" i="43"/>
  <c r="L3685" i="43"/>
  <c r="R3678" i="43"/>
  <c r="R3685" i="43"/>
  <c r="R3609" i="43"/>
  <c r="R3661" i="43"/>
  <c r="R3671" i="43"/>
  <c r="R3654" i="43"/>
  <c r="R3650" i="43"/>
  <c r="R3581" i="43"/>
  <c r="R3665" i="43"/>
  <c r="R3652" i="43"/>
  <c r="R3663" i="43"/>
  <c r="R3577" i="43"/>
  <c r="R3651" i="43"/>
  <c r="R3673" i="43"/>
  <c r="R3649" i="43"/>
  <c r="R3660" i="43"/>
  <c r="R3669" i="43"/>
  <c r="R3209" i="43"/>
  <c r="R3646" i="43"/>
  <c r="R3664" i="43"/>
  <c r="R3670" i="43"/>
  <c r="R3668" i="43"/>
  <c r="R3675" i="43"/>
  <c r="R3658" i="43"/>
  <c r="R3659" i="43"/>
  <c r="R3653" i="43"/>
  <c r="R3648" i="43"/>
  <c r="R3676" i="43"/>
  <c r="R3672" i="43"/>
  <c r="R3684" i="43"/>
  <c r="R3683" i="43"/>
  <c r="K3684" i="43"/>
  <c r="K3683" i="43"/>
  <c r="K3674" i="43"/>
  <c r="K3666" i="43"/>
  <c r="K3676" i="43"/>
  <c r="K3681" i="43"/>
  <c r="L3661" i="43"/>
  <c r="L3684" i="43"/>
  <c r="L3683" i="43"/>
  <c r="O3601" i="43"/>
  <c r="O3683" i="43"/>
  <c r="O3684" i="43"/>
  <c r="N3598" i="43"/>
  <c r="N3684" i="43"/>
  <c r="P3636" i="43"/>
  <c r="P3679" i="43"/>
  <c r="P3492" i="43"/>
  <c r="P3651" i="43"/>
  <c r="Q3595" i="43"/>
  <c r="P3678" i="43"/>
  <c r="R3681" i="43"/>
  <c r="K3682" i="43"/>
  <c r="P3681" i="43"/>
  <c r="R3680" i="43"/>
  <c r="L3682" i="43"/>
  <c r="P3677" i="43"/>
  <c r="R3682" i="43"/>
  <c r="L3681" i="43"/>
  <c r="L3672" i="43"/>
  <c r="P3680" i="43"/>
  <c r="K3680" i="43"/>
  <c r="L3680" i="43"/>
  <c r="P3682" i="43"/>
  <c r="K3677" i="43"/>
  <c r="L3678" i="43"/>
  <c r="R3679" i="43"/>
  <c r="K3679" i="43"/>
  <c r="L3679" i="43"/>
  <c r="R3677" i="43"/>
  <c r="K3678" i="43"/>
  <c r="L3677" i="43"/>
  <c r="Q3652" i="43"/>
  <c r="Q3682" i="43"/>
  <c r="O3680" i="43"/>
  <c r="O3681" i="43"/>
  <c r="O3682" i="43"/>
  <c r="Q3658" i="43"/>
  <c r="Q3678" i="43"/>
  <c r="Q3679" i="43"/>
  <c r="Q3626" i="43"/>
  <c r="Q3680" i="43"/>
  <c r="Q3669" i="43"/>
  <c r="Q3681" i="43"/>
  <c r="N3559" i="43"/>
  <c r="N3655" i="43"/>
  <c r="N3597" i="43"/>
  <c r="N3679" i="43"/>
  <c r="O3658" i="43"/>
  <c r="O3677" i="43"/>
  <c r="O3678" i="43"/>
  <c r="N3647" i="43"/>
  <c r="Q3677" i="43"/>
  <c r="O3669" i="43"/>
  <c r="O3675" i="43"/>
  <c r="L3675" i="43"/>
  <c r="P3648" i="43"/>
  <c r="L3673" i="43"/>
  <c r="P3650" i="43"/>
  <c r="O3676" i="43"/>
  <c r="L3676" i="43"/>
  <c r="O3674" i="43"/>
  <c r="L3668" i="43"/>
  <c r="L3649" i="43"/>
  <c r="K3675" i="43"/>
  <c r="K3660" i="43"/>
  <c r="K3656" i="43"/>
  <c r="K3665" i="43"/>
  <c r="L3671" i="43"/>
  <c r="N3531" i="43"/>
  <c r="N3629" i="43"/>
  <c r="K3661" i="43"/>
  <c r="O3650" i="43"/>
  <c r="Q3673" i="43"/>
  <c r="K3662" i="43"/>
  <c r="L3667" i="43"/>
  <c r="L3666" i="43"/>
  <c r="K3657" i="43"/>
  <c r="N3615" i="43"/>
  <c r="N3641" i="43"/>
  <c r="K3667" i="43"/>
  <c r="L3665" i="43"/>
  <c r="L3648" i="43"/>
  <c r="L3567" i="43"/>
  <c r="K3641" i="43"/>
  <c r="O3642" i="43"/>
  <c r="K3648" i="43"/>
  <c r="L3670" i="43"/>
  <c r="L3674" i="43"/>
  <c r="Q3647" i="43"/>
  <c r="K3670" i="43"/>
  <c r="L3663" i="43"/>
  <c r="P3676" i="43"/>
  <c r="L3669" i="43"/>
  <c r="L3662" i="43"/>
  <c r="P3649" i="43"/>
  <c r="K3669" i="43"/>
  <c r="L3664" i="43"/>
  <c r="Q3671" i="43"/>
  <c r="Q3672" i="43"/>
  <c r="Q3674" i="43"/>
  <c r="Q3670" i="43"/>
  <c r="Q3675" i="43"/>
  <c r="Q3676" i="43"/>
  <c r="N3675" i="43"/>
  <c r="N3674" i="43"/>
  <c r="P3670" i="43"/>
  <c r="P3668" i="43"/>
  <c r="P3669" i="43"/>
  <c r="P3671" i="43"/>
  <c r="P3672" i="43"/>
  <c r="P3666" i="43"/>
  <c r="P3673" i="43"/>
  <c r="P3667" i="43"/>
  <c r="O3663" i="43"/>
  <c r="O3672" i="43"/>
  <c r="O3673" i="43"/>
  <c r="N3667" i="43"/>
  <c r="N3671" i="43"/>
  <c r="N3670" i="43"/>
  <c r="N3669" i="43"/>
  <c r="O3664" i="43"/>
  <c r="O3665" i="43"/>
  <c r="O3667" i="43"/>
  <c r="O3666" i="43"/>
  <c r="O3668" i="43"/>
  <c r="Q3666" i="43"/>
  <c r="Q3667" i="43"/>
  <c r="Q3665" i="43"/>
  <c r="Q3664" i="43"/>
  <c r="Q3663" i="43"/>
  <c r="Q3668" i="43"/>
  <c r="N3662" i="43"/>
  <c r="N3665" i="43"/>
  <c r="P3664" i="43"/>
  <c r="P3658" i="43"/>
  <c r="P3653" i="43"/>
  <c r="P3663" i="43"/>
  <c r="P3656" i="43"/>
  <c r="P3662" i="43"/>
  <c r="P3657" i="43"/>
  <c r="P3661" i="43"/>
  <c r="P3655" i="43"/>
  <c r="P3659" i="43"/>
  <c r="P3654" i="43"/>
  <c r="P3660" i="43"/>
  <c r="P3652" i="43"/>
  <c r="O3659" i="43"/>
  <c r="O3661" i="43"/>
  <c r="O3662" i="43"/>
  <c r="Q3648" i="43"/>
  <c r="Q3649" i="43"/>
  <c r="Q3650" i="43"/>
  <c r="Q3657" i="43"/>
  <c r="Q3662" i="43"/>
  <c r="Q3661" i="43"/>
  <c r="L3650" i="43"/>
  <c r="L3656" i="43"/>
  <c r="L3653" i="43"/>
  <c r="L3657" i="43"/>
  <c r="L3654" i="43"/>
  <c r="L3658" i="43"/>
  <c r="L3652" i="43"/>
  <c r="L3659" i="43"/>
  <c r="L3651" i="43"/>
  <c r="L3660" i="43"/>
  <c r="L3655" i="43"/>
  <c r="Q3659" i="43"/>
  <c r="Q3660" i="43"/>
  <c r="N3660" i="43"/>
  <c r="N3659" i="43"/>
  <c r="N3650" i="43"/>
  <c r="N3651" i="43"/>
  <c r="N3658" i="43"/>
  <c r="Q3654" i="43"/>
  <c r="Q3651" i="43"/>
  <c r="Q3653" i="43"/>
  <c r="Q3655" i="43"/>
  <c r="Q3656" i="43"/>
  <c r="N3619" i="43"/>
  <c r="N3453" i="43"/>
  <c r="N3654" i="43"/>
  <c r="N3656" i="43"/>
  <c r="N3657" i="43"/>
  <c r="O3655" i="43"/>
  <c r="O3652" i="43"/>
  <c r="O3653" i="43"/>
  <c r="O3654" i="43"/>
  <c r="T252" i="50"/>
  <c r="N3649" i="43"/>
  <c r="N3648" i="43"/>
  <c r="J421" i="17"/>
  <c r="R3647" i="43"/>
  <c r="K3647" i="43"/>
  <c r="K3645" i="43"/>
  <c r="K3642" i="43"/>
  <c r="P3646" i="43"/>
  <c r="Q3644" i="43"/>
  <c r="P3647" i="43"/>
  <c r="Q3642" i="43"/>
  <c r="K3646" i="43"/>
  <c r="P3644" i="43"/>
  <c r="Q3643" i="43"/>
  <c r="Q3645" i="43"/>
  <c r="K3643" i="43"/>
  <c r="P3643" i="43"/>
  <c r="Q3646" i="43"/>
  <c r="L3647" i="43"/>
  <c r="P3645" i="43"/>
  <c r="P3642" i="43"/>
  <c r="L3646" i="43"/>
  <c r="Q3641" i="43"/>
  <c r="O3647" i="43"/>
  <c r="O3646" i="43"/>
  <c r="N3589" i="43"/>
  <c r="O3645" i="43"/>
  <c r="N3526" i="43"/>
  <c r="N3645" i="43"/>
  <c r="N3643" i="43"/>
  <c r="N3644" i="43"/>
  <c r="N3642" i="43"/>
  <c r="L3642" i="43"/>
  <c r="L3643" i="43"/>
  <c r="L3644" i="43"/>
  <c r="L3645" i="43"/>
  <c r="R3633" i="43"/>
  <c r="R3639" i="43"/>
  <c r="R3634" i="43"/>
  <c r="R3640" i="43"/>
  <c r="R3635" i="43"/>
  <c r="R3641" i="43"/>
  <c r="R3636" i="43"/>
  <c r="R3642" i="43"/>
  <c r="R3637" i="43"/>
  <c r="R3643" i="43"/>
  <c r="R3638" i="43"/>
  <c r="R3644" i="43"/>
  <c r="O3605" i="43"/>
  <c r="O3644" i="43"/>
  <c r="O3640" i="43"/>
  <c r="O3641" i="43"/>
  <c r="O3639" i="43"/>
  <c r="O3586" i="43"/>
  <c r="L3568" i="43"/>
  <c r="L3641" i="43"/>
  <c r="L3635" i="43"/>
  <c r="L3629" i="43"/>
  <c r="L3627" i="43"/>
  <c r="L3639" i="43"/>
  <c r="L3634" i="43"/>
  <c r="L3628" i="43"/>
  <c r="L3632" i="43"/>
  <c r="L3640" i="43"/>
  <c r="L3633" i="43"/>
  <c r="L3626" i="43"/>
  <c r="L3638" i="43"/>
  <c r="L3631" i="43"/>
  <c r="L3637" i="43"/>
  <c r="L3636" i="43"/>
  <c r="L3630" i="43"/>
  <c r="N3638" i="43"/>
  <c r="N3639" i="43"/>
  <c r="P3637" i="43"/>
  <c r="P3641" i="43"/>
  <c r="N3633" i="43"/>
  <c r="N3571" i="43"/>
  <c r="N3612" i="43"/>
  <c r="Q3631" i="43"/>
  <c r="Q3640" i="43"/>
  <c r="Q3634" i="43"/>
  <c r="Q3639" i="43"/>
  <c r="Q3633" i="43"/>
  <c r="Q3638" i="43"/>
  <c r="Q3632" i="43"/>
  <c r="Q3637" i="43"/>
  <c r="Q3636" i="43"/>
  <c r="Q3635" i="43"/>
  <c r="P3638" i="43"/>
  <c r="P3639" i="43"/>
  <c r="P3640" i="43"/>
  <c r="N3640" i="43"/>
  <c r="K3639" i="43"/>
  <c r="K3633" i="43"/>
  <c r="K3638" i="43"/>
  <c r="K3632" i="43"/>
  <c r="K3637" i="43"/>
  <c r="K3631" i="43"/>
  <c r="K3636" i="43"/>
  <c r="K3630" i="43"/>
  <c r="K3635" i="43"/>
  <c r="K3629" i="43"/>
  <c r="K3634" i="43"/>
  <c r="N3630" i="43"/>
  <c r="N3631" i="43"/>
  <c r="N3635" i="43"/>
  <c r="O3638" i="43"/>
  <c r="O3511" i="43"/>
  <c r="O3617" i="43"/>
  <c r="O3635" i="43"/>
  <c r="O3636" i="43"/>
  <c r="O3637" i="43"/>
  <c r="N3582" i="43"/>
  <c r="N3637" i="43"/>
  <c r="N3636" i="43"/>
  <c r="N3625" i="43"/>
  <c r="P3514" i="43"/>
  <c r="P3635" i="43"/>
  <c r="P3610" i="43"/>
  <c r="P3617" i="43"/>
  <c r="P3623" i="43"/>
  <c r="P3629" i="43"/>
  <c r="P3612" i="43"/>
  <c r="P3618" i="43"/>
  <c r="P3624" i="43"/>
  <c r="P3628" i="43"/>
  <c r="P3613" i="43"/>
  <c r="P3619" i="43"/>
  <c r="P3625" i="43"/>
  <c r="P3631" i="43"/>
  <c r="P3614" i="43"/>
  <c r="P3620" i="43"/>
  <c r="P3626" i="43"/>
  <c r="P3632" i="43"/>
  <c r="P3615" i="43"/>
  <c r="P3622" i="43"/>
  <c r="P3627" i="43"/>
  <c r="P3633" i="43"/>
  <c r="P3611" i="43"/>
  <c r="P3616" i="43"/>
  <c r="P3621" i="43"/>
  <c r="P3630" i="43"/>
  <c r="P3634" i="43"/>
  <c r="N3634" i="43"/>
  <c r="O3632" i="43"/>
  <c r="O3633" i="43"/>
  <c r="N3564" i="43"/>
  <c r="N3528" i="43"/>
  <c r="N3566" i="43"/>
  <c r="R3632" i="43"/>
  <c r="R3627" i="43"/>
  <c r="R3631" i="43"/>
  <c r="R3630" i="43"/>
  <c r="R3628" i="43"/>
  <c r="R3629" i="43"/>
  <c r="R3626" i="43"/>
  <c r="O3618" i="43"/>
  <c r="O3507" i="43"/>
  <c r="O3627" i="43"/>
  <c r="O3631" i="43"/>
  <c r="N3607" i="43"/>
  <c r="Q3627" i="43"/>
  <c r="Q3630" i="43"/>
  <c r="Q3629" i="43"/>
  <c r="Q3628" i="43"/>
  <c r="N3587" i="43"/>
  <c r="N3549" i="43"/>
  <c r="O3629" i="43"/>
  <c r="O3621" i="43"/>
  <c r="O3630" i="43"/>
  <c r="O3628" i="43"/>
  <c r="N3628" i="43"/>
  <c r="O3613" i="43"/>
  <c r="N3627" i="43"/>
  <c r="Q3447" i="43"/>
  <c r="K3608" i="43"/>
  <c r="K3626" i="43"/>
  <c r="K3622" i="43"/>
  <c r="K3614" i="43"/>
  <c r="K3627" i="43"/>
  <c r="K3623" i="43"/>
  <c r="K3615" i="43"/>
  <c r="K3625" i="43"/>
  <c r="K3619" i="43"/>
  <c r="K3613" i="43"/>
  <c r="K3624" i="43"/>
  <c r="K3618" i="43"/>
  <c r="K3612" i="43"/>
  <c r="K3621" i="43"/>
  <c r="K3617" i="43"/>
  <c r="K3610" i="43"/>
  <c r="K3620" i="43"/>
  <c r="K3616" i="43"/>
  <c r="K3611" i="43"/>
  <c r="O3625" i="43"/>
  <c r="O3626" i="43"/>
  <c r="N3558" i="43"/>
  <c r="N3626" i="43"/>
  <c r="Q3624" i="43"/>
  <c r="Q3625" i="43"/>
  <c r="R3623" i="43"/>
  <c r="R3625" i="43"/>
  <c r="R3624" i="43"/>
  <c r="L3614" i="43"/>
  <c r="L3623" i="43"/>
  <c r="L3615" i="43"/>
  <c r="L3622" i="43"/>
  <c r="L3616" i="43"/>
  <c r="L3621" i="43"/>
  <c r="L3618" i="43"/>
  <c r="L3620" i="43"/>
  <c r="L3612" i="43"/>
  <c r="L3617" i="43"/>
  <c r="L3624" i="43"/>
  <c r="L3613" i="43"/>
  <c r="L3619" i="43"/>
  <c r="L3625" i="43"/>
  <c r="N3624" i="43"/>
  <c r="Q3613" i="43"/>
  <c r="Q3619" i="43"/>
  <c r="Q3615" i="43"/>
  <c r="Q3620" i="43"/>
  <c r="Q3614" i="43"/>
  <c r="Q3621" i="43"/>
  <c r="Q3610" i="43"/>
  <c r="Q3616" i="43"/>
  <c r="Q3622" i="43"/>
  <c r="Q3611" i="43"/>
  <c r="Q3617" i="43"/>
  <c r="Q3623" i="43"/>
  <c r="Q3612" i="43"/>
  <c r="Q3618" i="43"/>
  <c r="N3623" i="43"/>
  <c r="N3621" i="43"/>
  <c r="N3622" i="43"/>
  <c r="R3618" i="43"/>
  <c r="R3619" i="43"/>
  <c r="R3621" i="43"/>
  <c r="R3622" i="43"/>
  <c r="R3620" i="43"/>
  <c r="R3617" i="43"/>
  <c r="N3620" i="43"/>
  <c r="O3292" i="43"/>
  <c r="O3619" i="43"/>
  <c r="O3524" i="43"/>
  <c r="N3617" i="43"/>
  <c r="N3618" i="43"/>
  <c r="O3615" i="43"/>
  <c r="O3616" i="43"/>
  <c r="N3593" i="43"/>
  <c r="N3562" i="43"/>
  <c r="N3616" i="43"/>
  <c r="N3591" i="43"/>
  <c r="R3615" i="43"/>
  <c r="R3614" i="43"/>
  <c r="R3613" i="43"/>
  <c r="R3612" i="43"/>
  <c r="N3613" i="43"/>
  <c r="N3614" i="43"/>
  <c r="O3606" i="43"/>
  <c r="O3611" i="43"/>
  <c r="O3610" i="43"/>
  <c r="O3612" i="43"/>
  <c r="N3536" i="43"/>
  <c r="N3610" i="43"/>
  <c r="N3611" i="43"/>
  <c r="L3610" i="43"/>
  <c r="L3611" i="43"/>
  <c r="L3604" i="43"/>
  <c r="K3609" i="43"/>
  <c r="K3539" i="43"/>
  <c r="K3604" i="43"/>
  <c r="O3607" i="43"/>
  <c r="K3605" i="43"/>
  <c r="P3584" i="43"/>
  <c r="O3608" i="43"/>
  <c r="K3606" i="43"/>
  <c r="L3605" i="43"/>
  <c r="P3590" i="43"/>
  <c r="O3609" i="43"/>
  <c r="K3607" i="43"/>
  <c r="L3606" i="43"/>
  <c r="P3595" i="43"/>
  <c r="P3609" i="43"/>
  <c r="L3607" i="43"/>
  <c r="P3602" i="43"/>
  <c r="L3608" i="43"/>
  <c r="L3609" i="43"/>
  <c r="Q3609" i="43"/>
  <c r="Q3608" i="43"/>
  <c r="Q3607" i="43"/>
  <c r="N3608" i="43"/>
  <c r="N3609" i="43"/>
  <c r="R3608" i="43"/>
  <c r="R3607" i="43"/>
  <c r="R3606" i="43"/>
  <c r="R3605" i="43"/>
  <c r="P3585" i="43"/>
  <c r="P3591" i="43"/>
  <c r="P3597" i="43"/>
  <c r="P3603" i="43"/>
  <c r="P3580" i="43"/>
  <c r="P3586" i="43"/>
  <c r="P3592" i="43"/>
  <c r="P3598" i="43"/>
  <c r="P3604" i="43"/>
  <c r="P3581" i="43"/>
  <c r="P3587" i="43"/>
  <c r="P3593" i="43"/>
  <c r="P3599" i="43"/>
  <c r="P3605" i="43"/>
  <c r="P3582" i="43"/>
  <c r="P3588" i="43"/>
  <c r="P3596" i="43"/>
  <c r="P3600" i="43"/>
  <c r="P3606" i="43"/>
  <c r="P3583" i="43"/>
  <c r="P3589" i="43"/>
  <c r="P3594" i="43"/>
  <c r="P3601" i="43"/>
  <c r="P3607" i="43"/>
  <c r="Q3603" i="43"/>
  <c r="Q3606" i="43"/>
  <c r="Q3604" i="43"/>
  <c r="Q3605" i="43"/>
  <c r="N3504" i="43"/>
  <c r="N3606" i="43"/>
  <c r="O3542" i="43"/>
  <c r="O3568" i="43"/>
  <c r="N3545" i="43"/>
  <c r="N3605" i="43"/>
  <c r="O3580" i="43"/>
  <c r="O3603" i="43"/>
  <c r="O3604" i="43"/>
  <c r="N3602" i="43"/>
  <c r="N3603" i="43"/>
  <c r="N3604" i="43"/>
  <c r="R3603" i="43"/>
  <c r="R3597" i="43"/>
  <c r="R3602" i="43"/>
  <c r="R3596" i="43"/>
  <c r="R3601" i="43"/>
  <c r="R3595" i="43"/>
  <c r="R3600" i="43"/>
  <c r="R3599" i="43"/>
  <c r="R3598" i="43"/>
  <c r="L3592" i="43"/>
  <c r="L3598" i="43"/>
  <c r="L3593" i="43"/>
  <c r="L3599" i="43"/>
  <c r="L3594" i="43"/>
  <c r="L3600" i="43"/>
  <c r="L3589" i="43"/>
  <c r="L3595" i="43"/>
  <c r="L3601" i="43"/>
  <c r="L3590" i="43"/>
  <c r="L3596" i="43"/>
  <c r="L3602" i="43"/>
  <c r="L3591" i="43"/>
  <c r="L3597" i="43"/>
  <c r="L3603" i="43"/>
  <c r="B7" i="16"/>
  <c r="K3603" i="43"/>
  <c r="K3597" i="43"/>
  <c r="K3602" i="43"/>
  <c r="K3594" i="43"/>
  <c r="K3601" i="43"/>
  <c r="K3596" i="43"/>
  <c r="K3600" i="43"/>
  <c r="K3595" i="43"/>
  <c r="K3599" i="43"/>
  <c r="K3598" i="43"/>
  <c r="Q3602" i="43"/>
  <c r="Q3601" i="43"/>
  <c r="Q3600" i="43"/>
  <c r="N3570" i="43"/>
  <c r="N3462" i="43"/>
  <c r="O3553" i="43"/>
  <c r="N3601" i="43"/>
  <c r="N3600" i="43"/>
  <c r="O3599" i="43"/>
  <c r="N3517" i="43"/>
  <c r="N3599" i="43"/>
  <c r="O3598" i="43"/>
  <c r="Q3597" i="43"/>
  <c r="Q3598" i="43"/>
  <c r="Q3578" i="43"/>
  <c r="N3496" i="43"/>
  <c r="Q3544" i="43"/>
  <c r="Q3596" i="43"/>
  <c r="O3593" i="43"/>
  <c r="O3597" i="43"/>
  <c r="O3589" i="43"/>
  <c r="O3591" i="43"/>
  <c r="O3595" i="43"/>
  <c r="O3594" i="43"/>
  <c r="O3590" i="43"/>
  <c r="O3596" i="43"/>
  <c r="N3577" i="43"/>
  <c r="N3595" i="43"/>
  <c r="N3594" i="43"/>
  <c r="Q3594" i="43"/>
  <c r="Q3588" i="43"/>
  <c r="Q3593" i="43"/>
  <c r="Q3592" i="43"/>
  <c r="Q3591" i="43"/>
  <c r="Q3589" i="43"/>
  <c r="R3593" i="43"/>
  <c r="R3592" i="43"/>
  <c r="R3591" i="43"/>
  <c r="K3560" i="43"/>
  <c r="K3593" i="43"/>
  <c r="K3592" i="43"/>
  <c r="K3591" i="43"/>
  <c r="K3590" i="43"/>
  <c r="K3589" i="43"/>
  <c r="N3515" i="43"/>
  <c r="N3590" i="43"/>
  <c r="N3592" i="43"/>
  <c r="R3582" i="43"/>
  <c r="R3590" i="43"/>
  <c r="R3589" i="43"/>
  <c r="R3588" i="43"/>
  <c r="N3561" i="43"/>
  <c r="N3543" i="43"/>
  <c r="O3587" i="43"/>
  <c r="O3588" i="43"/>
  <c r="N3588" i="43"/>
  <c r="L3578" i="43"/>
  <c r="L3588" i="43"/>
  <c r="K3584" i="43"/>
  <c r="K3585" i="43"/>
  <c r="K3586" i="43"/>
  <c r="K3587" i="43"/>
  <c r="K3537" i="43"/>
  <c r="K3588" i="43"/>
  <c r="Q3563" i="43"/>
  <c r="Q3587" i="43"/>
  <c r="Q3586" i="43"/>
  <c r="N3500" i="43"/>
  <c r="R3554" i="43"/>
  <c r="L3573" i="43"/>
  <c r="L3583" i="43"/>
  <c r="L3582" i="43"/>
  <c r="L3584" i="43"/>
  <c r="L3579" i="43"/>
  <c r="L3585" i="43"/>
  <c r="L3580" i="43"/>
  <c r="L3586" i="43"/>
  <c r="L3581" i="43"/>
  <c r="L3587" i="43"/>
  <c r="R3478" i="43"/>
  <c r="R3586" i="43"/>
  <c r="R3587" i="43"/>
  <c r="N3569" i="43"/>
  <c r="N3586" i="43"/>
  <c r="O3585" i="43"/>
  <c r="N3584" i="43"/>
  <c r="N3583" i="43"/>
  <c r="N3575" i="43"/>
  <c r="N3585" i="43"/>
  <c r="Q3580" i="43"/>
  <c r="Q3581" i="43"/>
  <c r="Q3582" i="43"/>
  <c r="Q3583" i="43"/>
  <c r="Q3584" i="43"/>
  <c r="Q3579" i="43"/>
  <c r="Q3585" i="43"/>
  <c r="R3584" i="43"/>
  <c r="R3585" i="43"/>
  <c r="O3582" i="43"/>
  <c r="O3583" i="43"/>
  <c r="O3584" i="43"/>
  <c r="R3580" i="43"/>
  <c r="R3583" i="43"/>
  <c r="K3576" i="43"/>
  <c r="K3572" i="43"/>
  <c r="K3578" i="43"/>
  <c r="K3573" i="43"/>
  <c r="K3579" i="43"/>
  <c r="K3574" i="43"/>
  <c r="K3580" i="43"/>
  <c r="K3575" i="43"/>
  <c r="K3581" i="43"/>
  <c r="K3577" i="43"/>
  <c r="K3582" i="43"/>
  <c r="N3581" i="43"/>
  <c r="N3580" i="43"/>
  <c r="N3573" i="43"/>
  <c r="O3581" i="43"/>
  <c r="R3579" i="43"/>
  <c r="R3578" i="43"/>
  <c r="P3555" i="43"/>
  <c r="P3546" i="43"/>
  <c r="P3560" i="43"/>
  <c r="P3568" i="43"/>
  <c r="P3574" i="43"/>
  <c r="P3557" i="43"/>
  <c r="P3558" i="43"/>
  <c r="P3569" i="43"/>
  <c r="P3575" i="43"/>
  <c r="P3457" i="43"/>
  <c r="P3561" i="43"/>
  <c r="P3562" i="43"/>
  <c r="P3570" i="43"/>
  <c r="P3576" i="43"/>
  <c r="P3564" i="43"/>
  <c r="P3559" i="43"/>
  <c r="P3571" i="43"/>
  <c r="P3577" i="43"/>
  <c r="P3567" i="43"/>
  <c r="P3548" i="43"/>
  <c r="P3573" i="43"/>
  <c r="P3578" i="43"/>
  <c r="P3566" i="43"/>
  <c r="P3543" i="43"/>
  <c r="P3549" i="43"/>
  <c r="P3572" i="43"/>
  <c r="P3579" i="43"/>
  <c r="N3464" i="43"/>
  <c r="N3490" i="43"/>
  <c r="N3578" i="43"/>
  <c r="N3579" i="43"/>
  <c r="O3546" i="43"/>
  <c r="O3578" i="43"/>
  <c r="L3574" i="43"/>
  <c r="L3575" i="43"/>
  <c r="L3577" i="43"/>
  <c r="L3576" i="43"/>
  <c r="L3572" i="43"/>
  <c r="O3509" i="43"/>
  <c r="O3573" i="43"/>
  <c r="O3574" i="43"/>
  <c r="O3575" i="43"/>
  <c r="O3577" i="43"/>
  <c r="O3576" i="43"/>
  <c r="Q3576" i="43"/>
  <c r="Q3577" i="43"/>
  <c r="Q3575" i="43"/>
  <c r="Q3574" i="43"/>
  <c r="R3576" i="43"/>
  <c r="R3575" i="43"/>
  <c r="R3574" i="43"/>
  <c r="R3572" i="43"/>
  <c r="R3573" i="43"/>
  <c r="R3571" i="43"/>
  <c r="R3570" i="43"/>
  <c r="R3493" i="43"/>
  <c r="R3380" i="43"/>
  <c r="N3567" i="43"/>
  <c r="N3574" i="43"/>
  <c r="Q3491" i="43"/>
  <c r="Q3572" i="43"/>
  <c r="Q3573" i="43"/>
  <c r="N3486" i="43"/>
  <c r="O3570" i="43"/>
  <c r="O3571" i="43"/>
  <c r="O3572" i="43"/>
  <c r="N3572" i="43"/>
  <c r="Q3568" i="43"/>
  <c r="Q3569" i="43"/>
  <c r="Q3570" i="43"/>
  <c r="Q3571" i="43"/>
  <c r="N3540" i="43"/>
  <c r="L3569" i="43"/>
  <c r="L3570" i="43"/>
  <c r="L3571" i="43"/>
  <c r="K3498" i="43"/>
  <c r="K3569" i="43"/>
  <c r="K3570" i="43"/>
  <c r="K3571" i="43"/>
  <c r="N3551" i="43"/>
  <c r="N3557" i="43"/>
  <c r="R3567" i="43"/>
  <c r="R3569" i="43"/>
  <c r="O3569" i="43"/>
  <c r="K3567" i="43"/>
  <c r="K3568" i="43"/>
  <c r="N3411" i="43"/>
  <c r="N3480" i="43"/>
  <c r="O3505" i="43"/>
  <c r="R3568" i="43"/>
  <c r="N3422" i="43"/>
  <c r="N3568" i="43"/>
  <c r="N3479" i="43"/>
  <c r="O3512" i="43"/>
  <c r="O3555" i="43"/>
  <c r="R3566" i="43"/>
  <c r="P3552" i="43"/>
  <c r="P3553" i="43"/>
  <c r="R3565" i="43"/>
  <c r="O3567" i="43"/>
  <c r="P3550" i="43"/>
  <c r="P3565" i="43"/>
  <c r="P3554" i="43"/>
  <c r="O3565" i="43"/>
  <c r="Q2970" i="43"/>
  <c r="P3551" i="43"/>
  <c r="P3545" i="43"/>
  <c r="P3315" i="43"/>
  <c r="O3566" i="43"/>
  <c r="P3556" i="43"/>
  <c r="P3544" i="43"/>
  <c r="P3563" i="43"/>
  <c r="P3547" i="43"/>
  <c r="Q3566" i="43"/>
  <c r="Q3565" i="43"/>
  <c r="Q3567" i="43"/>
  <c r="Q3564" i="43"/>
  <c r="N3538" i="43"/>
  <c r="L3555" i="43"/>
  <c r="L3565" i="43"/>
  <c r="L3560" i="43"/>
  <c r="L3556" i="43"/>
  <c r="L3566" i="43"/>
  <c r="L3558" i="43"/>
  <c r="L3559" i="43"/>
  <c r="L3564" i="43"/>
  <c r="L3561" i="43"/>
  <c r="L3562" i="43"/>
  <c r="L3557" i="43"/>
  <c r="L3563" i="43"/>
  <c r="K3566" i="43"/>
  <c r="K3565" i="43"/>
  <c r="K3562" i="43"/>
  <c r="K3561" i="43"/>
  <c r="K3563" i="43"/>
  <c r="K3564" i="43"/>
  <c r="R3563" i="43"/>
  <c r="R3564" i="43"/>
  <c r="O3564" i="43"/>
  <c r="O3563" i="43"/>
  <c r="O3562" i="43"/>
  <c r="O3561" i="43"/>
  <c r="N3519" i="43"/>
  <c r="N3563" i="43"/>
  <c r="Q3379" i="43"/>
  <c r="Q3561" i="43"/>
  <c r="Q3562" i="43"/>
  <c r="Q3560" i="43"/>
  <c r="R3552" i="43"/>
  <c r="R3561" i="43"/>
  <c r="R3562" i="43"/>
  <c r="R3560" i="43"/>
  <c r="R3559" i="43"/>
  <c r="R3460" i="43"/>
  <c r="R3529" i="43"/>
  <c r="N3495" i="43"/>
  <c r="N3560" i="43"/>
  <c r="O3558" i="43"/>
  <c r="O3559" i="43"/>
  <c r="O3560" i="43"/>
  <c r="K3559" i="43"/>
  <c r="K3553" i="43"/>
  <c r="K3547" i="43"/>
  <c r="K3543" i="43"/>
  <c r="K3558" i="43"/>
  <c r="K3552" i="43"/>
  <c r="K3546" i="43"/>
  <c r="K3540" i="43"/>
  <c r="K3556" i="43"/>
  <c r="K3551" i="43"/>
  <c r="K3545" i="43"/>
  <c r="K3557" i="43"/>
  <c r="K3548" i="43"/>
  <c r="K3544" i="43"/>
  <c r="K3555" i="43"/>
  <c r="K3550" i="43"/>
  <c r="K3542" i="43"/>
  <c r="K3554" i="43"/>
  <c r="K3549" i="43"/>
  <c r="K3541" i="43"/>
  <c r="Q3559" i="43"/>
  <c r="Q3558" i="43"/>
  <c r="R3558" i="43"/>
  <c r="O3469" i="43"/>
  <c r="O3556" i="43"/>
  <c r="O3557" i="43"/>
  <c r="R3520" i="43"/>
  <c r="Q3458" i="43"/>
  <c r="Q3556" i="43"/>
  <c r="Q3557" i="43"/>
  <c r="R3555" i="43"/>
  <c r="R3557" i="43"/>
  <c r="R3556" i="43"/>
  <c r="L3554" i="43"/>
  <c r="N3542" i="43"/>
  <c r="N3555" i="43"/>
  <c r="N3550" i="43"/>
  <c r="Q3553" i="43"/>
  <c r="Q3552" i="43"/>
  <c r="Q3554" i="43"/>
  <c r="Q3555" i="43"/>
  <c r="O3554" i="43"/>
  <c r="N3465" i="43"/>
  <c r="N3554" i="43"/>
  <c r="R3550" i="43"/>
  <c r="R3549" i="43"/>
  <c r="R3499" i="43"/>
  <c r="R3551" i="43"/>
  <c r="R3553" i="43"/>
  <c r="L3536" i="43"/>
  <c r="L3553" i="43"/>
  <c r="L3546" i="43"/>
  <c r="L3541" i="43"/>
  <c r="L3537" i="43"/>
  <c r="L3552" i="43"/>
  <c r="L3547" i="43"/>
  <c r="L3543" i="43"/>
  <c r="L3551" i="43"/>
  <c r="L3545" i="43"/>
  <c r="L3539" i="43"/>
  <c r="L3549" i="43"/>
  <c r="L3544" i="43"/>
  <c r="L3538" i="43"/>
  <c r="L3548" i="43"/>
  <c r="L3550" i="43"/>
  <c r="L3540" i="43"/>
  <c r="L3542" i="43"/>
  <c r="N3553" i="43"/>
  <c r="O3552" i="43"/>
  <c r="N3497" i="43"/>
  <c r="O3503" i="43"/>
  <c r="O3549" i="43"/>
  <c r="O3550" i="43"/>
  <c r="O3551" i="43"/>
  <c r="N3425" i="43"/>
  <c r="Q3550" i="43"/>
  <c r="Q3518" i="43"/>
  <c r="Q3549" i="43"/>
  <c r="Q3551" i="43"/>
  <c r="R3546" i="43"/>
  <c r="R3548" i="43"/>
  <c r="N3548" i="43"/>
  <c r="O3547" i="43"/>
  <c r="O3548" i="43"/>
  <c r="Q3547" i="43"/>
  <c r="Q3534" i="43"/>
  <c r="Q3548" i="43"/>
  <c r="N3547" i="43"/>
  <c r="R3547" i="43"/>
  <c r="R3543" i="43"/>
  <c r="R3544" i="43"/>
  <c r="R3545" i="43"/>
  <c r="R3542" i="43"/>
  <c r="N3483" i="43"/>
  <c r="Q3543" i="43"/>
  <c r="Q3546" i="43"/>
  <c r="N3546" i="43"/>
  <c r="O3467" i="43"/>
  <c r="O3543" i="43"/>
  <c r="O3544" i="43"/>
  <c r="O3545" i="43"/>
  <c r="Q3545" i="43"/>
  <c r="N3476" i="43"/>
  <c r="N3544" i="43"/>
  <c r="Q3315" i="43"/>
  <c r="N3502" i="43"/>
  <c r="Q3542" i="43"/>
  <c r="Q3539" i="43"/>
  <c r="Q3541" i="43"/>
  <c r="Q3537" i="43"/>
  <c r="Q3540" i="43"/>
  <c r="Q3538" i="43"/>
  <c r="Q3536" i="43"/>
  <c r="Q3535" i="43"/>
  <c r="N3424" i="43"/>
  <c r="P3535" i="43"/>
  <c r="P3537" i="43"/>
  <c r="P3536" i="43"/>
  <c r="P3540" i="43"/>
  <c r="P3538" i="43"/>
  <c r="P3541" i="43"/>
  <c r="P3444" i="43"/>
  <c r="P3534" i="43"/>
  <c r="P3539" i="43"/>
  <c r="P3542" i="43"/>
  <c r="N3541" i="43"/>
  <c r="O3541" i="43"/>
  <c r="O3540" i="43"/>
  <c r="R3540" i="43"/>
  <c r="R3536" i="43"/>
  <c r="R3539" i="43"/>
  <c r="R3537" i="43"/>
  <c r="R3538" i="43"/>
  <c r="N3535" i="43"/>
  <c r="N3539" i="43"/>
  <c r="O3527" i="43"/>
  <c r="O3538" i="43"/>
  <c r="O3537" i="43"/>
  <c r="O3539" i="43"/>
  <c r="K3526" i="43"/>
  <c r="K3538" i="43"/>
  <c r="K3532" i="43"/>
  <c r="K3531" i="43"/>
  <c r="N3484" i="43"/>
  <c r="N3537" i="43"/>
  <c r="K3533" i="43"/>
  <c r="K3534" i="43"/>
  <c r="K3535" i="43"/>
  <c r="K3536" i="43"/>
  <c r="N3466" i="43"/>
  <c r="L3534" i="43"/>
  <c r="L3535" i="43"/>
  <c r="O3536" i="43"/>
  <c r="N3522" i="43"/>
  <c r="N3534" i="43"/>
  <c r="O3535" i="43"/>
  <c r="R3530" i="43"/>
  <c r="R3534" i="43"/>
  <c r="O3510" i="43"/>
  <c r="O3532" i="43"/>
  <c r="O3531" i="43"/>
  <c r="O3533" i="43"/>
  <c r="O3534" i="43"/>
  <c r="R3533" i="43"/>
  <c r="R3501" i="43"/>
  <c r="R3531" i="43"/>
  <c r="R3532" i="43"/>
  <c r="N3530" i="43"/>
  <c r="N3532" i="43"/>
  <c r="N3533" i="43"/>
  <c r="L3526" i="43"/>
  <c r="L3531" i="43"/>
  <c r="L3533" i="43"/>
  <c r="L3532" i="43"/>
  <c r="P3531" i="43"/>
  <c r="P3532" i="43"/>
  <c r="P3533" i="43"/>
  <c r="Q3531" i="43"/>
  <c r="Q3533" i="43"/>
  <c r="Q3532" i="43"/>
  <c r="N3513" i="43"/>
  <c r="P3524" i="43"/>
  <c r="K3530" i="43"/>
  <c r="L3524" i="43"/>
  <c r="L3530" i="43"/>
  <c r="P3528" i="43"/>
  <c r="P3530" i="43"/>
  <c r="K3525" i="43"/>
  <c r="L3529" i="43"/>
  <c r="P3526" i="43"/>
  <c r="P3529" i="43"/>
  <c r="K3527" i="43"/>
  <c r="P3525" i="43"/>
  <c r="K3528" i="43"/>
  <c r="K3523" i="43"/>
  <c r="L3527" i="43"/>
  <c r="P3523" i="43"/>
  <c r="K3529" i="43"/>
  <c r="K3524" i="43"/>
  <c r="L3528" i="43"/>
  <c r="P3527" i="43"/>
  <c r="L3525" i="43"/>
  <c r="O3530" i="43"/>
  <c r="R3443" i="43"/>
  <c r="Q3470" i="43"/>
  <c r="Q3530" i="43"/>
  <c r="Q3525" i="43"/>
  <c r="Q3527" i="43"/>
  <c r="Q3529" i="43"/>
  <c r="Q3526" i="43"/>
  <c r="Q3523" i="43"/>
  <c r="Q3524" i="43"/>
  <c r="Q3528" i="43"/>
  <c r="O3528" i="43"/>
  <c r="O3516" i="43"/>
  <c r="O3529" i="43"/>
  <c r="O3523" i="43"/>
  <c r="O3526" i="43"/>
  <c r="O3525" i="43"/>
  <c r="N3523" i="43"/>
  <c r="N3529" i="43"/>
  <c r="R3511" i="43"/>
  <c r="R3528" i="43"/>
  <c r="R3527" i="43"/>
  <c r="R3526" i="43"/>
  <c r="R3524" i="43"/>
  <c r="R3523" i="43"/>
  <c r="R3525" i="43"/>
  <c r="N3525" i="43"/>
  <c r="N3527" i="43"/>
  <c r="N3524" i="43"/>
  <c r="O3461" i="43"/>
  <c r="N3518" i="43"/>
  <c r="N3398" i="43"/>
  <c r="P3518" i="43"/>
  <c r="R3522" i="43"/>
  <c r="P3261" i="43"/>
  <c r="P3520" i="43"/>
  <c r="P3516" i="43"/>
  <c r="O3508" i="43"/>
  <c r="P3522" i="43"/>
  <c r="Q3522" i="43"/>
  <c r="P3519" i="43"/>
  <c r="P3517" i="43"/>
  <c r="O3522" i="43"/>
  <c r="P3515" i="43"/>
  <c r="R3521" i="43"/>
  <c r="P3521" i="43"/>
  <c r="Q3521" i="43"/>
  <c r="L3517" i="43"/>
  <c r="L3522" i="43"/>
  <c r="L3521" i="43"/>
  <c r="L3519" i="43"/>
  <c r="L3518" i="43"/>
  <c r="L3520" i="43"/>
  <c r="K3522" i="43"/>
  <c r="K3521" i="43"/>
  <c r="N3520" i="43"/>
  <c r="N3521" i="43"/>
  <c r="O3433" i="43"/>
  <c r="O3521" i="43"/>
  <c r="K3455" i="43"/>
  <c r="K3519" i="43"/>
  <c r="K3514" i="43"/>
  <c r="K3508" i="43"/>
  <c r="K3502" i="43"/>
  <c r="K3507" i="43"/>
  <c r="K3520" i="43"/>
  <c r="K3513" i="43"/>
  <c r="K3509" i="43"/>
  <c r="K3503" i="43"/>
  <c r="K3504" i="43"/>
  <c r="K3515" i="43"/>
  <c r="K3510" i="43"/>
  <c r="K3505" i="43"/>
  <c r="K3518" i="43"/>
  <c r="K3512" i="43"/>
  <c r="K3506" i="43"/>
  <c r="K3511" i="43"/>
  <c r="K3517" i="43"/>
  <c r="K3516" i="43"/>
  <c r="K3488" i="43"/>
  <c r="O3519" i="43"/>
  <c r="O3520" i="43"/>
  <c r="Q3415" i="43"/>
  <c r="Q3520" i="43"/>
  <c r="Q3519" i="43"/>
  <c r="R3514" i="43"/>
  <c r="R3516" i="43"/>
  <c r="R3515" i="43"/>
  <c r="R3517" i="43"/>
  <c r="R3518" i="43"/>
  <c r="R3519" i="43"/>
  <c r="O3517" i="43"/>
  <c r="O3518" i="43"/>
  <c r="Q3515" i="43"/>
  <c r="Q3516" i="43"/>
  <c r="Q3517" i="43"/>
  <c r="L3514" i="43"/>
  <c r="L3511" i="43"/>
  <c r="L3516" i="43"/>
  <c r="L3513" i="43"/>
  <c r="L3515" i="43"/>
  <c r="L3512" i="43"/>
  <c r="N3472" i="43"/>
  <c r="N3516" i="43"/>
  <c r="O3482" i="43"/>
  <c r="O3515" i="43"/>
  <c r="O3514" i="43"/>
  <c r="Q3507" i="43"/>
  <c r="Q3511" i="43"/>
  <c r="Q3508" i="43"/>
  <c r="Q3513" i="43"/>
  <c r="Q3510" i="43"/>
  <c r="Q3512" i="43"/>
  <c r="Q3509" i="43"/>
  <c r="Q3514" i="43"/>
  <c r="N3429" i="43"/>
  <c r="N3514" i="43"/>
  <c r="N3512" i="43"/>
  <c r="N3511" i="43"/>
  <c r="P3500" i="43"/>
  <c r="P3502" i="43"/>
  <c r="P3505" i="43"/>
  <c r="P3507" i="43"/>
  <c r="P3501" i="43"/>
  <c r="P3503" i="43"/>
  <c r="P3510" i="43"/>
  <c r="P3512" i="43"/>
  <c r="P3497" i="43"/>
  <c r="P3496" i="43"/>
  <c r="P3504" i="43"/>
  <c r="P3509" i="43"/>
  <c r="P3511" i="43"/>
  <c r="P3498" i="43"/>
  <c r="P3499" i="43"/>
  <c r="P3506" i="43"/>
  <c r="P3508" i="43"/>
  <c r="P3513" i="43"/>
  <c r="O3421" i="43"/>
  <c r="O3513" i="43"/>
  <c r="R3507" i="43"/>
  <c r="R3508" i="43"/>
  <c r="R3513" i="43"/>
  <c r="R3510" i="43"/>
  <c r="R3512" i="43"/>
  <c r="R3509" i="43"/>
  <c r="L3504" i="43"/>
  <c r="L3508" i="43"/>
  <c r="L3506" i="43"/>
  <c r="L3509" i="43"/>
  <c r="L3505" i="43"/>
  <c r="L3507" i="43"/>
  <c r="L3510" i="43"/>
  <c r="N3454" i="43"/>
  <c r="N3446" i="43"/>
  <c r="N3507" i="43"/>
  <c r="N3505" i="43"/>
  <c r="N3510" i="43"/>
  <c r="N3509" i="43"/>
  <c r="N3506" i="43"/>
  <c r="N3508" i="43"/>
  <c r="N3427" i="43"/>
  <c r="Q3505" i="43"/>
  <c r="Q3506" i="43"/>
  <c r="R3494" i="43"/>
  <c r="R3505" i="43"/>
  <c r="R3502" i="43"/>
  <c r="R3504" i="43"/>
  <c r="R3503" i="43"/>
  <c r="R3506" i="43"/>
  <c r="R3500" i="43"/>
  <c r="N3503" i="43"/>
  <c r="Q3426" i="43"/>
  <c r="Q3503" i="43"/>
  <c r="Q3504" i="43"/>
  <c r="O3504" i="43"/>
  <c r="L3502" i="43"/>
  <c r="L3503" i="43"/>
  <c r="O3498" i="43"/>
  <c r="O3448" i="43"/>
  <c r="O3499" i="43"/>
  <c r="O3497" i="43"/>
  <c r="O3475" i="43"/>
  <c r="O3496" i="43"/>
  <c r="O3500" i="43"/>
  <c r="O3501" i="43"/>
  <c r="O3502" i="43"/>
  <c r="Q3477" i="43"/>
  <c r="Q3502" i="43"/>
  <c r="N3481" i="43"/>
  <c r="N3501" i="43"/>
  <c r="L3500" i="43"/>
  <c r="L3501" i="43"/>
  <c r="L3499" i="43"/>
  <c r="K3495" i="43"/>
  <c r="K3501" i="43"/>
  <c r="K3499" i="43"/>
  <c r="K3500" i="43"/>
  <c r="Q3499" i="43"/>
  <c r="Q3497" i="43"/>
  <c r="Q3501" i="43"/>
  <c r="Q3496" i="43"/>
  <c r="Q3498" i="43"/>
  <c r="Q3500" i="43"/>
  <c r="N3499" i="43"/>
  <c r="N3445" i="43"/>
  <c r="R3495" i="43"/>
  <c r="R3496" i="43"/>
  <c r="R3497" i="43"/>
  <c r="R3498" i="43"/>
  <c r="N3405" i="43"/>
  <c r="N3451" i="43"/>
  <c r="N3498" i="43"/>
  <c r="L3479" i="43"/>
  <c r="L3498" i="43"/>
  <c r="L3496" i="43"/>
  <c r="L3497" i="43"/>
  <c r="K3494" i="43"/>
  <c r="K3496" i="43"/>
  <c r="K3492" i="43"/>
  <c r="K3497" i="43"/>
  <c r="K3493" i="43"/>
  <c r="P3494" i="43"/>
  <c r="P3493" i="43"/>
  <c r="P3495" i="43"/>
  <c r="Q3441" i="43"/>
  <c r="L3492" i="43"/>
  <c r="L3493" i="43"/>
  <c r="L3494" i="43"/>
  <c r="L3488" i="43"/>
  <c r="L3495" i="43"/>
  <c r="N3477" i="43"/>
  <c r="O3495" i="43"/>
  <c r="Q3431" i="43"/>
  <c r="Q3495" i="43"/>
  <c r="N3494" i="43"/>
  <c r="Q3488" i="43"/>
  <c r="Q3456" i="43"/>
  <c r="Q3492" i="43"/>
  <c r="Q3494" i="43"/>
  <c r="Q3493" i="43"/>
  <c r="O3488" i="43"/>
  <c r="O3491" i="43"/>
  <c r="O3492" i="43"/>
  <c r="O3490" i="43"/>
  <c r="O3494" i="43"/>
  <c r="O3430" i="43"/>
  <c r="O3489" i="43"/>
  <c r="O3493" i="43"/>
  <c r="R3388" i="43"/>
  <c r="N3493" i="43"/>
  <c r="N3491" i="43"/>
  <c r="N3485" i="43"/>
  <c r="N3488" i="43"/>
  <c r="N3492" i="43"/>
  <c r="R3492" i="43"/>
  <c r="R3488" i="43"/>
  <c r="P3476" i="43"/>
  <c r="P3480" i="43"/>
  <c r="P3484" i="43"/>
  <c r="P3489" i="43"/>
  <c r="P3473" i="43"/>
  <c r="P3477" i="43"/>
  <c r="P3481" i="43"/>
  <c r="P3487" i="43"/>
  <c r="P3491" i="43"/>
  <c r="P3475" i="43"/>
  <c r="P3478" i="43"/>
  <c r="P3482" i="43"/>
  <c r="P3485" i="43"/>
  <c r="P3490" i="43"/>
  <c r="P3474" i="43"/>
  <c r="P3479" i="43"/>
  <c r="P3483" i="43"/>
  <c r="P3486" i="43"/>
  <c r="P3488" i="43"/>
  <c r="R3490" i="43"/>
  <c r="R3491" i="43"/>
  <c r="Q3474" i="43"/>
  <c r="L3481" i="43"/>
  <c r="L3490" i="43"/>
  <c r="L3487" i="43"/>
  <c r="L3489" i="43"/>
  <c r="L3491" i="43"/>
  <c r="K3434" i="43"/>
  <c r="K3489" i="43"/>
  <c r="K3490" i="43"/>
  <c r="K3491" i="43"/>
  <c r="Q3479" i="43"/>
  <c r="Q3483" i="43"/>
  <c r="Q3487" i="43"/>
  <c r="Q3482" i="43"/>
  <c r="Q3484" i="43"/>
  <c r="Q3481" i="43"/>
  <c r="Q3485" i="43"/>
  <c r="Q3489" i="43"/>
  <c r="Q3480" i="43"/>
  <c r="Q3486" i="43"/>
  <c r="Q3490" i="43"/>
  <c r="N3341" i="43"/>
  <c r="N3489" i="43"/>
  <c r="R3423" i="43"/>
  <c r="R3484" i="43"/>
  <c r="R3481" i="43"/>
  <c r="R3487" i="43"/>
  <c r="R3483" i="43"/>
  <c r="R3479" i="43"/>
  <c r="R3486" i="43"/>
  <c r="R3482" i="43"/>
  <c r="R3485" i="43"/>
  <c r="R3480" i="43"/>
  <c r="L3480" i="43"/>
  <c r="L3484" i="43"/>
  <c r="L3482" i="43"/>
  <c r="L3485" i="43"/>
  <c r="L3483" i="43"/>
  <c r="L3486" i="43"/>
  <c r="K3476" i="43"/>
  <c r="K3481" i="43"/>
  <c r="K3484" i="43"/>
  <c r="K3477" i="43"/>
  <c r="K3480" i="43"/>
  <c r="K3485" i="43"/>
  <c r="K3474" i="43"/>
  <c r="K3478" i="43"/>
  <c r="K3482" i="43"/>
  <c r="K3487" i="43"/>
  <c r="K3442" i="43"/>
  <c r="K3475" i="43"/>
  <c r="K3479" i="43"/>
  <c r="K3483" i="43"/>
  <c r="K3486" i="43"/>
  <c r="O3484" i="43"/>
  <c r="O3485" i="43"/>
  <c r="O3486" i="43"/>
  <c r="O3483" i="43"/>
  <c r="O3487" i="43"/>
  <c r="N3399" i="43"/>
  <c r="N3487" i="43"/>
  <c r="N3482" i="43"/>
  <c r="O3481" i="43"/>
  <c r="O3480" i="43"/>
  <c r="N3419" i="43"/>
  <c r="N3436" i="43"/>
  <c r="N3463" i="43"/>
  <c r="O3479" i="43"/>
  <c r="N3406" i="43"/>
  <c r="N3420" i="43"/>
  <c r="O3471" i="43"/>
  <c r="N3478" i="43"/>
  <c r="O3468" i="43"/>
  <c r="O3473" i="43"/>
  <c r="O3478" i="43"/>
  <c r="L3442" i="43"/>
  <c r="L3478" i="43"/>
  <c r="Q3402" i="43"/>
  <c r="Q3412" i="43"/>
  <c r="Q3478" i="43"/>
  <c r="R3475" i="43"/>
  <c r="R3462" i="43"/>
  <c r="R3476" i="43"/>
  <c r="R3467" i="43"/>
  <c r="R3474" i="43"/>
  <c r="R3477" i="43"/>
  <c r="N3440" i="43"/>
  <c r="O3459" i="43"/>
  <c r="O3476" i="43"/>
  <c r="O3477" i="43"/>
  <c r="L3474" i="43"/>
  <c r="L3475" i="43"/>
  <c r="L3476" i="43"/>
  <c r="L3477" i="43"/>
  <c r="Q3468" i="43"/>
  <c r="Q3475" i="43"/>
  <c r="Q3476" i="43"/>
  <c r="N3474" i="43"/>
  <c r="N3475" i="43"/>
  <c r="O3474" i="43"/>
  <c r="Q3473" i="43"/>
  <c r="R3463" i="43"/>
  <c r="R3473" i="43"/>
  <c r="Q3472" i="43"/>
  <c r="R3469" i="43"/>
  <c r="P3469" i="43"/>
  <c r="R3464" i="43"/>
  <c r="K3472" i="43"/>
  <c r="N3473" i="43"/>
  <c r="P3470" i="43"/>
  <c r="R3468" i="43"/>
  <c r="R3472" i="43"/>
  <c r="K3473" i="43"/>
  <c r="P3468" i="43"/>
  <c r="R3470" i="43"/>
  <c r="R3461" i="43"/>
  <c r="P3471" i="43"/>
  <c r="R3471" i="43"/>
  <c r="R3465" i="43"/>
  <c r="L3473" i="43"/>
  <c r="P3472" i="43"/>
  <c r="R3466" i="43"/>
  <c r="O3470" i="43"/>
  <c r="O3472" i="43"/>
  <c r="K3457" i="43"/>
  <c r="K3461" i="43"/>
  <c r="K3416" i="43"/>
  <c r="K3465" i="43"/>
  <c r="K3468" i="43"/>
  <c r="K3463" i="43"/>
  <c r="K3467" i="43"/>
  <c r="K3471" i="43"/>
  <c r="K3462" i="43"/>
  <c r="K3470" i="43"/>
  <c r="K3469" i="43"/>
  <c r="K3382" i="43"/>
  <c r="K3464" i="43"/>
  <c r="K3466" i="43"/>
  <c r="L3468" i="43"/>
  <c r="L3470" i="43"/>
  <c r="L3471" i="43"/>
  <c r="L3469" i="43"/>
  <c r="L3472" i="43"/>
  <c r="N3461" i="43"/>
  <c r="N3467" i="43"/>
  <c r="N3468" i="43"/>
  <c r="N3469" i="43"/>
  <c r="N3471" i="43"/>
  <c r="N3470" i="43"/>
  <c r="Q3437" i="43"/>
  <c r="Q3471" i="43"/>
  <c r="Q3469" i="43"/>
  <c r="Q3465" i="43"/>
  <c r="Q3467" i="43"/>
  <c r="Q3466" i="43"/>
  <c r="Q3452" i="43"/>
  <c r="L3465" i="43"/>
  <c r="L3461" i="43"/>
  <c r="L3464" i="43"/>
  <c r="L3462" i="43"/>
  <c r="L3467" i="43"/>
  <c r="L3463" i="43"/>
  <c r="L3466" i="43"/>
  <c r="P3465" i="43"/>
  <c r="P3464" i="43"/>
  <c r="P3462" i="43"/>
  <c r="P3467" i="43"/>
  <c r="P3463" i="43"/>
  <c r="P3466" i="43"/>
  <c r="O3466" i="43"/>
  <c r="Q3459" i="43"/>
  <c r="Q3462" i="43"/>
  <c r="Q3463" i="43"/>
  <c r="Q3460" i="43"/>
  <c r="Q3464" i="43"/>
  <c r="Q3461" i="43"/>
  <c r="O3462" i="43"/>
  <c r="O3438" i="43"/>
  <c r="O3463" i="43"/>
  <c r="O3460" i="43"/>
  <c r="O3465" i="43"/>
  <c r="O3464" i="43"/>
  <c r="N3401" i="43"/>
  <c r="P3458" i="43"/>
  <c r="P3459" i="43"/>
  <c r="P3460" i="43"/>
  <c r="P3461" i="43"/>
  <c r="N3458" i="43"/>
  <c r="N3460" i="43"/>
  <c r="N3459" i="43"/>
  <c r="K3459" i="43"/>
  <c r="K3447" i="43"/>
  <c r="K3460" i="43"/>
  <c r="K3456" i="43"/>
  <c r="K3458" i="43"/>
  <c r="L3457" i="43"/>
  <c r="L3458" i="43"/>
  <c r="L3455" i="43"/>
  <c r="L3459" i="43"/>
  <c r="L3456" i="43"/>
  <c r="L3460" i="43"/>
  <c r="R3446" i="43"/>
  <c r="R3456" i="43"/>
  <c r="R3457" i="43"/>
  <c r="R3452" i="43"/>
  <c r="R3458" i="43"/>
  <c r="R3455" i="43"/>
  <c r="R3459" i="43"/>
  <c r="O3455" i="43"/>
  <c r="O3456" i="43"/>
  <c r="O3457" i="43"/>
  <c r="O3458" i="43"/>
  <c r="Q3449" i="43"/>
  <c r="Q3457" i="43"/>
  <c r="N3443" i="43"/>
  <c r="N3456" i="43"/>
  <c r="N3457" i="43"/>
  <c r="N3455" i="43"/>
  <c r="P3448" i="43"/>
  <c r="P3449" i="43"/>
  <c r="P3455" i="43"/>
  <c r="P3456" i="43"/>
  <c r="Q3450" i="43"/>
  <c r="Q3455" i="43"/>
  <c r="N3407" i="43"/>
  <c r="P3445" i="43"/>
  <c r="P3450" i="43"/>
  <c r="R3448" i="43"/>
  <c r="R3453" i="43"/>
  <c r="K3446" i="43"/>
  <c r="P3452" i="43"/>
  <c r="P3451" i="43"/>
  <c r="R3451" i="43"/>
  <c r="R3454" i="43"/>
  <c r="K3448" i="43"/>
  <c r="R3450" i="43"/>
  <c r="K3450" i="43"/>
  <c r="K3449" i="43"/>
  <c r="O3451" i="43"/>
  <c r="P3453" i="43"/>
  <c r="R3447" i="43"/>
  <c r="K3451" i="43"/>
  <c r="L3454" i="43"/>
  <c r="O3452" i="43"/>
  <c r="P3447" i="43"/>
  <c r="Q3453" i="43"/>
  <c r="K3452" i="43"/>
  <c r="O3453" i="43"/>
  <c r="P3454" i="43"/>
  <c r="Q3454" i="43"/>
  <c r="R3449" i="43"/>
  <c r="K3453" i="43"/>
  <c r="O3454" i="43"/>
  <c r="P3446" i="43"/>
  <c r="R3445" i="43"/>
  <c r="R3444" i="43"/>
  <c r="K3454" i="43"/>
  <c r="L3446" i="43"/>
  <c r="L3449" i="43"/>
  <c r="L3447" i="43"/>
  <c r="L3450" i="43"/>
  <c r="L3448" i="43"/>
  <c r="L3452" i="43"/>
  <c r="L3451" i="43"/>
  <c r="L3453" i="43"/>
  <c r="N3428" i="43"/>
  <c r="N3449" i="43"/>
  <c r="N3452" i="43"/>
  <c r="Q3451" i="43"/>
  <c r="N3450" i="43"/>
  <c r="O3439" i="43"/>
  <c r="O3449" i="43"/>
  <c r="O3450" i="43"/>
  <c r="Q3448" i="43"/>
  <c r="N3448" i="43"/>
  <c r="O3447" i="43"/>
  <c r="O3446" i="43"/>
  <c r="N3447" i="43"/>
  <c r="Q3445" i="43"/>
  <c r="Q3446" i="43"/>
  <c r="O3443" i="43"/>
  <c r="O3409" i="43"/>
  <c r="O3444" i="43"/>
  <c r="O3445" i="43"/>
  <c r="K3389" i="43"/>
  <c r="K3445" i="43"/>
  <c r="K3444" i="43"/>
  <c r="K3443" i="43"/>
  <c r="L3444" i="43"/>
  <c r="L3443" i="43"/>
  <c r="L3445" i="43"/>
  <c r="N3435" i="43"/>
  <c r="N3392" i="43"/>
  <c r="Q3442" i="43"/>
  <c r="Q3443" i="43"/>
  <c r="Q3444" i="43"/>
  <c r="N3444" i="43"/>
  <c r="P3436" i="43"/>
  <c r="P3432" i="43"/>
  <c r="P3439" i="43"/>
  <c r="P3441" i="43"/>
  <c r="P3438" i="43"/>
  <c r="P3442" i="43"/>
  <c r="P3437" i="43"/>
  <c r="P3440" i="43"/>
  <c r="P3443" i="43"/>
  <c r="L3432" i="43"/>
  <c r="L3437" i="43"/>
  <c r="L3439" i="43"/>
  <c r="L3440" i="43"/>
  <c r="L3441" i="43"/>
  <c r="L3438" i="43"/>
  <c r="O3442" i="43"/>
  <c r="R3442" i="43"/>
  <c r="R3441" i="43"/>
  <c r="R3440" i="43"/>
  <c r="N3432" i="43"/>
  <c r="N3442" i="43"/>
  <c r="K3440" i="43"/>
  <c r="K3437" i="43"/>
  <c r="K3438" i="43"/>
  <c r="K3436" i="43"/>
  <c r="K3432" i="43"/>
  <c r="K3439" i="43"/>
  <c r="K3441" i="43"/>
  <c r="N3387" i="43"/>
  <c r="N3441" i="43"/>
  <c r="O3441" i="43"/>
  <c r="Q3359" i="43"/>
  <c r="Q3439" i="43"/>
  <c r="Q3440" i="43"/>
  <c r="Q3432" i="43"/>
  <c r="Q3438" i="43"/>
  <c r="O3440" i="43"/>
  <c r="O3432" i="43"/>
  <c r="R3404" i="43"/>
  <c r="R3432" i="43"/>
  <c r="N3434" i="43"/>
  <c r="N3439" i="43"/>
  <c r="N3438" i="43"/>
  <c r="N3437" i="43"/>
  <c r="R3352" i="43"/>
  <c r="R3434" i="43"/>
  <c r="R3438" i="43"/>
  <c r="R3439" i="43"/>
  <c r="R3437" i="43"/>
  <c r="R3436" i="43"/>
  <c r="O3437" i="43"/>
  <c r="L3436" i="43"/>
  <c r="Q3435" i="43"/>
  <c r="Q3436" i="43"/>
  <c r="O3403" i="43"/>
  <c r="O3413" i="43"/>
  <c r="O3436" i="43"/>
  <c r="O3390" i="43"/>
  <c r="R3435" i="43"/>
  <c r="O3400" i="43"/>
  <c r="P3426" i="43"/>
  <c r="N3396" i="43"/>
  <c r="P3430" i="43"/>
  <c r="P3425" i="43"/>
  <c r="P3427" i="43"/>
  <c r="N3299" i="43"/>
  <c r="R3433" i="43"/>
  <c r="L3054" i="43"/>
  <c r="L3435" i="43"/>
  <c r="P3433" i="43"/>
  <c r="O3434" i="43"/>
  <c r="P3428" i="43"/>
  <c r="P3434" i="43"/>
  <c r="O3435" i="43"/>
  <c r="Q3434" i="43"/>
  <c r="P3429" i="43"/>
  <c r="P3431" i="43"/>
  <c r="P3435" i="43"/>
  <c r="K3435" i="43"/>
  <c r="K3376" i="43"/>
  <c r="K3427" i="43"/>
  <c r="K3431" i="43"/>
  <c r="K3428" i="43"/>
  <c r="K3429" i="43"/>
  <c r="K3433" i="43"/>
  <c r="K3426" i="43"/>
  <c r="K3430" i="43"/>
  <c r="L3434" i="43"/>
  <c r="N3433" i="43"/>
  <c r="L3430" i="43"/>
  <c r="L3431" i="43"/>
  <c r="L3433" i="43"/>
  <c r="Q3372" i="43"/>
  <c r="Q3433" i="43"/>
  <c r="O3371" i="43"/>
  <c r="O3431" i="43"/>
  <c r="R3431" i="43"/>
  <c r="N3426" i="43"/>
  <c r="N3431" i="43"/>
  <c r="N3430" i="43"/>
  <c r="R3426" i="43"/>
  <c r="R3430" i="43"/>
  <c r="R3429" i="43"/>
  <c r="R3428" i="43"/>
  <c r="R3427" i="43"/>
  <c r="Q3430" i="43"/>
  <c r="L3426" i="43"/>
  <c r="L3428" i="43"/>
  <c r="L3429" i="43"/>
  <c r="L3427" i="43"/>
  <c r="O3427" i="43"/>
  <c r="O3383" i="43"/>
  <c r="O3429" i="43"/>
  <c r="O3428" i="43"/>
  <c r="Q3429" i="43"/>
  <c r="Q3356" i="43"/>
  <c r="Q3427" i="43"/>
  <c r="Q3428" i="43"/>
  <c r="N3384" i="43"/>
  <c r="Q3004" i="43"/>
  <c r="O3425" i="43"/>
  <c r="O3426" i="43"/>
  <c r="R3424" i="43"/>
  <c r="R3425" i="43"/>
  <c r="Q3425" i="43"/>
  <c r="L3413" i="43"/>
  <c r="L3425" i="43"/>
  <c r="K3424" i="43"/>
  <c r="K3425" i="43"/>
  <c r="O3374" i="43"/>
  <c r="K3420" i="43"/>
  <c r="L3424" i="43"/>
  <c r="P3422" i="43"/>
  <c r="P3424" i="43"/>
  <c r="P3410" i="43"/>
  <c r="Q3420" i="43"/>
  <c r="K3338" i="43"/>
  <c r="K3348" i="43"/>
  <c r="K3422" i="43"/>
  <c r="K3421" i="43"/>
  <c r="P3411" i="43"/>
  <c r="P3412" i="43"/>
  <c r="P3413" i="43"/>
  <c r="P3414" i="43"/>
  <c r="Q3421" i="43"/>
  <c r="K3423" i="43"/>
  <c r="O3424" i="43"/>
  <c r="P3415" i="43"/>
  <c r="P3417" i="43"/>
  <c r="P3416" i="43"/>
  <c r="P3418" i="43"/>
  <c r="Q3423" i="43"/>
  <c r="L3423" i="43"/>
  <c r="P3419" i="43"/>
  <c r="P3421" i="43"/>
  <c r="P3423" i="43"/>
  <c r="Q3424" i="43"/>
  <c r="Q3422" i="43"/>
  <c r="N3414" i="43"/>
  <c r="N3423" i="43"/>
  <c r="O3417" i="43"/>
  <c r="O3423" i="43"/>
  <c r="O3422" i="43"/>
  <c r="R3412" i="43"/>
  <c r="R3421" i="43"/>
  <c r="R3420" i="43"/>
  <c r="R3422" i="43"/>
  <c r="L3422" i="43"/>
  <c r="L3419" i="43"/>
  <c r="L3421" i="43"/>
  <c r="L3420" i="43"/>
  <c r="N3366" i="43"/>
  <c r="N3421" i="43"/>
  <c r="O3420" i="43"/>
  <c r="O3408" i="43"/>
  <c r="K3417" i="43"/>
  <c r="K3419" i="43"/>
  <c r="K3418" i="43"/>
  <c r="Q3416" i="43"/>
  <c r="Q3417" i="43"/>
  <c r="Q3418" i="43"/>
  <c r="Q3419" i="43"/>
  <c r="R3417" i="43"/>
  <c r="R3281" i="43"/>
  <c r="R3415" i="43"/>
  <c r="R3418" i="43"/>
  <c r="R3416" i="43"/>
  <c r="R3419" i="43"/>
  <c r="N3393" i="43"/>
  <c r="O3418" i="43"/>
  <c r="O3419" i="43"/>
  <c r="N3386" i="43"/>
  <c r="N3418" i="43"/>
  <c r="L3069" i="43"/>
  <c r="L3202" i="43"/>
  <c r="L3418" i="43"/>
  <c r="K3415" i="43"/>
  <c r="N3224" i="43"/>
  <c r="N3270" i="43"/>
  <c r="L3414" i="43"/>
  <c r="L3415" i="43"/>
  <c r="L3417" i="43"/>
  <c r="L3416" i="43"/>
  <c r="N3370" i="43"/>
  <c r="N3417" i="43"/>
  <c r="N3416" i="43"/>
  <c r="N3415" i="43"/>
  <c r="O3416" i="43"/>
  <c r="K3414" i="43"/>
  <c r="O3415" i="43"/>
  <c r="Q3413" i="43"/>
  <c r="Q3414" i="43"/>
  <c r="R3367" i="43"/>
  <c r="R3414" i="43"/>
  <c r="O3414" i="43"/>
  <c r="N3410" i="43"/>
  <c r="K3412" i="43"/>
  <c r="K3409" i="43"/>
  <c r="K3411" i="43"/>
  <c r="K3410" i="43"/>
  <c r="K3413" i="43"/>
  <c r="K3408" i="43"/>
  <c r="K3407" i="43"/>
  <c r="N3377" i="43"/>
  <c r="R3410" i="43"/>
  <c r="R3413" i="43"/>
  <c r="R3411" i="43"/>
  <c r="R3369" i="43"/>
  <c r="N3412" i="43"/>
  <c r="N3413" i="43"/>
  <c r="L3410" i="43"/>
  <c r="L3409" i="43"/>
  <c r="L3412" i="43"/>
  <c r="L3397" i="43"/>
  <c r="L3407" i="43"/>
  <c r="L3411" i="43"/>
  <c r="L3408" i="43"/>
  <c r="O3410" i="43"/>
  <c r="O3411" i="43"/>
  <c r="O3362" i="43"/>
  <c r="O3412" i="43"/>
  <c r="Q3406" i="43"/>
  <c r="Q3407" i="43"/>
  <c r="Q3408" i="43"/>
  <c r="Q3410" i="43"/>
  <c r="Q3409" i="43"/>
  <c r="Q3411" i="43"/>
  <c r="N3408" i="43"/>
  <c r="N3409" i="43"/>
  <c r="N3385" i="43"/>
  <c r="R3280" i="43"/>
  <c r="R3407" i="43"/>
  <c r="R3405" i="43"/>
  <c r="R3406" i="43"/>
  <c r="R3409" i="43"/>
  <c r="R3408" i="43"/>
  <c r="P1898" i="43"/>
  <c r="P3408" i="43"/>
  <c r="P3405" i="43"/>
  <c r="P3404" i="43"/>
  <c r="P3409" i="43"/>
  <c r="P3407" i="43"/>
  <c r="P3406" i="43"/>
  <c r="O3381" i="43"/>
  <c r="O3407" i="43"/>
  <c r="N3394" i="43"/>
  <c r="L3402" i="43"/>
  <c r="L3406" i="43"/>
  <c r="L3405" i="43"/>
  <c r="L3404" i="43"/>
  <c r="K3328" i="43"/>
  <c r="K3406" i="43"/>
  <c r="K3404" i="43"/>
  <c r="K3405" i="43"/>
  <c r="K3403" i="43"/>
  <c r="O3406" i="43"/>
  <c r="Q3404" i="43"/>
  <c r="Q3405" i="43"/>
  <c r="O3404" i="43"/>
  <c r="O3405" i="43"/>
  <c r="N3327" i="43"/>
  <c r="N3404" i="43"/>
  <c r="O3293" i="43"/>
  <c r="P3373" i="43"/>
  <c r="P3394" i="43"/>
  <c r="P3397" i="43"/>
  <c r="L3396" i="43"/>
  <c r="R3400" i="43"/>
  <c r="P3400" i="43"/>
  <c r="P3391" i="43"/>
  <c r="P3393" i="43"/>
  <c r="L3399" i="43"/>
  <c r="R3402" i="43"/>
  <c r="K3396" i="43"/>
  <c r="P3399" i="43"/>
  <c r="P3403" i="43"/>
  <c r="L3398" i="43"/>
  <c r="K3397" i="43"/>
  <c r="R3403" i="43"/>
  <c r="N3402" i="43"/>
  <c r="P3398" i="43"/>
  <c r="P3395" i="43"/>
  <c r="L3401" i="43"/>
  <c r="R3397" i="43"/>
  <c r="K3400" i="43"/>
  <c r="K3398" i="43"/>
  <c r="N3403" i="43"/>
  <c r="P3392" i="43"/>
  <c r="P3402" i="43"/>
  <c r="L3403" i="43"/>
  <c r="R3399" i="43"/>
  <c r="K3399" i="43"/>
  <c r="K3353" i="43"/>
  <c r="P3401" i="43"/>
  <c r="P3396" i="43"/>
  <c r="L3400" i="43"/>
  <c r="R3398" i="43"/>
  <c r="K3401" i="43"/>
  <c r="P3390" i="43"/>
  <c r="P3389" i="43"/>
  <c r="R3401" i="43"/>
  <c r="K3402" i="43"/>
  <c r="Q3403" i="43"/>
  <c r="O3402" i="43"/>
  <c r="Q3401" i="43"/>
  <c r="O3401" i="43"/>
  <c r="O3320" i="43"/>
  <c r="N3395" i="43"/>
  <c r="N3400" i="43"/>
  <c r="Q3400" i="43"/>
  <c r="Q3396" i="43"/>
  <c r="Q3398" i="43"/>
  <c r="Q3395" i="43"/>
  <c r="Q3393" i="43"/>
  <c r="Q3399" i="43"/>
  <c r="Q3394" i="43"/>
  <c r="Q3397" i="43"/>
  <c r="O3398" i="43"/>
  <c r="O3399" i="43"/>
  <c r="O3393" i="43"/>
  <c r="O3395" i="43"/>
  <c r="O3396" i="43"/>
  <c r="O3344" i="43"/>
  <c r="O3365" i="43"/>
  <c r="O3394" i="43"/>
  <c r="O3397" i="43"/>
  <c r="N3397" i="43"/>
  <c r="N3391" i="43"/>
  <c r="R3394" i="43"/>
  <c r="R3392" i="43"/>
  <c r="R3391" i="43"/>
  <c r="R3393" i="43"/>
  <c r="R3395" i="43"/>
  <c r="R3390" i="43"/>
  <c r="R3396" i="43"/>
  <c r="L3375" i="43"/>
  <c r="L3395" i="43"/>
  <c r="L3394" i="43"/>
  <c r="L3393" i="43"/>
  <c r="K3395" i="43"/>
  <c r="K3394" i="43"/>
  <c r="K3393" i="43"/>
  <c r="K3392" i="43"/>
  <c r="N3378" i="43"/>
  <c r="Q3392" i="43"/>
  <c r="Q3387" i="43"/>
  <c r="Q3385" i="43"/>
  <c r="Q3391" i="43"/>
  <c r="Q3386" i="43"/>
  <c r="Q3390" i="43"/>
  <c r="Q3388" i="43"/>
  <c r="Q3389" i="43"/>
  <c r="Q3345" i="43"/>
  <c r="Q3304" i="43"/>
  <c r="L3391" i="43"/>
  <c r="L3392" i="43"/>
  <c r="O3391" i="43"/>
  <c r="O3392" i="43"/>
  <c r="K3387" i="43"/>
  <c r="K3391" i="43"/>
  <c r="K3390" i="43"/>
  <c r="O3323" i="43"/>
  <c r="N3390" i="43"/>
  <c r="O3305" i="43"/>
  <c r="L3387" i="43"/>
  <c r="L3388" i="43"/>
  <c r="L3389" i="43"/>
  <c r="L3386" i="43"/>
  <c r="L3390" i="43"/>
  <c r="O3339" i="43"/>
  <c r="O3388" i="43"/>
  <c r="O3384" i="43"/>
  <c r="O3386" i="43"/>
  <c r="O3387" i="43"/>
  <c r="O3385" i="43"/>
  <c r="O3389" i="43"/>
  <c r="R3355" i="43"/>
  <c r="R3389" i="43"/>
  <c r="N3349" i="43"/>
  <c r="N3389" i="43"/>
  <c r="K3386" i="43"/>
  <c r="K3388" i="43"/>
  <c r="P3382" i="43"/>
  <c r="P3385" i="43"/>
  <c r="P3363" i="43"/>
  <c r="P3380" i="43"/>
  <c r="P3386" i="43"/>
  <c r="P3383" i="43"/>
  <c r="P3384" i="43"/>
  <c r="P3387" i="43"/>
  <c r="P3379" i="43"/>
  <c r="P3381" i="43"/>
  <c r="P3388" i="43"/>
  <c r="N3357" i="43"/>
  <c r="N3388" i="43"/>
  <c r="R3386" i="43"/>
  <c r="R3387" i="43"/>
  <c r="R3308" i="43"/>
  <c r="R3385" i="43"/>
  <c r="R3381" i="43"/>
  <c r="R3384" i="43"/>
  <c r="R3382" i="43"/>
  <c r="R3383" i="43"/>
  <c r="L3382" i="43"/>
  <c r="L3379" i="43"/>
  <c r="L3383" i="43"/>
  <c r="L3380" i="43"/>
  <c r="L3384" i="43"/>
  <c r="L3381" i="43"/>
  <c r="L3385" i="43"/>
  <c r="K3384" i="43"/>
  <c r="K3383" i="43"/>
  <c r="K3385" i="43"/>
  <c r="Q3351" i="43"/>
  <c r="Q3384" i="43"/>
  <c r="Q3380" i="43"/>
  <c r="Q3382" i="43"/>
  <c r="Q3383" i="43"/>
  <c r="Q3381" i="43"/>
  <c r="N3382" i="43"/>
  <c r="N3383" i="43"/>
  <c r="O3382" i="43"/>
  <c r="K3337" i="43"/>
  <c r="K3381" i="43"/>
  <c r="N3364" i="43"/>
  <c r="N3381" i="43"/>
  <c r="K3375" i="43"/>
  <c r="K3380" i="43"/>
  <c r="K3379" i="43"/>
  <c r="R3272" i="43"/>
  <c r="R3379" i="43"/>
  <c r="O3333" i="43"/>
  <c r="O3380" i="43"/>
  <c r="N3288" i="43"/>
  <c r="N3380" i="43"/>
  <c r="O3379" i="43"/>
  <c r="N3379" i="43"/>
  <c r="P3371" i="43"/>
  <c r="P3378" i="43"/>
  <c r="P3377" i="43"/>
  <c r="P3367" i="43"/>
  <c r="P3374" i="43"/>
  <c r="Q3378" i="43"/>
  <c r="P3366" i="43"/>
  <c r="P3365" i="43"/>
  <c r="L3376" i="43"/>
  <c r="P3368" i="43"/>
  <c r="P3375" i="43"/>
  <c r="L3377" i="43"/>
  <c r="R3374" i="43"/>
  <c r="P3370" i="43"/>
  <c r="L3378" i="43"/>
  <c r="K3309" i="43"/>
  <c r="P3372" i="43"/>
  <c r="P3376" i="43"/>
  <c r="K3378" i="43"/>
  <c r="P3369" i="43"/>
  <c r="P3364" i="43"/>
  <c r="K3377" i="43"/>
  <c r="O3289" i="43"/>
  <c r="O3377" i="43"/>
  <c r="O3350" i="43"/>
  <c r="O3378" i="43"/>
  <c r="R3376" i="43"/>
  <c r="R3377" i="43"/>
  <c r="R3375" i="43"/>
  <c r="R3378" i="43"/>
  <c r="Q3377" i="43"/>
  <c r="Q3373" i="43"/>
  <c r="Q3376" i="43"/>
  <c r="Q3374" i="43"/>
  <c r="Q3375" i="43"/>
  <c r="N3375" i="43"/>
  <c r="N3376" i="43"/>
  <c r="O3376" i="43"/>
  <c r="K3373" i="43"/>
  <c r="K3374" i="43"/>
  <c r="L3374" i="43"/>
  <c r="O3375" i="43"/>
  <c r="N3374" i="43"/>
  <c r="O3373" i="43"/>
  <c r="O3372" i="43"/>
  <c r="L3372" i="43"/>
  <c r="L3373" i="43"/>
  <c r="N3347" i="43"/>
  <c r="N3373" i="43"/>
  <c r="R3371" i="43"/>
  <c r="R3370" i="43"/>
  <c r="R3361" i="43"/>
  <c r="R3372" i="43"/>
  <c r="R3373" i="43"/>
  <c r="K3372" i="43"/>
  <c r="K3368" i="43"/>
  <c r="K3371" i="43"/>
  <c r="K3370" i="43"/>
  <c r="K3369" i="43"/>
  <c r="N3332" i="43"/>
  <c r="N3372" i="43"/>
  <c r="Q3366" i="43"/>
  <c r="Q3371" i="43"/>
  <c r="Q3370" i="43"/>
  <c r="Q3369" i="43"/>
  <c r="Q3368" i="43"/>
  <c r="L3276" i="43"/>
  <c r="L3370" i="43"/>
  <c r="L3371" i="43"/>
  <c r="N3371" i="43"/>
  <c r="O3370" i="43"/>
  <c r="N3335" i="43"/>
  <c r="L3368" i="43"/>
  <c r="L3369" i="43"/>
  <c r="O3360" i="43"/>
  <c r="O3368" i="43"/>
  <c r="O3369" i="43"/>
  <c r="N3334" i="43"/>
  <c r="N3363" i="43"/>
  <c r="N3369" i="43"/>
  <c r="N3368" i="43"/>
  <c r="R3363" i="43"/>
  <c r="R3368" i="43"/>
  <c r="K3361" i="43"/>
  <c r="K3367" i="43"/>
  <c r="K3363" i="43"/>
  <c r="K3365" i="43"/>
  <c r="K3362" i="43"/>
  <c r="K3364" i="43"/>
  <c r="K3366" i="43"/>
  <c r="K3313" i="43"/>
  <c r="N3300" i="43"/>
  <c r="N3326" i="43"/>
  <c r="N3251" i="43"/>
  <c r="N3367" i="43"/>
  <c r="L3363" i="43"/>
  <c r="L3365" i="43"/>
  <c r="L3362" i="43"/>
  <c r="L3366" i="43"/>
  <c r="L3364" i="43"/>
  <c r="L3367" i="43"/>
  <c r="O3317" i="43"/>
  <c r="O3366" i="43"/>
  <c r="O3367" i="43"/>
  <c r="Q3367" i="43"/>
  <c r="R3364" i="43"/>
  <c r="R3366" i="43"/>
  <c r="R3362" i="43"/>
  <c r="R3365" i="43"/>
  <c r="Q3365" i="43"/>
  <c r="N3365" i="43"/>
  <c r="O3364" i="43"/>
  <c r="O3363" i="43"/>
  <c r="N3316" i="43"/>
  <c r="Q3364" i="43"/>
  <c r="Q3363" i="43"/>
  <c r="Q3362" i="43"/>
  <c r="N3362" i="43"/>
  <c r="P3360" i="43"/>
  <c r="P3361" i="43"/>
  <c r="P3362" i="43"/>
  <c r="O3361" i="43"/>
  <c r="N3353" i="43"/>
  <c r="N3361" i="43"/>
  <c r="N3360" i="43"/>
  <c r="N3346" i="43"/>
  <c r="Q3361" i="43"/>
  <c r="Q3360" i="43"/>
  <c r="L3361" i="43"/>
  <c r="K3354" i="43"/>
  <c r="R3338" i="43"/>
  <c r="R3360" i="43"/>
  <c r="R3271" i="43"/>
  <c r="K3307" i="43"/>
  <c r="K3360" i="43"/>
  <c r="L3360" i="43"/>
  <c r="O3358" i="43"/>
  <c r="R3358" i="43"/>
  <c r="L3356" i="43"/>
  <c r="O3342" i="43"/>
  <c r="O3359" i="43"/>
  <c r="R3359" i="43"/>
  <c r="L3357" i="43"/>
  <c r="P3358" i="43"/>
  <c r="R3357" i="43"/>
  <c r="L3358" i="43"/>
  <c r="P3359" i="43"/>
  <c r="R3356" i="43"/>
  <c r="L3359" i="43"/>
  <c r="O3355" i="43"/>
  <c r="N3358" i="43"/>
  <c r="P3357" i="43"/>
  <c r="K3356" i="43"/>
  <c r="N3359" i="43"/>
  <c r="P3356" i="43"/>
  <c r="K3357" i="43"/>
  <c r="P3352" i="43"/>
  <c r="O3356" i="43"/>
  <c r="K3358" i="43"/>
  <c r="O3357" i="43"/>
  <c r="K3359" i="43"/>
  <c r="Q3352" i="43"/>
  <c r="Q3358" i="43"/>
  <c r="Q3357" i="43"/>
  <c r="Q3312" i="43"/>
  <c r="N3343" i="43"/>
  <c r="N3356" i="43"/>
  <c r="P3355" i="43"/>
  <c r="L3355" i="43"/>
  <c r="O3354" i="43"/>
  <c r="P3354" i="43"/>
  <c r="Q3353" i="43"/>
  <c r="O3351" i="43"/>
  <c r="P3353" i="43"/>
  <c r="N3355" i="43"/>
  <c r="P3348" i="43"/>
  <c r="K3355" i="43"/>
  <c r="N3354" i="43"/>
  <c r="O3352" i="43"/>
  <c r="P3349" i="43"/>
  <c r="N3050" i="43"/>
  <c r="P3351" i="43"/>
  <c r="Q3354" i="43"/>
  <c r="O3353" i="43"/>
  <c r="P3350" i="43"/>
  <c r="Q3355" i="43"/>
  <c r="R3344" i="43"/>
  <c r="R3349" i="43"/>
  <c r="R3340" i="43"/>
  <c r="R3343" i="43"/>
  <c r="R3348" i="43"/>
  <c r="R3342" i="43"/>
  <c r="R3347" i="43"/>
  <c r="R3341" i="43"/>
  <c r="R3346" i="43"/>
  <c r="R3354" i="43"/>
  <c r="R3351" i="43"/>
  <c r="R3345" i="43"/>
  <c r="R3350" i="43"/>
  <c r="R3353" i="43"/>
  <c r="L3201" i="43"/>
  <c r="L3354" i="43"/>
  <c r="L3353" i="43"/>
  <c r="L2769" i="43"/>
  <c r="K3319" i="43"/>
  <c r="K3350" i="43"/>
  <c r="K3349" i="43"/>
  <c r="K3352" i="43"/>
  <c r="K3351" i="43"/>
  <c r="N3336" i="43"/>
  <c r="N3352" i="43"/>
  <c r="N3351" i="43"/>
  <c r="L3345" i="43"/>
  <c r="L3352" i="43"/>
  <c r="L3351" i="43"/>
  <c r="L3350" i="43"/>
  <c r="L3349" i="43"/>
  <c r="Q3350" i="43"/>
  <c r="Q3346" i="43"/>
  <c r="Q3349" i="43"/>
  <c r="Q3348" i="43"/>
  <c r="Q3347" i="43"/>
  <c r="Q3325" i="43"/>
  <c r="N3350" i="43"/>
  <c r="O3347" i="43"/>
  <c r="O3348" i="43"/>
  <c r="O3349" i="43"/>
  <c r="L3346" i="43"/>
  <c r="L3347" i="43"/>
  <c r="L3348" i="43"/>
  <c r="N3348" i="43"/>
  <c r="K3295" i="43"/>
  <c r="K3347" i="43"/>
  <c r="K3346" i="43"/>
  <c r="P3346" i="43"/>
  <c r="P3347" i="43"/>
  <c r="N3315" i="43"/>
  <c r="O3346" i="43"/>
  <c r="N3329" i="43"/>
  <c r="N3284" i="43"/>
  <c r="O3297" i="43"/>
  <c r="O3345" i="43"/>
  <c r="P3326" i="43"/>
  <c r="P3330" i="43"/>
  <c r="P3334" i="43"/>
  <c r="P3336" i="43"/>
  <c r="P3342" i="43"/>
  <c r="P3327" i="43"/>
  <c r="P3331" i="43"/>
  <c r="P3337" i="43"/>
  <c r="P3339" i="43"/>
  <c r="P3343" i="43"/>
  <c r="P3328" i="43"/>
  <c r="P3332" i="43"/>
  <c r="P3338" i="43"/>
  <c r="P3340" i="43"/>
  <c r="P3344" i="43"/>
  <c r="P3252" i="43"/>
  <c r="P3329" i="43"/>
  <c r="P3333" i="43"/>
  <c r="P3335" i="43"/>
  <c r="P3341" i="43"/>
  <c r="P3345" i="43"/>
  <c r="L3334" i="43"/>
  <c r="L3335" i="43"/>
  <c r="L3341" i="43"/>
  <c r="L3329" i="43"/>
  <c r="K3318" i="43"/>
  <c r="K3339" i="43"/>
  <c r="K3343" i="43"/>
  <c r="K3342" i="43"/>
  <c r="K3340" i="43"/>
  <c r="K3344" i="43"/>
  <c r="K3341" i="43"/>
  <c r="K3345" i="43"/>
  <c r="L3331" i="43"/>
  <c r="L3339" i="43"/>
  <c r="L3337" i="43"/>
  <c r="L3343" i="43"/>
  <c r="L3328" i="43"/>
  <c r="L3332" i="43"/>
  <c r="L3336" i="43"/>
  <c r="L3340" i="43"/>
  <c r="L3344" i="43"/>
  <c r="L3330" i="43"/>
  <c r="L3333" i="43"/>
  <c r="L3338" i="43"/>
  <c r="L3342" i="43"/>
  <c r="N3344" i="43"/>
  <c r="N3345" i="43"/>
  <c r="Q3326" i="43"/>
  <c r="Q3344" i="43"/>
  <c r="Q3340" i="43"/>
  <c r="Q3335" i="43"/>
  <c r="Q3332" i="43"/>
  <c r="Q3328" i="43"/>
  <c r="Q3337" i="43"/>
  <c r="Q3343" i="43"/>
  <c r="Q3339" i="43"/>
  <c r="Q3336" i="43"/>
  <c r="Q3329" i="43"/>
  <c r="Q3327" i="43"/>
  <c r="Q3333" i="43"/>
  <c r="Q3342" i="43"/>
  <c r="Q3338" i="43"/>
  <c r="Q3334" i="43"/>
  <c r="Q3330" i="43"/>
  <c r="Q3341" i="43"/>
  <c r="Q3331" i="43"/>
  <c r="O3341" i="43"/>
  <c r="O3343" i="43"/>
  <c r="N3314" i="43"/>
  <c r="N3342" i="43"/>
  <c r="N3311" i="43"/>
  <c r="O3340" i="43"/>
  <c r="N3248" i="43"/>
  <c r="N3044" i="43"/>
  <c r="N3340" i="43"/>
  <c r="R3332" i="43"/>
  <c r="R3336" i="43"/>
  <c r="R3333" i="43"/>
  <c r="R3337" i="43"/>
  <c r="R3334" i="43"/>
  <c r="R3339" i="43"/>
  <c r="R3335" i="43"/>
  <c r="N3337" i="43"/>
  <c r="N3339" i="43"/>
  <c r="N3338" i="43"/>
  <c r="O3334" i="43"/>
  <c r="O3336" i="43"/>
  <c r="O3338" i="43"/>
  <c r="O3335" i="43"/>
  <c r="O3337" i="43"/>
  <c r="K3317" i="43"/>
  <c r="K3336" i="43"/>
  <c r="K3332" i="43"/>
  <c r="K3335" i="43"/>
  <c r="K3331" i="43"/>
  <c r="K3334" i="43"/>
  <c r="K3329" i="43"/>
  <c r="K3333" i="43"/>
  <c r="K3330" i="43"/>
  <c r="N3322" i="43"/>
  <c r="N3331" i="43"/>
  <c r="N3333" i="43"/>
  <c r="O3321" i="43"/>
  <c r="O3266" i="43"/>
  <c r="O3324" i="43"/>
  <c r="O3329" i="43"/>
  <c r="O3326" i="43"/>
  <c r="O3331" i="43"/>
  <c r="O3327" i="43"/>
  <c r="O3330" i="43"/>
  <c r="O3306" i="43"/>
  <c r="O3328" i="43"/>
  <c r="O3332" i="43"/>
  <c r="N3330" i="43"/>
  <c r="R3330" i="43"/>
  <c r="R3331" i="43"/>
  <c r="R3318" i="43"/>
  <c r="R3329" i="43"/>
  <c r="R3328" i="43"/>
  <c r="R3327" i="43"/>
  <c r="R3326" i="43"/>
  <c r="N3328" i="43"/>
  <c r="L3318" i="43"/>
  <c r="L3327" i="43"/>
  <c r="L3326" i="43"/>
  <c r="K3326" i="43"/>
  <c r="K3327" i="43"/>
  <c r="R3316" i="43"/>
  <c r="R3325" i="43"/>
  <c r="O3258" i="43"/>
  <c r="N3306" i="43"/>
  <c r="K3323" i="43"/>
  <c r="P3320" i="43"/>
  <c r="R3314" i="43"/>
  <c r="R3324" i="43"/>
  <c r="P3321" i="43"/>
  <c r="N3323" i="43"/>
  <c r="K3325" i="43"/>
  <c r="P3322" i="43"/>
  <c r="R3321" i="43"/>
  <c r="R3317" i="43"/>
  <c r="N3325" i="43"/>
  <c r="N3240" i="43"/>
  <c r="N3320" i="43"/>
  <c r="N3324" i="43"/>
  <c r="K3324" i="43"/>
  <c r="P3323" i="43"/>
  <c r="R3322" i="43"/>
  <c r="L3321" i="43"/>
  <c r="K3321" i="43"/>
  <c r="P3324" i="43"/>
  <c r="L3322" i="43"/>
  <c r="O3325" i="43"/>
  <c r="P3319" i="43"/>
  <c r="R3315" i="43"/>
  <c r="L3323" i="43"/>
  <c r="N3265" i="43"/>
  <c r="P3325" i="43"/>
  <c r="R3319" i="43"/>
  <c r="R3323" i="43"/>
  <c r="L3324" i="43"/>
  <c r="K3322" i="43"/>
  <c r="P3318" i="43"/>
  <c r="R3320" i="43"/>
  <c r="L3325" i="43"/>
  <c r="Q3323" i="43"/>
  <c r="Q3324" i="43"/>
  <c r="O3322" i="43"/>
  <c r="Q3320" i="43"/>
  <c r="Q3322" i="43"/>
  <c r="Q3321" i="43"/>
  <c r="N3321" i="43"/>
  <c r="K3275" i="43"/>
  <c r="K3314" i="43"/>
  <c r="K3294" i="43"/>
  <c r="K3296" i="43"/>
  <c r="L3319" i="43"/>
  <c r="L3320" i="43"/>
  <c r="K3320" i="43"/>
  <c r="O3319" i="43"/>
  <c r="N3254" i="43"/>
  <c r="N3125" i="43"/>
  <c r="N3292" i="43"/>
  <c r="N3298" i="43"/>
  <c r="N3319" i="43"/>
  <c r="Q3311" i="43"/>
  <c r="Q3319" i="43"/>
  <c r="Q3316" i="43"/>
  <c r="Q3317" i="43"/>
  <c r="Q3314" i="43"/>
  <c r="Q3318" i="43"/>
  <c r="Q3313" i="43"/>
  <c r="O3262" i="43"/>
  <c r="O3268" i="43"/>
  <c r="O3269" i="43"/>
  <c r="O3318" i="43"/>
  <c r="L3315" i="43"/>
  <c r="L3312" i="43"/>
  <c r="L3316" i="43"/>
  <c r="L3313" i="43"/>
  <c r="L3317" i="43"/>
  <c r="L3314" i="43"/>
  <c r="N3301" i="43"/>
  <c r="N3238" i="43"/>
  <c r="N3303" i="43"/>
  <c r="N3313" i="43"/>
  <c r="N3317" i="43"/>
  <c r="N3318" i="43"/>
  <c r="K3315" i="43"/>
  <c r="K3316" i="43"/>
  <c r="P3314" i="43"/>
  <c r="P3316" i="43"/>
  <c r="P3313" i="43"/>
  <c r="P3317" i="43"/>
  <c r="O3277" i="43"/>
  <c r="O3278" i="43"/>
  <c r="O3291" i="43"/>
  <c r="O3314" i="43"/>
  <c r="O3315" i="43"/>
  <c r="O3316" i="43"/>
  <c r="O3313" i="43"/>
  <c r="R3307" i="43"/>
  <c r="R3313" i="43"/>
  <c r="R3312" i="43"/>
  <c r="R3311" i="43"/>
  <c r="K3308" i="43"/>
  <c r="K3312" i="43"/>
  <c r="K3311" i="43"/>
  <c r="K3310" i="43"/>
  <c r="O3312" i="43"/>
  <c r="P3310" i="43"/>
  <c r="P3311" i="43"/>
  <c r="P3312" i="43"/>
  <c r="N3308" i="43"/>
  <c r="N3312" i="43"/>
  <c r="N3307" i="43"/>
  <c r="O3302" i="43"/>
  <c r="B8" i="16"/>
  <c r="L3311" i="43"/>
  <c r="L3308" i="43"/>
  <c r="L3310" i="43"/>
  <c r="L3309" i="43"/>
  <c r="O3311" i="43"/>
  <c r="O3310" i="43"/>
  <c r="N3310" i="43"/>
  <c r="N3309" i="43"/>
  <c r="Q3307" i="43"/>
  <c r="Q3310" i="43"/>
  <c r="Q3308" i="43"/>
  <c r="Q3309" i="43"/>
  <c r="R3310" i="43"/>
  <c r="P3309" i="43"/>
  <c r="P3308" i="43"/>
  <c r="O3309" i="43"/>
  <c r="O3308" i="43"/>
  <c r="R3226" i="43"/>
  <c r="R3309" i="43"/>
  <c r="R3279" i="43"/>
  <c r="P3305" i="43"/>
  <c r="Q3243" i="43"/>
  <c r="P3306" i="43"/>
  <c r="Q3305" i="43"/>
  <c r="B9" i="16"/>
  <c r="O3307" i="43"/>
  <c r="P3307" i="43"/>
  <c r="Q3306" i="43"/>
  <c r="L3059" i="43"/>
  <c r="L3286" i="43"/>
  <c r="L3306" i="43"/>
  <c r="L3307" i="43"/>
  <c r="R2604" i="43"/>
  <c r="R3306" i="43"/>
  <c r="R3305" i="43"/>
  <c r="K3305" i="43"/>
  <c r="K3306" i="43"/>
  <c r="N3305" i="43"/>
  <c r="L3305" i="43"/>
  <c r="O3304" i="43"/>
  <c r="R3300" i="43"/>
  <c r="K3302" i="43"/>
  <c r="P3300" i="43"/>
  <c r="R3303" i="43"/>
  <c r="L3304" i="43"/>
  <c r="P3301" i="43"/>
  <c r="R3302" i="43"/>
  <c r="P3303" i="43"/>
  <c r="R3304" i="43"/>
  <c r="K3303" i="43"/>
  <c r="K3304" i="43"/>
  <c r="P3302" i="43"/>
  <c r="K3300" i="43"/>
  <c r="R3301" i="43"/>
  <c r="L3203" i="43"/>
  <c r="P3304" i="43"/>
  <c r="K3301" i="43"/>
  <c r="N3237" i="43"/>
  <c r="N3304" i="43"/>
  <c r="O3175" i="43"/>
  <c r="O3260" i="43"/>
  <c r="O3294" i="43"/>
  <c r="Q3250" i="43"/>
  <c r="Q3291" i="43"/>
  <c r="Q3303" i="43"/>
  <c r="Q3300" i="43"/>
  <c r="Q3302" i="43"/>
  <c r="Q3301" i="43"/>
  <c r="L3301" i="43"/>
  <c r="L3300" i="43"/>
  <c r="L3303" i="43"/>
  <c r="L3302" i="43"/>
  <c r="O3303" i="43"/>
  <c r="N3302" i="43"/>
  <c r="N3290" i="43"/>
  <c r="O3300" i="43"/>
  <c r="O3301" i="43"/>
  <c r="L3299" i="43"/>
  <c r="L3297" i="43"/>
  <c r="L3294" i="43"/>
  <c r="L3295" i="43"/>
  <c r="P3294" i="43"/>
  <c r="L3298" i="43"/>
  <c r="O3264" i="43"/>
  <c r="P3299" i="43"/>
  <c r="P3295" i="43"/>
  <c r="O3198" i="43"/>
  <c r="P3298" i="43"/>
  <c r="Q3257" i="43"/>
  <c r="O3298" i="43"/>
  <c r="P3297" i="43"/>
  <c r="K3297" i="43"/>
  <c r="L3296" i="43"/>
  <c r="O3299" i="43"/>
  <c r="K3298" i="43"/>
  <c r="P3296" i="43"/>
  <c r="K3299" i="43"/>
  <c r="R3297" i="43"/>
  <c r="R3299" i="43"/>
  <c r="Q3299" i="43"/>
  <c r="R3295" i="43"/>
  <c r="R3298" i="43"/>
  <c r="R3296" i="43"/>
  <c r="Q2435" i="43"/>
  <c r="Q3295" i="43"/>
  <c r="Q3296" i="43"/>
  <c r="Q3297" i="43"/>
  <c r="Q3285" i="43"/>
  <c r="Q3298" i="43"/>
  <c r="N3259" i="43"/>
  <c r="N3296" i="43"/>
  <c r="N3297" i="43"/>
  <c r="O3256" i="43"/>
  <c r="O3295" i="43"/>
  <c r="O3267" i="43"/>
  <c r="O3296" i="43"/>
  <c r="N3051" i="43"/>
  <c r="N3295" i="43"/>
  <c r="N3247" i="43"/>
  <c r="N3294" i="43"/>
  <c r="K3293" i="43"/>
  <c r="Q3294" i="43"/>
  <c r="R3283" i="43"/>
  <c r="R3294" i="43"/>
  <c r="K3263" i="43"/>
  <c r="Q3292" i="43"/>
  <c r="P3287" i="43"/>
  <c r="R3292" i="43"/>
  <c r="K3236" i="43"/>
  <c r="P3292" i="43"/>
  <c r="R3293" i="43"/>
  <c r="N3286" i="43"/>
  <c r="L3106" i="43"/>
  <c r="L3292" i="43"/>
  <c r="L3291" i="43"/>
  <c r="P3288" i="43"/>
  <c r="L3289" i="43"/>
  <c r="R3289" i="43"/>
  <c r="P3204" i="43"/>
  <c r="Q3286" i="43"/>
  <c r="Q3290" i="43"/>
  <c r="P3293" i="43"/>
  <c r="R3288" i="43"/>
  <c r="K3282" i="43"/>
  <c r="Q3287" i="43"/>
  <c r="P3291" i="43"/>
  <c r="R3286" i="43"/>
  <c r="K3289" i="43"/>
  <c r="N3293" i="43"/>
  <c r="P3290" i="43"/>
  <c r="Q3293" i="43"/>
  <c r="R3287" i="43"/>
  <c r="K3292" i="43"/>
  <c r="P3289" i="43"/>
  <c r="L3290" i="43"/>
  <c r="R3291" i="43"/>
  <c r="K3291" i="43"/>
  <c r="K3249" i="43"/>
  <c r="L3293" i="43"/>
  <c r="R3290" i="43"/>
  <c r="K3290" i="43"/>
  <c r="O3286" i="43"/>
  <c r="O2492" i="43"/>
  <c r="O3287" i="43"/>
  <c r="O3290" i="43"/>
  <c r="O3288" i="43"/>
  <c r="Q3289" i="43"/>
  <c r="Q3288" i="43"/>
  <c r="N3291" i="43"/>
  <c r="N3289" i="43"/>
  <c r="N3282" i="43"/>
  <c r="N3244" i="43"/>
  <c r="N3117" i="43"/>
  <c r="K3288" i="43"/>
  <c r="L3287" i="43"/>
  <c r="L3288" i="43"/>
  <c r="N3194" i="43"/>
  <c r="N3129" i="43"/>
  <c r="N3287" i="43"/>
  <c r="K3287" i="43"/>
  <c r="K3286" i="43"/>
  <c r="P3286" i="43"/>
  <c r="K3277" i="43"/>
  <c r="L3283" i="43"/>
  <c r="R3284" i="43"/>
  <c r="L3282" i="43"/>
  <c r="O3284" i="43"/>
  <c r="R3285" i="43"/>
  <c r="K3285" i="43"/>
  <c r="L3284" i="43"/>
  <c r="R3169" i="43"/>
  <c r="K3269" i="43"/>
  <c r="P3285" i="43"/>
  <c r="K3281" i="43"/>
  <c r="K3278" i="43"/>
  <c r="L3285" i="43"/>
  <c r="L3273" i="43"/>
  <c r="P3283" i="43"/>
  <c r="K3283" i="43"/>
  <c r="K3279" i="43"/>
  <c r="P3284" i="43"/>
  <c r="K3276" i="43"/>
  <c r="K3280" i="43"/>
  <c r="N3285" i="43"/>
  <c r="K3284" i="43"/>
  <c r="O3285" i="43"/>
  <c r="L3281" i="43"/>
  <c r="Q3284" i="43"/>
  <c r="N3225" i="43"/>
  <c r="N3283" i="43"/>
  <c r="N3215" i="43"/>
  <c r="Q3273" i="43"/>
  <c r="Q3276" i="43"/>
  <c r="Q3279" i="43"/>
  <c r="Q3277" i="43"/>
  <c r="Q3281" i="43"/>
  <c r="Q3274" i="43"/>
  <c r="Q3278" i="43"/>
  <c r="Q3282" i="43"/>
  <c r="Q3275" i="43"/>
  <c r="Q3280" i="43"/>
  <c r="Q3283" i="43"/>
  <c r="O3281" i="43"/>
  <c r="O3282" i="43"/>
  <c r="O3280" i="43"/>
  <c r="O3283" i="43"/>
  <c r="R3273" i="43"/>
  <c r="R3282" i="43"/>
  <c r="P3144" i="43"/>
  <c r="P3282" i="43"/>
  <c r="N3281" i="43"/>
  <c r="P3269" i="43"/>
  <c r="P3274" i="43"/>
  <c r="P3280" i="43"/>
  <c r="P3275" i="43"/>
  <c r="P3279" i="43"/>
  <c r="P3276" i="43"/>
  <c r="P3278" i="43"/>
  <c r="P3277" i="43"/>
  <c r="P3281" i="43"/>
  <c r="N3273" i="43"/>
  <c r="N3280" i="43"/>
  <c r="N3278" i="43"/>
  <c r="N3279" i="43"/>
  <c r="L3279" i="43"/>
  <c r="L3280" i="43"/>
  <c r="L3278" i="43"/>
  <c r="R1010" i="43"/>
  <c r="R3275" i="43"/>
  <c r="R3276" i="43"/>
  <c r="R3277" i="43"/>
  <c r="R3278" i="43"/>
  <c r="N3178" i="43"/>
  <c r="N3275" i="43"/>
  <c r="N3276" i="43"/>
  <c r="N3277" i="43"/>
  <c r="L3277" i="43"/>
  <c r="O3276" i="43"/>
  <c r="L3274" i="43"/>
  <c r="L3275" i="43"/>
  <c r="O3192" i="43"/>
  <c r="O3275" i="43"/>
  <c r="N3274" i="43"/>
  <c r="R701" i="43"/>
  <c r="R3274" i="43"/>
  <c r="K3243" i="43"/>
  <c r="K3274" i="43"/>
  <c r="K3177" i="43"/>
  <c r="O3274" i="43"/>
  <c r="O3272" i="43"/>
  <c r="P3273" i="43"/>
  <c r="P3272" i="43"/>
  <c r="K3271" i="43"/>
  <c r="L3270" i="43"/>
  <c r="P3270" i="43"/>
  <c r="O3271" i="43"/>
  <c r="P3271" i="43"/>
  <c r="K3270" i="43"/>
  <c r="L3272" i="43"/>
  <c r="N3185" i="43"/>
  <c r="K3230" i="43"/>
  <c r="O3270" i="43"/>
  <c r="P3267" i="43"/>
  <c r="K3273" i="43"/>
  <c r="L3268" i="43"/>
  <c r="O3273" i="43"/>
  <c r="P3268" i="43"/>
  <c r="K3272" i="43"/>
  <c r="L3269" i="43"/>
  <c r="P3266" i="43"/>
  <c r="K3268" i="43"/>
  <c r="L3271" i="43"/>
  <c r="N3271" i="43"/>
  <c r="N3272" i="43"/>
  <c r="R3218" i="43"/>
  <c r="Q3269" i="43"/>
  <c r="Q3272" i="43"/>
  <c r="Q3267" i="43"/>
  <c r="Q3270" i="43"/>
  <c r="Q3268" i="43"/>
  <c r="Q3271" i="43"/>
  <c r="R3234" i="43"/>
  <c r="R3270" i="43"/>
  <c r="R3267" i="43"/>
  <c r="R3269" i="43"/>
  <c r="R3268" i="43"/>
  <c r="R3266" i="43"/>
  <c r="N2238" i="43"/>
  <c r="N3269" i="43"/>
  <c r="N3168" i="43"/>
  <c r="O3234" i="43"/>
  <c r="N3228" i="43"/>
  <c r="N3267" i="43"/>
  <c r="N3268" i="43"/>
  <c r="O2829" i="43"/>
  <c r="K3267" i="43"/>
  <c r="K3266" i="43"/>
  <c r="O3166" i="43"/>
  <c r="L3267" i="43"/>
  <c r="L3266" i="43"/>
  <c r="Q3261" i="43"/>
  <c r="Q3266" i="43"/>
  <c r="N3205" i="43"/>
  <c r="N3266" i="43"/>
  <c r="K3264" i="43"/>
  <c r="K3265" i="43"/>
  <c r="L3263" i="43"/>
  <c r="L3264" i="43"/>
  <c r="L3242" i="43"/>
  <c r="P3262" i="43"/>
  <c r="L3253" i="43"/>
  <c r="L3237" i="43"/>
  <c r="L3040" i="43"/>
  <c r="M3264" i="43"/>
  <c r="L3262" i="43"/>
  <c r="L1822" i="43"/>
  <c r="L3240" i="43"/>
  <c r="L3239" i="43"/>
  <c r="R3262" i="43"/>
  <c r="M3262" i="43"/>
  <c r="L3235" i="43"/>
  <c r="R3264" i="43"/>
  <c r="M3265" i="43"/>
  <c r="L3265" i="43"/>
  <c r="L3241" i="43"/>
  <c r="R3265" i="43"/>
  <c r="Q3264" i="43"/>
  <c r="L3105" i="43"/>
  <c r="P3265" i="43"/>
  <c r="L3243" i="43"/>
  <c r="R3263" i="43"/>
  <c r="Q3262" i="43"/>
  <c r="P3264" i="43"/>
  <c r="L2863" i="43"/>
  <c r="L3244" i="43"/>
  <c r="Q3265" i="43"/>
  <c r="L3236" i="43"/>
  <c r="P3263" i="43"/>
  <c r="M3263" i="43"/>
  <c r="L3238" i="43"/>
  <c r="L3245" i="43"/>
  <c r="Q3263" i="43"/>
  <c r="O3186" i="43"/>
  <c r="O3265" i="43"/>
  <c r="N3183" i="43"/>
  <c r="N3263" i="43"/>
  <c r="N3262" i="43"/>
  <c r="N3264" i="43"/>
  <c r="O3263" i="43"/>
  <c r="K3262" i="43"/>
  <c r="O3255" i="43"/>
  <c r="K3227" i="43"/>
  <c r="K3257" i="43"/>
  <c r="L3247" i="43"/>
  <c r="L3246" i="43"/>
  <c r="L3260" i="43"/>
  <c r="L3259" i="43"/>
  <c r="R3245" i="43"/>
  <c r="R3172" i="43"/>
  <c r="N3116" i="43"/>
  <c r="N3223" i="43"/>
  <c r="O3164" i="43"/>
  <c r="N3156" i="43"/>
  <c r="M3261" i="43"/>
  <c r="K3251" i="43"/>
  <c r="R3261" i="43"/>
  <c r="K3261" i="43"/>
  <c r="K3258" i="43"/>
  <c r="K3248" i="43"/>
  <c r="K3254" i="43"/>
  <c r="K3252" i="43"/>
  <c r="K3255" i="43"/>
  <c r="K3260" i="43"/>
  <c r="N3261" i="43"/>
  <c r="K3256" i="43"/>
  <c r="K3253" i="43"/>
  <c r="O3261" i="43"/>
  <c r="R3260" i="43"/>
  <c r="K3250" i="43"/>
  <c r="K3259" i="43"/>
  <c r="R3259" i="43"/>
  <c r="L3261" i="43"/>
  <c r="P3257" i="43"/>
  <c r="P3254" i="43"/>
  <c r="P3258" i="43"/>
  <c r="P3256" i="43"/>
  <c r="P3260" i="43"/>
  <c r="P3255" i="43"/>
  <c r="P3259" i="43"/>
  <c r="N3260" i="43"/>
  <c r="Q3258" i="43"/>
  <c r="Q3259" i="43"/>
  <c r="Q3260" i="43"/>
  <c r="M3255" i="43"/>
  <c r="M3260" i="43"/>
  <c r="M2759" i="43"/>
  <c r="M3259" i="43"/>
  <c r="O3259" i="43"/>
  <c r="N3148" i="43"/>
  <c r="M3256" i="43"/>
  <c r="M3253" i="43"/>
  <c r="M3257" i="43"/>
  <c r="M3254" i="43"/>
  <c r="M3258" i="43"/>
  <c r="Q3184" i="43"/>
  <c r="L3255" i="43"/>
  <c r="L3248" i="43"/>
  <c r="L3256" i="43"/>
  <c r="L3258" i="43"/>
  <c r="L3254" i="43"/>
  <c r="L3257" i="43"/>
  <c r="N3220" i="43"/>
  <c r="N2833" i="43"/>
  <c r="N3256" i="43"/>
  <c r="N3257" i="43"/>
  <c r="N3258" i="43"/>
  <c r="R3217" i="43"/>
  <c r="R3251" i="43"/>
  <c r="R3256" i="43"/>
  <c r="R3248" i="43"/>
  <c r="R3252" i="43"/>
  <c r="R3255" i="43"/>
  <c r="R3249" i="43"/>
  <c r="R3253" i="43"/>
  <c r="R3258" i="43"/>
  <c r="R3250" i="43"/>
  <c r="R3254" i="43"/>
  <c r="R3257" i="43"/>
  <c r="O3257" i="43"/>
  <c r="Q3247" i="43"/>
  <c r="Q3256" i="43"/>
  <c r="Q3251" i="43"/>
  <c r="Q3255" i="43"/>
  <c r="Q3252" i="43"/>
  <c r="Q3253" i="43"/>
  <c r="Q3254" i="43"/>
  <c r="O3253" i="43"/>
  <c r="N2931" i="43"/>
  <c r="N3255" i="43"/>
  <c r="N3188" i="43"/>
  <c r="N3061" i="43"/>
  <c r="O3254" i="43"/>
  <c r="P3239" i="43"/>
  <c r="P3253" i="43"/>
  <c r="N3052" i="43"/>
  <c r="N3253" i="43"/>
  <c r="N3252" i="43"/>
  <c r="O3252" i="43"/>
  <c r="O3250" i="43"/>
  <c r="O3251" i="43"/>
  <c r="L3249" i="43"/>
  <c r="L3250" i="43"/>
  <c r="L3252" i="43"/>
  <c r="L3251" i="43"/>
  <c r="M3239" i="43"/>
  <c r="M3252" i="43"/>
  <c r="M3248" i="43"/>
  <c r="M3250" i="43"/>
  <c r="M3249" i="43"/>
  <c r="M3251" i="43"/>
  <c r="P3248" i="43"/>
  <c r="P3249" i="43"/>
  <c r="P3250" i="43"/>
  <c r="P3251" i="43"/>
  <c r="N3250" i="43"/>
  <c r="O3246" i="43"/>
  <c r="N3180" i="43"/>
  <c r="O3249" i="43"/>
  <c r="Q2857" i="43"/>
  <c r="Q3248" i="43"/>
  <c r="Q3249" i="43"/>
  <c r="N3231" i="43"/>
  <c r="N3249" i="43"/>
  <c r="O3248" i="43"/>
  <c r="R3208" i="43"/>
  <c r="P3143" i="43"/>
  <c r="K3247" i="43"/>
  <c r="M3245" i="43"/>
  <c r="R3247" i="43"/>
  <c r="P3244" i="43"/>
  <c r="M3246" i="43"/>
  <c r="P3245" i="43"/>
  <c r="M3244" i="43"/>
  <c r="K3244" i="43"/>
  <c r="Q3246" i="43"/>
  <c r="Q3244" i="43"/>
  <c r="K3246" i="43"/>
  <c r="P3247" i="43"/>
  <c r="Q3245" i="43"/>
  <c r="R3246" i="43"/>
  <c r="K3245" i="43"/>
  <c r="O3247" i="43"/>
  <c r="P3246" i="43"/>
  <c r="M3247" i="43"/>
  <c r="O3235" i="43"/>
  <c r="N3169" i="43"/>
  <c r="N3246" i="43"/>
  <c r="O3245" i="43"/>
  <c r="N3245" i="43"/>
  <c r="O3242" i="43"/>
  <c r="R3244" i="43"/>
  <c r="O3241" i="43"/>
  <c r="O3244" i="43"/>
  <c r="P3241" i="43"/>
  <c r="P3242" i="43"/>
  <c r="M3241" i="43"/>
  <c r="M3243" i="43"/>
  <c r="M3235" i="43"/>
  <c r="M3242" i="43"/>
  <c r="P3240" i="43"/>
  <c r="P3243" i="43"/>
  <c r="O3243" i="43"/>
  <c r="K3241" i="43"/>
  <c r="K3238" i="43"/>
  <c r="M3240" i="43"/>
  <c r="K3242" i="43"/>
  <c r="K3239" i="43"/>
  <c r="K3240" i="43"/>
  <c r="N3213" i="43"/>
  <c r="N3243" i="43"/>
  <c r="R3032" i="43"/>
  <c r="R3241" i="43"/>
  <c r="R3236" i="43"/>
  <c r="R3237" i="43"/>
  <c r="R3179" i="43"/>
  <c r="R3240" i="43"/>
  <c r="R3235" i="43"/>
  <c r="R3238" i="43"/>
  <c r="R3242" i="43"/>
  <c r="R3207" i="43"/>
  <c r="R3239" i="43"/>
  <c r="R3243" i="43"/>
  <c r="Q3240" i="43"/>
  <c r="Q3241" i="43"/>
  <c r="Q3242" i="43"/>
  <c r="N3241" i="43"/>
  <c r="N3242" i="43"/>
  <c r="O3240" i="43"/>
  <c r="O3239" i="43"/>
  <c r="Q3239" i="43"/>
  <c r="Q3235" i="43"/>
  <c r="Q3238" i="43"/>
  <c r="Q3234" i="43"/>
  <c r="Q3237" i="43"/>
  <c r="Q3169" i="43"/>
  <c r="Q3236" i="43"/>
  <c r="Q3221" i="43"/>
  <c r="Q5" i="43"/>
  <c r="Q9" i="43"/>
  <c r="Q13" i="43"/>
  <c r="Q17" i="43"/>
  <c r="Q21" i="43"/>
  <c r="Q25" i="43"/>
  <c r="Q29" i="43"/>
  <c r="Q33" i="43"/>
  <c r="Q37" i="43"/>
  <c r="Q41" i="43"/>
  <c r="Q45" i="43"/>
  <c r="Q49" i="43"/>
  <c r="Q53" i="43"/>
  <c r="Q57" i="43"/>
  <c r="Q61" i="43"/>
  <c r="Q65" i="43"/>
  <c r="Q69" i="43"/>
  <c r="Q74" i="43"/>
  <c r="Q78" i="43"/>
  <c r="Q82" i="43"/>
  <c r="Q1030" i="43"/>
  <c r="Q1034" i="43"/>
  <c r="Q1038" i="43"/>
  <c r="Q1042" i="43"/>
  <c r="Q1046" i="43"/>
  <c r="Q1050" i="43"/>
  <c r="Q1054" i="43"/>
  <c r="Q1058" i="43"/>
  <c r="Q1062" i="43"/>
  <c r="Q1066" i="43"/>
  <c r="Q1070" i="43"/>
  <c r="Q1074" i="43"/>
  <c r="Q1078" i="43"/>
  <c r="Q1082" i="43"/>
  <c r="Q1086" i="43"/>
  <c r="Q1090" i="43"/>
  <c r="Q1094" i="43"/>
  <c r="Q87" i="43"/>
  <c r="Q91" i="43"/>
  <c r="Q95" i="43"/>
  <c r="Q99" i="43"/>
  <c r="Q103" i="43"/>
  <c r="Q107" i="43"/>
  <c r="Q111" i="43"/>
  <c r="Q115" i="43"/>
  <c r="Q119" i="43"/>
  <c r="Q123" i="43"/>
  <c r="Q127" i="43"/>
  <c r="Q131" i="43"/>
  <c r="Q135" i="43"/>
  <c r="Q139" i="43"/>
  <c r="Q143" i="43"/>
  <c r="Q147" i="43"/>
  <c r="Q151" i="43"/>
  <c r="Q155" i="43"/>
  <c r="Q159" i="43"/>
  <c r="Q163" i="43"/>
  <c r="Q167" i="43"/>
  <c r="Q1225" i="43"/>
  <c r="Q1235" i="43"/>
  <c r="Q1243" i="43"/>
  <c r="Q1251" i="43"/>
  <c r="Q1258" i="43"/>
  <c r="Q1266" i="43"/>
  <c r="Q1274" i="43"/>
  <c r="Q1282" i="43"/>
  <c r="Q1291" i="43"/>
  <c r="Q1299" i="43"/>
  <c r="Q1097" i="43"/>
  <c r="Q1101" i="43"/>
  <c r="Q1105" i="43"/>
  <c r="Q1109" i="43"/>
  <c r="Q1113" i="43"/>
  <c r="Q1117" i="43"/>
  <c r="Q1121" i="43"/>
  <c r="Q1125" i="43"/>
  <c r="Q1129" i="43"/>
  <c r="Q1133" i="43"/>
  <c r="Q1137" i="43"/>
  <c r="Q1141" i="43"/>
  <c r="Q1145" i="43"/>
  <c r="Q1149" i="43"/>
  <c r="Q1153" i="43"/>
  <c r="Q1157" i="43"/>
  <c r="Q1161" i="43"/>
  <c r="Q3233" i="43"/>
  <c r="Q6" i="43"/>
  <c r="Q10" i="43"/>
  <c r="Q14" i="43"/>
  <c r="Q18" i="43"/>
  <c r="Q22" i="43"/>
  <c r="Q26" i="43"/>
  <c r="Q30" i="43"/>
  <c r="Q34" i="43"/>
  <c r="Q38" i="43"/>
  <c r="Q42" i="43"/>
  <c r="Q46" i="43"/>
  <c r="Q50" i="43"/>
  <c r="Q54" i="43"/>
  <c r="Q58" i="43"/>
  <c r="Q62" i="43"/>
  <c r="Q66" i="43"/>
  <c r="Q70" i="43"/>
  <c r="Q75" i="43"/>
  <c r="Q79" i="43"/>
  <c r="Q83" i="43"/>
  <c r="Q1031" i="43"/>
  <c r="Q1035" i="43"/>
  <c r="Q1039" i="43"/>
  <c r="Q1043" i="43"/>
  <c r="Q1047" i="43"/>
  <c r="Q1051" i="43"/>
  <c r="Q1055" i="43"/>
  <c r="Q1059" i="43"/>
  <c r="Q1063" i="43"/>
  <c r="Q1067" i="43"/>
  <c r="Q1071" i="43"/>
  <c r="Q1075" i="43"/>
  <c r="Q1079" i="43"/>
  <c r="Q1083" i="43"/>
  <c r="Q1087" i="43"/>
  <c r="Q1091" i="43"/>
  <c r="Q1095" i="43"/>
  <c r="Q88" i="43"/>
  <c r="Q92" i="43"/>
  <c r="Q96" i="43"/>
  <c r="Q100" i="43"/>
  <c r="Q104" i="43"/>
  <c r="Q108" i="43"/>
  <c r="Q112" i="43"/>
  <c r="Q116" i="43"/>
  <c r="Q120" i="43"/>
  <c r="Q124" i="43"/>
  <c r="Q128" i="43"/>
  <c r="Q132" i="43"/>
  <c r="Q136" i="43"/>
  <c r="Q140" i="43"/>
  <c r="Q144" i="43"/>
  <c r="Q148" i="43"/>
  <c r="Q152" i="43"/>
  <c r="Q156" i="43"/>
  <c r="Q160" i="43"/>
  <c r="Q164" i="43"/>
  <c r="Q168" i="43"/>
  <c r="Q1228" i="43"/>
  <c r="Q1237" i="43"/>
  <c r="Q1245" i="43"/>
  <c r="Q1253" i="43"/>
  <c r="Q1260" i="43"/>
  <c r="Q1269" i="43"/>
  <c r="Q1276" i="43"/>
  <c r="Q1284" i="43"/>
  <c r="Q1293" i="43"/>
  <c r="Q1301" i="43"/>
  <c r="Q1098" i="43"/>
  <c r="Q1102" i="43"/>
  <c r="Q1106" i="43"/>
  <c r="Q1110" i="43"/>
  <c r="Q1114" i="43"/>
  <c r="Q1118" i="43"/>
  <c r="Q1122" i="43"/>
  <c r="Q1126" i="43"/>
  <c r="Q1130" i="43"/>
  <c r="Q1134" i="43"/>
  <c r="Q1138" i="43"/>
  <c r="Q1142" i="43"/>
  <c r="Q1146" i="43"/>
  <c r="Q1150" i="43"/>
  <c r="Q1154" i="43"/>
  <c r="Q1158" i="43"/>
  <c r="Q3" i="43"/>
  <c r="Q7" i="43"/>
  <c r="Q11" i="43"/>
  <c r="Q15" i="43"/>
  <c r="Q19" i="43"/>
  <c r="Q23" i="43"/>
  <c r="Q27" i="43"/>
  <c r="Q31" i="43"/>
  <c r="Q35" i="43"/>
  <c r="Q39" i="43"/>
  <c r="Q43" i="43"/>
  <c r="Q47" i="43"/>
  <c r="Q51" i="43"/>
  <c r="Q55" i="43"/>
  <c r="Q59" i="43"/>
  <c r="Q63" i="43"/>
  <c r="Q67" i="43"/>
  <c r="Q71" i="43"/>
  <c r="Q76" i="43"/>
  <c r="Q80" i="43"/>
  <c r="Q84" i="43"/>
  <c r="Q1032" i="43"/>
  <c r="Q1036" i="43"/>
  <c r="Q1040" i="43"/>
  <c r="Q1044" i="43"/>
  <c r="Q1048" i="43"/>
  <c r="Q1052" i="43"/>
  <c r="Q1056" i="43"/>
  <c r="Q1060" i="43"/>
  <c r="Q1064" i="43"/>
  <c r="Q1068" i="43"/>
  <c r="Q1072" i="43"/>
  <c r="Q1076" i="43"/>
  <c r="Q1080" i="43"/>
  <c r="Q1084" i="43"/>
  <c r="Q1088" i="43"/>
  <c r="Q1092" i="43"/>
  <c r="Q1096" i="43"/>
  <c r="Q89" i="43"/>
  <c r="Q93" i="43"/>
  <c r="Q97" i="43"/>
  <c r="Q101" i="43"/>
  <c r="Q105" i="43"/>
  <c r="Q109" i="43"/>
  <c r="Q113" i="43"/>
  <c r="Q117" i="43"/>
  <c r="Q121" i="43"/>
  <c r="Q125" i="43"/>
  <c r="Q129" i="43"/>
  <c r="Q133" i="43"/>
  <c r="Q137" i="43"/>
  <c r="Q141" i="43"/>
  <c r="Q145" i="43"/>
  <c r="Q149" i="43"/>
  <c r="Q153" i="43"/>
  <c r="Q157" i="43"/>
  <c r="Q161" i="43"/>
  <c r="Q165" i="43"/>
  <c r="Q169" i="43"/>
  <c r="Q1230" i="43"/>
  <c r="Q1239" i="43"/>
  <c r="Q1247" i="43"/>
  <c r="Q1255" i="43"/>
  <c r="Q1262" i="43"/>
  <c r="Q1271" i="43"/>
  <c r="Q1278" i="43"/>
  <c r="Q1286" i="43"/>
  <c r="Q1295" i="43"/>
  <c r="Q1303" i="43"/>
  <c r="Q1099" i="43"/>
  <c r="Q1103" i="43"/>
  <c r="Q1107" i="43"/>
  <c r="Q1111" i="43"/>
  <c r="Q1115" i="43"/>
  <c r="Q1119" i="43"/>
  <c r="Q1123" i="43"/>
  <c r="Q1127" i="43"/>
  <c r="Q1131" i="43"/>
  <c r="Q1135" i="43"/>
  <c r="Q1139" i="43"/>
  <c r="Q1143" i="43"/>
  <c r="Q1147" i="43"/>
  <c r="Q1151" i="43"/>
  <c r="Q1155" i="43"/>
  <c r="Q1159" i="43"/>
  <c r="Q4" i="43"/>
  <c r="Q8" i="43"/>
  <c r="Q12" i="43"/>
  <c r="Q16" i="43"/>
  <c r="Q20" i="43"/>
  <c r="Q24" i="43"/>
  <c r="Q28" i="43"/>
  <c r="Q32" i="43"/>
  <c r="Q36" i="43"/>
  <c r="Q40" i="43"/>
  <c r="Q44" i="43"/>
  <c r="Q48" i="43"/>
  <c r="Q52" i="43"/>
  <c r="Q56" i="43"/>
  <c r="Q60" i="43"/>
  <c r="Q64" i="43"/>
  <c r="Q68" i="43"/>
  <c r="Q72" i="43"/>
  <c r="Q77" i="43"/>
  <c r="Q81" i="43"/>
  <c r="Q85" i="43"/>
  <c r="Q1033" i="43"/>
  <c r="Q1037" i="43"/>
  <c r="Q1041" i="43"/>
  <c r="Q1045" i="43"/>
  <c r="Q1049" i="43"/>
  <c r="Q1053" i="43"/>
  <c r="Q1057" i="43"/>
  <c r="Q1061" i="43"/>
  <c r="Q1065" i="43"/>
  <c r="Q1069" i="43"/>
  <c r="Q1073" i="43"/>
  <c r="Q1077" i="43"/>
  <c r="Q1081" i="43"/>
  <c r="Q1085" i="43"/>
  <c r="Q1089" i="43"/>
  <c r="Q1093" i="43"/>
  <c r="Q86" i="43"/>
  <c r="Q90" i="43"/>
  <c r="Q94" i="43"/>
  <c r="Q98" i="43"/>
  <c r="Q102" i="43"/>
  <c r="Q106" i="43"/>
  <c r="Q110" i="43"/>
  <c r="Q114" i="43"/>
  <c r="Q118" i="43"/>
  <c r="Q122" i="43"/>
  <c r="Q126" i="43"/>
  <c r="Q130" i="43"/>
  <c r="Q134" i="43"/>
  <c r="Q138" i="43"/>
  <c r="Q142" i="43"/>
  <c r="Q146" i="43"/>
  <c r="Q150" i="43"/>
  <c r="Q154" i="43"/>
  <c r="Q158" i="43"/>
  <c r="Q162" i="43"/>
  <c r="Q166" i="43"/>
  <c r="Q170" i="43"/>
  <c r="Q1233" i="43"/>
  <c r="Q1241" i="43"/>
  <c r="Q1249" i="43"/>
  <c r="Q1257" i="43"/>
  <c r="Q1264" i="43"/>
  <c r="Q1273" i="43"/>
  <c r="Q1280" i="43"/>
  <c r="Q1288" i="43"/>
  <c r="Q1297" i="43"/>
  <c r="Q1305" i="43"/>
  <c r="Q1100" i="43"/>
  <c r="Q1104" i="43"/>
  <c r="Q1108" i="43"/>
  <c r="Q1112" i="43"/>
  <c r="Q1116" i="43"/>
  <c r="Q1120" i="43"/>
  <c r="Q1124" i="43"/>
  <c r="Q1128" i="43"/>
  <c r="Q1132" i="43"/>
  <c r="Q1136" i="43"/>
  <c r="Q1140" i="43"/>
  <c r="Q1144" i="43"/>
  <c r="Q1148" i="43"/>
  <c r="Q1152" i="43"/>
  <c r="Q1156" i="43"/>
  <c r="Q1160" i="43"/>
  <c r="Q1165" i="43"/>
  <c r="Q1169" i="43"/>
  <c r="Q1173" i="43"/>
  <c r="Q1177" i="43"/>
  <c r="Q1181" i="43"/>
  <c r="Q1185" i="43"/>
  <c r="Q1189" i="43"/>
  <c r="Q1193" i="43"/>
  <c r="Q1197" i="43"/>
  <c r="Q1201" i="43"/>
  <c r="Q1205" i="43"/>
  <c r="Q1209" i="43"/>
  <c r="Q1213" i="43"/>
  <c r="Q1217" i="43"/>
  <c r="Q1221" i="43"/>
  <c r="Q1226" i="43"/>
  <c r="Q1232" i="43"/>
  <c r="Q1240" i="43"/>
  <c r="Q1248" i="43"/>
  <c r="Q1256" i="43"/>
  <c r="Q1265" i="43"/>
  <c r="Q1272" i="43"/>
  <c r="Q1281" i="43"/>
  <c r="Q1289" i="43"/>
  <c r="Q1296" i="43"/>
  <c r="Q1304" i="43"/>
  <c r="Q258" i="43"/>
  <c r="Q270" i="43"/>
  <c r="Q281" i="43"/>
  <c r="Q293" i="43"/>
  <c r="Q305" i="43"/>
  <c r="Q318" i="43"/>
  <c r="Q330" i="43"/>
  <c r="Q342" i="43"/>
  <c r="Q354" i="43"/>
  <c r="Q366" i="43"/>
  <c r="Q378" i="43"/>
  <c r="Q390" i="43"/>
  <c r="Q177" i="43"/>
  <c r="Q185" i="43"/>
  <c r="Q193" i="43"/>
  <c r="Q201" i="43"/>
  <c r="Q209" i="43"/>
  <c r="Q217" i="43"/>
  <c r="Q225" i="43"/>
  <c r="Q233" i="43"/>
  <c r="Q241" i="43"/>
  <c r="Q250" i="43"/>
  <c r="Q262" i="43"/>
  <c r="Q273" i="43"/>
  <c r="Q286" i="43"/>
  <c r="Q298" i="43"/>
  <c r="Q310" i="43"/>
  <c r="Q322" i="43"/>
  <c r="Q335" i="43"/>
  <c r="Q346" i="43"/>
  <c r="Q359" i="43"/>
  <c r="Q370" i="43"/>
  <c r="Q382" i="43"/>
  <c r="Q172" i="43"/>
  <c r="Q180" i="43"/>
  <c r="Q188" i="43"/>
  <c r="Q196" i="43"/>
  <c r="Q204" i="43"/>
  <c r="Q212" i="43"/>
  <c r="Q220" i="43"/>
  <c r="Q228" i="43"/>
  <c r="Q236" i="43"/>
  <c r="Q245" i="43"/>
  <c r="Q255" i="43"/>
  <c r="Q266" i="43"/>
  <c r="Q279" i="43"/>
  <c r="Q291" i="43"/>
  <c r="Q303" i="43"/>
  <c r="Q316" i="43"/>
  <c r="Q329" i="43"/>
  <c r="Q341" i="43"/>
  <c r="Q352" i="43"/>
  <c r="Q364" i="43"/>
  <c r="Q377" i="43"/>
  <c r="Q1162" i="43"/>
  <c r="Q1166" i="43"/>
  <c r="Q1170" i="43"/>
  <c r="Q1174" i="43"/>
  <c r="Q1178" i="43"/>
  <c r="Q1182" i="43"/>
  <c r="Q1186" i="43"/>
  <c r="Q1190" i="43"/>
  <c r="Q1194" i="43"/>
  <c r="Q1198" i="43"/>
  <c r="Q1202" i="43"/>
  <c r="Q1206" i="43"/>
  <c r="Q1210" i="43"/>
  <c r="Q1214" i="43"/>
  <c r="Q1218" i="43"/>
  <c r="Q1222" i="43"/>
  <c r="Q1227" i="43"/>
  <c r="Q1234" i="43"/>
  <c r="Q1242" i="43"/>
  <c r="Q1250" i="43"/>
  <c r="Q1259" i="43"/>
  <c r="Q1267" i="43"/>
  <c r="Q1275" i="43"/>
  <c r="Q1283" i="43"/>
  <c r="Q1290" i="43"/>
  <c r="Q1298" i="43"/>
  <c r="Q246" i="43"/>
  <c r="Q261" i="43"/>
  <c r="Q272" i="43"/>
  <c r="Q284" i="43"/>
  <c r="Q296" i="43"/>
  <c r="Q308" i="43"/>
  <c r="Q321" i="43"/>
  <c r="Q333" i="43"/>
  <c r="Q345" i="43"/>
  <c r="Q357" i="43"/>
  <c r="Q369" i="43"/>
  <c r="Q381" i="43"/>
  <c r="Q171" i="43"/>
  <c r="Q179" i="43"/>
  <c r="Q187" i="43"/>
  <c r="Q195" i="43"/>
  <c r="Q203" i="43"/>
  <c r="Q211" i="43"/>
  <c r="Q219" i="43"/>
  <c r="Q227" i="43"/>
  <c r="Q235" i="43"/>
  <c r="Q243" i="43"/>
  <c r="Q253" i="43"/>
  <c r="Q265" i="43"/>
  <c r="Q276" i="43"/>
  <c r="Q289" i="43"/>
  <c r="Q301" i="43"/>
  <c r="Q313" i="43"/>
  <c r="Q326" i="43"/>
  <c r="Q337" i="43"/>
  <c r="Q350" i="43"/>
  <c r="Q362" i="43"/>
  <c r="Q373" i="43"/>
  <c r="Q385" i="43"/>
  <c r="Q174" i="43"/>
  <c r="Q182" i="43"/>
  <c r="Q190" i="43"/>
  <c r="Q198" i="43"/>
  <c r="Q206" i="43"/>
  <c r="Q214" i="43"/>
  <c r="Q222" i="43"/>
  <c r="Q230" i="43"/>
  <c r="Q238" i="43"/>
  <c r="Q247" i="43"/>
  <c r="Q257" i="43"/>
  <c r="Q269" i="43"/>
  <c r="Q282" i="43"/>
  <c r="Q294" i="43"/>
  <c r="Q306" i="43"/>
  <c r="Q319" i="43"/>
  <c r="Q332" i="43"/>
  <c r="Q344" i="43"/>
  <c r="Q355" i="43"/>
  <c r="Q367" i="43"/>
  <c r="Q380" i="43"/>
  <c r="Q392" i="43"/>
  <c r="Q404" i="43"/>
  <c r="Q415" i="43"/>
  <c r="Q427" i="43"/>
  <c r="Q440" i="43"/>
  <c r="Q451" i="43"/>
  <c r="Q463" i="43"/>
  <c r="Q1163" i="43"/>
  <c r="Q1167" i="43"/>
  <c r="Q1171" i="43"/>
  <c r="Q1175" i="43"/>
  <c r="Q1179" i="43"/>
  <c r="Q1183" i="43"/>
  <c r="Q1187" i="43"/>
  <c r="Q1191" i="43"/>
  <c r="Q1195" i="43"/>
  <c r="Q1199" i="43"/>
  <c r="Q1203" i="43"/>
  <c r="Q1207" i="43"/>
  <c r="Q1211" i="43"/>
  <c r="Q1215" i="43"/>
  <c r="Q1219" i="43"/>
  <c r="Q1223" i="43"/>
  <c r="Q1229" i="43"/>
  <c r="Q1236" i="43"/>
  <c r="Q1244" i="43"/>
  <c r="Q1252" i="43"/>
  <c r="Q1261" i="43"/>
  <c r="Q1268" i="43"/>
  <c r="Q1277" i="43"/>
  <c r="Q1285" i="43"/>
  <c r="Q1292" i="43"/>
  <c r="Q1300" i="43"/>
  <c r="Q251" i="43"/>
  <c r="Q264" i="43"/>
  <c r="Q275" i="43"/>
  <c r="Q287" i="43"/>
  <c r="Q299" i="43"/>
  <c r="Q311" i="43"/>
  <c r="Q324" i="43"/>
  <c r="Q336" i="43"/>
  <c r="Q348" i="43"/>
  <c r="Q360" i="43"/>
  <c r="Q372" i="43"/>
  <c r="Q384" i="43"/>
  <c r="Q173" i="43"/>
  <c r="Q181" i="43"/>
  <c r="Q189" i="43"/>
  <c r="Q197" i="43"/>
  <c r="Q205" i="43"/>
  <c r="Q213" i="43"/>
  <c r="Q221" i="43"/>
  <c r="Q229" i="43"/>
  <c r="Q237" i="43"/>
  <c r="Q244" i="43"/>
  <c r="Q256" i="43"/>
  <c r="Q268" i="43"/>
  <c r="Q280" i="43"/>
  <c r="Q292" i="43"/>
  <c r="Q304" i="43"/>
  <c r="Q317" i="43"/>
  <c r="Q328" i="43"/>
  <c r="Q340" i="43"/>
  <c r="Q353" i="43"/>
  <c r="Q365" i="43"/>
  <c r="Q376" i="43"/>
  <c r="Q389" i="43"/>
  <c r="Q176" i="43"/>
  <c r="Q184" i="43"/>
  <c r="Q192" i="43"/>
  <c r="Q200" i="43"/>
  <c r="Q208" i="43"/>
  <c r="Q216" i="43"/>
  <c r="Q224" i="43"/>
  <c r="Q232" i="43"/>
  <c r="Q240" i="43"/>
  <c r="Q249" i="43"/>
  <c r="Q260" i="43"/>
  <c r="Q274" i="43"/>
  <c r="Q285" i="43"/>
  <c r="Q297" i="43"/>
  <c r="Q309" i="43"/>
  <c r="Q323" i="43"/>
  <c r="Q334" i="43"/>
  <c r="Q347" i="43"/>
  <c r="Q358" i="43"/>
  <c r="Q371" i="43"/>
  <c r="Q383" i="43"/>
  <c r="Q395" i="43"/>
  <c r="Q407" i="43"/>
  <c r="Q418" i="43"/>
  <c r="Q431" i="43"/>
  <c r="Q1164" i="43"/>
  <c r="Q1168" i="43"/>
  <c r="Q1172" i="43"/>
  <c r="Q1176" i="43"/>
  <c r="Q1180" i="43"/>
  <c r="Q1184" i="43"/>
  <c r="Q1188" i="43"/>
  <c r="Q1192" i="43"/>
  <c r="Q1196" i="43"/>
  <c r="Q1200" i="43"/>
  <c r="Q1204" i="43"/>
  <c r="Q1208" i="43"/>
  <c r="Q1212" i="43"/>
  <c r="Q1216" i="43"/>
  <c r="Q1238" i="43"/>
  <c r="Q1270" i="43"/>
  <c r="Q1302" i="43"/>
  <c r="Q290" i="43"/>
  <c r="Q339" i="43"/>
  <c r="Q387" i="43"/>
  <c r="Q199" i="43"/>
  <c r="Q231" i="43"/>
  <c r="Q271" i="43"/>
  <c r="Q320" i="43"/>
  <c r="Q368" i="43"/>
  <c r="Q186" i="43"/>
  <c r="Q218" i="43"/>
  <c r="Q252" i="43"/>
  <c r="Q300" i="43"/>
  <c r="Q349" i="43"/>
  <c r="Q388" i="43"/>
  <c r="Q412" i="43"/>
  <c r="Q437" i="43"/>
  <c r="Q454" i="43"/>
  <c r="Q470" i="43"/>
  <c r="Q482" i="43"/>
  <c r="Q494" i="43"/>
  <c r="Q507" i="43"/>
  <c r="Q518" i="43"/>
  <c r="Q529" i="43"/>
  <c r="Q541" i="43"/>
  <c r="Q553" i="43"/>
  <c r="Q565" i="43"/>
  <c r="Q577" i="43"/>
  <c r="Q589" i="43"/>
  <c r="Q600" i="43"/>
  <c r="Q611" i="43"/>
  <c r="Q623" i="43"/>
  <c r="Q635" i="43"/>
  <c r="Q647" i="43"/>
  <c r="Q659" i="43"/>
  <c r="Q671" i="43"/>
  <c r="Q683" i="43"/>
  <c r="Q695" i="43"/>
  <c r="Q707" i="43"/>
  <c r="Q719" i="43"/>
  <c r="Q730" i="43"/>
  <c r="Q742" i="43"/>
  <c r="Q754" i="43"/>
  <c r="Q766" i="43"/>
  <c r="Q778" i="43"/>
  <c r="Q790" i="43"/>
  <c r="Q802" i="43"/>
  <c r="Q814" i="43"/>
  <c r="Q826" i="43"/>
  <c r="Q837" i="43"/>
  <c r="Q850" i="43"/>
  <c r="Q861" i="43"/>
  <c r="Q875" i="43"/>
  <c r="Q887" i="43"/>
  <c r="Q394" i="43"/>
  <c r="Q405" i="43"/>
  <c r="Q417" i="43"/>
  <c r="Q428" i="43"/>
  <c r="Q439" i="43"/>
  <c r="Q452" i="43"/>
  <c r="Q465" i="43"/>
  <c r="Q477" i="43"/>
  <c r="Q489" i="43"/>
  <c r="Q501" i="43"/>
  <c r="Q512" i="43"/>
  <c r="Q525" i="43"/>
  <c r="Q536" i="43"/>
  <c r="Q548" i="43"/>
  <c r="Q561" i="43"/>
  <c r="Q572" i="43"/>
  <c r="Q584" i="43"/>
  <c r="Q596" i="43"/>
  <c r="Q610" i="43"/>
  <c r="Q622" i="43"/>
  <c r="Q634" i="43"/>
  <c r="Q646" i="43"/>
  <c r="Q658" i="43"/>
  <c r="Q670" i="43"/>
  <c r="Q682" i="43"/>
  <c r="Q694" i="43"/>
  <c r="Q706" i="43"/>
  <c r="Q717" i="43"/>
  <c r="Q729" i="43"/>
  <c r="Q1220" i="43"/>
  <c r="Q1246" i="43"/>
  <c r="Q1279" i="43"/>
  <c r="Q254" i="43"/>
  <c r="Q302" i="43"/>
  <c r="Q351" i="43"/>
  <c r="Q175" i="43"/>
  <c r="Q207" i="43"/>
  <c r="Q239" i="43"/>
  <c r="Q283" i="43"/>
  <c r="Q331" i="43"/>
  <c r="Q379" i="43"/>
  <c r="Q194" i="43"/>
  <c r="Q226" i="43"/>
  <c r="Q263" i="43"/>
  <c r="Q314" i="43"/>
  <c r="Q361" i="43"/>
  <c r="Q398" i="43"/>
  <c r="Q421" i="43"/>
  <c r="Q443" i="43"/>
  <c r="Q457" i="43"/>
  <c r="Q473" i="43"/>
  <c r="Q484" i="43"/>
  <c r="Q497" i="43"/>
  <c r="Q510" i="43"/>
  <c r="Q521" i="43"/>
  <c r="Q532" i="43"/>
  <c r="Q544" i="43"/>
  <c r="Q556" i="43"/>
  <c r="Q568" i="43"/>
  <c r="Q580" i="43"/>
  <c r="Q592" i="43"/>
  <c r="Q602" i="43"/>
  <c r="Q614" i="43"/>
  <c r="Q626" i="43"/>
  <c r="Q638" i="43"/>
  <c r="Q650" i="43"/>
  <c r="Q662" i="43"/>
  <c r="Q674" i="43"/>
  <c r="Q686" i="43"/>
  <c r="Q698" i="43"/>
  <c r="Q710" i="43"/>
  <c r="Q722" i="43"/>
  <c r="Q733" i="43"/>
  <c r="Q745" i="43"/>
  <c r="Q757" i="43"/>
  <c r="Q769" i="43"/>
  <c r="Q781" i="43"/>
  <c r="Q793" i="43"/>
  <c r="Q805" i="43"/>
  <c r="Q817" i="43"/>
  <c r="Q828" i="43"/>
  <c r="Q840" i="43"/>
  <c r="Q853" i="43"/>
  <c r="Q865" i="43"/>
  <c r="Q878" i="43"/>
  <c r="Q890" i="43"/>
  <c r="Q396" i="43"/>
  <c r="Q408" i="43"/>
  <c r="Q420" i="43"/>
  <c r="Q430" i="43"/>
  <c r="Q442" i="43"/>
  <c r="Q456" i="43"/>
  <c r="Q468" i="43"/>
  <c r="Q480" i="43"/>
  <c r="Q492" i="43"/>
  <c r="Q504" i="43"/>
  <c r="Q516" i="43"/>
  <c r="Q528" i="43"/>
  <c r="Q539" i="43"/>
  <c r="Q552" i="43"/>
  <c r="Q564" i="43"/>
  <c r="Q576" i="43"/>
  <c r="Q587" i="43"/>
  <c r="Q599" i="43"/>
  <c r="Q613" i="43"/>
  <c r="Q625" i="43"/>
  <c r="Q637" i="43"/>
  <c r="Q649" i="43"/>
  <c r="Q661" i="43"/>
  <c r="Q673" i="43"/>
  <c r="Q685" i="43"/>
  <c r="Q697" i="43"/>
  <c r="Q709" i="43"/>
  <c r="Q720" i="43"/>
  <c r="Q732" i="43"/>
  <c r="Q1224" i="43"/>
  <c r="Q1254" i="43"/>
  <c r="Q1287" i="43"/>
  <c r="Q267" i="43"/>
  <c r="Q315" i="43"/>
  <c r="Q363" i="43"/>
  <c r="Q183" i="43"/>
  <c r="Q215" i="43"/>
  <c r="Q248" i="43"/>
  <c r="Q295" i="43"/>
  <c r="Q343" i="43"/>
  <c r="Q391" i="43"/>
  <c r="Q202" i="43"/>
  <c r="Q234" i="43"/>
  <c r="Q277" i="43"/>
  <c r="Q325" i="43"/>
  <c r="Q374" i="43"/>
  <c r="Q401" i="43"/>
  <c r="Q424" i="43"/>
  <c r="Q446" i="43"/>
  <c r="Q460" i="43"/>
  <c r="Q476" i="43"/>
  <c r="Q488" i="43"/>
  <c r="Q500" i="43"/>
  <c r="Q513" i="43"/>
  <c r="Q523" i="43"/>
  <c r="Q535" i="43"/>
  <c r="Q547" i="43"/>
  <c r="Q559" i="43"/>
  <c r="Q571" i="43"/>
  <c r="Q583" i="43"/>
  <c r="Q594" i="43"/>
  <c r="Q605" i="43"/>
  <c r="Q617" i="43"/>
  <c r="Q629" i="43"/>
  <c r="Q641" i="43"/>
  <c r="Q653" i="43"/>
  <c r="Q665" i="43"/>
  <c r="Q677" i="43"/>
  <c r="Q689" i="43"/>
  <c r="Q701" i="43"/>
  <c r="Q713" i="43"/>
  <c r="Q724" i="43"/>
  <c r="Q736" i="43"/>
  <c r="Q748" i="43"/>
  <c r="Q760" i="43"/>
  <c r="Q772" i="43"/>
  <c r="Q784" i="43"/>
  <c r="Q796" i="43"/>
  <c r="Q808" i="43"/>
  <c r="Q820" i="43"/>
  <c r="Q831" i="43"/>
  <c r="Q844" i="43"/>
  <c r="Q856" i="43"/>
  <c r="Q868" i="43"/>
  <c r="Q881" i="43"/>
  <c r="Q893" i="43"/>
  <c r="Q399" i="43"/>
  <c r="Q411" i="43"/>
  <c r="Q423" i="43"/>
  <c r="Q433" i="43"/>
  <c r="Q445" i="43"/>
  <c r="Q458" i="43"/>
  <c r="Q471" i="43"/>
  <c r="Q483" i="43"/>
  <c r="Q495" i="43"/>
  <c r="Q506" i="43"/>
  <c r="Q519" i="43"/>
  <c r="Q530" i="43"/>
  <c r="Q542" i="43"/>
  <c r="Q554" i="43"/>
  <c r="Q567" i="43"/>
  <c r="Q579" i="43"/>
  <c r="Q590" i="43"/>
  <c r="Q604" i="43"/>
  <c r="Q616" i="43"/>
  <c r="Q628" i="43"/>
  <c r="Q640" i="43"/>
  <c r="Q1231" i="43"/>
  <c r="Q1263" i="43"/>
  <c r="Q1294" i="43"/>
  <c r="Q278" i="43"/>
  <c r="Q327" i="43"/>
  <c r="Q375" i="43"/>
  <c r="Q191" i="43"/>
  <c r="Q223" i="43"/>
  <c r="Q259" i="43"/>
  <c r="Q307" i="43"/>
  <c r="Q356" i="43"/>
  <c r="Q178" i="43"/>
  <c r="Q210" i="43"/>
  <c r="Q242" i="43"/>
  <c r="Q288" i="43"/>
  <c r="Q338" i="43"/>
  <c r="Q386" i="43"/>
  <c r="Q410" i="43"/>
  <c r="Q434" i="43"/>
  <c r="Q448" i="43"/>
  <c r="Q467" i="43"/>
  <c r="Q479" i="43"/>
  <c r="Q491" i="43"/>
  <c r="Q503" i="43"/>
  <c r="Q515" i="43"/>
  <c r="Q526" i="43"/>
  <c r="Q538" i="43"/>
  <c r="Q550" i="43"/>
  <c r="Q562" i="43"/>
  <c r="Q574" i="43"/>
  <c r="Q586" i="43"/>
  <c r="Q598" i="43"/>
  <c r="Q608" i="43"/>
  <c r="Q620" i="43"/>
  <c r="Q632" i="43"/>
  <c r="Q644" i="43"/>
  <c r="Q656" i="43"/>
  <c r="Q668" i="43"/>
  <c r="Q680" i="43"/>
  <c r="Q692" i="43"/>
  <c r="Q704" i="43"/>
  <c r="Q716" i="43"/>
  <c r="Q727" i="43"/>
  <c r="Q739" i="43"/>
  <c r="Q751" i="43"/>
  <c r="Q763" i="43"/>
  <c r="Q775" i="43"/>
  <c r="Q787" i="43"/>
  <c r="Q799" i="43"/>
  <c r="Q811" i="43"/>
  <c r="Q823" i="43"/>
  <c r="Q834" i="43"/>
  <c r="Q847" i="43"/>
  <c r="Q858" i="43"/>
  <c r="Q871" i="43"/>
  <c r="Q884" i="43"/>
  <c r="Q896" i="43"/>
  <c r="Q402" i="43"/>
  <c r="Q414" i="43"/>
  <c r="Q426" i="43"/>
  <c r="Q436" i="43"/>
  <c r="Q449" i="43"/>
  <c r="Q462" i="43"/>
  <c r="Q474" i="43"/>
  <c r="Q486" i="43"/>
  <c r="Q498" i="43"/>
  <c r="Q545" i="43"/>
  <c r="Q593" i="43"/>
  <c r="Q643" i="43"/>
  <c r="Q667" i="43"/>
  <c r="Q691" i="43"/>
  <c r="Q714" i="43"/>
  <c r="Q738" i="43"/>
  <c r="Q750" i="43"/>
  <c r="Q762" i="43"/>
  <c r="Q773" i="43"/>
  <c r="Q786" i="43"/>
  <c r="Q798" i="43"/>
  <c r="Q810" i="43"/>
  <c r="Q822" i="43"/>
  <c r="Q835" i="43"/>
  <c r="Q846" i="43"/>
  <c r="Q859" i="43"/>
  <c r="Q870" i="43"/>
  <c r="Q882" i="43"/>
  <c r="Q894" i="43"/>
  <c r="Q400" i="43"/>
  <c r="Q413" i="43"/>
  <c r="Q425" i="43"/>
  <c r="Q438" i="43"/>
  <c r="Q450" i="43"/>
  <c r="Q461" i="43"/>
  <c r="Q472" i="43"/>
  <c r="Q485" i="43"/>
  <c r="Q496" i="43"/>
  <c r="Q508" i="43"/>
  <c r="Q520" i="43"/>
  <c r="Q534" i="43"/>
  <c r="Q546" i="43"/>
  <c r="Q557" i="43"/>
  <c r="Q569" i="43"/>
  <c r="Q581" i="43"/>
  <c r="Q595" i="43"/>
  <c r="Q606" i="43"/>
  <c r="Q618" i="43"/>
  <c r="Q630" i="43"/>
  <c r="Q642" i="43"/>
  <c r="Q654" i="43"/>
  <c r="Q666" i="43"/>
  <c r="Q678" i="43"/>
  <c r="Q690" i="43"/>
  <c r="Q702" i="43"/>
  <c r="Q715" i="43"/>
  <c r="Q728" i="43"/>
  <c r="Q740" i="43"/>
  <c r="Q752" i="43"/>
  <c r="Q764" i="43"/>
  <c r="Q777" i="43"/>
  <c r="Q789" i="43"/>
  <c r="Q800" i="43"/>
  <c r="Q812" i="43"/>
  <c r="Q824" i="43"/>
  <c r="Q836" i="43"/>
  <c r="Q848" i="43"/>
  <c r="Q860" i="43"/>
  <c r="Q872" i="43"/>
  <c r="Q883" i="43"/>
  <c r="Q895" i="43"/>
  <c r="Q901" i="43"/>
  <c r="Q905" i="43"/>
  <c r="Q909" i="43"/>
  <c r="Q913" i="43"/>
  <c r="Q917" i="43"/>
  <c r="Q921" i="43"/>
  <c r="Q925" i="43"/>
  <c r="Q929" i="43"/>
  <c r="Q933" i="43"/>
  <c r="Q937" i="43"/>
  <c r="Q941" i="43"/>
  <c r="Q945" i="43"/>
  <c r="Q949" i="43"/>
  <c r="Q953" i="43"/>
  <c r="Q957" i="43"/>
  <c r="Q961" i="43"/>
  <c r="Q965" i="43"/>
  <c r="Q969" i="43"/>
  <c r="Q973" i="43"/>
  <c r="Q977" i="43"/>
  <c r="Q981" i="43"/>
  <c r="Q985" i="43"/>
  <c r="Q989" i="43"/>
  <c r="Q993" i="43"/>
  <c r="Q997" i="43"/>
  <c r="Q1001" i="43"/>
  <c r="Q1005" i="43"/>
  <c r="Q1009" i="43"/>
  <c r="Q1013" i="43"/>
  <c r="Q1017" i="43"/>
  <c r="Q1021" i="43"/>
  <c r="Q1025" i="43"/>
  <c r="Q1029" i="43"/>
  <c r="Q1309" i="43"/>
  <c r="Q1313" i="43"/>
  <c r="Q1317" i="43"/>
  <c r="Q1321" i="43"/>
  <c r="Q1325" i="43"/>
  <c r="Q1329" i="43"/>
  <c r="Q509" i="43"/>
  <c r="Q558" i="43"/>
  <c r="Q607" i="43"/>
  <c r="Q652" i="43"/>
  <c r="Q676" i="43"/>
  <c r="Q700" i="43"/>
  <c r="Q723" i="43"/>
  <c r="Q741" i="43"/>
  <c r="Q753" i="43"/>
  <c r="Q765" i="43"/>
  <c r="Q776" i="43"/>
  <c r="Q788" i="43"/>
  <c r="Q801" i="43"/>
  <c r="Q813" i="43"/>
  <c r="Q825" i="43"/>
  <c r="Q838" i="43"/>
  <c r="Q849" i="43"/>
  <c r="Q862" i="43"/>
  <c r="Q873" i="43"/>
  <c r="Q885" i="43"/>
  <c r="Q897" i="43"/>
  <c r="Q403" i="43"/>
  <c r="Q416" i="43"/>
  <c r="Q429" i="43"/>
  <c r="Q441" i="43"/>
  <c r="Q453" i="43"/>
  <c r="Q464" i="43"/>
  <c r="Q475" i="43"/>
  <c r="Q487" i="43"/>
  <c r="Q499" i="43"/>
  <c r="Q511" i="43"/>
  <c r="Q524" i="43"/>
  <c r="Q537" i="43"/>
  <c r="Q549" i="43"/>
  <c r="Q560" i="43"/>
  <c r="Q573" i="43"/>
  <c r="Q585" i="43"/>
  <c r="Q597" i="43"/>
  <c r="Q609" i="43"/>
  <c r="Q621" i="43"/>
  <c r="Q633" i="43"/>
  <c r="Q645" i="43"/>
  <c r="Q657" i="43"/>
  <c r="Q669" i="43"/>
  <c r="Q681" i="43"/>
  <c r="Q693" i="43"/>
  <c r="Q705" i="43"/>
  <c r="Q718" i="43"/>
  <c r="Q731" i="43"/>
  <c r="Q743" i="43"/>
  <c r="Q755" i="43"/>
  <c r="Q767" i="43"/>
  <c r="Q780" i="43"/>
  <c r="Q792" i="43"/>
  <c r="Q803" i="43"/>
  <c r="Q815" i="43"/>
  <c r="Q827" i="43"/>
  <c r="Q839" i="43"/>
  <c r="Q851" i="43"/>
  <c r="Q863" i="43"/>
  <c r="Q874" i="43"/>
  <c r="Q886" i="43"/>
  <c r="Q898" i="43"/>
  <c r="Q902" i="43"/>
  <c r="Q906" i="43"/>
  <c r="Q910" i="43"/>
  <c r="Q914" i="43"/>
  <c r="Q918" i="43"/>
  <c r="Q922" i="43"/>
  <c r="Q926" i="43"/>
  <c r="Q930" i="43"/>
  <c r="Q934" i="43"/>
  <c r="Q938" i="43"/>
  <c r="Q942" i="43"/>
  <c r="Q946" i="43"/>
  <c r="Q950" i="43"/>
  <c r="Q954" i="43"/>
  <c r="Q958" i="43"/>
  <c r="Q962" i="43"/>
  <c r="Q966" i="43"/>
  <c r="Q970" i="43"/>
  <c r="Q974" i="43"/>
  <c r="Q978" i="43"/>
  <c r="Q982" i="43"/>
  <c r="Q986" i="43"/>
  <c r="Q990" i="43"/>
  <c r="Q994" i="43"/>
  <c r="Q998" i="43"/>
  <c r="Q1002" i="43"/>
  <c r="Q1006" i="43"/>
  <c r="Q1010" i="43"/>
  <c r="Q1014" i="43"/>
  <c r="Q1018" i="43"/>
  <c r="Q1022" i="43"/>
  <c r="Q1026" i="43"/>
  <c r="Q1306" i="43"/>
  <c r="Q1310" i="43"/>
  <c r="Q1314" i="43"/>
  <c r="Q1318" i="43"/>
  <c r="Q1322" i="43"/>
  <c r="Q1326" i="43"/>
  <c r="Q1330" i="43"/>
  <c r="Q1334" i="43"/>
  <c r="Q1340" i="43"/>
  <c r="Q1349" i="43"/>
  <c r="Q1361" i="43"/>
  <c r="Q1373" i="43"/>
  <c r="Q522" i="43"/>
  <c r="Q570" i="43"/>
  <c r="Q619" i="43"/>
  <c r="Q655" i="43"/>
  <c r="Q679" i="43"/>
  <c r="Q703" i="43"/>
  <c r="Q726" i="43"/>
  <c r="Q744" i="43"/>
  <c r="Q756" i="43"/>
  <c r="Q768" i="43"/>
  <c r="Q779" i="43"/>
  <c r="Q791" i="43"/>
  <c r="Q804" i="43"/>
  <c r="Q816" i="43"/>
  <c r="Q829" i="43"/>
  <c r="Q841" i="43"/>
  <c r="Q852" i="43"/>
  <c r="Q864" i="43"/>
  <c r="Q876" i="43"/>
  <c r="Q888" i="43"/>
  <c r="Q393" i="43"/>
  <c r="Q406" i="43"/>
  <c r="Q419" i="43"/>
  <c r="Q432" i="43"/>
  <c r="Q444" i="43"/>
  <c r="Q455" i="43"/>
  <c r="Q466" i="43"/>
  <c r="Q478" i="43"/>
  <c r="Q490" i="43"/>
  <c r="Q502" i="43"/>
  <c r="Q514" i="43"/>
  <c r="Q527" i="43"/>
  <c r="Q540" i="43"/>
  <c r="Q551" i="43"/>
  <c r="Q563" i="43"/>
  <c r="Q575" i="43"/>
  <c r="Q588" i="43"/>
  <c r="Q601" i="43"/>
  <c r="Q612" i="43"/>
  <c r="Q624" i="43"/>
  <c r="Q636" i="43"/>
  <c r="Q648" i="43"/>
  <c r="Q660" i="43"/>
  <c r="Q672" i="43"/>
  <c r="Q684" i="43"/>
  <c r="Q696" i="43"/>
  <c r="Q708" i="43"/>
  <c r="Q721" i="43"/>
  <c r="Q734" i="43"/>
  <c r="Q746" i="43"/>
  <c r="Q758" i="43"/>
  <c r="Q770" i="43"/>
  <c r="Q783" i="43"/>
  <c r="Q794" i="43"/>
  <c r="Q806" i="43"/>
  <c r="Q818" i="43"/>
  <c r="Q830" i="43"/>
  <c r="Q842" i="43"/>
  <c r="Q854" i="43"/>
  <c r="Q866" i="43"/>
  <c r="Q877" i="43"/>
  <c r="Q889" i="43"/>
  <c r="Q899" i="43"/>
  <c r="Q903" i="43"/>
  <c r="Q907" i="43"/>
  <c r="Q911" i="43"/>
  <c r="Q915" i="43"/>
  <c r="Q919" i="43"/>
  <c r="Q923" i="43"/>
  <c r="Q927" i="43"/>
  <c r="Q931" i="43"/>
  <c r="Q935" i="43"/>
  <c r="Q939" i="43"/>
  <c r="Q943" i="43"/>
  <c r="Q947" i="43"/>
  <c r="Q951" i="43"/>
  <c r="Q955" i="43"/>
  <c r="Q959" i="43"/>
  <c r="Q963" i="43"/>
  <c r="Q967" i="43"/>
  <c r="Q971" i="43"/>
  <c r="Q975" i="43"/>
  <c r="Q979" i="43"/>
  <c r="Q983" i="43"/>
  <c r="Q987" i="43"/>
  <c r="Q991" i="43"/>
  <c r="Q995" i="43"/>
  <c r="Q999" i="43"/>
  <c r="Q1003" i="43"/>
  <c r="Q1007" i="43"/>
  <c r="Q1011" i="43"/>
  <c r="Q1015" i="43"/>
  <c r="Q1019" i="43"/>
  <c r="Q1023" i="43"/>
  <c r="Q1027" i="43"/>
  <c r="Q1307" i="43"/>
  <c r="Q1311" i="43"/>
  <c r="Q1315" i="43"/>
  <c r="Q1319" i="43"/>
  <c r="Q1323" i="43"/>
  <c r="Q1327" i="43"/>
  <c r="Q1331" i="43"/>
  <c r="Q1335" i="43"/>
  <c r="Q1341" i="43"/>
  <c r="Q1352" i="43"/>
  <c r="Q533" i="43"/>
  <c r="Q582" i="43"/>
  <c r="Q631" i="43"/>
  <c r="Q664" i="43"/>
  <c r="Q688" i="43"/>
  <c r="Q711" i="43"/>
  <c r="Q735" i="43"/>
  <c r="Q747" i="43"/>
  <c r="Q759" i="43"/>
  <c r="Q771" i="43"/>
  <c r="Q782" i="43"/>
  <c r="Q795" i="43"/>
  <c r="Q807" i="43"/>
  <c r="Q819" i="43"/>
  <c r="Q832" i="43"/>
  <c r="Q843" i="43"/>
  <c r="Q855" i="43"/>
  <c r="Q867" i="43"/>
  <c r="Q879" i="43"/>
  <c r="Q891" i="43"/>
  <c r="Q397" i="43"/>
  <c r="Q409" i="43"/>
  <c r="Q422" i="43"/>
  <c r="Q435" i="43"/>
  <c r="Q447" i="43"/>
  <c r="Q459" i="43"/>
  <c r="Q469" i="43"/>
  <c r="Q481" i="43"/>
  <c r="Q493" i="43"/>
  <c r="Q505" i="43"/>
  <c r="Q517" i="43"/>
  <c r="Q531" i="43"/>
  <c r="Q543" i="43"/>
  <c r="Q555" i="43"/>
  <c r="Q566" i="43"/>
  <c r="Q578" i="43"/>
  <c r="Q591" i="43"/>
  <c r="Q603" i="43"/>
  <c r="Q615" i="43"/>
  <c r="Q627" i="43"/>
  <c r="Q639" i="43"/>
  <c r="Q651" i="43"/>
  <c r="Q663" i="43"/>
  <c r="Q675" i="43"/>
  <c r="Q687" i="43"/>
  <c r="Q699" i="43"/>
  <c r="Q712" i="43"/>
  <c r="Q725" i="43"/>
  <c r="Q737" i="43"/>
  <c r="Q749" i="43"/>
  <c r="Q761" i="43"/>
  <c r="Q774" i="43"/>
  <c r="Q785" i="43"/>
  <c r="Q797" i="43"/>
  <c r="Q809" i="43"/>
  <c r="Q821" i="43"/>
  <c r="Q833" i="43"/>
  <c r="Q845" i="43"/>
  <c r="Q857" i="43"/>
  <c r="Q869" i="43"/>
  <c r="Q880" i="43"/>
  <c r="Q892" i="43"/>
  <c r="Q900" i="43"/>
  <c r="Q904" i="43"/>
  <c r="Q908" i="43"/>
  <c r="Q912" i="43"/>
  <c r="Q916" i="43"/>
  <c r="Q920" i="43"/>
  <c r="Q924" i="43"/>
  <c r="Q928" i="43"/>
  <c r="Q932" i="43"/>
  <c r="Q936" i="43"/>
  <c r="Q940" i="43"/>
  <c r="Q944" i="43"/>
  <c r="Q948" i="43"/>
  <c r="Q952" i="43"/>
  <c r="Q956" i="43"/>
  <c r="Q960" i="43"/>
  <c r="Q964" i="43"/>
  <c r="Q968" i="43"/>
  <c r="Q972" i="43"/>
  <c r="Q976" i="43"/>
  <c r="Q980" i="43"/>
  <c r="Q984" i="43"/>
  <c r="Q988" i="43"/>
  <c r="Q1004" i="43"/>
  <c r="Q1020" i="43"/>
  <c r="Q1312" i="43"/>
  <c r="Q1328" i="43"/>
  <c r="Q1338" i="43"/>
  <c r="Q1358" i="43"/>
  <c r="Q1376" i="43"/>
  <c r="Q1388" i="43"/>
  <c r="Q1400" i="43"/>
  <c r="Q1412" i="43"/>
  <c r="Q1425" i="43"/>
  <c r="Q1437" i="43"/>
  <c r="Q1449" i="43"/>
  <c r="Q1461" i="43"/>
  <c r="Q1474" i="43"/>
  <c r="Q1486" i="43"/>
  <c r="Q1498" i="43"/>
  <c r="Q1510" i="43"/>
  <c r="Q1522" i="43"/>
  <c r="Q1533" i="43"/>
  <c r="Q1545" i="43"/>
  <c r="Q1557" i="43"/>
  <c r="Q1569" i="43"/>
  <c r="Q1581" i="43"/>
  <c r="Q1593" i="43"/>
  <c r="Q1603" i="43"/>
  <c r="Q1615" i="43"/>
  <c r="Q1627" i="43"/>
  <c r="Q1640" i="43"/>
  <c r="Q1651" i="43"/>
  <c r="Q1663" i="43"/>
  <c r="Q1675" i="43"/>
  <c r="Q1688" i="43"/>
  <c r="Q1700" i="43"/>
  <c r="Q1712" i="43"/>
  <c r="Q1725" i="43"/>
  <c r="Q1737" i="43"/>
  <c r="Q1749" i="43"/>
  <c r="Q1762" i="43"/>
  <c r="Q1774" i="43"/>
  <c r="Q1786" i="43"/>
  <c r="Q1798" i="43"/>
  <c r="Q1810" i="43"/>
  <c r="Q1822" i="43"/>
  <c r="Q1834" i="43"/>
  <c r="Q1846" i="43"/>
  <c r="Q1347" i="43"/>
  <c r="Q1359" i="43"/>
  <c r="Q1371" i="43"/>
  <c r="Q1383" i="43"/>
  <c r="Q1395" i="43"/>
  <c r="Q1407" i="43"/>
  <c r="Q1419" i="43"/>
  <c r="Q1430" i="43"/>
  <c r="Q1442" i="43"/>
  <c r="Q1454" i="43"/>
  <c r="Q1466" i="43"/>
  <c r="Q1478" i="43"/>
  <c r="Q1490" i="43"/>
  <c r="Q1502" i="43"/>
  <c r="Q1514" i="43"/>
  <c r="Q1526" i="43"/>
  <c r="Q1538" i="43"/>
  <c r="Q1550" i="43"/>
  <c r="Q1562" i="43"/>
  <c r="Q1573" i="43"/>
  <c r="Q1585" i="43"/>
  <c r="Q1599" i="43"/>
  <c r="Q1610" i="43"/>
  <c r="Q1622" i="43"/>
  <c r="Q1633" i="43"/>
  <c r="Q1646" i="43"/>
  <c r="Q1658" i="43"/>
  <c r="Q1670" i="43"/>
  <c r="Q1681" i="43"/>
  <c r="Q1693" i="43"/>
  <c r="Q1705" i="43"/>
  <c r="Q1717" i="43"/>
  <c r="Q1729" i="43"/>
  <c r="Q1741" i="43"/>
  <c r="Q1753" i="43"/>
  <c r="Q1764" i="43"/>
  <c r="Q1776" i="43"/>
  <c r="Q1788" i="43"/>
  <c r="Q1800" i="43"/>
  <c r="Q1812" i="43"/>
  <c r="Q1824" i="43"/>
  <c r="Q1836" i="43"/>
  <c r="Q1848" i="43"/>
  <c r="Q1348" i="43"/>
  <c r="Q1360" i="43"/>
  <c r="Q1372" i="43"/>
  <c r="Q1384" i="43"/>
  <c r="Q1396" i="43"/>
  <c r="Q1408" i="43"/>
  <c r="Q1420" i="43"/>
  <c r="Q1432" i="43"/>
  <c r="Q1444" i="43"/>
  <c r="Q1456" i="43"/>
  <c r="Q1468" i="43"/>
  <c r="Q1479" i="43"/>
  <c r="Q1491" i="43"/>
  <c r="Q1503" i="43"/>
  <c r="Q1515" i="43"/>
  <c r="Q1527" i="43"/>
  <c r="Q1540" i="43"/>
  <c r="Q1552" i="43"/>
  <c r="Q1564" i="43"/>
  <c r="Q1577" i="43"/>
  <c r="Q1588" i="43"/>
  <c r="Q1602" i="43"/>
  <c r="Q1614" i="43"/>
  <c r="Q1626" i="43"/>
  <c r="Q1638" i="43"/>
  <c r="Q1650" i="43"/>
  <c r="Q1662" i="43"/>
  <c r="Q1674" i="43"/>
  <c r="Q1686" i="43"/>
  <c r="Q1698" i="43"/>
  <c r="Q1710" i="43"/>
  <c r="Q1721" i="43"/>
  <c r="Q1733" i="43"/>
  <c r="Q1745" i="43"/>
  <c r="Q1757" i="43"/>
  <c r="Q1769" i="43"/>
  <c r="Q1781" i="43"/>
  <c r="Q1793" i="43"/>
  <c r="Q1805" i="43"/>
  <c r="Q1817" i="43"/>
  <c r="Q1829" i="43"/>
  <c r="Q1841" i="43"/>
  <c r="Q1900" i="43"/>
  <c r="Q1908" i="43"/>
  <c r="Q1916" i="43"/>
  <c r="Q1924" i="43"/>
  <c r="Q1933" i="43"/>
  <c r="Q1940" i="43"/>
  <c r="Q1948" i="43"/>
  <c r="Q1957" i="43"/>
  <c r="Q1965" i="43"/>
  <c r="Q1973" i="43"/>
  <c r="Q1981" i="43"/>
  <c r="Q1989" i="43"/>
  <c r="Q1997" i="43"/>
  <c r="Q2005" i="43"/>
  <c r="Q2013" i="43"/>
  <c r="Q2021" i="43"/>
  <c r="Q2030" i="43"/>
  <c r="Q2038" i="43"/>
  <c r="Q2046" i="43"/>
  <c r="Q2054" i="43"/>
  <c r="Q2062" i="43"/>
  <c r="Q2070" i="43"/>
  <c r="Q2078" i="43"/>
  <c r="Q2086" i="43"/>
  <c r="Q2094" i="43"/>
  <c r="Q2103" i="43"/>
  <c r="Q2115" i="43"/>
  <c r="Q2126" i="43"/>
  <c r="Q2138" i="43"/>
  <c r="Q2146" i="43"/>
  <c r="Q2154" i="43"/>
  <c r="Q2163" i="43"/>
  <c r="Q2171" i="43"/>
  <c r="Q2178" i="43"/>
  <c r="Q2186" i="43"/>
  <c r="Q2194" i="43"/>
  <c r="Q2202" i="43"/>
  <c r="Q2210" i="43"/>
  <c r="Q2218" i="43"/>
  <c r="Q992" i="43"/>
  <c r="Q1008" i="43"/>
  <c r="Q1024" i="43"/>
  <c r="Q1316" i="43"/>
  <c r="Q1332" i="43"/>
  <c r="Q1343" i="43"/>
  <c r="Q1364" i="43"/>
  <c r="Q1379" i="43"/>
  <c r="Q1391" i="43"/>
  <c r="Q1403" i="43"/>
  <c r="Q1415" i="43"/>
  <c r="Q1428" i="43"/>
  <c r="Q1440" i="43"/>
  <c r="Q1452" i="43"/>
  <c r="Q1464" i="43"/>
  <c r="Q1477" i="43"/>
  <c r="Q1489" i="43"/>
  <c r="Q1501" i="43"/>
  <c r="Q1513" i="43"/>
  <c r="Q1525" i="43"/>
  <c r="Q1536" i="43"/>
  <c r="Q1548" i="43"/>
  <c r="Q1560" i="43"/>
  <c r="Q1572" i="43"/>
  <c r="Q1584" i="43"/>
  <c r="Q1596" i="43"/>
  <c r="Q1606" i="43"/>
  <c r="Q1618" i="43"/>
  <c r="Q1630" i="43"/>
  <c r="Q1643" i="43"/>
  <c r="Q1654" i="43"/>
  <c r="Q1666" i="43"/>
  <c r="Q1678" i="43"/>
  <c r="Q1691" i="43"/>
  <c r="Q1704" i="43"/>
  <c r="Q1715" i="43"/>
  <c r="Q1728" i="43"/>
  <c r="Q1740" i="43"/>
  <c r="Q1752" i="43"/>
  <c r="Q1765" i="43"/>
  <c r="Q1777" i="43"/>
  <c r="Q1789" i="43"/>
  <c r="Q1801" i="43"/>
  <c r="Q1813" i="43"/>
  <c r="Q1825" i="43"/>
  <c r="Q1837" i="43"/>
  <c r="Q1849" i="43"/>
  <c r="Q1350" i="43"/>
  <c r="Q1362" i="43"/>
  <c r="Q1374" i="43"/>
  <c r="Q1386" i="43"/>
  <c r="Q1398" i="43"/>
  <c r="Q1410" i="43"/>
  <c r="Q1422" i="43"/>
  <c r="Q1433" i="43"/>
  <c r="Q1445" i="43"/>
  <c r="Q1457" i="43"/>
  <c r="Q1469" i="43"/>
  <c r="Q1481" i="43"/>
  <c r="Q1493" i="43"/>
  <c r="Q1505" i="43"/>
  <c r="Q1517" i="43"/>
  <c r="Q1529" i="43"/>
  <c r="Q1541" i="43"/>
  <c r="Q1553" i="43"/>
  <c r="Q1565" i="43"/>
  <c r="Q1576" i="43"/>
  <c r="Q1589" i="43"/>
  <c r="Q1601" i="43"/>
  <c r="Q1613" i="43"/>
  <c r="Q1625" i="43"/>
  <c r="Q1636" i="43"/>
  <c r="Q1649" i="43"/>
  <c r="Q1661" i="43"/>
  <c r="Q1673" i="43"/>
  <c r="Q1684" i="43"/>
  <c r="Q1696" i="43"/>
  <c r="Q1708" i="43"/>
  <c r="Q1720" i="43"/>
  <c r="Q1732" i="43"/>
  <c r="Q1744" i="43"/>
  <c r="Q1755" i="43"/>
  <c r="Q1767" i="43"/>
  <c r="Q1779" i="43"/>
  <c r="Q1791" i="43"/>
  <c r="Q1803" i="43"/>
  <c r="Q1815" i="43"/>
  <c r="Q1827" i="43"/>
  <c r="Q1839" i="43"/>
  <c r="Q1337" i="43"/>
  <c r="Q1351" i="43"/>
  <c r="Q1363" i="43"/>
  <c r="Q1375" i="43"/>
  <c r="Q1387" i="43"/>
  <c r="Q1399" i="43"/>
  <c r="Q1411" i="43"/>
  <c r="Q1423" i="43"/>
  <c r="Q1435" i="43"/>
  <c r="Q1447" i="43"/>
  <c r="Q1459" i="43"/>
  <c r="Q1471" i="43"/>
  <c r="Q1482" i="43"/>
  <c r="Q1494" i="43"/>
  <c r="Q1506" i="43"/>
  <c r="Q1518" i="43"/>
  <c r="Q1531" i="43"/>
  <c r="Q1543" i="43"/>
  <c r="Q1555" i="43"/>
  <c r="Q1567" i="43"/>
  <c r="Q1579" i="43"/>
  <c r="Q1591" i="43"/>
  <c r="Q1605" i="43"/>
  <c r="Q1617" i="43"/>
  <c r="Q1629" i="43"/>
  <c r="Q1641" i="43"/>
  <c r="Q1653" i="43"/>
  <c r="Q1665" i="43"/>
  <c r="Q1677" i="43"/>
  <c r="Q1689" i="43"/>
  <c r="Q1701" i="43"/>
  <c r="Q1713" i="43"/>
  <c r="Q1724" i="43"/>
  <c r="Q1736" i="43"/>
  <c r="Q1748" i="43"/>
  <c r="Q1760" i="43"/>
  <c r="Q1772" i="43"/>
  <c r="Q1784" i="43"/>
  <c r="Q1796" i="43"/>
  <c r="Q1808" i="43"/>
  <c r="Q1820" i="43"/>
  <c r="Q1832" i="43"/>
  <c r="Q1844" i="43"/>
  <c r="Q1902" i="43"/>
  <c r="Q1910" i="43"/>
  <c r="Q1918" i="43"/>
  <c r="Q1926" i="43"/>
  <c r="Q1935" i="43"/>
  <c r="Q1942" i="43"/>
  <c r="Q1950" i="43"/>
  <c r="Q1958" i="43"/>
  <c r="Q1967" i="43"/>
  <c r="Q1975" i="43"/>
  <c r="Q1983" i="43"/>
  <c r="Q1991" i="43"/>
  <c r="Q1999" i="43"/>
  <c r="Q2007" i="43"/>
  <c r="Q2015" i="43"/>
  <c r="Q2023" i="43"/>
  <c r="Q2032" i="43"/>
  <c r="Q2040" i="43"/>
  <c r="Q2048" i="43"/>
  <c r="Q2056" i="43"/>
  <c r="Q2064" i="43"/>
  <c r="Q2072" i="43"/>
  <c r="Q2080" i="43"/>
  <c r="Q2088" i="43"/>
  <c r="Q2096" i="43"/>
  <c r="Q2105" i="43"/>
  <c r="Q2117" i="43"/>
  <c r="Q2129" i="43"/>
  <c r="Q2140" i="43"/>
  <c r="Q2148" i="43"/>
  <c r="Q2156" i="43"/>
  <c r="Q2164" i="43"/>
  <c r="Q2173" i="43"/>
  <c r="Q2180" i="43"/>
  <c r="Q2188" i="43"/>
  <c r="Q2196" i="43"/>
  <c r="Q2204" i="43"/>
  <c r="Q2212" i="43"/>
  <c r="Q996" i="43"/>
  <c r="Q1012" i="43"/>
  <c r="Q1028" i="43"/>
  <c r="Q1320" i="43"/>
  <c r="Q1333" i="43"/>
  <c r="Q1346" i="43"/>
  <c r="Q1367" i="43"/>
  <c r="Q1382" i="43"/>
  <c r="Q1394" i="43"/>
  <c r="Q1406" i="43"/>
  <c r="Q1418" i="43"/>
  <c r="Q1431" i="43"/>
  <c r="Q1443" i="43"/>
  <c r="Q1455" i="43"/>
  <c r="Q1467" i="43"/>
  <c r="Q1480" i="43"/>
  <c r="Q1492" i="43"/>
  <c r="Q1504" i="43"/>
  <c r="Q1516" i="43"/>
  <c r="Q1528" i="43"/>
  <c r="Q1539" i="43"/>
  <c r="Q1551" i="43"/>
  <c r="Q1563" i="43"/>
  <c r="Q1575" i="43"/>
  <c r="Q1587" i="43"/>
  <c r="Q1597" i="43"/>
  <c r="Q1609" i="43"/>
  <c r="Q1621" i="43"/>
  <c r="Q1634" i="43"/>
  <c r="Q1645" i="43"/>
  <c r="Q1657" i="43"/>
  <c r="Q1669" i="43"/>
  <c r="Q1682" i="43"/>
  <c r="Q1694" i="43"/>
  <c r="Q1707" i="43"/>
  <c r="Q1719" i="43"/>
  <c r="Q1731" i="43"/>
  <c r="Q1743" i="43"/>
  <c r="Q1756" i="43"/>
  <c r="Q1768" i="43"/>
  <c r="Q1780" i="43"/>
  <c r="Q1792" i="43"/>
  <c r="Q1804" i="43"/>
  <c r="Q1816" i="43"/>
  <c r="Q1828" i="43"/>
  <c r="Q1840" i="43"/>
  <c r="Q1339" i="43"/>
  <c r="Q1353" i="43"/>
  <c r="Q1365" i="43"/>
  <c r="Q1377" i="43"/>
  <c r="Q1389" i="43"/>
  <c r="Q1401" i="43"/>
  <c r="Q1413" i="43"/>
  <c r="Q1424" i="43"/>
  <c r="Q1436" i="43"/>
  <c r="Q1448" i="43"/>
  <c r="Q1460" i="43"/>
  <c r="Q1472" i="43"/>
  <c r="Q1484" i="43"/>
  <c r="Q1496" i="43"/>
  <c r="Q1508" i="43"/>
  <c r="Q1520" i="43"/>
  <c r="Q1532" i="43"/>
  <c r="Q1544" i="43"/>
  <c r="Q1556" i="43"/>
  <c r="Q1568" i="43"/>
  <c r="Q1580" i="43"/>
  <c r="Q1592" i="43"/>
  <c r="Q1604" i="43"/>
  <c r="Q1616" i="43"/>
  <c r="Q1628" i="43"/>
  <c r="Q1639" i="43"/>
  <c r="Q1652" i="43"/>
  <c r="Q1664" i="43"/>
  <c r="Q1676" i="43"/>
  <c r="Q1687" i="43"/>
  <c r="Q1699" i="43"/>
  <c r="Q1711" i="43"/>
  <c r="Q1723" i="43"/>
  <c r="Q1735" i="43"/>
  <c r="Q1747" i="43"/>
  <c r="Q1758" i="43"/>
  <c r="Q1770" i="43"/>
  <c r="Q1782" i="43"/>
  <c r="Q1794" i="43"/>
  <c r="Q1806" i="43"/>
  <c r="Q1818" i="43"/>
  <c r="Q1830" i="43"/>
  <c r="Q1842" i="43"/>
  <c r="Q1342" i="43"/>
  <c r="Q1354" i="43"/>
  <c r="Q1366" i="43"/>
  <c r="Q1378" i="43"/>
  <c r="Q1390" i="43"/>
  <c r="Q1402" i="43"/>
  <c r="Q1414" i="43"/>
  <c r="Q1426" i="43"/>
  <c r="Q1438" i="43"/>
  <c r="Q1450" i="43"/>
  <c r="Q1462" i="43"/>
  <c r="Q1473" i="43"/>
  <c r="Q1485" i="43"/>
  <c r="Q1497" i="43"/>
  <c r="Q1509" i="43"/>
  <c r="Q1521" i="43"/>
  <c r="Q1534" i="43"/>
  <c r="Q1546" i="43"/>
  <c r="Q1558" i="43"/>
  <c r="Q1570" i="43"/>
  <c r="Q1582" i="43"/>
  <c r="Q1594" i="43"/>
  <c r="Q1608" i="43"/>
  <c r="Q1620" i="43"/>
  <c r="Q1632" i="43"/>
  <c r="Q1644" i="43"/>
  <c r="Q1656" i="43"/>
  <c r="Q1668" i="43"/>
  <c r="Q1680" i="43"/>
  <c r="Q1692" i="43"/>
  <c r="Q1703" i="43"/>
  <c r="Q1716" i="43"/>
  <c r="Q1727" i="43"/>
  <c r="Q1739" i="43"/>
  <c r="Q1751" i="43"/>
  <c r="Q1763" i="43"/>
  <c r="Q1775" i="43"/>
  <c r="Q1787" i="43"/>
  <c r="Q1799" i="43"/>
  <c r="Q1811" i="43"/>
  <c r="Q1823" i="43"/>
  <c r="Q1835" i="43"/>
  <c r="Q1847" i="43"/>
  <c r="Q1904" i="43"/>
  <c r="Q1912" i="43"/>
  <c r="Q1920" i="43"/>
  <c r="Q1929" i="43"/>
  <c r="Q1937" i="43"/>
  <c r="Q1945" i="43"/>
  <c r="Q1952" i="43"/>
  <c r="Q1960" i="43"/>
  <c r="Q1969" i="43"/>
  <c r="Q1977" i="43"/>
  <c r="Q1985" i="43"/>
  <c r="Q1993" i="43"/>
  <c r="Q2001" i="43"/>
  <c r="Q2009" i="43"/>
  <c r="Q2017" i="43"/>
  <c r="Q2026" i="43"/>
  <c r="Q2034" i="43"/>
  <c r="Q2042" i="43"/>
  <c r="Q2050" i="43"/>
  <c r="Q2058" i="43"/>
  <c r="Q2066" i="43"/>
  <c r="Q2074" i="43"/>
  <c r="Q2082" i="43"/>
  <c r="Q2090" i="43"/>
  <c r="Q2098" i="43"/>
  <c r="Q2109" i="43"/>
  <c r="Q2120" i="43"/>
  <c r="Q2132" i="43"/>
  <c r="Q2142" i="43"/>
  <c r="Q2150" i="43"/>
  <c r="Q2159" i="43"/>
  <c r="Q2166" i="43"/>
  <c r="Q2175" i="43"/>
  <c r="Q2182" i="43"/>
  <c r="Q2190" i="43"/>
  <c r="Q2198" i="43"/>
  <c r="Q2206" i="43"/>
  <c r="Q2214" i="43"/>
  <c r="Q1000" i="43"/>
  <c r="Q1016" i="43"/>
  <c r="Q1308" i="43"/>
  <c r="Q1324" i="43"/>
  <c r="Q1336" i="43"/>
  <c r="Q1355" i="43"/>
  <c r="Q1370" i="43"/>
  <c r="Q1385" i="43"/>
  <c r="Q1397" i="43"/>
  <c r="Q1409" i="43"/>
  <c r="Q1421" i="43"/>
  <c r="Q1434" i="43"/>
  <c r="Q1446" i="43"/>
  <c r="Q1458" i="43"/>
  <c r="Q1470" i="43"/>
  <c r="Q1483" i="43"/>
  <c r="Q1495" i="43"/>
  <c r="Q1507" i="43"/>
  <c r="Q1519" i="43"/>
  <c r="Q1530" i="43"/>
  <c r="Q1542" i="43"/>
  <c r="Q1554" i="43"/>
  <c r="Q1566" i="43"/>
  <c r="Q1578" i="43"/>
  <c r="Q1590" i="43"/>
  <c r="Q1600" i="43"/>
  <c r="Q1612" i="43"/>
  <c r="Q1624" i="43"/>
  <c r="Q1637" i="43"/>
  <c r="Q1648" i="43"/>
  <c r="Q1660" i="43"/>
  <c r="Q1672" i="43"/>
  <c r="Q1685" i="43"/>
  <c r="Q1697" i="43"/>
  <c r="Q1709" i="43"/>
  <c r="Q1722" i="43"/>
  <c r="Q1734" i="43"/>
  <c r="Q1746" i="43"/>
  <c r="Q1759" i="43"/>
  <c r="Q1771" i="43"/>
  <c r="Q1783" i="43"/>
  <c r="Q1795" i="43"/>
  <c r="Q1807" i="43"/>
  <c r="Q1819" i="43"/>
  <c r="Q1831" i="43"/>
  <c r="Q1843" i="43"/>
  <c r="Q1344" i="43"/>
  <c r="Q1356" i="43"/>
  <c r="Q1368" i="43"/>
  <c r="Q1380" i="43"/>
  <c r="Q1392" i="43"/>
  <c r="Q1404" i="43"/>
  <c r="Q1416" i="43"/>
  <c r="Q1427" i="43"/>
  <c r="Q1439" i="43"/>
  <c r="Q1451" i="43"/>
  <c r="Q1463" i="43"/>
  <c r="Q1475" i="43"/>
  <c r="Q1487" i="43"/>
  <c r="Q1499" i="43"/>
  <c r="Q1511" i="43"/>
  <c r="Q1523" i="43"/>
  <c r="Q1535" i="43"/>
  <c r="Q1547" i="43"/>
  <c r="Q1559" i="43"/>
  <c r="Q1571" i="43"/>
  <c r="Q1583" i="43"/>
  <c r="Q1595" i="43"/>
  <c r="Q1607" i="43"/>
  <c r="Q1619" i="43"/>
  <c r="Q1631" i="43"/>
  <c r="Q1642" i="43"/>
  <c r="Q1655" i="43"/>
  <c r="Q1667" i="43"/>
  <c r="Q1679" i="43"/>
  <c r="Q1690" i="43"/>
  <c r="Q1702" i="43"/>
  <c r="Q1714" i="43"/>
  <c r="Q1726" i="43"/>
  <c r="Q1738" i="43"/>
  <c r="Q1750" i="43"/>
  <c r="Q1761" i="43"/>
  <c r="Q1773" i="43"/>
  <c r="Q1785" i="43"/>
  <c r="Q1797" i="43"/>
  <c r="Q1809" i="43"/>
  <c r="Q1821" i="43"/>
  <c r="Q1833" i="43"/>
  <c r="Q1845" i="43"/>
  <c r="Q1345" i="43"/>
  <c r="Q1357" i="43"/>
  <c r="Q1369" i="43"/>
  <c r="Q1381" i="43"/>
  <c r="Q1393" i="43"/>
  <c r="Q1405" i="43"/>
  <c r="Q1417" i="43"/>
  <c r="Q1429" i="43"/>
  <c r="Q1441" i="43"/>
  <c r="Q1453" i="43"/>
  <c r="Q1465" i="43"/>
  <c r="Q1476" i="43"/>
  <c r="Q1488" i="43"/>
  <c r="Q1500" i="43"/>
  <c r="Q1512" i="43"/>
  <c r="Q1524" i="43"/>
  <c r="Q1537" i="43"/>
  <c r="Q1549" i="43"/>
  <c r="Q1561" i="43"/>
  <c r="Q1574" i="43"/>
  <c r="Q1586" i="43"/>
  <c r="Q1598" i="43"/>
  <c r="Q1611" i="43"/>
  <c r="Q1623" i="43"/>
  <c r="Q1635" i="43"/>
  <c r="Q1647" i="43"/>
  <c r="Q1659" i="43"/>
  <c r="Q1671" i="43"/>
  <c r="Q1683" i="43"/>
  <c r="Q1695" i="43"/>
  <c r="Q1706" i="43"/>
  <c r="Q1718" i="43"/>
  <c r="Q1730" i="43"/>
  <c r="Q1742" i="43"/>
  <c r="Q1754" i="43"/>
  <c r="Q1766" i="43"/>
  <c r="Q1778" i="43"/>
  <c r="Q1790" i="43"/>
  <c r="Q1802" i="43"/>
  <c r="Q1814" i="43"/>
  <c r="Q1826" i="43"/>
  <c r="Q1838" i="43"/>
  <c r="Q1896" i="43"/>
  <c r="Q1906" i="43"/>
  <c r="Q1914" i="43"/>
  <c r="Q1922" i="43"/>
  <c r="Q1931" i="43"/>
  <c r="Q1939" i="43"/>
  <c r="Q1946" i="43"/>
  <c r="Q1955" i="43"/>
  <c r="Q1962" i="43"/>
  <c r="Q1971" i="43"/>
  <c r="Q1979" i="43"/>
  <c r="Q1987" i="43"/>
  <c r="Q1995" i="43"/>
  <c r="Q2003" i="43"/>
  <c r="Q2011" i="43"/>
  <c r="Q2019" i="43"/>
  <c r="Q2028" i="43"/>
  <c r="Q2036" i="43"/>
  <c r="Q2044" i="43"/>
  <c r="Q2052" i="43"/>
  <c r="Q2060" i="43"/>
  <c r="Q2068" i="43"/>
  <c r="Q2076" i="43"/>
  <c r="Q2084" i="43"/>
  <c r="Q2092" i="43"/>
  <c r="Q2135" i="43"/>
  <c r="Q2168" i="43"/>
  <c r="Q2200" i="43"/>
  <c r="Q2222" i="43"/>
  <c r="Q2232" i="43"/>
  <c r="Q2244" i="43"/>
  <c r="Q2256" i="43"/>
  <c r="Q2268" i="43"/>
  <c r="Q2279" i="43"/>
  <c r="Q2291" i="43"/>
  <c r="Q2303" i="43"/>
  <c r="Q2315" i="43"/>
  <c r="Q2327" i="43"/>
  <c r="Q2338" i="43"/>
  <c r="Q2350" i="43"/>
  <c r="Q2362" i="43"/>
  <c r="Q2374" i="43"/>
  <c r="Q2386" i="43"/>
  <c r="Q2398" i="43"/>
  <c r="Q2410" i="43"/>
  <c r="Q2420" i="43"/>
  <c r="Q2432" i="43"/>
  <c r="Q2448" i="43"/>
  <c r="Q2460" i="43"/>
  <c r="Q2471" i="43"/>
  <c r="Q2485" i="43"/>
  <c r="Q2498" i="43"/>
  <c r="Q2510" i="43"/>
  <c r="Q2522" i="43"/>
  <c r="Q2534" i="43"/>
  <c r="Q2546" i="43"/>
  <c r="Q2558" i="43"/>
  <c r="Q2570" i="43"/>
  <c r="Q2582" i="43"/>
  <c r="Q2594" i="43"/>
  <c r="Q2605" i="43"/>
  <c r="Q1850" i="43"/>
  <c r="Q1854" i="43"/>
  <c r="Q1858" i="43"/>
  <c r="Q1862" i="43"/>
  <c r="Q1866" i="43"/>
  <c r="Q1870" i="43"/>
  <c r="Q1874" i="43"/>
  <c r="Q1878" i="43"/>
  <c r="Q1882" i="43"/>
  <c r="Q1886" i="43"/>
  <c r="Q1890" i="43"/>
  <c r="Q1894" i="43"/>
  <c r="Q1899" i="43"/>
  <c r="Q1907" i="43"/>
  <c r="Q1915" i="43"/>
  <c r="Q1923" i="43"/>
  <c r="Q1930" i="43"/>
  <c r="Q1938" i="43"/>
  <c r="Q1947" i="43"/>
  <c r="Q1954" i="43"/>
  <c r="Q1963" i="43"/>
  <c r="Q1970" i="43"/>
  <c r="Q1978" i="43"/>
  <c r="Q1986" i="43"/>
  <c r="Q1994" i="43"/>
  <c r="Q2002" i="43"/>
  <c r="Q2010" i="43"/>
  <c r="Q2018" i="43"/>
  <c r="Q2025" i="43"/>
  <c r="Q2033" i="43"/>
  <c r="Q2041" i="43"/>
  <c r="Q2049" i="43"/>
  <c r="Q2057" i="43"/>
  <c r="Q2065" i="43"/>
  <c r="Q2073" i="43"/>
  <c r="Q2081" i="43"/>
  <c r="Q2089" i="43"/>
  <c r="Q2097" i="43"/>
  <c r="Q2106" i="43"/>
  <c r="Q2118" i="43"/>
  <c r="Q2131" i="43"/>
  <c r="Q2141" i="43"/>
  <c r="Q2149" i="43"/>
  <c r="Q2157" i="43"/>
  <c r="Q2165" i="43"/>
  <c r="Q2172" i="43"/>
  <c r="Q2181" i="43"/>
  <c r="Q2189" i="43"/>
  <c r="Q2197" i="43"/>
  <c r="Q2205" i="43"/>
  <c r="Q2213" i="43"/>
  <c r="Q2221" i="43"/>
  <c r="Q2231" i="43"/>
  <c r="Q2242" i="43"/>
  <c r="Q2254" i="43"/>
  <c r="Q2266" i="43"/>
  <c r="Q2278" i="43"/>
  <c r="Q2290" i="43"/>
  <c r="Q2302" i="43"/>
  <c r="Q2314" i="43"/>
  <c r="Q2325" i="43"/>
  <c r="Q2337" i="43"/>
  <c r="Q2349" i="43"/>
  <c r="Q2361" i="43"/>
  <c r="Q2373" i="43"/>
  <c r="Q2385" i="43"/>
  <c r="Q2397" i="43"/>
  <c r="Q2409" i="43"/>
  <c r="Q2422" i="43"/>
  <c r="Q2434" i="43"/>
  <c r="Q2444" i="43"/>
  <c r="Q2456" i="43"/>
  <c r="Q2467" i="43"/>
  <c r="Q2476" i="43"/>
  <c r="Q2483" i="43"/>
  <c r="Q2494" i="43"/>
  <c r="Q2505" i="43"/>
  <c r="Q2517" i="43"/>
  <c r="Q2529" i="43"/>
  <c r="Q2542" i="43"/>
  <c r="Q2554" i="43"/>
  <c r="Q2565" i="43"/>
  <c r="Q2577" i="43"/>
  <c r="Q2589" i="43"/>
  <c r="Q2601" i="43"/>
  <c r="Q2613" i="43"/>
  <c r="Q2113" i="43"/>
  <c r="Q2125" i="43"/>
  <c r="Q2136" i="43"/>
  <c r="Q2237" i="43"/>
  <c r="Q2249" i="43"/>
  <c r="Q2262" i="43"/>
  <c r="Q2273" i="43"/>
  <c r="Q2286" i="43"/>
  <c r="Q2298" i="43"/>
  <c r="Q2310" i="43"/>
  <c r="Q2323" i="43"/>
  <c r="Q2335" i="43"/>
  <c r="Q2348" i="43"/>
  <c r="Q2360" i="43"/>
  <c r="Q2372" i="43"/>
  <c r="Q2384" i="43"/>
  <c r="Q2396" i="43"/>
  <c r="Q2408" i="43"/>
  <c r="Q2421" i="43"/>
  <c r="Q2433" i="43"/>
  <c r="Q2446" i="43"/>
  <c r="Q2459" i="43"/>
  <c r="Q2480" i="43"/>
  <c r="Q2490" i="43"/>
  <c r="Q2502" i="43"/>
  <c r="Q2516" i="43"/>
  <c r="Q2527" i="43"/>
  <c r="Q2538" i="43"/>
  <c r="Q2550" i="43"/>
  <c r="Q2563" i="43"/>
  <c r="Q2575" i="43"/>
  <c r="Q2587" i="43"/>
  <c r="Q2600" i="43"/>
  <c r="Q2612" i="43"/>
  <c r="Q2618" i="43"/>
  <c r="Q2622" i="43"/>
  <c r="Q2626" i="43"/>
  <c r="Q2630" i="43"/>
  <c r="Q2634" i="43"/>
  <c r="Q2638" i="43"/>
  <c r="Q2642" i="43"/>
  <c r="Q2646" i="43"/>
  <c r="Q2650" i="43"/>
  <c r="Q2654" i="43"/>
  <c r="Q2658" i="43"/>
  <c r="Q2662" i="43"/>
  <c r="Q2666" i="43"/>
  <c r="Q2100" i="43"/>
  <c r="Q2144" i="43"/>
  <c r="Q2177" i="43"/>
  <c r="Q2208" i="43"/>
  <c r="Q2224" i="43"/>
  <c r="Q2235" i="43"/>
  <c r="Q2247" i="43"/>
  <c r="Q2258" i="43"/>
  <c r="Q2270" i="43"/>
  <c r="Q2282" i="43"/>
  <c r="Q2294" i="43"/>
  <c r="Q2306" i="43"/>
  <c r="Q2318" i="43"/>
  <c r="Q2330" i="43"/>
  <c r="Q2341" i="43"/>
  <c r="Q2353" i="43"/>
  <c r="Q2365" i="43"/>
  <c r="Q2377" i="43"/>
  <c r="Q2389" i="43"/>
  <c r="Q2401" i="43"/>
  <c r="Q2413" i="43"/>
  <c r="Q2423" i="43"/>
  <c r="Q2439" i="43"/>
  <c r="Q2451" i="43"/>
  <c r="Q2463" i="43"/>
  <c r="Q2473" i="43"/>
  <c r="Q2489" i="43"/>
  <c r="Q2501" i="43"/>
  <c r="Q2512" i="43"/>
  <c r="Q2525" i="43"/>
  <c r="Q2537" i="43"/>
  <c r="Q2549" i="43"/>
  <c r="Q2561" i="43"/>
  <c r="Q2572" i="43"/>
  <c r="Q2585" i="43"/>
  <c r="Q2597" i="43"/>
  <c r="Q2608" i="43"/>
  <c r="Q1851" i="43"/>
  <c r="Q1855" i="43"/>
  <c r="Q1859" i="43"/>
  <c r="Q1863" i="43"/>
  <c r="Q1867" i="43"/>
  <c r="Q1871" i="43"/>
  <c r="Q1875" i="43"/>
  <c r="Q1879" i="43"/>
  <c r="Q1883" i="43"/>
  <c r="Q1887" i="43"/>
  <c r="Q1891" i="43"/>
  <c r="Q1895" i="43"/>
  <c r="Q1901" i="43"/>
  <c r="Q1909" i="43"/>
  <c r="Q1917" i="43"/>
  <c r="Q1925" i="43"/>
  <c r="Q1932" i="43"/>
  <c r="Q1941" i="43"/>
  <c r="Q1949" i="43"/>
  <c r="Q1956" i="43"/>
  <c r="Q1964" i="43"/>
  <c r="Q1972" i="43"/>
  <c r="Q1980" i="43"/>
  <c r="Q1988" i="43"/>
  <c r="Q1996" i="43"/>
  <c r="Q2004" i="43"/>
  <c r="Q2012" i="43"/>
  <c r="Q2020" i="43"/>
  <c r="Q2027" i="43"/>
  <c r="Q2035" i="43"/>
  <c r="Q2043" i="43"/>
  <c r="Q2051" i="43"/>
  <c r="Q2059" i="43"/>
  <c r="Q2067" i="43"/>
  <c r="Q2075" i="43"/>
  <c r="Q2083" i="43"/>
  <c r="Q2091" i="43"/>
  <c r="Q2099" i="43"/>
  <c r="Q2108" i="43"/>
  <c r="Q2121" i="43"/>
  <c r="Q2134" i="43"/>
  <c r="Q2143" i="43"/>
  <c r="Q2151" i="43"/>
  <c r="Q2158" i="43"/>
  <c r="Q2167" i="43"/>
  <c r="Q2174" i="43"/>
  <c r="Q2183" i="43"/>
  <c r="Q2191" i="43"/>
  <c r="Q2199" i="43"/>
  <c r="Q2207" i="43"/>
  <c r="Q2215" i="43"/>
  <c r="Q2223" i="43"/>
  <c r="Q2233" i="43"/>
  <c r="Q2245" i="43"/>
  <c r="Q2257" i="43"/>
  <c r="Q2269" i="43"/>
  <c r="Q2281" i="43"/>
  <c r="Q2293" i="43"/>
  <c r="Q2305" i="43"/>
  <c r="Q2317" i="43"/>
  <c r="Q2328" i="43"/>
  <c r="Q2340" i="43"/>
  <c r="Q2352" i="43"/>
  <c r="Q2364" i="43"/>
  <c r="Q2376" i="43"/>
  <c r="Q2388" i="43"/>
  <c r="Q2400" i="43"/>
  <c r="Q2412" i="43"/>
  <c r="Q2425" i="43"/>
  <c r="Q2436" i="43"/>
  <c r="Q2447" i="43"/>
  <c r="Q2458" i="43"/>
  <c r="Q2470" i="43"/>
  <c r="Q2478" i="43"/>
  <c r="Q2486" i="43"/>
  <c r="Q2497" i="43"/>
  <c r="Q2509" i="43"/>
  <c r="Q2520" i="43"/>
  <c r="Q2532" i="43"/>
  <c r="Q2545" i="43"/>
  <c r="Q2557" i="43"/>
  <c r="Q2568" i="43"/>
  <c r="Q2580" i="43"/>
  <c r="Q2592" i="43"/>
  <c r="Q2604" i="43"/>
  <c r="Q2101" i="43"/>
  <c r="Q2116" i="43"/>
  <c r="Q2127" i="43"/>
  <c r="Q2225" i="43"/>
  <c r="Q2240" i="43"/>
  <c r="Q2252" i="43"/>
  <c r="Q2265" i="43"/>
  <c r="Q2277" i="43"/>
  <c r="Q2289" i="43"/>
  <c r="Q2301" i="43"/>
  <c r="Q2313" i="43"/>
  <c r="Q2326" i="43"/>
  <c r="Q2339" i="43"/>
  <c r="Q2351" i="43"/>
  <c r="Q2363" i="43"/>
  <c r="Q2375" i="43"/>
  <c r="Q2387" i="43"/>
  <c r="Q2399" i="43"/>
  <c r="Q2411" i="43"/>
  <c r="Q2424" i="43"/>
  <c r="Q2437" i="43"/>
  <c r="Q2449" i="43"/>
  <c r="Q2462" i="43"/>
  <c r="Q2482" i="43"/>
  <c r="Q2493" i="43"/>
  <c r="Q2506" i="43"/>
  <c r="Q2518" i="43"/>
  <c r="Q2530" i="43"/>
  <c r="Q2541" i="43"/>
  <c r="Q2553" i="43"/>
  <c r="Q2566" i="43"/>
  <c r="Q2579" i="43"/>
  <c r="Q2590" i="43"/>
  <c r="Q2603" i="43"/>
  <c r="Q2615" i="43"/>
  <c r="Q2619" i="43"/>
  <c r="Q2623" i="43"/>
  <c r="Q2627" i="43"/>
  <c r="Q2631" i="43"/>
  <c r="Q2635" i="43"/>
  <c r="Q2639" i="43"/>
  <c r="Q2643" i="43"/>
  <c r="Q2647" i="43"/>
  <c r="Q2651" i="43"/>
  <c r="Q2655" i="43"/>
  <c r="Q2659" i="43"/>
  <c r="Q2663" i="43"/>
  <c r="Q2667" i="43"/>
  <c r="Q2671" i="43"/>
  <c r="Q2112" i="43"/>
  <c r="Q2152" i="43"/>
  <c r="Q2184" i="43"/>
  <c r="Q2216" i="43"/>
  <c r="Q2227" i="43"/>
  <c r="Q2238" i="43"/>
  <c r="Q2250" i="43"/>
  <c r="Q2261" i="43"/>
  <c r="Q2274" i="43"/>
  <c r="Q2285" i="43"/>
  <c r="Q2297" i="43"/>
  <c r="Q2309" i="43"/>
  <c r="Q2321" i="43"/>
  <c r="Q2333" i="43"/>
  <c r="Q2344" i="43"/>
  <c r="Q2356" i="43"/>
  <c r="Q2368" i="43"/>
  <c r="Q2380" i="43"/>
  <c r="Q2392" i="43"/>
  <c r="Q2404" i="43"/>
  <c r="Q2416" i="43"/>
  <c r="Q2426" i="43"/>
  <c r="Q2442" i="43"/>
  <c r="Q2454" i="43"/>
  <c r="Q2466" i="43"/>
  <c r="Q2475" i="43"/>
  <c r="Q2492" i="43"/>
  <c r="Q2504" i="43"/>
  <c r="Q2515" i="43"/>
  <c r="Q2528" i="43"/>
  <c r="Q2540" i="43"/>
  <c r="Q2552" i="43"/>
  <c r="Q2564" i="43"/>
  <c r="Q2576" i="43"/>
  <c r="Q2588" i="43"/>
  <c r="Q2599" i="43"/>
  <c r="Q2611" i="43"/>
  <c r="Q1852" i="43"/>
  <c r="Q1856" i="43"/>
  <c r="Q1860" i="43"/>
  <c r="Q1864" i="43"/>
  <c r="Q1868" i="43"/>
  <c r="Q1872" i="43"/>
  <c r="Q1876" i="43"/>
  <c r="Q1880" i="43"/>
  <c r="Q1884" i="43"/>
  <c r="Q1888" i="43"/>
  <c r="Q1892" i="43"/>
  <c r="Q1897" i="43"/>
  <c r="Q1903" i="43"/>
  <c r="Q1911" i="43"/>
  <c r="Q1919" i="43"/>
  <c r="Q1927" i="43"/>
  <c r="Q1934" i="43"/>
  <c r="Q1943" i="43"/>
  <c r="Q1951" i="43"/>
  <c r="Q1959" i="43"/>
  <c r="Q1966" i="43"/>
  <c r="Q1974" i="43"/>
  <c r="Q1982" i="43"/>
  <c r="Q1990" i="43"/>
  <c r="Q1998" i="43"/>
  <c r="Q2006" i="43"/>
  <c r="Q2014" i="43"/>
  <c r="Q2022" i="43"/>
  <c r="Q2029" i="43"/>
  <c r="Q2037" i="43"/>
  <c r="Q2045" i="43"/>
  <c r="Q2053" i="43"/>
  <c r="Q2061" i="43"/>
  <c r="Q2069" i="43"/>
  <c r="Q2077" i="43"/>
  <c r="Q2085" i="43"/>
  <c r="Q2093" i="43"/>
  <c r="Q2102" i="43"/>
  <c r="Q2111" i="43"/>
  <c r="Q2124" i="43"/>
  <c r="Q2137" i="43"/>
  <c r="Q2145" i="43"/>
  <c r="Q2153" i="43"/>
  <c r="Q2160" i="43"/>
  <c r="Q2169" i="43"/>
  <c r="Q2176" i="43"/>
  <c r="Q2185" i="43"/>
  <c r="Q2193" i="43"/>
  <c r="Q2201" i="43"/>
  <c r="Q2209" i="43"/>
  <c r="Q2217" i="43"/>
  <c r="Q2226" i="43"/>
  <c r="Q2236" i="43"/>
  <c r="Q2248" i="43"/>
  <c r="Q2260" i="43"/>
  <c r="Q2272" i="43"/>
  <c r="Q2284" i="43"/>
  <c r="Q2296" i="43"/>
  <c r="Q2308" i="43"/>
  <c r="Q2320" i="43"/>
  <c r="Q2331" i="43"/>
  <c r="Q2343" i="43"/>
  <c r="Q2355" i="43"/>
  <c r="Q2367" i="43"/>
  <c r="Q2379" i="43"/>
  <c r="Q2391" i="43"/>
  <c r="Q2403" i="43"/>
  <c r="Q2415" i="43"/>
  <c r="Q2428" i="43"/>
  <c r="Q2438" i="43"/>
  <c r="Q2450" i="43"/>
  <c r="Q2461" i="43"/>
  <c r="Q2472" i="43"/>
  <c r="Q2479" i="43"/>
  <c r="Q2488" i="43"/>
  <c r="Q2500" i="43"/>
  <c r="Q2511" i="43"/>
  <c r="Q2523" i="43"/>
  <c r="Q2535" i="43"/>
  <c r="Q2548" i="43"/>
  <c r="Q2559" i="43"/>
  <c r="Q2571" i="43"/>
  <c r="Q2583" i="43"/>
  <c r="Q2595" i="43"/>
  <c r="Q2607" i="43"/>
  <c r="Q2107" i="43"/>
  <c r="Q2119" i="43"/>
  <c r="Q2130" i="43"/>
  <c r="Q2230" i="43"/>
  <c r="Q2243" i="43"/>
  <c r="Q2255" i="43"/>
  <c r="Q2267" i="43"/>
  <c r="Q2280" i="43"/>
  <c r="Q2292" i="43"/>
  <c r="Q2304" i="43"/>
  <c r="Q2316" i="43"/>
  <c r="Q2329" i="43"/>
  <c r="Q2342" i="43"/>
  <c r="Q2354" i="43"/>
  <c r="Q2366" i="43"/>
  <c r="Q2378" i="43"/>
  <c r="Q2390" i="43"/>
  <c r="Q2402" i="43"/>
  <c r="Q2414" i="43"/>
  <c r="Q2427" i="43"/>
  <c r="Q2440" i="43"/>
  <c r="Q2452" i="43"/>
  <c r="Q2465" i="43"/>
  <c r="Q2484" i="43"/>
  <c r="Q2496" i="43"/>
  <c r="Q2508" i="43"/>
  <c r="Q2521" i="43"/>
  <c r="Q2533" i="43"/>
  <c r="Q2544" i="43"/>
  <c r="Q2556" i="43"/>
  <c r="Q2569" i="43"/>
  <c r="Q2581" i="43"/>
  <c r="Q2593" i="43"/>
  <c r="Q2606" i="43"/>
  <c r="Q2616" i="43"/>
  <c r="Q2620" i="43"/>
  <c r="Q2624" i="43"/>
  <c r="Q2628" i="43"/>
  <c r="Q2632" i="43"/>
  <c r="Q2636" i="43"/>
  <c r="Q2640" i="43"/>
  <c r="Q2644" i="43"/>
  <c r="Q2648" i="43"/>
  <c r="Q2652" i="43"/>
  <c r="Q2656" i="43"/>
  <c r="Q2660" i="43"/>
  <c r="Q2664" i="43"/>
  <c r="Q2668" i="43"/>
  <c r="Q2220" i="43"/>
  <c r="Q2264" i="43"/>
  <c r="Q2312" i="43"/>
  <c r="Q2359" i="43"/>
  <c r="Q2407" i="43"/>
  <c r="Q2457" i="43"/>
  <c r="Q2507" i="43"/>
  <c r="Q2555" i="43"/>
  <c r="Q2602" i="43"/>
  <c r="Q1861" i="43"/>
  <c r="Q1877" i="43"/>
  <c r="Q1893" i="43"/>
  <c r="Q1921" i="43"/>
  <c r="Q1953" i="43"/>
  <c r="Q1984" i="43"/>
  <c r="Q2016" i="43"/>
  <c r="Q2047" i="43"/>
  <c r="Q2079" i="43"/>
  <c r="Q2114" i="43"/>
  <c r="Q2155" i="43"/>
  <c r="Q2187" i="43"/>
  <c r="Q2219" i="43"/>
  <c r="Q2263" i="43"/>
  <c r="Q2311" i="43"/>
  <c r="Q2358" i="43"/>
  <c r="Q2406" i="43"/>
  <c r="Q2453" i="43"/>
  <c r="Q2491" i="43"/>
  <c r="Q2539" i="43"/>
  <c r="Q2586" i="43"/>
  <c r="Q2122" i="43"/>
  <c r="Q2259" i="43"/>
  <c r="Q2307" i="43"/>
  <c r="Q2357" i="43"/>
  <c r="Q2405" i="43"/>
  <c r="Q2455" i="43"/>
  <c r="Q2513" i="43"/>
  <c r="Q2560" i="43"/>
  <c r="Q2609" i="43"/>
  <c r="Q2629" i="43"/>
  <c r="Q2645" i="43"/>
  <c r="Q2661" i="43"/>
  <c r="Q2672" i="43"/>
  <c r="Q2676" i="43"/>
  <c r="Q2680" i="43"/>
  <c r="Q2684" i="43"/>
  <c r="Q2688" i="43"/>
  <c r="Q2692" i="43"/>
  <c r="Q2696" i="43"/>
  <c r="Q2700" i="43"/>
  <c r="Q2704" i="43"/>
  <c r="Q2708" i="43"/>
  <c r="Q2712" i="43"/>
  <c r="Q2716" i="43"/>
  <c r="Q2720" i="43"/>
  <c r="Q2724" i="43"/>
  <c r="Q2728" i="43"/>
  <c r="Q2732" i="43"/>
  <c r="Q2736" i="43"/>
  <c r="Q2740" i="43"/>
  <c r="Q2744" i="43"/>
  <c r="Q2748" i="43"/>
  <c r="Q2752" i="43"/>
  <c r="Q2756" i="43"/>
  <c r="Q2760" i="43"/>
  <c r="Q2764" i="43"/>
  <c r="Q2768" i="43"/>
  <c r="Q2772" i="43"/>
  <c r="Q2776" i="43"/>
  <c r="Q2780" i="43"/>
  <c r="Q2784" i="43"/>
  <c r="Q2790" i="43"/>
  <c r="Q2798" i="43"/>
  <c r="Q2806" i="43"/>
  <c r="Q2814" i="43"/>
  <c r="Q2823" i="43"/>
  <c r="Q2834" i="43"/>
  <c r="Q2846" i="43"/>
  <c r="Q2858" i="43"/>
  <c r="Q2870" i="43"/>
  <c r="Q2882" i="43"/>
  <c r="Q2895" i="43"/>
  <c r="Q2907" i="43"/>
  <c r="Q2919" i="43"/>
  <c r="Q2931" i="43"/>
  <c r="Q2944" i="43"/>
  <c r="Q2956" i="43"/>
  <c r="Q2968" i="43"/>
  <c r="Q2980" i="43"/>
  <c r="Q2992" i="43"/>
  <c r="Q3008" i="43"/>
  <c r="Q3020" i="43"/>
  <c r="Q3032" i="43"/>
  <c r="Q3044" i="43"/>
  <c r="Q3056" i="43"/>
  <c r="Q3068" i="43"/>
  <c r="Q3079" i="43"/>
  <c r="Q3092" i="43"/>
  <c r="Q3105" i="43"/>
  <c r="Q3117" i="43"/>
  <c r="Q3129" i="43"/>
  <c r="Q3140" i="43"/>
  <c r="Q3153" i="43"/>
  <c r="Q3165" i="43"/>
  <c r="Q3177" i="43"/>
  <c r="Q3189" i="43"/>
  <c r="Q3201" i="43"/>
  <c r="Q3212" i="43"/>
  <c r="Q3227" i="43"/>
  <c r="Q2827" i="43"/>
  <c r="Q2839" i="43"/>
  <c r="Q2851" i="43"/>
  <c r="Q2865" i="43"/>
  <c r="Q2877" i="43"/>
  <c r="Q2889" i="43"/>
  <c r="Q2900" i="43"/>
  <c r="Q2912" i="43"/>
  <c r="Q2924" i="43"/>
  <c r="Q2936" i="43"/>
  <c r="Q2948" i="43"/>
  <c r="Q2960" i="43"/>
  <c r="Q2972" i="43"/>
  <c r="Q2984" i="43"/>
  <c r="Q2996" i="43"/>
  <c r="Q3007" i="43"/>
  <c r="Q3019" i="43"/>
  <c r="Q3031" i="43"/>
  <c r="Q3043" i="43"/>
  <c r="Q3055" i="43"/>
  <c r="Q3066" i="43"/>
  <c r="Q3078" i="43"/>
  <c r="Q3090" i="43"/>
  <c r="Q3101" i="43"/>
  <c r="Q3113" i="43"/>
  <c r="Q3124" i="43"/>
  <c r="Q3136" i="43"/>
  <c r="Q3148" i="43"/>
  <c r="Q3160" i="43"/>
  <c r="Q3175" i="43"/>
  <c r="Q3190" i="43"/>
  <c r="Q3202" i="43"/>
  <c r="Q3214" i="43"/>
  <c r="Q3226" i="43"/>
  <c r="Q2789" i="43"/>
  <c r="Q2797" i="43"/>
  <c r="Q2805" i="43"/>
  <c r="Q2813" i="43"/>
  <c r="Q2822" i="43"/>
  <c r="Q2835" i="43"/>
  <c r="Q2847" i="43"/>
  <c r="Q2859" i="43"/>
  <c r="Q2871" i="43"/>
  <c r="Q2884" i="43"/>
  <c r="Q2896" i="43"/>
  <c r="Q2908" i="43"/>
  <c r="Q2920" i="43"/>
  <c r="Q2932" i="43"/>
  <c r="Q2943" i="43"/>
  <c r="Q2955" i="43"/>
  <c r="Q2967" i="43"/>
  <c r="Q2982" i="43"/>
  <c r="Q2994" i="43"/>
  <c r="Q3018" i="43"/>
  <c r="Q3030" i="43"/>
  <c r="Q3042" i="43"/>
  <c r="Q3054" i="43"/>
  <c r="Q3067" i="43"/>
  <c r="Q3080" i="43"/>
  <c r="Q3091" i="43"/>
  <c r="Q2123" i="43"/>
  <c r="Q2229" i="43"/>
  <c r="Q2276" i="43"/>
  <c r="Q2324" i="43"/>
  <c r="Q2371" i="43"/>
  <c r="Q2417" i="43"/>
  <c r="Q2468" i="43"/>
  <c r="Q2519" i="43"/>
  <c r="Q2567" i="43"/>
  <c r="Q2614" i="43"/>
  <c r="Q1865" i="43"/>
  <c r="Q1881" i="43"/>
  <c r="Q1898" i="43"/>
  <c r="Q1928" i="43"/>
  <c r="Q1961" i="43"/>
  <c r="Q1992" i="43"/>
  <c r="Q2024" i="43"/>
  <c r="Q2055" i="43"/>
  <c r="Q2087" i="43"/>
  <c r="Q2128" i="43"/>
  <c r="Q2162" i="43"/>
  <c r="Q2195" i="43"/>
  <c r="Q2228" i="43"/>
  <c r="Q2275" i="43"/>
  <c r="Q2322" i="43"/>
  <c r="Q2370" i="43"/>
  <c r="Q2419" i="43"/>
  <c r="Q2464" i="43"/>
  <c r="Q2503" i="43"/>
  <c r="Q2551" i="43"/>
  <c r="Q2598" i="43"/>
  <c r="Q2133" i="43"/>
  <c r="Q2271" i="43"/>
  <c r="Q2319" i="43"/>
  <c r="Q2369" i="43"/>
  <c r="Q2418" i="43"/>
  <c r="Q2469" i="43"/>
  <c r="Q2524" i="43"/>
  <c r="Q2573" i="43"/>
  <c r="Q2617" i="43"/>
  <c r="Q2633" i="43"/>
  <c r="Q2649" i="43"/>
  <c r="Q2665" i="43"/>
  <c r="Q2673" i="43"/>
  <c r="Q2677" i="43"/>
  <c r="Q2681" i="43"/>
  <c r="Q2685" i="43"/>
  <c r="Q2689" i="43"/>
  <c r="Q2693" i="43"/>
  <c r="Q2697" i="43"/>
  <c r="Q2701" i="43"/>
  <c r="Q2705" i="43"/>
  <c r="Q2709" i="43"/>
  <c r="Q2713" i="43"/>
  <c r="Q2717" i="43"/>
  <c r="Q2721" i="43"/>
  <c r="Q2725" i="43"/>
  <c r="Q2729" i="43"/>
  <c r="Q2733" i="43"/>
  <c r="Q2737" i="43"/>
  <c r="Q2741" i="43"/>
  <c r="Q2745" i="43"/>
  <c r="Q2749" i="43"/>
  <c r="Q2753" i="43"/>
  <c r="Q2757" i="43"/>
  <c r="Q2761" i="43"/>
  <c r="Q2765" i="43"/>
  <c r="Q2769" i="43"/>
  <c r="Q2773" i="43"/>
  <c r="Q2777" i="43"/>
  <c r="Q2781" i="43"/>
  <c r="Q2785" i="43"/>
  <c r="Q2792" i="43"/>
  <c r="Q2800" i="43"/>
  <c r="Q2808" i="43"/>
  <c r="Q2816" i="43"/>
  <c r="Q2826" i="43"/>
  <c r="Q2837" i="43"/>
  <c r="Q2849" i="43"/>
  <c r="Q2861" i="43"/>
  <c r="Q2873" i="43"/>
  <c r="Q2885" i="43"/>
  <c r="Q2898" i="43"/>
  <c r="Q2910" i="43"/>
  <c r="Q2922" i="43"/>
  <c r="Q2935" i="43"/>
  <c r="Q2947" i="43"/>
  <c r="Q2959" i="43"/>
  <c r="Q2971" i="43"/>
  <c r="Q2983" i="43"/>
  <c r="Q2995" i="43"/>
  <c r="Q3011" i="43"/>
  <c r="Q3023" i="43"/>
  <c r="Q3035" i="43"/>
  <c r="Q3047" i="43"/>
  <c r="Q3059" i="43"/>
  <c r="Q3071" i="43"/>
  <c r="Q3083" i="43"/>
  <c r="Q3096" i="43"/>
  <c r="Q3108" i="43"/>
  <c r="Q3120" i="43"/>
  <c r="Q3132" i="43"/>
  <c r="Q3143" i="43"/>
  <c r="Q3156" i="43"/>
  <c r="Q3168" i="43"/>
  <c r="Q3180" i="43"/>
  <c r="Q3192" i="43"/>
  <c r="Q3204" i="43"/>
  <c r="Q3215" i="43"/>
  <c r="Q3230" i="43"/>
  <c r="Q2830" i="43"/>
  <c r="Q2842" i="43"/>
  <c r="Q2854" i="43"/>
  <c r="Q2869" i="43"/>
  <c r="Q2880" i="43"/>
  <c r="Q2892" i="43"/>
  <c r="Q2903" i="43"/>
  <c r="Q2915" i="43"/>
  <c r="Q2927" i="43"/>
  <c r="Q2939" i="43"/>
  <c r="Q2951" i="43"/>
  <c r="Q2963" i="43"/>
  <c r="Q2975" i="43"/>
  <c r="Q2987" i="43"/>
  <c r="Q2999" i="43"/>
  <c r="Q3010" i="43"/>
  <c r="Q3022" i="43"/>
  <c r="Q3034" i="43"/>
  <c r="Q3046" i="43"/>
  <c r="Q3058" i="43"/>
  <c r="Q3069" i="43"/>
  <c r="Q3081" i="43"/>
  <c r="Q3093" i="43"/>
  <c r="Q3104" i="43"/>
  <c r="Q3116" i="43"/>
  <c r="Q3127" i="43"/>
  <c r="Q3139" i="43"/>
  <c r="Q3151" i="43"/>
  <c r="Q3163" i="43"/>
  <c r="Q3178" i="43"/>
  <c r="Q3193" i="43"/>
  <c r="Q3205" i="43"/>
  <c r="Q3217" i="43"/>
  <c r="Q3229" i="43"/>
  <c r="Q2791" i="43"/>
  <c r="Q2799" i="43"/>
  <c r="Q2807" i="43"/>
  <c r="Q2815" i="43"/>
  <c r="Q2825" i="43"/>
  <c r="Q2838" i="43"/>
  <c r="Q2850" i="43"/>
  <c r="Q2863" i="43"/>
  <c r="Q2875" i="43"/>
  <c r="Q2887" i="43"/>
  <c r="Q2899" i="43"/>
  <c r="Q2911" i="43"/>
  <c r="Q2923" i="43"/>
  <c r="Q2934" i="43"/>
  <c r="Q2946" i="43"/>
  <c r="Q2958" i="43"/>
  <c r="Q2973" i="43"/>
  <c r="Q2985" i="43"/>
  <c r="Q2997" i="43"/>
  <c r="Q3009" i="43"/>
  <c r="Q3021" i="43"/>
  <c r="Q3033" i="43"/>
  <c r="Q3045" i="43"/>
  <c r="Q3057" i="43"/>
  <c r="Q3070" i="43"/>
  <c r="Q3082" i="43"/>
  <c r="Q3094" i="43"/>
  <c r="Q3106" i="43"/>
  <c r="Q2161" i="43"/>
  <c r="Q2241" i="43"/>
  <c r="Q2288" i="43"/>
  <c r="Q2336" i="43"/>
  <c r="Q2383" i="43"/>
  <c r="Q2429" i="43"/>
  <c r="Q2477" i="43"/>
  <c r="Q2531" i="43"/>
  <c r="Q2578" i="43"/>
  <c r="Q1853" i="43"/>
  <c r="Q1869" i="43"/>
  <c r="Q1885" i="43"/>
  <c r="Q1905" i="43"/>
  <c r="Q1936" i="43"/>
  <c r="Q1968" i="43"/>
  <c r="Q2000" i="43"/>
  <c r="Q2031" i="43"/>
  <c r="Q2063" i="43"/>
  <c r="Q2095" i="43"/>
  <c r="Q2139" i="43"/>
  <c r="Q2170" i="43"/>
  <c r="Q2203" i="43"/>
  <c r="Q2239" i="43"/>
  <c r="Q2287" i="43"/>
  <c r="Q2334" i="43"/>
  <c r="Q2382" i="43"/>
  <c r="Q2431" i="43"/>
  <c r="Q2474" i="43"/>
  <c r="Q2514" i="43"/>
  <c r="Q2562" i="43"/>
  <c r="Q2610" i="43"/>
  <c r="Q2234" i="43"/>
  <c r="Q2283" i="43"/>
  <c r="Q2332" i="43"/>
  <c r="Q2381" i="43"/>
  <c r="Q2430" i="43"/>
  <c r="Q2487" i="43"/>
  <c r="Q2536" i="43"/>
  <c r="Q2584" i="43"/>
  <c r="Q2621" i="43"/>
  <c r="Q2637" i="43"/>
  <c r="Q2653" i="43"/>
  <c r="Q2669" i="43"/>
  <c r="Q2674" i="43"/>
  <c r="Q2678" i="43"/>
  <c r="Q2682" i="43"/>
  <c r="Q2686" i="43"/>
  <c r="Q2690" i="43"/>
  <c r="Q2694" i="43"/>
  <c r="Q2698" i="43"/>
  <c r="Q2702" i="43"/>
  <c r="Q2706" i="43"/>
  <c r="Q2710" i="43"/>
  <c r="Q2714" i="43"/>
  <c r="Q2718" i="43"/>
  <c r="Q2722" i="43"/>
  <c r="Q2726" i="43"/>
  <c r="Q2730" i="43"/>
  <c r="Q2734" i="43"/>
  <c r="Q2738" i="43"/>
  <c r="Q2742" i="43"/>
  <c r="Q2746" i="43"/>
  <c r="Q2750" i="43"/>
  <c r="Q2754" i="43"/>
  <c r="Q2758" i="43"/>
  <c r="Q2762" i="43"/>
  <c r="Q2766" i="43"/>
  <c r="Q2770" i="43"/>
  <c r="Q2774" i="43"/>
  <c r="Q2778" i="43"/>
  <c r="Q2782" i="43"/>
  <c r="Q2787" i="43"/>
  <c r="Q2794" i="43"/>
  <c r="Q2802" i="43"/>
  <c r="Q2810" i="43"/>
  <c r="Q2818" i="43"/>
  <c r="Q2828" i="43"/>
  <c r="Q2840" i="43"/>
  <c r="Q2852" i="43"/>
  <c r="Q2864" i="43"/>
  <c r="Q2876" i="43"/>
  <c r="Q2888" i="43"/>
  <c r="Q2901" i="43"/>
  <c r="Q2913" i="43"/>
  <c r="Q2925" i="43"/>
  <c r="Q2938" i="43"/>
  <c r="Q2950" i="43"/>
  <c r="Q2962" i="43"/>
  <c r="Q2974" i="43"/>
  <c r="Q2986" i="43"/>
  <c r="Q2998" i="43"/>
  <c r="Q3014" i="43"/>
  <c r="Q3026" i="43"/>
  <c r="Q3038" i="43"/>
  <c r="Q3050" i="43"/>
  <c r="Q3062" i="43"/>
  <c r="Q3074" i="43"/>
  <c r="Q3086" i="43"/>
  <c r="Q3099" i="43"/>
  <c r="Q3111" i="43"/>
  <c r="Q3123" i="43"/>
  <c r="Q3135" i="43"/>
  <c r="Q3147" i="43"/>
  <c r="Q3159" i="43"/>
  <c r="Q3171" i="43"/>
  <c r="Q3183" i="43"/>
  <c r="Q3195" i="43"/>
  <c r="Q3207" i="43"/>
  <c r="Q3218" i="43"/>
  <c r="Q2817" i="43"/>
  <c r="Q2833" i="43"/>
  <c r="Q2845" i="43"/>
  <c r="Q2860" i="43"/>
  <c r="Q2872" i="43"/>
  <c r="Q2883" i="43"/>
  <c r="Q2894" i="43"/>
  <c r="Q2906" i="43"/>
  <c r="Q2918" i="43"/>
  <c r="Q2930" i="43"/>
  <c r="Q2942" i="43"/>
  <c r="Q2954" i="43"/>
  <c r="Q2966" i="43"/>
  <c r="Q2978" i="43"/>
  <c r="Q2990" i="43"/>
  <c r="Q3002" i="43"/>
  <c r="Q3013" i="43"/>
  <c r="Q3025" i="43"/>
  <c r="Q3037" i="43"/>
  <c r="Q3049" i="43"/>
  <c r="Q3061" i="43"/>
  <c r="Q3072" i="43"/>
  <c r="Q3084" i="43"/>
  <c r="Q3095" i="43"/>
  <c r="Q3107" i="43"/>
  <c r="Q3118" i="43"/>
  <c r="Q3130" i="43"/>
  <c r="Q3142" i="43"/>
  <c r="Q3154" i="43"/>
  <c r="Q3166" i="43"/>
  <c r="Q3181" i="43"/>
  <c r="Q3196" i="43"/>
  <c r="Q3208" i="43"/>
  <c r="Q3220" i="43"/>
  <c r="Q3232" i="43"/>
  <c r="Q2793" i="43"/>
  <c r="Q2801" i="43"/>
  <c r="Q2809" i="43"/>
  <c r="Q2819" i="43"/>
  <c r="Q2829" i="43"/>
  <c r="Q2841" i="43"/>
  <c r="Q2853" i="43"/>
  <c r="Q2866" i="43"/>
  <c r="Q2878" i="43"/>
  <c r="Q2890" i="43"/>
  <c r="Q2902" i="43"/>
  <c r="Q2914" i="43"/>
  <c r="Q2926" i="43"/>
  <c r="Q2937" i="43"/>
  <c r="Q2949" i="43"/>
  <c r="Q2961" i="43"/>
  <c r="Q2976" i="43"/>
  <c r="Q2988" i="43"/>
  <c r="Q3000" i="43"/>
  <c r="Q3012" i="43"/>
  <c r="Q3024" i="43"/>
  <c r="Q3036" i="43"/>
  <c r="Q3048" i="43"/>
  <c r="Q3060" i="43"/>
  <c r="Q3073" i="43"/>
  <c r="Q3085" i="43"/>
  <c r="Q3097" i="43"/>
  <c r="Q2347" i="43"/>
  <c r="Q2543" i="43"/>
  <c r="Q1889" i="43"/>
  <c r="Q2008" i="43"/>
  <c r="Q2147" i="43"/>
  <c r="Q2299" i="43"/>
  <c r="Q2481" i="43"/>
  <c r="Q2246" i="43"/>
  <c r="Q2443" i="43"/>
  <c r="Q2625" i="43"/>
  <c r="Q2675" i="43"/>
  <c r="Q2691" i="43"/>
  <c r="Q2707" i="43"/>
  <c r="Q2723" i="43"/>
  <c r="Q2739" i="43"/>
  <c r="Q2755" i="43"/>
  <c r="Q2771" i="43"/>
  <c r="Q2788" i="43"/>
  <c r="Q2821" i="43"/>
  <c r="Q2867" i="43"/>
  <c r="Q2916" i="43"/>
  <c r="Q2965" i="43"/>
  <c r="Q3017" i="43"/>
  <c r="Q3065" i="43"/>
  <c r="Q3114" i="43"/>
  <c r="Q3162" i="43"/>
  <c r="Q3210" i="43"/>
  <c r="Q2848" i="43"/>
  <c r="Q2897" i="43"/>
  <c r="Q2945" i="43"/>
  <c r="Q2993" i="43"/>
  <c r="Q3040" i="43"/>
  <c r="Q3087" i="43"/>
  <c r="Q3133" i="43"/>
  <c r="Q3187" i="43"/>
  <c r="Q2786" i="43"/>
  <c r="Q2820" i="43"/>
  <c r="Q2868" i="43"/>
  <c r="Q2917" i="43"/>
  <c r="Q2964" i="43"/>
  <c r="Q3015" i="43"/>
  <c r="Q3064" i="43"/>
  <c r="Q3103" i="43"/>
  <c r="Q3119" i="43"/>
  <c r="Q3131" i="43"/>
  <c r="Q3144" i="43"/>
  <c r="Q3155" i="43"/>
  <c r="Q3167" i="43"/>
  <c r="Q3179" i="43"/>
  <c r="Q3191" i="43"/>
  <c r="Q3203" i="43"/>
  <c r="Q3216" i="43"/>
  <c r="Q3228" i="43"/>
  <c r="Q1873" i="43"/>
  <c r="Q1976" i="43"/>
  <c r="Q2441" i="43"/>
  <c r="Q2596" i="43"/>
  <c r="Q2703" i="43"/>
  <c r="Q2751" i="43"/>
  <c r="Q2855" i="43"/>
  <c r="Q3001" i="43"/>
  <c r="Q3150" i="43"/>
  <c r="Q2886" i="43"/>
  <c r="Q3028" i="43"/>
  <c r="Q3172" i="43"/>
  <c r="Q2856" i="43"/>
  <c r="Q3003" i="43"/>
  <c r="Q3115" i="43"/>
  <c r="Q3152" i="43"/>
  <c r="Q3188" i="43"/>
  <c r="Q3225" i="43"/>
  <c r="Q2192" i="43"/>
  <c r="Q2395" i="43"/>
  <c r="Q2591" i="43"/>
  <c r="Q1913" i="43"/>
  <c r="Q2039" i="43"/>
  <c r="Q2179" i="43"/>
  <c r="Q2346" i="43"/>
  <c r="Q2526" i="43"/>
  <c r="Q2295" i="43"/>
  <c r="Q2499" i="43"/>
  <c r="Q2641" i="43"/>
  <c r="Q2679" i="43"/>
  <c r="Q2695" i="43"/>
  <c r="Q2711" i="43"/>
  <c r="Q2727" i="43"/>
  <c r="Q2743" i="43"/>
  <c r="Q2759" i="43"/>
  <c r="Q2775" i="43"/>
  <c r="Q2796" i="43"/>
  <c r="Q2832" i="43"/>
  <c r="Q2879" i="43"/>
  <c r="Q2928" i="43"/>
  <c r="Q2977" i="43"/>
  <c r="Q3029" i="43"/>
  <c r="Q3077" i="43"/>
  <c r="Q3126" i="43"/>
  <c r="Q3174" i="43"/>
  <c r="Q3224" i="43"/>
  <c r="Q2862" i="43"/>
  <c r="Q2909" i="43"/>
  <c r="Q2957" i="43"/>
  <c r="Q3005" i="43"/>
  <c r="Q3052" i="43"/>
  <c r="Q3098" i="43"/>
  <c r="Q3145" i="43"/>
  <c r="Q3199" i="43"/>
  <c r="Q2795" i="43"/>
  <c r="Q2831" i="43"/>
  <c r="Q2881" i="43"/>
  <c r="Q2929" i="43"/>
  <c r="Q2979" i="43"/>
  <c r="Q3027" i="43"/>
  <c r="Q3076" i="43"/>
  <c r="Q3109" i="43"/>
  <c r="Q3122" i="43"/>
  <c r="Q3134" i="43"/>
  <c r="Q3146" i="43"/>
  <c r="Q3158" i="43"/>
  <c r="Q3170" i="43"/>
  <c r="Q3182" i="43"/>
  <c r="Q3194" i="43"/>
  <c r="Q3206" i="43"/>
  <c r="Q3219" i="43"/>
  <c r="Q3231" i="43"/>
  <c r="Q3209" i="43"/>
  <c r="Q2495" i="43"/>
  <c r="Q2104" i="43"/>
  <c r="Q2110" i="43"/>
  <c r="Q2670" i="43"/>
  <c r="Q2719" i="43"/>
  <c r="Q2767" i="43"/>
  <c r="Q2812" i="43"/>
  <c r="Q2953" i="43"/>
  <c r="Q3102" i="43"/>
  <c r="Q2836" i="43"/>
  <c r="Q2981" i="43"/>
  <c r="Q3121" i="43"/>
  <c r="Q2811" i="43"/>
  <c r="Q2952" i="43"/>
  <c r="Q3100" i="43"/>
  <c r="Q3141" i="43"/>
  <c r="Q3176" i="43"/>
  <c r="Q3213" i="43"/>
  <c r="Q2253" i="43"/>
  <c r="Q2445" i="43"/>
  <c r="Q1857" i="43"/>
  <c r="Q1944" i="43"/>
  <c r="Q2071" i="43"/>
  <c r="Q2211" i="43"/>
  <c r="Q2394" i="43"/>
  <c r="Q2574" i="43"/>
  <c r="Q2345" i="43"/>
  <c r="Q2547" i="43"/>
  <c r="Q2657" i="43"/>
  <c r="Q2683" i="43"/>
  <c r="Q2699" i="43"/>
  <c r="Q2715" i="43"/>
  <c r="Q2731" i="43"/>
  <c r="Q2747" i="43"/>
  <c r="Q2763" i="43"/>
  <c r="Q2779" i="43"/>
  <c r="Q2804" i="43"/>
  <c r="Q2843" i="43"/>
  <c r="Q2891" i="43"/>
  <c r="Q2941" i="43"/>
  <c r="Q2989" i="43"/>
  <c r="Q3041" i="43"/>
  <c r="Q3089" i="43"/>
  <c r="Q3138" i="43"/>
  <c r="Q3186" i="43"/>
  <c r="Q2824" i="43"/>
  <c r="Q2874" i="43"/>
  <c r="Q2921" i="43"/>
  <c r="Q2969" i="43"/>
  <c r="Q3016" i="43"/>
  <c r="Q3063" i="43"/>
  <c r="Q3110" i="43"/>
  <c r="Q3157" i="43"/>
  <c r="Q3211" i="43"/>
  <c r="Q2803" i="43"/>
  <c r="Q2844" i="43"/>
  <c r="Q2893" i="43"/>
  <c r="Q2940" i="43"/>
  <c r="Q2991" i="43"/>
  <c r="Q3039" i="43"/>
  <c r="Q3088" i="43"/>
  <c r="Q3112" i="43"/>
  <c r="Q3125" i="43"/>
  <c r="Q3137" i="43"/>
  <c r="Q3149" i="43"/>
  <c r="Q3161" i="43"/>
  <c r="Q3173" i="43"/>
  <c r="Q3185" i="43"/>
  <c r="Q3197" i="43"/>
  <c r="Q3222" i="43"/>
  <c r="Q2300" i="43"/>
  <c r="Q2251" i="43"/>
  <c r="Q2393" i="43"/>
  <c r="Q2687" i="43"/>
  <c r="Q2735" i="43"/>
  <c r="Q2783" i="43"/>
  <c r="Q2904" i="43"/>
  <c r="Q3053" i="43"/>
  <c r="Q3198" i="43"/>
  <c r="Q2933" i="43"/>
  <c r="Q3075" i="43"/>
  <c r="Q3223" i="43"/>
  <c r="Q2905" i="43"/>
  <c r="Q3051" i="43"/>
  <c r="Q3128" i="43"/>
  <c r="Q3164" i="43"/>
  <c r="Q3200" i="43"/>
  <c r="N3210" i="43"/>
  <c r="N3239" i="43"/>
  <c r="P3196" i="43"/>
  <c r="P3224" i="43"/>
  <c r="P3237" i="43"/>
  <c r="P3211" i="43"/>
  <c r="P3238" i="43"/>
  <c r="O2786" i="43"/>
  <c r="O3238" i="43"/>
  <c r="M3236" i="43"/>
  <c r="M3237" i="43"/>
  <c r="K3237" i="43"/>
  <c r="K3196" i="43"/>
  <c r="O3232" i="43"/>
  <c r="O3237" i="43"/>
  <c r="N3233" i="43"/>
  <c r="N3111" i="43"/>
  <c r="O3182" i="43"/>
  <c r="O3236" i="43"/>
  <c r="N3133" i="43"/>
  <c r="P3218" i="43"/>
  <c r="P3202" i="43"/>
  <c r="P3189" i="43"/>
  <c r="P3176" i="43"/>
  <c r="P3156" i="43"/>
  <c r="P3140" i="43"/>
  <c r="P3122" i="43"/>
  <c r="P3106" i="43"/>
  <c r="P3092" i="43"/>
  <c r="P3076" i="43"/>
  <c r="P3058" i="43"/>
  <c r="P3040" i="43"/>
  <c r="P3025" i="43"/>
  <c r="P3009" i="43"/>
  <c r="P3220" i="43"/>
  <c r="P3181" i="43"/>
  <c r="P3167" i="43"/>
  <c r="P3151" i="43"/>
  <c r="P3135" i="43"/>
  <c r="P3117" i="43"/>
  <c r="P3099" i="43"/>
  <c r="P3083" i="43"/>
  <c r="P3068" i="43"/>
  <c r="P3050" i="43"/>
  <c r="P3032" i="43"/>
  <c r="P3016" i="43"/>
  <c r="P3226" i="43"/>
  <c r="P3213" i="43"/>
  <c r="P3198" i="43"/>
  <c r="P3184" i="43"/>
  <c r="P3171" i="43"/>
  <c r="P3154" i="43"/>
  <c r="P3138" i="43"/>
  <c r="P3124" i="43"/>
  <c r="P3108" i="43"/>
  <c r="P3094" i="43"/>
  <c r="P3078" i="43"/>
  <c r="P3063" i="43"/>
  <c r="P3049" i="43"/>
  <c r="P3035" i="43"/>
  <c r="P3019" i="43"/>
  <c r="P3003" i="43"/>
  <c r="P3225" i="43"/>
  <c r="P3206" i="43"/>
  <c r="P3186" i="43"/>
  <c r="P3165" i="43"/>
  <c r="P3149" i="43"/>
  <c r="P3133" i="43"/>
  <c r="P3119" i="43"/>
  <c r="P3101" i="43"/>
  <c r="P3085" i="43"/>
  <c r="P3069" i="43"/>
  <c r="P3052" i="43"/>
  <c r="P3038" i="43"/>
  <c r="P3022" i="43"/>
  <c r="P3005" i="43"/>
  <c r="P2990" i="43"/>
  <c r="P2975" i="43"/>
  <c r="P2960" i="43"/>
  <c r="P2944" i="43"/>
  <c r="P2928" i="43"/>
  <c r="P2912" i="43"/>
  <c r="P2896" i="43"/>
  <c r="P2880" i="43"/>
  <c r="P2864" i="43"/>
  <c r="P2846" i="43"/>
  <c r="P2830" i="43"/>
  <c r="P2815" i="43"/>
  <c r="P2799" i="43"/>
  <c r="P2783" i="43"/>
  <c r="P2768" i="43"/>
  <c r="P2753" i="43"/>
  <c r="P2737" i="43"/>
  <c r="P2721" i="43"/>
  <c r="P2705" i="43"/>
  <c r="P2689" i="43"/>
  <c r="P2673" i="43"/>
  <c r="P2657" i="43"/>
  <c r="P2641" i="43"/>
  <c r="P2625" i="43"/>
  <c r="P2609" i="43"/>
  <c r="P2594" i="43"/>
  <c r="P2578" i="43"/>
  <c r="P2562" i="43"/>
  <c r="P2546" i="43"/>
  <c r="P2530" i="43"/>
  <c r="P2514" i="43"/>
  <c r="P2498" i="43"/>
  <c r="P2482" i="43"/>
  <c r="P2466" i="43"/>
  <c r="P2450" i="43"/>
  <c r="P2435" i="43"/>
  <c r="P2419" i="43"/>
  <c r="P2403" i="43"/>
  <c r="P2387" i="43"/>
  <c r="P2371" i="43"/>
  <c r="P2355" i="43"/>
  <c r="P2339" i="43"/>
  <c r="P2323" i="43"/>
  <c r="P2989" i="43"/>
  <c r="P2974" i="43"/>
  <c r="P2955" i="43"/>
  <c r="P2939" i="43"/>
  <c r="P2923" i="43"/>
  <c r="P2907" i="43"/>
  <c r="P2891" i="43"/>
  <c r="P2875" i="43"/>
  <c r="P2860" i="43"/>
  <c r="P2845" i="43"/>
  <c r="P2829" i="43"/>
  <c r="P2814" i="43"/>
  <c r="P2798" i="43"/>
  <c r="P2782" i="43"/>
  <c r="P2767" i="43"/>
  <c r="P2752" i="43"/>
  <c r="P2736" i="43"/>
  <c r="P2720" i="43"/>
  <c r="P2704" i="43"/>
  <c r="P2688" i="43"/>
  <c r="P2672" i="43"/>
  <c r="P2656" i="43"/>
  <c r="P2640" i="43"/>
  <c r="P2624" i="43"/>
  <c r="P2608" i="43"/>
  <c r="P2589" i="43"/>
  <c r="P2573" i="43"/>
  <c r="P2557" i="43"/>
  <c r="P2541" i="43"/>
  <c r="P2525" i="43"/>
  <c r="P2509" i="43"/>
  <c r="P2493" i="43"/>
  <c r="P2477" i="43"/>
  <c r="P2461" i="43"/>
  <c r="P2445" i="43"/>
  <c r="P2430" i="43"/>
  <c r="P2414" i="43"/>
  <c r="P2398" i="43"/>
  <c r="P2382" i="43"/>
  <c r="P2366" i="43"/>
  <c r="P2350" i="43"/>
  <c r="P2334" i="43"/>
  <c r="P2996" i="43"/>
  <c r="P2981" i="43"/>
  <c r="P2966" i="43"/>
  <c r="P2950" i="43"/>
  <c r="P2934" i="43"/>
  <c r="P2918" i="43"/>
  <c r="P2902" i="43"/>
  <c r="P2886" i="43"/>
  <c r="P2870" i="43"/>
  <c r="P2852" i="43"/>
  <c r="P2836" i="43"/>
  <c r="P2817" i="43"/>
  <c r="P2801" i="43"/>
  <c r="P2785" i="43"/>
  <c r="P2769" i="43"/>
  <c r="P2751" i="43"/>
  <c r="P2735" i="43"/>
  <c r="P2719" i="43"/>
  <c r="P2703" i="43"/>
  <c r="P2687" i="43"/>
  <c r="P2671" i="43"/>
  <c r="P2655" i="43"/>
  <c r="P2639" i="43"/>
  <c r="P2623" i="43"/>
  <c r="P2607" i="43"/>
  <c r="P2592" i="43"/>
  <c r="P2576" i="43"/>
  <c r="P2560" i="43"/>
  <c r="P2544" i="43"/>
  <c r="P2528" i="43"/>
  <c r="P2512" i="43"/>
  <c r="P2496" i="43"/>
  <c r="P2480" i="43"/>
  <c r="P2464" i="43"/>
  <c r="P2448" i="43"/>
  <c r="P2433" i="43"/>
  <c r="P2417" i="43"/>
  <c r="P2401" i="43"/>
  <c r="P2385" i="43"/>
  <c r="P2369" i="43"/>
  <c r="P2353" i="43"/>
  <c r="P2337" i="43"/>
  <c r="P3002" i="43"/>
  <c r="P2984" i="43"/>
  <c r="P2969" i="43"/>
  <c r="P2953" i="43"/>
  <c r="P2937" i="43"/>
  <c r="P2921" i="43"/>
  <c r="P2905" i="43"/>
  <c r="P2889" i="43"/>
  <c r="P2873" i="43"/>
  <c r="P2858" i="43"/>
  <c r="P2843" i="43"/>
  <c r="P2827" i="43"/>
  <c r="P2812" i="43"/>
  <c r="P2796" i="43"/>
  <c r="P2780" i="43"/>
  <c r="P2761" i="43"/>
  <c r="P2746" i="43"/>
  <c r="P2730" i="43"/>
  <c r="P2714" i="43"/>
  <c r="P2698" i="43"/>
  <c r="P2682" i="43"/>
  <c r="P2666" i="43"/>
  <c r="P2650" i="43"/>
  <c r="P2634" i="43"/>
  <c r="P2618" i="43"/>
  <c r="P2603" i="43"/>
  <c r="P2587" i="43"/>
  <c r="P2571" i="43"/>
  <c r="P2555" i="43"/>
  <c r="P2539" i="43"/>
  <c r="P2523" i="43"/>
  <c r="P2507" i="43"/>
  <c r="P2491" i="43"/>
  <c r="P2475" i="43"/>
  <c r="P2459" i="43"/>
  <c r="P2443" i="43"/>
  <c r="P2424" i="43"/>
  <c r="P2408" i="43"/>
  <c r="P2392" i="43"/>
  <c r="P2376" i="43"/>
  <c r="P2360" i="43"/>
  <c r="P2344" i="43"/>
  <c r="P2328" i="43"/>
  <c r="P2311" i="43"/>
  <c r="P2295" i="43"/>
  <c r="P2279" i="43"/>
  <c r="P2263" i="43"/>
  <c r="P2247" i="43"/>
  <c r="P2231" i="43"/>
  <c r="P2215" i="43"/>
  <c r="P2199" i="43"/>
  <c r="P2183" i="43"/>
  <c r="P2167" i="43"/>
  <c r="P2151" i="43"/>
  <c r="P2135" i="43"/>
  <c r="P2119" i="43"/>
  <c r="P2103" i="43"/>
  <c r="P2087" i="43"/>
  <c r="P2071" i="43"/>
  <c r="P2055" i="43"/>
  <c r="P2039" i="43"/>
  <c r="P2023" i="43"/>
  <c r="P2007" i="43"/>
  <c r="P1991" i="43"/>
  <c r="P1975" i="43"/>
  <c r="P1959" i="43"/>
  <c r="P1943" i="43"/>
  <c r="P1927" i="43"/>
  <c r="P1911" i="43"/>
  <c r="P1895" i="43"/>
  <c r="P1879" i="43"/>
  <c r="P1863" i="43"/>
  <c r="P1847" i="43"/>
  <c r="P1831" i="43"/>
  <c r="P1815" i="43"/>
  <c r="P1799" i="43"/>
  <c r="P1783" i="43"/>
  <c r="P1767" i="43"/>
  <c r="P1751" i="43"/>
  <c r="P1735" i="43"/>
  <c r="P1719" i="43"/>
  <c r="P1703" i="43"/>
  <c r="P1687" i="43"/>
  <c r="P1671" i="43"/>
  <c r="P1655" i="43"/>
  <c r="P2322" i="43"/>
  <c r="P2306" i="43"/>
  <c r="P2290" i="43"/>
  <c r="P2274" i="43"/>
  <c r="P2258" i="43"/>
  <c r="P2242" i="43"/>
  <c r="P2226" i="43"/>
  <c r="P2210" i="43"/>
  <c r="P2194" i="43"/>
  <c r="P2178" i="43"/>
  <c r="P2162" i="43"/>
  <c r="P2146" i="43"/>
  <c r="P2130" i="43"/>
  <c r="P2114" i="43"/>
  <c r="P2098" i="43"/>
  <c r="P2082" i="43"/>
  <c r="P2066" i="43"/>
  <c r="P2050" i="43"/>
  <c r="P2034" i="43"/>
  <c r="P2018" i="43"/>
  <c r="P2002" i="43"/>
  <c r="P1986" i="43"/>
  <c r="P1970" i="43"/>
  <c r="P1954" i="43"/>
  <c r="P1938" i="43"/>
  <c r="P1922" i="43"/>
  <c r="P1906" i="43"/>
  <c r="P3230" i="43"/>
  <c r="P3215" i="43"/>
  <c r="P3200" i="43"/>
  <c r="P3185" i="43"/>
  <c r="P3168" i="43"/>
  <c r="P3152" i="43"/>
  <c r="P3136" i="43"/>
  <c r="P3118" i="43"/>
  <c r="P3104" i="43"/>
  <c r="P3088" i="43"/>
  <c r="P3072" i="43"/>
  <c r="P3054" i="43"/>
  <c r="P3037" i="43"/>
  <c r="P3021" i="43"/>
  <c r="P3232" i="43"/>
  <c r="P3214" i="43"/>
  <c r="P3199" i="43"/>
  <c r="P3178" i="43"/>
  <c r="P3163" i="43"/>
  <c r="P3147" i="43"/>
  <c r="P3132" i="43"/>
  <c r="P3113" i="43"/>
  <c r="P3095" i="43"/>
  <c r="P3079" i="43"/>
  <c r="P3064" i="43"/>
  <c r="P3046" i="43"/>
  <c r="P3028" i="43"/>
  <c r="P3012" i="43"/>
  <c r="P3222" i="43"/>
  <c r="P3207" i="43"/>
  <c r="P3194" i="43"/>
  <c r="P3180" i="43"/>
  <c r="P3166" i="43"/>
  <c r="P3150" i="43"/>
  <c r="P3134" i="43"/>
  <c r="P3120" i="43"/>
  <c r="P3105" i="43"/>
  <c r="P3090" i="43"/>
  <c r="P3074" i="43"/>
  <c r="P3059" i="43"/>
  <c r="P3045" i="43"/>
  <c r="P3031" i="43"/>
  <c r="P3015" i="43"/>
  <c r="P3228" i="43"/>
  <c r="P3216" i="43"/>
  <c r="P3197" i="43"/>
  <c r="P3183" i="43"/>
  <c r="P3161" i="43"/>
  <c r="P3145" i="43"/>
  <c r="P3130" i="43"/>
  <c r="P3115" i="43"/>
  <c r="P3097" i="43"/>
  <c r="P3081" i="43"/>
  <c r="P3066" i="43"/>
  <c r="P3048" i="43"/>
  <c r="P3034" i="43"/>
  <c r="P3018" i="43"/>
  <c r="P3008" i="43"/>
  <c r="P2987" i="43"/>
  <c r="P2971" i="43"/>
  <c r="P2956" i="43"/>
  <c r="P2940" i="43"/>
  <c r="P2924" i="43"/>
  <c r="P2908" i="43"/>
  <c r="P2892" i="43"/>
  <c r="P2876" i="43"/>
  <c r="P2861" i="43"/>
  <c r="P2842" i="43"/>
  <c r="P2826" i="43"/>
  <c r="P2811" i="43"/>
  <c r="P2795" i="43"/>
  <c r="P2779" i="43"/>
  <c r="P2764" i="43"/>
  <c r="P2749" i="43"/>
  <c r="P2733" i="43"/>
  <c r="P2717" i="43"/>
  <c r="P2701" i="43"/>
  <c r="P2685" i="43"/>
  <c r="P2669" i="43"/>
  <c r="P2653" i="43"/>
  <c r="P2637" i="43"/>
  <c r="P2621" i="43"/>
  <c r="P2605" i="43"/>
  <c r="P2590" i="43"/>
  <c r="P2574" i="43"/>
  <c r="P2558" i="43"/>
  <c r="P2542" i="43"/>
  <c r="P2526" i="43"/>
  <c r="P2510" i="43"/>
  <c r="P2494" i="43"/>
  <c r="P2478" i="43"/>
  <c r="P2462" i="43"/>
  <c r="P2446" i="43"/>
  <c r="P2431" i="43"/>
  <c r="P2415" i="43"/>
  <c r="P2399" i="43"/>
  <c r="P2383" i="43"/>
  <c r="P2367" i="43"/>
  <c r="P2351" i="43"/>
  <c r="P2335" i="43"/>
  <c r="P3000" i="43"/>
  <c r="P2986" i="43"/>
  <c r="P2967" i="43"/>
  <c r="P2951" i="43"/>
  <c r="P2935" i="43"/>
  <c r="P2919" i="43"/>
  <c r="P2903" i="43"/>
  <c r="P2887" i="43"/>
  <c r="P2871" i="43"/>
  <c r="P2857" i="43"/>
  <c r="P2841" i="43"/>
  <c r="P2825" i="43"/>
  <c r="P2810" i="43"/>
  <c r="P2794" i="43"/>
  <c r="P2778" i="43"/>
  <c r="P2763" i="43"/>
  <c r="P2748" i="43"/>
  <c r="P2732" i="43"/>
  <c r="P2716" i="43"/>
  <c r="P2700" i="43"/>
  <c r="P2684" i="43"/>
  <c r="P2668" i="43"/>
  <c r="P2652" i="43"/>
  <c r="P2636" i="43"/>
  <c r="P2620" i="43"/>
  <c r="P2601" i="43"/>
  <c r="P2585" i="43"/>
  <c r="P2569" i="43"/>
  <c r="P2553" i="43"/>
  <c r="P2537" i="43"/>
  <c r="P2521" i="43"/>
  <c r="P2505" i="43"/>
  <c r="P2489" i="43"/>
  <c r="P2473" i="43"/>
  <c r="P2457" i="43"/>
  <c r="P2441" i="43"/>
  <c r="P2426" i="43"/>
  <c r="P2410" i="43"/>
  <c r="P2394" i="43"/>
  <c r="P2378" i="43"/>
  <c r="P2362" i="43"/>
  <c r="P2346" i="43"/>
  <c r="P2330" i="43"/>
  <c r="P2992" i="43"/>
  <c r="P2977" i="43"/>
  <c r="P2962" i="43"/>
  <c r="P2946" i="43"/>
  <c r="P2930" i="43"/>
  <c r="P2914" i="43"/>
  <c r="P2898" i="43"/>
  <c r="P2882" i="43"/>
  <c r="P2866" i="43"/>
  <c r="P2848" i="43"/>
  <c r="P2832" i="43"/>
  <c r="P2813" i="43"/>
  <c r="P2797" i="43"/>
  <c r="P2781" i="43"/>
  <c r="P2766" i="43"/>
  <c r="P2747" i="43"/>
  <c r="P2731" i="43"/>
  <c r="P2715" i="43"/>
  <c r="P2699" i="43"/>
  <c r="P2683" i="43"/>
  <c r="P2667" i="43"/>
  <c r="P2651" i="43"/>
  <c r="P2635" i="43"/>
  <c r="P2619" i="43"/>
  <c r="P2604" i="43"/>
  <c r="P2588" i="43"/>
  <c r="P2572" i="43"/>
  <c r="P2556" i="43"/>
  <c r="P2540" i="43"/>
  <c r="P2524" i="43"/>
  <c r="P2508" i="43"/>
  <c r="P2492" i="43"/>
  <c r="P2476" i="43"/>
  <c r="P2460" i="43"/>
  <c r="P2444" i="43"/>
  <c r="P2429" i="43"/>
  <c r="P2413" i="43"/>
  <c r="P2397" i="43"/>
  <c r="P2381" i="43"/>
  <c r="P2365" i="43"/>
  <c r="P2349" i="43"/>
  <c r="P2333" i="43"/>
  <c r="P2998" i="43"/>
  <c r="P2980" i="43"/>
  <c r="P2965" i="43"/>
  <c r="P2949" i="43"/>
  <c r="P2933" i="43"/>
  <c r="P2917" i="43"/>
  <c r="P2901" i="43"/>
  <c r="P2885" i="43"/>
  <c r="P2869" i="43"/>
  <c r="P2855" i="43"/>
  <c r="P2839" i="43"/>
  <c r="P2823" i="43"/>
  <c r="P2808" i="43"/>
  <c r="P2792" i="43"/>
  <c r="P2776" i="43"/>
  <c r="P2758" i="43"/>
  <c r="P2742" i="43"/>
  <c r="P2726" i="43"/>
  <c r="P2710" i="43"/>
  <c r="P2694" i="43"/>
  <c r="P2678" i="43"/>
  <c r="P2662" i="43"/>
  <c r="P2646" i="43"/>
  <c r="P2630" i="43"/>
  <c r="P2614" i="43"/>
  <c r="P2599" i="43"/>
  <c r="P2583" i="43"/>
  <c r="P2567" i="43"/>
  <c r="P2551" i="43"/>
  <c r="P2535" i="43"/>
  <c r="P2519" i="43"/>
  <c r="P2503" i="43"/>
  <c r="P2487" i="43"/>
  <c r="P2471" i="43"/>
  <c r="P2455" i="43"/>
  <c r="P2439" i="43"/>
  <c r="P2420" i="43"/>
  <c r="P2404" i="43"/>
  <c r="P2388" i="43"/>
  <c r="P2372" i="43"/>
  <c r="P2356" i="43"/>
  <c r="P2340" i="43"/>
  <c r="P2324" i="43"/>
  <c r="P2307" i="43"/>
  <c r="P2291" i="43"/>
  <c r="P2275" i="43"/>
  <c r="P2259" i="43"/>
  <c r="P2243" i="43"/>
  <c r="P2227" i="43"/>
  <c r="P2211" i="43"/>
  <c r="P2195" i="43"/>
  <c r="P2179" i="43"/>
  <c r="P2163" i="43"/>
  <c r="P2147" i="43"/>
  <c r="P2131" i="43"/>
  <c r="P2115" i="43"/>
  <c r="P2099" i="43"/>
  <c r="P2083" i="43"/>
  <c r="P2067" i="43"/>
  <c r="P2051" i="43"/>
  <c r="P2035" i="43"/>
  <c r="P2019" i="43"/>
  <c r="P2003" i="43"/>
  <c r="P1987" i="43"/>
  <c r="P1971" i="43"/>
  <c r="P1955" i="43"/>
  <c r="P1939" i="43"/>
  <c r="P1923" i="43"/>
  <c r="P1907" i="43"/>
  <c r="P1891" i="43"/>
  <c r="P1875" i="43"/>
  <c r="P1859" i="43"/>
  <c r="P1843" i="43"/>
  <c r="P1827" i="43"/>
  <c r="P1811" i="43"/>
  <c r="P1795" i="43"/>
  <c r="P1779" i="43"/>
  <c r="P1763" i="43"/>
  <c r="P1747" i="43"/>
  <c r="P1731" i="43"/>
  <c r="P1715" i="43"/>
  <c r="P1699" i="43"/>
  <c r="P1683" i="43"/>
  <c r="P1667" i="43"/>
  <c r="P1651" i="43"/>
  <c r="P2318" i="43"/>
  <c r="P2302" i="43"/>
  <c r="P2286" i="43"/>
  <c r="P2270" i="43"/>
  <c r="P2254" i="43"/>
  <c r="P2238" i="43"/>
  <c r="P2222" i="43"/>
  <c r="P2206" i="43"/>
  <c r="P2190" i="43"/>
  <c r="P2174" i="43"/>
  <c r="P2158" i="43"/>
  <c r="P2142" i="43"/>
  <c r="P2126" i="43"/>
  <c r="P2110" i="43"/>
  <c r="P2094" i="43"/>
  <c r="P2078" i="43"/>
  <c r="P2062" i="43"/>
  <c r="P2046" i="43"/>
  <c r="P2030" i="43"/>
  <c r="P2014" i="43"/>
  <c r="P1998" i="43"/>
  <c r="P1982" i="43"/>
  <c r="P1966" i="43"/>
  <c r="P1950" i="43"/>
  <c r="P1934" i="43"/>
  <c r="P1918" i="43"/>
  <c r="P1902" i="43"/>
  <c r="P3182" i="43"/>
  <c r="P3164" i="43"/>
  <c r="P3148" i="43"/>
  <c r="P3129" i="43"/>
  <c r="P3114" i="43"/>
  <c r="P3100" i="43"/>
  <c r="P3084" i="43"/>
  <c r="P3065" i="43"/>
  <c r="P3051" i="43"/>
  <c r="P3033" i="43"/>
  <c r="P3017" i="43"/>
  <c r="P3229" i="43"/>
  <c r="P3210" i="43"/>
  <c r="P3195" i="43"/>
  <c r="P3175" i="43"/>
  <c r="P3159" i="43"/>
  <c r="P3125" i="43"/>
  <c r="P3109" i="43"/>
  <c r="P3091" i="43"/>
  <c r="P3075" i="43"/>
  <c r="P3060" i="43"/>
  <c r="P3043" i="43"/>
  <c r="P3024" i="43"/>
  <c r="P3007" i="43"/>
  <c r="P3219" i="43"/>
  <c r="P3203" i="43"/>
  <c r="P3191" i="43"/>
  <c r="P3177" i="43"/>
  <c r="P3162" i="43"/>
  <c r="P3146" i="43"/>
  <c r="P3131" i="43"/>
  <c r="P3116" i="43"/>
  <c r="P3102" i="43"/>
  <c r="P3086" i="43"/>
  <c r="P3070" i="43"/>
  <c r="P3056" i="43"/>
  <c r="P3042" i="43"/>
  <c r="P3027" i="43"/>
  <c r="P3011" i="43"/>
  <c r="P3231" i="43"/>
  <c r="P3212" i="43"/>
  <c r="P3193" i="43"/>
  <c r="P3173" i="43"/>
  <c r="P3157" i="43"/>
  <c r="P3141" i="43"/>
  <c r="P3127" i="43"/>
  <c r="P3111" i="43"/>
  <c r="P3093" i="43"/>
  <c r="P3077" i="43"/>
  <c r="P3062" i="43"/>
  <c r="P3044" i="43"/>
  <c r="P3030" i="43"/>
  <c r="P3014" i="43"/>
  <c r="P3001" i="43"/>
  <c r="P2983" i="43"/>
  <c r="P2968" i="43"/>
  <c r="P2952" i="43"/>
  <c r="P2936" i="43"/>
  <c r="P2920" i="43"/>
  <c r="P2904" i="43"/>
  <c r="P2888" i="43"/>
  <c r="P2872" i="43"/>
  <c r="P2854" i="43"/>
  <c r="P2838" i="43"/>
  <c r="P2822" i="43"/>
  <c r="P2807" i="43"/>
  <c r="P2791" i="43"/>
  <c r="P2775" i="43"/>
  <c r="P2760" i="43"/>
  <c r="P2745" i="43"/>
  <c r="P2729" i="43"/>
  <c r="P2713" i="43"/>
  <c r="P2697" i="43"/>
  <c r="P2681" i="43"/>
  <c r="P2665" i="43"/>
  <c r="P2649" i="43"/>
  <c r="P2633" i="43"/>
  <c r="P2617" i="43"/>
  <c r="P2602" i="43"/>
  <c r="P2586" i="43"/>
  <c r="P2570" i="43"/>
  <c r="P2554" i="43"/>
  <c r="P2538" i="43"/>
  <c r="P2522" i="43"/>
  <c r="P2506" i="43"/>
  <c r="P2490" i="43"/>
  <c r="P2474" i="43"/>
  <c r="P2458" i="43"/>
  <c r="P2442" i="43"/>
  <c r="P2427" i="43"/>
  <c r="P2411" i="43"/>
  <c r="P2395" i="43"/>
  <c r="P2379" i="43"/>
  <c r="P2363" i="43"/>
  <c r="P2347" i="43"/>
  <c r="P2331" i="43"/>
  <c r="P2997" i="43"/>
  <c r="P2982" i="43"/>
  <c r="P2963" i="43"/>
  <c r="P2947" i="43"/>
  <c r="P2931" i="43"/>
  <c r="P2915" i="43"/>
  <c r="P2899" i="43"/>
  <c r="P2883" i="43"/>
  <c r="P2867" i="43"/>
  <c r="P2853" i="43"/>
  <c r="P2837" i="43"/>
  <c r="P2821" i="43"/>
  <c r="P2806" i="43"/>
  <c r="P2790" i="43"/>
  <c r="P2774" i="43"/>
  <c r="P2759" i="43"/>
  <c r="P2744" i="43"/>
  <c r="P2728" i="43"/>
  <c r="P2712" i="43"/>
  <c r="P2696" i="43"/>
  <c r="P2680" i="43"/>
  <c r="P2664" i="43"/>
  <c r="P2648" i="43"/>
  <c r="P2632" i="43"/>
  <c r="P2616" i="43"/>
  <c r="P2597" i="43"/>
  <c r="P2581" i="43"/>
  <c r="P2565" i="43"/>
  <c r="P2549" i="43"/>
  <c r="P2533" i="43"/>
  <c r="P2517" i="43"/>
  <c r="P2501" i="43"/>
  <c r="P2485" i="43"/>
  <c r="P2469" i="43"/>
  <c r="P2453" i="43"/>
  <c r="P2437" i="43"/>
  <c r="P2422" i="43"/>
  <c r="P2406" i="43"/>
  <c r="P2390" i="43"/>
  <c r="P2374" i="43"/>
  <c r="P2358" i="43"/>
  <c r="P2342" i="43"/>
  <c r="P2326" i="43"/>
  <c r="P2988" i="43"/>
  <c r="P2973" i="43"/>
  <c r="P2958" i="43"/>
  <c r="P2942" i="43"/>
  <c r="P2926" i="43"/>
  <c r="P2910" i="43"/>
  <c r="P2894" i="43"/>
  <c r="P2878" i="43"/>
  <c r="P2859" i="43"/>
  <c r="P2844" i="43"/>
  <c r="P2828" i="43"/>
  <c r="P2809" i="43"/>
  <c r="P2793" i="43"/>
  <c r="P2777" i="43"/>
  <c r="P2762" i="43"/>
  <c r="P2743" i="43"/>
  <c r="P2727" i="43"/>
  <c r="P2711" i="43"/>
  <c r="P2695" i="43"/>
  <c r="P2679" i="43"/>
  <c r="P2663" i="43"/>
  <c r="P2647" i="43"/>
  <c r="P2631" i="43"/>
  <c r="P2615" i="43"/>
  <c r="P2600" i="43"/>
  <c r="P2584" i="43"/>
  <c r="P2568" i="43"/>
  <c r="P2552" i="43"/>
  <c r="P2536" i="43"/>
  <c r="P2520" i="43"/>
  <c r="P2504" i="43"/>
  <c r="P2488" i="43"/>
  <c r="P2472" i="43"/>
  <c r="P2456" i="43"/>
  <c r="P2440" i="43"/>
  <c r="P2425" i="43"/>
  <c r="P2409" i="43"/>
  <c r="P2393" i="43"/>
  <c r="P2377" i="43"/>
  <c r="P2361" i="43"/>
  <c r="P2345" i="43"/>
  <c r="P2329" i="43"/>
  <c r="P2995" i="43"/>
  <c r="P2976" i="43"/>
  <c r="P2961" i="43"/>
  <c r="P2945" i="43"/>
  <c r="P2929" i="43"/>
  <c r="P2913" i="43"/>
  <c r="P2897" i="43"/>
  <c r="P2881" i="43"/>
  <c r="P2865" i="43"/>
  <c r="P2851" i="43"/>
  <c r="P2835" i="43"/>
  <c r="P2820" i="43"/>
  <c r="P2804" i="43"/>
  <c r="P2788" i="43"/>
  <c r="P2772" i="43"/>
  <c r="P2754" i="43"/>
  <c r="P2738" i="43"/>
  <c r="P2722" i="43"/>
  <c r="P2706" i="43"/>
  <c r="P2690" i="43"/>
  <c r="P2674" i="43"/>
  <c r="P2658" i="43"/>
  <c r="P2642" i="43"/>
  <c r="P2626" i="43"/>
  <c r="P2610" i="43"/>
  <c r="P2595" i="43"/>
  <c r="P2579" i="43"/>
  <c r="P2563" i="43"/>
  <c r="P2547" i="43"/>
  <c r="P2531" i="43"/>
  <c r="P2515" i="43"/>
  <c r="P2499" i="43"/>
  <c r="P2483" i="43"/>
  <c r="P2467" i="43"/>
  <c r="P2451" i="43"/>
  <c r="P2432" i="43"/>
  <c r="P2416" i="43"/>
  <c r="P2400" i="43"/>
  <c r="P2384" i="43"/>
  <c r="P2368" i="43"/>
  <c r="P2352" i="43"/>
  <c r="P2336" i="43"/>
  <c r="P2319" i="43"/>
  <c r="P2303" i="43"/>
  <c r="P2287" i="43"/>
  <c r="P2271" i="43"/>
  <c r="P2255" i="43"/>
  <c r="P2239" i="43"/>
  <c r="P2223" i="43"/>
  <c r="P2207" i="43"/>
  <c r="P2191" i="43"/>
  <c r="P2175" i="43"/>
  <c r="P2159" i="43"/>
  <c r="P2143" i="43"/>
  <c r="P2127" i="43"/>
  <c r="P2111" i="43"/>
  <c r="P2095" i="43"/>
  <c r="P2079" i="43"/>
  <c r="P2063" i="43"/>
  <c r="P2047" i="43"/>
  <c r="P2031" i="43"/>
  <c r="P2015" i="43"/>
  <c r="P1999" i="43"/>
  <c r="P1983" i="43"/>
  <c r="P1967" i="43"/>
  <c r="P1951" i="43"/>
  <c r="P1935" i="43"/>
  <c r="P1919" i="43"/>
  <c r="P1903" i="43"/>
  <c r="P1887" i="43"/>
  <c r="P1871" i="43"/>
  <c r="P1855" i="43"/>
  <c r="P1839" i="43"/>
  <c r="P1823" i="43"/>
  <c r="P1807" i="43"/>
  <c r="P1791" i="43"/>
  <c r="P1775" i="43"/>
  <c r="P1759" i="43"/>
  <c r="P1743" i="43"/>
  <c r="P1727" i="43"/>
  <c r="P1711" i="43"/>
  <c r="P1695" i="43"/>
  <c r="P1679" i="43"/>
  <c r="P1663" i="43"/>
  <c r="P1647" i="43"/>
  <c r="P2314" i="43"/>
  <c r="P2298" i="43"/>
  <c r="P2282" i="43"/>
  <c r="P2266" i="43"/>
  <c r="P2250" i="43"/>
  <c r="P2234" i="43"/>
  <c r="P2218" i="43"/>
  <c r="P2202" i="43"/>
  <c r="P2186" i="43"/>
  <c r="P2170" i="43"/>
  <c r="P2154" i="43"/>
  <c r="P2138" i="43"/>
  <c r="P2122" i="43"/>
  <c r="P2106" i="43"/>
  <c r="P2090" i="43"/>
  <c r="P2074" i="43"/>
  <c r="P2058" i="43"/>
  <c r="P2042" i="43"/>
  <c r="P2026" i="43"/>
  <c r="P2010" i="43"/>
  <c r="P1994" i="43"/>
  <c r="P1978" i="43"/>
  <c r="P1962" i="43"/>
  <c r="P1946" i="43"/>
  <c r="P1930" i="43"/>
  <c r="P1914" i="43"/>
  <c r="P3236" i="43"/>
  <c r="P5" i="43"/>
  <c r="P21" i="43"/>
  <c r="P37" i="43"/>
  <c r="P53" i="43"/>
  <c r="P69" i="43"/>
  <c r="P86" i="43"/>
  <c r="P102" i="43"/>
  <c r="P118" i="43"/>
  <c r="P134" i="43"/>
  <c r="P150" i="43"/>
  <c r="P166" i="43"/>
  <c r="P182" i="43"/>
  <c r="P198" i="43"/>
  <c r="P214" i="43"/>
  <c r="P230" i="43"/>
  <c r="P246" i="43"/>
  <c r="P262" i="43"/>
  <c r="P278" i="43"/>
  <c r="P294" i="43"/>
  <c r="P310" i="43"/>
  <c r="P10" i="43"/>
  <c r="P26" i="43"/>
  <c r="P42" i="43"/>
  <c r="P58" i="43"/>
  <c r="P75" i="43"/>
  <c r="P91" i="43"/>
  <c r="P107" i="43"/>
  <c r="P123" i="43"/>
  <c r="P139" i="43"/>
  <c r="P155" i="43"/>
  <c r="P171" i="43"/>
  <c r="P187" i="43"/>
  <c r="P203" i="43"/>
  <c r="P219" i="43"/>
  <c r="P235" i="43"/>
  <c r="P251" i="43"/>
  <c r="P267" i="43"/>
  <c r="P283" i="43"/>
  <c r="P299" i="43"/>
  <c r="P316" i="43"/>
  <c r="P332" i="43"/>
  <c r="P7" i="43"/>
  <c r="P23" i="43"/>
  <c r="P39" i="43"/>
  <c r="P55" i="43"/>
  <c r="P71" i="43"/>
  <c r="P88" i="43"/>
  <c r="P104" i="43"/>
  <c r="P120" i="43"/>
  <c r="P136" i="43"/>
  <c r="P152" i="43"/>
  <c r="P168" i="43"/>
  <c r="P184" i="43"/>
  <c r="P200" i="43"/>
  <c r="P216" i="43"/>
  <c r="P232" i="43"/>
  <c r="P248" i="43"/>
  <c r="P264" i="43"/>
  <c r="P280" i="43"/>
  <c r="P296" i="43"/>
  <c r="P313" i="43"/>
  <c r="P329" i="43"/>
  <c r="P4" i="43"/>
  <c r="P20" i="43"/>
  <c r="P36" i="43"/>
  <c r="P52" i="43"/>
  <c r="P68" i="43"/>
  <c r="P85" i="43"/>
  <c r="P101" i="43"/>
  <c r="P153" i="43"/>
  <c r="P217" i="43"/>
  <c r="P281" i="43"/>
  <c r="P331" i="43"/>
  <c r="P353" i="43"/>
  <c r="P369" i="43"/>
  <c r="P385" i="43"/>
  <c r="P401" i="43"/>
  <c r="P417" i="43"/>
  <c r="P433" i="43"/>
  <c r="P449" i="43"/>
  <c r="P465" i="43"/>
  <c r="P481" i="43"/>
  <c r="P497" i="43"/>
  <c r="P513" i="43"/>
  <c r="P529" i="43"/>
  <c r="P545" i="43"/>
  <c r="P561" i="43"/>
  <c r="P577" i="43"/>
  <c r="P593" i="43"/>
  <c r="P609" i="43"/>
  <c r="P125" i="43"/>
  <c r="P189" i="43"/>
  <c r="P253" i="43"/>
  <c r="P318" i="43"/>
  <c r="P346" i="43"/>
  <c r="P362" i="43"/>
  <c r="P378" i="43"/>
  <c r="P394" i="43"/>
  <c r="P410" i="43"/>
  <c r="P426" i="43"/>
  <c r="P442" i="43"/>
  <c r="P458" i="43"/>
  <c r="P474" i="43"/>
  <c r="P490" i="43"/>
  <c r="P506" i="43"/>
  <c r="P522" i="43"/>
  <c r="P538" i="43"/>
  <c r="P554" i="43"/>
  <c r="P570" i="43"/>
  <c r="P586" i="43"/>
  <c r="P602" i="43"/>
  <c r="P618" i="43"/>
  <c r="P161" i="43"/>
  <c r="P225" i="43"/>
  <c r="P289" i="43"/>
  <c r="P335" i="43"/>
  <c r="P355" i="43"/>
  <c r="P371" i="43"/>
  <c r="P387" i="43"/>
  <c r="P403" i="43"/>
  <c r="P419" i="43"/>
  <c r="P435" i="43"/>
  <c r="P451" i="43"/>
  <c r="P467" i="43"/>
  <c r="P483" i="43"/>
  <c r="P499" i="43"/>
  <c r="P515" i="43"/>
  <c r="P531" i="43"/>
  <c r="P547" i="43"/>
  <c r="P563" i="43"/>
  <c r="P579" i="43"/>
  <c r="P595" i="43"/>
  <c r="P611" i="43"/>
  <c r="P133" i="43"/>
  <c r="P197" i="43"/>
  <c r="P261" i="43"/>
  <c r="P322" i="43"/>
  <c r="P348" i="43"/>
  <c r="P364" i="43"/>
  <c r="P380" i="43"/>
  <c r="P396" i="43"/>
  <c r="P412" i="43"/>
  <c r="P428" i="43"/>
  <c r="P444" i="43"/>
  <c r="P460" i="43"/>
  <c r="P476" i="43"/>
  <c r="P492" i="43"/>
  <c r="P508" i="43"/>
  <c r="P524" i="43"/>
  <c r="P540" i="43"/>
  <c r="P556" i="43"/>
  <c r="P572" i="43"/>
  <c r="P588" i="43"/>
  <c r="P604" i="43"/>
  <c r="P623" i="43"/>
  <c r="P639" i="43"/>
  <c r="P655" i="43"/>
  <c r="P671" i="43"/>
  <c r="P687" i="43"/>
  <c r="P702" i="43"/>
  <c r="P718" i="43"/>
  <c r="P734" i="43"/>
  <c r="P750" i="43"/>
  <c r="P766" i="43"/>
  <c r="P782" i="43"/>
  <c r="P798" i="43"/>
  <c r="P814" i="43"/>
  <c r="P830" i="43"/>
  <c r="P846" i="43"/>
  <c r="P862" i="43"/>
  <c r="P3235" i="43"/>
  <c r="P9" i="43"/>
  <c r="P25" i="43"/>
  <c r="P41" i="43"/>
  <c r="P57" i="43"/>
  <c r="P74" i="43"/>
  <c r="P90" i="43"/>
  <c r="P106" i="43"/>
  <c r="P122" i="43"/>
  <c r="P138" i="43"/>
  <c r="P154" i="43"/>
  <c r="P170" i="43"/>
  <c r="P186" i="43"/>
  <c r="P202" i="43"/>
  <c r="P218" i="43"/>
  <c r="P234" i="43"/>
  <c r="P250" i="43"/>
  <c r="P266" i="43"/>
  <c r="P282" i="43"/>
  <c r="P298" i="43"/>
  <c r="P315" i="43"/>
  <c r="P14" i="43"/>
  <c r="P30" i="43"/>
  <c r="P46" i="43"/>
  <c r="P62" i="43"/>
  <c r="P79" i="43"/>
  <c r="P95" i="43"/>
  <c r="P111" i="43"/>
  <c r="P127" i="43"/>
  <c r="P143" i="43"/>
  <c r="P159" i="43"/>
  <c r="P175" i="43"/>
  <c r="P191" i="43"/>
  <c r="P207" i="43"/>
  <c r="P223" i="43"/>
  <c r="P239" i="43"/>
  <c r="P255" i="43"/>
  <c r="P271" i="43"/>
  <c r="P287" i="43"/>
  <c r="P303" i="43"/>
  <c r="P320" i="43"/>
  <c r="P336" i="43"/>
  <c r="P11" i="43"/>
  <c r="P27" i="43"/>
  <c r="P43" i="43"/>
  <c r="P59" i="43"/>
  <c r="P76" i="43"/>
  <c r="P92" i="43"/>
  <c r="P108" i="43"/>
  <c r="P124" i="43"/>
  <c r="P140" i="43"/>
  <c r="P156" i="43"/>
  <c r="P172" i="43"/>
  <c r="P188" i="43"/>
  <c r="P204" i="43"/>
  <c r="P220" i="43"/>
  <c r="P236" i="43"/>
  <c r="P252" i="43"/>
  <c r="P268" i="43"/>
  <c r="P284" i="43"/>
  <c r="P300" i="43"/>
  <c r="P317" i="43"/>
  <c r="P333" i="43"/>
  <c r="P8" i="43"/>
  <c r="P24" i="43"/>
  <c r="P40" i="43"/>
  <c r="P56" i="43"/>
  <c r="P72" i="43"/>
  <c r="P89" i="43"/>
  <c r="P105" i="43"/>
  <c r="P169" i="43"/>
  <c r="P233" i="43"/>
  <c r="P297" i="43"/>
  <c r="P339" i="43"/>
  <c r="P357" i="43"/>
  <c r="P373" i="43"/>
  <c r="P389" i="43"/>
  <c r="P405" i="43"/>
  <c r="P421" i="43"/>
  <c r="P437" i="43"/>
  <c r="P453" i="43"/>
  <c r="P469" i="43"/>
  <c r="P485" i="43"/>
  <c r="P501" i="43"/>
  <c r="P517" i="43"/>
  <c r="P533" i="43"/>
  <c r="P549" i="43"/>
  <c r="P565" i="43"/>
  <c r="P581" i="43"/>
  <c r="P597" i="43"/>
  <c r="P613" i="43"/>
  <c r="P141" i="43"/>
  <c r="P205" i="43"/>
  <c r="P269" i="43"/>
  <c r="P326" i="43"/>
  <c r="P350" i="43"/>
  <c r="P366" i="43"/>
  <c r="P382" i="43"/>
  <c r="P398" i="43"/>
  <c r="P414" i="43"/>
  <c r="P430" i="43"/>
  <c r="P446" i="43"/>
  <c r="P462" i="43"/>
  <c r="P478" i="43"/>
  <c r="P494" i="43"/>
  <c r="P510" i="43"/>
  <c r="P526" i="43"/>
  <c r="P542" i="43"/>
  <c r="P558" i="43"/>
  <c r="P574" i="43"/>
  <c r="P590" i="43"/>
  <c r="P606" i="43"/>
  <c r="P113" i="43"/>
  <c r="P177" i="43"/>
  <c r="P241" i="43"/>
  <c r="P305" i="43"/>
  <c r="P343" i="43"/>
  <c r="P359" i="43"/>
  <c r="P375" i="43"/>
  <c r="P391" i="43"/>
  <c r="P407" i="43"/>
  <c r="P423" i="43"/>
  <c r="P439" i="43"/>
  <c r="P455" i="43"/>
  <c r="P471" i="43"/>
  <c r="P487" i="43"/>
  <c r="P503" i="43"/>
  <c r="P519" i="43"/>
  <c r="P535" i="43"/>
  <c r="P551" i="43"/>
  <c r="P567" i="43"/>
  <c r="P583" i="43"/>
  <c r="P599" i="43"/>
  <c r="P615" i="43"/>
  <c r="P149" i="43"/>
  <c r="P213" i="43"/>
  <c r="P277" i="43"/>
  <c r="P330" i="43"/>
  <c r="P352" i="43"/>
  <c r="P368" i="43"/>
  <c r="P384" i="43"/>
  <c r="P400" i="43"/>
  <c r="P416" i="43"/>
  <c r="P432" i="43"/>
  <c r="P448" i="43"/>
  <c r="P464" i="43"/>
  <c r="P480" i="43"/>
  <c r="P496" i="43"/>
  <c r="P512" i="43"/>
  <c r="P528" i="43"/>
  <c r="P544" i="43"/>
  <c r="P560" i="43"/>
  <c r="P576" i="43"/>
  <c r="P592" i="43"/>
  <c r="P608" i="43"/>
  <c r="P627" i="43"/>
  <c r="P643" i="43"/>
  <c r="P659" i="43"/>
  <c r="P675" i="43"/>
  <c r="P691" i="43"/>
  <c r="P706" i="43"/>
  <c r="P722" i="43"/>
  <c r="P738" i="43"/>
  <c r="P754" i="43"/>
  <c r="P770" i="43"/>
  <c r="P786" i="43"/>
  <c r="P802" i="43"/>
  <c r="P818" i="43"/>
  <c r="P834" i="43"/>
  <c r="P850" i="43"/>
  <c r="P3234" i="43"/>
  <c r="P13" i="43"/>
  <c r="P29" i="43"/>
  <c r="P45" i="43"/>
  <c r="P61" i="43"/>
  <c r="P78" i="43"/>
  <c r="P94" i="43"/>
  <c r="P110" i="43"/>
  <c r="P126" i="43"/>
  <c r="P142" i="43"/>
  <c r="P158" i="43"/>
  <c r="P174" i="43"/>
  <c r="P190" i="43"/>
  <c r="P206" i="43"/>
  <c r="P222" i="43"/>
  <c r="P238" i="43"/>
  <c r="P254" i="43"/>
  <c r="P270" i="43"/>
  <c r="P286" i="43"/>
  <c r="P302" i="43"/>
  <c r="P3233" i="43"/>
  <c r="P18" i="43"/>
  <c r="P34" i="43"/>
  <c r="P50" i="43"/>
  <c r="P66" i="43"/>
  <c r="P83" i="43"/>
  <c r="P99" i="43"/>
  <c r="P115" i="43"/>
  <c r="P131" i="43"/>
  <c r="P147" i="43"/>
  <c r="P163" i="43"/>
  <c r="P179" i="43"/>
  <c r="P195" i="43"/>
  <c r="P211" i="43"/>
  <c r="P227" i="43"/>
  <c r="P243" i="43"/>
  <c r="P259" i="43"/>
  <c r="P275" i="43"/>
  <c r="P291" i="43"/>
  <c r="P307" i="43"/>
  <c r="P324" i="43"/>
  <c r="P340" i="43"/>
  <c r="P15" i="43"/>
  <c r="P31" i="43"/>
  <c r="P47" i="43"/>
  <c r="P63" i="43"/>
  <c r="P80" i="43"/>
  <c r="P96" i="43"/>
  <c r="P112" i="43"/>
  <c r="P128" i="43"/>
  <c r="P144" i="43"/>
  <c r="P160" i="43"/>
  <c r="P176" i="43"/>
  <c r="P192" i="43"/>
  <c r="P208" i="43"/>
  <c r="P224" i="43"/>
  <c r="P240" i="43"/>
  <c r="P256" i="43"/>
  <c r="P272" i="43"/>
  <c r="P288" i="43"/>
  <c r="P304" i="43"/>
  <c r="P321" i="43"/>
  <c r="P337" i="43"/>
  <c r="P12" i="43"/>
  <c r="P28" i="43"/>
  <c r="P44" i="43"/>
  <c r="P60" i="43"/>
  <c r="P77" i="43"/>
  <c r="P93" i="43"/>
  <c r="P121" i="43"/>
  <c r="P185" i="43"/>
  <c r="P249" i="43"/>
  <c r="P314" i="43"/>
  <c r="P345" i="43"/>
  <c r="P361" i="43"/>
  <c r="P377" i="43"/>
  <c r="P393" i="43"/>
  <c r="P409" i="43"/>
  <c r="P425" i="43"/>
  <c r="P441" i="43"/>
  <c r="P457" i="43"/>
  <c r="P473" i="43"/>
  <c r="P489" i="43"/>
  <c r="P505" i="43"/>
  <c r="P521" i="43"/>
  <c r="P537" i="43"/>
  <c r="P553" i="43"/>
  <c r="P569" i="43"/>
  <c r="P585" i="43"/>
  <c r="P601" i="43"/>
  <c r="P617" i="43"/>
  <c r="P157" i="43"/>
  <c r="P221" i="43"/>
  <c r="P285" i="43"/>
  <c r="P334" i="43"/>
  <c r="P354" i="43"/>
  <c r="P370" i="43"/>
  <c r="P386" i="43"/>
  <c r="P402" i="43"/>
  <c r="P418" i="43"/>
  <c r="P434" i="43"/>
  <c r="P450" i="43"/>
  <c r="P466" i="43"/>
  <c r="P482" i="43"/>
  <c r="P498" i="43"/>
  <c r="P514" i="43"/>
  <c r="P530" i="43"/>
  <c r="P546" i="43"/>
  <c r="P562" i="43"/>
  <c r="P578" i="43"/>
  <c r="P594" i="43"/>
  <c r="P610" i="43"/>
  <c r="P129" i="43"/>
  <c r="P193" i="43"/>
  <c r="P257" i="43"/>
  <c r="P319" i="43"/>
  <c r="P347" i="43"/>
  <c r="P363" i="43"/>
  <c r="P379" i="43"/>
  <c r="P395" i="43"/>
  <c r="P411" i="43"/>
  <c r="P427" i="43"/>
  <c r="P443" i="43"/>
  <c r="P459" i="43"/>
  <c r="P475" i="43"/>
  <c r="P491" i="43"/>
  <c r="P507" i="43"/>
  <c r="P523" i="43"/>
  <c r="P539" i="43"/>
  <c r="P555" i="43"/>
  <c r="P571" i="43"/>
  <c r="P587" i="43"/>
  <c r="P603" i="43"/>
  <c r="P619" i="43"/>
  <c r="P165" i="43"/>
  <c r="P229" i="43"/>
  <c r="P293" i="43"/>
  <c r="P338" i="43"/>
  <c r="P356" i="43"/>
  <c r="P372" i="43"/>
  <c r="P388" i="43"/>
  <c r="P404" i="43"/>
  <c r="P420" i="43"/>
  <c r="P436" i="43"/>
  <c r="P452" i="43"/>
  <c r="P468" i="43"/>
  <c r="P484" i="43"/>
  <c r="P500" i="43"/>
  <c r="P516" i="43"/>
  <c r="P532" i="43"/>
  <c r="P548" i="43"/>
  <c r="P564" i="43"/>
  <c r="P580" i="43"/>
  <c r="P596" i="43"/>
  <c r="P612" i="43"/>
  <c r="P631" i="43"/>
  <c r="P647" i="43"/>
  <c r="P663" i="43"/>
  <c r="P679" i="43"/>
  <c r="P695" i="43"/>
  <c r="P710" i="43"/>
  <c r="P726" i="43"/>
  <c r="P742" i="43"/>
  <c r="P758" i="43"/>
  <c r="P774" i="43"/>
  <c r="P790" i="43"/>
  <c r="P806" i="43"/>
  <c r="P822" i="43"/>
  <c r="P838" i="43"/>
  <c r="P854" i="43"/>
  <c r="P3169" i="43"/>
  <c r="P17" i="43"/>
  <c r="P33" i="43"/>
  <c r="P49" i="43"/>
  <c r="P65" i="43"/>
  <c r="P82" i="43"/>
  <c r="P98" i="43"/>
  <c r="P114" i="43"/>
  <c r="P130" i="43"/>
  <c r="P146" i="43"/>
  <c r="P162" i="43"/>
  <c r="P178" i="43"/>
  <c r="P194" i="43"/>
  <c r="P210" i="43"/>
  <c r="P226" i="43"/>
  <c r="P242" i="43"/>
  <c r="P258" i="43"/>
  <c r="P274" i="43"/>
  <c r="P290" i="43"/>
  <c r="P306" i="43"/>
  <c r="P6" i="43"/>
  <c r="P22" i="43"/>
  <c r="P38" i="43"/>
  <c r="P54" i="43"/>
  <c r="P70" i="43"/>
  <c r="P87" i="43"/>
  <c r="P103" i="43"/>
  <c r="P119" i="43"/>
  <c r="P135" i="43"/>
  <c r="P151" i="43"/>
  <c r="P167" i="43"/>
  <c r="P183" i="43"/>
  <c r="P199" i="43"/>
  <c r="P215" i="43"/>
  <c r="P231" i="43"/>
  <c r="P247" i="43"/>
  <c r="P263" i="43"/>
  <c r="P279" i="43"/>
  <c r="P295" i="43"/>
  <c r="P311" i="43"/>
  <c r="P328" i="43"/>
  <c r="P3" i="43"/>
  <c r="P19" i="43"/>
  <c r="P35" i="43"/>
  <c r="P51" i="43"/>
  <c r="P67" i="43"/>
  <c r="P84" i="43"/>
  <c r="P100" i="43"/>
  <c r="P116" i="43"/>
  <c r="P132" i="43"/>
  <c r="P148" i="43"/>
  <c r="P164" i="43"/>
  <c r="P180" i="43"/>
  <c r="P196" i="43"/>
  <c r="P212" i="43"/>
  <c r="P228" i="43"/>
  <c r="P244" i="43"/>
  <c r="P260" i="43"/>
  <c r="P276" i="43"/>
  <c r="P292" i="43"/>
  <c r="P308" i="43"/>
  <c r="P325" i="43"/>
  <c r="P341" i="43"/>
  <c r="P16" i="43"/>
  <c r="P32" i="43"/>
  <c r="P48" i="43"/>
  <c r="P64" i="43"/>
  <c r="P81" i="43"/>
  <c r="P97" i="43"/>
  <c r="P137" i="43"/>
  <c r="P201" i="43"/>
  <c r="P265" i="43"/>
  <c r="P323" i="43"/>
  <c r="P349" i="43"/>
  <c r="P365" i="43"/>
  <c r="P381" i="43"/>
  <c r="P397" i="43"/>
  <c r="P413" i="43"/>
  <c r="P429" i="43"/>
  <c r="P445" i="43"/>
  <c r="P461" i="43"/>
  <c r="P477" i="43"/>
  <c r="P493" i="43"/>
  <c r="P509" i="43"/>
  <c r="P525" i="43"/>
  <c r="P541" i="43"/>
  <c r="P557" i="43"/>
  <c r="P573" i="43"/>
  <c r="P589" i="43"/>
  <c r="P605" i="43"/>
  <c r="P109" i="43"/>
  <c r="P173" i="43"/>
  <c r="P237" i="43"/>
  <c r="P301" i="43"/>
  <c r="P342" i="43"/>
  <c r="P358" i="43"/>
  <c r="P374" i="43"/>
  <c r="P390" i="43"/>
  <c r="P406" i="43"/>
  <c r="P422" i="43"/>
  <c r="P438" i="43"/>
  <c r="P454" i="43"/>
  <c r="P470" i="43"/>
  <c r="P486" i="43"/>
  <c r="P502" i="43"/>
  <c r="P518" i="43"/>
  <c r="P534" i="43"/>
  <c r="P550" i="43"/>
  <c r="P566" i="43"/>
  <c r="P582" i="43"/>
  <c r="P598" i="43"/>
  <c r="P614" i="43"/>
  <c r="P145" i="43"/>
  <c r="P209" i="43"/>
  <c r="P273" i="43"/>
  <c r="P327" i="43"/>
  <c r="P351" i="43"/>
  <c r="P367" i="43"/>
  <c r="P383" i="43"/>
  <c r="P399" i="43"/>
  <c r="P415" i="43"/>
  <c r="P431" i="43"/>
  <c r="P447" i="43"/>
  <c r="P463" i="43"/>
  <c r="P479" i="43"/>
  <c r="P495" i="43"/>
  <c r="P511" i="43"/>
  <c r="P527" i="43"/>
  <c r="P543" i="43"/>
  <c r="P559" i="43"/>
  <c r="P575" i="43"/>
  <c r="P591" i="43"/>
  <c r="P607" i="43"/>
  <c r="P117" i="43"/>
  <c r="P181" i="43"/>
  <c r="P245" i="43"/>
  <c r="P309" i="43"/>
  <c r="P344" i="43"/>
  <c r="P360" i="43"/>
  <c r="P376" i="43"/>
  <c r="P392" i="43"/>
  <c r="P408" i="43"/>
  <c r="P424" i="43"/>
  <c r="P440" i="43"/>
  <c r="P456" i="43"/>
  <c r="P472" i="43"/>
  <c r="P488" i="43"/>
  <c r="P504" i="43"/>
  <c r="P520" i="43"/>
  <c r="P536" i="43"/>
  <c r="P552" i="43"/>
  <c r="P568" i="43"/>
  <c r="P584" i="43"/>
  <c r="P600" i="43"/>
  <c r="P616" i="43"/>
  <c r="P635" i="43"/>
  <c r="P651" i="43"/>
  <c r="P667" i="43"/>
  <c r="P683" i="43"/>
  <c r="P699" i="43"/>
  <c r="P714" i="43"/>
  <c r="P730" i="43"/>
  <c r="P746" i="43"/>
  <c r="P762" i="43"/>
  <c r="P778" i="43"/>
  <c r="P794" i="43"/>
  <c r="P810" i="43"/>
  <c r="P826" i="43"/>
  <c r="P842" i="43"/>
  <c r="P858" i="43"/>
  <c r="P866" i="43"/>
  <c r="P882" i="43"/>
  <c r="P898" i="43"/>
  <c r="P914" i="43"/>
  <c r="P930" i="43"/>
  <c r="P946" i="43"/>
  <c r="P620" i="43"/>
  <c r="P636" i="43"/>
  <c r="P652" i="43"/>
  <c r="P668" i="43"/>
  <c r="P684" i="43"/>
  <c r="P700" i="43"/>
  <c r="P715" i="43"/>
  <c r="P731" i="43"/>
  <c r="P747" i="43"/>
  <c r="P763" i="43"/>
  <c r="P779" i="43"/>
  <c r="P795" i="43"/>
  <c r="P811" i="43"/>
  <c r="P827" i="43"/>
  <c r="P843" i="43"/>
  <c r="P859" i="43"/>
  <c r="P875" i="43"/>
  <c r="P891" i="43"/>
  <c r="P907" i="43"/>
  <c r="P923" i="43"/>
  <c r="P939" i="43"/>
  <c r="P955" i="43"/>
  <c r="P625" i="43"/>
  <c r="P641" i="43"/>
  <c r="P657" i="43"/>
  <c r="P673" i="43"/>
  <c r="P689" i="43"/>
  <c r="P704" i="43"/>
  <c r="P720" i="43"/>
  <c r="P736" i="43"/>
  <c r="P752" i="43"/>
  <c r="P768" i="43"/>
  <c r="P784" i="43"/>
  <c r="P800" i="43"/>
  <c r="P816" i="43"/>
  <c r="P832" i="43"/>
  <c r="P848" i="43"/>
  <c r="P864" i="43"/>
  <c r="P880" i="43"/>
  <c r="P896" i="43"/>
  <c r="P912" i="43"/>
  <c r="P928" i="43"/>
  <c r="P944" i="43"/>
  <c r="P960" i="43"/>
  <c r="P630" i="43"/>
  <c r="P646" i="43"/>
  <c r="P662" i="43"/>
  <c r="P678" i="43"/>
  <c r="P694" i="43"/>
  <c r="P713" i="43"/>
  <c r="P729" i="43"/>
  <c r="P745" i="43"/>
  <c r="P761" i="43"/>
  <c r="P777" i="43"/>
  <c r="P793" i="43"/>
  <c r="P809" i="43"/>
  <c r="P825" i="43"/>
  <c r="P841" i="43"/>
  <c r="P857" i="43"/>
  <c r="P873" i="43"/>
  <c r="P889" i="43"/>
  <c r="P905" i="43"/>
  <c r="P921" i="43"/>
  <c r="P937" i="43"/>
  <c r="P953" i="43"/>
  <c r="P970" i="43"/>
  <c r="P986" i="43"/>
  <c r="P1002" i="43"/>
  <c r="P1017" i="43"/>
  <c r="P1033" i="43"/>
  <c r="P1049" i="43"/>
  <c r="P1065" i="43"/>
  <c r="P1081" i="43"/>
  <c r="P1097" i="43"/>
  <c r="P1113" i="43"/>
  <c r="P1129" i="43"/>
  <c r="P1145" i="43"/>
  <c r="P1161" i="43"/>
  <c r="P1177" i="43"/>
  <c r="P1193" i="43"/>
  <c r="P1209" i="43"/>
  <c r="P1225" i="43"/>
  <c r="P1241" i="43"/>
  <c r="P1257" i="43"/>
  <c r="P1273" i="43"/>
  <c r="P1289" i="43"/>
  <c r="P1305" i="43"/>
  <c r="P1321" i="43"/>
  <c r="P1337" i="43"/>
  <c r="P1353" i="43"/>
  <c r="P1369" i="43"/>
  <c r="P1385" i="43"/>
  <c r="P1401" i="43"/>
  <c r="P1417" i="43"/>
  <c r="P1433" i="43"/>
  <c r="P1449" i="43"/>
  <c r="P1465" i="43"/>
  <c r="P1481" i="43"/>
  <c r="P1497" i="43"/>
  <c r="P1513" i="43"/>
  <c r="P1529" i="43"/>
  <c r="P1545" i="43"/>
  <c r="P1561" i="43"/>
  <c r="P1577" i="43"/>
  <c r="P1593" i="43"/>
  <c r="P1609" i="43"/>
  <c r="P1625" i="43"/>
  <c r="P1641" i="43"/>
  <c r="P979" i="43"/>
  <c r="P995" i="43"/>
  <c r="P1014" i="43"/>
  <c r="P1030" i="43"/>
  <c r="P1046" i="43"/>
  <c r="P1062" i="43"/>
  <c r="P1078" i="43"/>
  <c r="P1094" i="43"/>
  <c r="P1110" i="43"/>
  <c r="P1126" i="43"/>
  <c r="P1142" i="43"/>
  <c r="P1158" i="43"/>
  <c r="P1174" i="43"/>
  <c r="P1190" i="43"/>
  <c r="P1206" i="43"/>
  <c r="P1222" i="43"/>
  <c r="P1238" i="43"/>
  <c r="P1254" i="43"/>
  <c r="P1270" i="43"/>
  <c r="P1286" i="43"/>
  <c r="P1302" i="43"/>
  <c r="P1318" i="43"/>
  <c r="P1334" i="43"/>
  <c r="P1350" i="43"/>
  <c r="P1366" i="43"/>
  <c r="P1382" i="43"/>
  <c r="P1398" i="43"/>
  <c r="P1414" i="43"/>
  <c r="P1430" i="43"/>
  <c r="P1446" i="43"/>
  <c r="P1462" i="43"/>
  <c r="P1478" i="43"/>
  <c r="P1494" i="43"/>
  <c r="P1510" i="43"/>
  <c r="P1526" i="43"/>
  <c r="P1542" i="43"/>
  <c r="P1558" i="43"/>
  <c r="P1574" i="43"/>
  <c r="P1590" i="43"/>
  <c r="P1606" i="43"/>
  <c r="P1622" i="43"/>
  <c r="P1638" i="43"/>
  <c r="P972" i="43"/>
  <c r="P988" i="43"/>
  <c r="P1004" i="43"/>
  <c r="P1019" i="43"/>
  <c r="P1035" i="43"/>
  <c r="P1051" i="43"/>
  <c r="P1067" i="43"/>
  <c r="P1083" i="43"/>
  <c r="P1099" i="43"/>
  <c r="P1115" i="43"/>
  <c r="P1131" i="43"/>
  <c r="P1147" i="43"/>
  <c r="P1163" i="43"/>
  <c r="P1179" i="43"/>
  <c r="P1195" i="43"/>
  <c r="P1211" i="43"/>
  <c r="P1227" i="43"/>
  <c r="P1243" i="43"/>
  <c r="P1259" i="43"/>
  <c r="P1275" i="43"/>
  <c r="P1291" i="43"/>
  <c r="P1307" i="43"/>
  <c r="P1323" i="43"/>
  <c r="P1339" i="43"/>
  <c r="P1355" i="43"/>
  <c r="P1371" i="43"/>
  <c r="P1387" i="43"/>
  <c r="P1403" i="43"/>
  <c r="P1419" i="43"/>
  <c r="P1435" i="43"/>
  <c r="P1451" i="43"/>
  <c r="P1467" i="43"/>
  <c r="P1483" i="43"/>
  <c r="P1499" i="43"/>
  <c r="P1515" i="43"/>
  <c r="P1531" i="43"/>
  <c r="P1547" i="43"/>
  <c r="P1563" i="43"/>
  <c r="P1579" i="43"/>
  <c r="P1595" i="43"/>
  <c r="P1611" i="43"/>
  <c r="P1627" i="43"/>
  <c r="P965" i="43"/>
  <c r="P981" i="43"/>
  <c r="P997" i="43"/>
  <c r="P1012" i="43"/>
  <c r="P1028" i="43"/>
  <c r="P1044" i="43"/>
  <c r="P1060" i="43"/>
  <c r="P1076" i="43"/>
  <c r="P1092" i="43"/>
  <c r="P1108" i="43"/>
  <c r="P1124" i="43"/>
  <c r="P1140" i="43"/>
  <c r="P1156" i="43"/>
  <c r="P1172" i="43"/>
  <c r="P1188" i="43"/>
  <c r="P1204" i="43"/>
  <c r="P1220" i="43"/>
  <c r="P1236" i="43"/>
  <c r="P1252" i="43"/>
  <c r="P1268" i="43"/>
  <c r="P1284" i="43"/>
  <c r="P1300" i="43"/>
  <c r="P1316" i="43"/>
  <c r="P1332" i="43"/>
  <c r="P1348" i="43"/>
  <c r="P1364" i="43"/>
  <c r="P1380" i="43"/>
  <c r="P1396" i="43"/>
  <c r="P1412" i="43"/>
  <c r="P1428" i="43"/>
  <c r="P1444" i="43"/>
  <c r="P1460" i="43"/>
  <c r="P1476" i="43"/>
  <c r="P1492" i="43"/>
  <c r="P1508" i="43"/>
  <c r="P1524" i="43"/>
  <c r="P1540" i="43"/>
  <c r="P1556" i="43"/>
  <c r="P1572" i="43"/>
  <c r="P1588" i="43"/>
  <c r="P1604" i="43"/>
  <c r="P1620" i="43"/>
  <c r="P1636" i="43"/>
  <c r="P1652" i="43"/>
  <c r="P1668" i="43"/>
  <c r="P1684" i="43"/>
  <c r="P1700" i="43"/>
  <c r="P1716" i="43"/>
  <c r="P1732" i="43"/>
  <c r="P1748" i="43"/>
  <c r="P1764" i="43"/>
  <c r="P1780" i="43"/>
  <c r="P1796" i="43"/>
  <c r="P1812" i="43"/>
  <c r="P1828" i="43"/>
  <c r="P1844" i="43"/>
  <c r="P1860" i="43"/>
  <c r="P1876" i="43"/>
  <c r="P1892" i="43"/>
  <c r="P1908" i="43"/>
  <c r="P1924" i="43"/>
  <c r="P1940" i="43"/>
  <c r="P1956" i="43"/>
  <c r="P1972" i="43"/>
  <c r="P1988" i="43"/>
  <c r="P2004" i="43"/>
  <c r="P2020" i="43"/>
  <c r="P2036" i="43"/>
  <c r="P2052" i="43"/>
  <c r="P2068" i="43"/>
  <c r="P2084" i="43"/>
  <c r="P2100" i="43"/>
  <c r="P2116" i="43"/>
  <c r="P2132" i="43"/>
  <c r="P2148" i="43"/>
  <c r="P2164" i="43"/>
  <c r="P2180" i="43"/>
  <c r="P2196" i="43"/>
  <c r="P2212" i="43"/>
  <c r="P2228" i="43"/>
  <c r="P2244" i="43"/>
  <c r="P2260" i="43"/>
  <c r="P2276" i="43"/>
  <c r="P2292" i="43"/>
  <c r="P2308" i="43"/>
  <c r="P1645" i="43"/>
  <c r="P1661" i="43"/>
  <c r="P1677" i="43"/>
  <c r="P1693" i="43"/>
  <c r="P1709" i="43"/>
  <c r="P1725" i="43"/>
  <c r="P1741" i="43"/>
  <c r="P1757" i="43"/>
  <c r="P1773" i="43"/>
  <c r="P1789" i="43"/>
  <c r="P1805" i="43"/>
  <c r="P1821" i="43"/>
  <c r="P1837" i="43"/>
  <c r="P1853" i="43"/>
  <c r="P1869" i="43"/>
  <c r="P1885" i="43"/>
  <c r="P1901" i="43"/>
  <c r="P1917" i="43"/>
  <c r="P1933" i="43"/>
  <c r="P1949" i="43"/>
  <c r="P1965" i="43"/>
  <c r="P1981" i="43"/>
  <c r="P1997" i="43"/>
  <c r="P2013" i="43"/>
  <c r="P2029" i="43"/>
  <c r="P2045" i="43"/>
  <c r="P2061" i="43"/>
  <c r="P2077" i="43"/>
  <c r="P2093" i="43"/>
  <c r="P2109" i="43"/>
  <c r="P2125" i="43"/>
  <c r="P2141" i="43"/>
  <c r="P2157" i="43"/>
  <c r="P2173" i="43"/>
  <c r="P2189" i="43"/>
  <c r="P2205" i="43"/>
  <c r="P2221" i="43"/>
  <c r="P2237" i="43"/>
  <c r="P2253" i="43"/>
  <c r="P2269" i="43"/>
  <c r="P2285" i="43"/>
  <c r="P2301" i="43"/>
  <c r="P2317" i="43"/>
  <c r="P1654" i="43"/>
  <c r="P1670" i="43"/>
  <c r="P1686" i="43"/>
  <c r="P1702" i="43"/>
  <c r="P1718" i="43"/>
  <c r="P1734" i="43"/>
  <c r="P1750" i="43"/>
  <c r="P1766" i="43"/>
  <c r="P1782" i="43"/>
  <c r="P1798" i="43"/>
  <c r="P1814" i="43"/>
  <c r="P1830" i="43"/>
  <c r="P1846" i="43"/>
  <c r="P1862" i="43"/>
  <c r="P1878" i="43"/>
  <c r="P870" i="43"/>
  <c r="P886" i="43"/>
  <c r="P902" i="43"/>
  <c r="P918" i="43"/>
  <c r="P934" i="43"/>
  <c r="P950" i="43"/>
  <c r="P624" i="43"/>
  <c r="P640" i="43"/>
  <c r="P656" i="43"/>
  <c r="P672" i="43"/>
  <c r="P688" i="43"/>
  <c r="P703" i="43"/>
  <c r="P719" i="43"/>
  <c r="P735" i="43"/>
  <c r="P751" i="43"/>
  <c r="P767" i="43"/>
  <c r="P783" i="43"/>
  <c r="P799" i="43"/>
  <c r="P815" i="43"/>
  <c r="P831" i="43"/>
  <c r="P847" i="43"/>
  <c r="P863" i="43"/>
  <c r="P879" i="43"/>
  <c r="P895" i="43"/>
  <c r="P911" i="43"/>
  <c r="P927" i="43"/>
  <c r="P943" i="43"/>
  <c r="P959" i="43"/>
  <c r="P629" i="43"/>
  <c r="P645" i="43"/>
  <c r="P661" i="43"/>
  <c r="P677" i="43"/>
  <c r="P693" i="43"/>
  <c r="P708" i="43"/>
  <c r="P724" i="43"/>
  <c r="P740" i="43"/>
  <c r="P756" i="43"/>
  <c r="P772" i="43"/>
  <c r="P788" i="43"/>
  <c r="P804" i="43"/>
  <c r="P820" i="43"/>
  <c r="P836" i="43"/>
  <c r="P852" i="43"/>
  <c r="P868" i="43"/>
  <c r="P884" i="43"/>
  <c r="P900" i="43"/>
  <c r="P916" i="43"/>
  <c r="P932" i="43"/>
  <c r="P948" i="43"/>
  <c r="P964" i="43"/>
  <c r="P634" i="43"/>
  <c r="P650" i="43"/>
  <c r="P666" i="43"/>
  <c r="P682" i="43"/>
  <c r="P698" i="43"/>
  <c r="P717" i="43"/>
  <c r="P733" i="43"/>
  <c r="P749" i="43"/>
  <c r="P765" i="43"/>
  <c r="P781" i="43"/>
  <c r="P797" i="43"/>
  <c r="P813" i="43"/>
  <c r="P829" i="43"/>
  <c r="P845" i="43"/>
  <c r="P861" i="43"/>
  <c r="P877" i="43"/>
  <c r="P893" i="43"/>
  <c r="P909" i="43"/>
  <c r="P925" i="43"/>
  <c r="P941" i="43"/>
  <c r="P957" i="43"/>
  <c r="P974" i="43"/>
  <c r="P990" i="43"/>
  <c r="P1006" i="43"/>
  <c r="P1021" i="43"/>
  <c r="P1037" i="43"/>
  <c r="P1053" i="43"/>
  <c r="P1069" i="43"/>
  <c r="P1085" i="43"/>
  <c r="P1101" i="43"/>
  <c r="P1117" i="43"/>
  <c r="P1133" i="43"/>
  <c r="P1149" i="43"/>
  <c r="P1165" i="43"/>
  <c r="P1181" i="43"/>
  <c r="P1197" i="43"/>
  <c r="P1213" i="43"/>
  <c r="P1229" i="43"/>
  <c r="P1245" i="43"/>
  <c r="P1261" i="43"/>
  <c r="P1277" i="43"/>
  <c r="P1293" i="43"/>
  <c r="P1309" i="43"/>
  <c r="P1325" i="43"/>
  <c r="P1341" i="43"/>
  <c r="P1357" i="43"/>
  <c r="P1373" i="43"/>
  <c r="P1389" i="43"/>
  <c r="P1405" i="43"/>
  <c r="P1421" i="43"/>
  <c r="P1437" i="43"/>
  <c r="P1453" i="43"/>
  <c r="P1469" i="43"/>
  <c r="P1485" i="43"/>
  <c r="P1501" i="43"/>
  <c r="P1517" i="43"/>
  <c r="P1533" i="43"/>
  <c r="P1549" i="43"/>
  <c r="P1565" i="43"/>
  <c r="P1581" i="43"/>
  <c r="P1597" i="43"/>
  <c r="P1613" i="43"/>
  <c r="P1629" i="43"/>
  <c r="P967" i="43"/>
  <c r="P983" i="43"/>
  <c r="P999" i="43"/>
  <c r="P1018" i="43"/>
  <c r="P1034" i="43"/>
  <c r="P1050" i="43"/>
  <c r="P1066" i="43"/>
  <c r="P1082" i="43"/>
  <c r="P1098" i="43"/>
  <c r="P1114" i="43"/>
  <c r="P1130" i="43"/>
  <c r="P1146" i="43"/>
  <c r="P1162" i="43"/>
  <c r="P1178" i="43"/>
  <c r="P1194" i="43"/>
  <c r="P1210" i="43"/>
  <c r="P1226" i="43"/>
  <c r="P1242" i="43"/>
  <c r="P1258" i="43"/>
  <c r="P1274" i="43"/>
  <c r="P1290" i="43"/>
  <c r="P1306" i="43"/>
  <c r="P1322" i="43"/>
  <c r="P1338" i="43"/>
  <c r="P1354" i="43"/>
  <c r="P1370" i="43"/>
  <c r="P1386" i="43"/>
  <c r="P1402" i="43"/>
  <c r="P1418" i="43"/>
  <c r="P1434" i="43"/>
  <c r="P1450" i="43"/>
  <c r="P1466" i="43"/>
  <c r="P1482" i="43"/>
  <c r="P1498" i="43"/>
  <c r="P1514" i="43"/>
  <c r="P1530" i="43"/>
  <c r="P1546" i="43"/>
  <c r="P1562" i="43"/>
  <c r="P1578" i="43"/>
  <c r="P1594" i="43"/>
  <c r="P1610" i="43"/>
  <c r="P1626" i="43"/>
  <c r="P1642" i="43"/>
  <c r="P976" i="43"/>
  <c r="P992" i="43"/>
  <c r="P1008" i="43"/>
  <c r="P1023" i="43"/>
  <c r="P1039" i="43"/>
  <c r="P1055" i="43"/>
  <c r="P1071" i="43"/>
  <c r="P1087" i="43"/>
  <c r="P1103" i="43"/>
  <c r="P1119" i="43"/>
  <c r="P1135" i="43"/>
  <c r="P1151" i="43"/>
  <c r="P1167" i="43"/>
  <c r="P1183" i="43"/>
  <c r="P1199" i="43"/>
  <c r="P1215" i="43"/>
  <c r="P1231" i="43"/>
  <c r="P1247" i="43"/>
  <c r="P1263" i="43"/>
  <c r="P1279" i="43"/>
  <c r="P1295" i="43"/>
  <c r="P1311" i="43"/>
  <c r="P1327" i="43"/>
  <c r="P1343" i="43"/>
  <c r="P1359" i="43"/>
  <c r="P1375" i="43"/>
  <c r="P1391" i="43"/>
  <c r="P1407" i="43"/>
  <c r="P1423" i="43"/>
  <c r="P1439" i="43"/>
  <c r="P1455" i="43"/>
  <c r="P1471" i="43"/>
  <c r="P1487" i="43"/>
  <c r="P1503" i="43"/>
  <c r="P1519" i="43"/>
  <c r="P1535" i="43"/>
  <c r="P1551" i="43"/>
  <c r="P1567" i="43"/>
  <c r="P1583" i="43"/>
  <c r="P1599" i="43"/>
  <c r="P1615" i="43"/>
  <c r="P1631" i="43"/>
  <c r="P969" i="43"/>
  <c r="P985" i="43"/>
  <c r="P1001" i="43"/>
  <c r="P1016" i="43"/>
  <c r="P1032" i="43"/>
  <c r="P1048" i="43"/>
  <c r="P1064" i="43"/>
  <c r="P1080" i="43"/>
  <c r="P1096" i="43"/>
  <c r="P1112" i="43"/>
  <c r="P1128" i="43"/>
  <c r="P1144" i="43"/>
  <c r="P1160" i="43"/>
  <c r="P1176" i="43"/>
  <c r="P1192" i="43"/>
  <c r="P1208" i="43"/>
  <c r="P1224" i="43"/>
  <c r="P1240" i="43"/>
  <c r="P1256" i="43"/>
  <c r="P1272" i="43"/>
  <c r="P1288" i="43"/>
  <c r="P1304" i="43"/>
  <c r="P1320" i="43"/>
  <c r="P1336" i="43"/>
  <c r="P1352" i="43"/>
  <c r="P1368" i="43"/>
  <c r="P1384" i="43"/>
  <c r="P1400" i="43"/>
  <c r="P1416" i="43"/>
  <c r="P1432" i="43"/>
  <c r="P1448" i="43"/>
  <c r="P1464" i="43"/>
  <c r="P1480" i="43"/>
  <c r="P1496" i="43"/>
  <c r="P1512" i="43"/>
  <c r="P1528" i="43"/>
  <c r="P1544" i="43"/>
  <c r="P1560" i="43"/>
  <c r="P1576" i="43"/>
  <c r="P1592" i="43"/>
  <c r="P1608" i="43"/>
  <c r="P1624" i="43"/>
  <c r="P1640" i="43"/>
  <c r="P1656" i="43"/>
  <c r="P1672" i="43"/>
  <c r="P1688" i="43"/>
  <c r="P1704" i="43"/>
  <c r="P1720" i="43"/>
  <c r="P1736" i="43"/>
  <c r="P1752" i="43"/>
  <c r="P1768" i="43"/>
  <c r="P1784" i="43"/>
  <c r="P1800" i="43"/>
  <c r="P1816" i="43"/>
  <c r="P1832" i="43"/>
  <c r="P1848" i="43"/>
  <c r="P1864" i="43"/>
  <c r="P1880" i="43"/>
  <c r="P1896" i="43"/>
  <c r="P1912" i="43"/>
  <c r="P1928" i="43"/>
  <c r="P1944" i="43"/>
  <c r="P1960" i="43"/>
  <c r="P1976" i="43"/>
  <c r="P1992" i="43"/>
  <c r="P2008" i="43"/>
  <c r="P2024" i="43"/>
  <c r="P2040" i="43"/>
  <c r="P2056" i="43"/>
  <c r="P2072" i="43"/>
  <c r="P2088" i="43"/>
  <c r="P2104" i="43"/>
  <c r="P2120" i="43"/>
  <c r="P2136" i="43"/>
  <c r="P2152" i="43"/>
  <c r="P2168" i="43"/>
  <c r="P2184" i="43"/>
  <c r="P2200" i="43"/>
  <c r="P2216" i="43"/>
  <c r="P2232" i="43"/>
  <c r="P2248" i="43"/>
  <c r="P2264" i="43"/>
  <c r="P2280" i="43"/>
  <c r="P2296" i="43"/>
  <c r="P2312" i="43"/>
  <c r="P1649" i="43"/>
  <c r="P1665" i="43"/>
  <c r="P1681" i="43"/>
  <c r="P1697" i="43"/>
  <c r="P1713" i="43"/>
  <c r="P1729" i="43"/>
  <c r="P1745" i="43"/>
  <c r="P1761" i="43"/>
  <c r="P1777" i="43"/>
  <c r="P1793" i="43"/>
  <c r="P1809" i="43"/>
  <c r="P1825" i="43"/>
  <c r="P1841" i="43"/>
  <c r="P1857" i="43"/>
  <c r="P1873" i="43"/>
  <c r="P1889" i="43"/>
  <c r="P1905" i="43"/>
  <c r="P1921" i="43"/>
  <c r="P1937" i="43"/>
  <c r="P1953" i="43"/>
  <c r="P1969" i="43"/>
  <c r="P1985" i="43"/>
  <c r="P2001" i="43"/>
  <c r="P2017" i="43"/>
  <c r="P2033" i="43"/>
  <c r="P2049" i="43"/>
  <c r="P2065" i="43"/>
  <c r="P2081" i="43"/>
  <c r="P2097" i="43"/>
  <c r="P2113" i="43"/>
  <c r="P2129" i="43"/>
  <c r="P2145" i="43"/>
  <c r="P2161" i="43"/>
  <c r="P2177" i="43"/>
  <c r="P2193" i="43"/>
  <c r="P2209" i="43"/>
  <c r="P2225" i="43"/>
  <c r="P2241" i="43"/>
  <c r="P2257" i="43"/>
  <c r="P2273" i="43"/>
  <c r="P2289" i="43"/>
  <c r="P2305" i="43"/>
  <c r="P2321" i="43"/>
  <c r="P1658" i="43"/>
  <c r="P1674" i="43"/>
  <c r="P1690" i="43"/>
  <c r="P1706" i="43"/>
  <c r="P1722" i="43"/>
  <c r="P1738" i="43"/>
  <c r="P1754" i="43"/>
  <c r="P1770" i="43"/>
  <c r="P1786" i="43"/>
  <c r="P1802" i="43"/>
  <c r="P1818" i="43"/>
  <c r="P1834" i="43"/>
  <c r="P1850" i="43"/>
  <c r="P1866" i="43"/>
  <c r="P1882" i="43"/>
  <c r="P874" i="43"/>
  <c r="P890" i="43"/>
  <c r="P906" i="43"/>
  <c r="P922" i="43"/>
  <c r="P938" i="43"/>
  <c r="P954" i="43"/>
  <c r="P628" i="43"/>
  <c r="P644" i="43"/>
  <c r="P660" i="43"/>
  <c r="P676" i="43"/>
  <c r="P692" i="43"/>
  <c r="P707" i="43"/>
  <c r="P723" i="43"/>
  <c r="P739" i="43"/>
  <c r="P755" i="43"/>
  <c r="P771" i="43"/>
  <c r="P787" i="43"/>
  <c r="P803" i="43"/>
  <c r="P819" i="43"/>
  <c r="P835" i="43"/>
  <c r="P851" i="43"/>
  <c r="P867" i="43"/>
  <c r="P883" i="43"/>
  <c r="P899" i="43"/>
  <c r="P915" i="43"/>
  <c r="P931" i="43"/>
  <c r="P947" i="43"/>
  <c r="P963" i="43"/>
  <c r="P633" i="43"/>
  <c r="P649" i="43"/>
  <c r="P665" i="43"/>
  <c r="P681" i="43"/>
  <c r="P697" i="43"/>
  <c r="P712" i="43"/>
  <c r="P728" i="43"/>
  <c r="P744" i="43"/>
  <c r="P760" i="43"/>
  <c r="P776" i="43"/>
  <c r="P792" i="43"/>
  <c r="P808" i="43"/>
  <c r="P824" i="43"/>
  <c r="P840" i="43"/>
  <c r="P856" i="43"/>
  <c r="P872" i="43"/>
  <c r="P888" i="43"/>
  <c r="P904" i="43"/>
  <c r="P920" i="43"/>
  <c r="P936" i="43"/>
  <c r="P952" i="43"/>
  <c r="P622" i="43"/>
  <c r="P638" i="43"/>
  <c r="P654" i="43"/>
  <c r="P670" i="43"/>
  <c r="P686" i="43"/>
  <c r="P705" i="43"/>
  <c r="P721" i="43"/>
  <c r="P737" i="43"/>
  <c r="P753" i="43"/>
  <c r="P769" i="43"/>
  <c r="P785" i="43"/>
  <c r="P801" i="43"/>
  <c r="P817" i="43"/>
  <c r="P833" i="43"/>
  <c r="P849" i="43"/>
  <c r="P865" i="43"/>
  <c r="P881" i="43"/>
  <c r="P897" i="43"/>
  <c r="P913" i="43"/>
  <c r="P929" i="43"/>
  <c r="P945" i="43"/>
  <c r="P961" i="43"/>
  <c r="P978" i="43"/>
  <c r="P994" i="43"/>
  <c r="P1010" i="43"/>
  <c r="P1025" i="43"/>
  <c r="P1041" i="43"/>
  <c r="P1057" i="43"/>
  <c r="P1073" i="43"/>
  <c r="P1089" i="43"/>
  <c r="P1105" i="43"/>
  <c r="P1121" i="43"/>
  <c r="P1137" i="43"/>
  <c r="P1153" i="43"/>
  <c r="P1169" i="43"/>
  <c r="P1185" i="43"/>
  <c r="P1201" i="43"/>
  <c r="P1217" i="43"/>
  <c r="P1233" i="43"/>
  <c r="P1249" i="43"/>
  <c r="P1265" i="43"/>
  <c r="P1281" i="43"/>
  <c r="P1297" i="43"/>
  <c r="P1313" i="43"/>
  <c r="P1329" i="43"/>
  <c r="P1345" i="43"/>
  <c r="P1361" i="43"/>
  <c r="P1377" i="43"/>
  <c r="P1393" i="43"/>
  <c r="P1409" i="43"/>
  <c r="P1425" i="43"/>
  <c r="P1441" i="43"/>
  <c r="P1457" i="43"/>
  <c r="P1473" i="43"/>
  <c r="P1489" i="43"/>
  <c r="P1505" i="43"/>
  <c r="P1521" i="43"/>
  <c r="P1537" i="43"/>
  <c r="P1553" i="43"/>
  <c r="P1569" i="43"/>
  <c r="P1585" i="43"/>
  <c r="P1601" i="43"/>
  <c r="P1617" i="43"/>
  <c r="P1633" i="43"/>
  <c r="P971" i="43"/>
  <c r="P987" i="43"/>
  <c r="P1003" i="43"/>
  <c r="P1022" i="43"/>
  <c r="P1038" i="43"/>
  <c r="P1054" i="43"/>
  <c r="P1070" i="43"/>
  <c r="P1086" i="43"/>
  <c r="P1102" i="43"/>
  <c r="P1118" i="43"/>
  <c r="P1134" i="43"/>
  <c r="P1150" i="43"/>
  <c r="P1166" i="43"/>
  <c r="P1182" i="43"/>
  <c r="P1198" i="43"/>
  <c r="P1214" i="43"/>
  <c r="P1230" i="43"/>
  <c r="P1246" i="43"/>
  <c r="P1262" i="43"/>
  <c r="P1278" i="43"/>
  <c r="P1294" i="43"/>
  <c r="P1310" i="43"/>
  <c r="P1326" i="43"/>
  <c r="P1342" i="43"/>
  <c r="P1358" i="43"/>
  <c r="P1374" i="43"/>
  <c r="P1390" i="43"/>
  <c r="P1406" i="43"/>
  <c r="P1422" i="43"/>
  <c r="P1438" i="43"/>
  <c r="P1454" i="43"/>
  <c r="P1470" i="43"/>
  <c r="P1486" i="43"/>
  <c r="P1502" i="43"/>
  <c r="P1518" i="43"/>
  <c r="P1534" i="43"/>
  <c r="P1550" i="43"/>
  <c r="P1566" i="43"/>
  <c r="P1582" i="43"/>
  <c r="P1598" i="43"/>
  <c r="P1614" i="43"/>
  <c r="P1630" i="43"/>
  <c r="P962" i="43"/>
  <c r="P980" i="43"/>
  <c r="P996" i="43"/>
  <c r="P1011" i="43"/>
  <c r="P1027" i="43"/>
  <c r="P1043" i="43"/>
  <c r="P1059" i="43"/>
  <c r="P1075" i="43"/>
  <c r="P1091" i="43"/>
  <c r="P1107" i="43"/>
  <c r="P1123" i="43"/>
  <c r="P1139" i="43"/>
  <c r="P1155" i="43"/>
  <c r="P1171" i="43"/>
  <c r="P1187" i="43"/>
  <c r="P1203" i="43"/>
  <c r="P1219" i="43"/>
  <c r="P1235" i="43"/>
  <c r="P1251" i="43"/>
  <c r="P1267" i="43"/>
  <c r="P1283" i="43"/>
  <c r="P1299" i="43"/>
  <c r="P1315" i="43"/>
  <c r="P1331" i="43"/>
  <c r="P1347" i="43"/>
  <c r="P1363" i="43"/>
  <c r="P1379" i="43"/>
  <c r="P1395" i="43"/>
  <c r="P1411" i="43"/>
  <c r="P1427" i="43"/>
  <c r="P1443" i="43"/>
  <c r="P1459" i="43"/>
  <c r="P1475" i="43"/>
  <c r="P1491" i="43"/>
  <c r="P1507" i="43"/>
  <c r="P1523" i="43"/>
  <c r="P1539" i="43"/>
  <c r="P1555" i="43"/>
  <c r="P1571" i="43"/>
  <c r="P1587" i="43"/>
  <c r="P1603" i="43"/>
  <c r="P1619" i="43"/>
  <c r="P1635" i="43"/>
  <c r="P973" i="43"/>
  <c r="P989" i="43"/>
  <c r="P1005" i="43"/>
  <c r="P1020" i="43"/>
  <c r="P1036" i="43"/>
  <c r="P1052" i="43"/>
  <c r="P1068" i="43"/>
  <c r="P1084" i="43"/>
  <c r="P1100" i="43"/>
  <c r="P1116" i="43"/>
  <c r="P1132" i="43"/>
  <c r="P1148" i="43"/>
  <c r="P1164" i="43"/>
  <c r="P1180" i="43"/>
  <c r="P1196" i="43"/>
  <c r="P1212" i="43"/>
  <c r="P1228" i="43"/>
  <c r="P1244" i="43"/>
  <c r="P1260" i="43"/>
  <c r="P1276" i="43"/>
  <c r="P1292" i="43"/>
  <c r="P1308" i="43"/>
  <c r="P1324" i="43"/>
  <c r="P1340" i="43"/>
  <c r="P1356" i="43"/>
  <c r="P1372" i="43"/>
  <c r="P1388" i="43"/>
  <c r="P1404" i="43"/>
  <c r="P1420" i="43"/>
  <c r="P1436" i="43"/>
  <c r="P1452" i="43"/>
  <c r="P1468" i="43"/>
  <c r="P1484" i="43"/>
  <c r="P1500" i="43"/>
  <c r="P1516" i="43"/>
  <c r="P1532" i="43"/>
  <c r="P1548" i="43"/>
  <c r="P1564" i="43"/>
  <c r="P1580" i="43"/>
  <c r="P1596" i="43"/>
  <c r="P1612" i="43"/>
  <c r="P1628" i="43"/>
  <c r="P1644" i="43"/>
  <c r="P1660" i="43"/>
  <c r="P1676" i="43"/>
  <c r="P1692" i="43"/>
  <c r="P1708" i="43"/>
  <c r="P1724" i="43"/>
  <c r="P1740" i="43"/>
  <c r="P1756" i="43"/>
  <c r="P1772" i="43"/>
  <c r="P1788" i="43"/>
  <c r="P1804" i="43"/>
  <c r="P1820" i="43"/>
  <c r="P1836" i="43"/>
  <c r="P1852" i="43"/>
  <c r="P1868" i="43"/>
  <c r="P1884" i="43"/>
  <c r="P1900" i="43"/>
  <c r="P1916" i="43"/>
  <c r="P1932" i="43"/>
  <c r="P1948" i="43"/>
  <c r="P1964" i="43"/>
  <c r="P1980" i="43"/>
  <c r="P1996" i="43"/>
  <c r="P2012" i="43"/>
  <c r="P2028" i="43"/>
  <c r="P2044" i="43"/>
  <c r="P2060" i="43"/>
  <c r="P2076" i="43"/>
  <c r="P2092" i="43"/>
  <c r="P2108" i="43"/>
  <c r="P2124" i="43"/>
  <c r="P2140" i="43"/>
  <c r="P2156" i="43"/>
  <c r="P2172" i="43"/>
  <c r="P2188" i="43"/>
  <c r="P2204" i="43"/>
  <c r="P2220" i="43"/>
  <c r="P2236" i="43"/>
  <c r="P2252" i="43"/>
  <c r="P2268" i="43"/>
  <c r="P2284" i="43"/>
  <c r="P2300" i="43"/>
  <c r="P2316" i="43"/>
  <c r="P1653" i="43"/>
  <c r="P1669" i="43"/>
  <c r="P1685" i="43"/>
  <c r="P1701" i="43"/>
  <c r="P1717" i="43"/>
  <c r="P1733" i="43"/>
  <c r="P1749" i="43"/>
  <c r="P1765" i="43"/>
  <c r="P1781" i="43"/>
  <c r="P1797" i="43"/>
  <c r="P1813" i="43"/>
  <c r="P1829" i="43"/>
  <c r="P1845" i="43"/>
  <c r="P1861" i="43"/>
  <c r="P1877" i="43"/>
  <c r="P1893" i="43"/>
  <c r="P1909" i="43"/>
  <c r="P1925" i="43"/>
  <c r="P1941" i="43"/>
  <c r="P1957" i="43"/>
  <c r="P1973" i="43"/>
  <c r="P1989" i="43"/>
  <c r="P2005" i="43"/>
  <c r="P2021" i="43"/>
  <c r="P2037" i="43"/>
  <c r="P2053" i="43"/>
  <c r="P2069" i="43"/>
  <c r="P2085" i="43"/>
  <c r="P2101" i="43"/>
  <c r="P2117" i="43"/>
  <c r="P2133" i="43"/>
  <c r="P2149" i="43"/>
  <c r="P2165" i="43"/>
  <c r="P2181" i="43"/>
  <c r="P2197" i="43"/>
  <c r="P2213" i="43"/>
  <c r="P2229" i="43"/>
  <c r="P2245" i="43"/>
  <c r="P2261" i="43"/>
  <c r="P2277" i="43"/>
  <c r="P2293" i="43"/>
  <c r="P2309" i="43"/>
  <c r="P1646" i="43"/>
  <c r="P1662" i="43"/>
  <c r="P1678" i="43"/>
  <c r="P1694" i="43"/>
  <c r="P1710" i="43"/>
  <c r="P1726" i="43"/>
  <c r="P1742" i="43"/>
  <c r="P1758" i="43"/>
  <c r="P1774" i="43"/>
  <c r="P1790" i="43"/>
  <c r="P1806" i="43"/>
  <c r="P1822" i="43"/>
  <c r="P1838" i="43"/>
  <c r="P1854" i="43"/>
  <c r="P1870" i="43"/>
  <c r="P1886" i="43"/>
  <c r="P878" i="43"/>
  <c r="P894" i="43"/>
  <c r="P910" i="43"/>
  <c r="P926" i="43"/>
  <c r="P942" i="43"/>
  <c r="P958" i="43"/>
  <c r="P632" i="43"/>
  <c r="P648" i="43"/>
  <c r="P664" i="43"/>
  <c r="P680" i="43"/>
  <c r="P696" i="43"/>
  <c r="P711" i="43"/>
  <c r="P727" i="43"/>
  <c r="P743" i="43"/>
  <c r="P759" i="43"/>
  <c r="P775" i="43"/>
  <c r="P791" i="43"/>
  <c r="P807" i="43"/>
  <c r="P823" i="43"/>
  <c r="P839" i="43"/>
  <c r="P855" i="43"/>
  <c r="P871" i="43"/>
  <c r="P887" i="43"/>
  <c r="P903" i="43"/>
  <c r="P919" i="43"/>
  <c r="P935" i="43"/>
  <c r="P951" i="43"/>
  <c r="P621" i="43"/>
  <c r="P637" i="43"/>
  <c r="P653" i="43"/>
  <c r="P669" i="43"/>
  <c r="P685" i="43"/>
  <c r="P701" i="43"/>
  <c r="P716" i="43"/>
  <c r="P732" i="43"/>
  <c r="P748" i="43"/>
  <c r="P764" i="43"/>
  <c r="P780" i="43"/>
  <c r="P796" i="43"/>
  <c r="P812" i="43"/>
  <c r="P828" i="43"/>
  <c r="P844" i="43"/>
  <c r="P860" i="43"/>
  <c r="P876" i="43"/>
  <c r="P892" i="43"/>
  <c r="P908" i="43"/>
  <c r="P924" i="43"/>
  <c r="P940" i="43"/>
  <c r="P956" i="43"/>
  <c r="P626" i="43"/>
  <c r="P642" i="43"/>
  <c r="P658" i="43"/>
  <c r="P674" i="43"/>
  <c r="P690" i="43"/>
  <c r="P709" i="43"/>
  <c r="P725" i="43"/>
  <c r="P741" i="43"/>
  <c r="P757" i="43"/>
  <c r="P773" i="43"/>
  <c r="P789" i="43"/>
  <c r="P805" i="43"/>
  <c r="P821" i="43"/>
  <c r="P837" i="43"/>
  <c r="P853" i="43"/>
  <c r="P869" i="43"/>
  <c r="P885" i="43"/>
  <c r="P901" i="43"/>
  <c r="P917" i="43"/>
  <c r="P933" i="43"/>
  <c r="P949" i="43"/>
  <c r="P966" i="43"/>
  <c r="P982" i="43"/>
  <c r="P998" i="43"/>
  <c r="P1013" i="43"/>
  <c r="P1029" i="43"/>
  <c r="P1045" i="43"/>
  <c r="P1061" i="43"/>
  <c r="P1077" i="43"/>
  <c r="P1093" i="43"/>
  <c r="P1109" i="43"/>
  <c r="P1125" i="43"/>
  <c r="P1141" i="43"/>
  <c r="P1157" i="43"/>
  <c r="P1173" i="43"/>
  <c r="P1189" i="43"/>
  <c r="P1205" i="43"/>
  <c r="P1221" i="43"/>
  <c r="P1237" i="43"/>
  <c r="P1253" i="43"/>
  <c r="P1269" i="43"/>
  <c r="P1285" i="43"/>
  <c r="P1301" i="43"/>
  <c r="P1317" i="43"/>
  <c r="P1333" i="43"/>
  <c r="P1349" i="43"/>
  <c r="P1365" i="43"/>
  <c r="P1381" i="43"/>
  <c r="P1397" i="43"/>
  <c r="P1413" i="43"/>
  <c r="P1429" i="43"/>
  <c r="P1445" i="43"/>
  <c r="P1461" i="43"/>
  <c r="P1477" i="43"/>
  <c r="P1493" i="43"/>
  <c r="P1509" i="43"/>
  <c r="P1525" i="43"/>
  <c r="P1541" i="43"/>
  <c r="P1557" i="43"/>
  <c r="P1573" i="43"/>
  <c r="P1589" i="43"/>
  <c r="P1605" i="43"/>
  <c r="P1621" i="43"/>
  <c r="P1637" i="43"/>
  <c r="P975" i="43"/>
  <c r="P991" i="43"/>
  <c r="P1007" i="43"/>
  <c r="P1026" i="43"/>
  <c r="P1042" i="43"/>
  <c r="P1058" i="43"/>
  <c r="P1074" i="43"/>
  <c r="P1090" i="43"/>
  <c r="P1106" i="43"/>
  <c r="P1122" i="43"/>
  <c r="P1138" i="43"/>
  <c r="P1154" i="43"/>
  <c r="P1170" i="43"/>
  <c r="P1186" i="43"/>
  <c r="P1202" i="43"/>
  <c r="P1218" i="43"/>
  <c r="P1234" i="43"/>
  <c r="P1250" i="43"/>
  <c r="P1266" i="43"/>
  <c r="P1282" i="43"/>
  <c r="P1298" i="43"/>
  <c r="P1314" i="43"/>
  <c r="P1330" i="43"/>
  <c r="P1346" i="43"/>
  <c r="P1362" i="43"/>
  <c r="P1378" i="43"/>
  <c r="P1394" i="43"/>
  <c r="P1410" i="43"/>
  <c r="P1426" i="43"/>
  <c r="P1442" i="43"/>
  <c r="P1458" i="43"/>
  <c r="P1474" i="43"/>
  <c r="P1490" i="43"/>
  <c r="P1506" i="43"/>
  <c r="P1522" i="43"/>
  <c r="P1538" i="43"/>
  <c r="P1554" i="43"/>
  <c r="P1570" i="43"/>
  <c r="P1586" i="43"/>
  <c r="P1602" i="43"/>
  <c r="P1618" i="43"/>
  <c r="P1634" i="43"/>
  <c r="P968" i="43"/>
  <c r="P984" i="43"/>
  <c r="P1000" i="43"/>
  <c r="P1015" i="43"/>
  <c r="P1031" i="43"/>
  <c r="P1047" i="43"/>
  <c r="P1063" i="43"/>
  <c r="P1079" i="43"/>
  <c r="P1095" i="43"/>
  <c r="P1111" i="43"/>
  <c r="P1127" i="43"/>
  <c r="P1143" i="43"/>
  <c r="P1159" i="43"/>
  <c r="P1175" i="43"/>
  <c r="P1191" i="43"/>
  <c r="P1207" i="43"/>
  <c r="P1223" i="43"/>
  <c r="P1239" i="43"/>
  <c r="P1255" i="43"/>
  <c r="P1271" i="43"/>
  <c r="P1287" i="43"/>
  <c r="P1303" i="43"/>
  <c r="P1319" i="43"/>
  <c r="P1335" i="43"/>
  <c r="P1351" i="43"/>
  <c r="P1367" i="43"/>
  <c r="P1383" i="43"/>
  <c r="P1399" i="43"/>
  <c r="P1415" i="43"/>
  <c r="P1431" i="43"/>
  <c r="P1447" i="43"/>
  <c r="P1463" i="43"/>
  <c r="P1479" i="43"/>
  <c r="P1495" i="43"/>
  <c r="P1511" i="43"/>
  <c r="P1527" i="43"/>
  <c r="P1543" i="43"/>
  <c r="P1559" i="43"/>
  <c r="P1575" i="43"/>
  <c r="P1591" i="43"/>
  <c r="P1607" i="43"/>
  <c r="P1623" i="43"/>
  <c r="P1639" i="43"/>
  <c r="P977" i="43"/>
  <c r="P993" i="43"/>
  <c r="P1009" i="43"/>
  <c r="P1024" i="43"/>
  <c r="P1040" i="43"/>
  <c r="P1056" i="43"/>
  <c r="P1072" i="43"/>
  <c r="P1088" i="43"/>
  <c r="P1104" i="43"/>
  <c r="P1120" i="43"/>
  <c r="P1136" i="43"/>
  <c r="P1152" i="43"/>
  <c r="P1168" i="43"/>
  <c r="P1184" i="43"/>
  <c r="P1200" i="43"/>
  <c r="P1216" i="43"/>
  <c r="P1232" i="43"/>
  <c r="P1248" i="43"/>
  <c r="P1264" i="43"/>
  <c r="P1280" i="43"/>
  <c r="P1296" i="43"/>
  <c r="P1312" i="43"/>
  <c r="P1328" i="43"/>
  <c r="P1344" i="43"/>
  <c r="P1360" i="43"/>
  <c r="P1376" i="43"/>
  <c r="P1392" i="43"/>
  <c r="P1408" i="43"/>
  <c r="P1424" i="43"/>
  <c r="P1440" i="43"/>
  <c r="P1456" i="43"/>
  <c r="P1472" i="43"/>
  <c r="P1488" i="43"/>
  <c r="P1504" i="43"/>
  <c r="P1520" i="43"/>
  <c r="P1536" i="43"/>
  <c r="P1552" i="43"/>
  <c r="P1568" i="43"/>
  <c r="P1584" i="43"/>
  <c r="P1600" i="43"/>
  <c r="P1616" i="43"/>
  <c r="P1632" i="43"/>
  <c r="P1648" i="43"/>
  <c r="P1664" i="43"/>
  <c r="P1680" i="43"/>
  <c r="P1696" i="43"/>
  <c r="P1712" i="43"/>
  <c r="P1728" i="43"/>
  <c r="P1744" i="43"/>
  <c r="P1760" i="43"/>
  <c r="P1776" i="43"/>
  <c r="P1792" i="43"/>
  <c r="P1808" i="43"/>
  <c r="P1824" i="43"/>
  <c r="P1840" i="43"/>
  <c r="P1856" i="43"/>
  <c r="P1872" i="43"/>
  <c r="P1888" i="43"/>
  <c r="P1904" i="43"/>
  <c r="P1920" i="43"/>
  <c r="P1936" i="43"/>
  <c r="P1952" i="43"/>
  <c r="P1968" i="43"/>
  <c r="P1984" i="43"/>
  <c r="P2000" i="43"/>
  <c r="P2016" i="43"/>
  <c r="P2032" i="43"/>
  <c r="P2048" i="43"/>
  <c r="P2064" i="43"/>
  <c r="P2080" i="43"/>
  <c r="P2096" i="43"/>
  <c r="P2112" i="43"/>
  <c r="P2128" i="43"/>
  <c r="P2144" i="43"/>
  <c r="P2160" i="43"/>
  <c r="P2176" i="43"/>
  <c r="P2192" i="43"/>
  <c r="P2208" i="43"/>
  <c r="P2224" i="43"/>
  <c r="P2240" i="43"/>
  <c r="P2256" i="43"/>
  <c r="P2272" i="43"/>
  <c r="P2288" i="43"/>
  <c r="P2304" i="43"/>
  <c r="P2320" i="43"/>
  <c r="P1657" i="43"/>
  <c r="P1673" i="43"/>
  <c r="P1689" i="43"/>
  <c r="P1705" i="43"/>
  <c r="P1721" i="43"/>
  <c r="P1737" i="43"/>
  <c r="P1753" i="43"/>
  <c r="P1769" i="43"/>
  <c r="P1785" i="43"/>
  <c r="P1801" i="43"/>
  <c r="P1817" i="43"/>
  <c r="P1833" i="43"/>
  <c r="P1849" i="43"/>
  <c r="P1865" i="43"/>
  <c r="P1881" i="43"/>
  <c r="P1897" i="43"/>
  <c r="P1913" i="43"/>
  <c r="P1929" i="43"/>
  <c r="P1945" i="43"/>
  <c r="P1961" i="43"/>
  <c r="P1977" i="43"/>
  <c r="P1993" i="43"/>
  <c r="P2009" i="43"/>
  <c r="P2025" i="43"/>
  <c r="P2041" i="43"/>
  <c r="P2057" i="43"/>
  <c r="P2073" i="43"/>
  <c r="P2089" i="43"/>
  <c r="P2105" i="43"/>
  <c r="P2121" i="43"/>
  <c r="P2137" i="43"/>
  <c r="P2153" i="43"/>
  <c r="P2169" i="43"/>
  <c r="P2185" i="43"/>
  <c r="P2201" i="43"/>
  <c r="P2217" i="43"/>
  <c r="P2233" i="43"/>
  <c r="P2249" i="43"/>
  <c r="P2265" i="43"/>
  <c r="P2281" i="43"/>
  <c r="P2297" i="43"/>
  <c r="P2313" i="43"/>
  <c r="P1650" i="43"/>
  <c r="P1666" i="43"/>
  <c r="P1682" i="43"/>
  <c r="P1698" i="43"/>
  <c r="P1714" i="43"/>
  <c r="P1730" i="43"/>
  <c r="P1746" i="43"/>
  <c r="P1762" i="43"/>
  <c r="P1778" i="43"/>
  <c r="P1794" i="43"/>
  <c r="P1810" i="43"/>
  <c r="P1826" i="43"/>
  <c r="P1842" i="43"/>
  <c r="P1858" i="43"/>
  <c r="P1874" i="43"/>
  <c r="P1890" i="43"/>
  <c r="P3221" i="43"/>
  <c r="P3205" i="43"/>
  <c r="P3192" i="43"/>
  <c r="P3179" i="43"/>
  <c r="P3160" i="43"/>
  <c r="P3126" i="43"/>
  <c r="P3110" i="43"/>
  <c r="P3096" i="43"/>
  <c r="P3080" i="43"/>
  <c r="P3061" i="43"/>
  <c r="P3047" i="43"/>
  <c r="P3029" i="43"/>
  <c r="P3013" i="43"/>
  <c r="P3223" i="43"/>
  <c r="P3208" i="43"/>
  <c r="P3188" i="43"/>
  <c r="P3172" i="43"/>
  <c r="P3155" i="43"/>
  <c r="P3139" i="43"/>
  <c r="P3121" i="43"/>
  <c r="P3103" i="43"/>
  <c r="P3087" i="43"/>
  <c r="P3071" i="43"/>
  <c r="P3057" i="43"/>
  <c r="P3036" i="43"/>
  <c r="P3020" i="43"/>
  <c r="P3004" i="43"/>
  <c r="P3217" i="43"/>
  <c r="P3201" i="43"/>
  <c r="P3187" i="43"/>
  <c r="P3174" i="43"/>
  <c r="P3158" i="43"/>
  <c r="P3142" i="43"/>
  <c r="P3128" i="43"/>
  <c r="P3112" i="43"/>
  <c r="P3098" i="43"/>
  <c r="P3082" i="43"/>
  <c r="P3067" i="43"/>
  <c r="P3053" i="43"/>
  <c r="P3039" i="43"/>
  <c r="P3023" i="43"/>
  <c r="P3227" i="43"/>
  <c r="P3209" i="43"/>
  <c r="P3190" i="43"/>
  <c r="P3170" i="43"/>
  <c r="P3153" i="43"/>
  <c r="P3137" i="43"/>
  <c r="P3123" i="43"/>
  <c r="P3107" i="43"/>
  <c r="P3089" i="43"/>
  <c r="P3073" i="43"/>
  <c r="P3055" i="43"/>
  <c r="P3041" i="43"/>
  <c r="P3026" i="43"/>
  <c r="P3010" i="43"/>
  <c r="P2994" i="43"/>
  <c r="P2979" i="43"/>
  <c r="P2964" i="43"/>
  <c r="P2948" i="43"/>
  <c r="P2932" i="43"/>
  <c r="P2916" i="43"/>
  <c r="P2900" i="43"/>
  <c r="P2884" i="43"/>
  <c r="P2868" i="43"/>
  <c r="P2850" i="43"/>
  <c r="P2834" i="43"/>
  <c r="P2819" i="43"/>
  <c r="P2803" i="43"/>
  <c r="P2787" i="43"/>
  <c r="P2771" i="43"/>
  <c r="P2757" i="43"/>
  <c r="P2741" i="43"/>
  <c r="P2725" i="43"/>
  <c r="P2709" i="43"/>
  <c r="P2693" i="43"/>
  <c r="P2677" i="43"/>
  <c r="P2661" i="43"/>
  <c r="P2645" i="43"/>
  <c r="P2629" i="43"/>
  <c r="P2613" i="43"/>
  <c r="P2598" i="43"/>
  <c r="P2582" i="43"/>
  <c r="P2566" i="43"/>
  <c r="P2550" i="43"/>
  <c r="P2534" i="43"/>
  <c r="P2518" i="43"/>
  <c r="P2502" i="43"/>
  <c r="P2486" i="43"/>
  <c r="P2470" i="43"/>
  <c r="P2454" i="43"/>
  <c r="P2438" i="43"/>
  <c r="P2423" i="43"/>
  <c r="P2407" i="43"/>
  <c r="P2391" i="43"/>
  <c r="P2375" i="43"/>
  <c r="P2359" i="43"/>
  <c r="P2343" i="43"/>
  <c r="P2327" i="43"/>
  <c r="P2993" i="43"/>
  <c r="P2978" i="43"/>
  <c r="P2959" i="43"/>
  <c r="P2943" i="43"/>
  <c r="P2927" i="43"/>
  <c r="P2911" i="43"/>
  <c r="P2895" i="43"/>
  <c r="P2879" i="43"/>
  <c r="P2863" i="43"/>
  <c r="P2849" i="43"/>
  <c r="P2833" i="43"/>
  <c r="P2818" i="43"/>
  <c r="P2802" i="43"/>
  <c r="P2786" i="43"/>
  <c r="P2770" i="43"/>
  <c r="P2756" i="43"/>
  <c r="P2740" i="43"/>
  <c r="P2724" i="43"/>
  <c r="P2708" i="43"/>
  <c r="P2692" i="43"/>
  <c r="P2676" i="43"/>
  <c r="P2660" i="43"/>
  <c r="P2644" i="43"/>
  <c r="P2628" i="43"/>
  <c r="P2612" i="43"/>
  <c r="P2593" i="43"/>
  <c r="P2577" i="43"/>
  <c r="P2561" i="43"/>
  <c r="P2545" i="43"/>
  <c r="P2529" i="43"/>
  <c r="P2513" i="43"/>
  <c r="P2497" i="43"/>
  <c r="P2481" i="43"/>
  <c r="P2465" i="43"/>
  <c r="P2449" i="43"/>
  <c r="P2434" i="43"/>
  <c r="P2418" i="43"/>
  <c r="P2402" i="43"/>
  <c r="P2386" i="43"/>
  <c r="P2370" i="43"/>
  <c r="P2354" i="43"/>
  <c r="P2338" i="43"/>
  <c r="P2999" i="43"/>
  <c r="P2985" i="43"/>
  <c r="P2970" i="43"/>
  <c r="P2954" i="43"/>
  <c r="P2938" i="43"/>
  <c r="P2922" i="43"/>
  <c r="P2906" i="43"/>
  <c r="P2890" i="43"/>
  <c r="P2874" i="43"/>
  <c r="P2856" i="43"/>
  <c r="P2840" i="43"/>
  <c r="P2824" i="43"/>
  <c r="P2805" i="43"/>
  <c r="P2789" i="43"/>
  <c r="P2773" i="43"/>
  <c r="P2755" i="43"/>
  <c r="P2739" i="43"/>
  <c r="P2723" i="43"/>
  <c r="P2707" i="43"/>
  <c r="P2691" i="43"/>
  <c r="P2675" i="43"/>
  <c r="P2659" i="43"/>
  <c r="P2643" i="43"/>
  <c r="P2627" i="43"/>
  <c r="P2611" i="43"/>
  <c r="P2596" i="43"/>
  <c r="P2580" i="43"/>
  <c r="P2564" i="43"/>
  <c r="P2548" i="43"/>
  <c r="P2532" i="43"/>
  <c r="P2516" i="43"/>
  <c r="P2500" i="43"/>
  <c r="P2484" i="43"/>
  <c r="P2468" i="43"/>
  <c r="P2452" i="43"/>
  <c r="P2436" i="43"/>
  <c r="P2421" i="43"/>
  <c r="P2405" i="43"/>
  <c r="P2389" i="43"/>
  <c r="P2373" i="43"/>
  <c r="P2357" i="43"/>
  <c r="P2341" i="43"/>
  <c r="P2325" i="43"/>
  <c r="P2991" i="43"/>
  <c r="P2972" i="43"/>
  <c r="P2957" i="43"/>
  <c r="P2941" i="43"/>
  <c r="P2925" i="43"/>
  <c r="P2909" i="43"/>
  <c r="P2893" i="43"/>
  <c r="P2877" i="43"/>
  <c r="P2862" i="43"/>
  <c r="P2847" i="43"/>
  <c r="P2831" i="43"/>
  <c r="P2816" i="43"/>
  <c r="P2800" i="43"/>
  <c r="P2784" i="43"/>
  <c r="P2765" i="43"/>
  <c r="P2750" i="43"/>
  <c r="P2734" i="43"/>
  <c r="P2718" i="43"/>
  <c r="P2702" i="43"/>
  <c r="P2686" i="43"/>
  <c r="P2670" i="43"/>
  <c r="P2654" i="43"/>
  <c r="P2638" i="43"/>
  <c r="P2622" i="43"/>
  <c r="P2606" i="43"/>
  <c r="P2591" i="43"/>
  <c r="P2575" i="43"/>
  <c r="P2559" i="43"/>
  <c r="P2543" i="43"/>
  <c r="P2527" i="43"/>
  <c r="P2511" i="43"/>
  <c r="P2495" i="43"/>
  <c r="P2479" i="43"/>
  <c r="P2463" i="43"/>
  <c r="P2447" i="43"/>
  <c r="P2428" i="43"/>
  <c r="P2412" i="43"/>
  <c r="P2396" i="43"/>
  <c r="P2380" i="43"/>
  <c r="P2364" i="43"/>
  <c r="P2348" i="43"/>
  <c r="P2332" i="43"/>
  <c r="P2315" i="43"/>
  <c r="P2299" i="43"/>
  <c r="P2283" i="43"/>
  <c r="P2267" i="43"/>
  <c r="P2251" i="43"/>
  <c r="P2235" i="43"/>
  <c r="P2219" i="43"/>
  <c r="P2203" i="43"/>
  <c r="P2187" i="43"/>
  <c r="P2171" i="43"/>
  <c r="P2155" i="43"/>
  <c r="P2139" i="43"/>
  <c r="P2123" i="43"/>
  <c r="P2107" i="43"/>
  <c r="P2091" i="43"/>
  <c r="P2075" i="43"/>
  <c r="P2059" i="43"/>
  <c r="P2043" i="43"/>
  <c r="P2027" i="43"/>
  <c r="P2011" i="43"/>
  <c r="P1995" i="43"/>
  <c r="P1979" i="43"/>
  <c r="P1963" i="43"/>
  <c r="P1947" i="43"/>
  <c r="P1931" i="43"/>
  <c r="P1915" i="43"/>
  <c r="P1899" i="43"/>
  <c r="P1883" i="43"/>
  <c r="P1867" i="43"/>
  <c r="P1851" i="43"/>
  <c r="P1835" i="43"/>
  <c r="P1819" i="43"/>
  <c r="P1803" i="43"/>
  <c r="P1787" i="43"/>
  <c r="P1771" i="43"/>
  <c r="P1755" i="43"/>
  <c r="P1739" i="43"/>
  <c r="P1723" i="43"/>
  <c r="P1707" i="43"/>
  <c r="P1691" i="43"/>
  <c r="P1675" i="43"/>
  <c r="P1659" i="43"/>
  <c r="P1643" i="43"/>
  <c r="P2310" i="43"/>
  <c r="P2294" i="43"/>
  <c r="P2278" i="43"/>
  <c r="P2262" i="43"/>
  <c r="P2246" i="43"/>
  <c r="P2230" i="43"/>
  <c r="P2214" i="43"/>
  <c r="P2198" i="43"/>
  <c r="P2182" i="43"/>
  <c r="P2166" i="43"/>
  <c r="P2150" i="43"/>
  <c r="P2134" i="43"/>
  <c r="P2118" i="43"/>
  <c r="P2102" i="43"/>
  <c r="P2086" i="43"/>
  <c r="P2070" i="43"/>
  <c r="P2054" i="43"/>
  <c r="P2038" i="43"/>
  <c r="P2022" i="43"/>
  <c r="P2006" i="43"/>
  <c r="P1990" i="43"/>
  <c r="P1974" i="43"/>
  <c r="P1958" i="43"/>
  <c r="P1942" i="43"/>
  <c r="P1926" i="43"/>
  <c r="P1910" i="43"/>
  <c r="P1894" i="43"/>
  <c r="N3103" i="43"/>
  <c r="N3235" i="43"/>
  <c r="N3236" i="43"/>
  <c r="K3235" i="43"/>
  <c r="K705" i="43"/>
  <c r="K713" i="43"/>
  <c r="K721" i="43"/>
  <c r="K729" i="43"/>
  <c r="K737" i="43"/>
  <c r="K745" i="43"/>
  <c r="K753" i="43"/>
  <c r="K761" i="43"/>
  <c r="K769" i="43"/>
  <c r="K777" i="43"/>
  <c r="K785" i="43"/>
  <c r="K793" i="43"/>
  <c r="K801" i="43"/>
  <c r="K809" i="43"/>
  <c r="K817" i="43"/>
  <c r="K825" i="43"/>
  <c r="K833" i="43"/>
  <c r="K841" i="43"/>
  <c r="K849" i="43"/>
  <c r="K857" i="43"/>
  <c r="K3233" i="43"/>
  <c r="K10" i="43"/>
  <c r="K18" i="43"/>
  <c r="K26" i="43"/>
  <c r="K34" i="43"/>
  <c r="K42" i="43"/>
  <c r="K50" i="43"/>
  <c r="K58" i="43"/>
  <c r="K66" i="43"/>
  <c r="K75" i="43"/>
  <c r="K83" i="43"/>
  <c r="K91" i="43"/>
  <c r="K99" i="43"/>
  <c r="K107" i="43"/>
  <c r="K115" i="43"/>
  <c r="K123" i="43"/>
  <c r="K131" i="43"/>
  <c r="K139" i="43"/>
  <c r="K147" i="43"/>
  <c r="K155" i="43"/>
  <c r="K163" i="43"/>
  <c r="K171" i="43"/>
  <c r="K31" i="43"/>
  <c r="K63" i="43"/>
  <c r="K96" i="43"/>
  <c r="K128" i="43"/>
  <c r="K160" i="43"/>
  <c r="K177" i="43"/>
  <c r="K185" i="43"/>
  <c r="K193" i="43"/>
  <c r="K201" i="43"/>
  <c r="K209" i="43"/>
  <c r="K217" i="43"/>
  <c r="K225" i="43"/>
  <c r="K233" i="43"/>
  <c r="K241" i="43"/>
  <c r="K249" i="43"/>
  <c r="K257" i="43"/>
  <c r="K265" i="43"/>
  <c r="K273" i="43"/>
  <c r="K281" i="43"/>
  <c r="K289" i="43"/>
  <c r="K297" i="43"/>
  <c r="K21" i="43"/>
  <c r="K53" i="43"/>
  <c r="K86" i="43"/>
  <c r="K118" i="43"/>
  <c r="K150" i="43"/>
  <c r="K710" i="43"/>
  <c r="K742" i="43"/>
  <c r="K774" i="43"/>
  <c r="K806" i="43"/>
  <c r="K838" i="43"/>
  <c r="K11" i="43"/>
  <c r="K76" i="43"/>
  <c r="K140" i="43"/>
  <c r="K188" i="43"/>
  <c r="K220" i="43"/>
  <c r="K252" i="43"/>
  <c r="K284" i="43"/>
  <c r="K304" i="43"/>
  <c r="K313" i="43"/>
  <c r="K321" i="43"/>
  <c r="K329" i="43"/>
  <c r="K337" i="43"/>
  <c r="K345" i="43"/>
  <c r="K353" i="43"/>
  <c r="K361" i="43"/>
  <c r="K369" i="43"/>
  <c r="K377" i="43"/>
  <c r="K385" i="43"/>
  <c r="K393" i="43"/>
  <c r="K401" i="43"/>
  <c r="K409" i="43"/>
  <c r="K417" i="43"/>
  <c r="K425" i="43"/>
  <c r="K433" i="43"/>
  <c r="K441" i="43"/>
  <c r="K449" i="43"/>
  <c r="K457" i="43"/>
  <c r="K465" i="43"/>
  <c r="K473" i="43"/>
  <c r="K481" i="43"/>
  <c r="K489" i="43"/>
  <c r="K497" i="43"/>
  <c r="K505" i="43"/>
  <c r="K513" i="43"/>
  <c r="K521" i="43"/>
  <c r="K57" i="43"/>
  <c r="K122" i="43"/>
  <c r="K178" i="43"/>
  <c r="K210" i="43"/>
  <c r="K242" i="43"/>
  <c r="K274" i="43"/>
  <c r="K704" i="43"/>
  <c r="K756" i="43"/>
  <c r="K794" i="43"/>
  <c r="K832" i="43"/>
  <c r="K866" i="43"/>
  <c r="K874" i="43"/>
  <c r="K882" i="43"/>
  <c r="K890" i="43"/>
  <c r="K898" i="43"/>
  <c r="K906" i="43"/>
  <c r="K914" i="43"/>
  <c r="K922" i="43"/>
  <c r="K930" i="43"/>
  <c r="K938" i="43"/>
  <c r="K946" i="43"/>
  <c r="K954" i="43"/>
  <c r="K962" i="43"/>
  <c r="K970" i="43"/>
  <c r="K978" i="43"/>
  <c r="K19" i="43"/>
  <c r="K84" i="43"/>
  <c r="K148" i="43"/>
  <c r="K192" i="43"/>
  <c r="K224" i="43"/>
  <c r="K256" i="43"/>
  <c r="K288" i="43"/>
  <c r="K305" i="43"/>
  <c r="K314" i="43"/>
  <c r="K322" i="43"/>
  <c r="K330" i="43"/>
  <c r="K338" i="43"/>
  <c r="K346" i="43"/>
  <c r="K354" i="43"/>
  <c r="K362" i="43"/>
  <c r="K370" i="43"/>
  <c r="K378" i="43"/>
  <c r="K386" i="43"/>
  <c r="K394" i="43"/>
  <c r="K402" i="43"/>
  <c r="K410" i="43"/>
  <c r="K17" i="43"/>
  <c r="K222" i="43"/>
  <c r="K428" i="43"/>
  <c r="K460" i="43"/>
  <c r="K492" i="43"/>
  <c r="K716" i="43"/>
  <c r="K770" i="43"/>
  <c r="K816" i="43"/>
  <c r="K869" i="43"/>
  <c r="K901" i="43"/>
  <c r="K933" i="43"/>
  <c r="K965" i="43"/>
  <c r="K1013" i="43"/>
  <c r="K1021" i="43"/>
  <c r="K1029" i="43"/>
  <c r="K1037" i="43"/>
  <c r="K1045" i="43"/>
  <c r="K1053" i="43"/>
  <c r="K1061" i="43"/>
  <c r="K1069" i="43"/>
  <c r="K1077" i="43"/>
  <c r="K1085" i="43"/>
  <c r="K1093" i="43"/>
  <c r="K1101" i="43"/>
  <c r="K1109" i="43"/>
  <c r="K1117" i="43"/>
  <c r="K1125" i="43"/>
  <c r="K1133" i="43"/>
  <c r="K1141" i="43"/>
  <c r="K1149" i="43"/>
  <c r="K1157" i="43"/>
  <c r="K1165" i="43"/>
  <c r="K1173" i="43"/>
  <c r="K1181" i="43"/>
  <c r="K1189" i="43"/>
  <c r="K1197" i="43"/>
  <c r="K1205" i="43"/>
  <c r="K1213" i="43"/>
  <c r="K1221" i="43"/>
  <c r="K1229" i="43"/>
  <c r="K1237" i="43"/>
  <c r="K1245" i="43"/>
  <c r="K1253" i="43"/>
  <c r="K162" i="43"/>
  <c r="K294" i="43"/>
  <c r="K442" i="43"/>
  <c r="K474" i="43"/>
  <c r="K506" i="43"/>
  <c r="K526" i="43"/>
  <c r="K534" i="43"/>
  <c r="K542" i="43"/>
  <c r="K550" i="43"/>
  <c r="K558" i="43"/>
  <c r="K566" i="43"/>
  <c r="K574" i="43"/>
  <c r="K582" i="43"/>
  <c r="K590" i="43"/>
  <c r="K598" i="43"/>
  <c r="K606" i="43"/>
  <c r="K614" i="43"/>
  <c r="K622" i="43"/>
  <c r="K630" i="43"/>
  <c r="K638" i="43"/>
  <c r="K646" i="43"/>
  <c r="K654" i="43"/>
  <c r="K662" i="43"/>
  <c r="K670" i="43"/>
  <c r="K678" i="43"/>
  <c r="K686" i="43"/>
  <c r="K694" i="43"/>
  <c r="K708" i="43"/>
  <c r="K754" i="43"/>
  <c r="K808" i="43"/>
  <c r="K867" i="43"/>
  <c r="K899" i="43"/>
  <c r="K931" i="43"/>
  <c r="K963" i="43"/>
  <c r="K986" i="43"/>
  <c r="K994" i="43"/>
  <c r="K1002" i="43"/>
  <c r="K1010" i="43"/>
  <c r="K206" i="43"/>
  <c r="K432" i="43"/>
  <c r="K464" i="43"/>
  <c r="K496" i="43"/>
  <c r="K706" i="43"/>
  <c r="K752" i="43"/>
  <c r="K824" i="43"/>
  <c r="K873" i="43"/>
  <c r="K905" i="43"/>
  <c r="K937" i="43"/>
  <c r="K969" i="43"/>
  <c r="K1016" i="43"/>
  <c r="K1024" i="43"/>
  <c r="K1032" i="43"/>
  <c r="K1040" i="43"/>
  <c r="K1048" i="43"/>
  <c r="K1056" i="43"/>
  <c r="K1064" i="43"/>
  <c r="K1072" i="43"/>
  <c r="K1080" i="43"/>
  <c r="K1088" i="43"/>
  <c r="K1096" i="43"/>
  <c r="K1104" i="43"/>
  <c r="K1112" i="43"/>
  <c r="K1120" i="43"/>
  <c r="K1128" i="43"/>
  <c r="K1136" i="43"/>
  <c r="K1144" i="43"/>
  <c r="K1152" i="43"/>
  <c r="K1160" i="43"/>
  <c r="K1168" i="43"/>
  <c r="K1176" i="43"/>
  <c r="K1184" i="43"/>
  <c r="K1192" i="43"/>
  <c r="K1200" i="43"/>
  <c r="K1208" i="43"/>
  <c r="K1216" i="43"/>
  <c r="K1224" i="43"/>
  <c r="K478" i="43"/>
  <c r="K545" i="43"/>
  <c r="K577" i="43"/>
  <c r="K609" i="43"/>
  <c r="K641" i="43"/>
  <c r="K673" i="43"/>
  <c r="K784" i="43"/>
  <c r="K903" i="43"/>
  <c r="K995" i="43"/>
  <c r="K1242" i="43"/>
  <c r="K2441" i="43"/>
  <c r="K2449" i="43"/>
  <c r="K2457" i="43"/>
  <c r="K2465" i="43"/>
  <c r="K2473" i="43"/>
  <c r="K2481" i="43"/>
  <c r="K2489" i="43"/>
  <c r="K2497" i="43"/>
  <c r="K2505" i="43"/>
  <c r="K2513" i="43"/>
  <c r="K2521" i="43"/>
  <c r="K2529" i="43"/>
  <c r="K2537" i="43"/>
  <c r="K2545" i="43"/>
  <c r="K2553" i="43"/>
  <c r="K2561" i="43"/>
  <c r="K2569" i="43"/>
  <c r="K130" i="43"/>
  <c r="K486" i="43"/>
  <c r="K543" i="43"/>
  <c r="K575" i="43"/>
  <c r="K607" i="43"/>
  <c r="K639" i="43"/>
  <c r="K671" i="43"/>
  <c r="K744" i="43"/>
  <c r="K911" i="43"/>
  <c r="K993" i="43"/>
  <c r="K1240" i="43"/>
  <c r="K1260" i="43"/>
  <c r="K1268" i="43"/>
  <c r="K1276" i="43"/>
  <c r="K1284" i="43"/>
  <c r="K1292" i="43"/>
  <c r="K1300" i="43"/>
  <c r="K1308" i="43"/>
  <c r="K1316" i="43"/>
  <c r="K1324" i="43"/>
  <c r="K1332" i="43"/>
  <c r="K1340" i="43"/>
  <c r="K1348" i="43"/>
  <c r="K1356" i="43"/>
  <c r="K1364" i="43"/>
  <c r="K1372" i="43"/>
  <c r="K1380" i="43"/>
  <c r="K1388" i="43"/>
  <c r="K1396" i="43"/>
  <c r="K1404" i="43"/>
  <c r="K1412" i="43"/>
  <c r="K1420" i="43"/>
  <c r="K1428" i="43"/>
  <c r="K1436" i="43"/>
  <c r="K1444" i="43"/>
  <c r="K1452" i="43"/>
  <c r="K1460" i="43"/>
  <c r="K1468" i="43"/>
  <c r="K1476" i="43"/>
  <c r="K1484" i="43"/>
  <c r="K3234" i="43"/>
  <c r="K707" i="43"/>
  <c r="K715" i="43"/>
  <c r="K723" i="43"/>
  <c r="K731" i="43"/>
  <c r="K739" i="43"/>
  <c r="K747" i="43"/>
  <c r="K755" i="43"/>
  <c r="K763" i="43"/>
  <c r="K771" i="43"/>
  <c r="K779" i="43"/>
  <c r="K787" i="43"/>
  <c r="K795" i="43"/>
  <c r="K803" i="43"/>
  <c r="K811" i="43"/>
  <c r="K819" i="43"/>
  <c r="K827" i="43"/>
  <c r="K835" i="43"/>
  <c r="K843" i="43"/>
  <c r="K851" i="43"/>
  <c r="K859" i="43"/>
  <c r="K4" i="43"/>
  <c r="K12" i="43"/>
  <c r="K20" i="43"/>
  <c r="K28" i="43"/>
  <c r="K36" i="43"/>
  <c r="K44" i="43"/>
  <c r="K52" i="43"/>
  <c r="K60" i="43"/>
  <c r="K68" i="43"/>
  <c r="K77" i="43"/>
  <c r="K85" i="43"/>
  <c r="K93" i="43"/>
  <c r="K101" i="43"/>
  <c r="K109" i="43"/>
  <c r="K117" i="43"/>
  <c r="K125" i="43"/>
  <c r="K133" i="43"/>
  <c r="K141" i="43"/>
  <c r="K149" i="43"/>
  <c r="K157" i="43"/>
  <c r="K165" i="43"/>
  <c r="K7" i="43"/>
  <c r="K39" i="43"/>
  <c r="K71" i="43"/>
  <c r="K104" i="43"/>
  <c r="K136" i="43"/>
  <c r="K168" i="43"/>
  <c r="K179" i="43"/>
  <c r="K187" i="43"/>
  <c r="K195" i="43"/>
  <c r="K203" i="43"/>
  <c r="K211" i="43"/>
  <c r="K219" i="43"/>
  <c r="K227" i="43"/>
  <c r="K235" i="43"/>
  <c r="K243" i="43"/>
  <c r="K251" i="43"/>
  <c r="K259" i="43"/>
  <c r="K267" i="43"/>
  <c r="K275" i="43"/>
  <c r="K283" i="43"/>
  <c r="K291" i="43"/>
  <c r="K299" i="43"/>
  <c r="K29" i="43"/>
  <c r="K61" i="43"/>
  <c r="K94" i="43"/>
  <c r="K126" i="43"/>
  <c r="K158" i="43"/>
  <c r="K718" i="43"/>
  <c r="K750" i="43"/>
  <c r="K782" i="43"/>
  <c r="K814" i="43"/>
  <c r="K846" i="43"/>
  <c r="K27" i="43"/>
  <c r="K92" i="43"/>
  <c r="K156" i="43"/>
  <c r="K196" i="43"/>
  <c r="K228" i="43"/>
  <c r="K260" i="43"/>
  <c r="K292" i="43"/>
  <c r="K306" i="43"/>
  <c r="K315" i="43"/>
  <c r="K323" i="43"/>
  <c r="K331" i="43"/>
  <c r="K339" i="43"/>
  <c r="K347" i="43"/>
  <c r="K355" i="43"/>
  <c r="K363" i="43"/>
  <c r="K371" i="43"/>
  <c r="K379" i="43"/>
  <c r="K387" i="43"/>
  <c r="K395" i="43"/>
  <c r="K403" i="43"/>
  <c r="K411" i="43"/>
  <c r="K419" i="43"/>
  <c r="K427" i="43"/>
  <c r="K435" i="43"/>
  <c r="K443" i="43"/>
  <c r="K451" i="43"/>
  <c r="K459" i="43"/>
  <c r="K467" i="43"/>
  <c r="K475" i="43"/>
  <c r="K483" i="43"/>
  <c r="K491" i="43"/>
  <c r="K499" i="43"/>
  <c r="K507" i="43"/>
  <c r="K515" i="43"/>
  <c r="K9" i="43"/>
  <c r="K74" i="43"/>
  <c r="K138" i="43"/>
  <c r="K186" i="43"/>
  <c r="K218" i="43"/>
  <c r="K250" i="43"/>
  <c r="K282" i="43"/>
  <c r="K724" i="43"/>
  <c r="K762" i="43"/>
  <c r="K800" i="43"/>
  <c r="K852" i="43"/>
  <c r="K868" i="43"/>
  <c r="K876" i="43"/>
  <c r="K884" i="43"/>
  <c r="K892" i="43"/>
  <c r="K900" i="43"/>
  <c r="K908" i="43"/>
  <c r="K916" i="43"/>
  <c r="K924" i="43"/>
  <c r="K932" i="43"/>
  <c r="K940" i="43"/>
  <c r="K948" i="43"/>
  <c r="K956" i="43"/>
  <c r="K964" i="43"/>
  <c r="K972" i="43"/>
  <c r="K980" i="43"/>
  <c r="K35" i="43"/>
  <c r="K100" i="43"/>
  <c r="K164" i="43"/>
  <c r="K200" i="43"/>
  <c r="K232" i="43"/>
  <c r="K264" i="43"/>
  <c r="K296" i="43"/>
  <c r="K307" i="43"/>
  <c r="K316" i="43"/>
  <c r="K324" i="43"/>
  <c r="K332" i="43"/>
  <c r="K340" i="43"/>
  <c r="K348" i="43"/>
  <c r="K356" i="43"/>
  <c r="K364" i="43"/>
  <c r="K372" i="43"/>
  <c r="K380" i="43"/>
  <c r="K388" i="43"/>
  <c r="K396" i="43"/>
  <c r="K404" i="43"/>
  <c r="K412" i="43"/>
  <c r="K82" i="43"/>
  <c r="K254" i="43"/>
  <c r="K436" i="43"/>
  <c r="K468" i="43"/>
  <c r="K500" i="43"/>
  <c r="K722" i="43"/>
  <c r="K776" i="43"/>
  <c r="K844" i="43"/>
  <c r="K877" i="43"/>
  <c r="K909" i="43"/>
  <c r="K941" i="43"/>
  <c r="K973" i="43"/>
  <c r="K1015" i="43"/>
  <c r="K1023" i="43"/>
  <c r="K1031" i="43"/>
  <c r="K1039" i="43"/>
  <c r="K1047" i="43"/>
  <c r="K1055" i="43"/>
  <c r="K1063" i="43"/>
  <c r="K1071" i="43"/>
  <c r="K1079" i="43"/>
  <c r="K1087" i="43"/>
  <c r="K1095" i="43"/>
  <c r="K1103" i="43"/>
  <c r="K1111" i="43"/>
  <c r="K1119" i="43"/>
  <c r="K1127" i="43"/>
  <c r="K1135" i="43"/>
  <c r="K1143" i="43"/>
  <c r="K1151" i="43"/>
  <c r="K1159" i="43"/>
  <c r="K1167" i="43"/>
  <c r="K1175" i="43"/>
  <c r="K1183" i="43"/>
  <c r="K1191" i="43"/>
  <c r="K1199" i="43"/>
  <c r="K1207" i="43"/>
  <c r="K1215" i="43"/>
  <c r="K1223" i="43"/>
  <c r="K1231" i="43"/>
  <c r="K1239" i="43"/>
  <c r="K1247" i="43"/>
  <c r="K1255" i="43"/>
  <c r="K198" i="43"/>
  <c r="K418" i="43"/>
  <c r="K450" i="43"/>
  <c r="K482" i="43"/>
  <c r="K514" i="43"/>
  <c r="K528" i="43"/>
  <c r="K536" i="43"/>
  <c r="K544" i="43"/>
  <c r="K552" i="43"/>
  <c r="K560" i="43"/>
  <c r="K568" i="43"/>
  <c r="K576" i="43"/>
  <c r="K584" i="43"/>
  <c r="K592" i="43"/>
  <c r="K600" i="43"/>
  <c r="K608" i="43"/>
  <c r="K616" i="43"/>
  <c r="K624" i="43"/>
  <c r="K632" i="43"/>
  <c r="K640" i="43"/>
  <c r="K648" i="43"/>
  <c r="K656" i="43"/>
  <c r="K664" i="43"/>
  <c r="K672" i="43"/>
  <c r="K680" i="43"/>
  <c r="K688" i="43"/>
  <c r="K696" i="43"/>
  <c r="K714" i="43"/>
  <c r="K764" i="43"/>
  <c r="K836" i="43"/>
  <c r="K875" i="43"/>
  <c r="K907" i="43"/>
  <c r="K939" i="43"/>
  <c r="K971" i="43"/>
  <c r="K988" i="43"/>
  <c r="K996" i="43"/>
  <c r="K1004" i="43"/>
  <c r="K49" i="43"/>
  <c r="K238" i="43"/>
  <c r="K440" i="43"/>
  <c r="K472" i="43"/>
  <c r="K504" i="43"/>
  <c r="K712" i="43"/>
  <c r="K780" i="43"/>
  <c r="K834" i="43"/>
  <c r="K881" i="43"/>
  <c r="K913" i="43"/>
  <c r="K945" i="43"/>
  <c r="K977" i="43"/>
  <c r="K1018" i="43"/>
  <c r="K1026" i="43"/>
  <c r="K1034" i="43"/>
  <c r="K1042" i="43"/>
  <c r="K1050" i="43"/>
  <c r="K1058" i="43"/>
  <c r="K1066" i="43"/>
  <c r="K1074" i="43"/>
  <c r="K1082" i="43"/>
  <c r="K1090" i="43"/>
  <c r="K1098" i="43"/>
  <c r="K1106" i="43"/>
  <c r="K1114" i="43"/>
  <c r="K1122" i="43"/>
  <c r="K1130" i="43"/>
  <c r="K1138" i="43"/>
  <c r="K1146" i="43"/>
  <c r="K1154" i="43"/>
  <c r="K1162" i="43"/>
  <c r="K1170" i="43"/>
  <c r="K1178" i="43"/>
  <c r="K1186" i="43"/>
  <c r="K1194" i="43"/>
  <c r="K1202" i="43"/>
  <c r="K1210" i="43"/>
  <c r="K1218" i="43"/>
  <c r="K65" i="43"/>
  <c r="K510" i="43"/>
  <c r="K553" i="43"/>
  <c r="K585" i="43"/>
  <c r="K617" i="43"/>
  <c r="K649" i="43"/>
  <c r="K681" i="43"/>
  <c r="K818" i="43"/>
  <c r="K935" i="43"/>
  <c r="K1003" i="43"/>
  <c r="K1250" i="43"/>
  <c r="K2443" i="43"/>
  <c r="K2451" i="43"/>
  <c r="K2459" i="43"/>
  <c r="K2467" i="43"/>
  <c r="K2475" i="43"/>
  <c r="K2483" i="43"/>
  <c r="K2491" i="43"/>
  <c r="K2499" i="43"/>
  <c r="K2507" i="43"/>
  <c r="K2515" i="43"/>
  <c r="K2523" i="43"/>
  <c r="K2531" i="43"/>
  <c r="K2539" i="43"/>
  <c r="K2547" i="43"/>
  <c r="K2555" i="43"/>
  <c r="K2563" i="43"/>
  <c r="K2571" i="43"/>
  <c r="K278" i="43"/>
  <c r="K518" i="43"/>
  <c r="K551" i="43"/>
  <c r="K583" i="43"/>
  <c r="K615" i="43"/>
  <c r="K647" i="43"/>
  <c r="K679" i="43"/>
  <c r="K778" i="43"/>
  <c r="K943" i="43"/>
  <c r="K1001" i="43"/>
  <c r="K1248" i="43"/>
  <c r="K1262" i="43"/>
  <c r="K1270" i="43"/>
  <c r="K1278" i="43"/>
  <c r="K1286" i="43"/>
  <c r="K1294" i="43"/>
  <c r="K1302" i="43"/>
  <c r="K1310" i="43"/>
  <c r="K1318" i="43"/>
  <c r="K1326" i="43"/>
  <c r="K1334" i="43"/>
  <c r="K1342" i="43"/>
  <c r="K1350" i="43"/>
  <c r="K1358" i="43"/>
  <c r="K1366" i="43"/>
  <c r="K1374" i="43"/>
  <c r="K1382" i="43"/>
  <c r="K1390" i="43"/>
  <c r="K1398" i="43"/>
  <c r="K1406" i="43"/>
  <c r="K1414" i="43"/>
  <c r="K1422" i="43"/>
  <c r="K1430" i="43"/>
  <c r="K1438" i="43"/>
  <c r="K1446" i="43"/>
  <c r="K1454" i="43"/>
  <c r="K1462" i="43"/>
  <c r="K1470" i="43"/>
  <c r="K1478" i="43"/>
  <c r="K1486" i="43"/>
  <c r="K3169" i="43"/>
  <c r="K709" i="43"/>
  <c r="K717" i="43"/>
  <c r="K725" i="43"/>
  <c r="K733" i="43"/>
  <c r="K741" i="43"/>
  <c r="K749" i="43"/>
  <c r="K757" i="43"/>
  <c r="K765" i="43"/>
  <c r="K773" i="43"/>
  <c r="K781" i="43"/>
  <c r="K789" i="43"/>
  <c r="K797" i="43"/>
  <c r="K805" i="43"/>
  <c r="K813" i="43"/>
  <c r="K821" i="43"/>
  <c r="K829" i="43"/>
  <c r="K837" i="43"/>
  <c r="K845" i="43"/>
  <c r="K853" i="43"/>
  <c r="K861" i="43"/>
  <c r="K6" i="43"/>
  <c r="K14" i="43"/>
  <c r="K22" i="43"/>
  <c r="K30" i="43"/>
  <c r="K38" i="43"/>
  <c r="K46" i="43"/>
  <c r="K54" i="43"/>
  <c r="K62" i="43"/>
  <c r="K70" i="43"/>
  <c r="K79" i="43"/>
  <c r="K87" i="43"/>
  <c r="K95" i="43"/>
  <c r="K103" i="43"/>
  <c r="K111" i="43"/>
  <c r="K119" i="43"/>
  <c r="K127" i="43"/>
  <c r="K135" i="43"/>
  <c r="K143" i="43"/>
  <c r="K151" i="43"/>
  <c r="K159" i="43"/>
  <c r="K167" i="43"/>
  <c r="K15" i="43"/>
  <c r="K47" i="43"/>
  <c r="K80" i="43"/>
  <c r="K112" i="43"/>
  <c r="K144" i="43"/>
  <c r="K173" i="43"/>
  <c r="K181" i="43"/>
  <c r="K189" i="43"/>
  <c r="K197" i="43"/>
  <c r="K205" i="43"/>
  <c r="K213" i="43"/>
  <c r="K221" i="43"/>
  <c r="K229" i="43"/>
  <c r="K237" i="43"/>
  <c r="K245" i="43"/>
  <c r="K253" i="43"/>
  <c r="K261" i="43"/>
  <c r="K269" i="43"/>
  <c r="K277" i="43"/>
  <c r="K285" i="43"/>
  <c r="K293" i="43"/>
  <c r="K5" i="43"/>
  <c r="K37" i="43"/>
  <c r="K69" i="43"/>
  <c r="K102" i="43"/>
  <c r="K134" i="43"/>
  <c r="K166" i="43"/>
  <c r="K726" i="43"/>
  <c r="K758" i="43"/>
  <c r="K790" i="43"/>
  <c r="K822" i="43"/>
  <c r="K854" i="43"/>
  <c r="K43" i="43"/>
  <c r="K108" i="43"/>
  <c r="K172" i="43"/>
  <c r="K204" i="43"/>
  <c r="K236" i="43"/>
  <c r="K268" i="43"/>
  <c r="K300" i="43"/>
  <c r="K308" i="43"/>
  <c r="K317" i="43"/>
  <c r="K325" i="43"/>
  <c r="K333" i="43"/>
  <c r="K341" i="43"/>
  <c r="K349" i="43"/>
  <c r="K357" i="43"/>
  <c r="K365" i="43"/>
  <c r="K373" i="43"/>
  <c r="K381" i="43"/>
  <c r="K389" i="43"/>
  <c r="K397" i="43"/>
  <c r="K405" i="43"/>
  <c r="K413" i="43"/>
  <c r="K421" i="43"/>
  <c r="K429" i="43"/>
  <c r="K437" i="43"/>
  <c r="K445" i="43"/>
  <c r="K453" i="43"/>
  <c r="K461" i="43"/>
  <c r="K469" i="43"/>
  <c r="K477" i="43"/>
  <c r="K485" i="43"/>
  <c r="K493" i="43"/>
  <c r="K501" i="43"/>
  <c r="K509" i="43"/>
  <c r="K517" i="43"/>
  <c r="K25" i="43"/>
  <c r="K90" i="43"/>
  <c r="K154" i="43"/>
  <c r="K194" i="43"/>
  <c r="K226" i="43"/>
  <c r="K258" i="43"/>
  <c r="K290" i="43"/>
  <c r="K730" i="43"/>
  <c r="K768" i="43"/>
  <c r="K820" i="43"/>
  <c r="K858" i="43"/>
  <c r="K870" i="43"/>
  <c r="K878" i="43"/>
  <c r="K886" i="43"/>
  <c r="K894" i="43"/>
  <c r="K902" i="43"/>
  <c r="K910" i="43"/>
  <c r="K918" i="43"/>
  <c r="K926" i="43"/>
  <c r="K934" i="43"/>
  <c r="K942" i="43"/>
  <c r="K950" i="43"/>
  <c r="K958" i="43"/>
  <c r="K966" i="43"/>
  <c r="K974" i="43"/>
  <c r="K982" i="43"/>
  <c r="K51" i="43"/>
  <c r="K116" i="43"/>
  <c r="K176" i="43"/>
  <c r="K208" i="43"/>
  <c r="K240" i="43"/>
  <c r="K272" i="43"/>
  <c r="K301" i="43"/>
  <c r="K309" i="43"/>
  <c r="K318" i="43"/>
  <c r="K326" i="43"/>
  <c r="K334" i="43"/>
  <c r="K342" i="43"/>
  <c r="K350" i="43"/>
  <c r="K358" i="43"/>
  <c r="K366" i="43"/>
  <c r="K374" i="43"/>
  <c r="K382" i="43"/>
  <c r="K390" i="43"/>
  <c r="K398" i="43"/>
  <c r="K406" i="43"/>
  <c r="K414" i="43"/>
  <c r="K146" i="43"/>
  <c r="K286" i="43"/>
  <c r="K444" i="43"/>
  <c r="K476" i="43"/>
  <c r="K508" i="43"/>
  <c r="K732" i="43"/>
  <c r="K804" i="43"/>
  <c r="K850" i="43"/>
  <c r="K885" i="43"/>
  <c r="K917" i="43"/>
  <c r="K949" i="43"/>
  <c r="K981" i="43"/>
  <c r="K1017" i="43"/>
  <c r="K1025" i="43"/>
  <c r="K1033" i="43"/>
  <c r="K1041" i="43"/>
  <c r="K1049" i="43"/>
  <c r="K1057" i="43"/>
  <c r="K1065" i="43"/>
  <c r="K1073" i="43"/>
  <c r="K1081" i="43"/>
  <c r="K1089" i="43"/>
  <c r="K1097" i="43"/>
  <c r="K1105" i="43"/>
  <c r="K1113" i="43"/>
  <c r="K1121" i="43"/>
  <c r="K1129" i="43"/>
  <c r="K1137" i="43"/>
  <c r="K1145" i="43"/>
  <c r="K1153" i="43"/>
  <c r="K1161" i="43"/>
  <c r="K1169" i="43"/>
  <c r="K1177" i="43"/>
  <c r="K1185" i="43"/>
  <c r="K1193" i="43"/>
  <c r="K1201" i="43"/>
  <c r="K1209" i="43"/>
  <c r="K1217" i="43"/>
  <c r="K1225" i="43"/>
  <c r="K1233" i="43"/>
  <c r="K1241" i="43"/>
  <c r="K1249" i="43"/>
  <c r="K33" i="43"/>
  <c r="K230" i="43"/>
  <c r="K426" i="43"/>
  <c r="K458" i="43"/>
  <c r="K490" i="43"/>
  <c r="K522" i="43"/>
  <c r="K530" i="43"/>
  <c r="K538" i="43"/>
  <c r="K546" i="43"/>
  <c r="K554" i="43"/>
  <c r="K562" i="43"/>
  <c r="K570" i="43"/>
  <c r="K578" i="43"/>
  <c r="K586" i="43"/>
  <c r="K594" i="43"/>
  <c r="K602" i="43"/>
  <c r="K610" i="43"/>
  <c r="K618" i="43"/>
  <c r="K626" i="43"/>
  <c r="K634" i="43"/>
  <c r="K642" i="43"/>
  <c r="K650" i="43"/>
  <c r="K658" i="43"/>
  <c r="K666" i="43"/>
  <c r="K674" i="43"/>
  <c r="K682" i="43"/>
  <c r="K690" i="43"/>
  <c r="K698" i="43"/>
  <c r="K720" i="43"/>
  <c r="K792" i="43"/>
  <c r="K842" i="43"/>
  <c r="K883" i="43"/>
  <c r="K915" i="43"/>
  <c r="K947" i="43"/>
  <c r="K979" i="43"/>
  <c r="K990" i="43"/>
  <c r="K998" i="43"/>
  <c r="K1006" i="43"/>
  <c r="K114" i="43"/>
  <c r="K270" i="43"/>
  <c r="K448" i="43"/>
  <c r="K480" i="43"/>
  <c r="K512" i="43"/>
  <c r="K740" i="43"/>
  <c r="K786" i="43"/>
  <c r="K840" i="43"/>
  <c r="K889" i="43"/>
  <c r="K921" i="43"/>
  <c r="K953" i="43"/>
  <c r="K1012" i="43"/>
  <c r="K1020" i="43"/>
  <c r="K1028" i="43"/>
  <c r="K1036" i="43"/>
  <c r="K1044" i="43"/>
  <c r="K1052" i="43"/>
  <c r="K1060" i="43"/>
  <c r="K1068" i="43"/>
  <c r="K1076" i="43"/>
  <c r="K1084" i="43"/>
  <c r="K1092" i="43"/>
  <c r="K1100" i="43"/>
  <c r="K1108" i="43"/>
  <c r="K1116" i="43"/>
  <c r="K1124" i="43"/>
  <c r="K1132" i="43"/>
  <c r="K1140" i="43"/>
  <c r="K1148" i="43"/>
  <c r="K1156" i="43"/>
  <c r="K1164" i="43"/>
  <c r="K1172" i="43"/>
  <c r="K1180" i="43"/>
  <c r="K1188" i="43"/>
  <c r="K1196" i="43"/>
  <c r="K1204" i="43"/>
  <c r="K1212" i="43"/>
  <c r="K1220" i="43"/>
  <c r="K246" i="43"/>
  <c r="K529" i="43"/>
  <c r="K561" i="43"/>
  <c r="K593" i="43"/>
  <c r="K625" i="43"/>
  <c r="K657" i="43"/>
  <c r="K689" i="43"/>
  <c r="K856" i="43"/>
  <c r="K967" i="43"/>
  <c r="K1226" i="43"/>
  <c r="K2437" i="43"/>
  <c r="K2445" i="43"/>
  <c r="K2453" i="43"/>
  <c r="K2461" i="43"/>
  <c r="K2469" i="43"/>
  <c r="K2477" i="43"/>
  <c r="K2485" i="43"/>
  <c r="K2493" i="43"/>
  <c r="K2501" i="43"/>
  <c r="K2509" i="43"/>
  <c r="K2517" i="43"/>
  <c r="K2525" i="43"/>
  <c r="K2533" i="43"/>
  <c r="K2541" i="43"/>
  <c r="K2549" i="43"/>
  <c r="K2557" i="43"/>
  <c r="K2565" i="43"/>
  <c r="K2573" i="43"/>
  <c r="K422" i="43"/>
  <c r="K527" i="43"/>
  <c r="K559" i="43"/>
  <c r="K591" i="43"/>
  <c r="K623" i="43"/>
  <c r="K655" i="43"/>
  <c r="K687" i="43"/>
  <c r="K812" i="43"/>
  <c r="K975" i="43"/>
  <c r="K1009" i="43"/>
  <c r="K1256" i="43"/>
  <c r="K1264" i="43"/>
  <c r="K1272" i="43"/>
  <c r="K1280" i="43"/>
  <c r="K1288" i="43"/>
  <c r="K1296" i="43"/>
  <c r="K1304" i="43"/>
  <c r="K1312" i="43"/>
  <c r="K1320" i="43"/>
  <c r="K1328" i="43"/>
  <c r="K1336" i="43"/>
  <c r="K1344" i="43"/>
  <c r="K1352" i="43"/>
  <c r="K1360" i="43"/>
  <c r="K1368" i="43"/>
  <c r="K1376" i="43"/>
  <c r="K1384" i="43"/>
  <c r="K1392" i="43"/>
  <c r="K1400" i="43"/>
  <c r="K1408" i="43"/>
  <c r="K1416" i="43"/>
  <c r="K1424" i="43"/>
  <c r="K1432" i="43"/>
  <c r="K1440" i="43"/>
  <c r="K1448" i="43"/>
  <c r="K1456" i="43"/>
  <c r="K1464" i="43"/>
  <c r="K1472" i="43"/>
  <c r="K1480" i="43"/>
  <c r="K1488" i="43"/>
  <c r="K703" i="43"/>
  <c r="K735" i="43"/>
  <c r="K767" i="43"/>
  <c r="K799" i="43"/>
  <c r="K831" i="43"/>
  <c r="K863" i="43"/>
  <c r="K32" i="43"/>
  <c r="K64" i="43"/>
  <c r="K97" i="43"/>
  <c r="K129" i="43"/>
  <c r="K161" i="43"/>
  <c r="K88" i="43"/>
  <c r="K183" i="43"/>
  <c r="K215" i="43"/>
  <c r="K247" i="43"/>
  <c r="K279" i="43"/>
  <c r="K45" i="43"/>
  <c r="K702" i="43"/>
  <c r="K830" i="43"/>
  <c r="K180" i="43"/>
  <c r="K302" i="43"/>
  <c r="K335" i="43"/>
  <c r="K367" i="43"/>
  <c r="K399" i="43"/>
  <c r="K431" i="43"/>
  <c r="K463" i="43"/>
  <c r="K495" i="43"/>
  <c r="K41" i="43"/>
  <c r="K234" i="43"/>
  <c r="K788" i="43"/>
  <c r="K880" i="43"/>
  <c r="K912" i="43"/>
  <c r="K944" i="43"/>
  <c r="K976" i="43"/>
  <c r="K184" i="43"/>
  <c r="K303" i="43"/>
  <c r="K336" i="43"/>
  <c r="K368" i="43"/>
  <c r="K400" i="43"/>
  <c r="K420" i="43"/>
  <c r="K760" i="43"/>
  <c r="K925" i="43"/>
  <c r="K1027" i="43"/>
  <c r="K1059" i="43"/>
  <c r="K1091" i="43"/>
  <c r="K1123" i="43"/>
  <c r="K1155" i="43"/>
  <c r="K1187" i="43"/>
  <c r="K1219" i="43"/>
  <c r="K1251" i="43"/>
  <c r="K466" i="43"/>
  <c r="K540" i="43"/>
  <c r="K572" i="43"/>
  <c r="K604" i="43"/>
  <c r="K636" i="43"/>
  <c r="K668" i="43"/>
  <c r="K700" i="43"/>
  <c r="K891" i="43"/>
  <c r="K992" i="43"/>
  <c r="K424" i="43"/>
  <c r="K746" i="43"/>
  <c r="K929" i="43"/>
  <c r="K1030" i="43"/>
  <c r="K1062" i="43"/>
  <c r="K1094" i="43"/>
  <c r="K1126" i="43"/>
  <c r="K1158" i="43"/>
  <c r="K1190" i="43"/>
  <c r="K1222" i="43"/>
  <c r="K601" i="43"/>
  <c r="K871" i="43"/>
  <c r="K2447" i="43"/>
  <c r="K2479" i="43"/>
  <c r="K2511" i="43"/>
  <c r="K2543" i="43"/>
  <c r="K2575" i="43"/>
  <c r="K599" i="43"/>
  <c r="K879" i="43"/>
  <c r="K1266" i="43"/>
  <c r="K1298" i="43"/>
  <c r="K1330" i="43"/>
  <c r="K1362" i="43"/>
  <c r="K1394" i="43"/>
  <c r="K1426" i="43"/>
  <c r="K1458" i="43"/>
  <c r="K1490" i="43"/>
  <c r="K1498" i="43"/>
  <c r="K1506" i="43"/>
  <c r="K430" i="43"/>
  <c r="K533" i="43"/>
  <c r="K565" i="43"/>
  <c r="K597" i="43"/>
  <c r="K629" i="43"/>
  <c r="K661" i="43"/>
  <c r="K693" i="43"/>
  <c r="K887" i="43"/>
  <c r="K991" i="43"/>
  <c r="K1238" i="43"/>
  <c r="K2438" i="43"/>
  <c r="K2446" i="43"/>
  <c r="K2454" i="43"/>
  <c r="K2462" i="43"/>
  <c r="K2470" i="43"/>
  <c r="K2478" i="43"/>
  <c r="K2486" i="43"/>
  <c r="K2494" i="43"/>
  <c r="K2502" i="43"/>
  <c r="K2510" i="43"/>
  <c r="K2518" i="43"/>
  <c r="K2526" i="43"/>
  <c r="K2534" i="43"/>
  <c r="K2542" i="43"/>
  <c r="K2550" i="43"/>
  <c r="K2558" i="43"/>
  <c r="K2566" i="43"/>
  <c r="K2574" i="43"/>
  <c r="K523" i="43"/>
  <c r="K651" i="43"/>
  <c r="K1244" i="43"/>
  <c r="K1287" i="43"/>
  <c r="K1319" i="43"/>
  <c r="K1351" i="43"/>
  <c r="K1383" i="43"/>
  <c r="K1415" i="43"/>
  <c r="K1447" i="43"/>
  <c r="K1479" i="43"/>
  <c r="K1511" i="43"/>
  <c r="K1519" i="43"/>
  <c r="K1527" i="43"/>
  <c r="K1535" i="43"/>
  <c r="K1543" i="43"/>
  <c r="K1551" i="43"/>
  <c r="K1559" i="43"/>
  <c r="K1567" i="43"/>
  <c r="K1575" i="43"/>
  <c r="K1583" i="43"/>
  <c r="K1591" i="43"/>
  <c r="K1599" i="43"/>
  <c r="K1607" i="43"/>
  <c r="K1615" i="43"/>
  <c r="K1623" i="43"/>
  <c r="K1631" i="43"/>
  <c r="K1639" i="43"/>
  <c r="K1647" i="43"/>
  <c r="K1655" i="43"/>
  <c r="K1663" i="43"/>
  <c r="K1671" i="43"/>
  <c r="K1679" i="43"/>
  <c r="K1687" i="43"/>
  <c r="K1695" i="43"/>
  <c r="K1703" i="43"/>
  <c r="K1711" i="43"/>
  <c r="K1719" i="43"/>
  <c r="K1727" i="43"/>
  <c r="K1735" i="43"/>
  <c r="K1743" i="43"/>
  <c r="K1751" i="43"/>
  <c r="K1759" i="43"/>
  <c r="K1767" i="43"/>
  <c r="K711" i="43"/>
  <c r="K743" i="43"/>
  <c r="K775" i="43"/>
  <c r="K807" i="43"/>
  <c r="K839" i="43"/>
  <c r="K8" i="43"/>
  <c r="K40" i="43"/>
  <c r="K72" i="43"/>
  <c r="K105" i="43"/>
  <c r="K137" i="43"/>
  <c r="K169" i="43"/>
  <c r="K120" i="43"/>
  <c r="K191" i="43"/>
  <c r="K223" i="43"/>
  <c r="K255" i="43"/>
  <c r="K287" i="43"/>
  <c r="K78" i="43"/>
  <c r="K734" i="43"/>
  <c r="K862" i="43"/>
  <c r="K212" i="43"/>
  <c r="K310" i="43"/>
  <c r="K343" i="43"/>
  <c r="K375" i="43"/>
  <c r="K407" i="43"/>
  <c r="K439" i="43"/>
  <c r="K471" i="43"/>
  <c r="K503" i="43"/>
  <c r="K106" i="43"/>
  <c r="K266" i="43"/>
  <c r="K826" i="43"/>
  <c r="K888" i="43"/>
  <c r="K920" i="43"/>
  <c r="K952" i="43"/>
  <c r="K3" i="43"/>
  <c r="K216" i="43"/>
  <c r="K311" i="43"/>
  <c r="K344" i="43"/>
  <c r="K376" i="43"/>
  <c r="K408" i="43"/>
  <c r="K452" i="43"/>
  <c r="K810" i="43"/>
  <c r="K957" i="43"/>
  <c r="K1035" i="43"/>
  <c r="K1067" i="43"/>
  <c r="K1099" i="43"/>
  <c r="K1131" i="43"/>
  <c r="K1163" i="43"/>
  <c r="K1195" i="43"/>
  <c r="K1227" i="43"/>
  <c r="K98" i="43"/>
  <c r="K498" i="43"/>
  <c r="K548" i="43"/>
  <c r="K580" i="43"/>
  <c r="K612" i="43"/>
  <c r="K644" i="43"/>
  <c r="K676" i="43"/>
  <c r="K748" i="43"/>
  <c r="K923" i="43"/>
  <c r="K1000" i="43"/>
  <c r="K456" i="43"/>
  <c r="K796" i="43"/>
  <c r="K961" i="43"/>
  <c r="K1038" i="43"/>
  <c r="K1070" i="43"/>
  <c r="K1102" i="43"/>
  <c r="K1134" i="43"/>
  <c r="K1166" i="43"/>
  <c r="K1198" i="43"/>
  <c r="K446" i="43"/>
  <c r="K633" i="43"/>
  <c r="K987" i="43"/>
  <c r="K2455" i="43"/>
  <c r="K2487" i="43"/>
  <c r="K2519" i="43"/>
  <c r="K2551" i="43"/>
  <c r="K454" i="43"/>
  <c r="K631" i="43"/>
  <c r="K985" i="43"/>
  <c r="K1274" i="43"/>
  <c r="K1306" i="43"/>
  <c r="K1338" i="43"/>
  <c r="K1370" i="43"/>
  <c r="K1402" i="43"/>
  <c r="K1434" i="43"/>
  <c r="K1466" i="43"/>
  <c r="K1492" i="43"/>
  <c r="K1500" i="43"/>
  <c r="K1508" i="43"/>
  <c r="K462" i="43"/>
  <c r="K541" i="43"/>
  <c r="K573" i="43"/>
  <c r="K605" i="43"/>
  <c r="K637" i="43"/>
  <c r="K669" i="43"/>
  <c r="K701" i="43"/>
  <c r="K919" i="43"/>
  <c r="K999" i="43"/>
  <c r="K1246" i="43"/>
  <c r="K2440" i="43"/>
  <c r="K2448" i="43"/>
  <c r="K2456" i="43"/>
  <c r="K2464" i="43"/>
  <c r="K2472" i="43"/>
  <c r="K2480" i="43"/>
  <c r="K2488" i="43"/>
  <c r="K2496" i="43"/>
  <c r="K2504" i="43"/>
  <c r="K2512" i="43"/>
  <c r="K2520" i="43"/>
  <c r="K2528" i="43"/>
  <c r="K2536" i="43"/>
  <c r="K2544" i="43"/>
  <c r="K2552" i="43"/>
  <c r="K2560" i="43"/>
  <c r="K2568" i="43"/>
  <c r="K2576" i="43"/>
  <c r="K555" i="43"/>
  <c r="K683" i="43"/>
  <c r="K1263" i="43"/>
  <c r="K1295" i="43"/>
  <c r="K1327" i="43"/>
  <c r="K1359" i="43"/>
  <c r="K1391" i="43"/>
  <c r="K1423" i="43"/>
  <c r="K1455" i="43"/>
  <c r="K1487" i="43"/>
  <c r="K1513" i="43"/>
  <c r="K1521" i="43"/>
  <c r="K1529" i="43"/>
  <c r="K1537" i="43"/>
  <c r="K1545" i="43"/>
  <c r="K1553" i="43"/>
  <c r="K1561" i="43"/>
  <c r="K1569" i="43"/>
  <c r="K1577" i="43"/>
  <c r="K1585" i="43"/>
  <c r="K1593" i="43"/>
  <c r="K1601" i="43"/>
  <c r="K1609" i="43"/>
  <c r="K1617" i="43"/>
  <c r="K1625" i="43"/>
  <c r="K1633" i="43"/>
  <c r="K1641" i="43"/>
  <c r="K1649" i="43"/>
  <c r="K1657" i="43"/>
  <c r="K1665" i="43"/>
  <c r="K1673" i="43"/>
  <c r="K1681" i="43"/>
  <c r="K1689" i="43"/>
  <c r="K1697" i="43"/>
  <c r="K1705" i="43"/>
  <c r="K1713" i="43"/>
  <c r="K1721" i="43"/>
  <c r="K1729" i="43"/>
  <c r="K1737" i="43"/>
  <c r="K1745" i="43"/>
  <c r="K1753" i="43"/>
  <c r="K1761" i="43"/>
  <c r="K470" i="43"/>
  <c r="K627" i="43"/>
  <c r="K1005" i="43"/>
  <c r="K1277" i="43"/>
  <c r="K1309" i="43"/>
  <c r="K1341" i="43"/>
  <c r="K1373" i="43"/>
  <c r="K1405" i="43"/>
  <c r="K1437" i="43"/>
  <c r="K719" i="43"/>
  <c r="K751" i="43"/>
  <c r="K783" i="43"/>
  <c r="K815" i="43"/>
  <c r="K847" i="43"/>
  <c r="K16" i="43"/>
  <c r="K48" i="43"/>
  <c r="K81" i="43"/>
  <c r="K113" i="43"/>
  <c r="K145" i="43"/>
  <c r="K23" i="43"/>
  <c r="K152" i="43"/>
  <c r="K199" i="43"/>
  <c r="K231" i="43"/>
  <c r="K263" i="43"/>
  <c r="K295" i="43"/>
  <c r="K110" i="43"/>
  <c r="K766" i="43"/>
  <c r="K59" i="43"/>
  <c r="K244" i="43"/>
  <c r="K319" i="43"/>
  <c r="K351" i="43"/>
  <c r="K383" i="43"/>
  <c r="K415" i="43"/>
  <c r="K447" i="43"/>
  <c r="K479" i="43"/>
  <c r="K511" i="43"/>
  <c r="K170" i="43"/>
  <c r="K298" i="43"/>
  <c r="K864" i="43"/>
  <c r="K896" i="43"/>
  <c r="K928" i="43"/>
  <c r="K960" i="43"/>
  <c r="K67" i="43"/>
  <c r="K248" i="43"/>
  <c r="K320" i="43"/>
  <c r="K352" i="43"/>
  <c r="K384" i="43"/>
  <c r="K416" i="43"/>
  <c r="K484" i="43"/>
  <c r="K860" i="43"/>
  <c r="K1011" i="43"/>
  <c r="K1043" i="43"/>
  <c r="K1075" i="43"/>
  <c r="K1107" i="43"/>
  <c r="K1139" i="43"/>
  <c r="K1171" i="43"/>
  <c r="K1203" i="43"/>
  <c r="K1235" i="43"/>
  <c r="K262" i="43"/>
  <c r="K524" i="43"/>
  <c r="K556" i="43"/>
  <c r="K588" i="43"/>
  <c r="K620" i="43"/>
  <c r="K652" i="43"/>
  <c r="K684" i="43"/>
  <c r="K802" i="43"/>
  <c r="K955" i="43"/>
  <c r="K1008" i="43"/>
  <c r="K488" i="43"/>
  <c r="K865" i="43"/>
  <c r="K1014" i="43"/>
  <c r="K1046" i="43"/>
  <c r="K1078" i="43"/>
  <c r="K1110" i="43"/>
  <c r="K1142" i="43"/>
  <c r="K1174" i="43"/>
  <c r="K1206" i="43"/>
  <c r="K537" i="43"/>
  <c r="K665" i="43"/>
  <c r="K1234" i="43"/>
  <c r="K2463" i="43"/>
  <c r="K2495" i="43"/>
  <c r="K2527" i="43"/>
  <c r="K2559" i="43"/>
  <c r="K535" i="43"/>
  <c r="K663" i="43"/>
  <c r="K1232" i="43"/>
  <c r="K1282" i="43"/>
  <c r="K1314" i="43"/>
  <c r="K1346" i="43"/>
  <c r="K1378" i="43"/>
  <c r="K1410" i="43"/>
  <c r="K1442" i="43"/>
  <c r="K1474" i="43"/>
  <c r="K1494" i="43"/>
  <c r="K1502" i="43"/>
  <c r="K1510" i="43"/>
  <c r="K494" i="43"/>
  <c r="K549" i="43"/>
  <c r="K581" i="43"/>
  <c r="K613" i="43"/>
  <c r="K645" i="43"/>
  <c r="K677" i="43"/>
  <c r="K738" i="43"/>
  <c r="K951" i="43"/>
  <c r="K1007" i="43"/>
  <c r="K1254" i="43"/>
  <c r="K2442" i="43"/>
  <c r="K2450" i="43"/>
  <c r="K2458" i="43"/>
  <c r="K2466" i="43"/>
  <c r="K2474" i="43"/>
  <c r="K2482" i="43"/>
  <c r="K2490" i="43"/>
  <c r="K2498" i="43"/>
  <c r="K2506" i="43"/>
  <c r="K2514" i="43"/>
  <c r="K2522" i="43"/>
  <c r="K2530" i="43"/>
  <c r="K2538" i="43"/>
  <c r="K2546" i="43"/>
  <c r="K2554" i="43"/>
  <c r="K2562" i="43"/>
  <c r="K2570" i="43"/>
  <c r="K214" i="43"/>
  <c r="K587" i="43"/>
  <c r="K959" i="43"/>
  <c r="K1271" i="43"/>
  <c r="K1303" i="43"/>
  <c r="K1335" i="43"/>
  <c r="K1367" i="43"/>
  <c r="K1399" i="43"/>
  <c r="K1431" i="43"/>
  <c r="K1463" i="43"/>
  <c r="K1495" i="43"/>
  <c r="K1515" i="43"/>
  <c r="K1523" i="43"/>
  <c r="K1531" i="43"/>
  <c r="K1539" i="43"/>
  <c r="K1547" i="43"/>
  <c r="K1555" i="43"/>
  <c r="K1563" i="43"/>
  <c r="K1571" i="43"/>
  <c r="K1579" i="43"/>
  <c r="K1587" i="43"/>
  <c r="K1595" i="43"/>
  <c r="K1603" i="43"/>
  <c r="K1611" i="43"/>
  <c r="K1619" i="43"/>
  <c r="K1627" i="43"/>
  <c r="K1635" i="43"/>
  <c r="K1643" i="43"/>
  <c r="K1651" i="43"/>
  <c r="K1659" i="43"/>
  <c r="K1667" i="43"/>
  <c r="K727" i="43"/>
  <c r="K759" i="43"/>
  <c r="K791" i="43"/>
  <c r="K823" i="43"/>
  <c r="K855" i="43"/>
  <c r="K24" i="43"/>
  <c r="K56" i="43"/>
  <c r="K89" i="43"/>
  <c r="K121" i="43"/>
  <c r="K153" i="43"/>
  <c r="K55" i="43"/>
  <c r="K175" i="43"/>
  <c r="K207" i="43"/>
  <c r="K239" i="43"/>
  <c r="K271" i="43"/>
  <c r="K13" i="43"/>
  <c r="K142" i="43"/>
  <c r="K798" i="43"/>
  <c r="K124" i="43"/>
  <c r="K276" i="43"/>
  <c r="K327" i="43"/>
  <c r="K359" i="43"/>
  <c r="K391" i="43"/>
  <c r="K423" i="43"/>
  <c r="K455" i="43"/>
  <c r="K487" i="43"/>
  <c r="K519" i="43"/>
  <c r="K202" i="43"/>
  <c r="K736" i="43"/>
  <c r="K872" i="43"/>
  <c r="K904" i="43"/>
  <c r="K936" i="43"/>
  <c r="K968" i="43"/>
  <c r="K132" i="43"/>
  <c r="K280" i="43"/>
  <c r="K328" i="43"/>
  <c r="K360" i="43"/>
  <c r="K392" i="43"/>
  <c r="K190" i="43"/>
  <c r="K516" i="43"/>
  <c r="K893" i="43"/>
  <c r="K1019" i="43"/>
  <c r="K1051" i="43"/>
  <c r="K1083" i="43"/>
  <c r="K1115" i="43"/>
  <c r="K1147" i="43"/>
  <c r="K1179" i="43"/>
  <c r="K1211" i="43"/>
  <c r="K1243" i="43"/>
  <c r="K434" i="43"/>
  <c r="K532" i="43"/>
  <c r="K564" i="43"/>
  <c r="K596" i="43"/>
  <c r="K628" i="43"/>
  <c r="K660" i="43"/>
  <c r="K692" i="43"/>
  <c r="K848" i="43"/>
  <c r="K984" i="43"/>
  <c r="K174" i="43"/>
  <c r="K520" i="43"/>
  <c r="K897" i="43"/>
  <c r="K1022" i="43"/>
  <c r="K1054" i="43"/>
  <c r="K1086" i="43"/>
  <c r="K1118" i="43"/>
  <c r="K1150" i="43"/>
  <c r="K1182" i="43"/>
  <c r="K1214" i="43"/>
  <c r="K569" i="43"/>
  <c r="K697" i="43"/>
  <c r="K2439" i="43"/>
  <c r="K2471" i="43"/>
  <c r="K2503" i="43"/>
  <c r="K2535" i="43"/>
  <c r="K2567" i="43"/>
  <c r="K567" i="43"/>
  <c r="K695" i="43"/>
  <c r="K1258" i="43"/>
  <c r="K1290" i="43"/>
  <c r="K1322" i="43"/>
  <c r="K1354" i="43"/>
  <c r="K1386" i="43"/>
  <c r="K1418" i="43"/>
  <c r="K1450" i="43"/>
  <c r="K1482" i="43"/>
  <c r="K1496" i="43"/>
  <c r="K557" i="43"/>
  <c r="K685" i="43"/>
  <c r="K2436" i="43"/>
  <c r="K2468" i="43"/>
  <c r="K2500" i="43"/>
  <c r="K2532" i="43"/>
  <c r="K2564" i="43"/>
  <c r="K997" i="43"/>
  <c r="K1375" i="43"/>
  <c r="K1503" i="43"/>
  <c r="K1541" i="43"/>
  <c r="K1573" i="43"/>
  <c r="K1605" i="43"/>
  <c r="K1637" i="43"/>
  <c r="K1669" i="43"/>
  <c r="K1685" i="43"/>
  <c r="K1701" i="43"/>
  <c r="K1717" i="43"/>
  <c r="K1733" i="43"/>
  <c r="K1749" i="43"/>
  <c r="K1765" i="43"/>
  <c r="K659" i="43"/>
  <c r="K1261" i="43"/>
  <c r="K1301" i="43"/>
  <c r="K1349" i="43"/>
  <c r="K1389" i="43"/>
  <c r="K1429" i="43"/>
  <c r="K1469" i="43"/>
  <c r="K1501" i="43"/>
  <c r="K2609" i="43"/>
  <c r="K2617" i="43"/>
  <c r="K2625" i="43"/>
  <c r="K2633" i="43"/>
  <c r="K2641" i="43"/>
  <c r="K2649" i="43"/>
  <c r="K2657" i="43"/>
  <c r="K2665" i="43"/>
  <c r="K2673" i="43"/>
  <c r="K2681" i="43"/>
  <c r="K2689" i="43"/>
  <c r="K2697" i="43"/>
  <c r="K2705" i="43"/>
  <c r="K2713" i="43"/>
  <c r="K2721" i="43"/>
  <c r="K2729" i="43"/>
  <c r="K2737" i="43"/>
  <c r="K2745" i="43"/>
  <c r="K2753" i="43"/>
  <c r="K2770" i="43"/>
  <c r="K2778" i="43"/>
  <c r="K2786" i="43"/>
  <c r="K2794" i="43"/>
  <c r="K2802" i="43"/>
  <c r="K2810" i="43"/>
  <c r="K603" i="43"/>
  <c r="K828" i="43"/>
  <c r="K1267" i="43"/>
  <c r="K1299" i="43"/>
  <c r="K1331" i="43"/>
  <c r="K1363" i="43"/>
  <c r="K1395" i="43"/>
  <c r="K1427" i="43"/>
  <c r="K1459" i="43"/>
  <c r="K1491" i="43"/>
  <c r="K1514" i="43"/>
  <c r="K1522" i="43"/>
  <c r="K1530" i="43"/>
  <c r="K1538" i="43"/>
  <c r="K1546" i="43"/>
  <c r="K1554" i="43"/>
  <c r="K1562" i="43"/>
  <c r="K1570" i="43"/>
  <c r="K1578" i="43"/>
  <c r="K1586" i="43"/>
  <c r="K1594" i="43"/>
  <c r="K1602" i="43"/>
  <c r="K1610" i="43"/>
  <c r="K1618" i="43"/>
  <c r="K1626" i="43"/>
  <c r="K1634" i="43"/>
  <c r="K1642" i="43"/>
  <c r="K1650" i="43"/>
  <c r="K1658" i="43"/>
  <c r="K1666" i="43"/>
  <c r="K1674" i="43"/>
  <c r="K1682" i="43"/>
  <c r="K1690" i="43"/>
  <c r="K1698" i="43"/>
  <c r="K1706" i="43"/>
  <c r="K1714" i="43"/>
  <c r="K1722" i="43"/>
  <c r="K1730" i="43"/>
  <c r="K1738" i="43"/>
  <c r="K1746" i="43"/>
  <c r="K1754" i="43"/>
  <c r="K1762" i="43"/>
  <c r="K675" i="43"/>
  <c r="K1353" i="43"/>
  <c r="K1481" i="43"/>
  <c r="K2636" i="43"/>
  <c r="K2668" i="43"/>
  <c r="K2700" i="43"/>
  <c r="K2732" i="43"/>
  <c r="K2773" i="43"/>
  <c r="K2805" i="43"/>
  <c r="K2828" i="43"/>
  <c r="K2836" i="43"/>
  <c r="K2844" i="43"/>
  <c r="K2852" i="43"/>
  <c r="K2867" i="43"/>
  <c r="K2875" i="43"/>
  <c r="K2883" i="43"/>
  <c r="K2891" i="43"/>
  <c r="K2899" i="43"/>
  <c r="K2907" i="43"/>
  <c r="K2915" i="43"/>
  <c r="K2923" i="43"/>
  <c r="K2931" i="43"/>
  <c r="K2939" i="43"/>
  <c r="K2947" i="43"/>
  <c r="K2955" i="43"/>
  <c r="K2963" i="43"/>
  <c r="K2990" i="43"/>
  <c r="K2998" i="43"/>
  <c r="K3011" i="43"/>
  <c r="K3019" i="43"/>
  <c r="K3027" i="43"/>
  <c r="K3035" i="43"/>
  <c r="K3048" i="43"/>
  <c r="K3061" i="43"/>
  <c r="K3069" i="43"/>
  <c r="K3173" i="43"/>
  <c r="K3188" i="43"/>
  <c r="K3206" i="43"/>
  <c r="K3215" i="43"/>
  <c r="K3231" i="43"/>
  <c r="K2171" i="43"/>
  <c r="K2187" i="43"/>
  <c r="K2203" i="43"/>
  <c r="K2219" i="43"/>
  <c r="K2235" i="43"/>
  <c r="K2251" i="43"/>
  <c r="K2267" i="43"/>
  <c r="K2283" i="43"/>
  <c r="K2297" i="43"/>
  <c r="K2315" i="43"/>
  <c r="K2329" i="43"/>
  <c r="K2347" i="43"/>
  <c r="K2361" i="43"/>
  <c r="K2377" i="43"/>
  <c r="K2393" i="43"/>
  <c r="K2409" i="43"/>
  <c r="K2423" i="43"/>
  <c r="K2579" i="43"/>
  <c r="K2593" i="43"/>
  <c r="K2626" i="43"/>
  <c r="K2690" i="43"/>
  <c r="K2746" i="43"/>
  <c r="K2779" i="43"/>
  <c r="K2819" i="43"/>
  <c r="K2975" i="43"/>
  <c r="K3002" i="43"/>
  <c r="K3075" i="43"/>
  <c r="K3091" i="43"/>
  <c r="K3108" i="43"/>
  <c r="K3124" i="43"/>
  <c r="K3147" i="43"/>
  <c r="K3163" i="43"/>
  <c r="K1998" i="43"/>
  <c r="K1504" i="43"/>
  <c r="K589" i="43"/>
  <c r="K772" i="43"/>
  <c r="K2444" i="43"/>
  <c r="K2476" i="43"/>
  <c r="K2508" i="43"/>
  <c r="K2540" i="43"/>
  <c r="K2572" i="43"/>
  <c r="K1279" i="43"/>
  <c r="K1407" i="43"/>
  <c r="K1517" i="43"/>
  <c r="K1549" i="43"/>
  <c r="K1581" i="43"/>
  <c r="K1613" i="43"/>
  <c r="K1645" i="43"/>
  <c r="K1675" i="43"/>
  <c r="K1691" i="43"/>
  <c r="K1707" i="43"/>
  <c r="K1723" i="43"/>
  <c r="K1739" i="43"/>
  <c r="K1755" i="43"/>
  <c r="K531" i="43"/>
  <c r="K691" i="43"/>
  <c r="K1269" i="43"/>
  <c r="K1317" i="43"/>
  <c r="K1357" i="43"/>
  <c r="K1397" i="43"/>
  <c r="K1445" i="43"/>
  <c r="K1477" i="43"/>
  <c r="K1509" i="43"/>
  <c r="K2611" i="43"/>
  <c r="K2619" i="43"/>
  <c r="K2627" i="43"/>
  <c r="K2635" i="43"/>
  <c r="K2643" i="43"/>
  <c r="K2651" i="43"/>
  <c r="K2659" i="43"/>
  <c r="K2667" i="43"/>
  <c r="K2675" i="43"/>
  <c r="K2683" i="43"/>
  <c r="K2691" i="43"/>
  <c r="K2699" i="43"/>
  <c r="K2707" i="43"/>
  <c r="K2715" i="43"/>
  <c r="K2723" i="43"/>
  <c r="K2731" i="43"/>
  <c r="K2739" i="43"/>
  <c r="K2747" i="43"/>
  <c r="K2755" i="43"/>
  <c r="K2772" i="43"/>
  <c r="K2780" i="43"/>
  <c r="K2788" i="43"/>
  <c r="K2796" i="43"/>
  <c r="K2804" i="43"/>
  <c r="K502" i="43"/>
  <c r="K635" i="43"/>
  <c r="K895" i="43"/>
  <c r="K1275" i="43"/>
  <c r="K1307" i="43"/>
  <c r="K1339" i="43"/>
  <c r="K1371" i="43"/>
  <c r="K1403" i="43"/>
  <c r="K1435" i="43"/>
  <c r="K1467" i="43"/>
  <c r="K1499" i="43"/>
  <c r="K1516" i="43"/>
  <c r="K1524" i="43"/>
  <c r="K1532" i="43"/>
  <c r="K1540" i="43"/>
  <c r="K1548" i="43"/>
  <c r="K1556" i="43"/>
  <c r="K1564" i="43"/>
  <c r="K1572" i="43"/>
  <c r="K1580" i="43"/>
  <c r="K1588" i="43"/>
  <c r="K1596" i="43"/>
  <c r="K1604" i="43"/>
  <c r="K1612" i="43"/>
  <c r="K1620" i="43"/>
  <c r="K1628" i="43"/>
  <c r="K1636" i="43"/>
  <c r="K1644" i="43"/>
  <c r="K1652" i="43"/>
  <c r="K1660" i="43"/>
  <c r="K1668" i="43"/>
  <c r="K1676" i="43"/>
  <c r="K1684" i="43"/>
  <c r="K1692" i="43"/>
  <c r="K1700" i="43"/>
  <c r="K1708" i="43"/>
  <c r="K1716" i="43"/>
  <c r="K1724" i="43"/>
  <c r="K1732" i="43"/>
  <c r="K1740" i="43"/>
  <c r="K1748" i="43"/>
  <c r="K1756" i="43"/>
  <c r="K1764" i="43"/>
  <c r="K1257" i="43"/>
  <c r="K1385" i="43"/>
  <c r="K2612" i="43"/>
  <c r="K2644" i="43"/>
  <c r="K2676" i="43"/>
  <c r="K2708" i="43"/>
  <c r="K2740" i="43"/>
  <c r="K2781" i="43"/>
  <c r="K2822" i="43"/>
  <c r="K2830" i="43"/>
  <c r="K2838" i="43"/>
  <c r="K2846" i="43"/>
  <c r="K2854" i="43"/>
  <c r="K2869" i="43"/>
  <c r="K2877" i="43"/>
  <c r="K2885" i="43"/>
  <c r="K2893" i="43"/>
  <c r="K2901" i="43"/>
  <c r="K2909" i="43"/>
  <c r="K2917" i="43"/>
  <c r="K2925" i="43"/>
  <c r="K2933" i="43"/>
  <c r="K2941" i="43"/>
  <c r="K2949" i="43"/>
  <c r="K2957" i="43"/>
  <c r="K2965" i="43"/>
  <c r="K2992" i="43"/>
  <c r="K3005" i="43"/>
  <c r="K3013" i="43"/>
  <c r="K3021" i="43"/>
  <c r="K3029" i="43"/>
  <c r="K3037" i="43"/>
  <c r="K3050" i="43"/>
  <c r="K3063" i="43"/>
  <c r="K3106" i="43"/>
  <c r="K3175" i="43"/>
  <c r="K3190" i="43"/>
  <c r="K3208" i="43"/>
  <c r="K3217" i="43"/>
  <c r="K2133" i="43"/>
  <c r="K2175" i="43"/>
  <c r="K2191" i="43"/>
  <c r="K2207" i="43"/>
  <c r="K2223" i="43"/>
  <c r="K2239" i="43"/>
  <c r="K2255" i="43"/>
  <c r="K2269" i="43"/>
  <c r="K2287" i="43"/>
  <c r="K2303" i="43"/>
  <c r="K2319" i="43"/>
  <c r="K2335" i="43"/>
  <c r="K2351" i="43"/>
  <c r="K2365" i="43"/>
  <c r="K2381" i="43"/>
  <c r="K2397" i="43"/>
  <c r="K2413" i="43"/>
  <c r="K2427" i="43"/>
  <c r="K2583" i="43"/>
  <c r="K2597" i="43"/>
  <c r="K2642" i="43"/>
  <c r="K2706" i="43"/>
  <c r="K2761" i="43"/>
  <c r="K2795" i="43"/>
  <c r="K2858" i="43"/>
  <c r="K2979" i="43"/>
  <c r="K3041" i="43"/>
  <c r="K3079" i="43"/>
  <c r="K3095" i="43"/>
  <c r="K3112" i="43"/>
  <c r="K3128" i="43"/>
  <c r="K3151" i="43"/>
  <c r="K3167" i="43"/>
  <c r="K3200" i="43"/>
  <c r="K2034" i="43"/>
  <c r="K182" i="43"/>
  <c r="K621" i="43"/>
  <c r="K983" i="43"/>
  <c r="K2452" i="43"/>
  <c r="K2484" i="43"/>
  <c r="K2516" i="43"/>
  <c r="K2548" i="43"/>
  <c r="K438" i="43"/>
  <c r="K1311" i="43"/>
  <c r="K1439" i="43"/>
  <c r="K1525" i="43"/>
  <c r="K1557" i="43"/>
  <c r="K1589" i="43"/>
  <c r="K1621" i="43"/>
  <c r="K1653" i="43"/>
  <c r="K1677" i="43"/>
  <c r="K1693" i="43"/>
  <c r="K1709" i="43"/>
  <c r="K1725" i="43"/>
  <c r="K1741" i="43"/>
  <c r="K1757" i="43"/>
  <c r="K563" i="43"/>
  <c r="K728" i="43"/>
  <c r="K1285" i="43"/>
  <c r="K1325" i="43"/>
  <c r="K1365" i="43"/>
  <c r="K1413" i="43"/>
  <c r="K1453" i="43"/>
  <c r="K1485" i="43"/>
  <c r="K2605" i="43"/>
  <c r="K2613" i="43"/>
  <c r="K2621" i="43"/>
  <c r="K2629" i="43"/>
  <c r="K2637" i="43"/>
  <c r="K2645" i="43"/>
  <c r="K2653" i="43"/>
  <c r="K2661" i="43"/>
  <c r="K2669" i="43"/>
  <c r="K2677" i="43"/>
  <c r="K2685" i="43"/>
  <c r="K2693" i="43"/>
  <c r="K2701" i="43"/>
  <c r="K2709" i="43"/>
  <c r="K2717" i="43"/>
  <c r="K2725" i="43"/>
  <c r="K2733" i="43"/>
  <c r="K2741" i="43"/>
  <c r="K2749" i="43"/>
  <c r="K2757" i="43"/>
  <c r="K2774" i="43"/>
  <c r="K2782" i="43"/>
  <c r="K2790" i="43"/>
  <c r="K2798" i="43"/>
  <c r="K2806" i="43"/>
  <c r="K539" i="43"/>
  <c r="K667" i="43"/>
  <c r="K1228" i="43"/>
  <c r="K1283" i="43"/>
  <c r="K1315" i="43"/>
  <c r="K1347" i="43"/>
  <c r="K1379" i="43"/>
  <c r="K1411" i="43"/>
  <c r="K1443" i="43"/>
  <c r="K1475" i="43"/>
  <c r="K1507" i="43"/>
  <c r="K1518" i="43"/>
  <c r="K1526" i="43"/>
  <c r="K1534" i="43"/>
  <c r="K1542" i="43"/>
  <c r="K1550" i="43"/>
  <c r="K1558" i="43"/>
  <c r="K1566" i="43"/>
  <c r="K1574" i="43"/>
  <c r="K1582" i="43"/>
  <c r="K1590" i="43"/>
  <c r="K1598" i="43"/>
  <c r="K1606" i="43"/>
  <c r="K1614" i="43"/>
  <c r="K1622" i="43"/>
  <c r="K1630" i="43"/>
  <c r="K1638" i="43"/>
  <c r="K1646" i="43"/>
  <c r="K1654" i="43"/>
  <c r="K1662" i="43"/>
  <c r="K1670" i="43"/>
  <c r="K1678" i="43"/>
  <c r="K1686" i="43"/>
  <c r="K1694" i="43"/>
  <c r="K1702" i="43"/>
  <c r="K1710" i="43"/>
  <c r="K1718" i="43"/>
  <c r="K1726" i="43"/>
  <c r="K1734" i="43"/>
  <c r="K1742" i="43"/>
  <c r="K1750" i="43"/>
  <c r="K1758" i="43"/>
  <c r="K1766" i="43"/>
  <c r="K1289" i="43"/>
  <c r="K1417" i="43"/>
  <c r="K2620" i="43"/>
  <c r="K2652" i="43"/>
  <c r="K2684" i="43"/>
  <c r="K2716" i="43"/>
  <c r="K2748" i="43"/>
  <c r="K2789" i="43"/>
  <c r="K2824" i="43"/>
  <c r="K2832" i="43"/>
  <c r="K2840" i="43"/>
  <c r="K2848" i="43"/>
  <c r="K2856" i="43"/>
  <c r="K2871" i="43"/>
  <c r="K2879" i="43"/>
  <c r="K2887" i="43"/>
  <c r="K2895" i="43"/>
  <c r="K2903" i="43"/>
  <c r="K2911" i="43"/>
  <c r="K2919" i="43"/>
  <c r="K2927" i="43"/>
  <c r="K2935" i="43"/>
  <c r="K2943" i="43"/>
  <c r="K2951" i="43"/>
  <c r="K2959" i="43"/>
  <c r="K2967" i="43"/>
  <c r="K2994" i="43"/>
  <c r="K3007" i="43"/>
  <c r="K3015" i="43"/>
  <c r="K3023" i="43"/>
  <c r="K3031" i="43"/>
  <c r="K3039" i="43"/>
  <c r="K3052" i="43"/>
  <c r="K3065" i="43"/>
  <c r="K3131" i="43"/>
  <c r="K3179" i="43"/>
  <c r="K3192" i="43"/>
  <c r="K3211" i="43"/>
  <c r="K3220" i="43"/>
  <c r="K2163" i="43"/>
  <c r="K2179" i="43"/>
  <c r="K2195" i="43"/>
  <c r="K2211" i="43"/>
  <c r="K2227" i="43"/>
  <c r="K2243" i="43"/>
  <c r="K2259" i="43"/>
  <c r="K2273" i="43"/>
  <c r="K2289" i="43"/>
  <c r="K2307" i="43"/>
  <c r="K2321" i="43"/>
  <c r="K2339" i="43"/>
  <c r="K2353" i="43"/>
  <c r="K2369" i="43"/>
  <c r="K2385" i="43"/>
  <c r="K2401" i="43"/>
  <c r="K2415" i="43"/>
  <c r="K2431" i="43"/>
  <c r="K2587" i="43"/>
  <c r="K2601" i="43"/>
  <c r="K2658" i="43"/>
  <c r="K2722" i="43"/>
  <c r="K2765" i="43"/>
  <c r="K2811" i="43"/>
  <c r="K2862" i="43"/>
  <c r="K2983" i="43"/>
  <c r="K3058" i="43"/>
  <c r="K3083" i="43"/>
  <c r="K3099" i="43"/>
  <c r="K3116" i="43"/>
  <c r="K3137" i="43"/>
  <c r="K3155" i="43"/>
  <c r="K3172" i="43"/>
  <c r="K3222" i="43"/>
  <c r="K2040" i="43"/>
  <c r="K525" i="43"/>
  <c r="K653" i="43"/>
  <c r="K1230" i="43"/>
  <c r="K2460" i="43"/>
  <c r="K2492" i="43"/>
  <c r="K2524" i="43"/>
  <c r="K2556" i="43"/>
  <c r="K619" i="43"/>
  <c r="K1343" i="43"/>
  <c r="K1471" i="43"/>
  <c r="K1533" i="43"/>
  <c r="K1565" i="43"/>
  <c r="K1597" i="43"/>
  <c r="K1629" i="43"/>
  <c r="K1661" i="43"/>
  <c r="K1683" i="43"/>
  <c r="K1699" i="43"/>
  <c r="K1715" i="43"/>
  <c r="K1731" i="43"/>
  <c r="K1747" i="43"/>
  <c r="K1763" i="43"/>
  <c r="K595" i="43"/>
  <c r="K1252" i="43"/>
  <c r="K1293" i="43"/>
  <c r="K1333" i="43"/>
  <c r="K1381" i="43"/>
  <c r="K1421" i="43"/>
  <c r="K1461" i="43"/>
  <c r="K1493" i="43"/>
  <c r="K2607" i="43"/>
  <c r="K2615" i="43"/>
  <c r="K2623" i="43"/>
  <c r="K2631" i="43"/>
  <c r="K2639" i="43"/>
  <c r="K2647" i="43"/>
  <c r="K2655" i="43"/>
  <c r="K2663" i="43"/>
  <c r="K2671" i="43"/>
  <c r="K2679" i="43"/>
  <c r="K2687" i="43"/>
  <c r="K2695" i="43"/>
  <c r="K2703" i="43"/>
  <c r="K2711" i="43"/>
  <c r="K2719" i="43"/>
  <c r="K2727" i="43"/>
  <c r="K2735" i="43"/>
  <c r="K2743" i="43"/>
  <c r="K2751" i="43"/>
  <c r="K2759" i="43"/>
  <c r="K2776" i="43"/>
  <c r="K2784" i="43"/>
  <c r="K2792" i="43"/>
  <c r="K2800" i="43"/>
  <c r="K2808" i="43"/>
  <c r="K571" i="43"/>
  <c r="K699" i="43"/>
  <c r="K1259" i="43"/>
  <c r="K1291" i="43"/>
  <c r="K1323" i="43"/>
  <c r="K1355" i="43"/>
  <c r="K1387" i="43"/>
  <c r="K1419" i="43"/>
  <c r="K1451" i="43"/>
  <c r="K1483" i="43"/>
  <c r="K1512" i="43"/>
  <c r="K1520" i="43"/>
  <c r="K1528" i="43"/>
  <c r="K1536" i="43"/>
  <c r="K1544" i="43"/>
  <c r="K1552" i="43"/>
  <c r="K1560" i="43"/>
  <c r="K1568" i="43"/>
  <c r="K1576" i="43"/>
  <c r="K1584" i="43"/>
  <c r="K1592" i="43"/>
  <c r="K1600" i="43"/>
  <c r="K1608" i="43"/>
  <c r="K1616" i="43"/>
  <c r="K1624" i="43"/>
  <c r="K1632" i="43"/>
  <c r="K1640" i="43"/>
  <c r="K1648" i="43"/>
  <c r="K1656" i="43"/>
  <c r="K1664" i="43"/>
  <c r="K1672" i="43"/>
  <c r="K1680" i="43"/>
  <c r="K1688" i="43"/>
  <c r="K1696" i="43"/>
  <c r="K1704" i="43"/>
  <c r="K1712" i="43"/>
  <c r="K1720" i="43"/>
  <c r="K1728" i="43"/>
  <c r="K1736" i="43"/>
  <c r="K1744" i="43"/>
  <c r="K1752" i="43"/>
  <c r="K1760" i="43"/>
  <c r="K547" i="43"/>
  <c r="K1321" i="43"/>
  <c r="K1449" i="43"/>
  <c r="K2628" i="43"/>
  <c r="K2660" i="43"/>
  <c r="K2692" i="43"/>
  <c r="K2724" i="43"/>
  <c r="K2756" i="43"/>
  <c r="K2797" i="43"/>
  <c r="K2826" i="43"/>
  <c r="K2834" i="43"/>
  <c r="K2842" i="43"/>
  <c r="K2850" i="43"/>
  <c r="K2865" i="43"/>
  <c r="K2873" i="43"/>
  <c r="K2881" i="43"/>
  <c r="K2889" i="43"/>
  <c r="K2897" i="43"/>
  <c r="K2905" i="43"/>
  <c r="K2913" i="43"/>
  <c r="K2921" i="43"/>
  <c r="K2929" i="43"/>
  <c r="K2937" i="43"/>
  <c r="K2945" i="43"/>
  <c r="K2953" i="43"/>
  <c r="K2961" i="43"/>
  <c r="K2969" i="43"/>
  <c r="K2996" i="43"/>
  <c r="K3009" i="43"/>
  <c r="K3017" i="43"/>
  <c r="K3025" i="43"/>
  <c r="K3033" i="43"/>
  <c r="K3046" i="43"/>
  <c r="K3054" i="43"/>
  <c r="K3067" i="43"/>
  <c r="K3133" i="43"/>
  <c r="K3186" i="43"/>
  <c r="K3204" i="43"/>
  <c r="K3213" i="43"/>
  <c r="K3229" i="43"/>
  <c r="K2167" i="43"/>
  <c r="K2183" i="43"/>
  <c r="K2199" i="43"/>
  <c r="K2215" i="43"/>
  <c r="K2231" i="43"/>
  <c r="K2247" i="43"/>
  <c r="K2263" i="43"/>
  <c r="K2279" i="43"/>
  <c r="K2293" i="43"/>
  <c r="K2311" i="43"/>
  <c r="K2325" i="43"/>
  <c r="K2343" i="43"/>
  <c r="K2357" i="43"/>
  <c r="K2373" i="43"/>
  <c r="K2389" i="43"/>
  <c r="K2405" i="43"/>
  <c r="K2419" i="43"/>
  <c r="K2435" i="43"/>
  <c r="K2589" i="43"/>
  <c r="K2610" i="43"/>
  <c r="K2674" i="43"/>
  <c r="K2738" i="43"/>
  <c r="K2769" i="43"/>
  <c r="K2815" i="43"/>
  <c r="K2971" i="43"/>
  <c r="K2987" i="43"/>
  <c r="K3071" i="43"/>
  <c r="K3087" i="43"/>
  <c r="K3103" i="43"/>
  <c r="K3120" i="43"/>
  <c r="K3141" i="43"/>
  <c r="K3159" i="43"/>
  <c r="K3183" i="43"/>
  <c r="K3226" i="43"/>
  <c r="K989" i="43"/>
  <c r="K1361" i="43"/>
  <c r="K1489" i="43"/>
  <c r="K1775" i="43"/>
  <c r="K1783" i="43"/>
  <c r="K1791" i="43"/>
  <c r="K1799" i="43"/>
  <c r="K1807" i="43"/>
  <c r="K1815" i="43"/>
  <c r="K1823" i="43"/>
  <c r="K1831" i="43"/>
  <c r="K1839" i="43"/>
  <c r="K1847" i="43"/>
  <c r="K1855" i="43"/>
  <c r="K1863" i="43"/>
  <c r="K1871" i="43"/>
  <c r="K1879" i="43"/>
  <c r="K1887" i="43"/>
  <c r="K1895" i="43"/>
  <c r="K1903" i="43"/>
  <c r="K1911" i="43"/>
  <c r="K1919" i="43"/>
  <c r="K1927" i="43"/>
  <c r="K1935" i="43"/>
  <c r="K1943" i="43"/>
  <c r="K1951" i="43"/>
  <c r="K1959" i="43"/>
  <c r="K1967" i="43"/>
  <c r="K1975" i="43"/>
  <c r="K1983" i="43"/>
  <c r="K1991" i="43"/>
  <c r="K1999" i="43"/>
  <c r="K2007" i="43"/>
  <c r="K2015" i="43"/>
  <c r="K2023" i="43"/>
  <c r="K2031" i="43"/>
  <c r="K2039" i="43"/>
  <c r="K2047" i="43"/>
  <c r="K2055" i="43"/>
  <c r="K2063" i="43"/>
  <c r="K2071" i="43"/>
  <c r="K2079" i="43"/>
  <c r="K2087" i="43"/>
  <c r="K2095" i="43"/>
  <c r="K2103" i="43"/>
  <c r="K2111" i="43"/>
  <c r="K2119" i="43"/>
  <c r="K2127" i="43"/>
  <c r="K2137" i="43"/>
  <c r="K2145" i="43"/>
  <c r="K2153" i="43"/>
  <c r="K2161" i="43"/>
  <c r="K2177" i="43"/>
  <c r="K2193" i="43"/>
  <c r="K2209" i="43"/>
  <c r="K2225" i="43"/>
  <c r="K2241" i="43"/>
  <c r="K2257" i="43"/>
  <c r="K2275" i="43"/>
  <c r="K2291" i="43"/>
  <c r="K2305" i="43"/>
  <c r="K2323" i="43"/>
  <c r="K2337" i="43"/>
  <c r="K2355" i="43"/>
  <c r="K2371" i="43"/>
  <c r="K2387" i="43"/>
  <c r="K2403" i="43"/>
  <c r="K2421" i="43"/>
  <c r="K2577" i="43"/>
  <c r="K2595" i="43"/>
  <c r="K2634" i="43"/>
  <c r="K2698" i="43"/>
  <c r="K2763" i="43"/>
  <c r="K2803" i="43"/>
  <c r="K2860" i="43"/>
  <c r="K2985" i="43"/>
  <c r="K3056" i="43"/>
  <c r="K3085" i="43"/>
  <c r="K3101" i="43"/>
  <c r="K3118" i="43"/>
  <c r="K3139" i="43"/>
  <c r="K3153" i="43"/>
  <c r="K3170" i="43"/>
  <c r="K3203" i="43"/>
  <c r="K2042" i="43"/>
  <c r="K611" i="43"/>
  <c r="K1305" i="43"/>
  <c r="K1433" i="43"/>
  <c r="K2616" i="43"/>
  <c r="K2648" i="43"/>
  <c r="K2680" i="43"/>
  <c r="K2712" i="43"/>
  <c r="K2744" i="43"/>
  <c r="K2793" i="43"/>
  <c r="K2825" i="43"/>
  <c r="K2833" i="43"/>
  <c r="K2841" i="43"/>
  <c r="K2849" i="43"/>
  <c r="K2857" i="43"/>
  <c r="K2870" i="43"/>
  <c r="K2878" i="43"/>
  <c r="K2886" i="43"/>
  <c r="K2894" i="43"/>
  <c r="K2902" i="43"/>
  <c r="K2910" i="43"/>
  <c r="K2918" i="43"/>
  <c r="K2926" i="43"/>
  <c r="K2934" i="43"/>
  <c r="K2942" i="43"/>
  <c r="K2950" i="43"/>
  <c r="K2958" i="43"/>
  <c r="K2966" i="43"/>
  <c r="K2991" i="43"/>
  <c r="K3014" i="43"/>
  <c r="K3022" i="43"/>
  <c r="K3030" i="43"/>
  <c r="K3038" i="43"/>
  <c r="K3049" i="43"/>
  <c r="K3062" i="43"/>
  <c r="K3130" i="43"/>
  <c r="K3178" i="43"/>
  <c r="K3191" i="43"/>
  <c r="K3210" i="43"/>
  <c r="K3219" i="43"/>
  <c r="K3232" i="43"/>
  <c r="K1345" i="43"/>
  <c r="K1473" i="43"/>
  <c r="K1772" i="43"/>
  <c r="K1780" i="43"/>
  <c r="K1788" i="43"/>
  <c r="K1796" i="43"/>
  <c r="K1804" i="43"/>
  <c r="K1812" i="43"/>
  <c r="K1820" i="43"/>
  <c r="K1828" i="43"/>
  <c r="K1836" i="43"/>
  <c r="K1844" i="43"/>
  <c r="K1852" i="43"/>
  <c r="K1860" i="43"/>
  <c r="K1868" i="43"/>
  <c r="K1876" i="43"/>
  <c r="K1884" i="43"/>
  <c r="K1892" i="43"/>
  <c r="K1900" i="43"/>
  <c r="K1908" i="43"/>
  <c r="K1916" i="43"/>
  <c r="K1924" i="43"/>
  <c r="K1932" i="43"/>
  <c r="K1940" i="43"/>
  <c r="K1948" i="43"/>
  <c r="K1956" i="43"/>
  <c r="K1964" i="43"/>
  <c r="K1972" i="43"/>
  <c r="K1980" i="43"/>
  <c r="K1988" i="43"/>
  <c r="K1996" i="43"/>
  <c r="K2008" i="43"/>
  <c r="K2016" i="43"/>
  <c r="K2024" i="43"/>
  <c r="K2032" i="43"/>
  <c r="K2058" i="43"/>
  <c r="K2090" i="43"/>
  <c r="K2122" i="43"/>
  <c r="K2154" i="43"/>
  <c r="K2186" i="43"/>
  <c r="K2218" i="43"/>
  <c r="K2250" i="43"/>
  <c r="K2282" i="43"/>
  <c r="K2314" i="43"/>
  <c r="K2346" i="43"/>
  <c r="K2378" i="43"/>
  <c r="K2410" i="43"/>
  <c r="K2582" i="43"/>
  <c r="K2662" i="43"/>
  <c r="K2760" i="43"/>
  <c r="K2861" i="43"/>
  <c r="K3044" i="43"/>
  <c r="K3090" i="43"/>
  <c r="K3129" i="43"/>
  <c r="K3158" i="43"/>
  <c r="K2068" i="43"/>
  <c r="K2172" i="43"/>
  <c r="K2268" i="43"/>
  <c r="K2364" i="43"/>
  <c r="K2622" i="43"/>
  <c r="K2988" i="43"/>
  <c r="K2064" i="43"/>
  <c r="K2096" i="43"/>
  <c r="K2128" i="43"/>
  <c r="K2160" i="43"/>
  <c r="K2192" i="43"/>
  <c r="K2224" i="43"/>
  <c r="K2256" i="43"/>
  <c r="K2288" i="43"/>
  <c r="K2320" i="43"/>
  <c r="K2352" i="43"/>
  <c r="K2384" i="43"/>
  <c r="K2416" i="43"/>
  <c r="K2588" i="43"/>
  <c r="K2638" i="43"/>
  <c r="K2766" i="43"/>
  <c r="K2859" i="43"/>
  <c r="K3042" i="43"/>
  <c r="K3088" i="43"/>
  <c r="K3119" i="43"/>
  <c r="K3156" i="43"/>
  <c r="K3201" i="43"/>
  <c r="K2148" i="43"/>
  <c r="K2228" i="43"/>
  <c r="K2324" i="43"/>
  <c r="K2428" i="43"/>
  <c r="K2820" i="43"/>
  <c r="K3107" i="43"/>
  <c r="K2062" i="43"/>
  <c r="K2094" i="43"/>
  <c r="K2126" i="43"/>
  <c r="K2158" i="43"/>
  <c r="K2190" i="43"/>
  <c r="K2222" i="43"/>
  <c r="K2254" i="43"/>
  <c r="K2286" i="43"/>
  <c r="K2318" i="43"/>
  <c r="K2350" i="43"/>
  <c r="K2382" i="43"/>
  <c r="K2414" i="43"/>
  <c r="K2586" i="43"/>
  <c r="K2646" i="43"/>
  <c r="K2764" i="43"/>
  <c r="K2982" i="43"/>
  <c r="K3086" i="43"/>
  <c r="K3117" i="43"/>
  <c r="K3154" i="43"/>
  <c r="K3199" i="43"/>
  <c r="K2076" i="43"/>
  <c r="K2156" i="43"/>
  <c r="K2252" i="43"/>
  <c r="K2356" i="43"/>
  <c r="K2600" i="43"/>
  <c r="K2972" i="43"/>
  <c r="K3115" i="43"/>
  <c r="K2048" i="43"/>
  <c r="K1265" i="43"/>
  <c r="K1393" i="43"/>
  <c r="K1769" i="43"/>
  <c r="K1777" i="43"/>
  <c r="K1785" i="43"/>
  <c r="K1793" i="43"/>
  <c r="K1801" i="43"/>
  <c r="K1809" i="43"/>
  <c r="K1817" i="43"/>
  <c r="K1825" i="43"/>
  <c r="K1833" i="43"/>
  <c r="K1841" i="43"/>
  <c r="K1849" i="43"/>
  <c r="K1857" i="43"/>
  <c r="K1865" i="43"/>
  <c r="K1873" i="43"/>
  <c r="K1881" i="43"/>
  <c r="K1889" i="43"/>
  <c r="K1897" i="43"/>
  <c r="K1905" i="43"/>
  <c r="K1913" i="43"/>
  <c r="K1921" i="43"/>
  <c r="K1929" i="43"/>
  <c r="K1937" i="43"/>
  <c r="K1945" i="43"/>
  <c r="K1953" i="43"/>
  <c r="K1961" i="43"/>
  <c r="K1969" i="43"/>
  <c r="K1977" i="43"/>
  <c r="K1985" i="43"/>
  <c r="K1993" i="43"/>
  <c r="K2001" i="43"/>
  <c r="K2009" i="43"/>
  <c r="K2017" i="43"/>
  <c r="K2025" i="43"/>
  <c r="K2033" i="43"/>
  <c r="K2041" i="43"/>
  <c r="K2049" i="43"/>
  <c r="K2057" i="43"/>
  <c r="K2065" i="43"/>
  <c r="K2073" i="43"/>
  <c r="K2081" i="43"/>
  <c r="K2089" i="43"/>
  <c r="K2097" i="43"/>
  <c r="K2105" i="43"/>
  <c r="K2113" i="43"/>
  <c r="K2121" i="43"/>
  <c r="K2129" i="43"/>
  <c r="K2139" i="43"/>
  <c r="K2147" i="43"/>
  <c r="K2155" i="43"/>
  <c r="K2165" i="43"/>
  <c r="K2181" i="43"/>
  <c r="K2197" i="43"/>
  <c r="K2213" i="43"/>
  <c r="K2229" i="43"/>
  <c r="K2245" i="43"/>
  <c r="K2261" i="43"/>
  <c r="K2277" i="43"/>
  <c r="K2295" i="43"/>
  <c r="K2309" i="43"/>
  <c r="K2327" i="43"/>
  <c r="K2341" i="43"/>
  <c r="K2359" i="43"/>
  <c r="K2375" i="43"/>
  <c r="K2391" i="43"/>
  <c r="K2407" i="43"/>
  <c r="K2425" i="43"/>
  <c r="K2581" i="43"/>
  <c r="K2599" i="43"/>
  <c r="K2650" i="43"/>
  <c r="K2714" i="43"/>
  <c r="K2767" i="43"/>
  <c r="K2813" i="43"/>
  <c r="K2973" i="43"/>
  <c r="K3000" i="43"/>
  <c r="K3073" i="43"/>
  <c r="K3089" i="43"/>
  <c r="K3105" i="43"/>
  <c r="K3122" i="43"/>
  <c r="K3143" i="43"/>
  <c r="K3157" i="43"/>
  <c r="K3181" i="43"/>
  <c r="K3224" i="43"/>
  <c r="K2046" i="43"/>
  <c r="K927" i="43"/>
  <c r="K1337" i="43"/>
  <c r="K1465" i="43"/>
  <c r="K2624" i="43"/>
  <c r="K2656" i="43"/>
  <c r="K2688" i="43"/>
  <c r="K2720" i="43"/>
  <c r="K2752" i="43"/>
  <c r="K2801" i="43"/>
  <c r="K2827" i="43"/>
  <c r="K2835" i="43"/>
  <c r="K2843" i="43"/>
  <c r="K2851" i="43"/>
  <c r="K2864" i="43"/>
  <c r="K2872" i="43"/>
  <c r="K2880" i="43"/>
  <c r="K2888" i="43"/>
  <c r="K2896" i="43"/>
  <c r="K2904" i="43"/>
  <c r="K2912" i="43"/>
  <c r="K2920" i="43"/>
  <c r="K2928" i="43"/>
  <c r="K2936" i="43"/>
  <c r="K2944" i="43"/>
  <c r="K2952" i="43"/>
  <c r="K2960" i="43"/>
  <c r="K2968" i="43"/>
  <c r="K2993" i="43"/>
  <c r="K3008" i="43"/>
  <c r="K3016" i="43"/>
  <c r="K3024" i="43"/>
  <c r="K3032" i="43"/>
  <c r="K3040" i="43"/>
  <c r="K3051" i="43"/>
  <c r="K3064" i="43"/>
  <c r="K3132" i="43"/>
  <c r="K3185" i="43"/>
  <c r="K3202" i="43"/>
  <c r="K3212" i="43"/>
  <c r="K3221" i="43"/>
  <c r="K643" i="43"/>
  <c r="K1377" i="43"/>
  <c r="K1505" i="43"/>
  <c r="K1774" i="43"/>
  <c r="K1782" i="43"/>
  <c r="K1790" i="43"/>
  <c r="K1798" i="43"/>
  <c r="K1806" i="43"/>
  <c r="K1814" i="43"/>
  <c r="K1822" i="43"/>
  <c r="K1830" i="43"/>
  <c r="K1838" i="43"/>
  <c r="K1846" i="43"/>
  <c r="K1854" i="43"/>
  <c r="K1862" i="43"/>
  <c r="K1870" i="43"/>
  <c r="K1878" i="43"/>
  <c r="K1886" i="43"/>
  <c r="K1894" i="43"/>
  <c r="K1902" i="43"/>
  <c r="K1910" i="43"/>
  <c r="K1918" i="43"/>
  <c r="K1926" i="43"/>
  <c r="K1934" i="43"/>
  <c r="K1942" i="43"/>
  <c r="K1950" i="43"/>
  <c r="K1958" i="43"/>
  <c r="K1966" i="43"/>
  <c r="K1974" i="43"/>
  <c r="K1982" i="43"/>
  <c r="K1990" i="43"/>
  <c r="K2002" i="43"/>
  <c r="K2010" i="43"/>
  <c r="K2018" i="43"/>
  <c r="K2026" i="43"/>
  <c r="K2038" i="43"/>
  <c r="K2066" i="43"/>
  <c r="K2098" i="43"/>
  <c r="K2130" i="43"/>
  <c r="K2162" i="43"/>
  <c r="K2194" i="43"/>
  <c r="K2226" i="43"/>
  <c r="K2258" i="43"/>
  <c r="K2290" i="43"/>
  <c r="K2322" i="43"/>
  <c r="K2354" i="43"/>
  <c r="K2386" i="43"/>
  <c r="K2418" i="43"/>
  <c r="K2590" i="43"/>
  <c r="K2694" i="43"/>
  <c r="K2768" i="43"/>
  <c r="K2978" i="43"/>
  <c r="K3059" i="43"/>
  <c r="K3098" i="43"/>
  <c r="K3134" i="43"/>
  <c r="K3166" i="43"/>
  <c r="K2100" i="43"/>
  <c r="K2196" i="43"/>
  <c r="K2292" i="43"/>
  <c r="K2388" i="43"/>
  <c r="K2718" i="43"/>
  <c r="K3123" i="43"/>
  <c r="K2072" i="43"/>
  <c r="K2104" i="43"/>
  <c r="K2136" i="43"/>
  <c r="K2168" i="43"/>
  <c r="K2200" i="43"/>
  <c r="K2232" i="43"/>
  <c r="K2264" i="43"/>
  <c r="K2296" i="43"/>
  <c r="K2328" i="43"/>
  <c r="K2360" i="43"/>
  <c r="K2392" i="43"/>
  <c r="K2424" i="43"/>
  <c r="K2596" i="43"/>
  <c r="K2670" i="43"/>
  <c r="K2775" i="43"/>
  <c r="K2976" i="43"/>
  <c r="K3057" i="43"/>
  <c r="K3096" i="43"/>
  <c r="K3127" i="43"/>
  <c r="K3164" i="43"/>
  <c r="K2060" i="43"/>
  <c r="K2164" i="43"/>
  <c r="K2260" i="43"/>
  <c r="K2348" i="43"/>
  <c r="K2592" i="43"/>
  <c r="K2980" i="43"/>
  <c r="K3136" i="43"/>
  <c r="K2070" i="43"/>
  <c r="K2102" i="43"/>
  <c r="K2134" i="43"/>
  <c r="K2166" i="43"/>
  <c r="K2198" i="43"/>
  <c r="K2230" i="43"/>
  <c r="K2262" i="43"/>
  <c r="K2294" i="43"/>
  <c r="K2326" i="43"/>
  <c r="K2358" i="43"/>
  <c r="K2390" i="43"/>
  <c r="K2422" i="43"/>
  <c r="K2594" i="43"/>
  <c r="K2678" i="43"/>
  <c r="K2783" i="43"/>
  <c r="K3055" i="43"/>
  <c r="K3094" i="43"/>
  <c r="K3125" i="43"/>
  <c r="K3162" i="43"/>
  <c r="K3209" i="43"/>
  <c r="K2092" i="43"/>
  <c r="K2188" i="43"/>
  <c r="K2276" i="43"/>
  <c r="K2372" i="43"/>
  <c r="K2654" i="43"/>
  <c r="K3003" i="43"/>
  <c r="K3144" i="43"/>
  <c r="K2056" i="43"/>
  <c r="K1297" i="43"/>
  <c r="K1425" i="43"/>
  <c r="K1771" i="43"/>
  <c r="K1779" i="43"/>
  <c r="K1787" i="43"/>
  <c r="K1795" i="43"/>
  <c r="K1803" i="43"/>
  <c r="K1811" i="43"/>
  <c r="K1819" i="43"/>
  <c r="K1827" i="43"/>
  <c r="K1835" i="43"/>
  <c r="K1843" i="43"/>
  <c r="K1851" i="43"/>
  <c r="K1859" i="43"/>
  <c r="K1867" i="43"/>
  <c r="K1875" i="43"/>
  <c r="K1883" i="43"/>
  <c r="K1891" i="43"/>
  <c r="K1899" i="43"/>
  <c r="K1907" i="43"/>
  <c r="K1915" i="43"/>
  <c r="K1923" i="43"/>
  <c r="K1931" i="43"/>
  <c r="K1939" i="43"/>
  <c r="K1947" i="43"/>
  <c r="K1955" i="43"/>
  <c r="K1963" i="43"/>
  <c r="K1971" i="43"/>
  <c r="K1979" i="43"/>
  <c r="K1987" i="43"/>
  <c r="K1995" i="43"/>
  <c r="K2003" i="43"/>
  <c r="K2011" i="43"/>
  <c r="K2019" i="43"/>
  <c r="K2027" i="43"/>
  <c r="K2035" i="43"/>
  <c r="K2043" i="43"/>
  <c r="K2051" i="43"/>
  <c r="K2059" i="43"/>
  <c r="K2067" i="43"/>
  <c r="K2075" i="43"/>
  <c r="K2083" i="43"/>
  <c r="K2091" i="43"/>
  <c r="K2099" i="43"/>
  <c r="K2107" i="43"/>
  <c r="K2115" i="43"/>
  <c r="K2123" i="43"/>
  <c r="K2131" i="43"/>
  <c r="K2141" i="43"/>
  <c r="K2149" i="43"/>
  <c r="K2157" i="43"/>
  <c r="K2169" i="43"/>
  <c r="K2185" i="43"/>
  <c r="K2201" i="43"/>
  <c r="K2217" i="43"/>
  <c r="K2233" i="43"/>
  <c r="K2249" i="43"/>
  <c r="K2265" i="43"/>
  <c r="K2281" i="43"/>
  <c r="K2299" i="43"/>
  <c r="K2313" i="43"/>
  <c r="K2331" i="43"/>
  <c r="K2345" i="43"/>
  <c r="K2363" i="43"/>
  <c r="K2379" i="43"/>
  <c r="K2395" i="43"/>
  <c r="K2411" i="43"/>
  <c r="K2429" i="43"/>
  <c r="K2585" i="43"/>
  <c r="K2603" i="43"/>
  <c r="K2666" i="43"/>
  <c r="K2730" i="43"/>
  <c r="K2771" i="43"/>
  <c r="K2817" i="43"/>
  <c r="K2977" i="43"/>
  <c r="K3004" i="43"/>
  <c r="K3077" i="43"/>
  <c r="K3093" i="43"/>
  <c r="K3110" i="43"/>
  <c r="K3126" i="43"/>
  <c r="K3145" i="43"/>
  <c r="K3161" i="43"/>
  <c r="K3194" i="43"/>
  <c r="K2000" i="43"/>
  <c r="K2052" i="43"/>
  <c r="K1236" i="43"/>
  <c r="K1369" i="43"/>
  <c r="K1497" i="43"/>
  <c r="K2632" i="43"/>
  <c r="K2664" i="43"/>
  <c r="K2696" i="43"/>
  <c r="K2728" i="43"/>
  <c r="K2777" i="43"/>
  <c r="K2809" i="43"/>
  <c r="K2829" i="43"/>
  <c r="K2837" i="43"/>
  <c r="K2845" i="43"/>
  <c r="K2853" i="43"/>
  <c r="K2866" i="43"/>
  <c r="K2874" i="43"/>
  <c r="K2882" i="43"/>
  <c r="K2890" i="43"/>
  <c r="K2898" i="43"/>
  <c r="K2906" i="43"/>
  <c r="K2914" i="43"/>
  <c r="K2922" i="43"/>
  <c r="K2930" i="43"/>
  <c r="K2938" i="43"/>
  <c r="K2946" i="43"/>
  <c r="K2954" i="43"/>
  <c r="K2962" i="43"/>
  <c r="K2970" i="43"/>
  <c r="K2995" i="43"/>
  <c r="K3010" i="43"/>
  <c r="K3018" i="43"/>
  <c r="K3026" i="43"/>
  <c r="K3034" i="43"/>
  <c r="K3045" i="43"/>
  <c r="K3053" i="43"/>
  <c r="K3066" i="43"/>
  <c r="K3174" i="43"/>
  <c r="K3187" i="43"/>
  <c r="K3205" i="43"/>
  <c r="K3214" i="43"/>
  <c r="K3228" i="43"/>
  <c r="K1281" i="43"/>
  <c r="K1409" i="43"/>
  <c r="K1768" i="43"/>
  <c r="K1776" i="43"/>
  <c r="K1784" i="43"/>
  <c r="K1792" i="43"/>
  <c r="K1800" i="43"/>
  <c r="K1808" i="43"/>
  <c r="K1816" i="43"/>
  <c r="K1824" i="43"/>
  <c r="K1832" i="43"/>
  <c r="K1840" i="43"/>
  <c r="K1848" i="43"/>
  <c r="K1856" i="43"/>
  <c r="K1864" i="43"/>
  <c r="K1872" i="43"/>
  <c r="K1880" i="43"/>
  <c r="K1888" i="43"/>
  <c r="K1896" i="43"/>
  <c r="K1904" i="43"/>
  <c r="K1912" i="43"/>
  <c r="K1920" i="43"/>
  <c r="K1928" i="43"/>
  <c r="K1936" i="43"/>
  <c r="K1944" i="43"/>
  <c r="K1952" i="43"/>
  <c r="K1960" i="43"/>
  <c r="K1968" i="43"/>
  <c r="K1976" i="43"/>
  <c r="K1984" i="43"/>
  <c r="K1992" i="43"/>
  <c r="K2004" i="43"/>
  <c r="K2012" i="43"/>
  <c r="K2020" i="43"/>
  <c r="K2028" i="43"/>
  <c r="K2044" i="43"/>
  <c r="K2074" i="43"/>
  <c r="K2106" i="43"/>
  <c r="K2138" i="43"/>
  <c r="K2170" i="43"/>
  <c r="K2202" i="43"/>
  <c r="K2234" i="43"/>
  <c r="K2266" i="43"/>
  <c r="K2298" i="43"/>
  <c r="K2330" i="43"/>
  <c r="K2362" i="43"/>
  <c r="K2394" i="43"/>
  <c r="K2426" i="43"/>
  <c r="K2598" i="43"/>
  <c r="K2726" i="43"/>
  <c r="K2799" i="43"/>
  <c r="K2986" i="43"/>
  <c r="K3074" i="43"/>
  <c r="K3113" i="43"/>
  <c r="K3142" i="43"/>
  <c r="K3195" i="43"/>
  <c r="K2116" i="43"/>
  <c r="K2220" i="43"/>
  <c r="K2316" i="43"/>
  <c r="K2412" i="43"/>
  <c r="K2791" i="43"/>
  <c r="K3152" i="43"/>
  <c r="K2080" i="43"/>
  <c r="K2112" i="43"/>
  <c r="K2144" i="43"/>
  <c r="K2176" i="43"/>
  <c r="K2208" i="43"/>
  <c r="K2240" i="43"/>
  <c r="K2272" i="43"/>
  <c r="K2304" i="43"/>
  <c r="K2336" i="43"/>
  <c r="K2368" i="43"/>
  <c r="K2400" i="43"/>
  <c r="K2432" i="43"/>
  <c r="K2604" i="43"/>
  <c r="K2702" i="43"/>
  <c r="K2807" i="43"/>
  <c r="K2984" i="43"/>
  <c r="K3072" i="43"/>
  <c r="K3104" i="43"/>
  <c r="K3140" i="43"/>
  <c r="K3184" i="43"/>
  <c r="K2084" i="43"/>
  <c r="K2180" i="43"/>
  <c r="K2284" i="43"/>
  <c r="K2380" i="43"/>
  <c r="K2686" i="43"/>
  <c r="K3076" i="43"/>
  <c r="K3160" i="43"/>
  <c r="K2078" i="43"/>
  <c r="K2110" i="43"/>
  <c r="K2142" i="43"/>
  <c r="K2174" i="43"/>
  <c r="K2206" i="43"/>
  <c r="K2238" i="43"/>
  <c r="K2270" i="43"/>
  <c r="K2302" i="43"/>
  <c r="K2334" i="43"/>
  <c r="K2366" i="43"/>
  <c r="K2398" i="43"/>
  <c r="K2430" i="43"/>
  <c r="K2602" i="43"/>
  <c r="K2710" i="43"/>
  <c r="K2814" i="43"/>
  <c r="K3070" i="43"/>
  <c r="K3102" i="43"/>
  <c r="K3138" i="43"/>
  <c r="K3171" i="43"/>
  <c r="K3218" i="43"/>
  <c r="K2108" i="43"/>
  <c r="K2212" i="43"/>
  <c r="K2308" i="43"/>
  <c r="K2404" i="43"/>
  <c r="K2750" i="43"/>
  <c r="K3084" i="43"/>
  <c r="K3168" i="43"/>
  <c r="K579" i="43"/>
  <c r="K1329" i="43"/>
  <c r="K1457" i="43"/>
  <c r="K1773" i="43"/>
  <c r="K1781" i="43"/>
  <c r="K1789" i="43"/>
  <c r="K1797" i="43"/>
  <c r="K1805" i="43"/>
  <c r="K1813" i="43"/>
  <c r="K1821" i="43"/>
  <c r="K1829" i="43"/>
  <c r="K1837" i="43"/>
  <c r="K1845" i="43"/>
  <c r="K1853" i="43"/>
  <c r="K1861" i="43"/>
  <c r="K1869" i="43"/>
  <c r="K1877" i="43"/>
  <c r="K1885" i="43"/>
  <c r="K1893" i="43"/>
  <c r="K1901" i="43"/>
  <c r="K1909" i="43"/>
  <c r="K1917" i="43"/>
  <c r="K1925" i="43"/>
  <c r="K1933" i="43"/>
  <c r="K1941" i="43"/>
  <c r="K1949" i="43"/>
  <c r="K1957" i="43"/>
  <c r="K1965" i="43"/>
  <c r="K1973" i="43"/>
  <c r="K1981" i="43"/>
  <c r="K1989" i="43"/>
  <c r="K1997" i="43"/>
  <c r="K2005" i="43"/>
  <c r="K2013" i="43"/>
  <c r="K2021" i="43"/>
  <c r="K2029" i="43"/>
  <c r="K2037" i="43"/>
  <c r="K2045" i="43"/>
  <c r="K2053" i="43"/>
  <c r="K2061" i="43"/>
  <c r="K2069" i="43"/>
  <c r="K2077" i="43"/>
  <c r="K2085" i="43"/>
  <c r="K2093" i="43"/>
  <c r="K2101" i="43"/>
  <c r="K2109" i="43"/>
  <c r="K2117" i="43"/>
  <c r="K2125" i="43"/>
  <c r="K2135" i="43"/>
  <c r="K2143" i="43"/>
  <c r="K2151" i="43"/>
  <c r="K2159" i="43"/>
  <c r="K2173" i="43"/>
  <c r="K2189" i="43"/>
  <c r="K2205" i="43"/>
  <c r="K2221" i="43"/>
  <c r="K2237" i="43"/>
  <c r="K2253" i="43"/>
  <c r="K2271" i="43"/>
  <c r="K2285" i="43"/>
  <c r="K2301" i="43"/>
  <c r="K2317" i="43"/>
  <c r="K2333" i="43"/>
  <c r="K2349" i="43"/>
  <c r="K2367" i="43"/>
  <c r="K2383" i="43"/>
  <c r="K2399" i="43"/>
  <c r="K2417" i="43"/>
  <c r="K2433" i="43"/>
  <c r="K2591" i="43"/>
  <c r="K2618" i="43"/>
  <c r="K2682" i="43"/>
  <c r="K2754" i="43"/>
  <c r="K2787" i="43"/>
  <c r="K2821" i="43"/>
  <c r="K2981" i="43"/>
  <c r="K3043" i="43"/>
  <c r="K3081" i="43"/>
  <c r="K3097" i="43"/>
  <c r="K3114" i="43"/>
  <c r="K3135" i="43"/>
  <c r="K3149" i="43"/>
  <c r="K3165" i="43"/>
  <c r="K3198" i="43"/>
  <c r="K2036" i="43"/>
  <c r="K2054" i="43"/>
  <c r="K1273" i="43"/>
  <c r="K1401" i="43"/>
  <c r="K2608" i="43"/>
  <c r="K2640" i="43"/>
  <c r="K2672" i="43"/>
  <c r="K2704" i="43"/>
  <c r="K2736" i="43"/>
  <c r="K2785" i="43"/>
  <c r="K2823" i="43"/>
  <c r="K2831" i="43"/>
  <c r="K2839" i="43"/>
  <c r="K2847" i="43"/>
  <c r="K2855" i="43"/>
  <c r="K2868" i="43"/>
  <c r="K2876" i="43"/>
  <c r="K2884" i="43"/>
  <c r="K2892" i="43"/>
  <c r="K2900" i="43"/>
  <c r="K2908" i="43"/>
  <c r="K2916" i="43"/>
  <c r="K2924" i="43"/>
  <c r="K2932" i="43"/>
  <c r="K2940" i="43"/>
  <c r="K2948" i="43"/>
  <c r="K2956" i="43"/>
  <c r="K2964" i="43"/>
  <c r="K2989" i="43"/>
  <c r="K2997" i="43"/>
  <c r="K3012" i="43"/>
  <c r="K3020" i="43"/>
  <c r="K3028" i="43"/>
  <c r="K3036" i="43"/>
  <c r="K3047" i="43"/>
  <c r="K3060" i="43"/>
  <c r="K3068" i="43"/>
  <c r="K3176" i="43"/>
  <c r="K3189" i="43"/>
  <c r="K3207" i="43"/>
  <c r="K3216" i="43"/>
  <c r="K1313" i="43"/>
  <c r="K1441" i="43"/>
  <c r="K1770" i="43"/>
  <c r="K1778" i="43"/>
  <c r="K1786" i="43"/>
  <c r="K1794" i="43"/>
  <c r="K1802" i="43"/>
  <c r="K1810" i="43"/>
  <c r="K1818" i="43"/>
  <c r="K1826" i="43"/>
  <c r="K1834" i="43"/>
  <c r="K1842" i="43"/>
  <c r="K1850" i="43"/>
  <c r="K1858" i="43"/>
  <c r="K1866" i="43"/>
  <c r="K1874" i="43"/>
  <c r="K1882" i="43"/>
  <c r="K1890" i="43"/>
  <c r="K1898" i="43"/>
  <c r="K1906" i="43"/>
  <c r="K1914" i="43"/>
  <c r="K1922" i="43"/>
  <c r="K1930" i="43"/>
  <c r="K1938" i="43"/>
  <c r="K1946" i="43"/>
  <c r="K1954" i="43"/>
  <c r="K1962" i="43"/>
  <c r="K1970" i="43"/>
  <c r="K1978" i="43"/>
  <c r="K1986" i="43"/>
  <c r="K1994" i="43"/>
  <c r="K2006" i="43"/>
  <c r="K2014" i="43"/>
  <c r="K2022" i="43"/>
  <c r="K2030" i="43"/>
  <c r="K2050" i="43"/>
  <c r="K2082" i="43"/>
  <c r="K2114" i="43"/>
  <c r="K2146" i="43"/>
  <c r="K2178" i="43"/>
  <c r="K2210" i="43"/>
  <c r="K2242" i="43"/>
  <c r="K2274" i="43"/>
  <c r="K2306" i="43"/>
  <c r="K2338" i="43"/>
  <c r="K2370" i="43"/>
  <c r="K2402" i="43"/>
  <c r="K2434" i="43"/>
  <c r="K2630" i="43"/>
  <c r="K2758" i="43"/>
  <c r="K2818" i="43"/>
  <c r="K3001" i="43"/>
  <c r="K3082" i="43"/>
  <c r="K3121" i="43"/>
  <c r="K3150" i="43"/>
  <c r="K3225" i="43"/>
  <c r="K2140" i="43"/>
  <c r="K2244" i="43"/>
  <c r="K2340" i="43"/>
  <c r="K2584" i="43"/>
  <c r="K2863" i="43"/>
  <c r="K3180" i="43"/>
  <c r="K2088" i="43"/>
  <c r="K2120" i="43"/>
  <c r="K2152" i="43"/>
  <c r="K2184" i="43"/>
  <c r="K2216" i="43"/>
  <c r="K2248" i="43"/>
  <c r="K2280" i="43"/>
  <c r="K2312" i="43"/>
  <c r="K2344" i="43"/>
  <c r="K2376" i="43"/>
  <c r="K2408" i="43"/>
  <c r="K2580" i="43"/>
  <c r="K2606" i="43"/>
  <c r="K2734" i="43"/>
  <c r="K2816" i="43"/>
  <c r="K2999" i="43"/>
  <c r="K3080" i="43"/>
  <c r="K3111" i="43"/>
  <c r="K3148" i="43"/>
  <c r="K3193" i="43"/>
  <c r="K2124" i="43"/>
  <c r="K2204" i="43"/>
  <c r="K2300" i="43"/>
  <c r="K2396" i="43"/>
  <c r="K2762" i="43"/>
  <c r="K3092" i="43"/>
  <c r="K3197" i="43"/>
  <c r="K2086" i="43"/>
  <c r="K2118" i="43"/>
  <c r="K2150" i="43"/>
  <c r="K2182" i="43"/>
  <c r="K2214" i="43"/>
  <c r="K2246" i="43"/>
  <c r="K2278" i="43"/>
  <c r="K2310" i="43"/>
  <c r="K2342" i="43"/>
  <c r="K2374" i="43"/>
  <c r="K2406" i="43"/>
  <c r="K2578" i="43"/>
  <c r="K2614" i="43"/>
  <c r="K2742" i="43"/>
  <c r="K2974" i="43"/>
  <c r="K3078" i="43"/>
  <c r="K3109" i="43"/>
  <c r="K3146" i="43"/>
  <c r="K3182" i="43"/>
  <c r="K3223" i="43"/>
  <c r="K2132" i="43"/>
  <c r="K2236" i="43"/>
  <c r="K2332" i="43"/>
  <c r="K2420" i="43"/>
  <c r="K2812" i="43"/>
  <c r="K3100" i="43"/>
  <c r="N3167" i="43"/>
  <c r="N3234" i="43"/>
  <c r="L3226" i="43"/>
  <c r="L3168" i="43"/>
  <c r="L3098" i="43"/>
  <c r="L3223" i="43"/>
  <c r="L3153" i="43"/>
  <c r="L3087" i="43"/>
  <c r="L3207" i="43"/>
  <c r="L3134" i="43"/>
  <c r="L3072" i="43"/>
  <c r="L3196" i="43"/>
  <c r="L3130" i="43"/>
  <c r="L3061" i="43"/>
  <c r="L3222" i="43"/>
  <c r="L3152" i="43"/>
  <c r="L3082" i="43"/>
  <c r="L3198" i="43"/>
  <c r="L3137" i="43"/>
  <c r="L3071" i="43"/>
  <c r="L3186" i="43"/>
  <c r="L3120" i="43"/>
  <c r="L3056" i="43"/>
  <c r="L3177" i="43"/>
  <c r="L3117" i="43"/>
  <c r="L3045" i="43"/>
  <c r="L3205" i="43"/>
  <c r="L3136" i="43"/>
  <c r="L3066" i="43"/>
  <c r="L3184" i="43"/>
  <c r="L3119" i="43"/>
  <c r="L3051" i="43"/>
  <c r="L3166" i="43"/>
  <c r="L3104" i="43"/>
  <c r="L3225" i="43"/>
  <c r="L3163" i="43"/>
  <c r="L3097" i="43"/>
  <c r="L3033" i="43"/>
  <c r="L3188" i="43"/>
  <c r="L3118" i="43"/>
  <c r="L3046" i="43"/>
  <c r="L3170" i="43"/>
  <c r="L3103" i="43"/>
  <c r="L3219" i="43"/>
  <c r="L3150" i="43"/>
  <c r="L3088" i="43"/>
  <c r="L3209" i="43"/>
  <c r="L3147" i="43"/>
  <c r="L3081" i="43"/>
  <c r="L3017" i="43"/>
  <c r="L3221" i="43"/>
  <c r="L3183" i="43"/>
  <c r="L3148" i="43"/>
  <c r="L3114" i="43"/>
  <c r="L3078" i="43"/>
  <c r="L3062" i="43"/>
  <c r="L3231" i="43"/>
  <c r="L3216" i="43"/>
  <c r="L3194" i="43"/>
  <c r="L3180" i="43"/>
  <c r="L3165" i="43"/>
  <c r="L3149" i="43"/>
  <c r="L3132" i="43"/>
  <c r="L3115" i="43"/>
  <c r="L3099" i="43"/>
  <c r="L3083" i="43"/>
  <c r="L3067" i="43"/>
  <c r="L3047" i="43"/>
  <c r="L3218" i="43"/>
  <c r="L3199" i="43"/>
  <c r="L3181" i="43"/>
  <c r="L3162" i="43"/>
  <c r="L3146" i="43"/>
  <c r="L3133" i="43"/>
  <c r="L3116" i="43"/>
  <c r="L3100" i="43"/>
  <c r="L3084" i="43"/>
  <c r="L3068" i="43"/>
  <c r="L3052" i="43"/>
  <c r="L3220" i="43"/>
  <c r="L3208" i="43"/>
  <c r="L3191" i="43"/>
  <c r="L3173" i="43"/>
  <c r="L3159" i="43"/>
  <c r="L3143" i="43"/>
  <c r="L3129" i="43"/>
  <c r="L3113" i="43"/>
  <c r="L3093" i="43"/>
  <c r="L3077" i="43"/>
  <c r="L3057" i="43"/>
  <c r="L3044" i="43"/>
  <c r="L3029" i="43"/>
  <c r="L3013" i="43"/>
  <c r="L3000" i="43"/>
  <c r="L2982" i="43"/>
  <c r="L2965" i="43"/>
  <c r="L2949" i="43"/>
  <c r="L2933" i="43"/>
  <c r="L2917" i="43"/>
  <c r="L2901" i="43"/>
  <c r="L2885" i="43"/>
  <c r="L2869" i="43"/>
  <c r="L2852" i="43"/>
  <c r="L2836" i="43"/>
  <c r="L2819" i="43"/>
  <c r="L2803" i="43"/>
  <c r="L2787" i="43"/>
  <c r="L2771" i="43"/>
  <c r="L2754" i="43"/>
  <c r="L2738" i="43"/>
  <c r="L2722" i="43"/>
  <c r="L2706" i="43"/>
  <c r="L2690" i="43"/>
  <c r="L2674" i="43"/>
  <c r="L2658" i="43"/>
  <c r="L2642" i="43"/>
  <c r="L2626" i="43"/>
  <c r="L2610" i="43"/>
  <c r="L2593" i="43"/>
  <c r="L2577" i="43"/>
  <c r="L2561" i="43"/>
  <c r="L2545" i="43"/>
  <c r="L2529" i="43"/>
  <c r="L2513" i="43"/>
  <c r="L2497" i="43"/>
  <c r="L2481" i="43"/>
  <c r="L2465" i="43"/>
  <c r="L2449" i="43"/>
  <c r="L2432" i="43"/>
  <c r="L2416" i="43"/>
  <c r="L2400" i="43"/>
  <c r="L2384" i="43"/>
  <c r="L2368" i="43"/>
  <c r="L3038" i="43"/>
  <c r="L3022" i="43"/>
  <c r="L2987" i="43"/>
  <c r="L2971" i="43"/>
  <c r="L2958" i="43"/>
  <c r="L2942" i="43"/>
  <c r="L2926" i="43"/>
  <c r="L2910" i="43"/>
  <c r="L2894" i="43"/>
  <c r="L2878" i="43"/>
  <c r="L2862" i="43"/>
  <c r="L2849" i="43"/>
  <c r="L2833" i="43"/>
  <c r="L2816" i="43"/>
  <c r="L2800" i="43"/>
  <c r="L2784" i="43"/>
  <c r="L2768" i="43"/>
  <c r="L2755" i="43"/>
  <c r="L2739" i="43"/>
  <c r="L2723" i="43"/>
  <c r="L2707" i="43"/>
  <c r="L2691" i="43"/>
  <c r="L2675" i="43"/>
  <c r="L2659" i="43"/>
  <c r="L2643" i="43"/>
  <c r="L2627" i="43"/>
  <c r="L2611" i="43"/>
  <c r="L2594" i="43"/>
  <c r="L2578" i="43"/>
  <c r="L2562" i="43"/>
  <c r="L2546" i="43"/>
  <c r="L2530" i="43"/>
  <c r="L2514" i="43"/>
  <c r="L2498" i="43"/>
  <c r="L2482" i="43"/>
  <c r="L2466" i="43"/>
  <c r="L2450" i="43"/>
  <c r="L2433" i="43"/>
  <c r="L2417" i="43"/>
  <c r="L2401" i="43"/>
  <c r="L2385" i="43"/>
  <c r="L2369" i="43"/>
  <c r="L3043" i="43"/>
  <c r="L3027" i="43"/>
  <c r="L3011" i="43"/>
  <c r="L2993" i="43"/>
  <c r="L2980" i="43"/>
  <c r="L2963" i="43"/>
  <c r="L2947" i="43"/>
  <c r="L2931" i="43"/>
  <c r="L2915" i="43"/>
  <c r="L2899" i="43"/>
  <c r="L2883" i="43"/>
  <c r="L2867" i="43"/>
  <c r="L2846" i="43"/>
  <c r="L2830" i="43"/>
  <c r="L2817" i="43"/>
  <c r="L2801" i="43"/>
  <c r="L2785" i="43"/>
  <c r="L2765" i="43"/>
  <c r="L2748" i="43"/>
  <c r="L2732" i="43"/>
  <c r="L2716" i="43"/>
  <c r="L2700" i="43"/>
  <c r="L2684" i="43"/>
  <c r="L2668" i="43"/>
  <c r="L2652" i="43"/>
  <c r="L2636" i="43"/>
  <c r="L2620" i="43"/>
  <c r="L2603" i="43"/>
  <c r="L2587" i="43"/>
  <c r="L2571" i="43"/>
  <c r="L2555" i="43"/>
  <c r="L2539" i="43"/>
  <c r="L2523" i="43"/>
  <c r="L2507" i="43"/>
  <c r="L2491" i="43"/>
  <c r="L2475" i="43"/>
  <c r="L2459" i="43"/>
  <c r="L2443" i="43"/>
  <c r="L2426" i="43"/>
  <c r="L2410" i="43"/>
  <c r="L2394" i="43"/>
  <c r="L2378" i="43"/>
  <c r="L2362" i="43"/>
  <c r="L3028" i="43"/>
  <c r="L3012" i="43"/>
  <c r="L2998" i="43"/>
  <c r="L2981" i="43"/>
  <c r="L2964" i="43"/>
  <c r="L2948" i="43"/>
  <c r="L2932" i="43"/>
  <c r="L2916" i="43"/>
  <c r="L2900" i="43"/>
  <c r="L2884" i="43"/>
  <c r="L2868" i="43"/>
  <c r="L2851" i="43"/>
  <c r="L2835" i="43"/>
  <c r="L2818" i="43"/>
  <c r="L2802" i="43"/>
  <c r="L2786" i="43"/>
  <c r="L2770" i="43"/>
  <c r="L2753" i="43"/>
  <c r="L2737" i="43"/>
  <c r="L2721" i="43"/>
  <c r="L2705" i="43"/>
  <c r="L2689" i="43"/>
  <c r="L2673" i="43"/>
  <c r="L2657" i="43"/>
  <c r="L2641" i="43"/>
  <c r="L2625" i="43"/>
  <c r="L2609" i="43"/>
  <c r="L2596" i="43"/>
  <c r="L2580" i="43"/>
  <c r="L2564" i="43"/>
  <c r="L2548" i="43"/>
  <c r="L2532" i="43"/>
  <c r="L2516" i="43"/>
  <c r="L2500" i="43"/>
  <c r="L2484" i="43"/>
  <c r="L2468" i="43"/>
  <c r="L2452" i="43"/>
  <c r="L2436" i="43"/>
  <c r="L2423" i="43"/>
  <c r="L2407" i="43"/>
  <c r="L2391" i="43"/>
  <c r="L2375" i="43"/>
  <c r="L2359" i="43"/>
  <c r="L2341" i="43"/>
  <c r="L2325" i="43"/>
  <c r="L2309" i="43"/>
  <c r="L2293" i="43"/>
  <c r="L2277" i="43"/>
  <c r="L2261" i="43"/>
  <c r="L2245" i="43"/>
  <c r="L2229" i="43"/>
  <c r="L2213" i="43"/>
  <c r="L2197" i="43"/>
  <c r="L2181" i="43"/>
  <c r="L2165" i="43"/>
  <c r="L2149" i="43"/>
  <c r="L2133" i="43"/>
  <c r="L2117" i="43"/>
  <c r="L2101" i="43"/>
  <c r="L2085" i="43"/>
  <c r="L2069" i="43"/>
  <c r="L2053" i="43"/>
  <c r="L2037" i="43"/>
  <c r="L2021" i="43"/>
  <c r="L2005" i="43"/>
  <c r="L1989" i="43"/>
  <c r="L1973" i="43"/>
  <c r="L1957" i="43"/>
  <c r="L1941" i="43"/>
  <c r="L1925" i="43"/>
  <c r="L1909" i="43"/>
  <c r="L1893" i="43"/>
  <c r="L1877" i="43"/>
  <c r="L1861" i="43"/>
  <c r="L1845" i="43"/>
  <c r="L1829" i="43"/>
  <c r="L1813" i="43"/>
  <c r="L1797" i="43"/>
  <c r="L1781" i="43"/>
  <c r="L1765" i="43"/>
  <c r="L1749" i="43"/>
  <c r="L1733" i="43"/>
  <c r="L1717" i="43"/>
  <c r="L1676" i="43"/>
  <c r="L1612" i="43"/>
  <c r="L2350" i="43"/>
  <c r="L2334" i="43"/>
  <c r="L2318" i="43"/>
  <c r="L2302" i="43"/>
  <c r="L2286" i="43"/>
  <c r="L2270" i="43"/>
  <c r="L2254" i="43"/>
  <c r="L2238" i="43"/>
  <c r="L2222" i="43"/>
  <c r="L2206" i="43"/>
  <c r="L2190" i="43"/>
  <c r="L2174" i="43"/>
  <c r="L2158" i="43"/>
  <c r="L2142" i="43"/>
  <c r="L2126" i="43"/>
  <c r="L2110" i="43"/>
  <c r="L2094" i="43"/>
  <c r="L2078" i="43"/>
  <c r="L2062" i="43"/>
  <c r="L2046" i="43"/>
  <c r="L2030" i="43"/>
  <c r="L2014" i="43"/>
  <c r="L1998" i="43"/>
  <c r="L1982" i="43"/>
  <c r="L1966" i="43"/>
  <c r="L1950" i="43"/>
  <c r="L1934" i="43"/>
  <c r="L1918" i="43"/>
  <c r="L1902" i="43"/>
  <c r="L1886" i="43"/>
  <c r="L1870" i="43"/>
  <c r="L1854" i="43"/>
  <c r="L1838" i="43"/>
  <c r="L3234" i="43"/>
  <c r="L12" i="43"/>
  <c r="L28" i="43"/>
  <c r="L44" i="43"/>
  <c r="L60" i="43"/>
  <c r="L77" i="43"/>
  <c r="L93" i="43"/>
  <c r="L109" i="43"/>
  <c r="L125" i="43"/>
  <c r="L141" i="43"/>
  <c r="L157" i="43"/>
  <c r="L173" i="43"/>
  <c r="L189" i="43"/>
  <c r="L205" i="43"/>
  <c r="L221" i="43"/>
  <c r="L237" i="43"/>
  <c r="L253" i="43"/>
  <c r="L269" i="43"/>
  <c r="L285" i="43"/>
  <c r="L301" i="43"/>
  <c r="L318" i="43"/>
  <c r="L334" i="43"/>
  <c r="L7" i="43"/>
  <c r="L23" i="43"/>
  <c r="L39" i="43"/>
  <c r="L55" i="43"/>
  <c r="L71" i="43"/>
  <c r="L88" i="43"/>
  <c r="L104" i="43"/>
  <c r="L120" i="43"/>
  <c r="L136" i="43"/>
  <c r="L152" i="43"/>
  <c r="L168" i="43"/>
  <c r="L184" i="43"/>
  <c r="L200" i="43"/>
  <c r="L216" i="43"/>
  <c r="L232" i="43"/>
  <c r="L248" i="43"/>
  <c r="L264" i="43"/>
  <c r="L280" i="43"/>
  <c r="L296" i="43"/>
  <c r="L313" i="43"/>
  <c r="L329" i="43"/>
  <c r="L3233" i="43"/>
  <c r="L18" i="43"/>
  <c r="L34" i="43"/>
  <c r="L50" i="43"/>
  <c r="L66" i="43"/>
  <c r="L83" i="43"/>
  <c r="L99" i="43"/>
  <c r="L115" i="43"/>
  <c r="L131" i="43"/>
  <c r="L147" i="43"/>
  <c r="L163" i="43"/>
  <c r="L179" i="43"/>
  <c r="L195" i="43"/>
  <c r="L211" i="43"/>
  <c r="L227" i="43"/>
  <c r="L243" i="43"/>
  <c r="L259" i="43"/>
  <c r="L275" i="43"/>
  <c r="L291" i="43"/>
  <c r="L307" i="43"/>
  <c r="L324" i="43"/>
  <c r="L340" i="43"/>
  <c r="L53" i="43"/>
  <c r="L118" i="43"/>
  <c r="L182" i="43"/>
  <c r="L246" i="43"/>
  <c r="L310" i="43"/>
  <c r="L351" i="43"/>
  <c r="L367" i="43"/>
  <c r="L383" i="43"/>
  <c r="L399" i="43"/>
  <c r="L415" i="43"/>
  <c r="L431" i="43"/>
  <c r="L447" i="43"/>
  <c r="L463" i="43"/>
  <c r="L479" i="43"/>
  <c r="L495" i="43"/>
  <c r="L511" i="43"/>
  <c r="L527" i="43"/>
  <c r="L543" i="43"/>
  <c r="L559" i="43"/>
  <c r="L575" i="43"/>
  <c r="L591" i="43"/>
  <c r="L41" i="43"/>
  <c r="L106" i="43"/>
  <c r="L170" i="43"/>
  <c r="L234" i="43"/>
  <c r="L298" i="43"/>
  <c r="L350" i="43"/>
  <c r="L366" i="43"/>
  <c r="L382" i="43"/>
  <c r="L398" i="43"/>
  <c r="L414" i="43"/>
  <c r="L430" i="43"/>
  <c r="L446" i="43"/>
  <c r="L462" i="43"/>
  <c r="L478" i="43"/>
  <c r="L494" i="43"/>
  <c r="L510" i="43"/>
  <c r="L526" i="43"/>
  <c r="L542" i="43"/>
  <c r="L558" i="43"/>
  <c r="L574" i="43"/>
  <c r="L590" i="43"/>
  <c r="L45" i="43"/>
  <c r="L110" i="43"/>
  <c r="L174" i="43"/>
  <c r="L238" i="43"/>
  <c r="L302" i="43"/>
  <c r="L349" i="43"/>
  <c r="L365" i="43"/>
  <c r="L381" i="43"/>
  <c r="L397" i="43"/>
  <c r="L413" i="43"/>
  <c r="L429" i="43"/>
  <c r="L445" i="43"/>
  <c r="L461" i="43"/>
  <c r="L477" i="43"/>
  <c r="L493" i="43"/>
  <c r="L509" i="43"/>
  <c r="L525" i="43"/>
  <c r="L541" i="43"/>
  <c r="L557" i="43"/>
  <c r="L573" i="43"/>
  <c r="L589" i="43"/>
  <c r="L82" i="43"/>
  <c r="L339" i="43"/>
  <c r="L396" i="43"/>
  <c r="L460" i="43"/>
  <c r="L524" i="43"/>
  <c r="L588" i="43"/>
  <c r="L613" i="43"/>
  <c r="L629" i="43"/>
  <c r="L645" i="43"/>
  <c r="L661" i="43"/>
  <c r="L677" i="43"/>
  <c r="L693" i="43"/>
  <c r="L706" i="43"/>
  <c r="L722" i="43"/>
  <c r="L738" i="43"/>
  <c r="L754" i="43"/>
  <c r="L770" i="43"/>
  <c r="L786" i="43"/>
  <c r="L802" i="43"/>
  <c r="L818" i="43"/>
  <c r="L834" i="43"/>
  <c r="L850" i="43"/>
  <c r="L866" i="43"/>
  <c r="L98" i="43"/>
  <c r="L352" i="43"/>
  <c r="L416" i="43"/>
  <c r="L480" i="43"/>
  <c r="L544" i="43"/>
  <c r="L600" i="43"/>
  <c r="L616" i="43"/>
  <c r="L632" i="43"/>
  <c r="L648" i="43"/>
  <c r="L664" i="43"/>
  <c r="L680" i="43"/>
  <c r="L696" i="43"/>
  <c r="L713" i="43"/>
  <c r="L729" i="43"/>
  <c r="L745" i="43"/>
  <c r="L761" i="43"/>
  <c r="L777" i="43"/>
  <c r="L793" i="43"/>
  <c r="L809" i="43"/>
  <c r="L825" i="43"/>
  <c r="L841" i="43"/>
  <c r="L3169" i="43"/>
  <c r="L16" i="43"/>
  <c r="L32" i="43"/>
  <c r="L48" i="43"/>
  <c r="L64" i="43"/>
  <c r="L81" i="43"/>
  <c r="L97" i="43"/>
  <c r="L113" i="43"/>
  <c r="L129" i="43"/>
  <c r="L145" i="43"/>
  <c r="L161" i="43"/>
  <c r="L177" i="43"/>
  <c r="L193" i="43"/>
  <c r="L209" i="43"/>
  <c r="L225" i="43"/>
  <c r="L241" i="43"/>
  <c r="L257" i="43"/>
  <c r="L273" i="43"/>
  <c r="L289" i="43"/>
  <c r="L305" i="43"/>
  <c r="L322" i="43"/>
  <c r="L338" i="43"/>
  <c r="L11" i="43"/>
  <c r="L27" i="43"/>
  <c r="L43" i="43"/>
  <c r="L59" i="43"/>
  <c r="L76" i="43"/>
  <c r="L92" i="43"/>
  <c r="L108" i="43"/>
  <c r="L124" i="43"/>
  <c r="L140" i="43"/>
  <c r="L156" i="43"/>
  <c r="L172" i="43"/>
  <c r="L188" i="43"/>
  <c r="L204" i="43"/>
  <c r="L220" i="43"/>
  <c r="L236" i="43"/>
  <c r="L252" i="43"/>
  <c r="L268" i="43"/>
  <c r="L284" i="43"/>
  <c r="L300" i="43"/>
  <c r="L317" i="43"/>
  <c r="L333" i="43"/>
  <c r="L6" i="43"/>
  <c r="L22" i="43"/>
  <c r="L38" i="43"/>
  <c r="L54" i="43"/>
  <c r="L70" i="43"/>
  <c r="L87" i="43"/>
  <c r="L103" i="43"/>
  <c r="L119" i="43"/>
  <c r="L135" i="43"/>
  <c r="L151" i="43"/>
  <c r="L167" i="43"/>
  <c r="L183" i="43"/>
  <c r="L199" i="43"/>
  <c r="L215" i="43"/>
  <c r="L231" i="43"/>
  <c r="L247" i="43"/>
  <c r="L263" i="43"/>
  <c r="L279" i="43"/>
  <c r="L295" i="43"/>
  <c r="L311" i="43"/>
  <c r="L328" i="43"/>
  <c r="L5" i="43"/>
  <c r="L69" i="43"/>
  <c r="L134" i="43"/>
  <c r="L198" i="43"/>
  <c r="L262" i="43"/>
  <c r="L327" i="43"/>
  <c r="L355" i="43"/>
  <c r="L371" i="43"/>
  <c r="L387" i="43"/>
  <c r="L403" i="43"/>
  <c r="L419" i="43"/>
  <c r="L435" i="43"/>
  <c r="L451" i="43"/>
  <c r="L467" i="43"/>
  <c r="L483" i="43"/>
  <c r="L499" i="43"/>
  <c r="L515" i="43"/>
  <c r="L531" i="43"/>
  <c r="L547" i="43"/>
  <c r="L563" i="43"/>
  <c r="L579" i="43"/>
  <c r="L595" i="43"/>
  <c r="L57" i="43"/>
  <c r="L122" i="43"/>
  <c r="L186" i="43"/>
  <c r="L250" i="43"/>
  <c r="L315" i="43"/>
  <c r="L354" i="43"/>
  <c r="L370" i="43"/>
  <c r="L386" i="43"/>
  <c r="L402" i="43"/>
  <c r="L418" i="43"/>
  <c r="L434" i="43"/>
  <c r="L450" i="43"/>
  <c r="L466" i="43"/>
  <c r="L482" i="43"/>
  <c r="L498" i="43"/>
  <c r="L514" i="43"/>
  <c r="L530" i="43"/>
  <c r="L546" i="43"/>
  <c r="L562" i="43"/>
  <c r="L578" i="43"/>
  <c r="L594" i="43"/>
  <c r="L61" i="43"/>
  <c r="L126" i="43"/>
  <c r="L190" i="43"/>
  <c r="L254" i="43"/>
  <c r="L319" i="43"/>
  <c r="L353" i="43"/>
  <c r="L369" i="43"/>
  <c r="L385" i="43"/>
  <c r="L401" i="43"/>
  <c r="L417" i="43"/>
  <c r="L433" i="43"/>
  <c r="L449" i="43"/>
  <c r="L465" i="43"/>
  <c r="L481" i="43"/>
  <c r="L497" i="43"/>
  <c r="L513" i="43"/>
  <c r="L529" i="43"/>
  <c r="L545" i="43"/>
  <c r="L561" i="43"/>
  <c r="L577" i="43"/>
  <c r="L593" i="43"/>
  <c r="L146" i="43"/>
  <c r="L348" i="43"/>
  <c r="L412" i="43"/>
  <c r="L476" i="43"/>
  <c r="L540" i="43"/>
  <c r="L601" i="43"/>
  <c r="L617" i="43"/>
  <c r="L633" i="43"/>
  <c r="L649" i="43"/>
  <c r="L665" i="43"/>
  <c r="L681" i="43"/>
  <c r="L697" i="43"/>
  <c r="L710" i="43"/>
  <c r="L726" i="43"/>
  <c r="L742" i="43"/>
  <c r="L758" i="43"/>
  <c r="L774" i="43"/>
  <c r="L790" i="43"/>
  <c r="L806" i="43"/>
  <c r="L822" i="43"/>
  <c r="L838" i="43"/>
  <c r="L854" i="43"/>
  <c r="L870" i="43"/>
  <c r="L162" i="43"/>
  <c r="L368" i="43"/>
  <c r="L432" i="43"/>
  <c r="L496" i="43"/>
  <c r="L560" i="43"/>
  <c r="L604" i="43"/>
  <c r="L620" i="43"/>
  <c r="L636" i="43"/>
  <c r="L652" i="43"/>
  <c r="L668" i="43"/>
  <c r="L684" i="43"/>
  <c r="L700" i="43"/>
  <c r="L717" i="43"/>
  <c r="L733" i="43"/>
  <c r="L749" i="43"/>
  <c r="L765" i="43"/>
  <c r="L781" i="43"/>
  <c r="L797" i="43"/>
  <c r="L813" i="43"/>
  <c r="L829" i="43"/>
  <c r="L4" i="43"/>
  <c r="L20" i="43"/>
  <c r="L36" i="43"/>
  <c r="L52" i="43"/>
  <c r="L68" i="43"/>
  <c r="L85" i="43"/>
  <c r="L101" i="43"/>
  <c r="L117" i="43"/>
  <c r="L133" i="43"/>
  <c r="L149" i="43"/>
  <c r="L165" i="43"/>
  <c r="L181" i="43"/>
  <c r="L197" i="43"/>
  <c r="L213" i="43"/>
  <c r="L229" i="43"/>
  <c r="L245" i="43"/>
  <c r="L261" i="43"/>
  <c r="L277" i="43"/>
  <c r="L293" i="43"/>
  <c r="L309" i="43"/>
  <c r="L326" i="43"/>
  <c r="L342" i="43"/>
  <c r="L15" i="43"/>
  <c r="L31" i="43"/>
  <c r="L47" i="43"/>
  <c r="L63" i="43"/>
  <c r="L80" i="43"/>
  <c r="L96" i="43"/>
  <c r="L112" i="43"/>
  <c r="L128" i="43"/>
  <c r="L144" i="43"/>
  <c r="L160" i="43"/>
  <c r="L176" i="43"/>
  <c r="L192" i="43"/>
  <c r="L208" i="43"/>
  <c r="L224" i="43"/>
  <c r="L240" i="43"/>
  <c r="L256" i="43"/>
  <c r="L272" i="43"/>
  <c r="L288" i="43"/>
  <c r="L304" i="43"/>
  <c r="L321" i="43"/>
  <c r="L337" i="43"/>
  <c r="L10" i="43"/>
  <c r="L26" i="43"/>
  <c r="L42" i="43"/>
  <c r="L58" i="43"/>
  <c r="L75" i="43"/>
  <c r="L91" i="43"/>
  <c r="L107" i="43"/>
  <c r="L123" i="43"/>
  <c r="L139" i="43"/>
  <c r="L155" i="43"/>
  <c r="L171" i="43"/>
  <c r="L187" i="43"/>
  <c r="L203" i="43"/>
  <c r="L219" i="43"/>
  <c r="L235" i="43"/>
  <c r="L251" i="43"/>
  <c r="L267" i="43"/>
  <c r="L283" i="43"/>
  <c r="L299" i="43"/>
  <c r="L316" i="43"/>
  <c r="L332" i="43"/>
  <c r="L21" i="43"/>
  <c r="L86" i="43"/>
  <c r="L150" i="43"/>
  <c r="L214" i="43"/>
  <c r="L278" i="43"/>
  <c r="L343" i="43"/>
  <c r="L359" i="43"/>
  <c r="L375" i="43"/>
  <c r="L391" i="43"/>
  <c r="L407" i="43"/>
  <c r="L423" i="43"/>
  <c r="L439" i="43"/>
  <c r="L455" i="43"/>
  <c r="L471" i="43"/>
  <c r="L487" i="43"/>
  <c r="L503" i="43"/>
  <c r="L519" i="43"/>
  <c r="L535" i="43"/>
  <c r="L551" i="43"/>
  <c r="L567" i="43"/>
  <c r="L583" i="43"/>
  <c r="L9" i="43"/>
  <c r="L74" i="43"/>
  <c r="L138" i="43"/>
  <c r="L202" i="43"/>
  <c r="L266" i="43"/>
  <c r="L331" i="43"/>
  <c r="L358" i="43"/>
  <c r="L374" i="43"/>
  <c r="L390" i="43"/>
  <c r="L406" i="43"/>
  <c r="L422" i="43"/>
  <c r="L438" i="43"/>
  <c r="L454" i="43"/>
  <c r="L470" i="43"/>
  <c r="L486" i="43"/>
  <c r="L502" i="43"/>
  <c r="L518" i="43"/>
  <c r="L534" i="43"/>
  <c r="L550" i="43"/>
  <c r="L566" i="43"/>
  <c r="L582" i="43"/>
  <c r="L13" i="43"/>
  <c r="L78" i="43"/>
  <c r="L142" i="43"/>
  <c r="L206" i="43"/>
  <c r="L270" i="43"/>
  <c r="L335" i="43"/>
  <c r="L357" i="43"/>
  <c r="L373" i="43"/>
  <c r="L389" i="43"/>
  <c r="L405" i="43"/>
  <c r="L421" i="43"/>
  <c r="L437" i="43"/>
  <c r="L453" i="43"/>
  <c r="L469" i="43"/>
  <c r="L485" i="43"/>
  <c r="L501" i="43"/>
  <c r="L517" i="43"/>
  <c r="L533" i="43"/>
  <c r="L549" i="43"/>
  <c r="L565" i="43"/>
  <c r="L581" i="43"/>
  <c r="L597" i="43"/>
  <c r="L210" i="43"/>
  <c r="L364" i="43"/>
  <c r="L428" i="43"/>
  <c r="L492" i="43"/>
  <c r="L556" i="43"/>
  <c r="L605" i="43"/>
  <c r="L621" i="43"/>
  <c r="L637" i="43"/>
  <c r="L653" i="43"/>
  <c r="L669" i="43"/>
  <c r="L685" i="43"/>
  <c r="L701" i="43"/>
  <c r="L714" i="43"/>
  <c r="L730" i="43"/>
  <c r="L746" i="43"/>
  <c r="L762" i="43"/>
  <c r="L778" i="43"/>
  <c r="L794" i="43"/>
  <c r="L810" i="43"/>
  <c r="L826" i="43"/>
  <c r="L842" i="43"/>
  <c r="L858" i="43"/>
  <c r="L874" i="43"/>
  <c r="L226" i="43"/>
  <c r="L384" i="43"/>
  <c r="L448" i="43"/>
  <c r="L512" i="43"/>
  <c r="L576" i="43"/>
  <c r="L608" i="43"/>
  <c r="L624" i="43"/>
  <c r="L640" i="43"/>
  <c r="L656" i="43"/>
  <c r="L672" i="43"/>
  <c r="L688" i="43"/>
  <c r="L705" i="43"/>
  <c r="L721" i="43"/>
  <c r="L737" i="43"/>
  <c r="L753" i="43"/>
  <c r="L769" i="43"/>
  <c r="L785" i="43"/>
  <c r="L801" i="43"/>
  <c r="L817" i="43"/>
  <c r="L833" i="43"/>
  <c r="L8" i="43"/>
  <c r="L24" i="43"/>
  <c r="L40" i="43"/>
  <c r="L56" i="43"/>
  <c r="L72" i="43"/>
  <c r="L89" i="43"/>
  <c r="L105" i="43"/>
  <c r="L121" i="43"/>
  <c r="L137" i="43"/>
  <c r="L153" i="43"/>
  <c r="L169" i="43"/>
  <c r="L185" i="43"/>
  <c r="L201" i="43"/>
  <c r="L217" i="43"/>
  <c r="L233" i="43"/>
  <c r="L249" i="43"/>
  <c r="L265" i="43"/>
  <c r="L281" i="43"/>
  <c r="L297" i="43"/>
  <c r="L314" i="43"/>
  <c r="L330" i="43"/>
  <c r="L3" i="43"/>
  <c r="L19" i="43"/>
  <c r="L35" i="43"/>
  <c r="L51" i="43"/>
  <c r="L67" i="43"/>
  <c r="L84" i="43"/>
  <c r="L100" i="43"/>
  <c r="L116" i="43"/>
  <c r="L132" i="43"/>
  <c r="L148" i="43"/>
  <c r="L164" i="43"/>
  <c r="L180" i="43"/>
  <c r="L196" i="43"/>
  <c r="L212" i="43"/>
  <c r="L228" i="43"/>
  <c r="L244" i="43"/>
  <c r="L260" i="43"/>
  <c r="L276" i="43"/>
  <c r="L292" i="43"/>
  <c r="L308" i="43"/>
  <c r="L325" i="43"/>
  <c r="L341" i="43"/>
  <c r="L14" i="43"/>
  <c r="L30" i="43"/>
  <c r="L46" i="43"/>
  <c r="L62" i="43"/>
  <c r="L79" i="43"/>
  <c r="L95" i="43"/>
  <c r="L111" i="43"/>
  <c r="L127" i="43"/>
  <c r="L143" i="43"/>
  <c r="L159" i="43"/>
  <c r="L175" i="43"/>
  <c r="L191" i="43"/>
  <c r="L207" i="43"/>
  <c r="L223" i="43"/>
  <c r="L239" i="43"/>
  <c r="L255" i="43"/>
  <c r="L271" i="43"/>
  <c r="L287" i="43"/>
  <c r="L303" i="43"/>
  <c r="L320" i="43"/>
  <c r="L336" i="43"/>
  <c r="L37" i="43"/>
  <c r="L102" i="43"/>
  <c r="L166" i="43"/>
  <c r="L230" i="43"/>
  <c r="L294" i="43"/>
  <c r="L347" i="43"/>
  <c r="L363" i="43"/>
  <c r="L379" i="43"/>
  <c r="L395" i="43"/>
  <c r="L411" i="43"/>
  <c r="L427" i="43"/>
  <c r="L443" i="43"/>
  <c r="L459" i="43"/>
  <c r="L475" i="43"/>
  <c r="L491" i="43"/>
  <c r="L507" i="43"/>
  <c r="L523" i="43"/>
  <c r="L539" i="43"/>
  <c r="L555" i="43"/>
  <c r="L571" i="43"/>
  <c r="L587" i="43"/>
  <c r="L25" i="43"/>
  <c r="L90" i="43"/>
  <c r="L154" i="43"/>
  <c r="L218" i="43"/>
  <c r="L282" i="43"/>
  <c r="L346" i="43"/>
  <c r="L362" i="43"/>
  <c r="L378" i="43"/>
  <c r="L394" i="43"/>
  <c r="L410" i="43"/>
  <c r="L426" i="43"/>
  <c r="L442" i="43"/>
  <c r="L458" i="43"/>
  <c r="L474" i="43"/>
  <c r="L490" i="43"/>
  <c r="L506" i="43"/>
  <c r="L522" i="43"/>
  <c r="L538" i="43"/>
  <c r="L554" i="43"/>
  <c r="L570" i="43"/>
  <c r="L586" i="43"/>
  <c r="L29" i="43"/>
  <c r="L94" i="43"/>
  <c r="L158" i="43"/>
  <c r="L222" i="43"/>
  <c r="L286" i="43"/>
  <c r="L345" i="43"/>
  <c r="L361" i="43"/>
  <c r="L377" i="43"/>
  <c r="L393" i="43"/>
  <c r="L409" i="43"/>
  <c r="L425" i="43"/>
  <c r="L441" i="43"/>
  <c r="L457" i="43"/>
  <c r="L473" i="43"/>
  <c r="L489" i="43"/>
  <c r="L505" i="43"/>
  <c r="L521" i="43"/>
  <c r="L537" i="43"/>
  <c r="L553" i="43"/>
  <c r="L569" i="43"/>
  <c r="L585" i="43"/>
  <c r="L17" i="43"/>
  <c r="L274" i="43"/>
  <c r="L380" i="43"/>
  <c r="L444" i="43"/>
  <c r="L508" i="43"/>
  <c r="L572" i="43"/>
  <c r="L609" i="43"/>
  <c r="L625" i="43"/>
  <c r="L641" i="43"/>
  <c r="L657" i="43"/>
  <c r="L673" i="43"/>
  <c r="L689" i="43"/>
  <c r="L702" i="43"/>
  <c r="L718" i="43"/>
  <c r="L734" i="43"/>
  <c r="L750" i="43"/>
  <c r="L766" i="43"/>
  <c r="L782" i="43"/>
  <c r="L798" i="43"/>
  <c r="L814" i="43"/>
  <c r="L830" i="43"/>
  <c r="L846" i="43"/>
  <c r="L862" i="43"/>
  <c r="L33" i="43"/>
  <c r="L290" i="43"/>
  <c r="L400" i="43"/>
  <c r="L464" i="43"/>
  <c r="L528" i="43"/>
  <c r="L592" i="43"/>
  <c r="L612" i="43"/>
  <c r="L628" i="43"/>
  <c r="L644" i="43"/>
  <c r="L660" i="43"/>
  <c r="L676" i="43"/>
  <c r="L692" i="43"/>
  <c r="L709" i="43"/>
  <c r="L725" i="43"/>
  <c r="L741" i="43"/>
  <c r="L757" i="43"/>
  <c r="L773" i="43"/>
  <c r="L789" i="43"/>
  <c r="L805" i="43"/>
  <c r="L821" i="43"/>
  <c r="L837" i="43"/>
  <c r="L49" i="43"/>
  <c r="L306" i="43"/>
  <c r="L404" i="43"/>
  <c r="L468" i="43"/>
  <c r="L532" i="43"/>
  <c r="L596" i="43"/>
  <c r="L611" i="43"/>
  <c r="L627" i="43"/>
  <c r="L424" i="43"/>
  <c r="L618" i="43"/>
  <c r="L659" i="43"/>
  <c r="L691" i="43"/>
  <c r="L723" i="43"/>
  <c r="L755" i="43"/>
  <c r="L787" i="43"/>
  <c r="L819" i="43"/>
  <c r="L851" i="43"/>
  <c r="L873" i="43"/>
  <c r="L888" i="43"/>
  <c r="L904" i="43"/>
  <c r="L920" i="43"/>
  <c r="L936" i="43"/>
  <c r="L952" i="43"/>
  <c r="L968" i="43"/>
  <c r="L984" i="43"/>
  <c r="L1000" i="43"/>
  <c r="L1017" i="43"/>
  <c r="L1033" i="43"/>
  <c r="L1049" i="43"/>
  <c r="L1065" i="43"/>
  <c r="L1081" i="43"/>
  <c r="L1097" i="43"/>
  <c r="L1113" i="43"/>
  <c r="L1129" i="43"/>
  <c r="L1145" i="43"/>
  <c r="L1161" i="43"/>
  <c r="L1177" i="43"/>
  <c r="L1193" i="43"/>
  <c r="L1209" i="43"/>
  <c r="L1225" i="43"/>
  <c r="L1241" i="43"/>
  <c r="L1257" i="43"/>
  <c r="L1273" i="43"/>
  <c r="L1289" i="43"/>
  <c r="L1305" i="43"/>
  <c r="L1321" i="43"/>
  <c r="L1337" i="43"/>
  <c r="L1353" i="43"/>
  <c r="L1369" i="43"/>
  <c r="L1385" i="43"/>
  <c r="L376" i="43"/>
  <c r="L606" i="43"/>
  <c r="L650" i="43"/>
  <c r="L682" i="43"/>
  <c r="L712" i="43"/>
  <c r="L744" i="43"/>
  <c r="L776" i="43"/>
  <c r="L808" i="43"/>
  <c r="L840" i="43"/>
  <c r="L869" i="43"/>
  <c r="L883" i="43"/>
  <c r="L899" i="43"/>
  <c r="L915" i="43"/>
  <c r="L931" i="43"/>
  <c r="L947" i="43"/>
  <c r="L963" i="43"/>
  <c r="L979" i="43"/>
  <c r="L995" i="43"/>
  <c r="L1012" i="43"/>
  <c r="L1028" i="43"/>
  <c r="L1044" i="43"/>
  <c r="L1060" i="43"/>
  <c r="L1076" i="43"/>
  <c r="L1092" i="43"/>
  <c r="L1108" i="43"/>
  <c r="L1124" i="43"/>
  <c r="L1140" i="43"/>
  <c r="L1156" i="43"/>
  <c r="L1172" i="43"/>
  <c r="L1188" i="43"/>
  <c r="L1204" i="43"/>
  <c r="L1220" i="43"/>
  <c r="L1236" i="43"/>
  <c r="L1252" i="43"/>
  <c r="L1268" i="43"/>
  <c r="L1284" i="43"/>
  <c r="L1300" i="43"/>
  <c r="L1316" i="43"/>
  <c r="L1332" i="43"/>
  <c r="L1348" i="43"/>
  <c r="L1364" i="43"/>
  <c r="L1380" i="43"/>
  <c r="L1396" i="43"/>
  <c r="L520" i="43"/>
  <c r="L631" i="43"/>
  <c r="L663" i="43"/>
  <c r="L695" i="43"/>
  <c r="L727" i="43"/>
  <c r="L759" i="43"/>
  <c r="L791" i="43"/>
  <c r="L823" i="43"/>
  <c r="L855" i="43"/>
  <c r="L878" i="43"/>
  <c r="L894" i="43"/>
  <c r="L910" i="43"/>
  <c r="L926" i="43"/>
  <c r="L942" i="43"/>
  <c r="L958" i="43"/>
  <c r="L974" i="43"/>
  <c r="L990" i="43"/>
  <c r="L1006" i="43"/>
  <c r="L1019" i="43"/>
  <c r="L1035" i="43"/>
  <c r="L1051" i="43"/>
  <c r="L1067" i="43"/>
  <c r="L1083" i="43"/>
  <c r="L1099" i="43"/>
  <c r="L1115" i="43"/>
  <c r="L1131" i="43"/>
  <c r="L1147" i="43"/>
  <c r="L1163" i="43"/>
  <c r="L1179" i="43"/>
  <c r="L1195" i="43"/>
  <c r="L1211" i="43"/>
  <c r="L1227" i="43"/>
  <c r="L1243" i="43"/>
  <c r="L1259" i="43"/>
  <c r="L1275" i="43"/>
  <c r="L1291" i="43"/>
  <c r="L1307" i="43"/>
  <c r="L1323" i="43"/>
  <c r="L1339" i="43"/>
  <c r="L1355" i="43"/>
  <c r="L1371" i="43"/>
  <c r="L1387" i="43"/>
  <c r="L408" i="43"/>
  <c r="L716" i="43"/>
  <c r="L844" i="43"/>
  <c r="L913" i="43"/>
  <c r="L977" i="43"/>
  <c r="L1030" i="43"/>
  <c r="L1094" i="43"/>
  <c r="L1158" i="43"/>
  <c r="L1222" i="43"/>
  <c r="L1286" i="43"/>
  <c r="L1350" i="43"/>
  <c r="L1403" i="43"/>
  <c r="L1419" i="43"/>
  <c r="L1435" i="43"/>
  <c r="L1451" i="43"/>
  <c r="L1467" i="43"/>
  <c r="L1483" i="43"/>
  <c r="L1499" i="43"/>
  <c r="L1515" i="43"/>
  <c r="L1531" i="43"/>
  <c r="L1547" i="43"/>
  <c r="L1563" i="43"/>
  <c r="L1579" i="43"/>
  <c r="L1595" i="43"/>
  <c r="L1611" i="43"/>
  <c r="L1627" i="43"/>
  <c r="L1643" i="43"/>
  <c r="L1659" i="43"/>
  <c r="L1675" i="43"/>
  <c r="L1691" i="43"/>
  <c r="L1707" i="43"/>
  <c r="L662" i="43"/>
  <c r="L788" i="43"/>
  <c r="L901" i="43"/>
  <c r="L965" i="43"/>
  <c r="L1034" i="43"/>
  <c r="L1098" i="43"/>
  <c r="L1162" i="43"/>
  <c r="L1226" i="43"/>
  <c r="L1290" i="43"/>
  <c r="L1354" i="43"/>
  <c r="L1402" i="43"/>
  <c r="L1418" i="43"/>
  <c r="L1434" i="43"/>
  <c r="L1450" i="43"/>
  <c r="L1466" i="43"/>
  <c r="L1482" i="43"/>
  <c r="L1498" i="43"/>
  <c r="L1514" i="43"/>
  <c r="L1530" i="43"/>
  <c r="L1546" i="43"/>
  <c r="L1562" i="43"/>
  <c r="L1578" i="43"/>
  <c r="L1594" i="43"/>
  <c r="L1610" i="43"/>
  <c r="L1626" i="43"/>
  <c r="L1642" i="43"/>
  <c r="L1658" i="43"/>
  <c r="L1674" i="43"/>
  <c r="L1690" i="43"/>
  <c r="L1706" i="43"/>
  <c r="L670" i="43"/>
  <c r="L828" i="43"/>
  <c r="L921" i="43"/>
  <c r="L985" i="43"/>
  <c r="L1054" i="43"/>
  <c r="L1118" i="43"/>
  <c r="L1182" i="43"/>
  <c r="L1246" i="43"/>
  <c r="L1310" i="43"/>
  <c r="L1374" i="43"/>
  <c r="L1405" i="43"/>
  <c r="L1421" i="43"/>
  <c r="L1437" i="43"/>
  <c r="L1453" i="43"/>
  <c r="L1469" i="43"/>
  <c r="L1485" i="43"/>
  <c r="L1501" i="43"/>
  <c r="L1517" i="43"/>
  <c r="L1533" i="43"/>
  <c r="L1549" i="43"/>
  <c r="L1565" i="43"/>
  <c r="L1581" i="43"/>
  <c r="L1597" i="43"/>
  <c r="L1613" i="43"/>
  <c r="L1629" i="43"/>
  <c r="L1645" i="43"/>
  <c r="L1661" i="43"/>
  <c r="L1677" i="43"/>
  <c r="L1693" i="43"/>
  <c r="L1709" i="43"/>
  <c r="L678" i="43"/>
  <c r="L804" i="43"/>
  <c r="L893" i="43"/>
  <c r="L957" i="43"/>
  <c r="L1026" i="43"/>
  <c r="L1090" i="43"/>
  <c r="L1154" i="43"/>
  <c r="L1218" i="43"/>
  <c r="L1282" i="43"/>
  <c r="L1346" i="43"/>
  <c r="L1400" i="43"/>
  <c r="L1416" i="43"/>
  <c r="L1432" i="43"/>
  <c r="L1448" i="43"/>
  <c r="L1464" i="43"/>
  <c r="L1480" i="43"/>
  <c r="L1496" i="43"/>
  <c r="L1512" i="43"/>
  <c r="L1528" i="43"/>
  <c r="L1544" i="43"/>
  <c r="L1560" i="43"/>
  <c r="L1600" i="43"/>
  <c r="L1664" i="43"/>
  <c r="L1716" i="43"/>
  <c r="L1732" i="43"/>
  <c r="L1748" i="43"/>
  <c r="L1764" i="43"/>
  <c r="L1780" i="43"/>
  <c r="L1796" i="43"/>
  <c r="L1812" i="43"/>
  <c r="L1828" i="43"/>
  <c r="L1844" i="43"/>
  <c r="L1860" i="43"/>
  <c r="L1876" i="43"/>
  <c r="L1892" i="43"/>
  <c r="L1908" i="43"/>
  <c r="L1924" i="43"/>
  <c r="L1940" i="43"/>
  <c r="L1956" i="43"/>
  <c r="L1972" i="43"/>
  <c r="L1988" i="43"/>
  <c r="L2004" i="43"/>
  <c r="L2020" i="43"/>
  <c r="L2036" i="43"/>
  <c r="L2052" i="43"/>
  <c r="L2068" i="43"/>
  <c r="L2084" i="43"/>
  <c r="L2100" i="43"/>
  <c r="L2116" i="43"/>
  <c r="L2132" i="43"/>
  <c r="L2148" i="43"/>
  <c r="L2164" i="43"/>
  <c r="L2180" i="43"/>
  <c r="L2196" i="43"/>
  <c r="L2212" i="43"/>
  <c r="L2228" i="43"/>
  <c r="L2244" i="43"/>
  <c r="L2260" i="43"/>
  <c r="L2276" i="43"/>
  <c r="L2292" i="43"/>
  <c r="L2308" i="43"/>
  <c r="L2324" i="43"/>
  <c r="L2340" i="43"/>
  <c r="L2356" i="43"/>
  <c r="L1620" i="43"/>
  <c r="L1684" i="43"/>
  <c r="L1723" i="43"/>
  <c r="L1739" i="43"/>
  <c r="L1755" i="43"/>
  <c r="L1771" i="43"/>
  <c r="L1787" i="43"/>
  <c r="L1803" i="43"/>
  <c r="L1819" i="43"/>
  <c r="L1835" i="43"/>
  <c r="L1851" i="43"/>
  <c r="L1867" i="43"/>
  <c r="L1883" i="43"/>
  <c r="L1899" i="43"/>
  <c r="L1915" i="43"/>
  <c r="L1931" i="43"/>
  <c r="L1947" i="43"/>
  <c r="L1963" i="43"/>
  <c r="L1979" i="43"/>
  <c r="L1995" i="43"/>
  <c r="L2011" i="43"/>
  <c r="L2027" i="43"/>
  <c r="L2043" i="43"/>
  <c r="L2059" i="43"/>
  <c r="L2075" i="43"/>
  <c r="L2091" i="43"/>
  <c r="L2107" i="43"/>
  <c r="L2123" i="43"/>
  <c r="L2139" i="43"/>
  <c r="L2155" i="43"/>
  <c r="L2171" i="43"/>
  <c r="L2187" i="43"/>
  <c r="L2203" i="43"/>
  <c r="L2219" i="43"/>
  <c r="L2235" i="43"/>
  <c r="L2251" i="43"/>
  <c r="L2267" i="43"/>
  <c r="L2283" i="43"/>
  <c r="L2299" i="43"/>
  <c r="L2315" i="43"/>
  <c r="L2331" i="43"/>
  <c r="L2347" i="43"/>
  <c r="L1592" i="43"/>
  <c r="L1656" i="43"/>
  <c r="L1714" i="43"/>
  <c r="L1730" i="43"/>
  <c r="L1746" i="43"/>
  <c r="L1762" i="43"/>
  <c r="L1778" i="43"/>
  <c r="L1794" i="43"/>
  <c r="L845" i="43"/>
  <c r="L114" i="43"/>
  <c r="L356" i="43"/>
  <c r="L420" i="43"/>
  <c r="L484" i="43"/>
  <c r="L548" i="43"/>
  <c r="L599" i="43"/>
  <c r="L615" i="43"/>
  <c r="L65" i="43"/>
  <c r="L488" i="43"/>
  <c r="L635" i="43"/>
  <c r="L667" i="43"/>
  <c r="L699" i="43"/>
  <c r="L731" i="43"/>
  <c r="L763" i="43"/>
  <c r="L795" i="43"/>
  <c r="L827" i="43"/>
  <c r="L857" i="43"/>
  <c r="L876" i="43"/>
  <c r="L892" i="43"/>
  <c r="L908" i="43"/>
  <c r="L924" i="43"/>
  <c r="L940" i="43"/>
  <c r="L956" i="43"/>
  <c r="L972" i="43"/>
  <c r="L988" i="43"/>
  <c r="L1004" i="43"/>
  <c r="L1021" i="43"/>
  <c r="L1037" i="43"/>
  <c r="L1053" i="43"/>
  <c r="L1069" i="43"/>
  <c r="L1085" i="43"/>
  <c r="L1101" i="43"/>
  <c r="L1117" i="43"/>
  <c r="L1133" i="43"/>
  <c r="L1149" i="43"/>
  <c r="L1165" i="43"/>
  <c r="L1181" i="43"/>
  <c r="L1197" i="43"/>
  <c r="L1213" i="43"/>
  <c r="L1229" i="43"/>
  <c r="L1245" i="43"/>
  <c r="L1261" i="43"/>
  <c r="L1277" i="43"/>
  <c r="L1293" i="43"/>
  <c r="L1309" i="43"/>
  <c r="L1325" i="43"/>
  <c r="L1341" i="43"/>
  <c r="L1357" i="43"/>
  <c r="L1373" i="43"/>
  <c r="L1389" i="43"/>
  <c r="L440" i="43"/>
  <c r="L622" i="43"/>
  <c r="L658" i="43"/>
  <c r="L690" i="43"/>
  <c r="L720" i="43"/>
  <c r="L752" i="43"/>
  <c r="L784" i="43"/>
  <c r="L816" i="43"/>
  <c r="L848" i="43"/>
  <c r="L872" i="43"/>
  <c r="L887" i="43"/>
  <c r="L903" i="43"/>
  <c r="L919" i="43"/>
  <c r="L935" i="43"/>
  <c r="L951" i="43"/>
  <c r="L967" i="43"/>
  <c r="L983" i="43"/>
  <c r="L999" i="43"/>
  <c r="L1016" i="43"/>
  <c r="L1032" i="43"/>
  <c r="L1048" i="43"/>
  <c r="L1064" i="43"/>
  <c r="L1080" i="43"/>
  <c r="L1096" i="43"/>
  <c r="L1112" i="43"/>
  <c r="L1128" i="43"/>
  <c r="L1144" i="43"/>
  <c r="L1160" i="43"/>
  <c r="L1176" i="43"/>
  <c r="L1192" i="43"/>
  <c r="L1208" i="43"/>
  <c r="L1224" i="43"/>
  <c r="L1240" i="43"/>
  <c r="L1256" i="43"/>
  <c r="L1272" i="43"/>
  <c r="L1288" i="43"/>
  <c r="L1304" i="43"/>
  <c r="L1320" i="43"/>
  <c r="L1336" i="43"/>
  <c r="L1352" i="43"/>
  <c r="L1368" i="43"/>
  <c r="L1384" i="43"/>
  <c r="L194" i="43"/>
  <c r="L584" i="43"/>
  <c r="L639" i="43"/>
  <c r="L671" i="43"/>
  <c r="L703" i="43"/>
  <c r="L735" i="43"/>
  <c r="L767" i="43"/>
  <c r="L799" i="43"/>
  <c r="L831" i="43"/>
  <c r="L865" i="43"/>
  <c r="L882" i="43"/>
  <c r="L898" i="43"/>
  <c r="L914" i="43"/>
  <c r="L930" i="43"/>
  <c r="L946" i="43"/>
  <c r="L962" i="43"/>
  <c r="L978" i="43"/>
  <c r="L994" i="43"/>
  <c r="L1010" i="43"/>
  <c r="L1023" i="43"/>
  <c r="L1039" i="43"/>
  <c r="L1055" i="43"/>
  <c r="L1071" i="43"/>
  <c r="L1087" i="43"/>
  <c r="L1103" i="43"/>
  <c r="L1119" i="43"/>
  <c r="L1135" i="43"/>
  <c r="L1151" i="43"/>
  <c r="L1167" i="43"/>
  <c r="L1183" i="43"/>
  <c r="L1199" i="43"/>
  <c r="L1215" i="43"/>
  <c r="L1231" i="43"/>
  <c r="L1247" i="43"/>
  <c r="L1263" i="43"/>
  <c r="L1279" i="43"/>
  <c r="L1295" i="43"/>
  <c r="L1311" i="43"/>
  <c r="L1327" i="43"/>
  <c r="L1343" i="43"/>
  <c r="L1359" i="43"/>
  <c r="L1375" i="43"/>
  <c r="L1391" i="43"/>
  <c r="L614" i="43"/>
  <c r="L748" i="43"/>
  <c r="L861" i="43"/>
  <c r="L929" i="43"/>
  <c r="L993" i="43"/>
  <c r="L1046" i="43"/>
  <c r="L1110" i="43"/>
  <c r="L1174" i="43"/>
  <c r="L1238" i="43"/>
  <c r="L1302" i="43"/>
  <c r="L1366" i="43"/>
  <c r="L1407" i="43"/>
  <c r="L1423" i="43"/>
  <c r="L1439" i="43"/>
  <c r="L1455" i="43"/>
  <c r="L1471" i="43"/>
  <c r="L1487" i="43"/>
  <c r="L1503" i="43"/>
  <c r="L1519" i="43"/>
  <c r="L1535" i="43"/>
  <c r="L1551" i="43"/>
  <c r="L1567" i="43"/>
  <c r="L1583" i="43"/>
  <c r="L1599" i="43"/>
  <c r="L1615" i="43"/>
  <c r="L1631" i="43"/>
  <c r="L1647" i="43"/>
  <c r="L1663" i="43"/>
  <c r="L1679" i="43"/>
  <c r="L1695" i="43"/>
  <c r="L1711" i="43"/>
  <c r="L694" i="43"/>
  <c r="L820" i="43"/>
  <c r="L917" i="43"/>
  <c r="L981" i="43"/>
  <c r="L1050" i="43"/>
  <c r="L1114" i="43"/>
  <c r="L1178" i="43"/>
  <c r="L1242" i="43"/>
  <c r="L1306" i="43"/>
  <c r="L1370" i="43"/>
  <c r="L1406" i="43"/>
  <c r="L1422" i="43"/>
  <c r="L1438" i="43"/>
  <c r="L1454" i="43"/>
  <c r="L1470" i="43"/>
  <c r="L1486" i="43"/>
  <c r="L1502" i="43"/>
  <c r="L1518" i="43"/>
  <c r="L1534" i="43"/>
  <c r="L1550" i="43"/>
  <c r="L1566" i="43"/>
  <c r="L1582" i="43"/>
  <c r="L1598" i="43"/>
  <c r="L1614" i="43"/>
  <c r="L1630" i="43"/>
  <c r="L1646" i="43"/>
  <c r="L1662" i="43"/>
  <c r="L1678" i="43"/>
  <c r="L1694" i="43"/>
  <c r="L1710" i="43"/>
  <c r="L732" i="43"/>
  <c r="L867" i="43"/>
  <c r="L937" i="43"/>
  <c r="L1001" i="43"/>
  <c r="L1070" i="43"/>
  <c r="L1134" i="43"/>
  <c r="L1198" i="43"/>
  <c r="L1262" i="43"/>
  <c r="L1326" i="43"/>
  <c r="L1390" i="43"/>
  <c r="L1409" i="43"/>
  <c r="L1425" i="43"/>
  <c r="L1441" i="43"/>
  <c r="L1457" i="43"/>
  <c r="L1473" i="43"/>
  <c r="L1489" i="43"/>
  <c r="L1505" i="43"/>
  <c r="L1521" i="43"/>
  <c r="L1537" i="43"/>
  <c r="L1553" i="43"/>
  <c r="L1569" i="43"/>
  <c r="L1585" i="43"/>
  <c r="L1601" i="43"/>
  <c r="L1617" i="43"/>
  <c r="L1633" i="43"/>
  <c r="L1649" i="43"/>
  <c r="L1665" i="43"/>
  <c r="L1681" i="43"/>
  <c r="L1697" i="43"/>
  <c r="L344" i="43"/>
  <c r="L708" i="43"/>
  <c r="L836" i="43"/>
  <c r="L909" i="43"/>
  <c r="L973" i="43"/>
  <c r="L1042" i="43"/>
  <c r="L1106" i="43"/>
  <c r="L1170" i="43"/>
  <c r="L1234" i="43"/>
  <c r="L1298" i="43"/>
  <c r="L1362" i="43"/>
  <c r="L1404" i="43"/>
  <c r="L1420" i="43"/>
  <c r="L1436" i="43"/>
  <c r="L1452" i="43"/>
  <c r="L1468" i="43"/>
  <c r="L1484" i="43"/>
  <c r="L1500" i="43"/>
  <c r="L1516" i="43"/>
  <c r="L1532" i="43"/>
  <c r="L1548" i="43"/>
  <c r="L1564" i="43"/>
  <c r="L1616" i="43"/>
  <c r="L1680" i="43"/>
  <c r="L1720" i="43"/>
  <c r="L1736" i="43"/>
  <c r="L1752" i="43"/>
  <c r="L1768" i="43"/>
  <c r="L1784" i="43"/>
  <c r="L1800" i="43"/>
  <c r="L1816" i="43"/>
  <c r="L1832" i="43"/>
  <c r="L1848" i="43"/>
  <c r="L1864" i="43"/>
  <c r="L1880" i="43"/>
  <c r="L1896" i="43"/>
  <c r="L1912" i="43"/>
  <c r="L1928" i="43"/>
  <c r="L1944" i="43"/>
  <c r="L1960" i="43"/>
  <c r="L1976" i="43"/>
  <c r="L1992" i="43"/>
  <c r="L2008" i="43"/>
  <c r="L2024" i="43"/>
  <c r="L2040" i="43"/>
  <c r="L2056" i="43"/>
  <c r="L2072" i="43"/>
  <c r="L2088" i="43"/>
  <c r="L2104" i="43"/>
  <c r="L2120" i="43"/>
  <c r="L2136" i="43"/>
  <c r="L2152" i="43"/>
  <c r="L2168" i="43"/>
  <c r="L2184" i="43"/>
  <c r="L2200" i="43"/>
  <c r="L2216" i="43"/>
  <c r="L2232" i="43"/>
  <c r="L2248" i="43"/>
  <c r="L2264" i="43"/>
  <c r="L2280" i="43"/>
  <c r="L2296" i="43"/>
  <c r="L2312" i="43"/>
  <c r="L2328" i="43"/>
  <c r="L2344" i="43"/>
  <c r="L1572" i="43"/>
  <c r="L1636" i="43"/>
  <c r="L1700" i="43"/>
  <c r="L1727" i="43"/>
  <c r="L1743" i="43"/>
  <c r="L1759" i="43"/>
  <c r="L1775" i="43"/>
  <c r="L1791" i="43"/>
  <c r="L1807" i="43"/>
  <c r="L1823" i="43"/>
  <c r="L1839" i="43"/>
  <c r="L1855" i="43"/>
  <c r="L1871" i="43"/>
  <c r="L1887" i="43"/>
  <c r="L1903" i="43"/>
  <c r="L1919" i="43"/>
  <c r="L1935" i="43"/>
  <c r="L1951" i="43"/>
  <c r="L1967" i="43"/>
  <c r="L1983" i="43"/>
  <c r="L1999" i="43"/>
  <c r="L2015" i="43"/>
  <c r="L2031" i="43"/>
  <c r="L2047" i="43"/>
  <c r="L2063" i="43"/>
  <c r="L2079" i="43"/>
  <c r="L2095" i="43"/>
  <c r="L2111" i="43"/>
  <c r="L2127" i="43"/>
  <c r="L2143" i="43"/>
  <c r="L2159" i="43"/>
  <c r="L2175" i="43"/>
  <c r="L2191" i="43"/>
  <c r="L2207" i="43"/>
  <c r="L2223" i="43"/>
  <c r="L2239" i="43"/>
  <c r="L2255" i="43"/>
  <c r="L2271" i="43"/>
  <c r="L2287" i="43"/>
  <c r="L2303" i="43"/>
  <c r="L2319" i="43"/>
  <c r="L2335" i="43"/>
  <c r="L2351" i="43"/>
  <c r="L1608" i="43"/>
  <c r="L1672" i="43"/>
  <c r="L1718" i="43"/>
  <c r="L1734" i="43"/>
  <c r="L1750" i="43"/>
  <c r="L1766" i="43"/>
  <c r="L1782" i="43"/>
  <c r="L1798" i="43"/>
  <c r="L849" i="43"/>
  <c r="L178" i="43"/>
  <c r="L372" i="43"/>
  <c r="L436" i="43"/>
  <c r="L500" i="43"/>
  <c r="L564" i="43"/>
  <c r="L603" i="43"/>
  <c r="L619" i="43"/>
  <c r="L323" i="43"/>
  <c r="L552" i="43"/>
  <c r="L643" i="43"/>
  <c r="L675" i="43"/>
  <c r="L707" i="43"/>
  <c r="L739" i="43"/>
  <c r="L771" i="43"/>
  <c r="L803" i="43"/>
  <c r="L835" i="43"/>
  <c r="L860" i="43"/>
  <c r="L880" i="43"/>
  <c r="L896" i="43"/>
  <c r="L912" i="43"/>
  <c r="L928" i="43"/>
  <c r="L944" i="43"/>
  <c r="L960" i="43"/>
  <c r="L976" i="43"/>
  <c r="L992" i="43"/>
  <c r="L1008" i="43"/>
  <c r="L1025" i="43"/>
  <c r="L1041" i="43"/>
  <c r="L1057" i="43"/>
  <c r="L1073" i="43"/>
  <c r="L1089" i="43"/>
  <c r="L1105" i="43"/>
  <c r="L1121" i="43"/>
  <c r="L1137" i="43"/>
  <c r="L1153" i="43"/>
  <c r="L1169" i="43"/>
  <c r="L1185" i="43"/>
  <c r="L1201" i="43"/>
  <c r="L1217" i="43"/>
  <c r="L1233" i="43"/>
  <c r="L1249" i="43"/>
  <c r="L1265" i="43"/>
  <c r="L1281" i="43"/>
  <c r="L1297" i="43"/>
  <c r="L1313" i="43"/>
  <c r="L1329" i="43"/>
  <c r="L1345" i="43"/>
  <c r="L1361" i="43"/>
  <c r="L1377" i="43"/>
  <c r="L1393" i="43"/>
  <c r="L504" i="43"/>
  <c r="L634" i="43"/>
  <c r="L666" i="43"/>
  <c r="L698" i="43"/>
  <c r="L728" i="43"/>
  <c r="L760" i="43"/>
  <c r="L792" i="43"/>
  <c r="L824" i="43"/>
  <c r="L856" i="43"/>
  <c r="L875" i="43"/>
  <c r="L891" i="43"/>
  <c r="L907" i="43"/>
  <c r="L923" i="43"/>
  <c r="L939" i="43"/>
  <c r="L955" i="43"/>
  <c r="L971" i="43"/>
  <c r="L987" i="43"/>
  <c r="L1003" i="43"/>
  <c r="L1020" i="43"/>
  <c r="L1036" i="43"/>
  <c r="L1052" i="43"/>
  <c r="L1068" i="43"/>
  <c r="L1084" i="43"/>
  <c r="L1100" i="43"/>
  <c r="L1116" i="43"/>
  <c r="L1132" i="43"/>
  <c r="L1148" i="43"/>
  <c r="L1164" i="43"/>
  <c r="L1180" i="43"/>
  <c r="L1196" i="43"/>
  <c r="L1212" i="43"/>
  <c r="L1228" i="43"/>
  <c r="L1244" i="43"/>
  <c r="L1260" i="43"/>
  <c r="L1276" i="43"/>
  <c r="L1292" i="43"/>
  <c r="L1308" i="43"/>
  <c r="L1324" i="43"/>
  <c r="L1340" i="43"/>
  <c r="L1356" i="43"/>
  <c r="L1372" i="43"/>
  <c r="L1388" i="43"/>
  <c r="L392" i="43"/>
  <c r="L610" i="43"/>
  <c r="L647" i="43"/>
  <c r="L679" i="43"/>
  <c r="L711" i="43"/>
  <c r="L743" i="43"/>
  <c r="L775" i="43"/>
  <c r="L807" i="43"/>
  <c r="L839" i="43"/>
  <c r="L868" i="43"/>
  <c r="L886" i="43"/>
  <c r="L902" i="43"/>
  <c r="L918" i="43"/>
  <c r="L934" i="43"/>
  <c r="L950" i="43"/>
  <c r="L966" i="43"/>
  <c r="L982" i="43"/>
  <c r="L998" i="43"/>
  <c r="L1011" i="43"/>
  <c r="L1027" i="43"/>
  <c r="L1043" i="43"/>
  <c r="L1059" i="43"/>
  <c r="L1075" i="43"/>
  <c r="L1091" i="43"/>
  <c r="L1107" i="43"/>
  <c r="L1123" i="43"/>
  <c r="L1139" i="43"/>
  <c r="L1155" i="43"/>
  <c r="L1171" i="43"/>
  <c r="L1187" i="43"/>
  <c r="L1203" i="43"/>
  <c r="L1219" i="43"/>
  <c r="L1235" i="43"/>
  <c r="L1251" i="43"/>
  <c r="L1267" i="43"/>
  <c r="L1283" i="43"/>
  <c r="L1299" i="43"/>
  <c r="L1315" i="43"/>
  <c r="L1331" i="43"/>
  <c r="L1347" i="43"/>
  <c r="L1363" i="43"/>
  <c r="L1379" i="43"/>
  <c r="L1395" i="43"/>
  <c r="L654" i="43"/>
  <c r="L780" i="43"/>
  <c r="L881" i="43"/>
  <c r="L945" i="43"/>
  <c r="L1009" i="43"/>
  <c r="L1062" i="43"/>
  <c r="L1126" i="43"/>
  <c r="L1190" i="43"/>
  <c r="L1254" i="43"/>
  <c r="L1318" i="43"/>
  <c r="L1382" i="43"/>
  <c r="L1411" i="43"/>
  <c r="L1427" i="43"/>
  <c r="L1443" i="43"/>
  <c r="L1459" i="43"/>
  <c r="L1475" i="43"/>
  <c r="L1491" i="43"/>
  <c r="L1507" i="43"/>
  <c r="L1523" i="43"/>
  <c r="L1539" i="43"/>
  <c r="L1555" i="43"/>
  <c r="L1571" i="43"/>
  <c r="L1587" i="43"/>
  <c r="L1603" i="43"/>
  <c r="L1619" i="43"/>
  <c r="L1635" i="43"/>
  <c r="L1651" i="43"/>
  <c r="L1667" i="43"/>
  <c r="L1683" i="43"/>
  <c r="L1699" i="43"/>
  <c r="L472" i="43"/>
  <c r="L724" i="43"/>
  <c r="L852" i="43"/>
  <c r="L933" i="43"/>
  <c r="L997" i="43"/>
  <c r="L1066" i="43"/>
  <c r="L1130" i="43"/>
  <c r="L1194" i="43"/>
  <c r="L1258" i="43"/>
  <c r="L1322" i="43"/>
  <c r="L1386" i="43"/>
  <c r="L1410" i="43"/>
  <c r="L1426" i="43"/>
  <c r="L1442" i="43"/>
  <c r="L1458" i="43"/>
  <c r="L1474" i="43"/>
  <c r="L1490" i="43"/>
  <c r="L1506" i="43"/>
  <c r="L1522" i="43"/>
  <c r="L1538" i="43"/>
  <c r="L1554" i="43"/>
  <c r="L1570" i="43"/>
  <c r="L1586" i="43"/>
  <c r="L1602" i="43"/>
  <c r="L1618" i="43"/>
  <c r="L1634" i="43"/>
  <c r="L1650" i="43"/>
  <c r="L1666" i="43"/>
  <c r="L1682" i="43"/>
  <c r="L1698" i="43"/>
  <c r="L536" i="43"/>
  <c r="L764" i="43"/>
  <c r="L889" i="43"/>
  <c r="L953" i="43"/>
  <c r="L1022" i="43"/>
  <c r="L1086" i="43"/>
  <c r="L1150" i="43"/>
  <c r="L1214" i="43"/>
  <c r="L1278" i="43"/>
  <c r="L1342" i="43"/>
  <c r="L1397" i="43"/>
  <c r="L1413" i="43"/>
  <c r="L1429" i="43"/>
  <c r="L1445" i="43"/>
  <c r="L1461" i="43"/>
  <c r="L1477" i="43"/>
  <c r="L1493" i="43"/>
  <c r="L1509" i="43"/>
  <c r="L1525" i="43"/>
  <c r="L1541" i="43"/>
  <c r="L1557" i="43"/>
  <c r="L1573" i="43"/>
  <c r="L1589" i="43"/>
  <c r="L1605" i="43"/>
  <c r="L1621" i="43"/>
  <c r="L1637" i="43"/>
  <c r="L1653" i="43"/>
  <c r="L1669" i="43"/>
  <c r="L1685" i="43"/>
  <c r="L1701" i="43"/>
  <c r="L598" i="43"/>
  <c r="L740" i="43"/>
  <c r="L864" i="43"/>
  <c r="L925" i="43"/>
  <c r="L989" i="43"/>
  <c r="L1058" i="43"/>
  <c r="L1122" i="43"/>
  <c r="L1186" i="43"/>
  <c r="L1250" i="43"/>
  <c r="L1314" i="43"/>
  <c r="L1378" i="43"/>
  <c r="L1408" i="43"/>
  <c r="L1424" i="43"/>
  <c r="L1440" i="43"/>
  <c r="L1456" i="43"/>
  <c r="L1472" i="43"/>
  <c r="L1488" i="43"/>
  <c r="L1504" i="43"/>
  <c r="L1520" i="43"/>
  <c r="L1536" i="43"/>
  <c r="L1552" i="43"/>
  <c r="L1568" i="43"/>
  <c r="L1632" i="43"/>
  <c r="L1696" i="43"/>
  <c r="L1724" i="43"/>
  <c r="L1740" i="43"/>
  <c r="L1756" i="43"/>
  <c r="L1772" i="43"/>
  <c r="L1788" i="43"/>
  <c r="L1804" i="43"/>
  <c r="L1820" i="43"/>
  <c r="L1836" i="43"/>
  <c r="L1852" i="43"/>
  <c r="L1868" i="43"/>
  <c r="L1884" i="43"/>
  <c r="L1900" i="43"/>
  <c r="L1916" i="43"/>
  <c r="L1932" i="43"/>
  <c r="L1948" i="43"/>
  <c r="L1964" i="43"/>
  <c r="L1980" i="43"/>
  <c r="L1996" i="43"/>
  <c r="L2012" i="43"/>
  <c r="L2028" i="43"/>
  <c r="L2044" i="43"/>
  <c r="L2060" i="43"/>
  <c r="L2076" i="43"/>
  <c r="L2092" i="43"/>
  <c r="L2108" i="43"/>
  <c r="L2124" i="43"/>
  <c r="L2140" i="43"/>
  <c r="L2156" i="43"/>
  <c r="L2172" i="43"/>
  <c r="L2188" i="43"/>
  <c r="L2204" i="43"/>
  <c r="L2220" i="43"/>
  <c r="L2236" i="43"/>
  <c r="L2252" i="43"/>
  <c r="L2268" i="43"/>
  <c r="L2284" i="43"/>
  <c r="L2300" i="43"/>
  <c r="L2316" i="43"/>
  <c r="L2332" i="43"/>
  <c r="L2348" i="43"/>
  <c r="L1588" i="43"/>
  <c r="L1652" i="43"/>
  <c r="L1715" i="43"/>
  <c r="L1731" i="43"/>
  <c r="L1747" i="43"/>
  <c r="L1763" i="43"/>
  <c r="L1779" i="43"/>
  <c r="L1795" i="43"/>
  <c r="L1811" i="43"/>
  <c r="L1827" i="43"/>
  <c r="L1843" i="43"/>
  <c r="L1859" i="43"/>
  <c r="L1875" i="43"/>
  <c r="L1891" i="43"/>
  <c r="L1907" i="43"/>
  <c r="L1923" i="43"/>
  <c r="L1939" i="43"/>
  <c r="L1955" i="43"/>
  <c r="L1971" i="43"/>
  <c r="L1987" i="43"/>
  <c r="L2003" i="43"/>
  <c r="L2019" i="43"/>
  <c r="L2035" i="43"/>
  <c r="L2051" i="43"/>
  <c r="L2067" i="43"/>
  <c r="L2083" i="43"/>
  <c r="L2099" i="43"/>
  <c r="L2115" i="43"/>
  <c r="L2131" i="43"/>
  <c r="L2147" i="43"/>
  <c r="L2163" i="43"/>
  <c r="L2179" i="43"/>
  <c r="L2195" i="43"/>
  <c r="L2211" i="43"/>
  <c r="L2227" i="43"/>
  <c r="L2243" i="43"/>
  <c r="L2259" i="43"/>
  <c r="L2275" i="43"/>
  <c r="L2291" i="43"/>
  <c r="L2307" i="43"/>
  <c r="L2323" i="43"/>
  <c r="L2339" i="43"/>
  <c r="L2355" i="43"/>
  <c r="L1624" i="43"/>
  <c r="L1688" i="43"/>
  <c r="L1722" i="43"/>
  <c r="L1738" i="43"/>
  <c r="L1754" i="43"/>
  <c r="L1770" i="43"/>
  <c r="L1786" i="43"/>
  <c r="L1802" i="43"/>
  <c r="L853" i="43"/>
  <c r="L242" i="43"/>
  <c r="L388" i="43"/>
  <c r="L452" i="43"/>
  <c r="L516" i="43"/>
  <c r="L580" i="43"/>
  <c r="L607" i="43"/>
  <c r="L623" i="43"/>
  <c r="L360" i="43"/>
  <c r="L602" i="43"/>
  <c r="L651" i="43"/>
  <c r="L683" i="43"/>
  <c r="L715" i="43"/>
  <c r="L747" i="43"/>
  <c r="L779" i="43"/>
  <c r="L811" i="43"/>
  <c r="L843" i="43"/>
  <c r="L863" i="43"/>
  <c r="L884" i="43"/>
  <c r="L900" i="43"/>
  <c r="L916" i="43"/>
  <c r="L932" i="43"/>
  <c r="L948" i="43"/>
  <c r="L964" i="43"/>
  <c r="L980" i="43"/>
  <c r="L996" i="43"/>
  <c r="L1013" i="43"/>
  <c r="L1029" i="43"/>
  <c r="L1045" i="43"/>
  <c r="L1061" i="43"/>
  <c r="L1077" i="43"/>
  <c r="L1093" i="43"/>
  <c r="L1109" i="43"/>
  <c r="L1125" i="43"/>
  <c r="L1141" i="43"/>
  <c r="L1157" i="43"/>
  <c r="L1173" i="43"/>
  <c r="L1189" i="43"/>
  <c r="L1205" i="43"/>
  <c r="L1221" i="43"/>
  <c r="L1237" i="43"/>
  <c r="L1253" i="43"/>
  <c r="L1269" i="43"/>
  <c r="L1285" i="43"/>
  <c r="L1301" i="43"/>
  <c r="L1317" i="43"/>
  <c r="L1333" i="43"/>
  <c r="L1349" i="43"/>
  <c r="L1365" i="43"/>
  <c r="L1381" i="43"/>
  <c r="L130" i="43"/>
  <c r="L568" i="43"/>
  <c r="L642" i="43"/>
  <c r="L674" i="43"/>
  <c r="L704" i="43"/>
  <c r="L736" i="43"/>
  <c r="L768" i="43"/>
  <c r="L800" i="43"/>
  <c r="L832" i="43"/>
  <c r="L859" i="43"/>
  <c r="L879" i="43"/>
  <c r="L895" i="43"/>
  <c r="L911" i="43"/>
  <c r="L927" i="43"/>
  <c r="L943" i="43"/>
  <c r="L959" i="43"/>
  <c r="L975" i="43"/>
  <c r="L991" i="43"/>
  <c r="L1007" i="43"/>
  <c r="L1024" i="43"/>
  <c r="L1040" i="43"/>
  <c r="L1056" i="43"/>
  <c r="L1072" i="43"/>
  <c r="L1088" i="43"/>
  <c r="L1104" i="43"/>
  <c r="L1120" i="43"/>
  <c r="L1136" i="43"/>
  <c r="L1152" i="43"/>
  <c r="L1168" i="43"/>
  <c r="L1184" i="43"/>
  <c r="L1200" i="43"/>
  <c r="L1216" i="43"/>
  <c r="L1232" i="43"/>
  <c r="L1248" i="43"/>
  <c r="L1264" i="43"/>
  <c r="L1280" i="43"/>
  <c r="L1296" i="43"/>
  <c r="L1312" i="43"/>
  <c r="L1328" i="43"/>
  <c r="L1344" i="43"/>
  <c r="L1360" i="43"/>
  <c r="L1376" i="43"/>
  <c r="L1392" i="43"/>
  <c r="L456" i="43"/>
  <c r="L626" i="43"/>
  <c r="L655" i="43"/>
  <c r="L687" i="43"/>
  <c r="L719" i="43"/>
  <c r="L751" i="43"/>
  <c r="L783" i="43"/>
  <c r="L815" i="43"/>
  <c r="L847" i="43"/>
  <c r="L871" i="43"/>
  <c r="L890" i="43"/>
  <c r="L906" i="43"/>
  <c r="L922" i="43"/>
  <c r="L938" i="43"/>
  <c r="L954" i="43"/>
  <c r="L970" i="43"/>
  <c r="L986" i="43"/>
  <c r="L1002" i="43"/>
  <c r="L1015" i="43"/>
  <c r="L1031" i="43"/>
  <c r="L1047" i="43"/>
  <c r="L1063" i="43"/>
  <c r="L1079" i="43"/>
  <c r="L1095" i="43"/>
  <c r="L1111" i="43"/>
  <c r="L1127" i="43"/>
  <c r="L1143" i="43"/>
  <c r="L1159" i="43"/>
  <c r="L1175" i="43"/>
  <c r="L1191" i="43"/>
  <c r="L1207" i="43"/>
  <c r="L1223" i="43"/>
  <c r="L1239" i="43"/>
  <c r="L1255" i="43"/>
  <c r="L1271" i="43"/>
  <c r="L1287" i="43"/>
  <c r="L1303" i="43"/>
  <c r="L1319" i="43"/>
  <c r="L1335" i="43"/>
  <c r="L1351" i="43"/>
  <c r="L1367" i="43"/>
  <c r="L1383" i="43"/>
  <c r="L258" i="43"/>
  <c r="L686" i="43"/>
  <c r="L812" i="43"/>
  <c r="L897" i="43"/>
  <c r="L961" i="43"/>
  <c r="L1014" i="43"/>
  <c r="L1078" i="43"/>
  <c r="L1142" i="43"/>
  <c r="L1206" i="43"/>
  <c r="L1270" i="43"/>
  <c r="L1334" i="43"/>
  <c r="L1399" i="43"/>
  <c r="L1415" i="43"/>
  <c r="L1431" i="43"/>
  <c r="L1447" i="43"/>
  <c r="L1463" i="43"/>
  <c r="L1479" i="43"/>
  <c r="L1495" i="43"/>
  <c r="L1511" i="43"/>
  <c r="L1527" i="43"/>
  <c r="L1543" i="43"/>
  <c r="L1559" i="43"/>
  <c r="L1575" i="43"/>
  <c r="L1591" i="43"/>
  <c r="L1607" i="43"/>
  <c r="L1623" i="43"/>
  <c r="L1639" i="43"/>
  <c r="L1655" i="43"/>
  <c r="L1671" i="43"/>
  <c r="L1687" i="43"/>
  <c r="L1703" i="43"/>
  <c r="L630" i="43"/>
  <c r="L756" i="43"/>
  <c r="L885" i="43"/>
  <c r="L949" i="43"/>
  <c r="L1018" i="43"/>
  <c r="L1082" i="43"/>
  <c r="L1146" i="43"/>
  <c r="L1210" i="43"/>
  <c r="L1274" i="43"/>
  <c r="L1338" i="43"/>
  <c r="L1398" i="43"/>
  <c r="L1414" i="43"/>
  <c r="L1430" i="43"/>
  <c r="L1446" i="43"/>
  <c r="L1462" i="43"/>
  <c r="L1478" i="43"/>
  <c r="L1494" i="43"/>
  <c r="L1510" i="43"/>
  <c r="L1526" i="43"/>
  <c r="L1542" i="43"/>
  <c r="L1558" i="43"/>
  <c r="L1574" i="43"/>
  <c r="L1590" i="43"/>
  <c r="L1606" i="43"/>
  <c r="L1622" i="43"/>
  <c r="L1638" i="43"/>
  <c r="L1654" i="43"/>
  <c r="L1670" i="43"/>
  <c r="L1686" i="43"/>
  <c r="L1702" i="43"/>
  <c r="L638" i="43"/>
  <c r="L796" i="43"/>
  <c r="L905" i="43"/>
  <c r="L969" i="43"/>
  <c r="L1038" i="43"/>
  <c r="L1102" i="43"/>
  <c r="L1166" i="43"/>
  <c r="L1230" i="43"/>
  <c r="L1294" i="43"/>
  <c r="L1358" i="43"/>
  <c r="L1401" i="43"/>
  <c r="L1417" i="43"/>
  <c r="L1433" i="43"/>
  <c r="L1449" i="43"/>
  <c r="L1465" i="43"/>
  <c r="L1481" i="43"/>
  <c r="L1497" i="43"/>
  <c r="L1513" i="43"/>
  <c r="L1529" i="43"/>
  <c r="L1545" i="43"/>
  <c r="L1561" i="43"/>
  <c r="L1577" i="43"/>
  <c r="L1593" i="43"/>
  <c r="L1609" i="43"/>
  <c r="L1625" i="43"/>
  <c r="L1641" i="43"/>
  <c r="L1657" i="43"/>
  <c r="L1673" i="43"/>
  <c r="L1689" i="43"/>
  <c r="L1705" i="43"/>
  <c r="L646" i="43"/>
  <c r="L772" i="43"/>
  <c r="L877" i="43"/>
  <c r="L941" i="43"/>
  <c r="L1005" i="43"/>
  <c r="L1074" i="43"/>
  <c r="L1138" i="43"/>
  <c r="L1202" i="43"/>
  <c r="L1266" i="43"/>
  <c r="L1330" i="43"/>
  <c r="L1394" i="43"/>
  <c r="L1412" i="43"/>
  <c r="L1428" i="43"/>
  <c r="L1444" i="43"/>
  <c r="L1460" i="43"/>
  <c r="L1476" i="43"/>
  <c r="L1492" i="43"/>
  <c r="L1508" i="43"/>
  <c r="L1524" i="43"/>
  <c r="L1540" i="43"/>
  <c r="L1556" i="43"/>
  <c r="L1584" i="43"/>
  <c r="L1648" i="43"/>
  <c r="L1712" i="43"/>
  <c r="L1728" i="43"/>
  <c r="L1744" i="43"/>
  <c r="L1760" i="43"/>
  <c r="L1776" i="43"/>
  <c r="L1792" i="43"/>
  <c r="L1808" i="43"/>
  <c r="L1824" i="43"/>
  <c r="L1840" i="43"/>
  <c r="L1856" i="43"/>
  <c r="L1872" i="43"/>
  <c r="L1888" i="43"/>
  <c r="L1904" i="43"/>
  <c r="L1920" i="43"/>
  <c r="L1936" i="43"/>
  <c r="L1952" i="43"/>
  <c r="L1968" i="43"/>
  <c r="L1984" i="43"/>
  <c r="L2000" i="43"/>
  <c r="L2016" i="43"/>
  <c r="L2032" i="43"/>
  <c r="L2048" i="43"/>
  <c r="L2064" i="43"/>
  <c r="L2080" i="43"/>
  <c r="L2096" i="43"/>
  <c r="L2112" i="43"/>
  <c r="L2128" i="43"/>
  <c r="L2144" i="43"/>
  <c r="L2160" i="43"/>
  <c r="L2176" i="43"/>
  <c r="L2192" i="43"/>
  <c r="L2208" i="43"/>
  <c r="L2224" i="43"/>
  <c r="L2240" i="43"/>
  <c r="L2256" i="43"/>
  <c r="L2272" i="43"/>
  <c r="L2288" i="43"/>
  <c r="L2304" i="43"/>
  <c r="L2320" i="43"/>
  <c r="L2336" i="43"/>
  <c r="L2352" i="43"/>
  <c r="L1604" i="43"/>
  <c r="L1668" i="43"/>
  <c r="L1719" i="43"/>
  <c r="L1735" i="43"/>
  <c r="L1751" i="43"/>
  <c r="L1767" i="43"/>
  <c r="L1783" i="43"/>
  <c r="L1799" i="43"/>
  <c r="L1815" i="43"/>
  <c r="L1831" i="43"/>
  <c r="L1847" i="43"/>
  <c r="L1863" i="43"/>
  <c r="L1879" i="43"/>
  <c r="L1895" i="43"/>
  <c r="L1911" i="43"/>
  <c r="L1927" i="43"/>
  <c r="L1943" i="43"/>
  <c r="L1959" i="43"/>
  <c r="L1975" i="43"/>
  <c r="L1991" i="43"/>
  <c r="L2007" i="43"/>
  <c r="L2023" i="43"/>
  <c r="L2039" i="43"/>
  <c r="L2055" i="43"/>
  <c r="L2071" i="43"/>
  <c r="L2087" i="43"/>
  <c r="L2103" i="43"/>
  <c r="L2119" i="43"/>
  <c r="L2135" i="43"/>
  <c r="L2151" i="43"/>
  <c r="L2167" i="43"/>
  <c r="L2183" i="43"/>
  <c r="L2199" i="43"/>
  <c r="L2215" i="43"/>
  <c r="L2231" i="43"/>
  <c r="L2247" i="43"/>
  <c r="L2263" i="43"/>
  <c r="L2279" i="43"/>
  <c r="L2295" i="43"/>
  <c r="L2311" i="43"/>
  <c r="L2327" i="43"/>
  <c r="L2343" i="43"/>
  <c r="L1576" i="43"/>
  <c r="L1640" i="43"/>
  <c r="L1704" i="43"/>
  <c r="L1726" i="43"/>
  <c r="L1742" i="43"/>
  <c r="L1758" i="43"/>
  <c r="L1774" i="43"/>
  <c r="L1790" i="43"/>
  <c r="L1806" i="43"/>
  <c r="L3197" i="43"/>
  <c r="L3164" i="43"/>
  <c r="L3131" i="43"/>
  <c r="L3094" i="43"/>
  <c r="L3227" i="43"/>
  <c r="L3215" i="43"/>
  <c r="L3193" i="43"/>
  <c r="L3178" i="43"/>
  <c r="L3160" i="43"/>
  <c r="L3144" i="43"/>
  <c r="L3126" i="43"/>
  <c r="L3110" i="43"/>
  <c r="L3090" i="43"/>
  <c r="L3074" i="43"/>
  <c r="L3058" i="43"/>
  <c r="L3232" i="43"/>
  <c r="L3212" i="43"/>
  <c r="L3189" i="43"/>
  <c r="L3179" i="43"/>
  <c r="L3161" i="43"/>
  <c r="L3145" i="43"/>
  <c r="L3127" i="43"/>
  <c r="L3111" i="43"/>
  <c r="L3095" i="43"/>
  <c r="L3079" i="43"/>
  <c r="L3063" i="43"/>
  <c r="L3229" i="43"/>
  <c r="L3217" i="43"/>
  <c r="L3195" i="43"/>
  <c r="L3176" i="43"/>
  <c r="L3158" i="43"/>
  <c r="L3142" i="43"/>
  <c r="L3128" i="43"/>
  <c r="L3112" i="43"/>
  <c r="L3096" i="43"/>
  <c r="L3080" i="43"/>
  <c r="L3064" i="43"/>
  <c r="L3048" i="43"/>
  <c r="L3214" i="43"/>
  <c r="L3204" i="43"/>
  <c r="L3187" i="43"/>
  <c r="L3172" i="43"/>
  <c r="L3155" i="43"/>
  <c r="L3139" i="43"/>
  <c r="L3125" i="43"/>
  <c r="L3109" i="43"/>
  <c r="L3089" i="43"/>
  <c r="L3073" i="43"/>
  <c r="L3053" i="43"/>
  <c r="L3041" i="43"/>
  <c r="L3025" i="43"/>
  <c r="L3009" i="43"/>
  <c r="L2995" i="43"/>
  <c r="L2978" i="43"/>
  <c r="L2961" i="43"/>
  <c r="L2945" i="43"/>
  <c r="L2929" i="43"/>
  <c r="L2913" i="43"/>
  <c r="L2897" i="43"/>
  <c r="L2881" i="43"/>
  <c r="L2865" i="43"/>
  <c r="L2848" i="43"/>
  <c r="L2832" i="43"/>
  <c r="L2815" i="43"/>
  <c r="L2799" i="43"/>
  <c r="L2783" i="43"/>
  <c r="L2767" i="43"/>
  <c r="L2750" i="43"/>
  <c r="L2734" i="43"/>
  <c r="L2718" i="43"/>
  <c r="L2702" i="43"/>
  <c r="L2686" i="43"/>
  <c r="L2670" i="43"/>
  <c r="L2654" i="43"/>
  <c r="L2638" i="43"/>
  <c r="L2622" i="43"/>
  <c r="L2606" i="43"/>
  <c r="L2589" i="43"/>
  <c r="L2573" i="43"/>
  <c r="L2557" i="43"/>
  <c r="L2541" i="43"/>
  <c r="L2525" i="43"/>
  <c r="L2509" i="43"/>
  <c r="L2493" i="43"/>
  <c r="L2477" i="43"/>
  <c r="L2461" i="43"/>
  <c r="L2445" i="43"/>
  <c r="L2428" i="43"/>
  <c r="L2412" i="43"/>
  <c r="L2396" i="43"/>
  <c r="L2380" i="43"/>
  <c r="L2364" i="43"/>
  <c r="L3034" i="43"/>
  <c r="L3018" i="43"/>
  <c r="L3001" i="43"/>
  <c r="L2983" i="43"/>
  <c r="L2970" i="43"/>
  <c r="L2954" i="43"/>
  <c r="L2938" i="43"/>
  <c r="L2922" i="43"/>
  <c r="L2906" i="43"/>
  <c r="L2890" i="43"/>
  <c r="L2874" i="43"/>
  <c r="L2858" i="43"/>
  <c r="L2845" i="43"/>
  <c r="L2829" i="43"/>
  <c r="L2812" i="43"/>
  <c r="L2796" i="43"/>
  <c r="L2780" i="43"/>
  <c r="L2764" i="43"/>
  <c r="L2751" i="43"/>
  <c r="L2735" i="43"/>
  <c r="L2719" i="43"/>
  <c r="L2703" i="43"/>
  <c r="L2687" i="43"/>
  <c r="L2671" i="43"/>
  <c r="L2655" i="43"/>
  <c r="L2639" i="43"/>
  <c r="L2623" i="43"/>
  <c r="L2607" i="43"/>
  <c r="L2590" i="43"/>
  <c r="L2574" i="43"/>
  <c r="L2558" i="43"/>
  <c r="L2542" i="43"/>
  <c r="L2526" i="43"/>
  <c r="L2510" i="43"/>
  <c r="L2494" i="43"/>
  <c r="L2478" i="43"/>
  <c r="L2462" i="43"/>
  <c r="L2446" i="43"/>
  <c r="L2429" i="43"/>
  <c r="L2413" i="43"/>
  <c r="L2397" i="43"/>
  <c r="L2381" i="43"/>
  <c r="L2365" i="43"/>
  <c r="L3039" i="43"/>
  <c r="L3023" i="43"/>
  <c r="L3007" i="43"/>
  <c r="L2989" i="43"/>
  <c r="L2976" i="43"/>
  <c r="L2959" i="43"/>
  <c r="L2943" i="43"/>
  <c r="L2927" i="43"/>
  <c r="L2911" i="43"/>
  <c r="L2895" i="43"/>
  <c r="L2879" i="43"/>
  <c r="L2859" i="43"/>
  <c r="L2842" i="43"/>
  <c r="L2826" i="43"/>
  <c r="L2813" i="43"/>
  <c r="L2797" i="43"/>
  <c r="L2781" i="43"/>
  <c r="L2761" i="43"/>
  <c r="L2744" i="43"/>
  <c r="L2728" i="43"/>
  <c r="L2712" i="43"/>
  <c r="L2696" i="43"/>
  <c r="L2680" i="43"/>
  <c r="L2664" i="43"/>
  <c r="L2648" i="43"/>
  <c r="L2632" i="43"/>
  <c r="L2616" i="43"/>
  <c r="L2599" i="43"/>
  <c r="L2583" i="43"/>
  <c r="L2567" i="43"/>
  <c r="L2551" i="43"/>
  <c r="L2535" i="43"/>
  <c r="L2519" i="43"/>
  <c r="L2503" i="43"/>
  <c r="L2487" i="43"/>
  <c r="L2471" i="43"/>
  <c r="L2455" i="43"/>
  <c r="L2439" i="43"/>
  <c r="L2422" i="43"/>
  <c r="L2406" i="43"/>
  <c r="L2390" i="43"/>
  <c r="L2374" i="43"/>
  <c r="L2358" i="43"/>
  <c r="L3024" i="43"/>
  <c r="L3008" i="43"/>
  <c r="L2994" i="43"/>
  <c r="L2977" i="43"/>
  <c r="L2960" i="43"/>
  <c r="L2944" i="43"/>
  <c r="L2928" i="43"/>
  <c r="L2912" i="43"/>
  <c r="L2896" i="43"/>
  <c r="L2880" i="43"/>
  <c r="L2864" i="43"/>
  <c r="L2847" i="43"/>
  <c r="L2831" i="43"/>
  <c r="L2814" i="43"/>
  <c r="L2798" i="43"/>
  <c r="L2782" i="43"/>
  <c r="L2766" i="43"/>
  <c r="L2749" i="43"/>
  <c r="L2733" i="43"/>
  <c r="L2717" i="43"/>
  <c r="L2701" i="43"/>
  <c r="L2685" i="43"/>
  <c r="L2669" i="43"/>
  <c r="L2653" i="43"/>
  <c r="L2637" i="43"/>
  <c r="L2621" i="43"/>
  <c r="L2605" i="43"/>
  <c r="L2592" i="43"/>
  <c r="L2576" i="43"/>
  <c r="L2560" i="43"/>
  <c r="L2544" i="43"/>
  <c r="L2528" i="43"/>
  <c r="L2512" i="43"/>
  <c r="L2496" i="43"/>
  <c r="L2480" i="43"/>
  <c r="L2464" i="43"/>
  <c r="L2448" i="43"/>
  <c r="L2435" i="43"/>
  <c r="L2419" i="43"/>
  <c r="L2403" i="43"/>
  <c r="L2387" i="43"/>
  <c r="L2371" i="43"/>
  <c r="L2353" i="43"/>
  <c r="L2337" i="43"/>
  <c r="L2321" i="43"/>
  <c r="L2305" i="43"/>
  <c r="L2289" i="43"/>
  <c r="L2273" i="43"/>
  <c r="L2257" i="43"/>
  <c r="L2241" i="43"/>
  <c r="L2225" i="43"/>
  <c r="L2209" i="43"/>
  <c r="L2193" i="43"/>
  <c r="L2177" i="43"/>
  <c r="L2161" i="43"/>
  <c r="L2145" i="43"/>
  <c r="L2129" i="43"/>
  <c r="L2113" i="43"/>
  <c r="L2097" i="43"/>
  <c r="L2081" i="43"/>
  <c r="L2065" i="43"/>
  <c r="L2049" i="43"/>
  <c r="L2033" i="43"/>
  <c r="L2017" i="43"/>
  <c r="L2001" i="43"/>
  <c r="L1985" i="43"/>
  <c r="L1969" i="43"/>
  <c r="L1953" i="43"/>
  <c r="L1937" i="43"/>
  <c r="L1921" i="43"/>
  <c r="L1905" i="43"/>
  <c r="L1889" i="43"/>
  <c r="L1873" i="43"/>
  <c r="L1857" i="43"/>
  <c r="L1841" i="43"/>
  <c r="L1825" i="43"/>
  <c r="L1809" i="43"/>
  <c r="L1793" i="43"/>
  <c r="L1777" i="43"/>
  <c r="L1761" i="43"/>
  <c r="L1745" i="43"/>
  <c r="L1729" i="43"/>
  <c r="L1713" i="43"/>
  <c r="L1660" i="43"/>
  <c r="L1596" i="43"/>
  <c r="L2346" i="43"/>
  <c r="L2330" i="43"/>
  <c r="L2314" i="43"/>
  <c r="L2298" i="43"/>
  <c r="L2282" i="43"/>
  <c r="L2266" i="43"/>
  <c r="L2250" i="43"/>
  <c r="L2234" i="43"/>
  <c r="L2218" i="43"/>
  <c r="L2202" i="43"/>
  <c r="L2186" i="43"/>
  <c r="L2170" i="43"/>
  <c r="L2154" i="43"/>
  <c r="L2138" i="43"/>
  <c r="L2122" i="43"/>
  <c r="L2106" i="43"/>
  <c r="L2090" i="43"/>
  <c r="L2074" i="43"/>
  <c r="L2058" i="43"/>
  <c r="L2042" i="43"/>
  <c r="L2026" i="43"/>
  <c r="L2010" i="43"/>
  <c r="L1994" i="43"/>
  <c r="L1978" i="43"/>
  <c r="L1962" i="43"/>
  <c r="L1946" i="43"/>
  <c r="L1930" i="43"/>
  <c r="L1914" i="43"/>
  <c r="L1898" i="43"/>
  <c r="L1882" i="43"/>
  <c r="L1866" i="43"/>
  <c r="L1850" i="43"/>
  <c r="L1834" i="43"/>
  <c r="L1818" i="43"/>
  <c r="L3211" i="43"/>
  <c r="L3192" i="43"/>
  <c r="L3174" i="43"/>
  <c r="L3156" i="43"/>
  <c r="L3140" i="43"/>
  <c r="L3122" i="43"/>
  <c r="L3102" i="43"/>
  <c r="L3086" i="43"/>
  <c r="L3070" i="43"/>
  <c r="L3050" i="43"/>
  <c r="L3228" i="43"/>
  <c r="L3206" i="43"/>
  <c r="L3185" i="43"/>
  <c r="L3175" i="43"/>
  <c r="L3157" i="43"/>
  <c r="L3141" i="43"/>
  <c r="L3123" i="43"/>
  <c r="L3107" i="43"/>
  <c r="L3091" i="43"/>
  <c r="L3075" i="43"/>
  <c r="L3055" i="43"/>
  <c r="L3224" i="43"/>
  <c r="L3213" i="43"/>
  <c r="L3190" i="43"/>
  <c r="L3171" i="43"/>
  <c r="L3154" i="43"/>
  <c r="L3138" i="43"/>
  <c r="L3124" i="43"/>
  <c r="L3108" i="43"/>
  <c r="L3092" i="43"/>
  <c r="L3076" i="43"/>
  <c r="L3060" i="43"/>
  <c r="L3230" i="43"/>
  <c r="L3210" i="43"/>
  <c r="L3200" i="43"/>
  <c r="L3182" i="43"/>
  <c r="L3167" i="43"/>
  <c r="L3151" i="43"/>
  <c r="L3135" i="43"/>
  <c r="L3121" i="43"/>
  <c r="L3101" i="43"/>
  <c r="L3085" i="43"/>
  <c r="L3065" i="43"/>
  <c r="L3049" i="43"/>
  <c r="L3037" i="43"/>
  <c r="L3021" i="43"/>
  <c r="L3005" i="43"/>
  <c r="L2991" i="43"/>
  <c r="L2974" i="43"/>
  <c r="L2957" i="43"/>
  <c r="L2941" i="43"/>
  <c r="L2925" i="43"/>
  <c r="L2909" i="43"/>
  <c r="L2893" i="43"/>
  <c r="L2877" i="43"/>
  <c r="L2861" i="43"/>
  <c r="L2844" i="43"/>
  <c r="L2828" i="43"/>
  <c r="L2811" i="43"/>
  <c r="L2795" i="43"/>
  <c r="L2779" i="43"/>
  <c r="L2763" i="43"/>
  <c r="L2746" i="43"/>
  <c r="L2730" i="43"/>
  <c r="L2714" i="43"/>
  <c r="L2698" i="43"/>
  <c r="L2682" i="43"/>
  <c r="L2666" i="43"/>
  <c r="L2650" i="43"/>
  <c r="L2634" i="43"/>
  <c r="L2618" i="43"/>
  <c r="L2601" i="43"/>
  <c r="L2585" i="43"/>
  <c r="L2569" i="43"/>
  <c r="L2553" i="43"/>
  <c r="L2537" i="43"/>
  <c r="L2521" i="43"/>
  <c r="L2505" i="43"/>
  <c r="L2489" i="43"/>
  <c r="L2473" i="43"/>
  <c r="L2457" i="43"/>
  <c r="L2441" i="43"/>
  <c r="L2424" i="43"/>
  <c r="L2408" i="43"/>
  <c r="L2392" i="43"/>
  <c r="L2376" i="43"/>
  <c r="L2360" i="43"/>
  <c r="L3030" i="43"/>
  <c r="L3014" i="43"/>
  <c r="L2996" i="43"/>
  <c r="L2979" i="43"/>
  <c r="L2966" i="43"/>
  <c r="L2950" i="43"/>
  <c r="L2934" i="43"/>
  <c r="L2918" i="43"/>
  <c r="L2902" i="43"/>
  <c r="L2886" i="43"/>
  <c r="L2870" i="43"/>
  <c r="L2857" i="43"/>
  <c r="L2841" i="43"/>
  <c r="L2825" i="43"/>
  <c r="L2808" i="43"/>
  <c r="L2792" i="43"/>
  <c r="L2776" i="43"/>
  <c r="L2760" i="43"/>
  <c r="L2747" i="43"/>
  <c r="L2731" i="43"/>
  <c r="L2715" i="43"/>
  <c r="L2699" i="43"/>
  <c r="L2683" i="43"/>
  <c r="L2667" i="43"/>
  <c r="L2651" i="43"/>
  <c r="L2635" i="43"/>
  <c r="L2619" i="43"/>
  <c r="L2602" i="43"/>
  <c r="L2586" i="43"/>
  <c r="L2570" i="43"/>
  <c r="L2554" i="43"/>
  <c r="L2538" i="43"/>
  <c r="L2522" i="43"/>
  <c r="L2506" i="43"/>
  <c r="L2490" i="43"/>
  <c r="L2474" i="43"/>
  <c r="L2458" i="43"/>
  <c r="L2442" i="43"/>
  <c r="L2425" i="43"/>
  <c r="L2409" i="43"/>
  <c r="L2393" i="43"/>
  <c r="L2377" i="43"/>
  <c r="L2361" i="43"/>
  <c r="L3035" i="43"/>
  <c r="L3019" i="43"/>
  <c r="L3002" i="43"/>
  <c r="L2988" i="43"/>
  <c r="L2972" i="43"/>
  <c r="L2955" i="43"/>
  <c r="L2939" i="43"/>
  <c r="L2923" i="43"/>
  <c r="L2907" i="43"/>
  <c r="L2891" i="43"/>
  <c r="L2875" i="43"/>
  <c r="L2854" i="43"/>
  <c r="L2838" i="43"/>
  <c r="L2822" i="43"/>
  <c r="L2809" i="43"/>
  <c r="L2793" i="43"/>
  <c r="L2777" i="43"/>
  <c r="L2756" i="43"/>
  <c r="L2740" i="43"/>
  <c r="L2724" i="43"/>
  <c r="L2708" i="43"/>
  <c r="L2692" i="43"/>
  <c r="L2676" i="43"/>
  <c r="L2660" i="43"/>
  <c r="L2644" i="43"/>
  <c r="L2628" i="43"/>
  <c r="L2612" i="43"/>
  <c r="L2595" i="43"/>
  <c r="L2579" i="43"/>
  <c r="L2563" i="43"/>
  <c r="L2547" i="43"/>
  <c r="L2531" i="43"/>
  <c r="L2515" i="43"/>
  <c r="L2499" i="43"/>
  <c r="L2483" i="43"/>
  <c r="L2467" i="43"/>
  <c r="L2451" i="43"/>
  <c r="L2434" i="43"/>
  <c r="L2418" i="43"/>
  <c r="L2402" i="43"/>
  <c r="L2386" i="43"/>
  <c r="L2370" i="43"/>
  <c r="L3036" i="43"/>
  <c r="L3020" i="43"/>
  <c r="L3003" i="43"/>
  <c r="L2990" i="43"/>
  <c r="L2973" i="43"/>
  <c r="L2956" i="43"/>
  <c r="L2940" i="43"/>
  <c r="L2924" i="43"/>
  <c r="L2908" i="43"/>
  <c r="L2892" i="43"/>
  <c r="L2876" i="43"/>
  <c r="L2860" i="43"/>
  <c r="L2843" i="43"/>
  <c r="L2827" i="43"/>
  <c r="L2810" i="43"/>
  <c r="L2794" i="43"/>
  <c r="L2778" i="43"/>
  <c r="L2762" i="43"/>
  <c r="L2745" i="43"/>
  <c r="L2729" i="43"/>
  <c r="L2713" i="43"/>
  <c r="L2697" i="43"/>
  <c r="L2681" i="43"/>
  <c r="L2665" i="43"/>
  <c r="L2649" i="43"/>
  <c r="L2633" i="43"/>
  <c r="L2617" i="43"/>
  <c r="L2604" i="43"/>
  <c r="L2588" i="43"/>
  <c r="L2572" i="43"/>
  <c r="L2556" i="43"/>
  <c r="L2540" i="43"/>
  <c r="L2524" i="43"/>
  <c r="L2508" i="43"/>
  <c r="L2492" i="43"/>
  <c r="L2476" i="43"/>
  <c r="L2460" i="43"/>
  <c r="L2444" i="43"/>
  <c r="L2431" i="43"/>
  <c r="L2415" i="43"/>
  <c r="L2399" i="43"/>
  <c r="L2383" i="43"/>
  <c r="L2367" i="43"/>
  <c r="L2349" i="43"/>
  <c r="L2333" i="43"/>
  <c r="L2317" i="43"/>
  <c r="L2301" i="43"/>
  <c r="L2285" i="43"/>
  <c r="L2269" i="43"/>
  <c r="L2253" i="43"/>
  <c r="L2237" i="43"/>
  <c r="L2221" i="43"/>
  <c r="L2205" i="43"/>
  <c r="L2189" i="43"/>
  <c r="L2173" i="43"/>
  <c r="L2157" i="43"/>
  <c r="L2141" i="43"/>
  <c r="L2125" i="43"/>
  <c r="L2109" i="43"/>
  <c r="L2093" i="43"/>
  <c r="L2077" i="43"/>
  <c r="L2061" i="43"/>
  <c r="L2045" i="43"/>
  <c r="L2029" i="43"/>
  <c r="L2013" i="43"/>
  <c r="L1997" i="43"/>
  <c r="L1981" i="43"/>
  <c r="L1965" i="43"/>
  <c r="L1949" i="43"/>
  <c r="L1933" i="43"/>
  <c r="L1917" i="43"/>
  <c r="L1901" i="43"/>
  <c r="L1885" i="43"/>
  <c r="L1869" i="43"/>
  <c r="L1853" i="43"/>
  <c r="L1837" i="43"/>
  <c r="L1821" i="43"/>
  <c r="L1805" i="43"/>
  <c r="L1789" i="43"/>
  <c r="L1773" i="43"/>
  <c r="L1757" i="43"/>
  <c r="L1741" i="43"/>
  <c r="L1725" i="43"/>
  <c r="L1708" i="43"/>
  <c r="L1644" i="43"/>
  <c r="L1580" i="43"/>
  <c r="L2342" i="43"/>
  <c r="L2326" i="43"/>
  <c r="L2310" i="43"/>
  <c r="L2294" i="43"/>
  <c r="L2278" i="43"/>
  <c r="L2262" i="43"/>
  <c r="L2246" i="43"/>
  <c r="L2230" i="43"/>
  <c r="L2214" i="43"/>
  <c r="L2198" i="43"/>
  <c r="L2182" i="43"/>
  <c r="L2166" i="43"/>
  <c r="L2150" i="43"/>
  <c r="L2134" i="43"/>
  <c r="L2118" i="43"/>
  <c r="L2102" i="43"/>
  <c r="L2086" i="43"/>
  <c r="L2070" i="43"/>
  <c r="L2054" i="43"/>
  <c r="L2038" i="43"/>
  <c r="L2022" i="43"/>
  <c r="L2006" i="43"/>
  <c r="L1990" i="43"/>
  <c r="L1974" i="43"/>
  <c r="L1958" i="43"/>
  <c r="L1942" i="43"/>
  <c r="L1926" i="43"/>
  <c r="L1910" i="43"/>
  <c r="L1894" i="43"/>
  <c r="L1878" i="43"/>
  <c r="L1862" i="43"/>
  <c r="L1846" i="43"/>
  <c r="L1830" i="43"/>
  <c r="L1814" i="43"/>
  <c r="L3004" i="43"/>
  <c r="L2986" i="43"/>
  <c r="L2969" i="43"/>
  <c r="L2953" i="43"/>
  <c r="L2937" i="43"/>
  <c r="L2921" i="43"/>
  <c r="L2905" i="43"/>
  <c r="L2889" i="43"/>
  <c r="L2873" i="43"/>
  <c r="L2856" i="43"/>
  <c r="L2840" i="43"/>
  <c r="L2824" i="43"/>
  <c r="L2807" i="43"/>
  <c r="L2791" i="43"/>
  <c r="L2775" i="43"/>
  <c r="L2758" i="43"/>
  <c r="L2742" i="43"/>
  <c r="L2726" i="43"/>
  <c r="L2710" i="43"/>
  <c r="L2694" i="43"/>
  <c r="L2678" i="43"/>
  <c r="L2662" i="43"/>
  <c r="L2646" i="43"/>
  <c r="L2630" i="43"/>
  <c r="L2614" i="43"/>
  <c r="L2597" i="43"/>
  <c r="L2581" i="43"/>
  <c r="L2565" i="43"/>
  <c r="L2549" i="43"/>
  <c r="L2533" i="43"/>
  <c r="L2517" i="43"/>
  <c r="L2501" i="43"/>
  <c r="L2485" i="43"/>
  <c r="L2469" i="43"/>
  <c r="L2453" i="43"/>
  <c r="L2437" i="43"/>
  <c r="L2420" i="43"/>
  <c r="L2404" i="43"/>
  <c r="L2388" i="43"/>
  <c r="L2372" i="43"/>
  <c r="L3042" i="43"/>
  <c r="L3026" i="43"/>
  <c r="L3010" i="43"/>
  <c r="L2992" i="43"/>
  <c r="L2975" i="43"/>
  <c r="L2962" i="43"/>
  <c r="L2946" i="43"/>
  <c r="L2930" i="43"/>
  <c r="L2914" i="43"/>
  <c r="L2898" i="43"/>
  <c r="L2882" i="43"/>
  <c r="L2866" i="43"/>
  <c r="L2853" i="43"/>
  <c r="L2837" i="43"/>
  <c r="L2820" i="43"/>
  <c r="L2804" i="43"/>
  <c r="L2788" i="43"/>
  <c r="L2772" i="43"/>
  <c r="L2759" i="43"/>
  <c r="L2743" i="43"/>
  <c r="L2727" i="43"/>
  <c r="L2711" i="43"/>
  <c r="L2695" i="43"/>
  <c r="L2679" i="43"/>
  <c r="L2663" i="43"/>
  <c r="L2647" i="43"/>
  <c r="L2631" i="43"/>
  <c r="L2615" i="43"/>
  <c r="L2598" i="43"/>
  <c r="L2582" i="43"/>
  <c r="L2566" i="43"/>
  <c r="L2550" i="43"/>
  <c r="L2534" i="43"/>
  <c r="L2518" i="43"/>
  <c r="L2502" i="43"/>
  <c r="L2486" i="43"/>
  <c r="L2470" i="43"/>
  <c r="L2454" i="43"/>
  <c r="L2438" i="43"/>
  <c r="L2421" i="43"/>
  <c r="L2405" i="43"/>
  <c r="L2389" i="43"/>
  <c r="L2373" i="43"/>
  <c r="L2357" i="43"/>
  <c r="L3031" i="43"/>
  <c r="L3015" i="43"/>
  <c r="L2997" i="43"/>
  <c r="L2984" i="43"/>
  <c r="L2967" i="43"/>
  <c r="L2951" i="43"/>
  <c r="L2935" i="43"/>
  <c r="L2919" i="43"/>
  <c r="L2903" i="43"/>
  <c r="L2887" i="43"/>
  <c r="L2871" i="43"/>
  <c r="L2850" i="43"/>
  <c r="L2834" i="43"/>
  <c r="L2821" i="43"/>
  <c r="L2805" i="43"/>
  <c r="L2789" i="43"/>
  <c r="L2773" i="43"/>
  <c r="L2752" i="43"/>
  <c r="L2736" i="43"/>
  <c r="L2720" i="43"/>
  <c r="L2704" i="43"/>
  <c r="L2688" i="43"/>
  <c r="L2672" i="43"/>
  <c r="L2656" i="43"/>
  <c r="L2640" i="43"/>
  <c r="L2624" i="43"/>
  <c r="L2608" i="43"/>
  <c r="L2591" i="43"/>
  <c r="L2575" i="43"/>
  <c r="L2559" i="43"/>
  <c r="L2543" i="43"/>
  <c r="L2527" i="43"/>
  <c r="L2511" i="43"/>
  <c r="L2495" i="43"/>
  <c r="L2479" i="43"/>
  <c r="L2463" i="43"/>
  <c r="L2447" i="43"/>
  <c r="L2430" i="43"/>
  <c r="L2414" i="43"/>
  <c r="L2398" i="43"/>
  <c r="L2382" i="43"/>
  <c r="L2366" i="43"/>
  <c r="L3032" i="43"/>
  <c r="L3016" i="43"/>
  <c r="L2999" i="43"/>
  <c r="L2985" i="43"/>
  <c r="L2968" i="43"/>
  <c r="L2952" i="43"/>
  <c r="L2936" i="43"/>
  <c r="L2920" i="43"/>
  <c r="L2904" i="43"/>
  <c r="L2888" i="43"/>
  <c r="L2872" i="43"/>
  <c r="L2855" i="43"/>
  <c r="L2839" i="43"/>
  <c r="L2823" i="43"/>
  <c r="L2806" i="43"/>
  <c r="L2790" i="43"/>
  <c r="L2774" i="43"/>
  <c r="L2757" i="43"/>
  <c r="L2741" i="43"/>
  <c r="L2725" i="43"/>
  <c r="L2709" i="43"/>
  <c r="L2693" i="43"/>
  <c r="L2677" i="43"/>
  <c r="L2661" i="43"/>
  <c r="L2645" i="43"/>
  <c r="L2629" i="43"/>
  <c r="L2613" i="43"/>
  <c r="L2600" i="43"/>
  <c r="L2584" i="43"/>
  <c r="L2568" i="43"/>
  <c r="L2552" i="43"/>
  <c r="L2536" i="43"/>
  <c r="L2520" i="43"/>
  <c r="L2504" i="43"/>
  <c r="L2488" i="43"/>
  <c r="L2472" i="43"/>
  <c r="L2456" i="43"/>
  <c r="L2440" i="43"/>
  <c r="L2427" i="43"/>
  <c r="L2411" i="43"/>
  <c r="L2395" i="43"/>
  <c r="L2379" i="43"/>
  <c r="L2363" i="43"/>
  <c r="L2345" i="43"/>
  <c r="L2329" i="43"/>
  <c r="L2313" i="43"/>
  <c r="L2297" i="43"/>
  <c r="L2281" i="43"/>
  <c r="L2265" i="43"/>
  <c r="L2249" i="43"/>
  <c r="L2233" i="43"/>
  <c r="L2217" i="43"/>
  <c r="L2201" i="43"/>
  <c r="L2185" i="43"/>
  <c r="L2169" i="43"/>
  <c r="L2153" i="43"/>
  <c r="L2137" i="43"/>
  <c r="L2121" i="43"/>
  <c r="L2105" i="43"/>
  <c r="L2089" i="43"/>
  <c r="L2073" i="43"/>
  <c r="L2057" i="43"/>
  <c r="L2041" i="43"/>
  <c r="L2025" i="43"/>
  <c r="L2009" i="43"/>
  <c r="L1993" i="43"/>
  <c r="L1977" i="43"/>
  <c r="L1961" i="43"/>
  <c r="L1945" i="43"/>
  <c r="L1929" i="43"/>
  <c r="L1913" i="43"/>
  <c r="L1897" i="43"/>
  <c r="L1881" i="43"/>
  <c r="L1865" i="43"/>
  <c r="L1849" i="43"/>
  <c r="L1833" i="43"/>
  <c r="L1817" i="43"/>
  <c r="L1801" i="43"/>
  <c r="L1785" i="43"/>
  <c r="L1769" i="43"/>
  <c r="L1753" i="43"/>
  <c r="L1737" i="43"/>
  <c r="L1721" i="43"/>
  <c r="L1692" i="43"/>
  <c r="L1628" i="43"/>
  <c r="L2354" i="43"/>
  <c r="L2338" i="43"/>
  <c r="L2322" i="43"/>
  <c r="L2306" i="43"/>
  <c r="L2290" i="43"/>
  <c r="L2274" i="43"/>
  <c r="L2258" i="43"/>
  <c r="L2242" i="43"/>
  <c r="L2226" i="43"/>
  <c r="L2210" i="43"/>
  <c r="L2194" i="43"/>
  <c r="L2178" i="43"/>
  <c r="L2162" i="43"/>
  <c r="L2146" i="43"/>
  <c r="L2130" i="43"/>
  <c r="L2114" i="43"/>
  <c r="L2098" i="43"/>
  <c r="L2082" i="43"/>
  <c r="L2066" i="43"/>
  <c r="L2050" i="43"/>
  <c r="L2034" i="43"/>
  <c r="L2018" i="43"/>
  <c r="L2002" i="43"/>
  <c r="L1986" i="43"/>
  <c r="L1970" i="43"/>
  <c r="L1954" i="43"/>
  <c r="L1938" i="43"/>
  <c r="L1922" i="43"/>
  <c r="L1906" i="43"/>
  <c r="L1890" i="43"/>
  <c r="L1874" i="43"/>
  <c r="L1858" i="43"/>
  <c r="L1842" i="43"/>
  <c r="L1826" i="43"/>
  <c r="L1810" i="43"/>
  <c r="M3234" i="43"/>
  <c r="M704" i="43"/>
  <c r="M708" i="43"/>
  <c r="M712" i="43"/>
  <c r="M716" i="43"/>
  <c r="M720" i="43"/>
  <c r="M724" i="43"/>
  <c r="M728" i="43"/>
  <c r="M732" i="43"/>
  <c r="M736" i="43"/>
  <c r="M740" i="43"/>
  <c r="M744" i="43"/>
  <c r="M748" i="43"/>
  <c r="M752" i="43"/>
  <c r="M756" i="43"/>
  <c r="M760" i="43"/>
  <c r="M764" i="43"/>
  <c r="M768" i="43"/>
  <c r="M772" i="43"/>
  <c r="M776" i="43"/>
  <c r="M780" i="43"/>
  <c r="M784" i="43"/>
  <c r="M1012" i="43"/>
  <c r="M1016" i="43"/>
  <c r="M1020" i="43"/>
  <c r="M1024" i="43"/>
  <c r="M1028" i="43"/>
  <c r="M1032" i="43"/>
  <c r="M1036" i="43"/>
  <c r="M1040" i="43"/>
  <c r="M1044" i="43"/>
  <c r="M1048" i="43"/>
  <c r="M1052" i="43"/>
  <c r="M1056" i="43"/>
  <c r="M1060" i="43"/>
  <c r="M1064" i="43"/>
  <c r="M1068" i="43"/>
  <c r="M1072" i="43"/>
  <c r="M1076" i="43"/>
  <c r="M1080" i="43"/>
  <c r="M1084" i="43"/>
  <c r="M1088" i="43"/>
  <c r="M2438" i="43"/>
  <c r="M2442" i="43"/>
  <c r="M2446" i="43"/>
  <c r="M2450" i="43"/>
  <c r="M2454" i="43"/>
  <c r="M2458" i="43"/>
  <c r="M2462" i="43"/>
  <c r="M2466" i="43"/>
  <c r="M5" i="43"/>
  <c r="M9" i="43"/>
  <c r="M13" i="43"/>
  <c r="M17" i="43"/>
  <c r="M21" i="43"/>
  <c r="M25" i="43"/>
  <c r="M29" i="43"/>
  <c r="M33" i="43"/>
  <c r="M37" i="43"/>
  <c r="M41" i="43"/>
  <c r="M45" i="43"/>
  <c r="M49" i="43"/>
  <c r="M53" i="43"/>
  <c r="M57" i="43"/>
  <c r="M61" i="43"/>
  <c r="M65" i="43"/>
  <c r="M69" i="43"/>
  <c r="M74" i="43"/>
  <c r="M2972" i="43"/>
  <c r="M2976" i="43"/>
  <c r="M2980" i="43"/>
  <c r="M2984" i="43"/>
  <c r="M2989" i="43"/>
  <c r="M77" i="43"/>
  <c r="M81" i="43"/>
  <c r="M85" i="43"/>
  <c r="M89" i="43"/>
  <c r="M93" i="43"/>
  <c r="M97" i="43"/>
  <c r="M101" i="43"/>
  <c r="M105" i="43"/>
  <c r="M109" i="43"/>
  <c r="M113" i="43"/>
  <c r="M117" i="43"/>
  <c r="M121" i="43"/>
  <c r="M125" i="43"/>
  <c r="M129" i="43"/>
  <c r="M133" i="43"/>
  <c r="M137" i="43"/>
  <c r="M141" i="43"/>
  <c r="M145" i="43"/>
  <c r="M149" i="43"/>
  <c r="M153" i="43"/>
  <c r="M157" i="43"/>
  <c r="M161" i="43"/>
  <c r="M2608" i="43"/>
  <c r="M2612" i="43"/>
  <c r="M2616" i="43"/>
  <c r="M2620" i="43"/>
  <c r="M2624" i="43"/>
  <c r="M2628" i="43"/>
  <c r="M2632" i="43"/>
  <c r="M2636" i="43"/>
  <c r="M1092" i="43"/>
  <c r="M1096" i="43"/>
  <c r="M1100" i="43"/>
  <c r="M1104" i="43"/>
  <c r="M1108" i="43"/>
  <c r="M1112" i="43"/>
  <c r="M1116" i="43"/>
  <c r="M1120" i="43"/>
  <c r="M1124" i="43"/>
  <c r="M1128" i="43"/>
  <c r="M1132" i="43"/>
  <c r="M1136" i="43"/>
  <c r="M1140" i="43"/>
  <c r="M1144" i="43"/>
  <c r="M1148" i="43"/>
  <c r="M1152" i="43"/>
  <c r="M1156" i="43"/>
  <c r="M1160" i="43"/>
  <c r="M165" i="43"/>
  <c r="M169" i="43"/>
  <c r="M173" i="43"/>
  <c r="M177" i="43"/>
  <c r="M181" i="43"/>
  <c r="M185" i="43"/>
  <c r="M189" i="43"/>
  <c r="M193" i="43"/>
  <c r="M197" i="43"/>
  <c r="M201" i="43"/>
  <c r="M205" i="43"/>
  <c r="M209" i="43"/>
  <c r="M213" i="43"/>
  <c r="M217" i="43"/>
  <c r="M221" i="43"/>
  <c r="M225" i="43"/>
  <c r="M229" i="43"/>
  <c r="M233" i="43"/>
  <c r="M237" i="43"/>
  <c r="M241" i="43"/>
  <c r="M245" i="43"/>
  <c r="M249" i="43"/>
  <c r="M253" i="43"/>
  <c r="M257" i="43"/>
  <c r="M261" i="43"/>
  <c r="M265" i="43"/>
  <c r="M2468" i="43"/>
  <c r="M2472" i="43"/>
  <c r="M2476" i="43"/>
  <c r="M2480" i="43"/>
  <c r="M2484" i="43"/>
  <c r="M2488" i="43"/>
  <c r="M2492" i="43"/>
  <c r="M2496" i="43"/>
  <c r="M2500" i="43"/>
  <c r="M2504" i="43"/>
  <c r="M2508" i="43"/>
  <c r="M2512" i="43"/>
  <c r="M2516" i="43"/>
  <c r="M2520" i="43"/>
  <c r="M2524" i="43"/>
  <c r="M2528" i="43"/>
  <c r="M2532" i="43"/>
  <c r="M2536" i="43"/>
  <c r="M2859" i="43"/>
  <c r="M2863" i="43"/>
  <c r="M2867" i="43"/>
  <c r="M2871" i="43"/>
  <c r="M2875" i="43"/>
  <c r="M2879" i="43"/>
  <c r="M2883" i="43"/>
  <c r="M2887" i="43"/>
  <c r="M2891" i="43"/>
  <c r="M2895" i="43"/>
  <c r="M2899" i="43"/>
  <c r="M2903" i="43"/>
  <c r="M2907" i="43"/>
  <c r="M2911" i="43"/>
  <c r="M2915" i="43"/>
  <c r="M2919" i="43"/>
  <c r="M1162" i="43"/>
  <c r="M1166" i="43"/>
  <c r="M1170" i="43"/>
  <c r="M1174" i="43"/>
  <c r="M1178" i="43"/>
  <c r="M1182" i="43"/>
  <c r="M1186" i="43"/>
  <c r="M1190" i="43"/>
  <c r="M1194" i="43"/>
  <c r="M1198" i="43"/>
  <c r="M1202" i="43"/>
  <c r="M1206" i="43"/>
  <c r="M1210" i="43"/>
  <c r="M1214" i="43"/>
  <c r="M1218" i="43"/>
  <c r="M1222" i="43"/>
  <c r="M1226" i="43"/>
  <c r="M1230" i="43"/>
  <c r="M1234" i="43"/>
  <c r="M1238" i="43"/>
  <c r="M1242" i="43"/>
  <c r="M1246" i="43"/>
  <c r="M1250" i="43"/>
  <c r="M1254" i="43"/>
  <c r="M1258" i="43"/>
  <c r="M1262" i="43"/>
  <c r="M1266" i="43"/>
  <c r="M1270" i="43"/>
  <c r="M1274" i="43"/>
  <c r="M1278" i="43"/>
  <c r="M1282" i="43"/>
  <c r="M3045" i="43"/>
  <c r="M3049" i="43"/>
  <c r="M3053" i="43"/>
  <c r="M3057" i="43"/>
  <c r="M3061" i="43"/>
  <c r="M3065" i="43"/>
  <c r="M3069" i="43"/>
  <c r="M3073" i="43"/>
  <c r="M3077" i="43"/>
  <c r="M3081" i="43"/>
  <c r="M3085" i="43"/>
  <c r="M3089" i="43"/>
  <c r="M3093" i="43"/>
  <c r="M3097" i="43"/>
  <c r="M271" i="43"/>
  <c r="M275" i="43"/>
  <c r="M279" i="43"/>
  <c r="M283" i="43"/>
  <c r="M287" i="43"/>
  <c r="M291" i="43"/>
  <c r="M295" i="43"/>
  <c r="M299" i="43"/>
  <c r="M303" i="43"/>
  <c r="M307" i="43"/>
  <c r="M311" i="43"/>
  <c r="M316" i="43"/>
  <c r="M320" i="43"/>
  <c r="M324" i="43"/>
  <c r="M328" i="43"/>
  <c r="M332" i="43"/>
  <c r="M336" i="43"/>
  <c r="M340" i="43"/>
  <c r="M344" i="43"/>
  <c r="M348" i="43"/>
  <c r="M352" i="43"/>
  <c r="M2924" i="43"/>
  <c r="M2928" i="43"/>
  <c r="M2932" i="43"/>
  <c r="M2936" i="43"/>
  <c r="M2940" i="43"/>
  <c r="M2944" i="43"/>
  <c r="M2948" i="43"/>
  <c r="M2952" i="43"/>
  <c r="M2956" i="43"/>
  <c r="M2960" i="43"/>
  <c r="M2964" i="43"/>
  <c r="M2968" i="43"/>
  <c r="M2994" i="43"/>
  <c r="M3135" i="43"/>
  <c r="M3139" i="43"/>
  <c r="M3143" i="43"/>
  <c r="M3147" i="43"/>
  <c r="M3151" i="43"/>
  <c r="M3155" i="43"/>
  <c r="M3159" i="43"/>
  <c r="M3163" i="43"/>
  <c r="M3167" i="43"/>
  <c r="M3172" i="43"/>
  <c r="M3196" i="43"/>
  <c r="M3200" i="43"/>
  <c r="M3204" i="43"/>
  <c r="M3208" i="43"/>
  <c r="M458" i="43"/>
  <c r="M500" i="43"/>
  <c r="M508" i="43"/>
  <c r="M516" i="43"/>
  <c r="M524" i="43"/>
  <c r="M532" i="43"/>
  <c r="M540" i="43"/>
  <c r="M548" i="43"/>
  <c r="M556" i="43"/>
  <c r="M357" i="43"/>
  <c r="M361" i="43"/>
  <c r="M365" i="43"/>
  <c r="M369" i="43"/>
  <c r="M373" i="43"/>
  <c r="M377" i="43"/>
  <c r="M381" i="43"/>
  <c r="M385" i="43"/>
  <c r="M389" i="43"/>
  <c r="M393" i="43"/>
  <c r="M397" i="43"/>
  <c r="M401" i="43"/>
  <c r="M405" i="43"/>
  <c r="M409" i="43"/>
  <c r="M413" i="43"/>
  <c r="M417" i="43"/>
  <c r="M421" i="43"/>
  <c r="M425" i="43"/>
  <c r="M429" i="43"/>
  <c r="M433" i="43"/>
  <c r="M437" i="43"/>
  <c r="M441" i="43"/>
  <c r="M445" i="43"/>
  <c r="M449" i="43"/>
  <c r="M453" i="43"/>
  <c r="M457" i="43"/>
  <c r="M462" i="43"/>
  <c r="M466" i="43"/>
  <c r="M470" i="43"/>
  <c r="M474" i="43"/>
  <c r="M478" i="43"/>
  <c r="M482" i="43"/>
  <c r="M486" i="43"/>
  <c r="M490" i="43"/>
  <c r="M495" i="43"/>
  <c r="M503" i="43"/>
  <c r="M511" i="43"/>
  <c r="M519" i="43"/>
  <c r="M527" i="43"/>
  <c r="M535" i="43"/>
  <c r="M543" i="43"/>
  <c r="M551" i="43"/>
  <c r="M3010" i="43"/>
  <c r="M3014" i="43"/>
  <c r="M3018" i="43"/>
  <c r="M3022" i="43"/>
  <c r="M3026" i="43"/>
  <c r="M3030" i="43"/>
  <c r="M3034" i="43"/>
  <c r="M3038" i="43"/>
  <c r="M3042" i="43"/>
  <c r="M3099" i="43"/>
  <c r="M3103" i="43"/>
  <c r="M3107" i="43"/>
  <c r="M3111" i="43"/>
  <c r="M3115" i="43"/>
  <c r="M3119" i="43"/>
  <c r="M3169" i="43"/>
  <c r="M705" i="43"/>
  <c r="M709" i="43"/>
  <c r="M713" i="43"/>
  <c r="M717" i="43"/>
  <c r="M721" i="43"/>
  <c r="M725" i="43"/>
  <c r="M729" i="43"/>
  <c r="M733" i="43"/>
  <c r="M737" i="43"/>
  <c r="M741" i="43"/>
  <c r="M745" i="43"/>
  <c r="M749" i="43"/>
  <c r="M753" i="43"/>
  <c r="M757" i="43"/>
  <c r="M761" i="43"/>
  <c r="M765" i="43"/>
  <c r="M769" i="43"/>
  <c r="M773" i="43"/>
  <c r="M777" i="43"/>
  <c r="M781" i="43"/>
  <c r="M785" i="43"/>
  <c r="M1013" i="43"/>
  <c r="M1017" i="43"/>
  <c r="M1021" i="43"/>
  <c r="M1025" i="43"/>
  <c r="M1029" i="43"/>
  <c r="M1033" i="43"/>
  <c r="M1037" i="43"/>
  <c r="M1041" i="43"/>
  <c r="M1045" i="43"/>
  <c r="M1049" i="43"/>
  <c r="M1053" i="43"/>
  <c r="M1057" i="43"/>
  <c r="M1061" i="43"/>
  <c r="M1065" i="43"/>
  <c r="M1069" i="43"/>
  <c r="M1073" i="43"/>
  <c r="M1077" i="43"/>
  <c r="M1081" i="43"/>
  <c r="M1085" i="43"/>
  <c r="M1089" i="43"/>
  <c r="M2439" i="43"/>
  <c r="M2443" i="43"/>
  <c r="M2447" i="43"/>
  <c r="M2451" i="43"/>
  <c r="M2455" i="43"/>
  <c r="M2459" i="43"/>
  <c r="M2463" i="43"/>
  <c r="M3233" i="43"/>
  <c r="M6" i="43"/>
  <c r="M10" i="43"/>
  <c r="M14" i="43"/>
  <c r="M18" i="43"/>
  <c r="M22" i="43"/>
  <c r="M26" i="43"/>
  <c r="M30" i="43"/>
  <c r="M34" i="43"/>
  <c r="M38" i="43"/>
  <c r="M42" i="43"/>
  <c r="M46" i="43"/>
  <c r="M50" i="43"/>
  <c r="M54" i="43"/>
  <c r="M58" i="43"/>
  <c r="M62" i="43"/>
  <c r="M66" i="43"/>
  <c r="M70" i="43"/>
  <c r="M75" i="43"/>
  <c r="M2973" i="43"/>
  <c r="M2977" i="43"/>
  <c r="M2981" i="43"/>
  <c r="M2985" i="43"/>
  <c r="M2990" i="43"/>
  <c r="M78" i="43"/>
  <c r="M82" i="43"/>
  <c r="M86" i="43"/>
  <c r="M90" i="43"/>
  <c r="M94" i="43"/>
  <c r="M98" i="43"/>
  <c r="M102" i="43"/>
  <c r="M106" i="43"/>
  <c r="M110" i="43"/>
  <c r="M114" i="43"/>
  <c r="M118" i="43"/>
  <c r="M122" i="43"/>
  <c r="M126" i="43"/>
  <c r="M130" i="43"/>
  <c r="M134" i="43"/>
  <c r="M138" i="43"/>
  <c r="M142" i="43"/>
  <c r="M146" i="43"/>
  <c r="M150" i="43"/>
  <c r="M154" i="43"/>
  <c r="M158" i="43"/>
  <c r="M2605" i="43"/>
  <c r="M2609" i="43"/>
  <c r="M2613" i="43"/>
  <c r="M2617" i="43"/>
  <c r="M2621" i="43"/>
  <c r="M2625" i="43"/>
  <c r="M2629" i="43"/>
  <c r="M2633" i="43"/>
  <c r="M2637" i="43"/>
  <c r="M1093" i="43"/>
  <c r="M1097" i="43"/>
  <c r="M1101" i="43"/>
  <c r="M1105" i="43"/>
  <c r="M1109" i="43"/>
  <c r="M1113" i="43"/>
  <c r="M1117" i="43"/>
  <c r="M1121" i="43"/>
  <c r="M1125" i="43"/>
  <c r="M1129" i="43"/>
  <c r="M1133" i="43"/>
  <c r="M1137" i="43"/>
  <c r="M1141" i="43"/>
  <c r="M1145" i="43"/>
  <c r="M1149" i="43"/>
  <c r="M1153" i="43"/>
  <c r="M1157" i="43"/>
  <c r="M162" i="43"/>
  <c r="M166" i="43"/>
  <c r="M170" i="43"/>
  <c r="M174" i="43"/>
  <c r="M178" i="43"/>
  <c r="M182" i="43"/>
  <c r="M186" i="43"/>
  <c r="M190" i="43"/>
  <c r="M194" i="43"/>
  <c r="M198" i="43"/>
  <c r="M202" i="43"/>
  <c r="M206" i="43"/>
  <c r="M210" i="43"/>
  <c r="M214" i="43"/>
  <c r="M218" i="43"/>
  <c r="M222" i="43"/>
  <c r="M226" i="43"/>
  <c r="M230" i="43"/>
  <c r="M234" i="43"/>
  <c r="M238" i="43"/>
  <c r="M242" i="43"/>
  <c r="M246" i="43"/>
  <c r="M250" i="43"/>
  <c r="M254" i="43"/>
  <c r="M258" i="43"/>
  <c r="M262" i="43"/>
  <c r="M266" i="43"/>
  <c r="M2469" i="43"/>
  <c r="M2473" i="43"/>
  <c r="M2477" i="43"/>
  <c r="M2481" i="43"/>
  <c r="M2485" i="43"/>
  <c r="M2489" i="43"/>
  <c r="M2493" i="43"/>
  <c r="M2497" i="43"/>
  <c r="M2501" i="43"/>
  <c r="M2505" i="43"/>
  <c r="M2509" i="43"/>
  <c r="M2513" i="43"/>
  <c r="M2517" i="43"/>
  <c r="M2521" i="43"/>
  <c r="M2525" i="43"/>
  <c r="M2529" i="43"/>
  <c r="M2533" i="43"/>
  <c r="M2537" i="43"/>
  <c r="M2860" i="43"/>
  <c r="M2864" i="43"/>
  <c r="M2868" i="43"/>
  <c r="M2872" i="43"/>
  <c r="M2876" i="43"/>
  <c r="M2880" i="43"/>
  <c r="M2884" i="43"/>
  <c r="M2888" i="43"/>
  <c r="M2892" i="43"/>
  <c r="M2896" i="43"/>
  <c r="M2900" i="43"/>
  <c r="M2904" i="43"/>
  <c r="M2908" i="43"/>
  <c r="M2912" i="43"/>
  <c r="M2916" i="43"/>
  <c r="M2920" i="43"/>
  <c r="M1163" i="43"/>
  <c r="M1167" i="43"/>
  <c r="M1171" i="43"/>
  <c r="M1175" i="43"/>
  <c r="M1179" i="43"/>
  <c r="M1183" i="43"/>
  <c r="M1187" i="43"/>
  <c r="M1191" i="43"/>
  <c r="M1195" i="43"/>
  <c r="M1199" i="43"/>
  <c r="M1203" i="43"/>
  <c r="M1207" i="43"/>
  <c r="M1211" i="43"/>
  <c r="M1215" i="43"/>
  <c r="M1219" i="43"/>
  <c r="M1223" i="43"/>
  <c r="M1227" i="43"/>
  <c r="M1231" i="43"/>
  <c r="M1235" i="43"/>
  <c r="M1239" i="43"/>
  <c r="M1243" i="43"/>
  <c r="M1247" i="43"/>
  <c r="M1251" i="43"/>
  <c r="M1255" i="43"/>
  <c r="M1259" i="43"/>
  <c r="M1263" i="43"/>
  <c r="M1267" i="43"/>
  <c r="M1271" i="43"/>
  <c r="M1275" i="43"/>
  <c r="M1279" i="43"/>
  <c r="M1283" i="43"/>
  <c r="M3046" i="43"/>
  <c r="M3050" i="43"/>
  <c r="M3054" i="43"/>
  <c r="M3058" i="43"/>
  <c r="M3062" i="43"/>
  <c r="M3066" i="43"/>
  <c r="M3070" i="43"/>
  <c r="M3074" i="43"/>
  <c r="M3078" i="43"/>
  <c r="M3082" i="43"/>
  <c r="M3086" i="43"/>
  <c r="M3090" i="43"/>
  <c r="M3094" i="43"/>
  <c r="M268" i="43"/>
  <c r="M272" i="43"/>
  <c r="M276" i="43"/>
  <c r="M280" i="43"/>
  <c r="M284" i="43"/>
  <c r="M288" i="43"/>
  <c r="M292" i="43"/>
  <c r="M296" i="43"/>
  <c r="M300" i="43"/>
  <c r="M304" i="43"/>
  <c r="M308" i="43"/>
  <c r="M313" i="43"/>
  <c r="M317" i="43"/>
  <c r="M321" i="43"/>
  <c r="M325" i="43"/>
  <c r="M329" i="43"/>
  <c r="M333" i="43"/>
  <c r="M337" i="43"/>
  <c r="M341" i="43"/>
  <c r="M345" i="43"/>
  <c r="M349" i="43"/>
  <c r="M353" i="43"/>
  <c r="M2925" i="43"/>
  <c r="M2929" i="43"/>
  <c r="M2933" i="43"/>
  <c r="M2937" i="43"/>
  <c r="M2941" i="43"/>
  <c r="M2945" i="43"/>
  <c r="M2949" i="43"/>
  <c r="M2953" i="43"/>
  <c r="M2957" i="43"/>
  <c r="M2961" i="43"/>
  <c r="M2965" i="43"/>
  <c r="M2969" i="43"/>
  <c r="M2995" i="43"/>
  <c r="M3136" i="43"/>
  <c r="M3140" i="43"/>
  <c r="M3144" i="43"/>
  <c r="M3148" i="43"/>
  <c r="M3152" i="43"/>
  <c r="M3156" i="43"/>
  <c r="M3160" i="43"/>
  <c r="M3164" i="43"/>
  <c r="M3168" i="43"/>
  <c r="M3193" i="43"/>
  <c r="M3197" i="43"/>
  <c r="M3201" i="43"/>
  <c r="M3205" i="43"/>
  <c r="M3219" i="43"/>
  <c r="M494" i="43"/>
  <c r="M502" i="43"/>
  <c r="M510" i="43"/>
  <c r="M518" i="43"/>
  <c r="M526" i="43"/>
  <c r="M534" i="43"/>
  <c r="M542" i="43"/>
  <c r="M550" i="43"/>
  <c r="M354" i="43"/>
  <c r="M358" i="43"/>
  <c r="M362" i="43"/>
  <c r="M366" i="43"/>
  <c r="M370" i="43"/>
  <c r="M374" i="43"/>
  <c r="M378" i="43"/>
  <c r="M382" i="43"/>
  <c r="M386" i="43"/>
  <c r="M390" i="43"/>
  <c r="M394" i="43"/>
  <c r="M398" i="43"/>
  <c r="M402" i="43"/>
  <c r="M406" i="43"/>
  <c r="M410" i="43"/>
  <c r="M414" i="43"/>
  <c r="M418" i="43"/>
  <c r="M422" i="43"/>
  <c r="M426" i="43"/>
  <c r="M430" i="43"/>
  <c r="M434" i="43"/>
  <c r="M438" i="43"/>
  <c r="M442" i="43"/>
  <c r="M446" i="43"/>
  <c r="M450" i="43"/>
  <c r="M454" i="43"/>
  <c r="M459" i="43"/>
  <c r="M463" i="43"/>
  <c r="M467" i="43"/>
  <c r="M471" i="43"/>
  <c r="M475" i="43"/>
  <c r="M479" i="43"/>
  <c r="M483" i="43"/>
  <c r="M487" i="43"/>
  <c r="M491" i="43"/>
  <c r="M497" i="43"/>
  <c r="M505" i="43"/>
  <c r="M513" i="43"/>
  <c r="M521" i="43"/>
  <c r="M702" i="43"/>
  <c r="M706" i="43"/>
  <c r="M710" i="43"/>
  <c r="M714" i="43"/>
  <c r="M718" i="43"/>
  <c r="M722" i="43"/>
  <c r="M726" i="43"/>
  <c r="M730" i="43"/>
  <c r="M734" i="43"/>
  <c r="M738" i="43"/>
  <c r="M742" i="43"/>
  <c r="M746" i="43"/>
  <c r="M750" i="43"/>
  <c r="M754" i="43"/>
  <c r="M758" i="43"/>
  <c r="M762" i="43"/>
  <c r="M766" i="43"/>
  <c r="M770" i="43"/>
  <c r="M774" i="43"/>
  <c r="M778" i="43"/>
  <c r="M782" i="43"/>
  <c r="M786" i="43"/>
  <c r="M1014" i="43"/>
  <c r="M1018" i="43"/>
  <c r="M1022" i="43"/>
  <c r="M1026" i="43"/>
  <c r="M1030" i="43"/>
  <c r="M1034" i="43"/>
  <c r="M1038" i="43"/>
  <c r="M1042" i="43"/>
  <c r="M1046" i="43"/>
  <c r="M1050" i="43"/>
  <c r="M1054" i="43"/>
  <c r="M1058" i="43"/>
  <c r="M1062" i="43"/>
  <c r="M1066" i="43"/>
  <c r="M1070" i="43"/>
  <c r="M1074" i="43"/>
  <c r="M1078" i="43"/>
  <c r="M1082" i="43"/>
  <c r="M1086" i="43"/>
  <c r="M2436" i="43"/>
  <c r="M2440" i="43"/>
  <c r="M2444" i="43"/>
  <c r="M2448" i="43"/>
  <c r="M2452" i="43"/>
  <c r="M2456" i="43"/>
  <c r="M2460" i="43"/>
  <c r="M2464" i="43"/>
  <c r="M3" i="43"/>
  <c r="M7" i="43"/>
  <c r="M11" i="43"/>
  <c r="M15" i="43"/>
  <c r="M19" i="43"/>
  <c r="M23" i="43"/>
  <c r="M27" i="43"/>
  <c r="M31" i="43"/>
  <c r="M35" i="43"/>
  <c r="M39" i="43"/>
  <c r="M43" i="43"/>
  <c r="M47" i="43"/>
  <c r="M51" i="43"/>
  <c r="M55" i="43"/>
  <c r="M59" i="43"/>
  <c r="M63" i="43"/>
  <c r="M67" i="43"/>
  <c r="M71" i="43"/>
  <c r="M76" i="43"/>
  <c r="M2974" i="43"/>
  <c r="M2978" i="43"/>
  <c r="M2982" i="43"/>
  <c r="M2986" i="43"/>
  <c r="M2991" i="43"/>
  <c r="M79" i="43"/>
  <c r="M83" i="43"/>
  <c r="M87" i="43"/>
  <c r="M91" i="43"/>
  <c r="M95" i="43"/>
  <c r="M99" i="43"/>
  <c r="M103" i="43"/>
  <c r="M107" i="43"/>
  <c r="M111" i="43"/>
  <c r="M115" i="43"/>
  <c r="M119" i="43"/>
  <c r="M123" i="43"/>
  <c r="M127" i="43"/>
  <c r="M131" i="43"/>
  <c r="M135" i="43"/>
  <c r="M139" i="43"/>
  <c r="M143" i="43"/>
  <c r="M147" i="43"/>
  <c r="M151" i="43"/>
  <c r="M155" i="43"/>
  <c r="M159" i="43"/>
  <c r="M2606" i="43"/>
  <c r="M2610" i="43"/>
  <c r="M2614" i="43"/>
  <c r="M2618" i="43"/>
  <c r="M2622" i="43"/>
  <c r="M2626" i="43"/>
  <c r="M2630" i="43"/>
  <c r="M2634" i="43"/>
  <c r="M1090" i="43"/>
  <c r="M1094" i="43"/>
  <c r="M1098" i="43"/>
  <c r="M1102" i="43"/>
  <c r="M1106" i="43"/>
  <c r="M1110" i="43"/>
  <c r="M1114" i="43"/>
  <c r="M1118" i="43"/>
  <c r="M1122" i="43"/>
  <c r="M1126" i="43"/>
  <c r="M1130" i="43"/>
  <c r="M1134" i="43"/>
  <c r="M1138" i="43"/>
  <c r="M1142" i="43"/>
  <c r="M1146" i="43"/>
  <c r="M1150" i="43"/>
  <c r="M1154" i="43"/>
  <c r="M1158" i="43"/>
  <c r="M163" i="43"/>
  <c r="M167" i="43"/>
  <c r="M171" i="43"/>
  <c r="M175" i="43"/>
  <c r="M179" i="43"/>
  <c r="M183" i="43"/>
  <c r="M187" i="43"/>
  <c r="M191" i="43"/>
  <c r="M195" i="43"/>
  <c r="M199" i="43"/>
  <c r="M203" i="43"/>
  <c r="M207" i="43"/>
  <c r="M211" i="43"/>
  <c r="M215" i="43"/>
  <c r="M219" i="43"/>
  <c r="M223" i="43"/>
  <c r="M227" i="43"/>
  <c r="M231" i="43"/>
  <c r="M235" i="43"/>
  <c r="M239" i="43"/>
  <c r="M243" i="43"/>
  <c r="M247" i="43"/>
  <c r="M251" i="43"/>
  <c r="M255" i="43"/>
  <c r="M259" i="43"/>
  <c r="M263" i="43"/>
  <c r="M267" i="43"/>
  <c r="M2470" i="43"/>
  <c r="M2474" i="43"/>
  <c r="M2478" i="43"/>
  <c r="M2482" i="43"/>
  <c r="M2486" i="43"/>
  <c r="M2490" i="43"/>
  <c r="M2494" i="43"/>
  <c r="M2498" i="43"/>
  <c r="M2502" i="43"/>
  <c r="M2506" i="43"/>
  <c r="M2510" i="43"/>
  <c r="M2514" i="43"/>
  <c r="M2518" i="43"/>
  <c r="M2522" i="43"/>
  <c r="M2526" i="43"/>
  <c r="M2530" i="43"/>
  <c r="M2534" i="43"/>
  <c r="M2538" i="43"/>
  <c r="M2861" i="43"/>
  <c r="M2865" i="43"/>
  <c r="M2869" i="43"/>
  <c r="M2873" i="43"/>
  <c r="M2877" i="43"/>
  <c r="M2881" i="43"/>
  <c r="M2885" i="43"/>
  <c r="M2889" i="43"/>
  <c r="M2893" i="43"/>
  <c r="M2897" i="43"/>
  <c r="M2901" i="43"/>
  <c r="M2905" i="43"/>
  <c r="M2909" i="43"/>
  <c r="M2913" i="43"/>
  <c r="M2917" i="43"/>
  <c r="M2921" i="43"/>
  <c r="M1164" i="43"/>
  <c r="M1168" i="43"/>
  <c r="M1172" i="43"/>
  <c r="M1176" i="43"/>
  <c r="M1180" i="43"/>
  <c r="M1184" i="43"/>
  <c r="M1188" i="43"/>
  <c r="M1192" i="43"/>
  <c r="M1196" i="43"/>
  <c r="M1200" i="43"/>
  <c r="M1204" i="43"/>
  <c r="M1208" i="43"/>
  <c r="M1212" i="43"/>
  <c r="M1216" i="43"/>
  <c r="M1220" i="43"/>
  <c r="M1224" i="43"/>
  <c r="M1228" i="43"/>
  <c r="M1232" i="43"/>
  <c r="M1236" i="43"/>
  <c r="M1240" i="43"/>
  <c r="M1244" i="43"/>
  <c r="M1248" i="43"/>
  <c r="M1252" i="43"/>
  <c r="M1256" i="43"/>
  <c r="M1260" i="43"/>
  <c r="M1264" i="43"/>
  <c r="M1268" i="43"/>
  <c r="M1272" i="43"/>
  <c r="M1276" i="43"/>
  <c r="M1280" i="43"/>
  <c r="M1284" i="43"/>
  <c r="M3047" i="43"/>
  <c r="M3051" i="43"/>
  <c r="M3055" i="43"/>
  <c r="M3059" i="43"/>
  <c r="M3063" i="43"/>
  <c r="M3067" i="43"/>
  <c r="M3071" i="43"/>
  <c r="M3075" i="43"/>
  <c r="M3079" i="43"/>
  <c r="M3083" i="43"/>
  <c r="M3087" i="43"/>
  <c r="M3091" i="43"/>
  <c r="M3095" i="43"/>
  <c r="M269" i="43"/>
  <c r="M273" i="43"/>
  <c r="M277" i="43"/>
  <c r="M281" i="43"/>
  <c r="M285" i="43"/>
  <c r="M289" i="43"/>
  <c r="M293" i="43"/>
  <c r="M297" i="43"/>
  <c r="M301" i="43"/>
  <c r="M305" i="43"/>
  <c r="M309" i="43"/>
  <c r="M314" i="43"/>
  <c r="M318" i="43"/>
  <c r="M322" i="43"/>
  <c r="M326" i="43"/>
  <c r="M330" i="43"/>
  <c r="M334" i="43"/>
  <c r="M338" i="43"/>
  <c r="M342" i="43"/>
  <c r="M346" i="43"/>
  <c r="M350" i="43"/>
  <c r="M2922" i="43"/>
  <c r="M2926" i="43"/>
  <c r="M2930" i="43"/>
  <c r="M2934" i="43"/>
  <c r="M2938" i="43"/>
  <c r="M2942" i="43"/>
  <c r="M2946" i="43"/>
  <c r="M2950" i="43"/>
  <c r="M2954" i="43"/>
  <c r="M2958" i="43"/>
  <c r="M2962" i="43"/>
  <c r="M2966" i="43"/>
  <c r="M2970" i="43"/>
  <c r="M2996" i="43"/>
  <c r="M3137" i="43"/>
  <c r="M3141" i="43"/>
  <c r="M3145" i="43"/>
  <c r="M3149" i="43"/>
  <c r="M3153" i="43"/>
  <c r="M3157" i="43"/>
  <c r="M3161" i="43"/>
  <c r="M3165" i="43"/>
  <c r="M3170" i="43"/>
  <c r="M3194" i="43"/>
  <c r="M3198" i="43"/>
  <c r="M3202" i="43"/>
  <c r="M3206" i="43"/>
  <c r="M3220" i="43"/>
  <c r="M496" i="43"/>
  <c r="M504" i="43"/>
  <c r="M512" i="43"/>
  <c r="M520" i="43"/>
  <c r="M528" i="43"/>
  <c r="M536" i="43"/>
  <c r="M544" i="43"/>
  <c r="M552" i="43"/>
  <c r="M355" i="43"/>
  <c r="M359" i="43"/>
  <c r="M363" i="43"/>
  <c r="M367" i="43"/>
  <c r="M371" i="43"/>
  <c r="M375" i="43"/>
  <c r="M379" i="43"/>
  <c r="M383" i="43"/>
  <c r="M387" i="43"/>
  <c r="M391" i="43"/>
  <c r="M395" i="43"/>
  <c r="M399" i="43"/>
  <c r="M403" i="43"/>
  <c r="M407" i="43"/>
  <c r="M411" i="43"/>
  <c r="M415" i="43"/>
  <c r="M419" i="43"/>
  <c r="M423" i="43"/>
  <c r="M427" i="43"/>
  <c r="M431" i="43"/>
  <c r="M435" i="43"/>
  <c r="M439" i="43"/>
  <c r="M443" i="43"/>
  <c r="M447" i="43"/>
  <c r="M451" i="43"/>
  <c r="M455" i="43"/>
  <c r="M460" i="43"/>
  <c r="M464" i="43"/>
  <c r="M468" i="43"/>
  <c r="M472" i="43"/>
  <c r="M476" i="43"/>
  <c r="M480" i="43"/>
  <c r="M484" i="43"/>
  <c r="M488" i="43"/>
  <c r="M492" i="43"/>
  <c r="M499" i="43"/>
  <c r="M507" i="43"/>
  <c r="M515" i="43"/>
  <c r="M523" i="43"/>
  <c r="M531" i="43"/>
  <c r="M539" i="43"/>
  <c r="M547" i="43"/>
  <c r="M555" i="43"/>
  <c r="M3008" i="43"/>
  <c r="M3012" i="43"/>
  <c r="M3016" i="43"/>
  <c r="M3020" i="43"/>
  <c r="M3024" i="43"/>
  <c r="M3028" i="43"/>
  <c r="M3032" i="43"/>
  <c r="M3036" i="43"/>
  <c r="M3040" i="43"/>
  <c r="M3044" i="43"/>
  <c r="M3101" i="43"/>
  <c r="M3105" i="43"/>
  <c r="M3109" i="43"/>
  <c r="M3113" i="43"/>
  <c r="M3117" i="43"/>
  <c r="M3121" i="43"/>
  <c r="M703" i="43"/>
  <c r="M707" i="43"/>
  <c r="M711" i="43"/>
  <c r="M715" i="43"/>
  <c r="M719" i="43"/>
  <c r="M723" i="43"/>
  <c r="M727" i="43"/>
  <c r="M731" i="43"/>
  <c r="M735" i="43"/>
  <c r="M739" i="43"/>
  <c r="M743" i="43"/>
  <c r="M747" i="43"/>
  <c r="M751" i="43"/>
  <c r="M755" i="43"/>
  <c r="M759" i="43"/>
  <c r="M763" i="43"/>
  <c r="M767" i="43"/>
  <c r="M771" i="43"/>
  <c r="M775" i="43"/>
  <c r="M779" i="43"/>
  <c r="M783" i="43"/>
  <c r="M1011" i="43"/>
  <c r="M1015" i="43"/>
  <c r="M1019" i="43"/>
  <c r="M1023" i="43"/>
  <c r="M1027" i="43"/>
  <c r="M1031" i="43"/>
  <c r="M1035" i="43"/>
  <c r="M1039" i="43"/>
  <c r="M1043" i="43"/>
  <c r="M1047" i="43"/>
  <c r="M1051" i="43"/>
  <c r="M1055" i="43"/>
  <c r="M1059" i="43"/>
  <c r="M1063" i="43"/>
  <c r="M1067" i="43"/>
  <c r="M1071" i="43"/>
  <c r="M1075" i="43"/>
  <c r="M1079" i="43"/>
  <c r="M1083" i="43"/>
  <c r="M1087" i="43"/>
  <c r="M2437" i="43"/>
  <c r="M2441" i="43"/>
  <c r="M2445" i="43"/>
  <c r="M2449" i="43"/>
  <c r="M2453" i="43"/>
  <c r="M2457" i="43"/>
  <c r="M2461" i="43"/>
  <c r="M2465" i="43"/>
  <c r="M4" i="43"/>
  <c r="M8" i="43"/>
  <c r="M12" i="43"/>
  <c r="M16" i="43"/>
  <c r="M20" i="43"/>
  <c r="M24" i="43"/>
  <c r="M28" i="43"/>
  <c r="M32" i="43"/>
  <c r="M36" i="43"/>
  <c r="M40" i="43"/>
  <c r="M44" i="43"/>
  <c r="M48" i="43"/>
  <c r="M52" i="43"/>
  <c r="M56" i="43"/>
  <c r="M72" i="43"/>
  <c r="M2983" i="43"/>
  <c r="M84" i="43"/>
  <c r="M100" i="43"/>
  <c r="M116" i="43"/>
  <c r="M132" i="43"/>
  <c r="M148" i="43"/>
  <c r="M2607" i="43"/>
  <c r="M2623" i="43"/>
  <c r="M1091" i="43"/>
  <c r="M1107" i="43"/>
  <c r="M1123" i="43"/>
  <c r="M1139" i="43"/>
  <c r="M1155" i="43"/>
  <c r="M172" i="43"/>
  <c r="M188" i="43"/>
  <c r="M204" i="43"/>
  <c r="M220" i="43"/>
  <c r="M236" i="43"/>
  <c r="M252" i="43"/>
  <c r="M2467" i="43"/>
  <c r="M2483" i="43"/>
  <c r="M2499" i="43"/>
  <c r="M2515" i="43"/>
  <c r="M2531" i="43"/>
  <c r="M2866" i="43"/>
  <c r="M2882" i="43"/>
  <c r="M2898" i="43"/>
  <c r="M2914" i="43"/>
  <c r="M1169" i="43"/>
  <c r="M1185" i="43"/>
  <c r="M1201" i="43"/>
  <c r="M1217" i="43"/>
  <c r="M1233" i="43"/>
  <c r="M1249" i="43"/>
  <c r="M1265" i="43"/>
  <c r="M1281" i="43"/>
  <c r="M3056" i="43"/>
  <c r="M3072" i="43"/>
  <c r="M3088" i="43"/>
  <c r="M274" i="43"/>
  <c r="M290" i="43"/>
  <c r="M306" i="43"/>
  <c r="M323" i="43"/>
  <c r="M339" i="43"/>
  <c r="M2923" i="43"/>
  <c r="M2939" i="43"/>
  <c r="M2955" i="43"/>
  <c r="M2993" i="43"/>
  <c r="M3146" i="43"/>
  <c r="M3162" i="43"/>
  <c r="M3199" i="43"/>
  <c r="M498" i="43"/>
  <c r="M530" i="43"/>
  <c r="M356" i="43"/>
  <c r="M372" i="43"/>
  <c r="M388" i="43"/>
  <c r="M404" i="43"/>
  <c r="M420" i="43"/>
  <c r="M436" i="43"/>
  <c r="M452" i="43"/>
  <c r="M469" i="43"/>
  <c r="M485" i="43"/>
  <c r="M509" i="43"/>
  <c r="M533" i="43"/>
  <c r="M549" i="43"/>
  <c r="M3009" i="43"/>
  <c r="M3017" i="43"/>
  <c r="M3025" i="43"/>
  <c r="M3033" i="43"/>
  <c r="M3041" i="43"/>
  <c r="M3102" i="43"/>
  <c r="M3110" i="43"/>
  <c r="M3118" i="43"/>
  <c r="M3124" i="43"/>
  <c r="M3128" i="43"/>
  <c r="M3182" i="43"/>
  <c r="M3211" i="43"/>
  <c r="M3215" i="43"/>
  <c r="M3228" i="43"/>
  <c r="M3232" i="43"/>
  <c r="M1435" i="43"/>
  <c r="M1443" i="43"/>
  <c r="M1451" i="43"/>
  <c r="M1286" i="43"/>
  <c r="M1290" i="43"/>
  <c r="M1294" i="43"/>
  <c r="M1298" i="43"/>
  <c r="M1302" i="43"/>
  <c r="M1306" i="43"/>
  <c r="M1310" i="43"/>
  <c r="M1314" i="43"/>
  <c r="M1318" i="43"/>
  <c r="M1322" i="43"/>
  <c r="M1326" i="43"/>
  <c r="M1330" i="43"/>
  <c r="M1334" i="43"/>
  <c r="M1338" i="43"/>
  <c r="M1342" i="43"/>
  <c r="M1346" i="43"/>
  <c r="M1350" i="43"/>
  <c r="M1354" i="43"/>
  <c r="M1358" i="43"/>
  <c r="M1362" i="43"/>
  <c r="M1366" i="43"/>
  <c r="M1370" i="43"/>
  <c r="M1374" i="43"/>
  <c r="M1378" i="43"/>
  <c r="M1382" i="43"/>
  <c r="M1386" i="43"/>
  <c r="M1390" i="43"/>
  <c r="M1394" i="43"/>
  <c r="M1398" i="43"/>
  <c r="M1402" i="43"/>
  <c r="M1406" i="43"/>
  <c r="M1411" i="43"/>
  <c r="M1415" i="43"/>
  <c r="M1419" i="43"/>
  <c r="M1423" i="43"/>
  <c r="M1427" i="43"/>
  <c r="M1432" i="43"/>
  <c r="M1440" i="43"/>
  <c r="M1448" i="43"/>
  <c r="M1456" i="43"/>
  <c r="M1461" i="43"/>
  <c r="M1465" i="43"/>
  <c r="M1469" i="43"/>
  <c r="M1473" i="43"/>
  <c r="M1477" i="43"/>
  <c r="M1481" i="43"/>
  <c r="M1485" i="43"/>
  <c r="M1489" i="43"/>
  <c r="M1493" i="43"/>
  <c r="M1497" i="43"/>
  <c r="M1501" i="43"/>
  <c r="M1505" i="43"/>
  <c r="M1509" i="43"/>
  <c r="M1513" i="43"/>
  <c r="M1517" i="43"/>
  <c r="M1521" i="43"/>
  <c r="M1525" i="43"/>
  <c r="M1529" i="43"/>
  <c r="M1533" i="43"/>
  <c r="M1537" i="43"/>
  <c r="M1541" i="43"/>
  <c r="M1545" i="43"/>
  <c r="M1549" i="43"/>
  <c r="M1553" i="43"/>
  <c r="M1557" i="43"/>
  <c r="M1561" i="43"/>
  <c r="M1565" i="43"/>
  <c r="M1569" i="43"/>
  <c r="M1573" i="43"/>
  <c r="M1577" i="43"/>
  <c r="M1581" i="43"/>
  <c r="M1585" i="43"/>
  <c r="M1589" i="43"/>
  <c r="M1593" i="43"/>
  <c r="M1597" i="43"/>
  <c r="M1601" i="43"/>
  <c r="M1605" i="43"/>
  <c r="M1609" i="43"/>
  <c r="M1613" i="43"/>
  <c r="M1617" i="43"/>
  <c r="M1621" i="43"/>
  <c r="M1625" i="43"/>
  <c r="M3186" i="43"/>
  <c r="M3190" i="43"/>
  <c r="M603" i="43"/>
  <c r="M612" i="43"/>
  <c r="M620" i="43"/>
  <c r="M628" i="43"/>
  <c r="M636" i="43"/>
  <c r="M644" i="43"/>
  <c r="M652" i="43"/>
  <c r="M660" i="43"/>
  <c r="M668" i="43"/>
  <c r="M676" i="43"/>
  <c r="M684" i="43"/>
  <c r="M691" i="43"/>
  <c r="M700" i="43"/>
  <c r="M792" i="43"/>
  <c r="M800" i="43"/>
  <c r="M815" i="43"/>
  <c r="M559" i="43"/>
  <c r="M563" i="43"/>
  <c r="M567" i="43"/>
  <c r="M571" i="43"/>
  <c r="M575" i="43"/>
  <c r="M579" i="43"/>
  <c r="M583" i="43"/>
  <c r="M587" i="43"/>
  <c r="M591" i="43"/>
  <c r="M595" i="43"/>
  <c r="M599" i="43"/>
  <c r="M604" i="43"/>
  <c r="M611" i="43"/>
  <c r="M619" i="43"/>
  <c r="M627" i="43"/>
  <c r="M635" i="43"/>
  <c r="M643" i="43"/>
  <c r="M651" i="43"/>
  <c r="M659" i="43"/>
  <c r="M667" i="43"/>
  <c r="M675" i="43"/>
  <c r="M683" i="43"/>
  <c r="M692" i="43"/>
  <c r="M699" i="43"/>
  <c r="M793" i="43"/>
  <c r="M801" i="43"/>
  <c r="M806" i="43"/>
  <c r="M811" i="43"/>
  <c r="M2539" i="43"/>
  <c r="M2543" i="43"/>
  <c r="M2547" i="43"/>
  <c r="M2551" i="43"/>
  <c r="M2555" i="43"/>
  <c r="M2559" i="43"/>
  <c r="M2563" i="43"/>
  <c r="M2567" i="43"/>
  <c r="M2571" i="43"/>
  <c r="M2575" i="43"/>
  <c r="M2579" i="43"/>
  <c r="M2583" i="43"/>
  <c r="M2587" i="43"/>
  <c r="M2591" i="43"/>
  <c r="M2595" i="43"/>
  <c r="M2599" i="43"/>
  <c r="M2603" i="43"/>
  <c r="M2640" i="43"/>
  <c r="M2644" i="43"/>
  <c r="M2648" i="43"/>
  <c r="M2652" i="43"/>
  <c r="M2656" i="43"/>
  <c r="M2660" i="43"/>
  <c r="M2664" i="43"/>
  <c r="M2668" i="43"/>
  <c r="M2672" i="43"/>
  <c r="M2676" i="43"/>
  <c r="M2680" i="43"/>
  <c r="M2684" i="43"/>
  <c r="M2688" i="43"/>
  <c r="M2692" i="43"/>
  <c r="M2696" i="43"/>
  <c r="M2700" i="43"/>
  <c r="M2704" i="43"/>
  <c r="M2708" i="43"/>
  <c r="M2712" i="43"/>
  <c r="M2716" i="43"/>
  <c r="M2720" i="43"/>
  <c r="M2724" i="43"/>
  <c r="M2728" i="43"/>
  <c r="M3224" i="43"/>
  <c r="M905" i="43"/>
  <c r="M913" i="43"/>
  <c r="M921" i="43"/>
  <c r="M929" i="43"/>
  <c r="M937" i="43"/>
  <c r="M945" i="43"/>
  <c r="M953" i="43"/>
  <c r="M961" i="43"/>
  <c r="M969" i="43"/>
  <c r="M977" i="43"/>
  <c r="M985" i="43"/>
  <c r="M993" i="43"/>
  <c r="M1000" i="43"/>
  <c r="M1008" i="43"/>
  <c r="M1632" i="43"/>
  <c r="M1640" i="43"/>
  <c r="M1648" i="43"/>
  <c r="M1656" i="43"/>
  <c r="M1664" i="43"/>
  <c r="M1672" i="43"/>
  <c r="M1679" i="43"/>
  <c r="M1687" i="43"/>
  <c r="M818" i="43"/>
  <c r="M822" i="43"/>
  <c r="M826" i="43"/>
  <c r="M830" i="43"/>
  <c r="M834" i="43"/>
  <c r="M838" i="43"/>
  <c r="M842" i="43"/>
  <c r="M846" i="43"/>
  <c r="M850" i="43"/>
  <c r="M854" i="43"/>
  <c r="M858" i="43"/>
  <c r="M862" i="43"/>
  <c r="M867" i="43"/>
  <c r="M871" i="43"/>
  <c r="M875" i="43"/>
  <c r="M879" i="43"/>
  <c r="M883" i="43"/>
  <c r="M887" i="43"/>
  <c r="M891" i="43"/>
  <c r="M895" i="43"/>
  <c r="M899" i="43"/>
  <c r="M903" i="43"/>
  <c r="M910" i="43"/>
  <c r="M918" i="43"/>
  <c r="M926" i="43"/>
  <c r="M934" i="43"/>
  <c r="M942" i="43"/>
  <c r="M950" i="43"/>
  <c r="M958" i="43"/>
  <c r="M966" i="43"/>
  <c r="M974" i="43"/>
  <c r="M982" i="43"/>
  <c r="M990" i="43"/>
  <c r="M999" i="43"/>
  <c r="M1007" i="43"/>
  <c r="M1633" i="43"/>
  <c r="M1641" i="43"/>
  <c r="M1649" i="43"/>
  <c r="M1657" i="43"/>
  <c r="M1665" i="43"/>
  <c r="M1673" i="43"/>
  <c r="M1682" i="43"/>
  <c r="M1690" i="43"/>
  <c r="M2731" i="43"/>
  <c r="M2735" i="43"/>
  <c r="M2739" i="43"/>
  <c r="M2743" i="43"/>
  <c r="M2747" i="43"/>
  <c r="M2751" i="43"/>
  <c r="M2755" i="43"/>
  <c r="M2760" i="43"/>
  <c r="M2764" i="43"/>
  <c r="M2768" i="43"/>
  <c r="M2772" i="43"/>
  <c r="M2776" i="43"/>
  <c r="M2780" i="43"/>
  <c r="M2784" i="43"/>
  <c r="M2788" i="43"/>
  <c r="M2792" i="43"/>
  <c r="M2796" i="43"/>
  <c r="M2800" i="43"/>
  <c r="M2804" i="43"/>
  <c r="M2808" i="43"/>
  <c r="M2812" i="43"/>
  <c r="M2816" i="43"/>
  <c r="M2820" i="43"/>
  <c r="M60" i="43"/>
  <c r="M2971" i="43"/>
  <c r="M2987" i="43"/>
  <c r="M88" i="43"/>
  <c r="M104" i="43"/>
  <c r="M120" i="43"/>
  <c r="M136" i="43"/>
  <c r="M152" i="43"/>
  <c r="M2611" i="43"/>
  <c r="M2627" i="43"/>
  <c r="M1095" i="43"/>
  <c r="M1111" i="43"/>
  <c r="M1127" i="43"/>
  <c r="M1143" i="43"/>
  <c r="M1159" i="43"/>
  <c r="M176" i="43"/>
  <c r="M192" i="43"/>
  <c r="M208" i="43"/>
  <c r="M224" i="43"/>
  <c r="M240" i="43"/>
  <c r="M256" i="43"/>
  <c r="M2471" i="43"/>
  <c r="M2487" i="43"/>
  <c r="M2503" i="43"/>
  <c r="M2519" i="43"/>
  <c r="M2535" i="43"/>
  <c r="M2870" i="43"/>
  <c r="M2886" i="43"/>
  <c r="M2902" i="43"/>
  <c r="M2918" i="43"/>
  <c r="M1173" i="43"/>
  <c r="M1189" i="43"/>
  <c r="M1205" i="43"/>
  <c r="M1221" i="43"/>
  <c r="M1237" i="43"/>
  <c r="M1253" i="43"/>
  <c r="M1269" i="43"/>
  <c r="M1285" i="43"/>
  <c r="M3060" i="43"/>
  <c r="M3076" i="43"/>
  <c r="M3092" i="43"/>
  <c r="M278" i="43"/>
  <c r="M294" i="43"/>
  <c r="M310" i="43"/>
  <c r="M327" i="43"/>
  <c r="M343" i="43"/>
  <c r="M2927" i="43"/>
  <c r="M2943" i="43"/>
  <c r="M2959" i="43"/>
  <c r="M3134" i="43"/>
  <c r="M3150" i="43"/>
  <c r="M3166" i="43"/>
  <c r="M3203" i="43"/>
  <c r="M506" i="43"/>
  <c r="M538" i="43"/>
  <c r="M360" i="43"/>
  <c r="M376" i="43"/>
  <c r="M392" i="43"/>
  <c r="M408" i="43"/>
  <c r="M424" i="43"/>
  <c r="M440" i="43"/>
  <c r="M456" i="43"/>
  <c r="M473" i="43"/>
  <c r="M489" i="43"/>
  <c r="M517" i="43"/>
  <c r="M537" i="43"/>
  <c r="M553" i="43"/>
  <c r="M3011" i="43"/>
  <c r="M3019" i="43"/>
  <c r="M3027" i="43"/>
  <c r="M3035" i="43"/>
  <c r="M3043" i="43"/>
  <c r="M3104" i="43"/>
  <c r="M3112" i="43"/>
  <c r="M3120" i="43"/>
  <c r="M3125" i="43"/>
  <c r="M3129" i="43"/>
  <c r="M3183" i="43"/>
  <c r="M3212" i="43"/>
  <c r="M3216" i="43"/>
  <c r="M3229" i="43"/>
  <c r="M1408" i="43"/>
  <c r="M1437" i="43"/>
  <c r="M1445" i="43"/>
  <c r="M1453" i="43"/>
  <c r="M1287" i="43"/>
  <c r="M1291" i="43"/>
  <c r="M1295" i="43"/>
  <c r="M1299" i="43"/>
  <c r="M1303" i="43"/>
  <c r="M1307" i="43"/>
  <c r="M1311" i="43"/>
  <c r="M1315" i="43"/>
  <c r="M1319" i="43"/>
  <c r="M1323" i="43"/>
  <c r="M1327" i="43"/>
  <c r="M1331" i="43"/>
  <c r="M1335" i="43"/>
  <c r="M1339" i="43"/>
  <c r="M1343" i="43"/>
  <c r="M1347" i="43"/>
  <c r="M1351" i="43"/>
  <c r="M1355" i="43"/>
  <c r="M1359" i="43"/>
  <c r="M1363" i="43"/>
  <c r="M1367" i="43"/>
  <c r="M1371" i="43"/>
  <c r="M1375" i="43"/>
  <c r="M1379" i="43"/>
  <c r="M1383" i="43"/>
  <c r="M1387" i="43"/>
  <c r="M1391" i="43"/>
  <c r="M1395" i="43"/>
  <c r="M1399" i="43"/>
  <c r="M1403" i="43"/>
  <c r="M1407" i="43"/>
  <c r="M1412" i="43"/>
  <c r="M1416" i="43"/>
  <c r="M1420" i="43"/>
  <c r="M1424" i="43"/>
  <c r="M1428" i="43"/>
  <c r="M1434" i="43"/>
  <c r="M1442" i="43"/>
  <c r="M1450" i="43"/>
  <c r="M1458" i="43"/>
  <c r="M1462" i="43"/>
  <c r="M1466" i="43"/>
  <c r="M1470" i="43"/>
  <c r="M1474" i="43"/>
  <c r="M1478" i="43"/>
  <c r="M1482" i="43"/>
  <c r="M1486" i="43"/>
  <c r="M1490" i="43"/>
  <c r="M1494" i="43"/>
  <c r="M1498" i="43"/>
  <c r="M1502" i="43"/>
  <c r="M1506" i="43"/>
  <c r="M1510" i="43"/>
  <c r="M1514" i="43"/>
  <c r="M1518" i="43"/>
  <c r="M1522" i="43"/>
  <c r="M1526" i="43"/>
  <c r="M1530" i="43"/>
  <c r="M1534" i="43"/>
  <c r="M1538" i="43"/>
  <c r="M1542" i="43"/>
  <c r="M1546" i="43"/>
  <c r="M1550" i="43"/>
  <c r="M1554" i="43"/>
  <c r="M1558" i="43"/>
  <c r="M1562" i="43"/>
  <c r="M1566" i="43"/>
  <c r="M1570" i="43"/>
  <c r="M1574" i="43"/>
  <c r="M1578" i="43"/>
  <c r="M1582" i="43"/>
  <c r="M1586" i="43"/>
  <c r="M1590" i="43"/>
  <c r="M1594" i="43"/>
  <c r="M1598" i="43"/>
  <c r="M1602" i="43"/>
  <c r="M1606" i="43"/>
  <c r="M1610" i="43"/>
  <c r="M1614" i="43"/>
  <c r="M1618" i="43"/>
  <c r="M1622" i="43"/>
  <c r="M1626" i="43"/>
  <c r="M3187" i="43"/>
  <c r="M3191" i="43"/>
  <c r="M606" i="43"/>
  <c r="M614" i="43"/>
  <c r="M622" i="43"/>
  <c r="M630" i="43"/>
  <c r="M638" i="43"/>
  <c r="M646" i="43"/>
  <c r="M654" i="43"/>
  <c r="M662" i="43"/>
  <c r="M670" i="43"/>
  <c r="M678" i="43"/>
  <c r="M686" i="43"/>
  <c r="M693" i="43"/>
  <c r="M787" i="43"/>
  <c r="M794" i="43"/>
  <c r="M802" i="43"/>
  <c r="M817" i="43"/>
  <c r="M560" i="43"/>
  <c r="M564" i="43"/>
  <c r="M568" i="43"/>
  <c r="M572" i="43"/>
  <c r="M576" i="43"/>
  <c r="M580" i="43"/>
  <c r="M584" i="43"/>
  <c r="M588" i="43"/>
  <c r="M592" i="43"/>
  <c r="M596" i="43"/>
  <c r="M600" i="43"/>
  <c r="M605" i="43"/>
  <c r="M613" i="43"/>
  <c r="M621" i="43"/>
  <c r="M629" i="43"/>
  <c r="M637" i="43"/>
  <c r="M645" i="43"/>
  <c r="M653" i="43"/>
  <c r="M661" i="43"/>
  <c r="M669" i="43"/>
  <c r="M677" i="43"/>
  <c r="M685" i="43"/>
  <c r="M694" i="43"/>
  <c r="M701" i="43"/>
  <c r="M795" i="43"/>
  <c r="M803" i="43"/>
  <c r="M807" i="43"/>
  <c r="M812" i="43"/>
  <c r="M2540" i="43"/>
  <c r="M2544" i="43"/>
  <c r="M2548" i="43"/>
  <c r="M2552" i="43"/>
  <c r="M2556" i="43"/>
  <c r="M2560" i="43"/>
  <c r="M2564" i="43"/>
  <c r="M2568" i="43"/>
  <c r="M2572" i="43"/>
  <c r="M2576" i="43"/>
  <c r="M2580" i="43"/>
  <c r="M2584" i="43"/>
  <c r="M2588" i="43"/>
  <c r="M2592" i="43"/>
  <c r="M2596" i="43"/>
  <c r="M2600" i="43"/>
  <c r="M2604" i="43"/>
  <c r="M2641" i="43"/>
  <c r="M2645" i="43"/>
  <c r="M2649" i="43"/>
  <c r="M2653" i="43"/>
  <c r="M2657" i="43"/>
  <c r="M2661" i="43"/>
  <c r="M2665" i="43"/>
  <c r="M2669" i="43"/>
  <c r="M2673" i="43"/>
  <c r="M2677" i="43"/>
  <c r="M2681" i="43"/>
  <c r="M2685" i="43"/>
  <c r="M2689" i="43"/>
  <c r="M2693" i="43"/>
  <c r="M2697" i="43"/>
  <c r="M2701" i="43"/>
  <c r="M2705" i="43"/>
  <c r="M2709" i="43"/>
  <c r="M2713" i="43"/>
  <c r="M2717" i="43"/>
  <c r="M2721" i="43"/>
  <c r="M2725" i="43"/>
  <c r="M3209" i="43"/>
  <c r="M3225" i="43"/>
  <c r="M907" i="43"/>
  <c r="M915" i="43"/>
  <c r="M923" i="43"/>
  <c r="M931" i="43"/>
  <c r="M939" i="43"/>
  <c r="M947" i="43"/>
  <c r="M955" i="43"/>
  <c r="M963" i="43"/>
  <c r="M971" i="43"/>
  <c r="M979" i="43"/>
  <c r="M987" i="43"/>
  <c r="M995" i="43"/>
  <c r="M1002" i="43"/>
  <c r="M1010" i="43"/>
  <c r="M1634" i="43"/>
  <c r="M1642" i="43"/>
  <c r="M1650" i="43"/>
  <c r="M1658" i="43"/>
  <c r="M1666" i="43"/>
  <c r="M1674" i="43"/>
  <c r="M1681" i="43"/>
  <c r="M1689" i="43"/>
  <c r="M819" i="43"/>
  <c r="M823" i="43"/>
  <c r="M827" i="43"/>
  <c r="M831" i="43"/>
  <c r="M835" i="43"/>
  <c r="M839" i="43"/>
  <c r="M843" i="43"/>
  <c r="M847" i="43"/>
  <c r="M851" i="43"/>
  <c r="M855" i="43"/>
  <c r="M859" i="43"/>
  <c r="M863" i="43"/>
  <c r="M868" i="43"/>
  <c r="M872" i="43"/>
  <c r="M876" i="43"/>
  <c r="M880" i="43"/>
  <c r="M884" i="43"/>
  <c r="M888" i="43"/>
  <c r="M892" i="43"/>
  <c r="M896" i="43"/>
  <c r="M900" i="43"/>
  <c r="M904" i="43"/>
  <c r="M912" i="43"/>
  <c r="M920" i="43"/>
  <c r="M928" i="43"/>
  <c r="M936" i="43"/>
  <c r="M944" i="43"/>
  <c r="M952" i="43"/>
  <c r="M960" i="43"/>
  <c r="M968" i="43"/>
  <c r="M976" i="43"/>
  <c r="M984" i="43"/>
  <c r="M992" i="43"/>
  <c r="M1001" i="43"/>
  <c r="M1009" i="43"/>
  <c r="M1635" i="43"/>
  <c r="M1643" i="43"/>
  <c r="M1651" i="43"/>
  <c r="M1659" i="43"/>
  <c r="M1667" i="43"/>
  <c r="M1675" i="43"/>
  <c r="M1684" i="43"/>
  <c r="M1692" i="43"/>
  <c r="M2732" i="43"/>
  <c r="M2736" i="43"/>
  <c r="M2740" i="43"/>
  <c r="M2744" i="43"/>
  <c r="M2748" i="43"/>
  <c r="M2752" i="43"/>
  <c r="M2756" i="43"/>
  <c r="M2761" i="43"/>
  <c r="M2765" i="43"/>
  <c r="M2769" i="43"/>
  <c r="M2773" i="43"/>
  <c r="M2777" i="43"/>
  <c r="M2781" i="43"/>
  <c r="M2785" i="43"/>
  <c r="M2789" i="43"/>
  <c r="M2793" i="43"/>
  <c r="M2797" i="43"/>
  <c r="M2801" i="43"/>
  <c r="M2805" i="43"/>
  <c r="M2809" i="43"/>
  <c r="M2813" i="43"/>
  <c r="M2817" i="43"/>
  <c r="M64" i="43"/>
  <c r="M2975" i="43"/>
  <c r="M2992" i="43"/>
  <c r="M92" i="43"/>
  <c r="M108" i="43"/>
  <c r="M124" i="43"/>
  <c r="M140" i="43"/>
  <c r="M156" i="43"/>
  <c r="M2615" i="43"/>
  <c r="M2631" i="43"/>
  <c r="M1099" i="43"/>
  <c r="M1115" i="43"/>
  <c r="M1131" i="43"/>
  <c r="M1147" i="43"/>
  <c r="M164" i="43"/>
  <c r="M180" i="43"/>
  <c r="M196" i="43"/>
  <c r="M212" i="43"/>
  <c r="M228" i="43"/>
  <c r="M244" i="43"/>
  <c r="M260" i="43"/>
  <c r="M2475" i="43"/>
  <c r="M2491" i="43"/>
  <c r="M2507" i="43"/>
  <c r="M2523" i="43"/>
  <c r="M2858" i="43"/>
  <c r="M2874" i="43"/>
  <c r="M2890" i="43"/>
  <c r="M2906" i="43"/>
  <c r="M1161" i="43"/>
  <c r="M1177" i="43"/>
  <c r="M1193" i="43"/>
  <c r="M1209" i="43"/>
  <c r="M1225" i="43"/>
  <c r="M1241" i="43"/>
  <c r="M1257" i="43"/>
  <c r="M1273" i="43"/>
  <c r="M3048" i="43"/>
  <c r="M3064" i="43"/>
  <c r="M3080" i="43"/>
  <c r="M3096" i="43"/>
  <c r="M282" i="43"/>
  <c r="M298" i="43"/>
  <c r="M315" i="43"/>
  <c r="M331" i="43"/>
  <c r="M347" i="43"/>
  <c r="M2931" i="43"/>
  <c r="M2947" i="43"/>
  <c r="M2963" i="43"/>
  <c r="M3138" i="43"/>
  <c r="M3154" i="43"/>
  <c r="M3171" i="43"/>
  <c r="M3207" i="43"/>
  <c r="M514" i="43"/>
  <c r="M546" i="43"/>
  <c r="M364" i="43"/>
  <c r="M380" i="43"/>
  <c r="M396" i="43"/>
  <c r="M412" i="43"/>
  <c r="M428" i="43"/>
  <c r="M444" i="43"/>
  <c r="M461" i="43"/>
  <c r="M477" i="43"/>
  <c r="M493" i="43"/>
  <c r="M525" i="43"/>
  <c r="M541" i="43"/>
  <c r="M3005" i="43"/>
  <c r="M3013" i="43"/>
  <c r="M3021" i="43"/>
  <c r="M3029" i="43"/>
  <c r="M3037" i="43"/>
  <c r="M3098" i="43"/>
  <c r="M3106" i="43"/>
  <c r="M3114" i="43"/>
  <c r="M3122" i="43"/>
  <c r="M3126" i="43"/>
  <c r="M3180" i="43"/>
  <c r="M3184" i="43"/>
  <c r="M3213" i="43"/>
  <c r="M3217" i="43"/>
  <c r="M3230" i="43"/>
  <c r="M1430" i="43"/>
  <c r="M1439" i="43"/>
  <c r="M1447" i="43"/>
  <c r="M1455" i="43"/>
  <c r="M1288" i="43"/>
  <c r="M1292" i="43"/>
  <c r="M1296" i="43"/>
  <c r="M1300" i="43"/>
  <c r="M1304" i="43"/>
  <c r="M1308" i="43"/>
  <c r="M1312" i="43"/>
  <c r="M1316" i="43"/>
  <c r="M1320" i="43"/>
  <c r="M1324" i="43"/>
  <c r="M1328" i="43"/>
  <c r="M1332" i="43"/>
  <c r="M1336" i="43"/>
  <c r="M1340" i="43"/>
  <c r="M1344" i="43"/>
  <c r="M1348" i="43"/>
  <c r="M1352" i="43"/>
  <c r="M1356" i="43"/>
  <c r="M1360" i="43"/>
  <c r="M1364" i="43"/>
  <c r="M1368" i="43"/>
  <c r="M1372" i="43"/>
  <c r="M1376" i="43"/>
  <c r="M1380" i="43"/>
  <c r="M1384" i="43"/>
  <c r="M1388" i="43"/>
  <c r="M1392" i="43"/>
  <c r="M1396" i="43"/>
  <c r="M1400" i="43"/>
  <c r="M1404" i="43"/>
  <c r="M1409" i="43"/>
  <c r="M1413" i="43"/>
  <c r="M1417" i="43"/>
  <c r="M1421" i="43"/>
  <c r="M1425" i="43"/>
  <c r="M1429" i="43"/>
  <c r="M1436" i="43"/>
  <c r="M1444" i="43"/>
  <c r="M1452" i="43"/>
  <c r="M1459" i="43"/>
  <c r="M1463" i="43"/>
  <c r="M1467" i="43"/>
  <c r="M1471" i="43"/>
  <c r="M1475" i="43"/>
  <c r="M1479" i="43"/>
  <c r="M1483" i="43"/>
  <c r="M1487" i="43"/>
  <c r="M1491" i="43"/>
  <c r="M1495" i="43"/>
  <c r="M1499" i="43"/>
  <c r="M1503" i="43"/>
  <c r="M1507" i="43"/>
  <c r="M1511" i="43"/>
  <c r="M1515" i="43"/>
  <c r="M1519" i="43"/>
  <c r="M1523" i="43"/>
  <c r="M1527" i="43"/>
  <c r="M1531" i="43"/>
  <c r="M1535" i="43"/>
  <c r="M1539" i="43"/>
  <c r="M1543" i="43"/>
  <c r="M1547" i="43"/>
  <c r="M1551" i="43"/>
  <c r="M1555" i="43"/>
  <c r="M1559" i="43"/>
  <c r="M1563" i="43"/>
  <c r="M1567" i="43"/>
  <c r="M1571" i="43"/>
  <c r="M1575" i="43"/>
  <c r="M1579" i="43"/>
  <c r="M1583" i="43"/>
  <c r="M1587" i="43"/>
  <c r="M1591" i="43"/>
  <c r="M1595" i="43"/>
  <c r="M1599" i="43"/>
  <c r="M1603" i="43"/>
  <c r="M1607" i="43"/>
  <c r="M1611" i="43"/>
  <c r="M1615" i="43"/>
  <c r="M1619" i="43"/>
  <c r="M1623" i="43"/>
  <c r="M1627" i="43"/>
  <c r="M3188" i="43"/>
  <c r="M3192" i="43"/>
  <c r="M608" i="43"/>
  <c r="M616" i="43"/>
  <c r="M624" i="43"/>
  <c r="M632" i="43"/>
  <c r="M640" i="43"/>
  <c r="M648" i="43"/>
  <c r="M656" i="43"/>
  <c r="M664" i="43"/>
  <c r="M672" i="43"/>
  <c r="M680" i="43"/>
  <c r="M688" i="43"/>
  <c r="M695" i="43"/>
  <c r="M789" i="43"/>
  <c r="M796" i="43"/>
  <c r="M810" i="43"/>
  <c r="M557" i="43"/>
  <c r="M561" i="43"/>
  <c r="M565" i="43"/>
  <c r="M569" i="43"/>
  <c r="M573" i="43"/>
  <c r="M577" i="43"/>
  <c r="M581" i="43"/>
  <c r="M585" i="43"/>
  <c r="M589" i="43"/>
  <c r="M593" i="43"/>
  <c r="M597" i="43"/>
  <c r="M601" i="43"/>
  <c r="M607" i="43"/>
  <c r="M615" i="43"/>
  <c r="M623" i="43"/>
  <c r="M631" i="43"/>
  <c r="M639" i="43"/>
  <c r="M647" i="43"/>
  <c r="M655" i="43"/>
  <c r="M663" i="43"/>
  <c r="M671" i="43"/>
  <c r="M679" i="43"/>
  <c r="M687" i="43"/>
  <c r="M696" i="43"/>
  <c r="M788" i="43"/>
  <c r="M797" i="43"/>
  <c r="M804" i="43"/>
  <c r="M808" i="43"/>
  <c r="M814" i="43"/>
  <c r="M2541" i="43"/>
  <c r="M2545" i="43"/>
  <c r="M2549" i="43"/>
  <c r="M2553" i="43"/>
  <c r="M2557" i="43"/>
  <c r="M2561" i="43"/>
  <c r="M2565" i="43"/>
  <c r="M2569" i="43"/>
  <c r="M2573" i="43"/>
  <c r="M2577" i="43"/>
  <c r="M2581" i="43"/>
  <c r="M2585" i="43"/>
  <c r="M2589" i="43"/>
  <c r="M2593" i="43"/>
  <c r="M2597" i="43"/>
  <c r="M2601" i="43"/>
  <c r="M2638" i="43"/>
  <c r="M2642" i="43"/>
  <c r="M2646" i="43"/>
  <c r="M2650" i="43"/>
  <c r="M2654" i="43"/>
  <c r="M2658" i="43"/>
  <c r="M2662" i="43"/>
  <c r="M2666" i="43"/>
  <c r="M2670" i="43"/>
  <c r="M2674" i="43"/>
  <c r="M2678" i="43"/>
  <c r="M2682" i="43"/>
  <c r="M2686" i="43"/>
  <c r="M2690" i="43"/>
  <c r="M2694" i="43"/>
  <c r="M2698" i="43"/>
  <c r="M2702" i="43"/>
  <c r="M2706" i="43"/>
  <c r="M2710" i="43"/>
  <c r="M2714" i="43"/>
  <c r="M2718" i="43"/>
  <c r="M2722" i="43"/>
  <c r="M2726" i="43"/>
  <c r="M3222" i="43"/>
  <c r="M3226" i="43"/>
  <c r="M909" i="43"/>
  <c r="M917" i="43"/>
  <c r="M925" i="43"/>
  <c r="M933" i="43"/>
  <c r="M941" i="43"/>
  <c r="M949" i="43"/>
  <c r="M957" i="43"/>
  <c r="M965" i="43"/>
  <c r="M973" i="43"/>
  <c r="M981" i="43"/>
  <c r="M989" i="43"/>
  <c r="M997" i="43"/>
  <c r="M1004" i="43"/>
  <c r="M1628" i="43"/>
  <c r="M1636" i="43"/>
  <c r="M1644" i="43"/>
  <c r="M1652" i="43"/>
  <c r="M1660" i="43"/>
  <c r="M1668" i="43"/>
  <c r="M1676" i="43"/>
  <c r="M1683" i="43"/>
  <c r="M1691" i="43"/>
  <c r="M820" i="43"/>
  <c r="M824" i="43"/>
  <c r="M828" i="43"/>
  <c r="M832" i="43"/>
  <c r="M836" i="43"/>
  <c r="M840" i="43"/>
  <c r="M844" i="43"/>
  <c r="M848" i="43"/>
  <c r="M852" i="43"/>
  <c r="M856" i="43"/>
  <c r="M860" i="43"/>
  <c r="M864" i="43"/>
  <c r="M869" i="43"/>
  <c r="M873" i="43"/>
  <c r="M877" i="43"/>
  <c r="M881" i="43"/>
  <c r="M885" i="43"/>
  <c r="M889" i="43"/>
  <c r="M893" i="43"/>
  <c r="M897" i="43"/>
  <c r="M901" i="43"/>
  <c r="M906" i="43"/>
  <c r="M914" i="43"/>
  <c r="M922" i="43"/>
  <c r="M930" i="43"/>
  <c r="M938" i="43"/>
  <c r="M946" i="43"/>
  <c r="M954" i="43"/>
  <c r="M962" i="43"/>
  <c r="M970" i="43"/>
  <c r="M978" i="43"/>
  <c r="M986" i="43"/>
  <c r="M994" i="43"/>
  <c r="M1003" i="43"/>
  <c r="M1629" i="43"/>
  <c r="M1637" i="43"/>
  <c r="M1645" i="43"/>
  <c r="M1653" i="43"/>
  <c r="M1661" i="43"/>
  <c r="M1669" i="43"/>
  <c r="M1678" i="43"/>
  <c r="M1686" i="43"/>
  <c r="M2729" i="43"/>
  <c r="M2733" i="43"/>
  <c r="M2737" i="43"/>
  <c r="M2741" i="43"/>
  <c r="M2745" i="43"/>
  <c r="M2749" i="43"/>
  <c r="M2753" i="43"/>
  <c r="M2757" i="43"/>
  <c r="M2762" i="43"/>
  <c r="M2766" i="43"/>
  <c r="M2770" i="43"/>
  <c r="M2774" i="43"/>
  <c r="M2778" i="43"/>
  <c r="M2782" i="43"/>
  <c r="M2786" i="43"/>
  <c r="M2790" i="43"/>
  <c r="M2794" i="43"/>
  <c r="M2798" i="43"/>
  <c r="M2802" i="43"/>
  <c r="M2806" i="43"/>
  <c r="M2810" i="43"/>
  <c r="M2814" i="43"/>
  <c r="M2818" i="43"/>
  <c r="M2398" i="43"/>
  <c r="M2337" i="43"/>
  <c r="M2289" i="43"/>
  <c r="M2412" i="43"/>
  <c r="M2354" i="43"/>
  <c r="M2306" i="43"/>
  <c r="M2260" i="43"/>
  <c r="M2240" i="43"/>
  <c r="M2224" i="43"/>
  <c r="M2208" i="43"/>
  <c r="M2424" i="43"/>
  <c r="M2363" i="43"/>
  <c r="M2314" i="43"/>
  <c r="M2254" i="43"/>
  <c r="M2135" i="43"/>
  <c r="M2055" i="43"/>
  <c r="M2004" i="43"/>
  <c r="M1955" i="43"/>
  <c r="M1905" i="43"/>
  <c r="M1855" i="43"/>
  <c r="M1806" i="43"/>
  <c r="M1756" i="43"/>
  <c r="M1720" i="43"/>
  <c r="M1698" i="43"/>
  <c r="M2132" i="43"/>
  <c r="M2070" i="43"/>
  <c r="M2020" i="43"/>
  <c r="M1972" i="43"/>
  <c r="M1925" i="43"/>
  <c r="M1878" i="43"/>
  <c r="M1807" i="43"/>
  <c r="M1761" i="43"/>
  <c r="M3173" i="43"/>
  <c r="M2125" i="43"/>
  <c r="M2051" i="43"/>
  <c r="M1991" i="43"/>
  <c r="M1956" i="43"/>
  <c r="M1944" i="43"/>
  <c r="M1932" i="43"/>
  <c r="M1909" i="43"/>
  <c r="M1873" i="43"/>
  <c r="M1862" i="43"/>
  <c r="M1850" i="43"/>
  <c r="M1838" i="43"/>
  <c r="M1826" i="43"/>
  <c r="M1814" i="43"/>
  <c r="M1802" i="43"/>
  <c r="M1790" i="43"/>
  <c r="M1779" i="43"/>
  <c r="M1766" i="43"/>
  <c r="M1754" i="43"/>
  <c r="M1742" i="43"/>
  <c r="M1731" i="43"/>
  <c r="M3177" i="43"/>
  <c r="M2185" i="43"/>
  <c r="M2169" i="43"/>
  <c r="M2153" i="43"/>
  <c r="M2137" i="43"/>
  <c r="M2122" i="43"/>
  <c r="M2106" i="43"/>
  <c r="M2090" i="43"/>
  <c r="M2073" i="43"/>
  <c r="M3004" i="43"/>
  <c r="M3000" i="43"/>
  <c r="M2856" i="43"/>
  <c r="M2852" i="43"/>
  <c r="M2848" i="43"/>
  <c r="M2844" i="43"/>
  <c r="M2840" i="43"/>
  <c r="M2836" i="43"/>
  <c r="M2832" i="43"/>
  <c r="M2828" i="43"/>
  <c r="M2824" i="43"/>
  <c r="M2815" i="43"/>
  <c r="M2799" i="43"/>
  <c r="M2783" i="43"/>
  <c r="M2767" i="43"/>
  <c r="M2750" i="43"/>
  <c r="M2734" i="43"/>
  <c r="M1671" i="43"/>
  <c r="M1639" i="43"/>
  <c r="M988" i="43"/>
  <c r="M956" i="43"/>
  <c r="M924" i="43"/>
  <c r="M898" i="43"/>
  <c r="M882" i="43"/>
  <c r="M865" i="43"/>
  <c r="M849" i="43"/>
  <c r="M833" i="43"/>
  <c r="M1693" i="43"/>
  <c r="M1662" i="43"/>
  <c r="M1630" i="43"/>
  <c r="M983" i="43"/>
  <c r="M951" i="43"/>
  <c r="M919" i="43"/>
  <c r="M2727" i="43"/>
  <c r="M2711" i="43"/>
  <c r="M2695" i="43"/>
  <c r="M2679" i="43"/>
  <c r="M2663" i="43"/>
  <c r="M2647" i="43"/>
  <c r="M2598" i="43"/>
  <c r="M2582" i="43"/>
  <c r="M2566" i="43"/>
  <c r="M2550" i="43"/>
  <c r="M809" i="43"/>
  <c r="M697" i="43"/>
  <c r="M665" i="43"/>
  <c r="M633" i="43"/>
  <c r="M602" i="43"/>
  <c r="M586" i="43"/>
  <c r="M570" i="43"/>
  <c r="M813" i="43"/>
  <c r="M690" i="43"/>
  <c r="M658" i="43"/>
  <c r="M626" i="43"/>
  <c r="M3189" i="43"/>
  <c r="M1616" i="43"/>
  <c r="M1600" i="43"/>
  <c r="M1584" i="43"/>
  <c r="M1568" i="43"/>
  <c r="M1552" i="43"/>
  <c r="M1536" i="43"/>
  <c r="M1520" i="43"/>
  <c r="M1504" i="43"/>
  <c r="M1488" i="43"/>
  <c r="M1472" i="43"/>
  <c r="M1454" i="43"/>
  <c r="M1426" i="43"/>
  <c r="M1410" i="43"/>
  <c r="M1393" i="43"/>
  <c r="M1377" i="43"/>
  <c r="M1361" i="43"/>
  <c r="M1345" i="43"/>
  <c r="M1329" i="43"/>
  <c r="M1313" i="43"/>
  <c r="M1297" i="43"/>
  <c r="M1449" i="43"/>
  <c r="M3227" i="43"/>
  <c r="M3127" i="43"/>
  <c r="M3100" i="43"/>
  <c r="M3015" i="43"/>
  <c r="M501" i="43"/>
  <c r="M432" i="43"/>
  <c r="M368" i="43"/>
  <c r="M3195" i="43"/>
  <c r="M2951" i="43"/>
  <c r="M319" i="43"/>
  <c r="M3084" i="43"/>
  <c r="M1261" i="43"/>
  <c r="M1197" i="43"/>
  <c r="M2894" i="43"/>
  <c r="M2511" i="43"/>
  <c r="M248" i="43"/>
  <c r="M184" i="43"/>
  <c r="M1119" i="43"/>
  <c r="M160" i="43"/>
  <c r="M96" i="43"/>
  <c r="M2435" i="43"/>
  <c r="M2386" i="43"/>
  <c r="M2349" i="43"/>
  <c r="M2301" i="43"/>
  <c r="M2256" i="43"/>
  <c r="M2388" i="43"/>
  <c r="M2342" i="43"/>
  <c r="M2294" i="43"/>
  <c r="M2255" i="43"/>
  <c r="M2232" i="43"/>
  <c r="M2216" i="43"/>
  <c r="M2204" i="43"/>
  <c r="M2192" i="43"/>
  <c r="M2387" i="43"/>
  <c r="M2338" i="43"/>
  <c r="M2290" i="43"/>
  <c r="M2167" i="43"/>
  <c r="M2100" i="43"/>
  <c r="M2043" i="43"/>
  <c r="M1992" i="43"/>
  <c r="M1942" i="43"/>
  <c r="M1893" i="43"/>
  <c r="M1843" i="43"/>
  <c r="M1794" i="43"/>
  <c r="M1744" i="43"/>
  <c r="M1712" i="43"/>
  <c r="M1694" i="43"/>
  <c r="M2148" i="43"/>
  <c r="M2086" i="43"/>
  <c r="M2032" i="43"/>
  <c r="M1984" i="43"/>
  <c r="M1937" i="43"/>
  <c r="M1889" i="43"/>
  <c r="M1842" i="43"/>
  <c r="M1795" i="43"/>
  <c r="M1749" i="43"/>
  <c r="M2190" i="43"/>
  <c r="M2142" i="43"/>
  <c r="M2079" i="43"/>
  <c r="M2015" i="43"/>
  <c r="M1980" i="43"/>
  <c r="M1897" i="43"/>
  <c r="M2407" i="43"/>
  <c r="M2371" i="43"/>
  <c r="M2334" i="43"/>
  <c r="M2298" i="43"/>
  <c r="M2270" i="43"/>
  <c r="M2409" i="43"/>
  <c r="M2373" i="43"/>
  <c r="M2339" i="43"/>
  <c r="M2303" i="43"/>
  <c r="M2291" i="43"/>
  <c r="M2268" i="43"/>
  <c r="M2263" i="43"/>
  <c r="M2259" i="43"/>
  <c r="M2252" i="43"/>
  <c r="M2247" i="43"/>
  <c r="M2243" i="43"/>
  <c r="M2239" i="43"/>
  <c r="M2235" i="43"/>
  <c r="M2231" i="43"/>
  <c r="M2227" i="43"/>
  <c r="M2223" i="43"/>
  <c r="M2219" i="43"/>
  <c r="M2215" i="43"/>
  <c r="M2211" i="43"/>
  <c r="M2207" i="43"/>
  <c r="M2203" i="43"/>
  <c r="M2199" i="43"/>
  <c r="M2195" i="43"/>
  <c r="M2433" i="43"/>
  <c r="M2420" i="43"/>
  <c r="M2408" i="43"/>
  <c r="M2396" i="43"/>
  <c r="M2384" i="43"/>
  <c r="M2372" i="43"/>
  <c r="M2360" i="43"/>
  <c r="M2347" i="43"/>
  <c r="M2335" i="43"/>
  <c r="M2323" i="43"/>
  <c r="M2311" i="43"/>
  <c r="M2299" i="43"/>
  <c r="M2287" i="43"/>
  <c r="M2278" i="43"/>
  <c r="M2253" i="43"/>
  <c r="M2180" i="43"/>
  <c r="M2163" i="43"/>
  <c r="M2147" i="43"/>
  <c r="M2131" i="43"/>
  <c r="M2113" i="43"/>
  <c r="M2096" i="43"/>
  <c r="M2080" i="43"/>
  <c r="M2064" i="43"/>
  <c r="M2052" i="43"/>
  <c r="M2039" i="43"/>
  <c r="M2026" i="43"/>
  <c r="M2013" i="43"/>
  <c r="M2001" i="43"/>
  <c r="M1989" i="43"/>
  <c r="M1976" i="43"/>
  <c r="M1964" i="43"/>
  <c r="M1952" i="43"/>
  <c r="M1939" i="43"/>
  <c r="M1927" i="43"/>
  <c r="M1914" i="43"/>
  <c r="M1902" i="43"/>
  <c r="M1890" i="43"/>
  <c r="M1877" i="43"/>
  <c r="M1865" i="43"/>
  <c r="M1853" i="43"/>
  <c r="M1840" i="43"/>
  <c r="M1828" i="43"/>
  <c r="M1815" i="43"/>
  <c r="M1803" i="43"/>
  <c r="M1791" i="43"/>
  <c r="M1777" i="43"/>
  <c r="M1765" i="43"/>
  <c r="M1753" i="43"/>
  <c r="M1741" i="43"/>
  <c r="M1729" i="43"/>
  <c r="M1723" i="43"/>
  <c r="M1719" i="43"/>
  <c r="M1715" i="43"/>
  <c r="M1711" i="43"/>
  <c r="M1705" i="43"/>
  <c r="M1701" i="43"/>
  <c r="M1697" i="43"/>
  <c r="M2191" i="43"/>
  <c r="M2175" i="43"/>
  <c r="M2160" i="43"/>
  <c r="M2144" i="43"/>
  <c r="M2128" i="43"/>
  <c r="M2112" i="43"/>
  <c r="M2097" i="43"/>
  <c r="M2082" i="43"/>
  <c r="M2066" i="43"/>
  <c r="M2053" i="43"/>
  <c r="M2041" i="43"/>
  <c r="M2029" i="43"/>
  <c r="M2017" i="43"/>
  <c r="M2005" i="43"/>
  <c r="M1993" i="43"/>
  <c r="M1981" i="43"/>
  <c r="M1969" i="43"/>
  <c r="M1957" i="43"/>
  <c r="M1946" i="43"/>
  <c r="M1934" i="43"/>
  <c r="M1922" i="43"/>
  <c r="M1910" i="43"/>
  <c r="M1898" i="43"/>
  <c r="M1887" i="43"/>
  <c r="M1875" i="43"/>
  <c r="M1863" i="43"/>
  <c r="M1851" i="43"/>
  <c r="M1839" i="43"/>
  <c r="M1827" i="43"/>
  <c r="M1816" i="43"/>
  <c r="M1804" i="43"/>
  <c r="M1792" i="43"/>
  <c r="M1780" i="43"/>
  <c r="M1769" i="43"/>
  <c r="M1758" i="43"/>
  <c r="M1746" i="43"/>
  <c r="M1734" i="43"/>
  <c r="M3178" i="43"/>
  <c r="M3133" i="43"/>
  <c r="M2186" i="43"/>
  <c r="M2170" i="43"/>
  <c r="M2154" i="43"/>
  <c r="M2138" i="43"/>
  <c r="M2123" i="43"/>
  <c r="M2107" i="43"/>
  <c r="M2091" i="43"/>
  <c r="M2075" i="43"/>
  <c r="M2060" i="43"/>
  <c r="M2049" i="43"/>
  <c r="M2037" i="43"/>
  <c r="M2024" i="43"/>
  <c r="M2012" i="43"/>
  <c r="M2000" i="43"/>
  <c r="M1988" i="43"/>
  <c r="M1977" i="43"/>
  <c r="M1965" i="43"/>
  <c r="M1953" i="43"/>
  <c r="M1941" i="43"/>
  <c r="M1929" i="43"/>
  <c r="M1917" i="43"/>
  <c r="M1906" i="43"/>
  <c r="M1894" i="43"/>
  <c r="M1882" i="43"/>
  <c r="M1870" i="43"/>
  <c r="M1859" i="43"/>
  <c r="M1847" i="43"/>
  <c r="M1835" i="43"/>
  <c r="M1823" i="43"/>
  <c r="M1811" i="43"/>
  <c r="M1799" i="43"/>
  <c r="M1787" i="43"/>
  <c r="M1776" i="43"/>
  <c r="M1763" i="43"/>
  <c r="M1751" i="43"/>
  <c r="M1739" i="43"/>
  <c r="M1728" i="43"/>
  <c r="M3174" i="43"/>
  <c r="M2181" i="43"/>
  <c r="M2165" i="43"/>
  <c r="M2149" i="43"/>
  <c r="M2133" i="43"/>
  <c r="M2118" i="43"/>
  <c r="M2102" i="43"/>
  <c r="M2085" i="43"/>
  <c r="M2069" i="43"/>
  <c r="M3003" i="43"/>
  <c r="M2999" i="43"/>
  <c r="M2855" i="43"/>
  <c r="M2851" i="43"/>
  <c r="M2847" i="43"/>
  <c r="M2843" i="43"/>
  <c r="M2839" i="43"/>
  <c r="M2835" i="43"/>
  <c r="M2831" i="43"/>
  <c r="M2827" i="43"/>
  <c r="M2823" i="43"/>
  <c r="M2811" i="43"/>
  <c r="M2795" i="43"/>
  <c r="M2779" i="43"/>
  <c r="M2763" i="43"/>
  <c r="M2746" i="43"/>
  <c r="M2730" i="43"/>
  <c r="M1663" i="43"/>
  <c r="M1631" i="43"/>
  <c r="M980" i="43"/>
  <c r="M948" i="43"/>
  <c r="M916" i="43"/>
  <c r="M894" i="43"/>
  <c r="M878" i="43"/>
  <c r="M861" i="43"/>
  <c r="M845" i="43"/>
  <c r="M829" i="43"/>
  <c r="M1685" i="43"/>
  <c r="M1654" i="43"/>
  <c r="M1006" i="43"/>
  <c r="M975" i="43"/>
  <c r="M943" i="43"/>
  <c r="M911" i="43"/>
  <c r="M2723" i="43"/>
  <c r="M2707" i="43"/>
  <c r="M2691" i="43"/>
  <c r="M2675" i="43"/>
  <c r="M2659" i="43"/>
  <c r="M2643" i="43"/>
  <c r="M2594" i="43"/>
  <c r="M2578" i="43"/>
  <c r="M2562" i="43"/>
  <c r="M2546" i="43"/>
  <c r="M805" i="43"/>
  <c r="M689" i="43"/>
  <c r="M657" i="43"/>
  <c r="M625" i="43"/>
  <c r="M598" i="43"/>
  <c r="M582" i="43"/>
  <c r="M566" i="43"/>
  <c r="M798" i="43"/>
  <c r="M682" i="43"/>
  <c r="M650" i="43"/>
  <c r="M618" i="43"/>
  <c r="M3185" i="43"/>
  <c r="M1612" i="43"/>
  <c r="M1596" i="43"/>
  <c r="M1580" i="43"/>
  <c r="M1564" i="43"/>
  <c r="M1548" i="43"/>
  <c r="M1532" i="43"/>
  <c r="M1516" i="43"/>
  <c r="M1500" i="43"/>
  <c r="M1484" i="43"/>
  <c r="M1468" i="43"/>
  <c r="M1446" i="43"/>
  <c r="M1422" i="43"/>
  <c r="M1405" i="43"/>
  <c r="M1389" i="43"/>
  <c r="M1373" i="43"/>
  <c r="M1357" i="43"/>
  <c r="M1341" i="43"/>
  <c r="M1325" i="43"/>
  <c r="M1309" i="43"/>
  <c r="M1293" i="43"/>
  <c r="M1441" i="43"/>
  <c r="M3214" i="43"/>
  <c r="M3123" i="43"/>
  <c r="M3039" i="43"/>
  <c r="M3007" i="43"/>
  <c r="M481" i="43"/>
  <c r="M416" i="43"/>
  <c r="M554" i="43"/>
  <c r="M3158" i="43"/>
  <c r="M2935" i="43"/>
  <c r="M302" i="43"/>
  <c r="M3068" i="43"/>
  <c r="M1245" i="43"/>
  <c r="M1181" i="43"/>
  <c r="M2878" i="43"/>
  <c r="M2495" i="43"/>
  <c r="M232" i="43"/>
  <c r="M168" i="43"/>
  <c r="M1103" i="43"/>
  <c r="M144" i="43"/>
  <c r="M80" i="43"/>
  <c r="M2410" i="43"/>
  <c r="M2361" i="43"/>
  <c r="M2313" i="43"/>
  <c r="M2279" i="43"/>
  <c r="M2425" i="43"/>
  <c r="M2376" i="43"/>
  <c r="M2330" i="43"/>
  <c r="M2274" i="43"/>
  <c r="M2248" i="43"/>
  <c r="M2236" i="43"/>
  <c r="M2220" i="43"/>
  <c r="M2200" i="43"/>
  <c r="M2411" i="43"/>
  <c r="M2375" i="43"/>
  <c r="M2326" i="43"/>
  <c r="M2280" i="43"/>
  <c r="M2152" i="43"/>
  <c r="M2084" i="43"/>
  <c r="M2030" i="43"/>
  <c r="M1979" i="43"/>
  <c r="M1930" i="43"/>
  <c r="M1880" i="43"/>
  <c r="M1831" i="43"/>
  <c r="M1782" i="43"/>
  <c r="M1732" i="43"/>
  <c r="M1716" i="43"/>
  <c r="M1702" i="43"/>
  <c r="M2164" i="43"/>
  <c r="M2101" i="43"/>
  <c r="M2044" i="43"/>
  <c r="M1996" i="43"/>
  <c r="M1948" i="43"/>
  <c r="M1901" i="43"/>
  <c r="M1866" i="43"/>
  <c r="M1830" i="43"/>
  <c r="M1783" i="43"/>
  <c r="M1708" i="43"/>
  <c r="M2158" i="43"/>
  <c r="M2095" i="43"/>
  <c r="M2040" i="43"/>
  <c r="M2003" i="43"/>
  <c r="M1968" i="43"/>
  <c r="M1885" i="43"/>
  <c r="M2419" i="43"/>
  <c r="M2383" i="43"/>
  <c r="M2346" i="43"/>
  <c r="M2310" i="43"/>
  <c r="M2277" i="43"/>
  <c r="M2421" i="43"/>
  <c r="M2385" i="43"/>
  <c r="M2351" i="43"/>
  <c r="M2315" i="43"/>
  <c r="M2429" i="43"/>
  <c r="M2416" i="43"/>
  <c r="M2404" i="43"/>
  <c r="M2392" i="43"/>
  <c r="M2380" i="43"/>
  <c r="M2367" i="43"/>
  <c r="M2355" i="43"/>
  <c r="M2343" i="43"/>
  <c r="M2331" i="43"/>
  <c r="M2319" i="43"/>
  <c r="M2307" i="43"/>
  <c r="M2295" i="43"/>
  <c r="M2283" i="43"/>
  <c r="M2275" i="43"/>
  <c r="M2269" i="43"/>
  <c r="M2431" i="43"/>
  <c r="M2418" i="43"/>
  <c r="M2406" i="43"/>
  <c r="M2394" i="43"/>
  <c r="M2382" i="43"/>
  <c r="M2370" i="43"/>
  <c r="M2359" i="43"/>
  <c r="M2348" i="43"/>
  <c r="M2336" i="43"/>
  <c r="M2324" i="43"/>
  <c r="M2312" i="43"/>
  <c r="M2300" i="43"/>
  <c r="M2288" i="43"/>
  <c r="M2266" i="43"/>
  <c r="M2262" i="43"/>
  <c r="M2258" i="43"/>
  <c r="M2251" i="43"/>
  <c r="M2246" i="43"/>
  <c r="M2242" i="43"/>
  <c r="M2238" i="43"/>
  <c r="M2234" i="43"/>
  <c r="M2230" i="43"/>
  <c r="M2226" i="43"/>
  <c r="M2222" i="43"/>
  <c r="M2218" i="43"/>
  <c r="M2214" i="43"/>
  <c r="M2210" i="43"/>
  <c r="M2206" i="43"/>
  <c r="M2202" i="43"/>
  <c r="M2198" i="43"/>
  <c r="M2194" i="43"/>
  <c r="M2430" i="43"/>
  <c r="M2417" i="43"/>
  <c r="M2405" i="43"/>
  <c r="M2393" i="43"/>
  <c r="M2381" i="43"/>
  <c r="M2369" i="43"/>
  <c r="M2357" i="43"/>
  <c r="M2344" i="43"/>
  <c r="M2332" i="43"/>
  <c r="M2320" i="43"/>
  <c r="M2308" i="43"/>
  <c r="M2296" i="43"/>
  <c r="M2285" i="43"/>
  <c r="M2276" i="43"/>
  <c r="M2249" i="43"/>
  <c r="M2176" i="43"/>
  <c r="M2159" i="43"/>
  <c r="M2143" i="43"/>
  <c r="M2127" i="43"/>
  <c r="M2108" i="43"/>
  <c r="M2092" i="43"/>
  <c r="M2076" i="43"/>
  <c r="M2061" i="43"/>
  <c r="M2048" i="43"/>
  <c r="M2036" i="43"/>
  <c r="M2022" i="43"/>
  <c r="M2010" i="43"/>
  <c r="M1998" i="43"/>
  <c r="M1986" i="43"/>
  <c r="M1973" i="43"/>
  <c r="M1961" i="43"/>
  <c r="M1949" i="43"/>
  <c r="M1936" i="43"/>
  <c r="M1924" i="43"/>
  <c r="M1911" i="43"/>
  <c r="M1899" i="43"/>
  <c r="M1886" i="43"/>
  <c r="M1874" i="43"/>
  <c r="M1861" i="43"/>
  <c r="M1849" i="43"/>
  <c r="M1837" i="43"/>
  <c r="M1824" i="43"/>
  <c r="M1812" i="43"/>
  <c r="M1800" i="43"/>
  <c r="M1788" i="43"/>
  <c r="M1774" i="43"/>
  <c r="M1762" i="43"/>
  <c r="M1750" i="43"/>
  <c r="M1738" i="43"/>
  <c r="M1726" i="43"/>
  <c r="M1722" i="43"/>
  <c r="M1718" i="43"/>
  <c r="M1714" i="43"/>
  <c r="M1710" i="43"/>
  <c r="M1704" i="43"/>
  <c r="M1700" i="43"/>
  <c r="M1696" i="43"/>
  <c r="M2187" i="43"/>
  <c r="M2172" i="43"/>
  <c r="M2156" i="43"/>
  <c r="M2140" i="43"/>
  <c r="M2124" i="43"/>
  <c r="M2109" i="43"/>
  <c r="M2093" i="43"/>
  <c r="M2077" i="43"/>
  <c r="M2062" i="43"/>
  <c r="M2050" i="43"/>
  <c r="M2038" i="43"/>
  <c r="M2027" i="43"/>
  <c r="M2014" i="43"/>
  <c r="M2002" i="43"/>
  <c r="M1990" i="43"/>
  <c r="M1978" i="43"/>
  <c r="M1966" i="43"/>
  <c r="M1954" i="43"/>
  <c r="M1943" i="43"/>
  <c r="M1931" i="43"/>
  <c r="M1919" i="43"/>
  <c r="M1907" i="43"/>
  <c r="M1896" i="43"/>
  <c r="M1884" i="43"/>
  <c r="M1872" i="43"/>
  <c r="M1860" i="43"/>
  <c r="M1848" i="43"/>
  <c r="M1836" i="43"/>
  <c r="M1825" i="43"/>
  <c r="M1813" i="43"/>
  <c r="M1801" i="43"/>
  <c r="M1789" i="43"/>
  <c r="M1778" i="43"/>
  <c r="M1767" i="43"/>
  <c r="M1755" i="43"/>
  <c r="M1743" i="43"/>
  <c r="M1730" i="43"/>
  <c r="M3176" i="43"/>
  <c r="M3131" i="43"/>
  <c r="M2182" i="43"/>
  <c r="M2166" i="43"/>
  <c r="M2150" i="43"/>
  <c r="M2134" i="43"/>
  <c r="M2119" i="43"/>
  <c r="M2103" i="43"/>
  <c r="M2087" i="43"/>
  <c r="M2071" i="43"/>
  <c r="M2057" i="43"/>
  <c r="M2046" i="43"/>
  <c r="M2034" i="43"/>
  <c r="M2021" i="43"/>
  <c r="M2009" i="43"/>
  <c r="M1997" i="43"/>
  <c r="M1985" i="43"/>
  <c r="M1974" i="43"/>
  <c r="M1962" i="43"/>
  <c r="M1950" i="43"/>
  <c r="M1938" i="43"/>
  <c r="M1926" i="43"/>
  <c r="M1915" i="43"/>
  <c r="M1903" i="43"/>
  <c r="M1891" i="43"/>
  <c r="M1879" i="43"/>
  <c r="M1867" i="43"/>
  <c r="M1856" i="43"/>
  <c r="M1844" i="43"/>
  <c r="M1832" i="43"/>
  <c r="M1820" i="43"/>
  <c r="M1808" i="43"/>
  <c r="M1796" i="43"/>
  <c r="M1784" i="43"/>
  <c r="M1773" i="43"/>
  <c r="M1760" i="43"/>
  <c r="M1748" i="43"/>
  <c r="M1736" i="43"/>
  <c r="M1707" i="43"/>
  <c r="M3132" i="43"/>
  <c r="M2177" i="43"/>
  <c r="M2161" i="43"/>
  <c r="M2145" i="43"/>
  <c r="M2130" i="43"/>
  <c r="M2114" i="43"/>
  <c r="M2098" i="43"/>
  <c r="M2081" i="43"/>
  <c r="M2065" i="43"/>
  <c r="M3002" i="43"/>
  <c r="M2997" i="43"/>
  <c r="M2854" i="43"/>
  <c r="M2850" i="43"/>
  <c r="M2846" i="43"/>
  <c r="M2842" i="43"/>
  <c r="M2838" i="43"/>
  <c r="M2834" i="43"/>
  <c r="M2830" i="43"/>
  <c r="M2826" i="43"/>
  <c r="M2822" i="43"/>
  <c r="M2807" i="43"/>
  <c r="M2791" i="43"/>
  <c r="M2775" i="43"/>
  <c r="M2758" i="43"/>
  <c r="M2742" i="43"/>
  <c r="M1688" i="43"/>
  <c r="M1655" i="43"/>
  <c r="M1005" i="43"/>
  <c r="M972" i="43"/>
  <c r="M940" i="43"/>
  <c r="M908" i="43"/>
  <c r="M890" i="43"/>
  <c r="M874" i="43"/>
  <c r="M857" i="43"/>
  <c r="M841" i="43"/>
  <c r="M825" i="43"/>
  <c r="M1677" i="43"/>
  <c r="M1646" i="43"/>
  <c r="M998" i="43"/>
  <c r="M967" i="43"/>
  <c r="M935" i="43"/>
  <c r="M866" i="43"/>
  <c r="M2719" i="43"/>
  <c r="M2703" i="43"/>
  <c r="M2687" i="43"/>
  <c r="M2671" i="43"/>
  <c r="M2655" i="43"/>
  <c r="M2639" i="43"/>
  <c r="M2590" i="43"/>
  <c r="M2574" i="43"/>
  <c r="M2558" i="43"/>
  <c r="M2542" i="43"/>
  <c r="M799" i="43"/>
  <c r="M681" i="43"/>
  <c r="M649" i="43"/>
  <c r="M617" i="43"/>
  <c r="M594" i="43"/>
  <c r="M578" i="43"/>
  <c r="M562" i="43"/>
  <c r="M790" i="43"/>
  <c r="M674" i="43"/>
  <c r="M642" i="43"/>
  <c r="M610" i="43"/>
  <c r="M1624" i="43"/>
  <c r="M1608" i="43"/>
  <c r="M1592" i="43"/>
  <c r="M1576" i="43"/>
  <c r="M1560" i="43"/>
  <c r="M1544" i="43"/>
  <c r="M1528" i="43"/>
  <c r="M1512" i="43"/>
  <c r="M1496" i="43"/>
  <c r="M1480" i="43"/>
  <c r="M1464" i="43"/>
  <c r="M1438" i="43"/>
  <c r="M1418" i="43"/>
  <c r="M1401" i="43"/>
  <c r="M1385" i="43"/>
  <c r="M1369" i="43"/>
  <c r="M1353" i="43"/>
  <c r="M1337" i="43"/>
  <c r="M1321" i="43"/>
  <c r="M1305" i="43"/>
  <c r="M1289" i="43"/>
  <c r="M1433" i="43"/>
  <c r="M3210" i="43"/>
  <c r="M3116" i="43"/>
  <c r="M3031" i="43"/>
  <c r="M545" i="43"/>
  <c r="M465" i="43"/>
  <c r="M400" i="43"/>
  <c r="M522" i="43"/>
  <c r="M3142" i="43"/>
  <c r="M351" i="43"/>
  <c r="M286" i="43"/>
  <c r="M3052" i="43"/>
  <c r="M1229" i="43"/>
  <c r="M1165" i="43"/>
  <c r="M2862" i="43"/>
  <c r="M2479" i="43"/>
  <c r="M216" i="43"/>
  <c r="M1151" i="43"/>
  <c r="M2635" i="43"/>
  <c r="M128" i="43"/>
  <c r="M2979" i="43"/>
  <c r="M2423" i="43"/>
  <c r="M2374" i="43"/>
  <c r="M2325" i="43"/>
  <c r="M2272" i="43"/>
  <c r="M2400" i="43"/>
  <c r="M2365" i="43"/>
  <c r="M2318" i="43"/>
  <c r="M2264" i="43"/>
  <c r="M2244" i="43"/>
  <c r="M2228" i="43"/>
  <c r="M2212" i="43"/>
  <c r="M2196" i="43"/>
  <c r="M2399" i="43"/>
  <c r="M2350" i="43"/>
  <c r="M2302" i="43"/>
  <c r="M2184" i="43"/>
  <c r="M2117" i="43"/>
  <c r="M2068" i="43"/>
  <c r="M2016" i="43"/>
  <c r="M1967" i="43"/>
  <c r="M1918" i="43"/>
  <c r="M1868" i="43"/>
  <c r="M1818" i="43"/>
  <c r="M1768" i="43"/>
  <c r="M1724" i="43"/>
  <c r="M1706" i="43"/>
  <c r="M2179" i="43"/>
  <c r="M2116" i="43"/>
  <c r="M2056" i="43"/>
  <c r="M2008" i="43"/>
  <c r="M1960" i="43"/>
  <c r="M1913" i="43"/>
  <c r="M1854" i="43"/>
  <c r="M1819" i="43"/>
  <c r="M1772" i="43"/>
  <c r="M1737" i="43"/>
  <c r="M2174" i="43"/>
  <c r="M2111" i="43"/>
  <c r="M2063" i="43"/>
  <c r="M2028" i="43"/>
  <c r="M1920" i="43"/>
  <c r="M2432" i="43"/>
  <c r="M2395" i="43"/>
  <c r="M2358" i="43"/>
  <c r="M2322" i="43"/>
  <c r="M2286" i="43"/>
  <c r="M2434" i="43"/>
  <c r="M2397" i="43"/>
  <c r="M2362" i="43"/>
  <c r="M2327" i="43"/>
  <c r="M2422" i="43"/>
  <c r="M2426" i="43"/>
  <c r="M2413" i="43"/>
  <c r="M2401" i="43"/>
  <c r="M2389" i="43"/>
  <c r="M2377" i="43"/>
  <c r="M2364" i="43"/>
  <c r="M2352" i="43"/>
  <c r="M2340" i="43"/>
  <c r="M2328" i="43"/>
  <c r="M2316" i="43"/>
  <c r="M2304" i="43"/>
  <c r="M2292" i="43"/>
  <c r="M2281" i="43"/>
  <c r="M2273" i="43"/>
  <c r="M2267" i="43"/>
  <c r="M2428" i="43"/>
  <c r="M2415" i="43"/>
  <c r="M2403" i="43"/>
  <c r="M2391" i="43"/>
  <c r="M2379" i="43"/>
  <c r="M2368" i="43"/>
  <c r="M2356" i="43"/>
  <c r="M2345" i="43"/>
  <c r="M2333" i="43"/>
  <c r="M2321" i="43"/>
  <c r="M2309" i="43"/>
  <c r="M2297" i="43"/>
  <c r="M2284" i="43"/>
  <c r="M2265" i="43"/>
  <c r="M2261" i="43"/>
  <c r="M2257" i="43"/>
  <c r="M2250" i="43"/>
  <c r="M2245" i="43"/>
  <c r="M2241" i="43"/>
  <c r="M2237" i="43"/>
  <c r="M2233" i="43"/>
  <c r="M2229" i="43"/>
  <c r="M2225" i="43"/>
  <c r="M2221" i="43"/>
  <c r="M2217" i="43"/>
  <c r="M2213" i="43"/>
  <c r="M2209" i="43"/>
  <c r="M2205" i="43"/>
  <c r="M2201" i="43"/>
  <c r="M2197" i="43"/>
  <c r="M2193" i="43"/>
  <c r="M2427" i="43"/>
  <c r="M2414" i="43"/>
  <c r="M2402" i="43"/>
  <c r="M2390" i="43"/>
  <c r="M2378" i="43"/>
  <c r="M2366" i="43"/>
  <c r="M2353" i="43"/>
  <c r="M2341" i="43"/>
  <c r="M2329" i="43"/>
  <c r="M2317" i="43"/>
  <c r="M2305" i="43"/>
  <c r="M2293" i="43"/>
  <c r="M2282" i="43"/>
  <c r="M2271" i="43"/>
  <c r="M2188" i="43"/>
  <c r="M2171" i="43"/>
  <c r="M2155" i="43"/>
  <c r="M2139" i="43"/>
  <c r="M2121" i="43"/>
  <c r="M2104" i="43"/>
  <c r="M2088" i="43"/>
  <c r="M2072" i="43"/>
  <c r="M2058" i="43"/>
  <c r="M2045" i="43"/>
  <c r="M2033" i="43"/>
  <c r="M2019" i="43"/>
  <c r="M2007" i="43"/>
  <c r="M1995" i="43"/>
  <c r="M1983" i="43"/>
  <c r="M1970" i="43"/>
  <c r="M1958" i="43"/>
  <c r="M1945" i="43"/>
  <c r="M1933" i="43"/>
  <c r="M1921" i="43"/>
  <c r="M1908" i="43"/>
  <c r="M1895" i="43"/>
  <c r="M1883" i="43"/>
  <c r="M1871" i="43"/>
  <c r="M1858" i="43"/>
  <c r="M1846" i="43"/>
  <c r="M1834" i="43"/>
  <c r="M1821" i="43"/>
  <c r="M1809" i="43"/>
  <c r="M1797" i="43"/>
  <c r="M1785" i="43"/>
  <c r="M1771" i="43"/>
  <c r="M1759" i="43"/>
  <c r="M1747" i="43"/>
  <c r="M1735" i="43"/>
  <c r="M1725" i="43"/>
  <c r="M1721" i="43"/>
  <c r="M1717" i="43"/>
  <c r="M1713" i="43"/>
  <c r="M1709" i="43"/>
  <c r="M1703" i="43"/>
  <c r="M1699" i="43"/>
  <c r="M1695" i="43"/>
  <c r="M2183" i="43"/>
  <c r="M2168" i="43"/>
  <c r="M2151" i="43"/>
  <c r="M2136" i="43"/>
  <c r="M2120" i="43"/>
  <c r="M2105" i="43"/>
  <c r="M2089" i="43"/>
  <c r="M2074" i="43"/>
  <c r="M2059" i="43"/>
  <c r="M2047" i="43"/>
  <c r="M2035" i="43"/>
  <c r="M2023" i="43"/>
  <c r="M2011" i="43"/>
  <c r="M1999" i="43"/>
  <c r="M1987" i="43"/>
  <c r="M1975" i="43"/>
  <c r="M1963" i="43"/>
  <c r="M1951" i="43"/>
  <c r="M1940" i="43"/>
  <c r="M1928" i="43"/>
  <c r="M1916" i="43"/>
  <c r="M1904" i="43"/>
  <c r="M1892" i="43"/>
  <c r="M1881" i="43"/>
  <c r="M1869" i="43"/>
  <c r="M1857" i="43"/>
  <c r="M1845" i="43"/>
  <c r="M1833" i="43"/>
  <c r="M1822" i="43"/>
  <c r="M1810" i="43"/>
  <c r="M1798" i="43"/>
  <c r="M1786" i="43"/>
  <c r="M1775" i="43"/>
  <c r="M1764" i="43"/>
  <c r="M1752" i="43"/>
  <c r="M1740" i="43"/>
  <c r="M1727" i="43"/>
  <c r="M3175" i="43"/>
  <c r="M3130" i="43"/>
  <c r="M2178" i="43"/>
  <c r="M2162" i="43"/>
  <c r="M2146" i="43"/>
  <c r="M2129" i="43"/>
  <c r="M2115" i="43"/>
  <c r="M2099" i="43"/>
  <c r="M2083" i="43"/>
  <c r="M2067" i="43"/>
  <c r="M2054" i="43"/>
  <c r="M2042" i="43"/>
  <c r="M2031" i="43"/>
  <c r="M2018" i="43"/>
  <c r="M2006" i="43"/>
  <c r="M1994" i="43"/>
  <c r="M1982" i="43"/>
  <c r="M1971" i="43"/>
  <c r="M1959" i="43"/>
  <c r="M1947" i="43"/>
  <c r="M1935" i="43"/>
  <c r="M1923" i="43"/>
  <c r="M1912" i="43"/>
  <c r="M1900" i="43"/>
  <c r="M1888" i="43"/>
  <c r="M1876" i="43"/>
  <c r="M1864" i="43"/>
  <c r="M1852" i="43"/>
  <c r="M1841" i="43"/>
  <c r="M1829" i="43"/>
  <c r="M1817" i="43"/>
  <c r="M1805" i="43"/>
  <c r="M1793" i="43"/>
  <c r="M1781" i="43"/>
  <c r="M1770" i="43"/>
  <c r="M1757" i="43"/>
  <c r="M1745" i="43"/>
  <c r="M1733" i="43"/>
  <c r="M3179" i="43"/>
  <c r="M2189" i="43"/>
  <c r="M2173" i="43"/>
  <c r="M2157" i="43"/>
  <c r="M2141" i="43"/>
  <c r="M2126" i="43"/>
  <c r="M2110" i="43"/>
  <c r="M2094" i="43"/>
  <c r="M2078" i="43"/>
  <c r="M2025" i="43"/>
  <c r="M3001" i="43"/>
  <c r="M2857" i="43"/>
  <c r="M2853" i="43"/>
  <c r="M2849" i="43"/>
  <c r="M2845" i="43"/>
  <c r="M2841" i="43"/>
  <c r="M2837" i="43"/>
  <c r="M2833" i="43"/>
  <c r="M2829" i="43"/>
  <c r="M2825" i="43"/>
  <c r="M2819" i="43"/>
  <c r="M2803" i="43"/>
  <c r="M2787" i="43"/>
  <c r="M2771" i="43"/>
  <c r="M2754" i="43"/>
  <c r="M2738" i="43"/>
  <c r="M1680" i="43"/>
  <c r="M1647" i="43"/>
  <c r="M996" i="43"/>
  <c r="M964" i="43"/>
  <c r="M932" i="43"/>
  <c r="M902" i="43"/>
  <c r="M886" i="43"/>
  <c r="M870" i="43"/>
  <c r="M853" i="43"/>
  <c r="M837" i="43"/>
  <c r="M821" i="43"/>
  <c r="M1670" i="43"/>
  <c r="M1638" i="43"/>
  <c r="M991" i="43"/>
  <c r="M959" i="43"/>
  <c r="M927" i="43"/>
  <c r="M3223" i="43"/>
  <c r="M2715" i="43"/>
  <c r="M2699" i="43"/>
  <c r="M2683" i="43"/>
  <c r="M2667" i="43"/>
  <c r="M2651" i="43"/>
  <c r="M2602" i="43"/>
  <c r="M2586" i="43"/>
  <c r="M2570" i="43"/>
  <c r="M2554" i="43"/>
  <c r="M816" i="43"/>
  <c r="M791" i="43"/>
  <c r="M673" i="43"/>
  <c r="M641" i="43"/>
  <c r="M609" i="43"/>
  <c r="M590" i="43"/>
  <c r="M574" i="43"/>
  <c r="M558" i="43"/>
  <c r="M698" i="43"/>
  <c r="M666" i="43"/>
  <c r="M634" i="43"/>
  <c r="M3218" i="43"/>
  <c r="M1620" i="43"/>
  <c r="M1604" i="43"/>
  <c r="M1588" i="43"/>
  <c r="M1572" i="43"/>
  <c r="M1556" i="43"/>
  <c r="M1540" i="43"/>
  <c r="M1524" i="43"/>
  <c r="M1508" i="43"/>
  <c r="M1492" i="43"/>
  <c r="M1476" i="43"/>
  <c r="M1460" i="43"/>
  <c r="M1431" i="43"/>
  <c r="M1414" i="43"/>
  <c r="M1397" i="43"/>
  <c r="M1381" i="43"/>
  <c r="M1365" i="43"/>
  <c r="M1349" i="43"/>
  <c r="M1333" i="43"/>
  <c r="M1317" i="43"/>
  <c r="M1301" i="43"/>
  <c r="M1457" i="43"/>
  <c r="M3231" i="43"/>
  <c r="M3181" i="43"/>
  <c r="M3108" i="43"/>
  <c r="M3023" i="43"/>
  <c r="M529" i="43"/>
  <c r="M448" i="43"/>
  <c r="M384" i="43"/>
  <c r="M3221" i="43"/>
  <c r="M2967" i="43"/>
  <c r="M335" i="43"/>
  <c r="M270" i="43"/>
  <c r="M1277" i="43"/>
  <c r="M1213" i="43"/>
  <c r="M2910" i="43"/>
  <c r="M2527" i="43"/>
  <c r="M264" i="43"/>
  <c r="M200" i="43"/>
  <c r="M1135" i="43"/>
  <c r="M2619" i="43"/>
  <c r="M112" i="43"/>
  <c r="M68" i="43"/>
  <c r="O3021" i="43"/>
  <c r="O3085" i="43"/>
  <c r="O2657" i="43"/>
  <c r="O2283" i="43"/>
  <c r="O3194" i="43"/>
  <c r="O3113" i="43"/>
  <c r="O2872" i="43"/>
  <c r="O2637" i="43"/>
  <c r="O2450" i="43"/>
  <c r="O2183" i="43"/>
  <c r="O1939" i="43"/>
  <c r="O3165" i="43"/>
  <c r="O3224" i="43"/>
  <c r="O3179" i="43"/>
  <c r="O2932" i="43"/>
  <c r="O2478" i="43"/>
  <c r="O1971" i="43"/>
  <c r="O2641" i="43"/>
  <c r="O3204" i="43"/>
  <c r="O2971" i="43"/>
  <c r="O2474" i="43"/>
  <c r="O2095" i="43"/>
  <c r="O3124" i="43"/>
  <c r="O2931" i="43"/>
  <c r="O2820" i="43"/>
  <c r="O2708" i="43"/>
  <c r="O2577" i="43"/>
  <c r="O2481" i="43"/>
  <c r="O2370" i="43"/>
  <c r="O2242" i="43"/>
  <c r="O2066" i="43"/>
  <c r="O1791" i="43"/>
  <c r="O3095" i="43"/>
  <c r="O2914" i="43"/>
  <c r="O2747" i="43"/>
  <c r="O2317" i="43"/>
  <c r="O3217" i="43"/>
  <c r="O3042" i="43"/>
  <c r="O2598" i="43"/>
  <c r="O2091" i="43"/>
  <c r="O3216" i="43"/>
  <c r="O3022" i="43"/>
  <c r="O2605" i="43"/>
  <c r="O2343" i="43"/>
  <c r="O2119" i="43"/>
  <c r="O1811" i="43"/>
  <c r="O2817" i="43"/>
  <c r="O3211" i="43"/>
  <c r="O2809" i="43"/>
  <c r="O2291" i="43"/>
  <c r="O1731" i="43"/>
  <c r="O2454" i="43"/>
  <c r="O2853" i="43"/>
  <c r="O2415" i="43"/>
  <c r="O1967" i="43"/>
  <c r="O3076" i="43"/>
  <c r="O3013" i="43"/>
  <c r="O2899" i="43"/>
  <c r="O2804" i="43"/>
  <c r="O2676" i="43"/>
  <c r="O2561" i="43"/>
  <c r="O2449" i="43"/>
  <c r="O2322" i="43"/>
  <c r="O2194" i="43"/>
  <c r="O2050" i="43"/>
  <c r="O1535" i="43"/>
  <c r="O3047" i="43"/>
  <c r="O2898" i="43"/>
  <c r="O2619" i="43"/>
  <c r="O2125" i="43"/>
  <c r="O3207" i="43"/>
  <c r="O2876" i="43"/>
  <c r="O2427" i="43"/>
  <c r="O2059" i="43"/>
  <c r="O3209" i="43"/>
  <c r="O2995" i="43"/>
  <c r="O2765" i="43"/>
  <c r="O2514" i="43"/>
  <c r="O2311" i="43"/>
  <c r="O2087" i="43"/>
  <c r="O1427" i="43"/>
  <c r="O2438" i="43"/>
  <c r="O3193" i="43"/>
  <c r="O3163" i="43"/>
  <c r="O2681" i="43"/>
  <c r="O2227" i="43"/>
  <c r="O3219" i="43"/>
  <c r="O1571" i="43"/>
  <c r="O3162" i="43"/>
  <c r="O2725" i="43"/>
  <c r="O2351" i="43"/>
  <c r="O1459" i="43"/>
  <c r="O3060" i="43"/>
  <c r="O2998" i="43"/>
  <c r="O2883" i="43"/>
  <c r="O2756" i="43"/>
  <c r="O2644" i="43"/>
  <c r="O2545" i="43"/>
  <c r="O2418" i="43"/>
  <c r="O2306" i="43"/>
  <c r="O2178" i="43"/>
  <c r="O1986" i="43"/>
  <c r="O1209" i="43"/>
  <c r="O3028" i="43"/>
  <c r="O2835" i="43"/>
  <c r="O2524" i="43"/>
  <c r="O2061" i="43"/>
  <c r="O3180" i="43"/>
  <c r="O2785" i="43"/>
  <c r="O2331" i="43"/>
  <c r="O1699" i="43"/>
  <c r="O3155" i="43"/>
  <c r="O2968" i="43"/>
  <c r="O2701" i="43"/>
  <c r="O2482" i="43"/>
  <c r="O2247" i="43"/>
  <c r="O1991" i="43"/>
  <c r="O774" i="43"/>
  <c r="O2267" i="43"/>
  <c r="O2991" i="43"/>
  <c r="O2542" i="43"/>
  <c r="O2163" i="43"/>
  <c r="O3026" i="43"/>
  <c r="O3220" i="43"/>
  <c r="O3105" i="43"/>
  <c r="O2661" i="43"/>
  <c r="O2159" i="43"/>
  <c r="O3138" i="43"/>
  <c r="O3044" i="43"/>
  <c r="O2963" i="43"/>
  <c r="O2836" i="43"/>
  <c r="O2740" i="43"/>
  <c r="O2628" i="43"/>
  <c r="O2497" i="43"/>
  <c r="O2386" i="43"/>
  <c r="O2290" i="43"/>
  <c r="O2114" i="43"/>
  <c r="O1855" i="43"/>
  <c r="O536" i="43"/>
  <c r="O2962" i="43"/>
  <c r="O2779" i="43"/>
  <c r="O3171" i="43"/>
  <c r="O2189" i="43"/>
  <c r="O2429" i="43"/>
  <c r="O2556" i="43"/>
  <c r="O2683" i="43"/>
  <c r="O2803" i="43"/>
  <c r="O2866" i="43"/>
  <c r="O2930" i="43"/>
  <c r="O2993" i="43"/>
  <c r="O3063" i="43"/>
  <c r="O3127" i="43"/>
  <c r="O1407" i="43"/>
  <c r="O1663" i="43"/>
  <c r="O1919" i="43"/>
  <c r="O2018" i="43"/>
  <c r="O2082" i="43"/>
  <c r="O2146" i="43"/>
  <c r="O2210" i="43"/>
  <c r="O2274" i="43"/>
  <c r="O2338" i="43"/>
  <c r="O2402" i="43"/>
  <c r="O2465" i="43"/>
  <c r="O2529" i="43"/>
  <c r="O2593" i="43"/>
  <c r="O2660" i="43"/>
  <c r="O2724" i="43"/>
  <c r="O2788" i="43"/>
  <c r="O2852" i="43"/>
  <c r="O2915" i="43"/>
  <c r="O2982" i="43"/>
  <c r="O3029" i="43"/>
  <c r="O3092" i="43"/>
  <c r="O3154" i="43"/>
  <c r="O2031" i="43"/>
  <c r="O2287" i="43"/>
  <c r="O2538" i="43"/>
  <c r="O2789" i="43"/>
  <c r="O3030" i="43"/>
  <c r="O3181" i="43"/>
  <c r="O2043" i="43"/>
  <c r="O2849" i="43"/>
  <c r="O1475" i="43"/>
  <c r="O2099" i="43"/>
  <c r="O2355" i="43"/>
  <c r="O2617" i="43"/>
  <c r="O2868" i="43"/>
  <c r="O3125" i="43"/>
  <c r="O1635" i="43"/>
  <c r="O2625" i="43"/>
  <c r="O3213" i="43"/>
  <c r="O1683" i="43"/>
  <c r="O2023" i="43"/>
  <c r="O2151" i="43"/>
  <c r="O2279" i="43"/>
  <c r="O2407" i="43"/>
  <c r="O2546" i="43"/>
  <c r="O2669" i="43"/>
  <c r="O2797" i="43"/>
  <c r="O2936" i="43"/>
  <c r="O3049" i="43"/>
  <c r="O3228" i="43"/>
  <c r="O1955" i="43"/>
  <c r="O2235" i="43"/>
  <c r="O2470" i="43"/>
  <c r="O2689" i="43"/>
  <c r="O2999" i="43"/>
  <c r="O3170" i="43"/>
  <c r="O3226" i="43"/>
  <c r="O2253" i="43"/>
  <c r="O2460" i="43"/>
  <c r="O2588" i="43"/>
  <c r="O2715" i="43"/>
  <c r="O2819" i="43"/>
  <c r="O2882" i="43"/>
  <c r="O2946" i="43"/>
  <c r="O3012" i="43"/>
  <c r="O3079" i="43"/>
  <c r="O3141" i="43"/>
  <c r="O1471" i="43"/>
  <c r="O1727" i="43"/>
  <c r="O1970" i="43"/>
  <c r="O2034" i="43"/>
  <c r="O2098" i="43"/>
  <c r="O2162" i="43"/>
  <c r="O2226" i="43"/>
  <c r="O3157" i="43"/>
  <c r="O2833" i="43"/>
  <c r="O2502" i="43"/>
  <c r="O2155" i="43"/>
  <c r="O1443" i="43"/>
  <c r="O3202" i="43"/>
  <c r="O3176" i="43"/>
  <c r="O3081" i="43"/>
  <c r="O2904" i="43"/>
  <c r="O2733" i="43"/>
  <c r="O2578" i="43"/>
  <c r="O2375" i="43"/>
  <c r="O2215" i="43"/>
  <c r="O2055" i="43"/>
  <c r="O1555" i="43"/>
  <c r="O3010" i="43"/>
  <c r="O2075" i="43"/>
  <c r="O3061" i="43"/>
  <c r="O2745" i="43"/>
  <c r="O2419" i="43"/>
  <c r="O2035" i="43"/>
  <c r="O3173" i="43"/>
  <c r="O2251" i="43"/>
  <c r="O2912" i="43"/>
  <c r="O2602" i="43"/>
  <c r="O2223" i="43"/>
  <c r="O1715" i="43"/>
  <c r="O3108" i="43"/>
  <c r="O2947" i="43"/>
  <c r="O2867" i="43"/>
  <c r="O2772" i="43"/>
  <c r="O2692" i="43"/>
  <c r="O2612" i="43"/>
  <c r="O2513" i="43"/>
  <c r="O2434" i="43"/>
  <c r="O2354" i="43"/>
  <c r="O2258" i="43"/>
  <c r="O2130" i="43"/>
  <c r="O2002" i="43"/>
  <c r="O1599" i="43"/>
  <c r="O3111" i="43"/>
  <c r="O2977" i="43"/>
  <c r="O2851" i="43"/>
  <c r="O2651" i="43"/>
  <c r="O2381" i="43"/>
  <c r="O3169" i="43"/>
  <c r="O14" i="43"/>
  <c r="O30" i="43"/>
  <c r="O46" i="43"/>
  <c r="O62" i="43"/>
  <c r="O79" i="43"/>
  <c r="O95" i="43"/>
  <c r="O111" i="43"/>
  <c r="O127" i="43"/>
  <c r="O143" i="43"/>
  <c r="O159" i="43"/>
  <c r="O175" i="43"/>
  <c r="O191" i="43"/>
  <c r="O207" i="43"/>
  <c r="O223" i="43"/>
  <c r="O239" i="43"/>
  <c r="O255" i="43"/>
  <c r="O271" i="43"/>
  <c r="O287" i="43"/>
  <c r="O303" i="43"/>
  <c r="O320" i="43"/>
  <c r="O336" i="43"/>
  <c r="O11" i="43"/>
  <c r="O27" i="43"/>
  <c r="O43" i="43"/>
  <c r="O59" i="43"/>
  <c r="O76" i="43"/>
  <c r="O92" i="43"/>
  <c r="O108" i="43"/>
  <c r="O124" i="43"/>
  <c r="O140" i="43"/>
  <c r="O156" i="43"/>
  <c r="O172" i="43"/>
  <c r="O188" i="43"/>
  <c r="O204" i="43"/>
  <c r="O220" i="43"/>
  <c r="O236" i="43"/>
  <c r="O252" i="43"/>
  <c r="O268" i="43"/>
  <c r="O284" i="43"/>
  <c r="O300" i="43"/>
  <c r="O317" i="43"/>
  <c r="O333" i="43"/>
  <c r="O12" i="43"/>
  <c r="O44" i="43"/>
  <c r="O77" i="43"/>
  <c r="O109" i="43"/>
  <c r="O141" i="43"/>
  <c r="O173" i="43"/>
  <c r="O205" i="43"/>
  <c r="O237" i="43"/>
  <c r="O269" i="43"/>
  <c r="O301" i="43"/>
  <c r="O334" i="43"/>
  <c r="O354" i="43"/>
  <c r="O370" i="43"/>
  <c r="O386" i="43"/>
  <c r="O402" i="43"/>
  <c r="O418" i="43"/>
  <c r="O434" i="43"/>
  <c r="O450" i="43"/>
  <c r="O466" i="43"/>
  <c r="O482" i="43"/>
  <c r="O498" i="43"/>
  <c r="O514" i="43"/>
  <c r="O29" i="43"/>
  <c r="O61" i="43"/>
  <c r="O94" i="43"/>
  <c r="O126" i="43"/>
  <c r="O158" i="43"/>
  <c r="O190" i="43"/>
  <c r="O222" i="43"/>
  <c r="O254" i="43"/>
  <c r="O286" i="43"/>
  <c r="O319" i="43"/>
  <c r="O347" i="43"/>
  <c r="O363" i="43"/>
  <c r="O379" i="43"/>
  <c r="O3233" i="43"/>
  <c r="O18" i="43"/>
  <c r="O34" i="43"/>
  <c r="O50" i="43"/>
  <c r="O66" i="43"/>
  <c r="O83" i="43"/>
  <c r="O99" i="43"/>
  <c r="O115" i="43"/>
  <c r="O131" i="43"/>
  <c r="O147" i="43"/>
  <c r="O163" i="43"/>
  <c r="O179" i="43"/>
  <c r="O195" i="43"/>
  <c r="O211" i="43"/>
  <c r="O227" i="43"/>
  <c r="O243" i="43"/>
  <c r="O259" i="43"/>
  <c r="O275" i="43"/>
  <c r="O291" i="43"/>
  <c r="O307" i="43"/>
  <c r="O324" i="43"/>
  <c r="O340" i="43"/>
  <c r="O15" i="43"/>
  <c r="O31" i="43"/>
  <c r="O47" i="43"/>
  <c r="O63" i="43"/>
  <c r="O80" i="43"/>
  <c r="O96" i="43"/>
  <c r="O112" i="43"/>
  <c r="O128" i="43"/>
  <c r="O144" i="43"/>
  <c r="O160" i="43"/>
  <c r="O176" i="43"/>
  <c r="O192" i="43"/>
  <c r="O208" i="43"/>
  <c r="O224" i="43"/>
  <c r="O240" i="43"/>
  <c r="O256" i="43"/>
  <c r="O272" i="43"/>
  <c r="O288" i="43"/>
  <c r="O304" i="43"/>
  <c r="O321" i="43"/>
  <c r="O337" i="43"/>
  <c r="O20" i="43"/>
  <c r="O52" i="43"/>
  <c r="O85" i="43"/>
  <c r="O117" i="43"/>
  <c r="O149" i="43"/>
  <c r="O181" i="43"/>
  <c r="O213" i="43"/>
  <c r="O245" i="43"/>
  <c r="O277" i="43"/>
  <c r="O309" i="43"/>
  <c r="O342" i="43"/>
  <c r="O358" i="43"/>
  <c r="O374" i="43"/>
  <c r="O390" i="43"/>
  <c r="O406" i="43"/>
  <c r="O422" i="43"/>
  <c r="O438" i="43"/>
  <c r="O454" i="43"/>
  <c r="O470" i="43"/>
  <c r="O486" i="43"/>
  <c r="O502" i="43"/>
  <c r="O5" i="43"/>
  <c r="O37" i="43"/>
  <c r="O69" i="43"/>
  <c r="O102" i="43"/>
  <c r="O134" i="43"/>
  <c r="O166" i="43"/>
  <c r="O198" i="43"/>
  <c r="O230" i="43"/>
  <c r="O262" i="43"/>
  <c r="O294" i="43"/>
  <c r="O327" i="43"/>
  <c r="O351" i="43"/>
  <c r="O367" i="43"/>
  <c r="O383" i="43"/>
  <c r="O399" i="43"/>
  <c r="O415" i="43"/>
  <c r="O431" i="43"/>
  <c r="O447" i="43"/>
  <c r="O463" i="43"/>
  <c r="O479" i="43"/>
  <c r="O495" i="43"/>
  <c r="O511" i="43"/>
  <c r="O56" i="43"/>
  <c r="O6" i="43"/>
  <c r="O22" i="43"/>
  <c r="O38" i="43"/>
  <c r="O54" i="43"/>
  <c r="O70" i="43"/>
  <c r="O87" i="43"/>
  <c r="O103" i="43"/>
  <c r="O119" i="43"/>
  <c r="O135" i="43"/>
  <c r="O151" i="43"/>
  <c r="O167" i="43"/>
  <c r="O183" i="43"/>
  <c r="O199" i="43"/>
  <c r="O215" i="43"/>
  <c r="O231" i="43"/>
  <c r="O247" i="43"/>
  <c r="O263" i="43"/>
  <c r="O279" i="43"/>
  <c r="O295" i="43"/>
  <c r="O311" i="43"/>
  <c r="O328" i="43"/>
  <c r="O3" i="43"/>
  <c r="O19" i="43"/>
  <c r="O35" i="43"/>
  <c r="O51" i="43"/>
  <c r="O67" i="43"/>
  <c r="O84" i="43"/>
  <c r="O100" i="43"/>
  <c r="O116" i="43"/>
  <c r="O132" i="43"/>
  <c r="O148" i="43"/>
  <c r="O164" i="43"/>
  <c r="O180" i="43"/>
  <c r="O196" i="43"/>
  <c r="O212" i="43"/>
  <c r="O228" i="43"/>
  <c r="O244" i="43"/>
  <c r="O260" i="43"/>
  <c r="O276" i="43"/>
  <c r="O292" i="43"/>
  <c r="O308" i="43"/>
  <c r="O325" i="43"/>
  <c r="O341" i="43"/>
  <c r="O28" i="43"/>
  <c r="O60" i="43"/>
  <c r="O93" i="43"/>
  <c r="O125" i="43"/>
  <c r="O157" i="43"/>
  <c r="O189" i="43"/>
  <c r="O221" i="43"/>
  <c r="O253" i="43"/>
  <c r="O285" i="43"/>
  <c r="O318" i="43"/>
  <c r="O346" i="43"/>
  <c r="O362" i="43"/>
  <c r="O378" i="43"/>
  <c r="O394" i="43"/>
  <c r="O410" i="43"/>
  <c r="O426" i="43"/>
  <c r="O442" i="43"/>
  <c r="O458" i="43"/>
  <c r="O474" i="43"/>
  <c r="O490" i="43"/>
  <c r="O506" i="43"/>
  <c r="O13" i="43"/>
  <c r="O45" i="43"/>
  <c r="O78" i="43"/>
  <c r="O110" i="43"/>
  <c r="O142" i="43"/>
  <c r="O174" i="43"/>
  <c r="O206" i="43"/>
  <c r="O238" i="43"/>
  <c r="O270" i="43"/>
  <c r="O302" i="43"/>
  <c r="O335" i="43"/>
  <c r="O355" i="43"/>
  <c r="O371" i="43"/>
  <c r="O387" i="43"/>
  <c r="O403" i="43"/>
  <c r="O419" i="43"/>
  <c r="O10" i="43"/>
  <c r="O26" i="43"/>
  <c r="O42" i="43"/>
  <c r="O58" i="43"/>
  <c r="O75" i="43"/>
  <c r="O91" i="43"/>
  <c r="O107" i="43"/>
  <c r="O123" i="43"/>
  <c r="O139" i="43"/>
  <c r="O155" i="43"/>
  <c r="O171" i="43"/>
  <c r="O187" i="43"/>
  <c r="O203" i="43"/>
  <c r="O219" i="43"/>
  <c r="O235" i="43"/>
  <c r="O251" i="43"/>
  <c r="O267" i="43"/>
  <c r="O283" i="43"/>
  <c r="O299" i="43"/>
  <c r="O316" i="43"/>
  <c r="O332" i="43"/>
  <c r="O7" i="43"/>
  <c r="O23" i="43"/>
  <c r="O39" i="43"/>
  <c r="O55" i="43"/>
  <c r="O71" i="43"/>
  <c r="O88" i="43"/>
  <c r="O104" i="43"/>
  <c r="O120" i="43"/>
  <c r="O136" i="43"/>
  <c r="O152" i="43"/>
  <c r="O168" i="43"/>
  <c r="O184" i="43"/>
  <c r="O200" i="43"/>
  <c r="O216" i="43"/>
  <c r="O232" i="43"/>
  <c r="O248" i="43"/>
  <c r="O264" i="43"/>
  <c r="O280" i="43"/>
  <c r="O296" i="43"/>
  <c r="O313" i="43"/>
  <c r="O329" i="43"/>
  <c r="O4" i="43"/>
  <c r="O36" i="43"/>
  <c r="O68" i="43"/>
  <c r="O101" i="43"/>
  <c r="O133" i="43"/>
  <c r="O165" i="43"/>
  <c r="O197" i="43"/>
  <c r="O229" i="43"/>
  <c r="O261" i="43"/>
  <c r="O293" i="43"/>
  <c r="O326" i="43"/>
  <c r="O350" i="43"/>
  <c r="O366" i="43"/>
  <c r="O382" i="43"/>
  <c r="O398" i="43"/>
  <c r="O414" i="43"/>
  <c r="O430" i="43"/>
  <c r="O446" i="43"/>
  <c r="O462" i="43"/>
  <c r="O478" i="43"/>
  <c r="O494" i="43"/>
  <c r="O510" i="43"/>
  <c r="O21" i="43"/>
  <c r="O53" i="43"/>
  <c r="O86" i="43"/>
  <c r="O118" i="43"/>
  <c r="O150" i="43"/>
  <c r="O182" i="43"/>
  <c r="O214" i="43"/>
  <c r="O246" i="43"/>
  <c r="O278" i="43"/>
  <c r="O310" i="43"/>
  <c r="O343" i="43"/>
  <c r="O359" i="43"/>
  <c r="O375" i="43"/>
  <c r="O391" i="43"/>
  <c r="O407" i="43"/>
  <c r="O423" i="43"/>
  <c r="O439" i="43"/>
  <c r="O455" i="43"/>
  <c r="O471" i="43"/>
  <c r="O487" i="43"/>
  <c r="O503" i="43"/>
  <c r="O395" i="43"/>
  <c r="O443" i="43"/>
  <c r="O475" i="43"/>
  <c r="O507" i="43"/>
  <c r="O72" i="43"/>
  <c r="O137" i="43"/>
  <c r="O201" i="43"/>
  <c r="O265" i="43"/>
  <c r="O330" i="43"/>
  <c r="O368" i="43"/>
  <c r="O400" i="43"/>
  <c r="O432" i="43"/>
  <c r="O464" i="43"/>
  <c r="O496" i="43"/>
  <c r="O521" i="43"/>
  <c r="O537" i="43"/>
  <c r="O553" i="43"/>
  <c r="O569" i="43"/>
  <c r="O585" i="43"/>
  <c r="O601" i="43"/>
  <c r="O617" i="43"/>
  <c r="O633" i="43"/>
  <c r="O649" i="43"/>
  <c r="O665" i="43"/>
  <c r="O681" i="43"/>
  <c r="O697" i="43"/>
  <c r="O712" i="43"/>
  <c r="O728" i="43"/>
  <c r="O744" i="43"/>
  <c r="O760" i="43"/>
  <c r="O776" i="43"/>
  <c r="O792" i="43"/>
  <c r="O808" i="43"/>
  <c r="O824" i="43"/>
  <c r="O840" i="43"/>
  <c r="O856" i="43"/>
  <c r="O872" i="43"/>
  <c r="O888" i="43"/>
  <c r="O904" i="43"/>
  <c r="O920" i="43"/>
  <c r="O936" i="43"/>
  <c r="O952" i="43"/>
  <c r="O968" i="43"/>
  <c r="O984" i="43"/>
  <c r="O1000" i="43"/>
  <c r="O1015" i="43"/>
  <c r="O41" i="43"/>
  <c r="O106" i="43"/>
  <c r="O170" i="43"/>
  <c r="O234" i="43"/>
  <c r="O298" i="43"/>
  <c r="O353" i="43"/>
  <c r="O385" i="43"/>
  <c r="O417" i="43"/>
  <c r="O449" i="43"/>
  <c r="O481" i="43"/>
  <c r="O513" i="43"/>
  <c r="O530" i="43"/>
  <c r="O546" i="43"/>
  <c r="O562" i="43"/>
  <c r="O578" i="43"/>
  <c r="O594" i="43"/>
  <c r="O610" i="43"/>
  <c r="O626" i="43"/>
  <c r="O642" i="43"/>
  <c r="O658" i="43"/>
  <c r="O674" i="43"/>
  <c r="O690" i="43"/>
  <c r="O709" i="43"/>
  <c r="O725" i="43"/>
  <c r="O741" i="43"/>
  <c r="O757" i="43"/>
  <c r="O773" i="43"/>
  <c r="O789" i="43"/>
  <c r="O805" i="43"/>
  <c r="O821" i="43"/>
  <c r="O837" i="43"/>
  <c r="O853" i="43"/>
  <c r="O869" i="43"/>
  <c r="O885" i="43"/>
  <c r="O901" i="43"/>
  <c r="O917" i="43"/>
  <c r="O933" i="43"/>
  <c r="O949" i="43"/>
  <c r="O965" i="43"/>
  <c r="O981" i="43"/>
  <c r="O997" i="43"/>
  <c r="O1012" i="43"/>
  <c r="O48" i="43"/>
  <c r="O177" i="43"/>
  <c r="O305" i="43"/>
  <c r="O388" i="43"/>
  <c r="O452" i="43"/>
  <c r="O515" i="43"/>
  <c r="O547" i="43"/>
  <c r="O579" i="43"/>
  <c r="O611" i="43"/>
  <c r="O643" i="43"/>
  <c r="O675" i="43"/>
  <c r="O703" i="43"/>
  <c r="O735" i="43"/>
  <c r="O767" i="43"/>
  <c r="O799" i="43"/>
  <c r="O831" i="43"/>
  <c r="O863" i="43"/>
  <c r="O895" i="43"/>
  <c r="O927" i="43"/>
  <c r="O959" i="43"/>
  <c r="O991" i="43"/>
  <c r="O1022" i="43"/>
  <c r="O1038" i="43"/>
  <c r="O1054" i="43"/>
  <c r="O1070" i="43"/>
  <c r="O1086" i="43"/>
  <c r="O1102" i="43"/>
  <c r="O1118" i="43"/>
  <c r="O1134" i="43"/>
  <c r="O1150" i="43"/>
  <c r="O1166" i="43"/>
  <c r="O1182" i="43"/>
  <c r="O1198" i="43"/>
  <c r="O1214" i="43"/>
  <c r="O1230" i="43"/>
  <c r="O1246" i="43"/>
  <c r="O1262" i="43"/>
  <c r="O1278" i="43"/>
  <c r="O1294" i="43"/>
  <c r="O1310" i="43"/>
  <c r="O1326" i="43"/>
  <c r="O1342" i="43"/>
  <c r="O1358" i="43"/>
  <c r="O114" i="43"/>
  <c r="O242" i="43"/>
  <c r="O357" i="43"/>
  <c r="O421" i="43"/>
  <c r="O485" i="43"/>
  <c r="O532" i="43"/>
  <c r="O564" i="43"/>
  <c r="O596" i="43"/>
  <c r="O628" i="43"/>
  <c r="O660" i="43"/>
  <c r="O692" i="43"/>
  <c r="O722" i="43"/>
  <c r="O754" i="43"/>
  <c r="O786" i="43"/>
  <c r="O818" i="43"/>
  <c r="O850" i="43"/>
  <c r="O882" i="43"/>
  <c r="O914" i="43"/>
  <c r="O946" i="43"/>
  <c r="O978" i="43"/>
  <c r="O1010" i="43"/>
  <c r="O1031" i="43"/>
  <c r="O1047" i="43"/>
  <c r="O1063" i="43"/>
  <c r="O1079" i="43"/>
  <c r="O1095" i="43"/>
  <c r="O1111" i="43"/>
  <c r="O1127" i="43"/>
  <c r="O1143" i="43"/>
  <c r="O1159" i="43"/>
  <c r="O1175" i="43"/>
  <c r="O1191" i="43"/>
  <c r="O1207" i="43"/>
  <c r="O1223" i="43"/>
  <c r="O1239" i="43"/>
  <c r="O1255" i="43"/>
  <c r="O1271" i="43"/>
  <c r="O1287" i="43"/>
  <c r="O1303" i="43"/>
  <c r="O1319" i="43"/>
  <c r="O411" i="43"/>
  <c r="O451" i="43"/>
  <c r="O483" i="43"/>
  <c r="O8" i="43"/>
  <c r="O89" i="43"/>
  <c r="O153" i="43"/>
  <c r="O217" i="43"/>
  <c r="O281" i="43"/>
  <c r="O344" i="43"/>
  <c r="O376" i="43"/>
  <c r="O408" i="43"/>
  <c r="O440" i="43"/>
  <c r="O472" i="43"/>
  <c r="O504" i="43"/>
  <c r="O525" i="43"/>
  <c r="O541" i="43"/>
  <c r="O557" i="43"/>
  <c r="O573" i="43"/>
  <c r="O589" i="43"/>
  <c r="O605" i="43"/>
  <c r="O621" i="43"/>
  <c r="O637" i="43"/>
  <c r="O653" i="43"/>
  <c r="O669" i="43"/>
  <c r="O685" i="43"/>
  <c r="O701" i="43"/>
  <c r="O716" i="43"/>
  <c r="O732" i="43"/>
  <c r="O748" i="43"/>
  <c r="O764" i="43"/>
  <c r="O780" i="43"/>
  <c r="O796" i="43"/>
  <c r="O812" i="43"/>
  <c r="O828" i="43"/>
  <c r="O844" i="43"/>
  <c r="O860" i="43"/>
  <c r="O876" i="43"/>
  <c r="O892" i="43"/>
  <c r="O908" i="43"/>
  <c r="O924" i="43"/>
  <c r="O940" i="43"/>
  <c r="O956" i="43"/>
  <c r="O972" i="43"/>
  <c r="O988" i="43"/>
  <c r="O1004" i="43"/>
  <c r="O1019" i="43"/>
  <c r="O57" i="43"/>
  <c r="O122" i="43"/>
  <c r="O186" i="43"/>
  <c r="O250" i="43"/>
  <c r="O315" i="43"/>
  <c r="O361" i="43"/>
  <c r="O393" i="43"/>
  <c r="O425" i="43"/>
  <c r="O457" i="43"/>
  <c r="O489" i="43"/>
  <c r="O518" i="43"/>
  <c r="O534" i="43"/>
  <c r="O550" i="43"/>
  <c r="O566" i="43"/>
  <c r="O582" i="43"/>
  <c r="O598" i="43"/>
  <c r="O614" i="43"/>
  <c r="O630" i="43"/>
  <c r="O646" i="43"/>
  <c r="O662" i="43"/>
  <c r="O678" i="43"/>
  <c r="O694" i="43"/>
  <c r="O713" i="43"/>
  <c r="O729" i="43"/>
  <c r="O745" i="43"/>
  <c r="O761" i="43"/>
  <c r="O777" i="43"/>
  <c r="O793" i="43"/>
  <c r="O809" i="43"/>
  <c r="O825" i="43"/>
  <c r="O841" i="43"/>
  <c r="O857" i="43"/>
  <c r="O873" i="43"/>
  <c r="O889" i="43"/>
  <c r="O905" i="43"/>
  <c r="O921" i="43"/>
  <c r="O937" i="43"/>
  <c r="O953" i="43"/>
  <c r="O969" i="43"/>
  <c r="O985" i="43"/>
  <c r="O1001" i="43"/>
  <c r="O1016" i="43"/>
  <c r="O81" i="43"/>
  <c r="O209" i="43"/>
  <c r="O338" i="43"/>
  <c r="O404" i="43"/>
  <c r="O468" i="43"/>
  <c r="O523" i="43"/>
  <c r="O555" i="43"/>
  <c r="O587" i="43"/>
  <c r="O619" i="43"/>
  <c r="O651" i="43"/>
  <c r="O683" i="43"/>
  <c r="O711" i="43"/>
  <c r="O743" i="43"/>
  <c r="O775" i="43"/>
  <c r="O807" i="43"/>
  <c r="O839" i="43"/>
  <c r="O871" i="43"/>
  <c r="O903" i="43"/>
  <c r="O935" i="43"/>
  <c r="O967" i="43"/>
  <c r="O999" i="43"/>
  <c r="O1026" i="43"/>
  <c r="O1042" i="43"/>
  <c r="O1058" i="43"/>
  <c r="O1074" i="43"/>
  <c r="O1090" i="43"/>
  <c r="O1106" i="43"/>
  <c r="O1122" i="43"/>
  <c r="O1138" i="43"/>
  <c r="O1154" i="43"/>
  <c r="O1170" i="43"/>
  <c r="O1186" i="43"/>
  <c r="O1202" i="43"/>
  <c r="O1218" i="43"/>
  <c r="O1234" i="43"/>
  <c r="O1250" i="43"/>
  <c r="O1266" i="43"/>
  <c r="O1282" i="43"/>
  <c r="O1298" i="43"/>
  <c r="O1314" i="43"/>
  <c r="O1330" i="43"/>
  <c r="O1346" i="43"/>
  <c r="O17" i="43"/>
  <c r="O146" i="43"/>
  <c r="O274" i="43"/>
  <c r="O373" i="43"/>
  <c r="O437" i="43"/>
  <c r="O501" i="43"/>
  <c r="O540" i="43"/>
  <c r="O572" i="43"/>
  <c r="O604" i="43"/>
  <c r="O636" i="43"/>
  <c r="O668" i="43"/>
  <c r="O700" i="43"/>
  <c r="O730" i="43"/>
  <c r="O762" i="43"/>
  <c r="O794" i="43"/>
  <c r="O826" i="43"/>
  <c r="O858" i="43"/>
  <c r="O890" i="43"/>
  <c r="O922" i="43"/>
  <c r="O954" i="43"/>
  <c r="O986" i="43"/>
  <c r="O1017" i="43"/>
  <c r="O1035" i="43"/>
  <c r="O1051" i="43"/>
  <c r="O1067" i="43"/>
  <c r="O1083" i="43"/>
  <c r="O1099" i="43"/>
  <c r="O1115" i="43"/>
  <c r="O1131" i="43"/>
  <c r="O1147" i="43"/>
  <c r="O1163" i="43"/>
  <c r="O1179" i="43"/>
  <c r="O1195" i="43"/>
  <c r="O1211" i="43"/>
  <c r="O1227" i="43"/>
  <c r="O1243" i="43"/>
  <c r="O1259" i="43"/>
  <c r="O1275" i="43"/>
  <c r="O1291" i="43"/>
  <c r="O1307" i="43"/>
  <c r="O1323" i="43"/>
  <c r="O427" i="43"/>
  <c r="O459" i="43"/>
  <c r="O491" i="43"/>
  <c r="O24" i="43"/>
  <c r="O105" i="43"/>
  <c r="O169" i="43"/>
  <c r="O233" i="43"/>
  <c r="O297" i="43"/>
  <c r="O352" i="43"/>
  <c r="O384" i="43"/>
  <c r="O416" i="43"/>
  <c r="O448" i="43"/>
  <c r="O480" i="43"/>
  <c r="O512" i="43"/>
  <c r="O529" i="43"/>
  <c r="O545" i="43"/>
  <c r="O561" i="43"/>
  <c r="O577" i="43"/>
  <c r="O593" i="43"/>
  <c r="O609" i="43"/>
  <c r="O625" i="43"/>
  <c r="O641" i="43"/>
  <c r="O657" i="43"/>
  <c r="O673" i="43"/>
  <c r="O689" i="43"/>
  <c r="O704" i="43"/>
  <c r="O720" i="43"/>
  <c r="O736" i="43"/>
  <c r="O752" i="43"/>
  <c r="O768" i="43"/>
  <c r="O784" i="43"/>
  <c r="O800" i="43"/>
  <c r="O816" i="43"/>
  <c r="O832" i="43"/>
  <c r="O848" i="43"/>
  <c r="O864" i="43"/>
  <c r="O880" i="43"/>
  <c r="O896" i="43"/>
  <c r="O912" i="43"/>
  <c r="O928" i="43"/>
  <c r="O944" i="43"/>
  <c r="O960" i="43"/>
  <c r="O976" i="43"/>
  <c r="O992" i="43"/>
  <c r="O1008" i="43"/>
  <c r="O9" i="43"/>
  <c r="O74" i="43"/>
  <c r="O138" i="43"/>
  <c r="O202" i="43"/>
  <c r="O266" i="43"/>
  <c r="O331" i="43"/>
  <c r="O369" i="43"/>
  <c r="O401" i="43"/>
  <c r="O433" i="43"/>
  <c r="O465" i="43"/>
  <c r="O497" i="43"/>
  <c r="O522" i="43"/>
  <c r="O538" i="43"/>
  <c r="O554" i="43"/>
  <c r="O570" i="43"/>
  <c r="O586" i="43"/>
  <c r="O602" i="43"/>
  <c r="O618" i="43"/>
  <c r="O634" i="43"/>
  <c r="O650" i="43"/>
  <c r="O666" i="43"/>
  <c r="O682" i="43"/>
  <c r="O698" i="43"/>
  <c r="O717" i="43"/>
  <c r="O733" i="43"/>
  <c r="O749" i="43"/>
  <c r="O765" i="43"/>
  <c r="O781" i="43"/>
  <c r="O797" i="43"/>
  <c r="O813" i="43"/>
  <c r="O829" i="43"/>
  <c r="O845" i="43"/>
  <c r="O861" i="43"/>
  <c r="O877" i="43"/>
  <c r="O893" i="43"/>
  <c r="O909" i="43"/>
  <c r="O925" i="43"/>
  <c r="O941" i="43"/>
  <c r="O957" i="43"/>
  <c r="O973" i="43"/>
  <c r="O989" i="43"/>
  <c r="O1005" i="43"/>
  <c r="O1020" i="43"/>
  <c r="O113" i="43"/>
  <c r="O241" i="43"/>
  <c r="O356" i="43"/>
  <c r="O420" i="43"/>
  <c r="O484" i="43"/>
  <c r="O531" i="43"/>
  <c r="O563" i="43"/>
  <c r="O595" i="43"/>
  <c r="O627" i="43"/>
  <c r="O659" i="43"/>
  <c r="O691" i="43"/>
  <c r="O719" i="43"/>
  <c r="O751" i="43"/>
  <c r="O783" i="43"/>
  <c r="O815" i="43"/>
  <c r="O847" i="43"/>
  <c r="O879" i="43"/>
  <c r="O911" i="43"/>
  <c r="O943" i="43"/>
  <c r="O975" i="43"/>
  <c r="O1007" i="43"/>
  <c r="O1030" i="43"/>
  <c r="O1046" i="43"/>
  <c r="O1062" i="43"/>
  <c r="O1078" i="43"/>
  <c r="O1094" i="43"/>
  <c r="O1110" i="43"/>
  <c r="O1126" i="43"/>
  <c r="O1142" i="43"/>
  <c r="O1158" i="43"/>
  <c r="O1174" i="43"/>
  <c r="O1190" i="43"/>
  <c r="O1206" i="43"/>
  <c r="O1222" i="43"/>
  <c r="O1238" i="43"/>
  <c r="O1254" i="43"/>
  <c r="O1270" i="43"/>
  <c r="O1286" i="43"/>
  <c r="O1302" i="43"/>
  <c r="O1318" i="43"/>
  <c r="O1334" i="43"/>
  <c r="O1350" i="43"/>
  <c r="O49" i="43"/>
  <c r="O178" i="43"/>
  <c r="O306" i="43"/>
  <c r="O389" i="43"/>
  <c r="O453" i="43"/>
  <c r="O516" i="43"/>
  <c r="O548" i="43"/>
  <c r="O580" i="43"/>
  <c r="O612" i="43"/>
  <c r="O644" i="43"/>
  <c r="O676" i="43"/>
  <c r="O706" i="43"/>
  <c r="O738" i="43"/>
  <c r="O770" i="43"/>
  <c r="O802" i="43"/>
  <c r="O834" i="43"/>
  <c r="O866" i="43"/>
  <c r="O898" i="43"/>
  <c r="O930" i="43"/>
  <c r="O962" i="43"/>
  <c r="O994" i="43"/>
  <c r="O1023" i="43"/>
  <c r="O1039" i="43"/>
  <c r="O1055" i="43"/>
  <c r="O1071" i="43"/>
  <c r="O1087" i="43"/>
  <c r="O1103" i="43"/>
  <c r="O1119" i="43"/>
  <c r="O1135" i="43"/>
  <c r="O1151" i="43"/>
  <c r="O1167" i="43"/>
  <c r="O1183" i="43"/>
  <c r="O1199" i="43"/>
  <c r="O1215" i="43"/>
  <c r="O1231" i="43"/>
  <c r="O1247" i="43"/>
  <c r="O1263" i="43"/>
  <c r="O1279" i="43"/>
  <c r="O1295" i="43"/>
  <c r="O1311" i="43"/>
  <c r="O1327" i="43"/>
  <c r="O435" i="43"/>
  <c r="O467" i="43"/>
  <c r="O499" i="43"/>
  <c r="O40" i="43"/>
  <c r="O121" i="43"/>
  <c r="O185" i="43"/>
  <c r="O249" i="43"/>
  <c r="O314" i="43"/>
  <c r="O360" i="43"/>
  <c r="O392" i="43"/>
  <c r="O424" i="43"/>
  <c r="O456" i="43"/>
  <c r="O488" i="43"/>
  <c r="O517" i="43"/>
  <c r="O533" i="43"/>
  <c r="O549" i="43"/>
  <c r="O565" i="43"/>
  <c r="O581" i="43"/>
  <c r="O597" i="43"/>
  <c r="O613" i="43"/>
  <c r="O629" i="43"/>
  <c r="O645" i="43"/>
  <c r="O661" i="43"/>
  <c r="O677" i="43"/>
  <c r="O693" i="43"/>
  <c r="O708" i="43"/>
  <c r="O724" i="43"/>
  <c r="O740" i="43"/>
  <c r="O756" i="43"/>
  <c r="O772" i="43"/>
  <c r="O788" i="43"/>
  <c r="O804" i="43"/>
  <c r="O820" i="43"/>
  <c r="O836" i="43"/>
  <c r="O852" i="43"/>
  <c r="O868" i="43"/>
  <c r="O884" i="43"/>
  <c r="O900" i="43"/>
  <c r="O916" i="43"/>
  <c r="O932" i="43"/>
  <c r="O948" i="43"/>
  <c r="O964" i="43"/>
  <c r="O980" i="43"/>
  <c r="O996" i="43"/>
  <c r="O1011" i="43"/>
  <c r="O25" i="43"/>
  <c r="O90" i="43"/>
  <c r="O154" i="43"/>
  <c r="O218" i="43"/>
  <c r="O282" i="43"/>
  <c r="O345" i="43"/>
  <c r="O377" i="43"/>
  <c r="O409" i="43"/>
  <c r="O441" i="43"/>
  <c r="O473" i="43"/>
  <c r="O505" i="43"/>
  <c r="O526" i="43"/>
  <c r="O542" i="43"/>
  <c r="O558" i="43"/>
  <c r="O574" i="43"/>
  <c r="O590" i="43"/>
  <c r="O606" i="43"/>
  <c r="O622" i="43"/>
  <c r="O638" i="43"/>
  <c r="O654" i="43"/>
  <c r="O670" i="43"/>
  <c r="O686" i="43"/>
  <c r="O705" i="43"/>
  <c r="O721" i="43"/>
  <c r="O737" i="43"/>
  <c r="O753" i="43"/>
  <c r="O769" i="43"/>
  <c r="O785" i="43"/>
  <c r="O801" i="43"/>
  <c r="O817" i="43"/>
  <c r="O833" i="43"/>
  <c r="O849" i="43"/>
  <c r="O865" i="43"/>
  <c r="O881" i="43"/>
  <c r="O897" i="43"/>
  <c r="O913" i="43"/>
  <c r="O929" i="43"/>
  <c r="O945" i="43"/>
  <c r="O961" i="43"/>
  <c r="O977" i="43"/>
  <c r="O993" i="43"/>
  <c r="O1009" i="43"/>
  <c r="O16" i="43"/>
  <c r="O145" i="43"/>
  <c r="O273" i="43"/>
  <c r="O372" i="43"/>
  <c r="O436" i="43"/>
  <c r="O500" i="43"/>
  <c r="O539" i="43"/>
  <c r="O571" i="43"/>
  <c r="O603" i="43"/>
  <c r="O635" i="43"/>
  <c r="O667" i="43"/>
  <c r="O699" i="43"/>
  <c r="O727" i="43"/>
  <c r="O759" i="43"/>
  <c r="O791" i="43"/>
  <c r="O823" i="43"/>
  <c r="O855" i="43"/>
  <c r="O887" i="43"/>
  <c r="O919" i="43"/>
  <c r="O951" i="43"/>
  <c r="O983" i="43"/>
  <c r="O1014" i="43"/>
  <c r="O1034" i="43"/>
  <c r="O1050" i="43"/>
  <c r="O1066" i="43"/>
  <c r="O1082" i="43"/>
  <c r="O1098" i="43"/>
  <c r="O1114" i="43"/>
  <c r="O1130" i="43"/>
  <c r="O1146" i="43"/>
  <c r="O1162" i="43"/>
  <c r="O1178" i="43"/>
  <c r="O1194" i="43"/>
  <c r="O1210" i="43"/>
  <c r="O1226" i="43"/>
  <c r="O1242" i="43"/>
  <c r="O1258" i="43"/>
  <c r="O1274" i="43"/>
  <c r="O1290" i="43"/>
  <c r="O1306" i="43"/>
  <c r="O1322" i="43"/>
  <c r="O1338" i="43"/>
  <c r="O1354" i="43"/>
  <c r="O82" i="43"/>
  <c r="O210" i="43"/>
  <c r="O339" i="43"/>
  <c r="O405" i="43"/>
  <c r="O469" i="43"/>
  <c r="O524" i="43"/>
  <c r="O556" i="43"/>
  <c r="O588" i="43"/>
  <c r="O620" i="43"/>
  <c r="O652" i="43"/>
  <c r="O684" i="43"/>
  <c r="O714" i="43"/>
  <c r="O746" i="43"/>
  <c r="O778" i="43"/>
  <c r="O810" i="43"/>
  <c r="O842" i="43"/>
  <c r="O874" i="43"/>
  <c r="O906" i="43"/>
  <c r="O938" i="43"/>
  <c r="O970" i="43"/>
  <c r="O1002" i="43"/>
  <c r="O1027" i="43"/>
  <c r="O1043" i="43"/>
  <c r="O1059" i="43"/>
  <c r="O1075" i="43"/>
  <c r="O1091" i="43"/>
  <c r="O1107" i="43"/>
  <c r="O1123" i="43"/>
  <c r="O1139" i="43"/>
  <c r="O1155" i="43"/>
  <c r="O1171" i="43"/>
  <c r="O1187" i="43"/>
  <c r="O1203" i="43"/>
  <c r="O1219" i="43"/>
  <c r="O1235" i="43"/>
  <c r="O1251" i="43"/>
  <c r="O1267" i="43"/>
  <c r="O1283" i="43"/>
  <c r="O1299" i="43"/>
  <c r="O1315" i="43"/>
  <c r="O1331" i="43"/>
  <c r="O1347" i="43"/>
  <c r="O32" i="43"/>
  <c r="O289" i="43"/>
  <c r="O444" i="43"/>
  <c r="O543" i="43"/>
  <c r="O607" i="43"/>
  <c r="O671" i="43"/>
  <c r="O747" i="43"/>
  <c r="O811" i="43"/>
  <c r="O875" i="43"/>
  <c r="O939" i="43"/>
  <c r="O1003" i="43"/>
  <c r="O1044" i="43"/>
  <c r="O1076" i="43"/>
  <c r="O1108" i="43"/>
  <c r="O1140" i="43"/>
  <c r="O1172" i="43"/>
  <c r="O1204" i="43"/>
  <c r="O1236" i="43"/>
  <c r="O1268" i="43"/>
  <c r="O1300" i="43"/>
  <c r="O1332" i="43"/>
  <c r="O33" i="43"/>
  <c r="O290" i="43"/>
  <c r="O445" i="43"/>
  <c r="O544" i="43"/>
  <c r="O608" i="43"/>
  <c r="O672" i="43"/>
  <c r="O734" i="43"/>
  <c r="O798" i="43"/>
  <c r="O862" i="43"/>
  <c r="O926" i="43"/>
  <c r="O990" i="43"/>
  <c r="O1037" i="43"/>
  <c r="O1069" i="43"/>
  <c r="O1101" i="43"/>
  <c r="O1133" i="43"/>
  <c r="O1165" i="43"/>
  <c r="O1197" i="43"/>
  <c r="O1229" i="43"/>
  <c r="O1261" i="43"/>
  <c r="O1293" i="43"/>
  <c r="O1325" i="43"/>
  <c r="O1357" i="43"/>
  <c r="O257" i="43"/>
  <c r="O428" i="43"/>
  <c r="O535" i="43"/>
  <c r="O599" i="43"/>
  <c r="O663" i="43"/>
  <c r="O723" i="43"/>
  <c r="O787" i="43"/>
  <c r="O851" i="43"/>
  <c r="O915" i="43"/>
  <c r="O979" i="43"/>
  <c r="O1040" i="43"/>
  <c r="O1072" i="43"/>
  <c r="O1104" i="43"/>
  <c r="O1136" i="43"/>
  <c r="O1168" i="43"/>
  <c r="O1200" i="43"/>
  <c r="O1232" i="43"/>
  <c r="O1264" i="43"/>
  <c r="O1296" i="43"/>
  <c r="O1328" i="43"/>
  <c r="O1360" i="43"/>
  <c r="O461" i="43"/>
  <c r="O726" i="43"/>
  <c r="O982" i="43"/>
  <c r="O1121" i="43"/>
  <c r="O1249" i="43"/>
  <c r="O1363" i="43"/>
  <c r="O1380" i="43"/>
  <c r="O1396" i="43"/>
  <c r="O1412" i="43"/>
  <c r="O1428" i="43"/>
  <c r="O1444" i="43"/>
  <c r="O1460" i="43"/>
  <c r="O1476" i="43"/>
  <c r="O1492" i="43"/>
  <c r="O1508" i="43"/>
  <c r="O1524" i="43"/>
  <c r="O1540" i="43"/>
  <c r="O1556" i="43"/>
  <c r="O1572" i="43"/>
  <c r="O1588" i="43"/>
  <c r="O1604" i="43"/>
  <c r="O1620" i="43"/>
  <c r="O1636" i="43"/>
  <c r="O1652" i="43"/>
  <c r="O1668" i="43"/>
  <c r="O1684" i="43"/>
  <c r="O1700" i="43"/>
  <c r="O1716" i="43"/>
  <c r="O1732" i="43"/>
  <c r="O1748" i="43"/>
  <c r="O1764" i="43"/>
  <c r="O1780" i="43"/>
  <c r="O1796" i="43"/>
  <c r="O1812" i="43"/>
  <c r="O1828" i="43"/>
  <c r="O1844" i="43"/>
  <c r="O1860" i="43"/>
  <c r="O1876" i="43"/>
  <c r="O1892" i="43"/>
  <c r="O1908" i="43"/>
  <c r="O1924" i="43"/>
  <c r="O1940" i="43"/>
  <c r="O1956" i="43"/>
  <c r="O365" i="43"/>
  <c r="O696" i="43"/>
  <c r="O934" i="43"/>
  <c r="O1097" i="43"/>
  <c r="O1225" i="43"/>
  <c r="O1353" i="43"/>
  <c r="O1377" i="43"/>
  <c r="O1393" i="43"/>
  <c r="O1409" i="43"/>
  <c r="O1425" i="43"/>
  <c r="O1441" i="43"/>
  <c r="O1457" i="43"/>
  <c r="O1473" i="43"/>
  <c r="O1489" i="43"/>
  <c r="O1505" i="43"/>
  <c r="O1521" i="43"/>
  <c r="O1537" i="43"/>
  <c r="O1553" i="43"/>
  <c r="O1569" i="43"/>
  <c r="O1585" i="43"/>
  <c r="O1601" i="43"/>
  <c r="O1617" i="43"/>
  <c r="O1633" i="43"/>
  <c r="O1649" i="43"/>
  <c r="O1665" i="43"/>
  <c r="O1681" i="43"/>
  <c r="O1697" i="43"/>
  <c r="O1713" i="43"/>
  <c r="O1729" i="43"/>
  <c r="O1745" i="43"/>
  <c r="O1761" i="43"/>
  <c r="O1777" i="43"/>
  <c r="O1793" i="43"/>
  <c r="O1809" i="43"/>
  <c r="O1825" i="43"/>
  <c r="O1841" i="43"/>
  <c r="O1857" i="43"/>
  <c r="O1873" i="43"/>
  <c r="O1889" i="43"/>
  <c r="O1905" i="43"/>
  <c r="O1921" i="43"/>
  <c r="O1937" i="43"/>
  <c r="O1953" i="43"/>
  <c r="O194" i="43"/>
  <c r="O648" i="43"/>
  <c r="O950" i="43"/>
  <c r="O1137" i="43"/>
  <c r="O1265" i="43"/>
  <c r="O1366" i="43"/>
  <c r="O1382" i="43"/>
  <c r="O1398" i="43"/>
  <c r="O1414" i="43"/>
  <c r="O1430" i="43"/>
  <c r="O1446" i="43"/>
  <c r="O1462" i="43"/>
  <c r="O1478" i="43"/>
  <c r="O1494" i="43"/>
  <c r="O1510" i="43"/>
  <c r="O1526" i="43"/>
  <c r="O1542" i="43"/>
  <c r="O1558" i="43"/>
  <c r="O1574" i="43"/>
  <c r="O1590" i="43"/>
  <c r="O1606" i="43"/>
  <c r="O1622" i="43"/>
  <c r="O1638" i="43"/>
  <c r="O1654" i="43"/>
  <c r="O1670" i="43"/>
  <c r="O1686" i="43"/>
  <c r="O1702" i="43"/>
  <c r="O1718" i="43"/>
  <c r="O1734" i="43"/>
  <c r="O1750" i="43"/>
  <c r="O1766" i="43"/>
  <c r="O1782" i="43"/>
  <c r="O1798" i="43"/>
  <c r="O1814" i="43"/>
  <c r="O1830" i="43"/>
  <c r="O1846" i="43"/>
  <c r="O1862" i="43"/>
  <c r="O1878" i="43"/>
  <c r="O1894" i="43"/>
  <c r="O1910" i="43"/>
  <c r="O1926" i="43"/>
  <c r="O1942" i="43"/>
  <c r="O1958" i="43"/>
  <c r="O838" i="43"/>
  <c r="O1367" i="43"/>
  <c r="O1431" i="43"/>
  <c r="O1495" i="43"/>
  <c r="O1559" i="43"/>
  <c r="O1623" i="43"/>
  <c r="O1687" i="43"/>
  <c r="O1751" i="43"/>
  <c r="O1815" i="43"/>
  <c r="O1879" i="43"/>
  <c r="O1943" i="43"/>
  <c r="O1976" i="43"/>
  <c r="O1992" i="43"/>
  <c r="O2008" i="43"/>
  <c r="O2024" i="43"/>
  <c r="O2040" i="43"/>
  <c r="O2056" i="43"/>
  <c r="O2072" i="43"/>
  <c r="O2088" i="43"/>
  <c r="O2104" i="43"/>
  <c r="O2120" i="43"/>
  <c r="O2136" i="43"/>
  <c r="O2152" i="43"/>
  <c r="O2168" i="43"/>
  <c r="O2184" i="43"/>
  <c r="O2200" i="43"/>
  <c r="O2216" i="43"/>
  <c r="O2232" i="43"/>
  <c r="O2248" i="43"/>
  <c r="O2264" i="43"/>
  <c r="O2280" i="43"/>
  <c r="O2296" i="43"/>
  <c r="O2312" i="43"/>
  <c r="O2328" i="43"/>
  <c r="O2344" i="43"/>
  <c r="O2360" i="43"/>
  <c r="O2376" i="43"/>
  <c r="O2392" i="43"/>
  <c r="O2408" i="43"/>
  <c r="O2424" i="43"/>
  <c r="O2443" i="43"/>
  <c r="O2459" i="43"/>
  <c r="O2475" i="43"/>
  <c r="O2491" i="43"/>
  <c r="O2507" i="43"/>
  <c r="O2523" i="43"/>
  <c r="O2539" i="43"/>
  <c r="O2555" i="43"/>
  <c r="O2571" i="43"/>
  <c r="O2587" i="43"/>
  <c r="O2603" i="43"/>
  <c r="O2618" i="43"/>
  <c r="O2634" i="43"/>
  <c r="O2650" i="43"/>
  <c r="O2666" i="43"/>
  <c r="O2682" i="43"/>
  <c r="O2698" i="43"/>
  <c r="O2714" i="43"/>
  <c r="O2730" i="43"/>
  <c r="O2746" i="43"/>
  <c r="O2762" i="43"/>
  <c r="O2778" i="43"/>
  <c r="O2794" i="43"/>
  <c r="O2810" i="43"/>
  <c r="O2826" i="43"/>
  <c r="O2842" i="43"/>
  <c r="O2861" i="43"/>
  <c r="O2877" i="43"/>
  <c r="O2893" i="43"/>
  <c r="O2909" i="43"/>
  <c r="O2925" i="43"/>
  <c r="O2941" i="43"/>
  <c r="O2957" i="43"/>
  <c r="O2972" i="43"/>
  <c r="O2988" i="43"/>
  <c r="O3004" i="43"/>
  <c r="O3019" i="43"/>
  <c r="O3035" i="43"/>
  <c r="O3050" i="43"/>
  <c r="O3066" i="43"/>
  <c r="O3082" i="43"/>
  <c r="O3098" i="43"/>
  <c r="O3114" i="43"/>
  <c r="O3129" i="43"/>
  <c r="O3148" i="43"/>
  <c r="O902" i="43"/>
  <c r="O1371" i="43"/>
  <c r="O1435" i="43"/>
  <c r="O1499" i="43"/>
  <c r="O1563" i="43"/>
  <c r="O1627" i="43"/>
  <c r="O1691" i="43"/>
  <c r="O1755" i="43"/>
  <c r="O1819" i="43"/>
  <c r="O1883" i="43"/>
  <c r="O1947" i="43"/>
  <c r="O1977" i="43"/>
  <c r="O1993" i="43"/>
  <c r="O2009" i="43"/>
  <c r="O2025" i="43"/>
  <c r="O2041" i="43"/>
  <c r="O2057" i="43"/>
  <c r="O2073" i="43"/>
  <c r="O2089" i="43"/>
  <c r="O2105" i="43"/>
  <c r="O2121" i="43"/>
  <c r="O2137" i="43"/>
  <c r="O2153" i="43"/>
  <c r="O2169" i="43"/>
  <c r="O2185" i="43"/>
  <c r="O2201" i="43"/>
  <c r="O2217" i="43"/>
  <c r="O2233" i="43"/>
  <c r="O2249" i="43"/>
  <c r="O2265" i="43"/>
  <c r="O2281" i="43"/>
  <c r="O2297" i="43"/>
  <c r="O2313" i="43"/>
  <c r="O2329" i="43"/>
  <c r="O2345" i="43"/>
  <c r="O2361" i="43"/>
  <c r="O2377" i="43"/>
  <c r="O2393" i="43"/>
  <c r="O2409" i="43"/>
  <c r="O2425" i="43"/>
  <c r="O2440" i="43"/>
  <c r="O2456" i="43"/>
  <c r="O2472" i="43"/>
  <c r="O2488" i="43"/>
  <c r="O2504" i="43"/>
  <c r="O2520" i="43"/>
  <c r="O2536" i="43"/>
  <c r="O2552" i="43"/>
  <c r="O2568" i="43"/>
  <c r="O2584" i="43"/>
  <c r="O2600" i="43"/>
  <c r="O2615" i="43"/>
  <c r="O2631" i="43"/>
  <c r="O2647" i="43"/>
  <c r="O2663" i="43"/>
  <c r="O2679" i="43"/>
  <c r="O2695" i="43"/>
  <c r="O2711" i="43"/>
  <c r="O2727" i="43"/>
  <c r="O2743" i="43"/>
  <c r="O2759" i="43"/>
  <c r="O2775" i="43"/>
  <c r="O2791" i="43"/>
  <c r="O1335" i="43"/>
  <c r="O1351" i="43"/>
  <c r="O97" i="43"/>
  <c r="O348" i="43"/>
  <c r="O476" i="43"/>
  <c r="O559" i="43"/>
  <c r="O623" i="43"/>
  <c r="O687" i="43"/>
  <c r="O763" i="43"/>
  <c r="O827" i="43"/>
  <c r="O891" i="43"/>
  <c r="O955" i="43"/>
  <c r="O1018" i="43"/>
  <c r="O1052" i="43"/>
  <c r="O1084" i="43"/>
  <c r="O1116" i="43"/>
  <c r="O1148" i="43"/>
  <c r="O1180" i="43"/>
  <c r="O1212" i="43"/>
  <c r="O1244" i="43"/>
  <c r="O1276" i="43"/>
  <c r="O1308" i="43"/>
  <c r="O1340" i="43"/>
  <c r="O98" i="43"/>
  <c r="O349" i="43"/>
  <c r="O477" i="43"/>
  <c r="O560" i="43"/>
  <c r="O624" i="43"/>
  <c r="O688" i="43"/>
  <c r="O750" i="43"/>
  <c r="O814" i="43"/>
  <c r="O878" i="43"/>
  <c r="O942" i="43"/>
  <c r="O1006" i="43"/>
  <c r="O1045" i="43"/>
  <c r="O1077" i="43"/>
  <c r="O1109" i="43"/>
  <c r="O1141" i="43"/>
  <c r="O1173" i="43"/>
  <c r="O1205" i="43"/>
  <c r="O1237" i="43"/>
  <c r="O1269" i="43"/>
  <c r="O1301" i="43"/>
  <c r="O1333" i="43"/>
  <c r="O64" i="43"/>
  <c r="O322" i="43"/>
  <c r="O460" i="43"/>
  <c r="O551" i="43"/>
  <c r="O615" i="43"/>
  <c r="O679" i="43"/>
  <c r="O739" i="43"/>
  <c r="O803" i="43"/>
  <c r="O867" i="43"/>
  <c r="O931" i="43"/>
  <c r="O995" i="43"/>
  <c r="O1048" i="43"/>
  <c r="O1080" i="43"/>
  <c r="O1112" i="43"/>
  <c r="O1144" i="43"/>
  <c r="O1176" i="43"/>
  <c r="O1208" i="43"/>
  <c r="O1240" i="43"/>
  <c r="O1272" i="43"/>
  <c r="O1304" i="43"/>
  <c r="O1336" i="43"/>
  <c r="O1364" i="43"/>
  <c r="O552" i="43"/>
  <c r="O790" i="43"/>
  <c r="O1025" i="43"/>
  <c r="O1153" i="43"/>
  <c r="O1281" i="43"/>
  <c r="O1368" i="43"/>
  <c r="O1384" i="43"/>
  <c r="O1400" i="43"/>
  <c r="O1416" i="43"/>
  <c r="O1432" i="43"/>
  <c r="O1448" i="43"/>
  <c r="O1464" i="43"/>
  <c r="O1480" i="43"/>
  <c r="O1496" i="43"/>
  <c r="O1512" i="43"/>
  <c r="O1528" i="43"/>
  <c r="O1544" i="43"/>
  <c r="O1560" i="43"/>
  <c r="O1576" i="43"/>
  <c r="O1592" i="43"/>
  <c r="O1608" i="43"/>
  <c r="O1624" i="43"/>
  <c r="O1640" i="43"/>
  <c r="O1656" i="43"/>
  <c r="O1672" i="43"/>
  <c r="O1688" i="43"/>
  <c r="O1704" i="43"/>
  <c r="O1720" i="43"/>
  <c r="O1736" i="43"/>
  <c r="O1752" i="43"/>
  <c r="O1768" i="43"/>
  <c r="O1784" i="43"/>
  <c r="O1800" i="43"/>
  <c r="O1816" i="43"/>
  <c r="O1832" i="43"/>
  <c r="O1848" i="43"/>
  <c r="O1864" i="43"/>
  <c r="O1880" i="43"/>
  <c r="O1896" i="43"/>
  <c r="O1912" i="43"/>
  <c r="O1928" i="43"/>
  <c r="O1944" i="43"/>
  <c r="O1960" i="43"/>
  <c r="O493" i="43"/>
  <c r="O742" i="43"/>
  <c r="O998" i="43"/>
  <c r="O1129" i="43"/>
  <c r="O1257" i="43"/>
  <c r="O1365" i="43"/>
  <c r="O1381" i="43"/>
  <c r="O1397" i="43"/>
  <c r="O1413" i="43"/>
  <c r="O1429" i="43"/>
  <c r="O1445" i="43"/>
  <c r="O1461" i="43"/>
  <c r="O1477" i="43"/>
  <c r="O1493" i="43"/>
  <c r="O1509" i="43"/>
  <c r="O1525" i="43"/>
  <c r="O1541" i="43"/>
  <c r="O1557" i="43"/>
  <c r="O1573" i="43"/>
  <c r="O1589" i="43"/>
  <c r="O1605" i="43"/>
  <c r="O1621" i="43"/>
  <c r="O1637" i="43"/>
  <c r="O1653" i="43"/>
  <c r="O1669" i="43"/>
  <c r="O1685" i="43"/>
  <c r="O1701" i="43"/>
  <c r="O1717" i="43"/>
  <c r="O1733" i="43"/>
  <c r="O1749" i="43"/>
  <c r="O1765" i="43"/>
  <c r="O1781" i="43"/>
  <c r="O1797" i="43"/>
  <c r="O1813" i="43"/>
  <c r="O1829" i="43"/>
  <c r="O1845" i="43"/>
  <c r="O1861" i="43"/>
  <c r="O1877" i="43"/>
  <c r="O1893" i="43"/>
  <c r="O1909" i="43"/>
  <c r="O1925" i="43"/>
  <c r="O1941" i="43"/>
  <c r="O1957" i="43"/>
  <c r="O397" i="43"/>
  <c r="O758" i="43"/>
  <c r="O1041" i="43"/>
  <c r="O1169" i="43"/>
  <c r="O1297" i="43"/>
  <c r="O1370" i="43"/>
  <c r="O1386" i="43"/>
  <c r="O1402" i="43"/>
  <c r="O1418" i="43"/>
  <c r="O1434" i="43"/>
  <c r="O1450" i="43"/>
  <c r="O1466" i="43"/>
  <c r="O1482" i="43"/>
  <c r="O1498" i="43"/>
  <c r="O1514" i="43"/>
  <c r="O1530" i="43"/>
  <c r="O1546" i="43"/>
  <c r="O1562" i="43"/>
  <c r="O1578" i="43"/>
  <c r="O1594" i="43"/>
  <c r="O1610" i="43"/>
  <c r="O1626" i="43"/>
  <c r="O1642" i="43"/>
  <c r="O1658" i="43"/>
  <c r="O1674" i="43"/>
  <c r="O1690" i="43"/>
  <c r="O1706" i="43"/>
  <c r="O1722" i="43"/>
  <c r="O1738" i="43"/>
  <c r="O1754" i="43"/>
  <c r="O1770" i="43"/>
  <c r="O1786" i="43"/>
  <c r="O1802" i="43"/>
  <c r="O1818" i="43"/>
  <c r="O1834" i="43"/>
  <c r="O1850" i="43"/>
  <c r="O1866" i="43"/>
  <c r="O1882" i="43"/>
  <c r="O1898" i="43"/>
  <c r="O1914" i="43"/>
  <c r="O1930" i="43"/>
  <c r="O1946" i="43"/>
  <c r="O1962" i="43"/>
  <c r="O1013" i="43"/>
  <c r="O1383" i="43"/>
  <c r="O1447" i="43"/>
  <c r="O1511" i="43"/>
  <c r="O1575" i="43"/>
  <c r="O1639" i="43"/>
  <c r="O1703" i="43"/>
  <c r="O1767" i="43"/>
  <c r="O1831" i="43"/>
  <c r="O1895" i="43"/>
  <c r="O1959" i="43"/>
  <c r="O1980" i="43"/>
  <c r="O1996" i="43"/>
  <c r="O2012" i="43"/>
  <c r="O2028" i="43"/>
  <c r="O2044" i="43"/>
  <c r="O2060" i="43"/>
  <c r="O2076" i="43"/>
  <c r="O2092" i="43"/>
  <c r="O2108" i="43"/>
  <c r="O2124" i="43"/>
  <c r="O2140" i="43"/>
  <c r="O2156" i="43"/>
  <c r="O2172" i="43"/>
  <c r="O2188" i="43"/>
  <c r="O2204" i="43"/>
  <c r="O2220" i="43"/>
  <c r="O2236" i="43"/>
  <c r="O2252" i="43"/>
  <c r="O2268" i="43"/>
  <c r="O2284" i="43"/>
  <c r="O2300" i="43"/>
  <c r="O2316" i="43"/>
  <c r="O2332" i="43"/>
  <c r="O2348" i="43"/>
  <c r="O2364" i="43"/>
  <c r="O2380" i="43"/>
  <c r="O2396" i="43"/>
  <c r="O2412" i="43"/>
  <c r="O2428" i="43"/>
  <c r="O2447" i="43"/>
  <c r="O2463" i="43"/>
  <c r="O2479" i="43"/>
  <c r="O2495" i="43"/>
  <c r="O2511" i="43"/>
  <c r="O2527" i="43"/>
  <c r="O2543" i="43"/>
  <c r="O2559" i="43"/>
  <c r="O2575" i="43"/>
  <c r="O2591" i="43"/>
  <c r="O2606" i="43"/>
  <c r="O2622" i="43"/>
  <c r="O2638" i="43"/>
  <c r="O2654" i="43"/>
  <c r="O2670" i="43"/>
  <c r="O2686" i="43"/>
  <c r="O2702" i="43"/>
  <c r="O2718" i="43"/>
  <c r="O2734" i="43"/>
  <c r="O2750" i="43"/>
  <c r="O2766" i="43"/>
  <c r="O2782" i="43"/>
  <c r="O2798" i="43"/>
  <c r="O2814" i="43"/>
  <c r="O2830" i="43"/>
  <c r="O2846" i="43"/>
  <c r="O2865" i="43"/>
  <c r="O2881" i="43"/>
  <c r="O2897" i="43"/>
  <c r="O2913" i="43"/>
  <c r="O2929" i="43"/>
  <c r="O2945" i="43"/>
  <c r="O2961" i="43"/>
  <c r="O2976" i="43"/>
  <c r="O2992" i="43"/>
  <c r="O3007" i="43"/>
  <c r="O3023" i="43"/>
  <c r="O3039" i="43"/>
  <c r="O3054" i="43"/>
  <c r="O3070" i="43"/>
  <c r="O3086" i="43"/>
  <c r="O3102" i="43"/>
  <c r="O3118" i="43"/>
  <c r="O3136" i="43"/>
  <c r="O3152" i="43"/>
  <c r="O1049" i="43"/>
  <c r="O1387" i="43"/>
  <c r="O1451" i="43"/>
  <c r="O1515" i="43"/>
  <c r="O1579" i="43"/>
  <c r="O1643" i="43"/>
  <c r="O1707" i="43"/>
  <c r="O1771" i="43"/>
  <c r="O1835" i="43"/>
  <c r="O1899" i="43"/>
  <c r="O1963" i="43"/>
  <c r="O1981" i="43"/>
  <c r="O1997" i="43"/>
  <c r="O2013" i="43"/>
  <c r="O1339" i="43"/>
  <c r="O1355" i="43"/>
  <c r="O161" i="43"/>
  <c r="O380" i="43"/>
  <c r="O508" i="43"/>
  <c r="O575" i="43"/>
  <c r="O639" i="43"/>
  <c r="O715" i="43"/>
  <c r="O779" i="43"/>
  <c r="O843" i="43"/>
  <c r="O907" i="43"/>
  <c r="O971" i="43"/>
  <c r="O1028" i="43"/>
  <c r="O1060" i="43"/>
  <c r="O1092" i="43"/>
  <c r="O1124" i="43"/>
  <c r="O1156" i="43"/>
  <c r="O1188" i="43"/>
  <c r="O1220" i="43"/>
  <c r="O1252" i="43"/>
  <c r="O1284" i="43"/>
  <c r="O1316" i="43"/>
  <c r="O1348" i="43"/>
  <c r="O162" i="43"/>
  <c r="O381" i="43"/>
  <c r="O509" i="43"/>
  <c r="O576" i="43"/>
  <c r="O640" i="43"/>
  <c r="O702" i="43"/>
  <c r="O766" i="43"/>
  <c r="O830" i="43"/>
  <c r="O894" i="43"/>
  <c r="O958" i="43"/>
  <c r="O1021" i="43"/>
  <c r="O1053" i="43"/>
  <c r="O1085" i="43"/>
  <c r="O1117" i="43"/>
  <c r="O1149" i="43"/>
  <c r="O1181" i="43"/>
  <c r="O1213" i="43"/>
  <c r="O1245" i="43"/>
  <c r="O1277" i="43"/>
  <c r="O1309" i="43"/>
  <c r="O1341" i="43"/>
  <c r="O129" i="43"/>
  <c r="O364" i="43"/>
  <c r="O492" i="43"/>
  <c r="O567" i="43"/>
  <c r="O631" i="43"/>
  <c r="O695" i="43"/>
  <c r="O755" i="43"/>
  <c r="O819" i="43"/>
  <c r="O883" i="43"/>
  <c r="O947" i="43"/>
  <c r="O1024" i="43"/>
  <c r="O1056" i="43"/>
  <c r="O1088" i="43"/>
  <c r="O1120" i="43"/>
  <c r="O1152" i="43"/>
  <c r="O1184" i="43"/>
  <c r="O1216" i="43"/>
  <c r="O1248" i="43"/>
  <c r="O1280" i="43"/>
  <c r="O1312" i="43"/>
  <c r="O1344" i="43"/>
  <c r="O65" i="43"/>
  <c r="O616" i="43"/>
  <c r="O854" i="43"/>
  <c r="O1057" i="43"/>
  <c r="O1185" i="43"/>
  <c r="O1313" i="43"/>
  <c r="O1372" i="43"/>
  <c r="O1388" i="43"/>
  <c r="O1404" i="43"/>
  <c r="O1420" i="43"/>
  <c r="O1436" i="43"/>
  <c r="O1452" i="43"/>
  <c r="O1468" i="43"/>
  <c r="O1484" i="43"/>
  <c r="O1500" i="43"/>
  <c r="O1516" i="43"/>
  <c r="O1532" i="43"/>
  <c r="O1548" i="43"/>
  <c r="O1564" i="43"/>
  <c r="O1580" i="43"/>
  <c r="O1596" i="43"/>
  <c r="O1612" i="43"/>
  <c r="O1628" i="43"/>
  <c r="O1644" i="43"/>
  <c r="O1660" i="43"/>
  <c r="O1676" i="43"/>
  <c r="O1692" i="43"/>
  <c r="O1708" i="43"/>
  <c r="O1724" i="43"/>
  <c r="O1740" i="43"/>
  <c r="O1756" i="43"/>
  <c r="O1772" i="43"/>
  <c r="O1788" i="43"/>
  <c r="O1804" i="43"/>
  <c r="O1820" i="43"/>
  <c r="O1836" i="43"/>
  <c r="O1852" i="43"/>
  <c r="O1868" i="43"/>
  <c r="O1884" i="43"/>
  <c r="O1900" i="43"/>
  <c r="O1916" i="43"/>
  <c r="O1932" i="43"/>
  <c r="O1948" i="43"/>
  <c r="O1964" i="43"/>
  <c r="O568" i="43"/>
  <c r="O806" i="43"/>
  <c r="O1033" i="43"/>
  <c r="O1161" i="43"/>
  <c r="O1289" i="43"/>
  <c r="O1369" i="43"/>
  <c r="O1385" i="43"/>
  <c r="O1401" i="43"/>
  <c r="O1417" i="43"/>
  <c r="O1433" i="43"/>
  <c r="O1449" i="43"/>
  <c r="O1465" i="43"/>
  <c r="O1481" i="43"/>
  <c r="O1497" i="43"/>
  <c r="O1513" i="43"/>
  <c r="O1529" i="43"/>
  <c r="O1545" i="43"/>
  <c r="O1561" i="43"/>
  <c r="O1577" i="43"/>
  <c r="O1593" i="43"/>
  <c r="O1609" i="43"/>
  <c r="O1625" i="43"/>
  <c r="O1641" i="43"/>
  <c r="O1657" i="43"/>
  <c r="O1673" i="43"/>
  <c r="O1689" i="43"/>
  <c r="O1705" i="43"/>
  <c r="O1721" i="43"/>
  <c r="O1737" i="43"/>
  <c r="O1753" i="43"/>
  <c r="O1769" i="43"/>
  <c r="O1785" i="43"/>
  <c r="O1801" i="43"/>
  <c r="O1817" i="43"/>
  <c r="O1833" i="43"/>
  <c r="O1849" i="43"/>
  <c r="O1865" i="43"/>
  <c r="O1881" i="43"/>
  <c r="O1897" i="43"/>
  <c r="O1913" i="43"/>
  <c r="O1929" i="43"/>
  <c r="O1945" i="43"/>
  <c r="O1961" i="43"/>
  <c r="O520" i="43"/>
  <c r="O822" i="43"/>
  <c r="O1073" i="43"/>
  <c r="O1201" i="43"/>
  <c r="O1329" i="43"/>
  <c r="O1374" i="43"/>
  <c r="O1390" i="43"/>
  <c r="O1406" i="43"/>
  <c r="O1422" i="43"/>
  <c r="O1438" i="43"/>
  <c r="O1454" i="43"/>
  <c r="O1470" i="43"/>
  <c r="O1486" i="43"/>
  <c r="O1502" i="43"/>
  <c r="O1518" i="43"/>
  <c r="O1534" i="43"/>
  <c r="O1550" i="43"/>
  <c r="O1566" i="43"/>
  <c r="O1582" i="43"/>
  <c r="O1598" i="43"/>
  <c r="O1614" i="43"/>
  <c r="O1630" i="43"/>
  <c r="O1646" i="43"/>
  <c r="O1662" i="43"/>
  <c r="O1678" i="43"/>
  <c r="O1694" i="43"/>
  <c r="O1710" i="43"/>
  <c r="O1726" i="43"/>
  <c r="O1742" i="43"/>
  <c r="O1758" i="43"/>
  <c r="O1774" i="43"/>
  <c r="O1790" i="43"/>
  <c r="O1806" i="43"/>
  <c r="O1822" i="43"/>
  <c r="O1838" i="43"/>
  <c r="O1854" i="43"/>
  <c r="O1870" i="43"/>
  <c r="O1886" i="43"/>
  <c r="O1902" i="43"/>
  <c r="O1918" i="43"/>
  <c r="O1934" i="43"/>
  <c r="O1950" i="43"/>
  <c r="O258" i="43"/>
  <c r="O1145" i="43"/>
  <c r="O1399" i="43"/>
  <c r="O1463" i="43"/>
  <c r="O1527" i="43"/>
  <c r="O1591" i="43"/>
  <c r="O1655" i="43"/>
  <c r="O1719" i="43"/>
  <c r="O1783" i="43"/>
  <c r="O1847" i="43"/>
  <c r="O1911" i="43"/>
  <c r="O1968" i="43"/>
  <c r="O1984" i="43"/>
  <c r="O2000" i="43"/>
  <c r="O2016" i="43"/>
  <c r="O2032" i="43"/>
  <c r="O2048" i="43"/>
  <c r="O2064" i="43"/>
  <c r="O2080" i="43"/>
  <c r="O2096" i="43"/>
  <c r="O2112" i="43"/>
  <c r="O2128" i="43"/>
  <c r="O2144" i="43"/>
  <c r="O2160" i="43"/>
  <c r="O2176" i="43"/>
  <c r="O2192" i="43"/>
  <c r="O2208" i="43"/>
  <c r="O2224" i="43"/>
  <c r="O2240" i="43"/>
  <c r="O2256" i="43"/>
  <c r="O2272" i="43"/>
  <c r="O2288" i="43"/>
  <c r="O2304" i="43"/>
  <c r="O2320" i="43"/>
  <c r="O2336" i="43"/>
  <c r="O2352" i="43"/>
  <c r="O2368" i="43"/>
  <c r="O2384" i="43"/>
  <c r="O2400" i="43"/>
  <c r="O2416" i="43"/>
  <c r="O2432" i="43"/>
  <c r="O2451" i="43"/>
  <c r="O2467" i="43"/>
  <c r="O2483" i="43"/>
  <c r="O2499" i="43"/>
  <c r="O2515" i="43"/>
  <c r="O2531" i="43"/>
  <c r="O2547" i="43"/>
  <c r="O2563" i="43"/>
  <c r="O2579" i="43"/>
  <c r="O2595" i="43"/>
  <c r="O2610" i="43"/>
  <c r="O2626" i="43"/>
  <c r="O2642" i="43"/>
  <c r="O2658" i="43"/>
  <c r="O2674" i="43"/>
  <c r="O2690" i="43"/>
  <c r="O2706" i="43"/>
  <c r="O2722" i="43"/>
  <c r="O2738" i="43"/>
  <c r="O2754" i="43"/>
  <c r="O2770" i="43"/>
  <c r="O2802" i="43"/>
  <c r="O2818" i="43"/>
  <c r="O2834" i="43"/>
  <c r="O2850" i="43"/>
  <c r="O2869" i="43"/>
  <c r="O2885" i="43"/>
  <c r="O2901" i="43"/>
  <c r="O2917" i="43"/>
  <c r="O2933" i="43"/>
  <c r="O2949" i="43"/>
  <c r="O2965" i="43"/>
  <c r="O2980" i="43"/>
  <c r="O2996" i="43"/>
  <c r="O3011" i="43"/>
  <c r="O3027" i="43"/>
  <c r="O3043" i="43"/>
  <c r="O3058" i="43"/>
  <c r="O3074" i="43"/>
  <c r="O3090" i="43"/>
  <c r="O3106" i="43"/>
  <c r="O3122" i="43"/>
  <c r="O3140" i="43"/>
  <c r="O3156" i="43"/>
  <c r="O1177" i="43"/>
  <c r="O1403" i="43"/>
  <c r="O1467" i="43"/>
  <c r="O1531" i="43"/>
  <c r="O1595" i="43"/>
  <c r="O1659" i="43"/>
  <c r="O1723" i="43"/>
  <c r="O1787" i="43"/>
  <c r="O1851" i="43"/>
  <c r="O1915" i="43"/>
  <c r="O1969" i="43"/>
  <c r="O1985" i="43"/>
  <c r="O2001" i="43"/>
  <c r="O2017" i="43"/>
  <c r="O2033" i="43"/>
  <c r="O2049" i="43"/>
  <c r="O2065" i="43"/>
  <c r="O2081" i="43"/>
  <c r="O2097" i="43"/>
  <c r="O2113" i="43"/>
  <c r="O2129" i="43"/>
  <c r="O2145" i="43"/>
  <c r="O2161" i="43"/>
  <c r="O2177" i="43"/>
  <c r="O2193" i="43"/>
  <c r="O2209" i="43"/>
  <c r="O2225" i="43"/>
  <c r="O2241" i="43"/>
  <c r="O2257" i="43"/>
  <c r="O2273" i="43"/>
  <c r="O2289" i="43"/>
  <c r="O2305" i="43"/>
  <c r="O2321" i="43"/>
  <c r="O2337" i="43"/>
  <c r="O2353" i="43"/>
  <c r="O2369" i="43"/>
  <c r="O2385" i="43"/>
  <c r="O2401" i="43"/>
  <c r="O2417" i="43"/>
  <c r="O2433" i="43"/>
  <c r="O2448" i="43"/>
  <c r="O2464" i="43"/>
  <c r="O2480" i="43"/>
  <c r="O2496" i="43"/>
  <c r="O2512" i="43"/>
  <c r="O2528" i="43"/>
  <c r="O2544" i="43"/>
  <c r="O2560" i="43"/>
  <c r="O2576" i="43"/>
  <c r="O2592" i="43"/>
  <c r="O2607" i="43"/>
  <c r="O2623" i="43"/>
  <c r="O2639" i="43"/>
  <c r="O2655" i="43"/>
  <c r="O2671" i="43"/>
  <c r="O2687" i="43"/>
  <c r="O2703" i="43"/>
  <c r="O2719" i="43"/>
  <c r="O2735" i="43"/>
  <c r="O2751" i="43"/>
  <c r="O2767" i="43"/>
  <c r="O2783" i="43"/>
  <c r="O1343" i="43"/>
  <c r="O1359" i="43"/>
  <c r="O225" i="43"/>
  <c r="O412" i="43"/>
  <c r="O527" i="43"/>
  <c r="O591" i="43"/>
  <c r="O655" i="43"/>
  <c r="O731" i="43"/>
  <c r="O795" i="43"/>
  <c r="O859" i="43"/>
  <c r="O923" i="43"/>
  <c r="O987" i="43"/>
  <c r="O1036" i="43"/>
  <c r="O1068" i="43"/>
  <c r="O1100" i="43"/>
  <c r="O1132" i="43"/>
  <c r="O1164" i="43"/>
  <c r="O1196" i="43"/>
  <c r="O1228" i="43"/>
  <c r="O1260" i="43"/>
  <c r="O1292" i="43"/>
  <c r="O1324" i="43"/>
  <c r="O1356" i="43"/>
  <c r="O226" i="43"/>
  <c r="O413" i="43"/>
  <c r="O528" i="43"/>
  <c r="O592" i="43"/>
  <c r="O656" i="43"/>
  <c r="O718" i="43"/>
  <c r="O782" i="43"/>
  <c r="O846" i="43"/>
  <c r="O910" i="43"/>
  <c r="O974" i="43"/>
  <c r="O1029" i="43"/>
  <c r="O1061" i="43"/>
  <c r="O1093" i="43"/>
  <c r="O1125" i="43"/>
  <c r="O1157" i="43"/>
  <c r="O1189" i="43"/>
  <c r="O1221" i="43"/>
  <c r="O1253" i="43"/>
  <c r="O1285" i="43"/>
  <c r="O1317" i="43"/>
  <c r="O1349" i="43"/>
  <c r="O193" i="43"/>
  <c r="O396" i="43"/>
  <c r="O519" i="43"/>
  <c r="O583" i="43"/>
  <c r="O647" i="43"/>
  <c r="O707" i="43"/>
  <c r="O771" i="43"/>
  <c r="O835" i="43"/>
  <c r="O899" i="43"/>
  <c r="O963" i="43"/>
  <c r="O1032" i="43"/>
  <c r="O1064" i="43"/>
  <c r="O1096" i="43"/>
  <c r="O1128" i="43"/>
  <c r="O1160" i="43"/>
  <c r="O1192" i="43"/>
  <c r="O1224" i="43"/>
  <c r="O1256" i="43"/>
  <c r="O1288" i="43"/>
  <c r="O1320" i="43"/>
  <c r="O1352" i="43"/>
  <c r="O323" i="43"/>
  <c r="O680" i="43"/>
  <c r="O918" i="43"/>
  <c r="O1089" i="43"/>
  <c r="O1217" i="43"/>
  <c r="O1345" i="43"/>
  <c r="O1376" i="43"/>
  <c r="O1392" i="43"/>
  <c r="O1408" i="43"/>
  <c r="O1424" i="43"/>
  <c r="O1440" i="43"/>
  <c r="O1456" i="43"/>
  <c r="O1472" i="43"/>
  <c r="O1488" i="43"/>
  <c r="O1504" i="43"/>
  <c r="O1520" i="43"/>
  <c r="O1536" i="43"/>
  <c r="O1552" i="43"/>
  <c r="O1568" i="43"/>
  <c r="O1584" i="43"/>
  <c r="O1600" i="43"/>
  <c r="O1616" i="43"/>
  <c r="O1632" i="43"/>
  <c r="O1648" i="43"/>
  <c r="O1664" i="43"/>
  <c r="O1680" i="43"/>
  <c r="O1696" i="43"/>
  <c r="O1712" i="43"/>
  <c r="O1728" i="43"/>
  <c r="O1744" i="43"/>
  <c r="O1760" i="43"/>
  <c r="O1776" i="43"/>
  <c r="O1792" i="43"/>
  <c r="O1808" i="43"/>
  <c r="O1824" i="43"/>
  <c r="O1840" i="43"/>
  <c r="O1856" i="43"/>
  <c r="O1872" i="43"/>
  <c r="O1888" i="43"/>
  <c r="O1904" i="43"/>
  <c r="O1920" i="43"/>
  <c r="O1936" i="43"/>
  <c r="O1952" i="43"/>
  <c r="O130" i="43"/>
  <c r="O632" i="43"/>
  <c r="O870" i="43"/>
  <c r="O1065" i="43"/>
  <c r="O1193" i="43"/>
  <c r="O1321" i="43"/>
  <c r="O1373" i="43"/>
  <c r="O1389" i="43"/>
  <c r="O1405" i="43"/>
  <c r="O1421" i="43"/>
  <c r="O1437" i="43"/>
  <c r="O1453" i="43"/>
  <c r="O1469" i="43"/>
  <c r="O1485" i="43"/>
  <c r="O1501" i="43"/>
  <c r="O1517" i="43"/>
  <c r="O1533" i="43"/>
  <c r="O1549" i="43"/>
  <c r="O1565" i="43"/>
  <c r="O1581" i="43"/>
  <c r="O1597" i="43"/>
  <c r="O1613" i="43"/>
  <c r="O1629" i="43"/>
  <c r="O1645" i="43"/>
  <c r="O1661" i="43"/>
  <c r="O1677" i="43"/>
  <c r="O1693" i="43"/>
  <c r="O1709" i="43"/>
  <c r="O1725" i="43"/>
  <c r="O1741" i="43"/>
  <c r="O1757" i="43"/>
  <c r="O1773" i="43"/>
  <c r="O1789" i="43"/>
  <c r="O1805" i="43"/>
  <c r="O1821" i="43"/>
  <c r="O1837" i="43"/>
  <c r="O1853" i="43"/>
  <c r="O1869" i="43"/>
  <c r="O1885" i="43"/>
  <c r="O1901" i="43"/>
  <c r="O1917" i="43"/>
  <c r="O1933" i="43"/>
  <c r="O1949" i="43"/>
  <c r="O1965" i="43"/>
  <c r="O584" i="43"/>
  <c r="O886" i="43"/>
  <c r="O1105" i="43"/>
  <c r="O1233" i="43"/>
  <c r="O1361" i="43"/>
  <c r="O1378" i="43"/>
  <c r="O1394" i="43"/>
  <c r="O1410" i="43"/>
  <c r="O1426" i="43"/>
  <c r="O1442" i="43"/>
  <c r="O1458" i="43"/>
  <c r="O1474" i="43"/>
  <c r="O1490" i="43"/>
  <c r="O1506" i="43"/>
  <c r="O1522" i="43"/>
  <c r="O1538" i="43"/>
  <c r="O1554" i="43"/>
  <c r="O1570" i="43"/>
  <c r="O1586" i="43"/>
  <c r="O1602" i="43"/>
  <c r="O1618" i="43"/>
  <c r="O1634" i="43"/>
  <c r="O1650" i="43"/>
  <c r="O1666" i="43"/>
  <c r="O1682" i="43"/>
  <c r="O1698" i="43"/>
  <c r="O1714" i="43"/>
  <c r="O1730" i="43"/>
  <c r="O1746" i="43"/>
  <c r="O1762" i="43"/>
  <c r="O1778" i="43"/>
  <c r="O1794" i="43"/>
  <c r="O1810" i="43"/>
  <c r="O1826" i="43"/>
  <c r="O1842" i="43"/>
  <c r="O1858" i="43"/>
  <c r="O1874" i="43"/>
  <c r="O1890" i="43"/>
  <c r="O1906" i="43"/>
  <c r="O1922" i="43"/>
  <c r="O1938" i="43"/>
  <c r="O1954" i="43"/>
  <c r="O664" i="43"/>
  <c r="O1273" i="43"/>
  <c r="O1415" i="43"/>
  <c r="O1479" i="43"/>
  <c r="O1543" i="43"/>
  <c r="O1607" i="43"/>
  <c r="O1671" i="43"/>
  <c r="O1735" i="43"/>
  <c r="O1799" i="43"/>
  <c r="O1863" i="43"/>
  <c r="O1927" i="43"/>
  <c r="O1972" i="43"/>
  <c r="O1988" i="43"/>
  <c r="O2004" i="43"/>
  <c r="O2020" i="43"/>
  <c r="O2036" i="43"/>
  <c r="O2052" i="43"/>
  <c r="O2068" i="43"/>
  <c r="O2084" i="43"/>
  <c r="O2100" i="43"/>
  <c r="O2116" i="43"/>
  <c r="O2132" i="43"/>
  <c r="O2148" i="43"/>
  <c r="O2164" i="43"/>
  <c r="O2180" i="43"/>
  <c r="O2196" i="43"/>
  <c r="O2212" i="43"/>
  <c r="O2228" i="43"/>
  <c r="O2244" i="43"/>
  <c r="O2260" i="43"/>
  <c r="O2276" i="43"/>
  <c r="O2292" i="43"/>
  <c r="O2308" i="43"/>
  <c r="O2324" i="43"/>
  <c r="O2340" i="43"/>
  <c r="O2356" i="43"/>
  <c r="O2372" i="43"/>
  <c r="O2388" i="43"/>
  <c r="O2404" i="43"/>
  <c r="O2420" i="43"/>
  <c r="O2439" i="43"/>
  <c r="O2455" i="43"/>
  <c r="O2471" i="43"/>
  <c r="O2487" i="43"/>
  <c r="O2503" i="43"/>
  <c r="O2519" i="43"/>
  <c r="O2535" i="43"/>
  <c r="O2551" i="43"/>
  <c r="O2567" i="43"/>
  <c r="O2583" i="43"/>
  <c r="O2599" i="43"/>
  <c r="O2614" i="43"/>
  <c r="O2630" i="43"/>
  <c r="O2646" i="43"/>
  <c r="O2662" i="43"/>
  <c r="O2678" i="43"/>
  <c r="O2694" i="43"/>
  <c r="O2710" i="43"/>
  <c r="O2726" i="43"/>
  <c r="O2742" i="43"/>
  <c r="O2758" i="43"/>
  <c r="O2774" i="43"/>
  <c r="O2790" i="43"/>
  <c r="O2806" i="43"/>
  <c r="O2822" i="43"/>
  <c r="O2838" i="43"/>
  <c r="O2854" i="43"/>
  <c r="O2873" i="43"/>
  <c r="O2889" i="43"/>
  <c r="O2905" i="43"/>
  <c r="O2921" i="43"/>
  <c r="O2937" i="43"/>
  <c r="O2953" i="43"/>
  <c r="O2969" i="43"/>
  <c r="O2984" i="43"/>
  <c r="O3000" i="43"/>
  <c r="O3015" i="43"/>
  <c r="O3031" i="43"/>
  <c r="O3046" i="43"/>
  <c r="O3062" i="43"/>
  <c r="O3078" i="43"/>
  <c r="O3094" i="43"/>
  <c r="O3110" i="43"/>
  <c r="O3126" i="43"/>
  <c r="O3144" i="43"/>
  <c r="O429" i="43"/>
  <c r="O1305" i="43"/>
  <c r="O1419" i="43"/>
  <c r="O1483" i="43"/>
  <c r="O1547" i="43"/>
  <c r="O1611" i="43"/>
  <c r="O1675" i="43"/>
  <c r="O1739" i="43"/>
  <c r="O1803" i="43"/>
  <c r="O1867" i="43"/>
  <c r="O1931" i="43"/>
  <c r="O1973" i="43"/>
  <c r="O1989" i="43"/>
  <c r="O2005" i="43"/>
  <c r="O2021" i="43"/>
  <c r="O2037" i="43"/>
  <c r="O2053" i="43"/>
  <c r="O2069" i="43"/>
  <c r="O2085" i="43"/>
  <c r="O2101" i="43"/>
  <c r="O2117" i="43"/>
  <c r="O2133" i="43"/>
  <c r="O2149" i="43"/>
  <c r="O2165" i="43"/>
  <c r="O2181" i="43"/>
  <c r="O2197" i="43"/>
  <c r="O2213" i="43"/>
  <c r="O2229" i="43"/>
  <c r="O2245" i="43"/>
  <c r="O2261" i="43"/>
  <c r="O2277" i="43"/>
  <c r="O2293" i="43"/>
  <c r="O2309" i="43"/>
  <c r="O2325" i="43"/>
  <c r="O2341" i="43"/>
  <c r="O2357" i="43"/>
  <c r="O2373" i="43"/>
  <c r="O2389" i="43"/>
  <c r="O2405" i="43"/>
  <c r="O3191" i="43"/>
  <c r="O3117" i="43"/>
  <c r="O2924" i="43"/>
  <c r="O2737" i="43"/>
  <c r="O2566" i="43"/>
  <c r="O2379" i="43"/>
  <c r="O2187" i="43"/>
  <c r="O2011" i="43"/>
  <c r="O3212" i="43"/>
  <c r="O3183" i="43"/>
  <c r="O3160" i="43"/>
  <c r="O3097" i="43"/>
  <c r="O3038" i="43"/>
  <c r="O2979" i="43"/>
  <c r="O2920" i="43"/>
  <c r="O2845" i="43"/>
  <c r="O2781" i="43"/>
  <c r="O2717" i="43"/>
  <c r="O2653" i="43"/>
  <c r="O2594" i="43"/>
  <c r="O2530" i="43"/>
  <c r="O2466" i="43"/>
  <c r="O2391" i="43"/>
  <c r="O2327" i="43"/>
  <c r="O2263" i="43"/>
  <c r="O2199" i="43"/>
  <c r="O2135" i="43"/>
  <c r="O2071" i="43"/>
  <c r="O2007" i="43"/>
  <c r="O1875" i="43"/>
  <c r="O1619" i="43"/>
  <c r="O1362" i="43"/>
  <c r="O3199" i="43"/>
  <c r="O3143" i="43"/>
  <c r="O2956" i="43"/>
  <c r="O2769" i="43"/>
  <c r="O2582" i="43"/>
  <c r="O2411" i="43"/>
  <c r="O2219" i="43"/>
  <c r="O2027" i="43"/>
  <c r="O1507" i="43"/>
  <c r="O3221" i="43"/>
  <c r="O3205" i="43"/>
  <c r="O3189" i="43"/>
  <c r="O3159" i="43"/>
  <c r="O3109" i="43"/>
  <c r="O3045" i="43"/>
  <c r="O2975" i="43"/>
  <c r="O2916" i="43"/>
  <c r="O2857" i="43"/>
  <c r="O2793" i="43"/>
  <c r="O2729" i="43"/>
  <c r="O2665" i="43"/>
  <c r="O2590" i="43"/>
  <c r="O2526" i="43"/>
  <c r="O2462" i="43"/>
  <c r="O2403" i="43"/>
  <c r="O2339" i="43"/>
  <c r="O2275" i="43"/>
  <c r="O2211" i="43"/>
  <c r="O2147" i="43"/>
  <c r="O2083" i="43"/>
  <c r="O2019" i="43"/>
  <c r="O1923" i="43"/>
  <c r="O1667" i="43"/>
  <c r="O1411" i="43"/>
  <c r="O3203" i="43"/>
  <c r="O3161" i="43"/>
  <c r="O2983" i="43"/>
  <c r="O2801" i="43"/>
  <c r="O2609" i="43"/>
  <c r="O2395" i="43"/>
  <c r="O2203" i="43"/>
  <c r="O1995" i="43"/>
  <c r="O1379" i="43"/>
  <c r="O3214" i="43"/>
  <c r="O3200" i="43"/>
  <c r="O3178" i="43"/>
  <c r="O3158" i="43"/>
  <c r="O3089" i="43"/>
  <c r="O3014" i="43"/>
  <c r="O2960" i="43"/>
  <c r="O2896" i="43"/>
  <c r="O2837" i="43"/>
  <c r="O2773" i="43"/>
  <c r="O2709" i="43"/>
  <c r="O2645" i="43"/>
  <c r="O2586" i="43"/>
  <c r="O2522" i="43"/>
  <c r="O2458" i="43"/>
  <c r="O2399" i="43"/>
  <c r="O2335" i="43"/>
  <c r="O2271" i="43"/>
  <c r="O2207" i="43"/>
  <c r="O2143" i="43"/>
  <c r="O2079" i="43"/>
  <c r="O2015" i="43"/>
  <c r="O1907" i="43"/>
  <c r="O1651" i="43"/>
  <c r="O1395" i="43"/>
  <c r="O3150" i="43"/>
  <c r="O3134" i="43"/>
  <c r="O3120" i="43"/>
  <c r="O3104" i="43"/>
  <c r="O3088" i="43"/>
  <c r="O3072" i="43"/>
  <c r="O3056" i="43"/>
  <c r="O3041" i="43"/>
  <c r="O3025" i="43"/>
  <c r="O3009" i="43"/>
  <c r="O2994" i="43"/>
  <c r="O2978" i="43"/>
  <c r="O2959" i="43"/>
  <c r="O2943" i="43"/>
  <c r="O2927" i="43"/>
  <c r="O2911" i="43"/>
  <c r="O2895" i="43"/>
  <c r="O2879" i="43"/>
  <c r="O2863" i="43"/>
  <c r="O2848" i="43"/>
  <c r="O2832" i="43"/>
  <c r="O2816" i="43"/>
  <c r="O2800" i="43"/>
  <c r="O2784" i="43"/>
  <c r="O2768" i="43"/>
  <c r="O2752" i="43"/>
  <c r="O2736" i="43"/>
  <c r="O2720" i="43"/>
  <c r="O2704" i="43"/>
  <c r="O2688" i="43"/>
  <c r="O2672" i="43"/>
  <c r="O2656" i="43"/>
  <c r="O2640" i="43"/>
  <c r="O2624" i="43"/>
  <c r="O2608" i="43"/>
  <c r="O2589" i="43"/>
  <c r="O2573" i="43"/>
  <c r="O2557" i="43"/>
  <c r="O2541" i="43"/>
  <c r="O2525" i="43"/>
  <c r="O2509" i="43"/>
  <c r="O2493" i="43"/>
  <c r="O2477" i="43"/>
  <c r="O2461" i="43"/>
  <c r="O2445" i="43"/>
  <c r="O2430" i="43"/>
  <c r="O2414" i="43"/>
  <c r="O2398" i="43"/>
  <c r="O2382" i="43"/>
  <c r="O2366" i="43"/>
  <c r="O2350" i="43"/>
  <c r="O2334" i="43"/>
  <c r="O2318" i="43"/>
  <c r="O2302" i="43"/>
  <c r="O2286" i="43"/>
  <c r="O2270" i="43"/>
  <c r="O2254" i="43"/>
  <c r="O2238" i="43"/>
  <c r="O2222" i="43"/>
  <c r="O2206" i="43"/>
  <c r="O2190" i="43"/>
  <c r="O2174" i="43"/>
  <c r="O2158" i="43"/>
  <c r="O2142" i="43"/>
  <c r="O2126" i="43"/>
  <c r="O2110" i="43"/>
  <c r="O2094" i="43"/>
  <c r="O2078" i="43"/>
  <c r="O2062" i="43"/>
  <c r="O2046" i="43"/>
  <c r="O2030" i="43"/>
  <c r="O2014" i="43"/>
  <c r="O1998" i="43"/>
  <c r="O1982" i="43"/>
  <c r="O1966" i="43"/>
  <c r="O1903" i="43"/>
  <c r="O1839" i="43"/>
  <c r="O1775" i="43"/>
  <c r="O1711" i="43"/>
  <c r="O1647" i="43"/>
  <c r="O1583" i="43"/>
  <c r="O1519" i="43"/>
  <c r="O1455" i="43"/>
  <c r="O1391" i="43"/>
  <c r="O1081" i="43"/>
  <c r="O3153" i="43"/>
  <c r="O3137" i="43"/>
  <c r="O3123" i="43"/>
  <c r="O3107" i="43"/>
  <c r="O3091" i="43"/>
  <c r="O3075" i="43"/>
  <c r="O3059" i="43"/>
  <c r="O3040" i="43"/>
  <c r="O3024" i="43"/>
  <c r="O3008" i="43"/>
  <c r="O2989" i="43"/>
  <c r="O2973" i="43"/>
  <c r="O2958" i="43"/>
  <c r="O2942" i="43"/>
  <c r="O2926" i="43"/>
  <c r="O2910" i="43"/>
  <c r="O2894" i="43"/>
  <c r="O2878" i="43"/>
  <c r="O2862" i="43"/>
  <c r="O2847" i="43"/>
  <c r="O2831" i="43"/>
  <c r="O2815" i="43"/>
  <c r="O2799" i="43"/>
  <c r="O2771" i="43"/>
  <c r="O2739" i="43"/>
  <c r="O2707" i="43"/>
  <c r="O2675" i="43"/>
  <c r="O2643" i="43"/>
  <c r="O2611" i="43"/>
  <c r="O2580" i="43"/>
  <c r="O2548" i="43"/>
  <c r="O2516" i="43"/>
  <c r="O2484" i="43"/>
  <c r="O2452" i="43"/>
  <c r="O2421" i="43"/>
  <c r="O2365" i="43"/>
  <c r="O2301" i="43"/>
  <c r="O2237" i="43"/>
  <c r="O2173" i="43"/>
  <c r="O2109" i="43"/>
  <c r="O2045" i="43"/>
  <c r="O3187" i="43"/>
  <c r="O3101" i="43"/>
  <c r="O2908" i="43"/>
  <c r="O2721" i="43"/>
  <c r="O2534" i="43"/>
  <c r="O2363" i="43"/>
  <c r="O2171" i="43"/>
  <c r="O1979" i="43"/>
  <c r="O3231" i="43"/>
  <c r="O3218" i="43"/>
  <c r="O3201" i="43"/>
  <c r="O3185" i="43"/>
  <c r="O3172" i="43"/>
  <c r="O3151" i="43"/>
  <c r="O3093" i="43"/>
  <c r="O3034" i="43"/>
  <c r="O2964" i="43"/>
  <c r="O2900" i="43"/>
  <c r="O2841" i="43"/>
  <c r="O2777" i="43"/>
  <c r="O2713" i="43"/>
  <c r="O2649" i="43"/>
  <c r="O2574" i="43"/>
  <c r="O2510" i="43"/>
  <c r="O2446" i="43"/>
  <c r="O2387" i="43"/>
  <c r="O2323" i="43"/>
  <c r="O2259" i="43"/>
  <c r="O2195" i="43"/>
  <c r="O2131" i="43"/>
  <c r="O2067" i="43"/>
  <c r="O2003" i="43"/>
  <c r="O1859" i="43"/>
  <c r="O1603" i="43"/>
  <c r="O1241" i="43"/>
  <c r="O3195" i="43"/>
  <c r="O3132" i="43"/>
  <c r="O2940" i="43"/>
  <c r="O2753" i="43"/>
  <c r="O2550" i="43"/>
  <c r="O2347" i="43"/>
  <c r="O2139" i="43"/>
  <c r="O1891" i="43"/>
  <c r="O3230" i="43"/>
  <c r="O3210" i="43"/>
  <c r="O3196" i="43"/>
  <c r="O3174" i="43"/>
  <c r="O3147" i="43"/>
  <c r="O3073" i="43"/>
  <c r="O3003" i="43"/>
  <c r="O2944" i="43"/>
  <c r="O2880" i="43"/>
  <c r="O2821" i="43"/>
  <c r="O2757" i="43"/>
  <c r="O2693" i="43"/>
  <c r="O2629" i="43"/>
  <c r="O2570" i="43"/>
  <c r="O2506" i="43"/>
  <c r="O2442" i="43"/>
  <c r="O2383" i="43"/>
  <c r="O2319" i="43"/>
  <c r="O2255" i="43"/>
  <c r="O2191" i="43"/>
  <c r="O2127" i="43"/>
  <c r="O2063" i="43"/>
  <c r="O1999" i="43"/>
  <c r="O1843" i="43"/>
  <c r="O1587" i="43"/>
  <c r="O1113" i="43"/>
  <c r="O3146" i="43"/>
  <c r="O3131" i="43"/>
  <c r="O3116" i="43"/>
  <c r="O3100" i="43"/>
  <c r="O3084" i="43"/>
  <c r="O3068" i="43"/>
  <c r="O3052" i="43"/>
  <c r="O3037" i="43"/>
  <c r="O3005" i="43"/>
  <c r="O2990" i="43"/>
  <c r="O2974" i="43"/>
  <c r="O2955" i="43"/>
  <c r="O2939" i="43"/>
  <c r="O2923" i="43"/>
  <c r="O2907" i="43"/>
  <c r="O2891" i="43"/>
  <c r="O2875" i="43"/>
  <c r="O2859" i="43"/>
  <c r="O2844" i="43"/>
  <c r="O2828" i="43"/>
  <c r="O2812" i="43"/>
  <c r="O2796" i="43"/>
  <c r="O2780" i="43"/>
  <c r="O2764" i="43"/>
  <c r="O2748" i="43"/>
  <c r="O2732" i="43"/>
  <c r="O2716" i="43"/>
  <c r="O2700" i="43"/>
  <c r="O2684" i="43"/>
  <c r="O2668" i="43"/>
  <c r="O2652" i="43"/>
  <c r="O2636" i="43"/>
  <c r="O2620" i="43"/>
  <c r="O2601" i="43"/>
  <c r="O2585" i="43"/>
  <c r="O2569" i="43"/>
  <c r="O2553" i="43"/>
  <c r="O2537" i="43"/>
  <c r="O2521" i="43"/>
  <c r="O2505" i="43"/>
  <c r="O2489" i="43"/>
  <c r="O2473" i="43"/>
  <c r="O2457" i="43"/>
  <c r="O2441" i="43"/>
  <c r="O2426" i="43"/>
  <c r="O2410" i="43"/>
  <c r="O2394" i="43"/>
  <c r="O2378" i="43"/>
  <c r="O2362" i="43"/>
  <c r="O2346" i="43"/>
  <c r="O2330" i="43"/>
  <c r="O2314" i="43"/>
  <c r="O2298" i="43"/>
  <c r="O2282" i="43"/>
  <c r="O2266" i="43"/>
  <c r="O2250" i="43"/>
  <c r="O2234" i="43"/>
  <c r="O2218" i="43"/>
  <c r="O2202" i="43"/>
  <c r="O2186" i="43"/>
  <c r="O2170" i="43"/>
  <c r="O2154" i="43"/>
  <c r="O2138" i="43"/>
  <c r="O2122" i="43"/>
  <c r="O2106" i="43"/>
  <c r="O2090" i="43"/>
  <c r="O2074" i="43"/>
  <c r="O2058" i="43"/>
  <c r="O2042" i="43"/>
  <c r="O2026" i="43"/>
  <c r="O2010" i="43"/>
  <c r="O1994" i="43"/>
  <c r="O1978" i="43"/>
  <c r="O1951" i="43"/>
  <c r="O1887" i="43"/>
  <c r="O1823" i="43"/>
  <c r="O1759" i="43"/>
  <c r="O1695" i="43"/>
  <c r="O1631" i="43"/>
  <c r="O1567" i="43"/>
  <c r="O1503" i="43"/>
  <c r="O1439" i="43"/>
  <c r="O1375" i="43"/>
  <c r="O966" i="43"/>
  <c r="O3149" i="43"/>
  <c r="O3133" i="43"/>
  <c r="O3119" i="43"/>
  <c r="O3103" i="43"/>
  <c r="O3087" i="43"/>
  <c r="O3071" i="43"/>
  <c r="O3055" i="43"/>
  <c r="O3036" i="43"/>
  <c r="O3020" i="43"/>
  <c r="O3001" i="43"/>
  <c r="O2985" i="43"/>
  <c r="O2970" i="43"/>
  <c r="O2954" i="43"/>
  <c r="O2938" i="43"/>
  <c r="O2922" i="43"/>
  <c r="O2906" i="43"/>
  <c r="O2890" i="43"/>
  <c r="O2874" i="43"/>
  <c r="O2858" i="43"/>
  <c r="O2843" i="43"/>
  <c r="O2827" i="43"/>
  <c r="O2811" i="43"/>
  <c r="O2795" i="43"/>
  <c r="O2763" i="43"/>
  <c r="O2731" i="43"/>
  <c r="O2699" i="43"/>
  <c r="O2667" i="43"/>
  <c r="O2635" i="43"/>
  <c r="O2604" i="43"/>
  <c r="O2572" i="43"/>
  <c r="O2540" i="43"/>
  <c r="O2508" i="43"/>
  <c r="O2476" i="43"/>
  <c r="O2444" i="43"/>
  <c r="O2413" i="43"/>
  <c r="O2349" i="43"/>
  <c r="O2285" i="43"/>
  <c r="O2221" i="43"/>
  <c r="O2157" i="43"/>
  <c r="O2093" i="43"/>
  <c r="O2029" i="43"/>
  <c r="O3225" i="43"/>
  <c r="O3206" i="43"/>
  <c r="O3190" i="43"/>
  <c r="O3168" i="43"/>
  <c r="O3139" i="43"/>
  <c r="O3065" i="43"/>
  <c r="O2952" i="43"/>
  <c r="O2888" i="43"/>
  <c r="O2813" i="43"/>
  <c r="O2749" i="43"/>
  <c r="O2685" i="43"/>
  <c r="O2621" i="43"/>
  <c r="O2562" i="43"/>
  <c r="O2498" i="43"/>
  <c r="O2423" i="43"/>
  <c r="O2359" i="43"/>
  <c r="O2295" i="43"/>
  <c r="O2231" i="43"/>
  <c r="O2167" i="43"/>
  <c r="O2103" i="43"/>
  <c r="O2039" i="43"/>
  <c r="O1975" i="43"/>
  <c r="O1747" i="43"/>
  <c r="O1491" i="43"/>
  <c r="O3222" i="43"/>
  <c r="O3177" i="43"/>
  <c r="O3053" i="43"/>
  <c r="O2860" i="43"/>
  <c r="O2673" i="43"/>
  <c r="O2486" i="43"/>
  <c r="O2299" i="43"/>
  <c r="O2123" i="43"/>
  <c r="O1827" i="43"/>
  <c r="O3227" i="43"/>
  <c r="O3215" i="43"/>
  <c r="O3197" i="43"/>
  <c r="O3167" i="43"/>
  <c r="O3135" i="43"/>
  <c r="O3077" i="43"/>
  <c r="O3018" i="43"/>
  <c r="O2948" i="43"/>
  <c r="O2884" i="43"/>
  <c r="O2825" i="43"/>
  <c r="O2761" i="43"/>
  <c r="O2697" i="43"/>
  <c r="O2633" i="43"/>
  <c r="O2558" i="43"/>
  <c r="O2494" i="43"/>
  <c r="O2435" i="43"/>
  <c r="O2371" i="43"/>
  <c r="O2307" i="43"/>
  <c r="O2243" i="43"/>
  <c r="O2179" i="43"/>
  <c r="O2115" i="43"/>
  <c r="O2051" i="43"/>
  <c r="O1987" i="43"/>
  <c r="O1795" i="43"/>
  <c r="O1539" i="43"/>
  <c r="O3229" i="43"/>
  <c r="O3184" i="43"/>
  <c r="O3069" i="43"/>
  <c r="O2892" i="43"/>
  <c r="O2705" i="43"/>
  <c r="O2518" i="43"/>
  <c r="O2315" i="43"/>
  <c r="O2107" i="43"/>
  <c r="O1763" i="43"/>
  <c r="O3223" i="43"/>
  <c r="O3208" i="43"/>
  <c r="O3188" i="43"/>
  <c r="O3121" i="43"/>
  <c r="O3057" i="43"/>
  <c r="O2987" i="43"/>
  <c r="O2928" i="43"/>
  <c r="O2864" i="43"/>
  <c r="O2805" i="43"/>
  <c r="O2741" i="43"/>
  <c r="O2677" i="43"/>
  <c r="O2613" i="43"/>
  <c r="O2554" i="43"/>
  <c r="O2490" i="43"/>
  <c r="O2431" i="43"/>
  <c r="O2367" i="43"/>
  <c r="O2303" i="43"/>
  <c r="O2239" i="43"/>
  <c r="O2175" i="43"/>
  <c r="O2111" i="43"/>
  <c r="O2047" i="43"/>
  <c r="O1983" i="43"/>
  <c r="O1779" i="43"/>
  <c r="O1523" i="43"/>
  <c r="O600" i="43"/>
  <c r="O3142" i="43"/>
  <c r="O3128" i="43"/>
  <c r="O3112" i="43"/>
  <c r="O3096" i="43"/>
  <c r="O3080" i="43"/>
  <c r="O3064" i="43"/>
  <c r="O3048" i="43"/>
  <c r="O3033" i="43"/>
  <c r="O3017" i="43"/>
  <c r="O3002" i="43"/>
  <c r="O2986" i="43"/>
  <c r="O2967" i="43"/>
  <c r="O2951" i="43"/>
  <c r="O2935" i="43"/>
  <c r="O2919" i="43"/>
  <c r="O2903" i="43"/>
  <c r="O2887" i="43"/>
  <c r="O2871" i="43"/>
  <c r="O2856" i="43"/>
  <c r="O2840" i="43"/>
  <c r="O2824" i="43"/>
  <c r="O2808" i="43"/>
  <c r="O2792" i="43"/>
  <c r="O2776" i="43"/>
  <c r="O2760" i="43"/>
  <c r="O2744" i="43"/>
  <c r="O2728" i="43"/>
  <c r="O2712" i="43"/>
  <c r="O2696" i="43"/>
  <c r="O2680" i="43"/>
  <c r="O2664" i="43"/>
  <c r="O2648" i="43"/>
  <c r="O2632" i="43"/>
  <c r="O2616" i="43"/>
  <c r="O2597" i="43"/>
  <c r="O2581" i="43"/>
  <c r="O2565" i="43"/>
  <c r="O2549" i="43"/>
  <c r="O2533" i="43"/>
  <c r="O2517" i="43"/>
  <c r="O2501" i="43"/>
  <c r="O2485" i="43"/>
  <c r="O2469" i="43"/>
  <c r="O2453" i="43"/>
  <c r="O2437" i="43"/>
  <c r="O2422" i="43"/>
  <c r="O2406" i="43"/>
  <c r="O2390" i="43"/>
  <c r="O2374" i="43"/>
  <c r="O2358" i="43"/>
  <c r="O2342" i="43"/>
  <c r="O2326" i="43"/>
  <c r="O2310" i="43"/>
  <c r="O2294" i="43"/>
  <c r="O2278" i="43"/>
  <c r="O2262" i="43"/>
  <c r="O2246" i="43"/>
  <c r="O2230" i="43"/>
  <c r="O2214" i="43"/>
  <c r="O2198" i="43"/>
  <c r="O2182" i="43"/>
  <c r="O2166" i="43"/>
  <c r="O2150" i="43"/>
  <c r="O2134" i="43"/>
  <c r="O2118" i="43"/>
  <c r="O2102" i="43"/>
  <c r="O2086" i="43"/>
  <c r="O2070" i="43"/>
  <c r="O2054" i="43"/>
  <c r="O2038" i="43"/>
  <c r="O2022" i="43"/>
  <c r="O2006" i="43"/>
  <c r="O1990" i="43"/>
  <c r="O1974" i="43"/>
  <c r="O1935" i="43"/>
  <c r="O1871" i="43"/>
  <c r="O1807" i="43"/>
  <c r="O1743" i="43"/>
  <c r="O1679" i="43"/>
  <c r="O1615" i="43"/>
  <c r="O1551" i="43"/>
  <c r="O1487" i="43"/>
  <c r="O1423" i="43"/>
  <c r="O1337" i="43"/>
  <c r="O710" i="43"/>
  <c r="O3145" i="43"/>
  <c r="O3130" i="43"/>
  <c r="O3115" i="43"/>
  <c r="O3099" i="43"/>
  <c r="O3083" i="43"/>
  <c r="O3067" i="43"/>
  <c r="O3051" i="43"/>
  <c r="O3032" i="43"/>
  <c r="O3016" i="43"/>
  <c r="O2997" i="43"/>
  <c r="O2981" i="43"/>
  <c r="O2966" i="43"/>
  <c r="O2950" i="43"/>
  <c r="O2934" i="43"/>
  <c r="O2918" i="43"/>
  <c r="O2902" i="43"/>
  <c r="O2886" i="43"/>
  <c r="O2870" i="43"/>
  <c r="O2855" i="43"/>
  <c r="O2839" i="43"/>
  <c r="O2823" i="43"/>
  <c r="O2807" i="43"/>
  <c r="O2787" i="43"/>
  <c r="O2755" i="43"/>
  <c r="O2723" i="43"/>
  <c r="O2691" i="43"/>
  <c r="O2659" i="43"/>
  <c r="O2627" i="43"/>
  <c r="O2596" i="43"/>
  <c r="O2564" i="43"/>
  <c r="O2532" i="43"/>
  <c r="O2500" i="43"/>
  <c r="O2468" i="43"/>
  <c r="O2436" i="43"/>
  <c r="O2397" i="43"/>
  <c r="O2333" i="43"/>
  <c r="O2269" i="43"/>
  <c r="O2205" i="43"/>
  <c r="O2141" i="43"/>
  <c r="O2077" i="43"/>
  <c r="R3211" i="43"/>
  <c r="R3" i="43"/>
  <c r="R11" i="43"/>
  <c r="R19" i="43"/>
  <c r="R27" i="43"/>
  <c r="R35" i="43"/>
  <c r="R43" i="43"/>
  <c r="R51" i="43"/>
  <c r="R59" i="43"/>
  <c r="R67" i="43"/>
  <c r="R76" i="43"/>
  <c r="R84" i="43"/>
  <c r="R92" i="43"/>
  <c r="R100" i="43"/>
  <c r="R108" i="43"/>
  <c r="R116" i="43"/>
  <c r="R124" i="43"/>
  <c r="R132" i="43"/>
  <c r="R140" i="43"/>
  <c r="R148" i="43"/>
  <c r="R156" i="43"/>
  <c r="R164" i="43"/>
  <c r="R172" i="43"/>
  <c r="R2245" i="43"/>
  <c r="R2253" i="43"/>
  <c r="R2261" i="43"/>
  <c r="R2269" i="43"/>
  <c r="R2277" i="43"/>
  <c r="R2285" i="43"/>
  <c r="R2293" i="43"/>
  <c r="R2301" i="43"/>
  <c r="R2309" i="43"/>
  <c r="R2317" i="43"/>
  <c r="R2325" i="43"/>
  <c r="R6" i="43"/>
  <c r="R14" i="43"/>
  <c r="R22" i="43"/>
  <c r="R30" i="43"/>
  <c r="R38" i="43"/>
  <c r="R46" i="43"/>
  <c r="R54" i="43"/>
  <c r="R62" i="43"/>
  <c r="R70" i="43"/>
  <c r="R79" i="43"/>
  <c r="R87" i="43"/>
  <c r="R95" i="43"/>
  <c r="R103" i="43"/>
  <c r="R111" i="43"/>
  <c r="R119" i="43"/>
  <c r="R127" i="43"/>
  <c r="R135" i="43"/>
  <c r="R143" i="43"/>
  <c r="R151" i="43"/>
  <c r="R159" i="43"/>
  <c r="R167" i="43"/>
  <c r="R2240" i="43"/>
  <c r="R2248" i="43"/>
  <c r="R2256" i="43"/>
  <c r="R2264" i="43"/>
  <c r="R2272" i="43"/>
  <c r="R2280" i="43"/>
  <c r="R2288" i="43"/>
  <c r="R2296" i="43"/>
  <c r="R2304" i="43"/>
  <c r="R2312" i="43"/>
  <c r="R2320" i="43"/>
  <c r="R2328" i="43"/>
  <c r="R179" i="43"/>
  <c r="R187" i="43"/>
  <c r="R195" i="43"/>
  <c r="R203" i="43"/>
  <c r="R211" i="43"/>
  <c r="R219" i="43"/>
  <c r="R227" i="43"/>
  <c r="R235" i="43"/>
  <c r="R243" i="43"/>
  <c r="R251" i="43"/>
  <c r="R259" i="43"/>
  <c r="R267" i="43"/>
  <c r="R275" i="43"/>
  <c r="R283" i="43"/>
  <c r="R291" i="43"/>
  <c r="R299" i="43"/>
  <c r="R307" i="43"/>
  <c r="R316" i="43"/>
  <c r="R324" i="43"/>
  <c r="R5" i="43"/>
  <c r="R13" i="43"/>
  <c r="R21" i="43"/>
  <c r="R29" i="43"/>
  <c r="R37" i="43"/>
  <c r="R45" i="43"/>
  <c r="R53" i="43"/>
  <c r="R61" i="43"/>
  <c r="R69" i="43"/>
  <c r="R78" i="43"/>
  <c r="R86" i="43"/>
  <c r="R94" i="43"/>
  <c r="R102" i="43"/>
  <c r="R110" i="43"/>
  <c r="R118" i="43"/>
  <c r="R126" i="43"/>
  <c r="R134" i="43"/>
  <c r="R142" i="43"/>
  <c r="R150" i="43"/>
  <c r="R158" i="43"/>
  <c r="R166" i="43"/>
  <c r="R2239" i="43"/>
  <c r="R2247" i="43"/>
  <c r="R2255" i="43"/>
  <c r="R2263" i="43"/>
  <c r="R2271" i="43"/>
  <c r="R2279" i="43"/>
  <c r="R2287" i="43"/>
  <c r="R2295" i="43"/>
  <c r="R2303" i="43"/>
  <c r="R2311" i="43"/>
  <c r="R2319" i="43"/>
  <c r="R2327" i="43"/>
  <c r="R8" i="43"/>
  <c r="R16" i="43"/>
  <c r="R24" i="43"/>
  <c r="R32" i="43"/>
  <c r="R40" i="43"/>
  <c r="R48" i="43"/>
  <c r="R56" i="43"/>
  <c r="R64" i="43"/>
  <c r="R72" i="43"/>
  <c r="R81" i="43"/>
  <c r="R89" i="43"/>
  <c r="R97" i="43"/>
  <c r="R105" i="43"/>
  <c r="R113" i="43"/>
  <c r="R121" i="43"/>
  <c r="R129" i="43"/>
  <c r="R137" i="43"/>
  <c r="R145" i="43"/>
  <c r="R153" i="43"/>
  <c r="R161" i="43"/>
  <c r="R169" i="43"/>
  <c r="R2242" i="43"/>
  <c r="R2250" i="43"/>
  <c r="R2258" i="43"/>
  <c r="R2266" i="43"/>
  <c r="R2274" i="43"/>
  <c r="R2282" i="43"/>
  <c r="R2290" i="43"/>
  <c r="R2298" i="43"/>
  <c r="R2306" i="43"/>
  <c r="R2314" i="43"/>
  <c r="R2322" i="43"/>
  <c r="R173" i="43"/>
  <c r="R181" i="43"/>
  <c r="R189" i="43"/>
  <c r="R197" i="43"/>
  <c r="R205" i="43"/>
  <c r="R213" i="43"/>
  <c r="R221" i="43"/>
  <c r="R229" i="43"/>
  <c r="R237" i="43"/>
  <c r="R245" i="43"/>
  <c r="R253" i="43"/>
  <c r="R261" i="43"/>
  <c r="R269" i="43"/>
  <c r="R277" i="43"/>
  <c r="R285" i="43"/>
  <c r="R293" i="43"/>
  <c r="R301" i="43"/>
  <c r="R309" i="43"/>
  <c r="R318" i="43"/>
  <c r="R7" i="43"/>
  <c r="R23" i="43"/>
  <c r="R39" i="43"/>
  <c r="R55" i="43"/>
  <c r="R71" i="43"/>
  <c r="R88" i="43"/>
  <c r="R104" i="43"/>
  <c r="R120" i="43"/>
  <c r="R136" i="43"/>
  <c r="R152" i="43"/>
  <c r="R168" i="43"/>
  <c r="R2249" i="43"/>
  <c r="R2265" i="43"/>
  <c r="R2281" i="43"/>
  <c r="R2297" i="43"/>
  <c r="R2313" i="43"/>
  <c r="R3233" i="43"/>
  <c r="R18" i="43"/>
  <c r="R34" i="43"/>
  <c r="R50" i="43"/>
  <c r="R66" i="43"/>
  <c r="R83" i="43"/>
  <c r="R99" i="43"/>
  <c r="R115" i="43"/>
  <c r="R131" i="43"/>
  <c r="R147" i="43"/>
  <c r="R163" i="43"/>
  <c r="R2244" i="43"/>
  <c r="R2260" i="43"/>
  <c r="R2276" i="43"/>
  <c r="R2292" i="43"/>
  <c r="R2308" i="43"/>
  <c r="R2324" i="43"/>
  <c r="R183" i="43"/>
  <c r="R199" i="43"/>
  <c r="R215" i="43"/>
  <c r="R231" i="43"/>
  <c r="R247" i="43"/>
  <c r="R263" i="43"/>
  <c r="R279" i="43"/>
  <c r="R295" i="43"/>
  <c r="R311" i="43"/>
  <c r="R326" i="43"/>
  <c r="R334" i="43"/>
  <c r="R342" i="43"/>
  <c r="R2439" i="43"/>
  <c r="R2447" i="43"/>
  <c r="R2455" i="43"/>
  <c r="R2463" i="43"/>
  <c r="R2471" i="43"/>
  <c r="R2479" i="43"/>
  <c r="R2487" i="43"/>
  <c r="R2495" i="43"/>
  <c r="R2503" i="43"/>
  <c r="R2511" i="43"/>
  <c r="R2519" i="43"/>
  <c r="R2527" i="43"/>
  <c r="R174" i="43"/>
  <c r="R182" i="43"/>
  <c r="R190" i="43"/>
  <c r="R198" i="43"/>
  <c r="R206" i="43"/>
  <c r="R214" i="43"/>
  <c r="R222" i="43"/>
  <c r="R230" i="43"/>
  <c r="R238" i="43"/>
  <c r="R246" i="43"/>
  <c r="R254" i="43"/>
  <c r="R262" i="43"/>
  <c r="R270" i="43"/>
  <c r="R278" i="43"/>
  <c r="R286" i="43"/>
  <c r="R294" i="43"/>
  <c r="R302" i="43"/>
  <c r="R310" i="43"/>
  <c r="R319" i="43"/>
  <c r="R327" i="43"/>
  <c r="R335" i="43"/>
  <c r="R343" i="43"/>
  <c r="R2442" i="43"/>
  <c r="R2450" i="43"/>
  <c r="R2458" i="43"/>
  <c r="R2466" i="43"/>
  <c r="R2474" i="43"/>
  <c r="R2482" i="43"/>
  <c r="R2490" i="43"/>
  <c r="R9" i="43"/>
  <c r="R25" i="43"/>
  <c r="R41" i="43"/>
  <c r="R57" i="43"/>
  <c r="R74" i="43"/>
  <c r="R90" i="43"/>
  <c r="R106" i="43"/>
  <c r="R122" i="43"/>
  <c r="R138" i="43"/>
  <c r="R154" i="43"/>
  <c r="R170" i="43"/>
  <c r="R2251" i="43"/>
  <c r="R2267" i="43"/>
  <c r="R2283" i="43"/>
  <c r="R2299" i="43"/>
  <c r="R2315" i="43"/>
  <c r="R4" i="43"/>
  <c r="R20" i="43"/>
  <c r="R36" i="43"/>
  <c r="R52" i="43"/>
  <c r="R68" i="43"/>
  <c r="R85" i="43"/>
  <c r="R101" i="43"/>
  <c r="R117" i="43"/>
  <c r="R133" i="43"/>
  <c r="R149" i="43"/>
  <c r="R165" i="43"/>
  <c r="R2246" i="43"/>
  <c r="R2262" i="43"/>
  <c r="R2278" i="43"/>
  <c r="R2294" i="43"/>
  <c r="R2310" i="43"/>
  <c r="R2326" i="43"/>
  <c r="R185" i="43"/>
  <c r="R201" i="43"/>
  <c r="R217" i="43"/>
  <c r="R233" i="43"/>
  <c r="R249" i="43"/>
  <c r="R265" i="43"/>
  <c r="R281" i="43"/>
  <c r="R297" i="43"/>
  <c r="R314" i="43"/>
  <c r="R328" i="43"/>
  <c r="R336" i="43"/>
  <c r="R344" i="43"/>
  <c r="R2441" i="43"/>
  <c r="R2449" i="43"/>
  <c r="R2457" i="43"/>
  <c r="R2465" i="43"/>
  <c r="R2473" i="43"/>
  <c r="R2481" i="43"/>
  <c r="R2489" i="43"/>
  <c r="R2497" i="43"/>
  <c r="R2505" i="43"/>
  <c r="R2513" i="43"/>
  <c r="R2521" i="43"/>
  <c r="R2529" i="43"/>
  <c r="R176" i="43"/>
  <c r="R184" i="43"/>
  <c r="R192" i="43"/>
  <c r="R200" i="43"/>
  <c r="R208" i="43"/>
  <c r="R216" i="43"/>
  <c r="R224" i="43"/>
  <c r="R232" i="43"/>
  <c r="R240" i="43"/>
  <c r="R248" i="43"/>
  <c r="R256" i="43"/>
  <c r="R264" i="43"/>
  <c r="R272" i="43"/>
  <c r="R280" i="43"/>
  <c r="R288" i="43"/>
  <c r="R296" i="43"/>
  <c r="R304" i="43"/>
  <c r="R313" i="43"/>
  <c r="R321" i="43"/>
  <c r="R329" i="43"/>
  <c r="R337" i="43"/>
  <c r="R2436" i="43"/>
  <c r="R2444" i="43"/>
  <c r="R2452" i="43"/>
  <c r="R2460" i="43"/>
  <c r="R2468" i="43"/>
  <c r="R2476" i="43"/>
  <c r="R2484" i="43"/>
  <c r="R15" i="43"/>
  <c r="R47" i="43"/>
  <c r="R80" i="43"/>
  <c r="R112" i="43"/>
  <c r="R144" i="43"/>
  <c r="R2241" i="43"/>
  <c r="R2273" i="43"/>
  <c r="R2305" i="43"/>
  <c r="R10" i="43"/>
  <c r="R42" i="43"/>
  <c r="R75" i="43"/>
  <c r="R107" i="43"/>
  <c r="R139" i="43"/>
  <c r="R171" i="43"/>
  <c r="R2268" i="43"/>
  <c r="R2300" i="43"/>
  <c r="R175" i="43"/>
  <c r="R207" i="43"/>
  <c r="R239" i="43"/>
  <c r="R271" i="43"/>
  <c r="R303" i="43"/>
  <c r="R330" i="43"/>
  <c r="R2435" i="43"/>
  <c r="R2451" i="43"/>
  <c r="R2467" i="43"/>
  <c r="R2483" i="43"/>
  <c r="R2499" i="43"/>
  <c r="R2515" i="43"/>
  <c r="R2531" i="43"/>
  <c r="R186" i="43"/>
  <c r="R202" i="43"/>
  <c r="R218" i="43"/>
  <c r="R234" i="43"/>
  <c r="R250" i="43"/>
  <c r="R266" i="43"/>
  <c r="R282" i="43"/>
  <c r="R298" i="43"/>
  <c r="R315" i="43"/>
  <c r="R331" i="43"/>
  <c r="R2438" i="43"/>
  <c r="R2454" i="43"/>
  <c r="R2470" i="43"/>
  <c r="R2486" i="43"/>
  <c r="R2496" i="43"/>
  <c r="R2504" i="43"/>
  <c r="R2512" i="43"/>
  <c r="R2520" i="43"/>
  <c r="R2528" i="43"/>
  <c r="R2835" i="43"/>
  <c r="R2843" i="43"/>
  <c r="R2851" i="43"/>
  <c r="R2934" i="43"/>
  <c r="R2942" i="43"/>
  <c r="R2950" i="43"/>
  <c r="R2958" i="43"/>
  <c r="R2966" i="43"/>
  <c r="R3009" i="43"/>
  <c r="R3017" i="43"/>
  <c r="R3025" i="43"/>
  <c r="R350" i="43"/>
  <c r="R358" i="43"/>
  <c r="R366" i="43"/>
  <c r="R374" i="43"/>
  <c r="R382" i="43"/>
  <c r="R390" i="43"/>
  <c r="R398" i="43"/>
  <c r="R406" i="43"/>
  <c r="R414" i="43"/>
  <c r="R422" i="43"/>
  <c r="R430" i="43"/>
  <c r="R438" i="43"/>
  <c r="R446" i="43"/>
  <c r="R454" i="43"/>
  <c r="R462" i="43"/>
  <c r="R470" i="43"/>
  <c r="R478" i="43"/>
  <c r="R486" i="43"/>
  <c r="R494" i="43"/>
  <c r="R502" i="43"/>
  <c r="R510" i="43"/>
  <c r="R2836" i="43"/>
  <c r="R2844" i="43"/>
  <c r="R2852" i="43"/>
  <c r="R2933" i="43"/>
  <c r="R2941" i="43"/>
  <c r="R2949" i="43"/>
  <c r="R2957" i="43"/>
  <c r="R2965" i="43"/>
  <c r="R3014" i="43"/>
  <c r="R3022" i="43"/>
  <c r="R349" i="43"/>
  <c r="R357" i="43"/>
  <c r="R365" i="43"/>
  <c r="R373" i="43"/>
  <c r="R381" i="43"/>
  <c r="R389" i="43"/>
  <c r="R397" i="43"/>
  <c r="R405" i="43"/>
  <c r="R431" i="43"/>
  <c r="R463" i="43"/>
  <c r="R495" i="43"/>
  <c r="R518" i="43"/>
  <c r="R526" i="43"/>
  <c r="R534" i="43"/>
  <c r="R542" i="43"/>
  <c r="R550" i="43"/>
  <c r="R558" i="43"/>
  <c r="R566" i="43"/>
  <c r="R574" i="43"/>
  <c r="R582" i="43"/>
  <c r="R590" i="43"/>
  <c r="R598" i="43"/>
  <c r="R606" i="43"/>
  <c r="R614" i="43"/>
  <c r="R622" i="43"/>
  <c r="R630" i="43"/>
  <c r="R638" i="43"/>
  <c r="R646" i="43"/>
  <c r="R654" i="43"/>
  <c r="R662" i="43"/>
  <c r="R670" i="43"/>
  <c r="R678" i="43"/>
  <c r="R686" i="43"/>
  <c r="R694" i="43"/>
  <c r="R702" i="43"/>
  <c r="R710" i="43"/>
  <c r="R17" i="43"/>
  <c r="R49" i="43"/>
  <c r="R82" i="43"/>
  <c r="R114" i="43"/>
  <c r="R146" i="43"/>
  <c r="R2243" i="43"/>
  <c r="R2275" i="43"/>
  <c r="R2307" i="43"/>
  <c r="R12" i="43"/>
  <c r="R44" i="43"/>
  <c r="R77" i="43"/>
  <c r="R109" i="43"/>
  <c r="R141" i="43"/>
  <c r="R2238" i="43"/>
  <c r="R2270" i="43"/>
  <c r="R2302" i="43"/>
  <c r="R177" i="43"/>
  <c r="R209" i="43"/>
  <c r="R241" i="43"/>
  <c r="R273" i="43"/>
  <c r="R305" i="43"/>
  <c r="R332" i="43"/>
  <c r="R2437" i="43"/>
  <c r="R2453" i="43"/>
  <c r="R2469" i="43"/>
  <c r="R2485" i="43"/>
  <c r="R2501" i="43"/>
  <c r="R2517" i="43"/>
  <c r="R2533" i="43"/>
  <c r="R188" i="43"/>
  <c r="R204" i="43"/>
  <c r="R220" i="43"/>
  <c r="R236" i="43"/>
  <c r="R252" i="43"/>
  <c r="R268" i="43"/>
  <c r="R284" i="43"/>
  <c r="R300" i="43"/>
  <c r="R317" i="43"/>
  <c r="R333" i="43"/>
  <c r="R2440" i="43"/>
  <c r="R2456" i="43"/>
  <c r="R2472" i="43"/>
  <c r="R2488" i="43"/>
  <c r="R2498" i="43"/>
  <c r="R2506" i="43"/>
  <c r="R2514" i="43"/>
  <c r="R2522" i="43"/>
  <c r="R2530" i="43"/>
  <c r="R2837" i="43"/>
  <c r="R2845" i="43"/>
  <c r="R2853" i="43"/>
  <c r="R2936" i="43"/>
  <c r="R2944" i="43"/>
  <c r="R2952" i="43"/>
  <c r="R2960" i="43"/>
  <c r="R2968" i="43"/>
  <c r="R3011" i="43"/>
  <c r="R3019" i="43"/>
  <c r="R3027" i="43"/>
  <c r="R352" i="43"/>
  <c r="R360" i="43"/>
  <c r="R368" i="43"/>
  <c r="R376" i="43"/>
  <c r="R384" i="43"/>
  <c r="R392" i="43"/>
  <c r="R400" i="43"/>
  <c r="R408" i="43"/>
  <c r="R416" i="43"/>
  <c r="R424" i="43"/>
  <c r="R432" i="43"/>
  <c r="R440" i="43"/>
  <c r="R448" i="43"/>
  <c r="R456" i="43"/>
  <c r="R464" i="43"/>
  <c r="R472" i="43"/>
  <c r="R480" i="43"/>
  <c r="R488" i="43"/>
  <c r="R496" i="43"/>
  <c r="R504" i="43"/>
  <c r="R512" i="43"/>
  <c r="R2838" i="43"/>
  <c r="R2846" i="43"/>
  <c r="R2854" i="43"/>
  <c r="R2935" i="43"/>
  <c r="R2943" i="43"/>
  <c r="R2951" i="43"/>
  <c r="R2959" i="43"/>
  <c r="R2967" i="43"/>
  <c r="R3008" i="43"/>
  <c r="R3016" i="43"/>
  <c r="R3024" i="43"/>
  <c r="R351" i="43"/>
  <c r="R359" i="43"/>
  <c r="R367" i="43"/>
  <c r="R375" i="43"/>
  <c r="R383" i="43"/>
  <c r="R391" i="43"/>
  <c r="R399" i="43"/>
  <c r="R407" i="43"/>
  <c r="R439" i="43"/>
  <c r="R471" i="43"/>
  <c r="R503" i="43"/>
  <c r="R520" i="43"/>
  <c r="R528" i="43"/>
  <c r="R536" i="43"/>
  <c r="R544" i="43"/>
  <c r="R552" i="43"/>
  <c r="R560" i="43"/>
  <c r="R568" i="43"/>
  <c r="R576" i="43"/>
  <c r="R584" i="43"/>
  <c r="R592" i="43"/>
  <c r="R600" i="43"/>
  <c r="R608" i="43"/>
  <c r="R616" i="43"/>
  <c r="R624" i="43"/>
  <c r="R632" i="43"/>
  <c r="R640" i="43"/>
  <c r="R648" i="43"/>
  <c r="R656" i="43"/>
  <c r="R664" i="43"/>
  <c r="R672" i="43"/>
  <c r="R680" i="43"/>
  <c r="R688" i="43"/>
  <c r="R696" i="43"/>
  <c r="R704" i="43"/>
  <c r="R712" i="43"/>
  <c r="R720" i="43"/>
  <c r="R728" i="43"/>
  <c r="R736" i="43"/>
  <c r="R744" i="43"/>
  <c r="R752" i="43"/>
  <c r="R760" i="43"/>
  <c r="R768" i="43"/>
  <c r="R776" i="43"/>
  <c r="R786" i="43"/>
  <c r="R802" i="43"/>
  <c r="R818" i="43"/>
  <c r="R429" i="43"/>
  <c r="R461" i="43"/>
  <c r="R493" i="43"/>
  <c r="R2972" i="43"/>
  <c r="R2980" i="43"/>
  <c r="R2988" i="43"/>
  <c r="R2996" i="43"/>
  <c r="R3029" i="43"/>
  <c r="R3037" i="43"/>
  <c r="R3050" i="43"/>
  <c r="R3059" i="43"/>
  <c r="R3110" i="43"/>
  <c r="R3135" i="43"/>
  <c r="R3143" i="43"/>
  <c r="R3158" i="43"/>
  <c r="R3166" i="43"/>
  <c r="R3195" i="43"/>
  <c r="R3203" i="43"/>
  <c r="R3219" i="43"/>
  <c r="R727" i="43"/>
  <c r="R799" i="43"/>
  <c r="R815" i="43"/>
  <c r="R427" i="43"/>
  <c r="R459" i="43"/>
  <c r="R491" i="43"/>
  <c r="R517" i="43"/>
  <c r="R525" i="43"/>
  <c r="R533" i="43"/>
  <c r="R541" i="43"/>
  <c r="R549" i="43"/>
  <c r="R557" i="43"/>
  <c r="R565" i="43"/>
  <c r="R31" i="43"/>
  <c r="R63" i="43"/>
  <c r="R96" i="43"/>
  <c r="R128" i="43"/>
  <c r="R160" i="43"/>
  <c r="R2257" i="43"/>
  <c r="R2289" i="43"/>
  <c r="R2321" i="43"/>
  <c r="R26" i="43"/>
  <c r="R58" i="43"/>
  <c r="R91" i="43"/>
  <c r="R123" i="43"/>
  <c r="R155" i="43"/>
  <c r="R2252" i="43"/>
  <c r="R2284" i="43"/>
  <c r="R2316" i="43"/>
  <c r="R191" i="43"/>
  <c r="R223" i="43"/>
  <c r="R255" i="43"/>
  <c r="R287" i="43"/>
  <c r="R320" i="43"/>
  <c r="R338" i="43"/>
  <c r="R2443" i="43"/>
  <c r="R2459" i="43"/>
  <c r="R2475" i="43"/>
  <c r="R2491" i="43"/>
  <c r="R2507" i="43"/>
  <c r="R2523" i="43"/>
  <c r="R178" i="43"/>
  <c r="R194" i="43"/>
  <c r="R210" i="43"/>
  <c r="R226" i="43"/>
  <c r="R242" i="43"/>
  <c r="R258" i="43"/>
  <c r="R274" i="43"/>
  <c r="R290" i="43"/>
  <c r="R306" i="43"/>
  <c r="R323" i="43"/>
  <c r="R339" i="43"/>
  <c r="R2446" i="43"/>
  <c r="R2462" i="43"/>
  <c r="R2478" i="43"/>
  <c r="R2492" i="43"/>
  <c r="R2500" i="43"/>
  <c r="R2508" i="43"/>
  <c r="R2516" i="43"/>
  <c r="R2524" i="43"/>
  <c r="R2532" i="43"/>
  <c r="R2839" i="43"/>
  <c r="R2847" i="43"/>
  <c r="R2855" i="43"/>
  <c r="R2938" i="43"/>
  <c r="R2946" i="43"/>
  <c r="R2954" i="43"/>
  <c r="R2962" i="43"/>
  <c r="R3005" i="43"/>
  <c r="R3013" i="43"/>
  <c r="R3021" i="43"/>
  <c r="R346" i="43"/>
  <c r="R354" i="43"/>
  <c r="R362" i="43"/>
  <c r="R370" i="43"/>
  <c r="R378" i="43"/>
  <c r="R386" i="43"/>
  <c r="R394" i="43"/>
  <c r="R402" i="43"/>
  <c r="R410" i="43"/>
  <c r="R418" i="43"/>
  <c r="R33" i="43"/>
  <c r="R162" i="43"/>
  <c r="R28" i="43"/>
  <c r="R157" i="43"/>
  <c r="R193" i="43"/>
  <c r="R322" i="43"/>
  <c r="R2477" i="43"/>
  <c r="R180" i="43"/>
  <c r="R244" i="43"/>
  <c r="R308" i="43"/>
  <c r="R2464" i="43"/>
  <c r="R2510" i="43"/>
  <c r="R2841" i="43"/>
  <c r="R2948" i="43"/>
  <c r="R3015" i="43"/>
  <c r="R364" i="43"/>
  <c r="R396" i="43"/>
  <c r="R426" i="43"/>
  <c r="R442" i="43"/>
  <c r="R458" i="43"/>
  <c r="R474" i="43"/>
  <c r="R490" i="43"/>
  <c r="R506" i="43"/>
  <c r="R2840" i="43"/>
  <c r="R2856" i="43"/>
  <c r="R2945" i="43"/>
  <c r="R2961" i="43"/>
  <c r="R3010" i="43"/>
  <c r="R345" i="43"/>
  <c r="R361" i="43"/>
  <c r="R377" i="43"/>
  <c r="R393" i="43"/>
  <c r="R415" i="43"/>
  <c r="R479" i="43"/>
  <c r="R522" i="43"/>
  <c r="R538" i="43"/>
  <c r="R554" i="43"/>
  <c r="R570" i="43"/>
  <c r="R586" i="43"/>
  <c r="R602" i="43"/>
  <c r="R618" i="43"/>
  <c r="R634" i="43"/>
  <c r="R650" i="43"/>
  <c r="R666" i="43"/>
  <c r="R682" i="43"/>
  <c r="R698" i="43"/>
  <c r="R714" i="43"/>
  <c r="R724" i="43"/>
  <c r="R734" i="43"/>
  <c r="R746" i="43"/>
  <c r="R756" i="43"/>
  <c r="R766" i="43"/>
  <c r="R778" i="43"/>
  <c r="R794" i="43"/>
  <c r="R814" i="43"/>
  <c r="R437" i="43"/>
  <c r="R477" i="43"/>
  <c r="R2970" i="43"/>
  <c r="R2982" i="43"/>
  <c r="R2992" i="43"/>
  <c r="R3002" i="43"/>
  <c r="R3039" i="43"/>
  <c r="R3055" i="43"/>
  <c r="R3108" i="43"/>
  <c r="R3137" i="43"/>
  <c r="R3147" i="43"/>
  <c r="R3164" i="43"/>
  <c r="R3197" i="43"/>
  <c r="R3212" i="43"/>
  <c r="R3230" i="43"/>
  <c r="R803" i="43"/>
  <c r="R411" i="43"/>
  <c r="R451" i="43"/>
  <c r="R499" i="43"/>
  <c r="R521" i="43"/>
  <c r="R531" i="43"/>
  <c r="R543" i="43"/>
  <c r="R553" i="43"/>
  <c r="R563" i="43"/>
  <c r="R573" i="43"/>
  <c r="R581" i="43"/>
  <c r="R589" i="43"/>
  <c r="R597" i="43"/>
  <c r="R605" i="43"/>
  <c r="R613" i="43"/>
  <c r="R65" i="43"/>
  <c r="R2259" i="43"/>
  <c r="R60" i="43"/>
  <c r="R2254" i="43"/>
  <c r="R225" i="43"/>
  <c r="R340" i="43"/>
  <c r="R2493" i="43"/>
  <c r="R196" i="43"/>
  <c r="R260" i="43"/>
  <c r="R325" i="43"/>
  <c r="R2480" i="43"/>
  <c r="R2518" i="43"/>
  <c r="R2849" i="43"/>
  <c r="R2956" i="43"/>
  <c r="R3023" i="43"/>
  <c r="R372" i="43"/>
  <c r="R404" i="43"/>
  <c r="R428" i="43"/>
  <c r="R444" i="43"/>
  <c r="R460" i="43"/>
  <c r="R476" i="43"/>
  <c r="R492" i="43"/>
  <c r="R508" i="43"/>
  <c r="R2842" i="43"/>
  <c r="R2931" i="43"/>
  <c r="R2947" i="43"/>
  <c r="R2963" i="43"/>
  <c r="R3012" i="43"/>
  <c r="R347" i="43"/>
  <c r="R363" i="43"/>
  <c r="R379" i="43"/>
  <c r="R395" i="43"/>
  <c r="R423" i="43"/>
  <c r="R487" i="43"/>
  <c r="R524" i="43"/>
  <c r="R540" i="43"/>
  <c r="R556" i="43"/>
  <c r="R572" i="43"/>
  <c r="R588" i="43"/>
  <c r="R604" i="43"/>
  <c r="R620" i="43"/>
  <c r="R636" i="43"/>
  <c r="R652" i="43"/>
  <c r="R668" i="43"/>
  <c r="R684" i="43"/>
  <c r="R700" i="43"/>
  <c r="R716" i="43"/>
  <c r="R726" i="43"/>
  <c r="R738" i="43"/>
  <c r="R748" i="43"/>
  <c r="R758" i="43"/>
  <c r="R770" i="43"/>
  <c r="R780" i="43"/>
  <c r="R798" i="43"/>
  <c r="R822" i="43"/>
  <c r="R445" i="43"/>
  <c r="R485" i="43"/>
  <c r="R2974" i="43"/>
  <c r="R2984" i="43"/>
  <c r="R2994" i="43"/>
  <c r="R3031" i="43"/>
  <c r="R3041" i="43"/>
  <c r="R3057" i="43"/>
  <c r="R3126" i="43"/>
  <c r="R3139" i="43"/>
  <c r="R3156" i="43"/>
  <c r="R3178" i="43"/>
  <c r="R3199" i="43"/>
  <c r="R3215" i="43"/>
  <c r="R787" i="43"/>
  <c r="R807" i="43"/>
  <c r="R419" i="43"/>
  <c r="R467" i="43"/>
  <c r="R507" i="43"/>
  <c r="R523" i="43"/>
  <c r="R535" i="43"/>
  <c r="R545" i="43"/>
  <c r="R555" i="43"/>
  <c r="R567" i="43"/>
  <c r="R575" i="43"/>
  <c r="R583" i="43"/>
  <c r="R591" i="43"/>
  <c r="R599" i="43"/>
  <c r="R607" i="43"/>
  <c r="R615" i="43"/>
  <c r="R623" i="43"/>
  <c r="R631" i="43"/>
  <c r="R98" i="43"/>
  <c r="R2291" i="43"/>
  <c r="R93" i="43"/>
  <c r="R2286" i="43"/>
  <c r="R257" i="43"/>
  <c r="R2445" i="43"/>
  <c r="R2509" i="43"/>
  <c r="R212" i="43"/>
  <c r="R276" i="43"/>
  <c r="R341" i="43"/>
  <c r="R2494" i="43"/>
  <c r="R2526" i="43"/>
  <c r="R2932" i="43"/>
  <c r="R2964" i="43"/>
  <c r="R348" i="43"/>
  <c r="R380" i="43"/>
  <c r="R412" i="43"/>
  <c r="R434" i="43"/>
  <c r="R450" i="43"/>
  <c r="R466" i="43"/>
  <c r="R482" i="43"/>
  <c r="R498" i="43"/>
  <c r="R514" i="43"/>
  <c r="R2848" i="43"/>
  <c r="R2937" i="43"/>
  <c r="R2953" i="43"/>
  <c r="R2969" i="43"/>
  <c r="R3018" i="43"/>
  <c r="R353" i="43"/>
  <c r="R369" i="43"/>
  <c r="R385" i="43"/>
  <c r="R401" i="43"/>
  <c r="R447" i="43"/>
  <c r="R511" i="43"/>
  <c r="R530" i="43"/>
  <c r="R546" i="43"/>
  <c r="R562" i="43"/>
  <c r="R578" i="43"/>
  <c r="R594" i="43"/>
  <c r="R610" i="43"/>
  <c r="R626" i="43"/>
  <c r="R642" i="43"/>
  <c r="R658" i="43"/>
  <c r="R674" i="43"/>
  <c r="R690" i="43"/>
  <c r="R706" i="43"/>
  <c r="R718" i="43"/>
  <c r="R730" i="43"/>
  <c r="R740" i="43"/>
  <c r="R750" i="43"/>
  <c r="R762" i="43"/>
  <c r="R772" i="43"/>
  <c r="R784" i="43"/>
  <c r="R806" i="43"/>
  <c r="R413" i="43"/>
  <c r="R453" i="43"/>
  <c r="R501" i="43"/>
  <c r="R2976" i="43"/>
  <c r="R2986" i="43"/>
  <c r="R2998" i="43"/>
  <c r="R3033" i="43"/>
  <c r="R3043" i="43"/>
  <c r="R3104" i="43"/>
  <c r="R3128" i="43"/>
  <c r="R3141" i="43"/>
  <c r="R3160" i="43"/>
  <c r="R3183" i="43"/>
  <c r="R3201" i="43"/>
  <c r="R3222" i="43"/>
  <c r="R791" i="43"/>
  <c r="R811" i="43"/>
  <c r="R435" i="43"/>
  <c r="R475" i="43"/>
  <c r="R515" i="43"/>
  <c r="R527" i="43"/>
  <c r="R537" i="43"/>
  <c r="R547" i="43"/>
  <c r="R559" i="43"/>
  <c r="R569" i="43"/>
  <c r="R577" i="43"/>
  <c r="R585" i="43"/>
  <c r="R593" i="43"/>
  <c r="R601" i="43"/>
  <c r="R609" i="43"/>
  <c r="R617" i="43"/>
  <c r="R130" i="43"/>
  <c r="R289" i="43"/>
  <c r="R292" i="43"/>
  <c r="R2940" i="43"/>
  <c r="R420" i="43"/>
  <c r="R484" i="43"/>
  <c r="R2939" i="43"/>
  <c r="R355" i="43"/>
  <c r="R455" i="43"/>
  <c r="R564" i="43"/>
  <c r="R628" i="43"/>
  <c r="R692" i="43"/>
  <c r="R742" i="43"/>
  <c r="R790" i="43"/>
  <c r="R509" i="43"/>
  <c r="R3035" i="43"/>
  <c r="R3145" i="43"/>
  <c r="R3228" i="43"/>
  <c r="R483" i="43"/>
  <c r="R551" i="43"/>
  <c r="R587" i="43"/>
  <c r="R619" i="43"/>
  <c r="R629" i="43"/>
  <c r="R639" i="43"/>
  <c r="R647" i="43"/>
  <c r="R655" i="43"/>
  <c r="R663" i="43"/>
  <c r="R671" i="43"/>
  <c r="R679" i="43"/>
  <c r="R687" i="43"/>
  <c r="R695" i="43"/>
  <c r="R705" i="43"/>
  <c r="R713" i="43"/>
  <c r="R721" i="43"/>
  <c r="R731" i="43"/>
  <c r="R739" i="43"/>
  <c r="R747" i="43"/>
  <c r="R755" i="43"/>
  <c r="R763" i="43"/>
  <c r="R771" i="43"/>
  <c r="R779" i="43"/>
  <c r="R789" i="43"/>
  <c r="R805" i="43"/>
  <c r="R821" i="43"/>
  <c r="R433" i="43"/>
  <c r="R465" i="43"/>
  <c r="R497" i="43"/>
  <c r="R2973" i="43"/>
  <c r="R2981" i="43"/>
  <c r="R2989" i="43"/>
  <c r="R2997" i="43"/>
  <c r="R3028" i="43"/>
  <c r="R3038" i="43"/>
  <c r="R3054" i="43"/>
  <c r="R3103" i="43"/>
  <c r="R3116" i="43"/>
  <c r="R3136" i="43"/>
  <c r="R3144" i="43"/>
  <c r="R3161" i="43"/>
  <c r="R3185" i="43"/>
  <c r="R3198" i="43"/>
  <c r="R3216" i="43"/>
  <c r="R782" i="43"/>
  <c r="R800" i="43"/>
  <c r="R816" i="43"/>
  <c r="R828" i="43"/>
  <c r="R836" i="43"/>
  <c r="R844" i="43"/>
  <c r="R852" i="43"/>
  <c r="R860" i="43"/>
  <c r="R868" i="43"/>
  <c r="R876" i="43"/>
  <c r="R884" i="43"/>
  <c r="R892" i="43"/>
  <c r="R900" i="43"/>
  <c r="R908" i="43"/>
  <c r="R916" i="43"/>
  <c r="R924" i="43"/>
  <c r="R932" i="43"/>
  <c r="R940" i="43"/>
  <c r="R948" i="43"/>
  <c r="R956" i="43"/>
  <c r="R966" i="43"/>
  <c r="R974" i="43"/>
  <c r="R982" i="43"/>
  <c r="R990" i="43"/>
  <c r="R998" i="43"/>
  <c r="R1006" i="43"/>
  <c r="R1026" i="43"/>
  <c r="R1042" i="43"/>
  <c r="R1058" i="43"/>
  <c r="R1074" i="43"/>
  <c r="R1092" i="43"/>
  <c r="R1108" i="43"/>
  <c r="R1124" i="43"/>
  <c r="R1140" i="43"/>
  <c r="R1156" i="43"/>
  <c r="R1172" i="43"/>
  <c r="R1188" i="43"/>
  <c r="R1204" i="43"/>
  <c r="R1220" i="43"/>
  <c r="R1234" i="43"/>
  <c r="R1254" i="43"/>
  <c r="R1270" i="43"/>
  <c r="R1286" i="43"/>
  <c r="R1302" i="43"/>
  <c r="R1316" i="43"/>
  <c r="R3045" i="43"/>
  <c r="R3064" i="43"/>
  <c r="R3072" i="43"/>
  <c r="R3080" i="43"/>
  <c r="R3088" i="43"/>
  <c r="R3096" i="43"/>
  <c r="R3111" i="43"/>
  <c r="R3150" i="43"/>
  <c r="R3174" i="43"/>
  <c r="R995" i="43"/>
  <c r="R1013" i="43"/>
  <c r="R1027" i="43"/>
  <c r="R1043" i="43"/>
  <c r="R1059" i="43"/>
  <c r="R1075" i="43"/>
  <c r="R1091" i="43"/>
  <c r="R1105" i="43"/>
  <c r="R1121" i="43"/>
  <c r="R1135" i="43"/>
  <c r="R1151" i="43"/>
  <c r="R1167" i="43"/>
  <c r="R1183" i="43"/>
  <c r="R1197" i="43"/>
  <c r="R1213" i="43"/>
  <c r="R1229" i="43"/>
  <c r="R1243" i="43"/>
  <c r="R1259" i="43"/>
  <c r="R1273" i="43"/>
  <c r="R1291" i="43"/>
  <c r="R1307" i="43"/>
  <c r="R1323" i="43"/>
  <c r="R825" i="43"/>
  <c r="R833" i="43"/>
  <c r="R841" i="43"/>
  <c r="R849" i="43"/>
  <c r="R857" i="43"/>
  <c r="R865" i="43"/>
  <c r="R873" i="43"/>
  <c r="R881" i="43"/>
  <c r="R889" i="43"/>
  <c r="R897" i="43"/>
  <c r="R905" i="43"/>
  <c r="R913" i="43"/>
  <c r="R921" i="43"/>
  <c r="R929" i="43"/>
  <c r="R937" i="43"/>
  <c r="R945" i="43"/>
  <c r="R953" i="43"/>
  <c r="R961" i="43"/>
  <c r="R969" i="43"/>
  <c r="R977" i="43"/>
  <c r="R985" i="43"/>
  <c r="R993" i="43"/>
  <c r="R1007" i="43"/>
  <c r="R1025" i="43"/>
  <c r="R1041" i="43"/>
  <c r="R1057" i="43"/>
  <c r="R1073" i="43"/>
  <c r="R1089" i="43"/>
  <c r="R1107" i="43"/>
  <c r="R1123" i="43"/>
  <c r="R1141" i="43"/>
  <c r="R1157" i="43"/>
  <c r="R2323" i="43"/>
  <c r="R2461" i="43"/>
  <c r="R2448" i="43"/>
  <c r="R3007" i="43"/>
  <c r="R436" i="43"/>
  <c r="R500" i="43"/>
  <c r="R2955" i="43"/>
  <c r="R371" i="43"/>
  <c r="R516" i="43"/>
  <c r="R580" i="43"/>
  <c r="R644" i="43"/>
  <c r="R708" i="43"/>
  <c r="R754" i="43"/>
  <c r="R810" i="43"/>
  <c r="R2978" i="43"/>
  <c r="R3053" i="43"/>
  <c r="R3162" i="43"/>
  <c r="R795" i="43"/>
  <c r="R519" i="43"/>
  <c r="R561" i="43"/>
  <c r="R595" i="43"/>
  <c r="R621" i="43"/>
  <c r="R633" i="43"/>
  <c r="R641" i="43"/>
  <c r="R649" i="43"/>
  <c r="R657" i="43"/>
  <c r="R665" i="43"/>
  <c r="R673" i="43"/>
  <c r="R681" i="43"/>
  <c r="R689" i="43"/>
  <c r="R697" i="43"/>
  <c r="R707" i="43"/>
  <c r="R715" i="43"/>
  <c r="R723" i="43"/>
  <c r="R733" i="43"/>
  <c r="R741" i="43"/>
  <c r="R749" i="43"/>
  <c r="R757" i="43"/>
  <c r="R765" i="43"/>
  <c r="R773" i="43"/>
  <c r="R781" i="43"/>
  <c r="R793" i="43"/>
  <c r="R809" i="43"/>
  <c r="R409" i="43"/>
  <c r="R441" i="43"/>
  <c r="R473" i="43"/>
  <c r="R505" i="43"/>
  <c r="R2975" i="43"/>
  <c r="R2983" i="43"/>
  <c r="R2991" i="43"/>
  <c r="R2999" i="43"/>
  <c r="R3030" i="43"/>
  <c r="R3040" i="43"/>
  <c r="R3056" i="43"/>
  <c r="R3105" i="43"/>
  <c r="R3125" i="43"/>
  <c r="R3138" i="43"/>
  <c r="R3146" i="43"/>
  <c r="R3163" i="43"/>
  <c r="R3187" i="43"/>
  <c r="R3200" i="43"/>
  <c r="R3221" i="43"/>
  <c r="R788" i="43"/>
  <c r="R804" i="43"/>
  <c r="R820" i="43"/>
  <c r="R830" i="43"/>
  <c r="R838" i="43"/>
  <c r="R846" i="43"/>
  <c r="R854" i="43"/>
  <c r="R862" i="43"/>
  <c r="R870" i="43"/>
  <c r="R878" i="43"/>
  <c r="R886" i="43"/>
  <c r="R894" i="43"/>
  <c r="R902" i="43"/>
  <c r="R910" i="43"/>
  <c r="R918" i="43"/>
  <c r="R926" i="43"/>
  <c r="R934" i="43"/>
  <c r="R942" i="43"/>
  <c r="R950" i="43"/>
  <c r="R958" i="43"/>
  <c r="R968" i="43"/>
  <c r="R976" i="43"/>
  <c r="R984" i="43"/>
  <c r="R992" i="43"/>
  <c r="R1000" i="43"/>
  <c r="R1014" i="43"/>
  <c r="R1030" i="43"/>
  <c r="R1046" i="43"/>
  <c r="R1062" i="43"/>
  <c r="R1080" i="43"/>
  <c r="R1096" i="43"/>
  <c r="R1112" i="43"/>
  <c r="R1128" i="43"/>
  <c r="R1144" i="43"/>
  <c r="R1160" i="43"/>
  <c r="R1176" i="43"/>
  <c r="R1192" i="43"/>
  <c r="R1208" i="43"/>
  <c r="R1224" i="43"/>
  <c r="R1240" i="43"/>
  <c r="R1258" i="43"/>
  <c r="R1274" i="43"/>
  <c r="R1290" i="43"/>
  <c r="R1306" i="43"/>
  <c r="R1320" i="43"/>
  <c r="R3047" i="43"/>
  <c r="R3066" i="43"/>
  <c r="R3074" i="43"/>
  <c r="R3082" i="43"/>
  <c r="R3090" i="43"/>
  <c r="R3098" i="43"/>
  <c r="R3113" i="43"/>
  <c r="R3152" i="43"/>
  <c r="R3176" i="43"/>
  <c r="R999" i="43"/>
  <c r="R1017" i="43"/>
  <c r="R1031" i="43"/>
  <c r="R1047" i="43"/>
  <c r="R1063" i="43"/>
  <c r="R1077" i="43"/>
  <c r="R1093" i="43"/>
  <c r="R1109" i="43"/>
  <c r="R1125" i="43"/>
  <c r="R1139" i="43"/>
  <c r="R1155" i="43"/>
  <c r="R1171" i="43"/>
  <c r="R1187" i="43"/>
  <c r="R1201" i="43"/>
  <c r="R1217" i="43"/>
  <c r="R1233" i="43"/>
  <c r="R1247" i="43"/>
  <c r="R1263" i="43"/>
  <c r="R1277" i="43"/>
  <c r="R1295" i="43"/>
  <c r="R1311" i="43"/>
  <c r="R1327" i="43"/>
  <c r="R827" i="43"/>
  <c r="R835" i="43"/>
  <c r="R843" i="43"/>
  <c r="R851" i="43"/>
  <c r="R859" i="43"/>
  <c r="R867" i="43"/>
  <c r="R875" i="43"/>
  <c r="R883" i="43"/>
  <c r="R891" i="43"/>
  <c r="R899" i="43"/>
  <c r="R907" i="43"/>
  <c r="R915" i="43"/>
  <c r="R923" i="43"/>
  <c r="R931" i="43"/>
  <c r="R939" i="43"/>
  <c r="R947" i="43"/>
  <c r="R955" i="43"/>
  <c r="R963" i="43"/>
  <c r="R971" i="43"/>
  <c r="R979" i="43"/>
  <c r="R987" i="43"/>
  <c r="R997" i="43"/>
  <c r="R1011" i="43"/>
  <c r="R1029" i="43"/>
  <c r="R1045" i="43"/>
  <c r="R1061" i="43"/>
  <c r="R1079" i="43"/>
  <c r="R1095" i="43"/>
  <c r="R1111" i="43"/>
  <c r="R1127" i="43"/>
  <c r="R1143" i="43"/>
  <c r="R1161" i="43"/>
  <c r="R125" i="43"/>
  <c r="R2525" i="43"/>
  <c r="R2502" i="43"/>
  <c r="R356" i="43"/>
  <c r="R452" i="43"/>
  <c r="R2834" i="43"/>
  <c r="R3004" i="43"/>
  <c r="R387" i="43"/>
  <c r="R532" i="43"/>
  <c r="R596" i="43"/>
  <c r="R660" i="43"/>
  <c r="R722" i="43"/>
  <c r="R764" i="43"/>
  <c r="R421" i="43"/>
  <c r="R2990" i="43"/>
  <c r="R3106" i="43"/>
  <c r="R3186" i="43"/>
  <c r="R819" i="43"/>
  <c r="R529" i="43"/>
  <c r="R571" i="43"/>
  <c r="R603" i="43"/>
  <c r="R625" i="43"/>
  <c r="R635" i="43"/>
  <c r="R643" i="43"/>
  <c r="R651" i="43"/>
  <c r="R659" i="43"/>
  <c r="R667" i="43"/>
  <c r="R675" i="43"/>
  <c r="R683" i="43"/>
  <c r="R691" i="43"/>
  <c r="R699" i="43"/>
  <c r="R709" i="43"/>
  <c r="R717" i="43"/>
  <c r="R725" i="43"/>
  <c r="R735" i="43"/>
  <c r="R743" i="43"/>
  <c r="R751" i="43"/>
  <c r="R759" i="43"/>
  <c r="R767" i="43"/>
  <c r="R775" i="43"/>
  <c r="R783" i="43"/>
  <c r="R797" i="43"/>
  <c r="R813" i="43"/>
  <c r="R417" i="43"/>
  <c r="R449" i="43"/>
  <c r="R481" i="43"/>
  <c r="R513" i="43"/>
  <c r="R2977" i="43"/>
  <c r="R2985" i="43"/>
  <c r="R2993" i="43"/>
  <c r="R3001" i="43"/>
  <c r="R3034" i="43"/>
  <c r="R3042" i="43"/>
  <c r="R3058" i="43"/>
  <c r="R3107" i="43"/>
  <c r="R3127" i="43"/>
  <c r="R3140" i="43"/>
  <c r="R3157" i="43"/>
  <c r="R3165" i="43"/>
  <c r="R3194" i="43"/>
  <c r="R3202" i="43"/>
  <c r="R3224" i="43"/>
  <c r="R792" i="43"/>
  <c r="R808" i="43"/>
  <c r="R824" i="43"/>
  <c r="R832" i="43"/>
  <c r="R840" i="43"/>
  <c r="R848" i="43"/>
  <c r="R856" i="43"/>
  <c r="R864" i="43"/>
  <c r="R872" i="43"/>
  <c r="R880" i="43"/>
  <c r="R888" i="43"/>
  <c r="R896" i="43"/>
  <c r="R904" i="43"/>
  <c r="R912" i="43"/>
  <c r="R920" i="43"/>
  <c r="R928" i="43"/>
  <c r="R936" i="43"/>
  <c r="R944" i="43"/>
  <c r="R952" i="43"/>
  <c r="R962" i="43"/>
  <c r="R970" i="43"/>
  <c r="R978" i="43"/>
  <c r="R986" i="43"/>
  <c r="R994" i="43"/>
  <c r="R1002" i="43"/>
  <c r="R1018" i="43"/>
  <c r="R1034" i="43"/>
  <c r="R1050" i="43"/>
  <c r="R1066" i="43"/>
  <c r="R1084" i="43"/>
  <c r="R1100" i="43"/>
  <c r="R1116" i="43"/>
  <c r="R1132" i="43"/>
  <c r="R1148" i="43"/>
  <c r="R1164" i="43"/>
  <c r="R1180" i="43"/>
  <c r="R1196" i="43"/>
  <c r="R1212" i="43"/>
  <c r="R1226" i="43"/>
  <c r="R1244" i="43"/>
  <c r="R1262" i="43"/>
  <c r="R1278" i="43"/>
  <c r="R1294" i="43"/>
  <c r="R1308" i="43"/>
  <c r="R1324" i="43"/>
  <c r="R3049" i="43"/>
  <c r="R3068" i="43"/>
  <c r="R3076" i="43"/>
  <c r="R3084" i="43"/>
  <c r="R3092" i="43"/>
  <c r="R3100" i="43"/>
  <c r="R3115" i="43"/>
  <c r="R3154" i="43"/>
  <c r="R3206" i="43"/>
  <c r="R1003" i="43"/>
  <c r="R1021" i="43"/>
  <c r="R1035" i="43"/>
  <c r="R1051" i="43"/>
  <c r="R1067" i="43"/>
  <c r="R1083" i="43"/>
  <c r="R1097" i="43"/>
  <c r="R1113" i="43"/>
  <c r="R1129" i="43"/>
  <c r="R1145" i="43"/>
  <c r="R1159" i="43"/>
  <c r="R1175" i="43"/>
  <c r="R1191" i="43"/>
  <c r="R1205" i="43"/>
  <c r="R1221" i="43"/>
  <c r="R1237" i="43"/>
  <c r="R1251" i="43"/>
  <c r="R1267" i="43"/>
  <c r="R1281" i="43"/>
  <c r="R1297" i="43"/>
  <c r="R1315" i="43"/>
  <c r="R1331" i="43"/>
  <c r="R829" i="43"/>
  <c r="R837" i="43"/>
  <c r="R845" i="43"/>
  <c r="R853" i="43"/>
  <c r="R861" i="43"/>
  <c r="R869" i="43"/>
  <c r="R877" i="43"/>
  <c r="R885" i="43"/>
  <c r="R893" i="43"/>
  <c r="R901" i="43"/>
  <c r="R909" i="43"/>
  <c r="R917" i="43"/>
  <c r="R925" i="43"/>
  <c r="R933" i="43"/>
  <c r="R941" i="43"/>
  <c r="R949" i="43"/>
  <c r="R957" i="43"/>
  <c r="R965" i="43"/>
  <c r="R973" i="43"/>
  <c r="R981" i="43"/>
  <c r="R989" i="43"/>
  <c r="R1001" i="43"/>
  <c r="R1015" i="43"/>
  <c r="R1033" i="43"/>
  <c r="R1049" i="43"/>
  <c r="R1065" i="43"/>
  <c r="R1081" i="43"/>
  <c r="R1099" i="43"/>
  <c r="R1115" i="43"/>
  <c r="R1133" i="43"/>
  <c r="R1149" i="43"/>
  <c r="R1165" i="43"/>
  <c r="R2318" i="43"/>
  <c r="R468" i="43"/>
  <c r="R548" i="43"/>
  <c r="R774" i="43"/>
  <c r="R3210" i="43"/>
  <c r="R611" i="43"/>
  <c r="R653" i="43"/>
  <c r="R685" i="43"/>
  <c r="R719" i="43"/>
  <c r="R753" i="43"/>
  <c r="R785" i="43"/>
  <c r="R457" i="43"/>
  <c r="R2987" i="43"/>
  <c r="R3052" i="43"/>
  <c r="R3142" i="43"/>
  <c r="R3204" i="43"/>
  <c r="R826" i="43"/>
  <c r="R858" i="43"/>
  <c r="R890" i="43"/>
  <c r="R922" i="43"/>
  <c r="R954" i="43"/>
  <c r="R988" i="43"/>
  <c r="R1038" i="43"/>
  <c r="R1104" i="43"/>
  <c r="R1168" i="43"/>
  <c r="R1230" i="43"/>
  <c r="R1298" i="43"/>
  <c r="R3070" i="43"/>
  <c r="R3102" i="43"/>
  <c r="R1009" i="43"/>
  <c r="R1071" i="43"/>
  <c r="R1131" i="43"/>
  <c r="R1193" i="43"/>
  <c r="R1255" i="43"/>
  <c r="R1319" i="43"/>
  <c r="R847" i="43"/>
  <c r="R879" i="43"/>
  <c r="R911" i="43"/>
  <c r="R943" i="43"/>
  <c r="R975" i="43"/>
  <c r="R1019" i="43"/>
  <c r="R1085" i="43"/>
  <c r="R1153" i="43"/>
  <c r="R1181" i="43"/>
  <c r="R1199" i="43"/>
  <c r="R1215" i="43"/>
  <c r="R1231" i="43"/>
  <c r="R1249" i="43"/>
  <c r="R1265" i="43"/>
  <c r="R1283" i="43"/>
  <c r="R1299" i="43"/>
  <c r="R1313" i="43"/>
  <c r="R1329" i="43"/>
  <c r="R3048" i="43"/>
  <c r="R3067" i="43"/>
  <c r="R3075" i="43"/>
  <c r="R3083" i="43"/>
  <c r="R3091" i="43"/>
  <c r="R3099" i="43"/>
  <c r="R3149" i="43"/>
  <c r="R3171" i="43"/>
  <c r="R3184" i="43"/>
  <c r="R3227" i="43"/>
  <c r="R1016" i="43"/>
  <c r="R1032" i="43"/>
  <c r="R1048" i="43"/>
  <c r="R1064" i="43"/>
  <c r="R1078" i="43"/>
  <c r="R1094" i="43"/>
  <c r="R1110" i="43"/>
  <c r="R1126" i="43"/>
  <c r="R1142" i="43"/>
  <c r="R1158" i="43"/>
  <c r="R1174" i="43"/>
  <c r="R1190" i="43"/>
  <c r="R1206" i="43"/>
  <c r="R1222" i="43"/>
  <c r="R1238" i="43"/>
  <c r="R1252" i="43"/>
  <c r="R1268" i="43"/>
  <c r="R1284" i="43"/>
  <c r="R1300" i="43"/>
  <c r="R1318" i="43"/>
  <c r="R1332" i="43"/>
  <c r="R3123" i="43"/>
  <c r="R3180" i="43"/>
  <c r="R1559" i="43"/>
  <c r="R1573" i="43"/>
  <c r="R1589" i="43"/>
  <c r="R1605" i="43"/>
  <c r="R1621" i="43"/>
  <c r="R1635" i="43"/>
  <c r="R1651" i="43"/>
  <c r="R1667" i="43"/>
  <c r="R1683" i="43"/>
  <c r="R1697" i="43"/>
  <c r="R1713" i="43"/>
  <c r="R1729" i="43"/>
  <c r="R1745" i="43"/>
  <c r="R1761" i="43"/>
  <c r="R1775" i="43"/>
  <c r="R1791" i="43"/>
  <c r="R1807" i="43"/>
  <c r="R1341" i="43"/>
  <c r="R1349" i="43"/>
  <c r="R1357" i="43"/>
  <c r="R1365" i="43"/>
  <c r="R1373" i="43"/>
  <c r="R1381" i="43"/>
  <c r="R1389" i="43"/>
  <c r="R1397" i="43"/>
  <c r="R1405" i="43"/>
  <c r="R1413" i="43"/>
  <c r="R1421" i="43"/>
  <c r="R1429" i="43"/>
  <c r="R1437" i="43"/>
  <c r="R1445" i="43"/>
  <c r="R1453" i="43"/>
  <c r="R1461" i="43"/>
  <c r="R1469" i="43"/>
  <c r="R1477" i="43"/>
  <c r="R1485" i="43"/>
  <c r="R1493" i="43"/>
  <c r="R1501" i="43"/>
  <c r="R1509" i="43"/>
  <c r="R1517" i="43"/>
  <c r="R1525" i="43"/>
  <c r="R1533" i="43"/>
  <c r="R1541" i="43"/>
  <c r="R1549" i="43"/>
  <c r="R1565" i="43"/>
  <c r="R1583" i="43"/>
  <c r="R1599" i="43"/>
  <c r="R1615" i="43"/>
  <c r="R1631" i="43"/>
  <c r="R1649" i="43"/>
  <c r="R1665" i="43"/>
  <c r="R1681" i="43"/>
  <c r="R1699" i="43"/>
  <c r="R1715" i="43"/>
  <c r="R1731" i="43"/>
  <c r="R1747" i="43"/>
  <c r="R1763" i="43"/>
  <c r="R1781" i="43"/>
  <c r="R1797" i="43"/>
  <c r="R3120" i="43"/>
  <c r="R3131" i="43"/>
  <c r="R1338" i="43"/>
  <c r="R1346" i="43"/>
  <c r="R1354" i="43"/>
  <c r="R1362" i="43"/>
  <c r="R1376" i="43"/>
  <c r="R1390" i="43"/>
  <c r="R1408" i="43"/>
  <c r="R1424" i="43"/>
  <c r="R1438" i="43"/>
  <c r="R1454" i="43"/>
  <c r="R1470" i="43"/>
  <c r="R1486" i="43"/>
  <c r="R1502" i="43"/>
  <c r="R1520" i="43"/>
  <c r="R1536" i="43"/>
  <c r="R1552" i="43"/>
  <c r="R1568" i="43"/>
  <c r="R1586" i="43"/>
  <c r="R1602" i="43"/>
  <c r="R1618" i="43"/>
  <c r="R1634" i="43"/>
  <c r="R1650" i="43"/>
  <c r="R1666" i="43"/>
  <c r="R1684" i="43"/>
  <c r="R228" i="43"/>
  <c r="R2850" i="43"/>
  <c r="R612" i="43"/>
  <c r="R469" i="43"/>
  <c r="R443" i="43"/>
  <c r="R627" i="43"/>
  <c r="R661" i="43"/>
  <c r="R693" i="43"/>
  <c r="R729" i="43"/>
  <c r="R761" i="43"/>
  <c r="R801" i="43"/>
  <c r="R489" i="43"/>
  <c r="R2995" i="43"/>
  <c r="R3060" i="43"/>
  <c r="R3159" i="43"/>
  <c r="R3229" i="43"/>
  <c r="R834" i="43"/>
  <c r="R866" i="43"/>
  <c r="R898" i="43"/>
  <c r="R930" i="43"/>
  <c r="R964" i="43"/>
  <c r="R996" i="43"/>
  <c r="R1054" i="43"/>
  <c r="R1120" i="43"/>
  <c r="R1184" i="43"/>
  <c r="R1248" i="43"/>
  <c r="R1312" i="43"/>
  <c r="R3078" i="43"/>
  <c r="R3148" i="43"/>
  <c r="R1023" i="43"/>
  <c r="R1087" i="43"/>
  <c r="R1147" i="43"/>
  <c r="R1209" i="43"/>
  <c r="R1271" i="43"/>
  <c r="R823" i="43"/>
  <c r="R855" i="43"/>
  <c r="R887" i="43"/>
  <c r="R919" i="43"/>
  <c r="R951" i="43"/>
  <c r="R983" i="43"/>
  <c r="R1037" i="43"/>
  <c r="R1103" i="43"/>
  <c r="R1169" i="43"/>
  <c r="R1185" i="43"/>
  <c r="R1203" i="43"/>
  <c r="R1219" i="43"/>
  <c r="R1235" i="43"/>
  <c r="R1253" i="43"/>
  <c r="R1269" i="43"/>
  <c r="R1287" i="43"/>
  <c r="R1303" i="43"/>
  <c r="R1317" i="43"/>
  <c r="R1333" i="43"/>
  <c r="R3061" i="43"/>
  <c r="R3069" i="43"/>
  <c r="R3077" i="43"/>
  <c r="R3085" i="43"/>
  <c r="R3093" i="43"/>
  <c r="R3101" i="43"/>
  <c r="R3151" i="43"/>
  <c r="R3173" i="43"/>
  <c r="R3205" i="43"/>
  <c r="R960" i="43"/>
  <c r="R1020" i="43"/>
  <c r="R1036" i="43"/>
  <c r="R1052" i="43"/>
  <c r="R1068" i="43"/>
  <c r="R1082" i="43"/>
  <c r="R1098" i="43"/>
  <c r="R1114" i="43"/>
  <c r="R1130" i="43"/>
  <c r="R1146" i="43"/>
  <c r="R1162" i="43"/>
  <c r="R1178" i="43"/>
  <c r="R1194" i="43"/>
  <c r="R1210" i="43"/>
  <c r="R1228" i="43"/>
  <c r="R1242" i="43"/>
  <c r="R1256" i="43"/>
  <c r="R1272" i="43"/>
  <c r="R1288" i="43"/>
  <c r="R1304" i="43"/>
  <c r="R1322" i="43"/>
  <c r="R3117" i="43"/>
  <c r="R3130" i="43"/>
  <c r="R3182" i="43"/>
  <c r="R1563" i="43"/>
  <c r="R1577" i="43"/>
  <c r="R1593" i="43"/>
  <c r="R1609" i="43"/>
  <c r="R1625" i="43"/>
  <c r="R1639" i="43"/>
  <c r="R1655" i="43"/>
  <c r="R1671" i="43"/>
  <c r="R1687" i="43"/>
  <c r="R1703" i="43"/>
  <c r="R1717" i="43"/>
  <c r="R1733" i="43"/>
  <c r="R1749" i="43"/>
  <c r="R1765" i="43"/>
  <c r="R1779" i="43"/>
  <c r="R1795" i="43"/>
  <c r="R1335" i="43"/>
  <c r="R1343" i="43"/>
  <c r="R1351" i="43"/>
  <c r="R1359" i="43"/>
  <c r="R1367" i="43"/>
  <c r="R1375" i="43"/>
  <c r="R1383" i="43"/>
  <c r="R1391" i="43"/>
  <c r="R1399" i="43"/>
  <c r="R1407" i="43"/>
  <c r="R1415" i="43"/>
  <c r="R1423" i="43"/>
  <c r="R1431" i="43"/>
  <c r="R1439" i="43"/>
  <c r="R1447" i="43"/>
  <c r="R1455" i="43"/>
  <c r="R1463" i="43"/>
  <c r="R1471" i="43"/>
  <c r="R1479" i="43"/>
  <c r="R1487" i="43"/>
  <c r="R1495" i="43"/>
  <c r="R1503" i="43"/>
  <c r="R1511" i="43"/>
  <c r="R1519" i="43"/>
  <c r="R1527" i="43"/>
  <c r="R1535" i="43"/>
  <c r="R1543" i="43"/>
  <c r="R1553" i="43"/>
  <c r="R1569" i="43"/>
  <c r="R1587" i="43"/>
  <c r="R1603" i="43"/>
  <c r="R1619" i="43"/>
  <c r="R1637" i="43"/>
  <c r="R1653" i="43"/>
  <c r="R1669" i="43"/>
  <c r="R1685" i="43"/>
  <c r="R1701" i="43"/>
  <c r="R1719" i="43"/>
  <c r="R1735" i="43"/>
  <c r="R1751" i="43"/>
  <c r="R1767" i="43"/>
  <c r="R1785" i="43"/>
  <c r="R1801" i="43"/>
  <c r="R3122" i="43"/>
  <c r="R3181" i="43"/>
  <c r="R1340" i="43"/>
  <c r="R1348" i="43"/>
  <c r="R1356" i="43"/>
  <c r="R1366" i="43"/>
  <c r="R1380" i="43"/>
  <c r="R1394" i="43"/>
  <c r="R1412" i="43"/>
  <c r="R1426" i="43"/>
  <c r="R1442" i="43"/>
  <c r="R1458" i="43"/>
  <c r="R1474" i="43"/>
  <c r="R1490" i="43"/>
  <c r="R1506" i="43"/>
  <c r="R1524" i="43"/>
  <c r="R1540" i="43"/>
  <c r="R1556" i="43"/>
  <c r="R1572" i="43"/>
  <c r="R1590" i="43"/>
  <c r="R1606" i="43"/>
  <c r="R1622" i="43"/>
  <c r="R1638" i="43"/>
  <c r="R1654" i="43"/>
  <c r="R1670" i="43"/>
  <c r="R1688" i="43"/>
  <c r="R2833" i="43"/>
  <c r="R3020" i="43"/>
  <c r="R676" i="43"/>
  <c r="R3000" i="43"/>
  <c r="R539" i="43"/>
  <c r="R637" i="43"/>
  <c r="R669" i="43"/>
  <c r="R703" i="43"/>
  <c r="R737" i="43"/>
  <c r="R769" i="43"/>
  <c r="R817" i="43"/>
  <c r="R2971" i="43"/>
  <c r="R3003" i="43"/>
  <c r="R3109" i="43"/>
  <c r="R3168" i="43"/>
  <c r="R796" i="43"/>
  <c r="R842" i="43"/>
  <c r="R874" i="43"/>
  <c r="R906" i="43"/>
  <c r="R938" i="43"/>
  <c r="R972" i="43"/>
  <c r="R1004" i="43"/>
  <c r="R1070" i="43"/>
  <c r="R1136" i="43"/>
  <c r="R1200" i="43"/>
  <c r="R1266" i="43"/>
  <c r="R1328" i="43"/>
  <c r="R3086" i="43"/>
  <c r="R3170" i="43"/>
  <c r="R1039" i="43"/>
  <c r="R1101" i="43"/>
  <c r="R1163" i="43"/>
  <c r="R1225" i="43"/>
  <c r="R1285" i="43"/>
  <c r="R831" i="43"/>
  <c r="R863" i="43"/>
  <c r="R895" i="43"/>
  <c r="R927" i="43"/>
  <c r="R959" i="43"/>
  <c r="R991" i="43"/>
  <c r="R1053" i="43"/>
  <c r="R1119" i="43"/>
  <c r="R1173" i="43"/>
  <c r="R1189" i="43"/>
  <c r="R1207" i="43"/>
  <c r="R1223" i="43"/>
  <c r="R1241" i="43"/>
  <c r="R1257" i="43"/>
  <c r="R1275" i="43"/>
  <c r="R1289" i="43"/>
  <c r="R1305" i="43"/>
  <c r="R1321" i="43"/>
  <c r="R3044" i="43"/>
  <c r="R3063" i="43"/>
  <c r="R3071" i="43"/>
  <c r="R3079" i="43"/>
  <c r="R3087" i="43"/>
  <c r="R3095" i="43"/>
  <c r="R3112" i="43"/>
  <c r="R3153" i="43"/>
  <c r="R3175" i="43"/>
  <c r="R3213" i="43"/>
  <c r="R1008" i="43"/>
  <c r="R1024" i="43"/>
  <c r="R1040" i="43"/>
  <c r="R1056" i="43"/>
  <c r="R1072" i="43"/>
  <c r="R1086" i="43"/>
  <c r="R1102" i="43"/>
  <c r="R1118" i="43"/>
  <c r="R1134" i="43"/>
  <c r="R1150" i="43"/>
  <c r="R1166" i="43"/>
  <c r="R1182" i="43"/>
  <c r="R1198" i="43"/>
  <c r="R1214" i="43"/>
  <c r="R1232" i="43"/>
  <c r="R1246" i="43"/>
  <c r="R1260" i="43"/>
  <c r="R1276" i="43"/>
  <c r="R1292" i="43"/>
  <c r="R1310" i="43"/>
  <c r="R1326" i="43"/>
  <c r="R3119" i="43"/>
  <c r="R3132" i="43"/>
  <c r="R1551" i="43"/>
  <c r="R1567" i="43"/>
  <c r="R1581" i="43"/>
  <c r="R1597" i="43"/>
  <c r="R1613" i="43"/>
  <c r="R1629" i="43"/>
  <c r="R1643" i="43"/>
  <c r="R1659" i="43"/>
  <c r="R1675" i="43"/>
  <c r="R1691" i="43"/>
  <c r="R1705" i="43"/>
  <c r="R1721" i="43"/>
  <c r="R1737" i="43"/>
  <c r="R1753" i="43"/>
  <c r="R1769" i="43"/>
  <c r="R1783" i="43"/>
  <c r="R1799" i="43"/>
  <c r="R1337" i="43"/>
  <c r="R1345" i="43"/>
  <c r="R1353" i="43"/>
  <c r="R1361" i="43"/>
  <c r="R1369" i="43"/>
  <c r="R1377" i="43"/>
  <c r="R1385" i="43"/>
  <c r="R1393" i="43"/>
  <c r="R1401" i="43"/>
  <c r="R1409" i="43"/>
  <c r="R1417" i="43"/>
  <c r="R1425" i="43"/>
  <c r="R1433" i="43"/>
  <c r="R1441" i="43"/>
  <c r="R1449" i="43"/>
  <c r="R1457" i="43"/>
  <c r="R1465" i="43"/>
  <c r="R1473" i="43"/>
  <c r="R1481" i="43"/>
  <c r="R1489" i="43"/>
  <c r="R1497" i="43"/>
  <c r="R1505" i="43"/>
  <c r="R1513" i="43"/>
  <c r="R1521" i="43"/>
  <c r="R1529" i="43"/>
  <c r="R1537" i="43"/>
  <c r="R1545" i="43"/>
  <c r="R1557" i="43"/>
  <c r="R1575" i="43"/>
  <c r="R1591" i="43"/>
  <c r="R1607" i="43"/>
  <c r="R1623" i="43"/>
  <c r="R1641" i="43"/>
  <c r="R1657" i="43"/>
  <c r="R1673" i="43"/>
  <c r="R1689" i="43"/>
  <c r="R1707" i="43"/>
  <c r="R1723" i="43"/>
  <c r="R1739" i="43"/>
  <c r="R1755" i="43"/>
  <c r="R1771" i="43"/>
  <c r="R1789" i="43"/>
  <c r="R1805" i="43"/>
  <c r="R3124" i="43"/>
  <c r="R1334" i="43"/>
  <c r="R1342" i="43"/>
  <c r="R1350" i="43"/>
  <c r="R1358" i="43"/>
  <c r="R1368" i="43"/>
  <c r="R1384" i="43"/>
  <c r="R1400" i="43"/>
  <c r="R1416" i="43"/>
  <c r="R1430" i="43"/>
  <c r="R1448" i="43"/>
  <c r="R1462" i="43"/>
  <c r="R1478" i="43"/>
  <c r="R1494" i="43"/>
  <c r="R1512" i="43"/>
  <c r="R1526" i="43"/>
  <c r="R1544" i="43"/>
  <c r="R1560" i="43"/>
  <c r="R1578" i="43"/>
  <c r="R1594" i="43"/>
  <c r="R1610" i="43"/>
  <c r="R1626" i="43"/>
  <c r="R1642" i="43"/>
  <c r="R1658" i="43"/>
  <c r="R1674" i="43"/>
  <c r="R388" i="43"/>
  <c r="R579" i="43"/>
  <c r="R745" i="43"/>
  <c r="R3036" i="43"/>
  <c r="R850" i="43"/>
  <c r="R980" i="43"/>
  <c r="R1216" i="43"/>
  <c r="R3214" i="43"/>
  <c r="R1239" i="43"/>
  <c r="R903" i="43"/>
  <c r="R1069" i="43"/>
  <c r="R1211" i="43"/>
  <c r="R1279" i="43"/>
  <c r="R3046" i="43"/>
  <c r="R3089" i="43"/>
  <c r="R3177" i="43"/>
  <c r="R1044" i="43"/>
  <c r="R1106" i="43"/>
  <c r="R1170" i="43"/>
  <c r="R1236" i="43"/>
  <c r="R1296" i="43"/>
  <c r="R3167" i="43"/>
  <c r="R1601" i="43"/>
  <c r="R1663" i="43"/>
  <c r="R1725" i="43"/>
  <c r="R1787" i="43"/>
  <c r="R1355" i="43"/>
  <c r="R1387" i="43"/>
  <c r="R1419" i="43"/>
  <c r="R1451" i="43"/>
  <c r="R1483" i="43"/>
  <c r="R1515" i="43"/>
  <c r="R1547" i="43"/>
  <c r="R1611" i="43"/>
  <c r="R1677" i="43"/>
  <c r="R1743" i="43"/>
  <c r="R3118" i="43"/>
  <c r="R1352" i="43"/>
  <c r="R1404" i="43"/>
  <c r="R1466" i="43"/>
  <c r="R1532" i="43"/>
  <c r="R1598" i="43"/>
  <c r="R1662" i="43"/>
  <c r="R1374" i="43"/>
  <c r="R1392" i="43"/>
  <c r="R1406" i="43"/>
  <c r="R1422" i="43"/>
  <c r="R1440" i="43"/>
  <c r="R1456" i="43"/>
  <c r="R1472" i="43"/>
  <c r="R1488" i="43"/>
  <c r="R1504" i="43"/>
  <c r="R1518" i="43"/>
  <c r="R1534" i="43"/>
  <c r="R1550" i="43"/>
  <c r="R1566" i="43"/>
  <c r="R1580" i="43"/>
  <c r="R1596" i="43"/>
  <c r="R1612" i="43"/>
  <c r="R1628" i="43"/>
  <c r="R1644" i="43"/>
  <c r="R1660" i="43"/>
  <c r="R1676" i="43"/>
  <c r="R1694" i="43"/>
  <c r="R1726" i="43"/>
  <c r="R1758" i="43"/>
  <c r="R1790" i="43"/>
  <c r="R1873" i="43"/>
  <c r="R1889" i="43"/>
  <c r="R1905" i="43"/>
  <c r="R1921" i="43"/>
  <c r="R1937" i="43"/>
  <c r="R1953" i="43"/>
  <c r="R1969" i="43"/>
  <c r="R1985" i="43"/>
  <c r="R2001" i="43"/>
  <c r="R2017" i="43"/>
  <c r="R2033" i="43"/>
  <c r="R2049" i="43"/>
  <c r="R2067" i="43"/>
  <c r="R2081" i="43"/>
  <c r="R2097" i="43"/>
  <c r="R2113" i="43"/>
  <c r="R2133" i="43"/>
  <c r="R2149" i="43"/>
  <c r="R2165" i="43"/>
  <c r="R2181" i="43"/>
  <c r="R2197" i="43"/>
  <c r="R2213" i="43"/>
  <c r="R2231" i="43"/>
  <c r="R2338" i="43"/>
  <c r="R2354" i="43"/>
  <c r="R2370" i="43"/>
  <c r="R2386" i="43"/>
  <c r="R2402" i="43"/>
  <c r="R2418" i="43"/>
  <c r="R2434" i="43"/>
  <c r="R2549" i="43"/>
  <c r="R2565" i="43"/>
  <c r="R1708" i="43"/>
  <c r="R1740" i="43"/>
  <c r="R1772" i="43"/>
  <c r="R1804" i="43"/>
  <c r="R1815" i="43"/>
  <c r="R1823" i="43"/>
  <c r="R1831" i="43"/>
  <c r="R1839" i="43"/>
  <c r="R1847" i="43"/>
  <c r="R1855" i="43"/>
  <c r="R1863" i="43"/>
  <c r="R1875" i="43"/>
  <c r="R1891" i="43"/>
  <c r="R1907" i="43"/>
  <c r="R1923" i="43"/>
  <c r="R1939" i="43"/>
  <c r="R1955" i="43"/>
  <c r="R1971" i="43"/>
  <c r="R1987" i="43"/>
  <c r="R2003" i="43"/>
  <c r="R2019" i="43"/>
  <c r="R2035" i="43"/>
  <c r="R2051" i="43"/>
  <c r="R2065" i="43"/>
  <c r="R2083" i="43"/>
  <c r="R2099" i="43"/>
  <c r="R2115" i="43"/>
  <c r="R2127" i="43"/>
  <c r="R2143" i="43"/>
  <c r="R2159" i="43"/>
  <c r="R2175" i="43"/>
  <c r="R2191" i="43"/>
  <c r="R2207" i="43"/>
  <c r="R2221" i="43"/>
  <c r="R2237" i="43"/>
  <c r="R2344" i="43"/>
  <c r="R2360" i="43"/>
  <c r="R2376" i="43"/>
  <c r="R2392" i="43"/>
  <c r="R2408" i="43"/>
  <c r="R2424" i="43"/>
  <c r="R2539" i="43"/>
  <c r="R2555" i="43"/>
  <c r="R1690" i="43"/>
  <c r="R1722" i="43"/>
  <c r="R1754" i="43"/>
  <c r="R1786" i="43"/>
  <c r="R1872" i="43"/>
  <c r="R1888" i="43"/>
  <c r="R1902" i="43"/>
  <c r="R1918" i="43"/>
  <c r="R1932" i="43"/>
  <c r="R1948" i="43"/>
  <c r="R1962" i="43"/>
  <c r="R1978" i="43"/>
  <c r="R1996" i="43"/>
  <c r="R2010" i="43"/>
  <c r="R2026" i="43"/>
  <c r="R2042" i="43"/>
  <c r="R2058" i="43"/>
  <c r="R2076" i="43"/>
  <c r="R2092" i="43"/>
  <c r="R403" i="43"/>
  <c r="R645" i="43"/>
  <c r="R777" i="43"/>
  <c r="R3134" i="43"/>
  <c r="R882" i="43"/>
  <c r="R1022" i="43"/>
  <c r="R1282" i="43"/>
  <c r="R1055" i="43"/>
  <c r="R1301" i="43"/>
  <c r="R935" i="43"/>
  <c r="R1137" i="43"/>
  <c r="R1227" i="43"/>
  <c r="R1293" i="43"/>
  <c r="R3065" i="43"/>
  <c r="R3097" i="43"/>
  <c r="R3225" i="43"/>
  <c r="R1060" i="43"/>
  <c r="R1122" i="43"/>
  <c r="R1186" i="43"/>
  <c r="R1250" i="43"/>
  <c r="R1314" i="43"/>
  <c r="R1555" i="43"/>
  <c r="R1617" i="43"/>
  <c r="R1679" i="43"/>
  <c r="R1741" i="43"/>
  <c r="R1803" i="43"/>
  <c r="R1363" i="43"/>
  <c r="R1395" i="43"/>
  <c r="R1427" i="43"/>
  <c r="R1459" i="43"/>
  <c r="R1491" i="43"/>
  <c r="R1523" i="43"/>
  <c r="R1561" i="43"/>
  <c r="R1627" i="43"/>
  <c r="R1695" i="43"/>
  <c r="R1759" i="43"/>
  <c r="R3129" i="43"/>
  <c r="R1360" i="43"/>
  <c r="R1420" i="43"/>
  <c r="R1482" i="43"/>
  <c r="R1548" i="43"/>
  <c r="R1614" i="43"/>
  <c r="R1680" i="43"/>
  <c r="R1378" i="43"/>
  <c r="R1396" i="43"/>
  <c r="R1410" i="43"/>
  <c r="R1428" i="43"/>
  <c r="R1444" i="43"/>
  <c r="R1460" i="43"/>
  <c r="R1476" i="43"/>
  <c r="R1492" i="43"/>
  <c r="R1508" i="43"/>
  <c r="R1522" i="43"/>
  <c r="R1538" i="43"/>
  <c r="R1554" i="43"/>
  <c r="R1570" i="43"/>
  <c r="R1584" i="43"/>
  <c r="R1600" i="43"/>
  <c r="R1616" i="43"/>
  <c r="R1632" i="43"/>
  <c r="R1648" i="43"/>
  <c r="R1664" i="43"/>
  <c r="R1678" i="43"/>
  <c r="R1702" i="43"/>
  <c r="R1734" i="43"/>
  <c r="R1766" i="43"/>
  <c r="R1798" i="43"/>
  <c r="R1877" i="43"/>
  <c r="R1893" i="43"/>
  <c r="R1909" i="43"/>
  <c r="R1927" i="43"/>
  <c r="R1941" i="43"/>
  <c r="R1957" i="43"/>
  <c r="R1973" i="43"/>
  <c r="R1989" i="43"/>
  <c r="R2005" i="43"/>
  <c r="R2021" i="43"/>
  <c r="R2037" i="43"/>
  <c r="R2053" i="43"/>
  <c r="R2069" i="43"/>
  <c r="R2085" i="43"/>
  <c r="R2101" i="43"/>
  <c r="R2121" i="43"/>
  <c r="R2137" i="43"/>
  <c r="R2153" i="43"/>
  <c r="R2169" i="43"/>
  <c r="R2185" i="43"/>
  <c r="R2201" i="43"/>
  <c r="R2217" i="43"/>
  <c r="R2235" i="43"/>
  <c r="R2342" i="43"/>
  <c r="R2358" i="43"/>
  <c r="R2374" i="43"/>
  <c r="R2390" i="43"/>
  <c r="R2406" i="43"/>
  <c r="R2422" i="43"/>
  <c r="R2537" i="43"/>
  <c r="R2553" i="43"/>
  <c r="R2569" i="43"/>
  <c r="R1716" i="43"/>
  <c r="R1748" i="43"/>
  <c r="R1780" i="43"/>
  <c r="R1809" i="43"/>
  <c r="R1817" i="43"/>
  <c r="R1825" i="43"/>
  <c r="R1833" i="43"/>
  <c r="R1841" i="43"/>
  <c r="R1849" i="43"/>
  <c r="R1857" i="43"/>
  <c r="R1865" i="43"/>
  <c r="R1879" i="43"/>
  <c r="R1895" i="43"/>
  <c r="R1911" i="43"/>
  <c r="R1925" i="43"/>
  <c r="R1943" i="43"/>
  <c r="R1959" i="43"/>
  <c r="R1975" i="43"/>
  <c r="R1991" i="43"/>
  <c r="R2007" i="43"/>
  <c r="R2023" i="43"/>
  <c r="R2039" i="43"/>
  <c r="R2055" i="43"/>
  <c r="R2071" i="43"/>
  <c r="R2087" i="43"/>
  <c r="R2103" i="43"/>
  <c r="R2117" i="43"/>
  <c r="R2131" i="43"/>
  <c r="R2147" i="43"/>
  <c r="R2163" i="43"/>
  <c r="R2179" i="43"/>
  <c r="R2195" i="43"/>
  <c r="R2211" i="43"/>
  <c r="R2225" i="43"/>
  <c r="R2332" i="43"/>
  <c r="R2348" i="43"/>
  <c r="R2364" i="43"/>
  <c r="R2380" i="43"/>
  <c r="R2396" i="43"/>
  <c r="R2412" i="43"/>
  <c r="R2428" i="43"/>
  <c r="R2543" i="43"/>
  <c r="R2559" i="43"/>
  <c r="R1698" i="43"/>
  <c r="R1730" i="43"/>
  <c r="R1762" i="43"/>
  <c r="R1794" i="43"/>
  <c r="R1876" i="43"/>
  <c r="R1890" i="43"/>
  <c r="R1906" i="43"/>
  <c r="R1920" i="43"/>
  <c r="R1936" i="43"/>
  <c r="R1952" i="43"/>
  <c r="R1966" i="43"/>
  <c r="R1982" i="43"/>
  <c r="R2000" i="43"/>
  <c r="R2014" i="43"/>
  <c r="R2030" i="43"/>
  <c r="R2046" i="43"/>
  <c r="R2064" i="43"/>
  <c r="R2080" i="43"/>
  <c r="R2096" i="43"/>
  <c r="R2112" i="43"/>
  <c r="R2128" i="43"/>
  <c r="R2144" i="43"/>
  <c r="R2160" i="43"/>
  <c r="R2176" i="43"/>
  <c r="R2192" i="43"/>
  <c r="R2208" i="43"/>
  <c r="R2222" i="43"/>
  <c r="R2329" i="43"/>
  <c r="R2345" i="43"/>
  <c r="R2361" i="43"/>
  <c r="R2377" i="43"/>
  <c r="R2393" i="43"/>
  <c r="R2409" i="43"/>
  <c r="R2423" i="43"/>
  <c r="R2538" i="43"/>
  <c r="R2554" i="43"/>
  <c r="R2570" i="43"/>
  <c r="R1720" i="43"/>
  <c r="R1752" i="43"/>
  <c r="R1784" i="43"/>
  <c r="R1810" i="43"/>
  <c r="R1818" i="43"/>
  <c r="R1826" i="43"/>
  <c r="R1834" i="43"/>
  <c r="R1842" i="43"/>
  <c r="R1850" i="43"/>
  <c r="R1858" i="43"/>
  <c r="R1868" i="43"/>
  <c r="R1882" i="43"/>
  <c r="R1900" i="43"/>
  <c r="R1916" i="43"/>
  <c r="R1934" i="43"/>
  <c r="R1950" i="43"/>
  <c r="R1968" i="43"/>
  <c r="R1984" i="43"/>
  <c r="R1998" i="43"/>
  <c r="R2016" i="43"/>
  <c r="R2032" i="43"/>
  <c r="R2048" i="43"/>
  <c r="R2062" i="43"/>
  <c r="R2078" i="43"/>
  <c r="R2094" i="43"/>
  <c r="R2110" i="43"/>
  <c r="R2126" i="43"/>
  <c r="R2142" i="43"/>
  <c r="R2158" i="43"/>
  <c r="R2174" i="43"/>
  <c r="R2190" i="43"/>
  <c r="R2206" i="43"/>
  <c r="R2224" i="43"/>
  <c r="R2331" i="43"/>
  <c r="R2347" i="43"/>
  <c r="R2363" i="43"/>
  <c r="R2379" i="43"/>
  <c r="R2395" i="43"/>
  <c r="R2411" i="43"/>
  <c r="R2429" i="43"/>
  <c r="R2544" i="43"/>
  <c r="R2560" i="43"/>
  <c r="R2649" i="43"/>
  <c r="R2667" i="43"/>
  <c r="R2681" i="43"/>
  <c r="R2697" i="43"/>
  <c r="R2713" i="43"/>
  <c r="R2731" i="43"/>
  <c r="R2747" i="43"/>
  <c r="R2763" i="43"/>
  <c r="R2779" i="43"/>
  <c r="R2795" i="43"/>
  <c r="R2813" i="43"/>
  <c r="R2829" i="43"/>
  <c r="R2870" i="43"/>
  <c r="R2888" i="43"/>
  <c r="R732" i="43"/>
  <c r="R677" i="43"/>
  <c r="R425" i="43"/>
  <c r="R3196" i="43"/>
  <c r="R914" i="43"/>
  <c r="R1088" i="43"/>
  <c r="R3062" i="43"/>
  <c r="R1117" i="43"/>
  <c r="R839" i="43"/>
  <c r="R967" i="43"/>
  <c r="R1177" i="43"/>
  <c r="R1245" i="43"/>
  <c r="R1309" i="43"/>
  <c r="R3073" i="43"/>
  <c r="R3114" i="43"/>
  <c r="R1012" i="43"/>
  <c r="R1076" i="43"/>
  <c r="R1138" i="43"/>
  <c r="R1202" i="43"/>
  <c r="R1264" i="43"/>
  <c r="R1330" i="43"/>
  <c r="R1571" i="43"/>
  <c r="R1633" i="43"/>
  <c r="R1693" i="43"/>
  <c r="R1757" i="43"/>
  <c r="R1339" i="43"/>
  <c r="R1371" i="43"/>
  <c r="R1403" i="43"/>
  <c r="R1435" i="43"/>
  <c r="R1467" i="43"/>
  <c r="R1499" i="43"/>
  <c r="R1531" i="43"/>
  <c r="R1579" i="43"/>
  <c r="R1645" i="43"/>
  <c r="R1711" i="43"/>
  <c r="R1777" i="43"/>
  <c r="R1336" i="43"/>
  <c r="R1372" i="43"/>
  <c r="R1434" i="43"/>
  <c r="R1498" i="43"/>
  <c r="R1564" i="43"/>
  <c r="R1630" i="43"/>
  <c r="R1364" i="43"/>
  <c r="R1382" i="43"/>
  <c r="R1398" i="43"/>
  <c r="R1414" i="43"/>
  <c r="R1432" i="43"/>
  <c r="R1446" i="43"/>
  <c r="R1464" i="43"/>
  <c r="R1480" i="43"/>
  <c r="R1496" i="43"/>
  <c r="R1510" i="43"/>
  <c r="R1528" i="43"/>
  <c r="R1542" i="43"/>
  <c r="R1558" i="43"/>
  <c r="R1574" i="43"/>
  <c r="R1588" i="43"/>
  <c r="R1604" i="43"/>
  <c r="R1620" i="43"/>
  <c r="R1636" i="43"/>
  <c r="R1652" i="43"/>
  <c r="R1668" i="43"/>
  <c r="R1682" i="43"/>
  <c r="R1710" i="43"/>
  <c r="R1742" i="43"/>
  <c r="R1774" i="43"/>
  <c r="R1806" i="43"/>
  <c r="R1881" i="43"/>
  <c r="R1897" i="43"/>
  <c r="R1913" i="43"/>
  <c r="R1929" i="43"/>
  <c r="R1945" i="43"/>
  <c r="R1961" i="43"/>
  <c r="R1977" i="43"/>
  <c r="R1993" i="43"/>
  <c r="R2009" i="43"/>
  <c r="R2025" i="43"/>
  <c r="R2041" i="43"/>
  <c r="R2057" i="43"/>
  <c r="R2073" i="43"/>
  <c r="R2089" i="43"/>
  <c r="R2105" i="43"/>
  <c r="R2125" i="43"/>
  <c r="R2141" i="43"/>
  <c r="R2157" i="43"/>
  <c r="R2173" i="43"/>
  <c r="R2189" i="43"/>
  <c r="R2205" i="43"/>
  <c r="R2223" i="43"/>
  <c r="R2330" i="43"/>
  <c r="R2346" i="43"/>
  <c r="R2362" i="43"/>
  <c r="R2378" i="43"/>
  <c r="R2394" i="43"/>
  <c r="R2410" i="43"/>
  <c r="R2426" i="43"/>
  <c r="R2541" i="43"/>
  <c r="R2557" i="43"/>
  <c r="R1692" i="43"/>
  <c r="R1724" i="43"/>
  <c r="R1756" i="43"/>
  <c r="R1788" i="43"/>
  <c r="R1811" i="43"/>
  <c r="R1819" i="43"/>
  <c r="R1827" i="43"/>
  <c r="R1835" i="43"/>
  <c r="R1843" i="43"/>
  <c r="R1851" i="43"/>
  <c r="R1859" i="43"/>
  <c r="R1869" i="43"/>
  <c r="R1883" i="43"/>
  <c r="R1899" i="43"/>
  <c r="R1915" i="43"/>
  <c r="R1931" i="43"/>
  <c r="R1947" i="43"/>
  <c r="R1963" i="43"/>
  <c r="R1979" i="43"/>
  <c r="R1995" i="43"/>
  <c r="R2011" i="43"/>
  <c r="R2027" i="43"/>
  <c r="R2043" i="43"/>
  <c r="R2059" i="43"/>
  <c r="R2075" i="43"/>
  <c r="R2091" i="43"/>
  <c r="R2107" i="43"/>
  <c r="R2119" i="43"/>
  <c r="R2135" i="43"/>
  <c r="R2151" i="43"/>
  <c r="R2167" i="43"/>
  <c r="R2183" i="43"/>
  <c r="R2199" i="43"/>
  <c r="R2215" i="43"/>
  <c r="R2229" i="43"/>
  <c r="R2336" i="43"/>
  <c r="R2352" i="43"/>
  <c r="R2368" i="43"/>
  <c r="R2384" i="43"/>
  <c r="R2400" i="43"/>
  <c r="R2416" i="43"/>
  <c r="R2432" i="43"/>
  <c r="R2547" i="43"/>
  <c r="R2563" i="43"/>
  <c r="R1706" i="43"/>
  <c r="R1738" i="43"/>
  <c r="R1770" i="43"/>
  <c r="R1802" i="43"/>
  <c r="R1880" i="43"/>
  <c r="R1894" i="43"/>
  <c r="R1910" i="43"/>
  <c r="R1924" i="43"/>
  <c r="R1940" i="43"/>
  <c r="R1954" i="43"/>
  <c r="R1970" i="43"/>
  <c r="R1988" i="43"/>
  <c r="R2002" i="43"/>
  <c r="R2018" i="43"/>
  <c r="R2034" i="43"/>
  <c r="R2050" i="43"/>
  <c r="R2068" i="43"/>
  <c r="R2084" i="43"/>
  <c r="R2100" i="43"/>
  <c r="R2116" i="43"/>
  <c r="R2132" i="43"/>
  <c r="R2148" i="43"/>
  <c r="R2164" i="43"/>
  <c r="R2180" i="43"/>
  <c r="R2196" i="43"/>
  <c r="R2212" i="43"/>
  <c r="R2226" i="43"/>
  <c r="R2333" i="43"/>
  <c r="R2349" i="43"/>
  <c r="R2365" i="43"/>
  <c r="R2381" i="43"/>
  <c r="R2397" i="43"/>
  <c r="R2413" i="43"/>
  <c r="R2427" i="43"/>
  <c r="R2542" i="43"/>
  <c r="R2558" i="43"/>
  <c r="R1696" i="43"/>
  <c r="R1728" i="43"/>
  <c r="R1760" i="43"/>
  <c r="R1792" i="43"/>
  <c r="R1812" i="43"/>
  <c r="R1820" i="43"/>
  <c r="R1828" i="43"/>
  <c r="R1836" i="43"/>
  <c r="R1844" i="43"/>
  <c r="R1852" i="43"/>
  <c r="R1860" i="43"/>
  <c r="R1870" i="43"/>
  <c r="R1886" i="43"/>
  <c r="R1904" i="43"/>
  <c r="R1922" i="43"/>
  <c r="R1938" i="43"/>
  <c r="R1956" i="43"/>
  <c r="R1972" i="43"/>
  <c r="R1986" i="43"/>
  <c r="R2004" i="43"/>
  <c r="R2020" i="43"/>
  <c r="R2036" i="43"/>
  <c r="R2052" i="43"/>
  <c r="R2066" i="43"/>
  <c r="R2082" i="43"/>
  <c r="R2098" i="43"/>
  <c r="R2114" i="43"/>
  <c r="R2130" i="43"/>
  <c r="R2146" i="43"/>
  <c r="R2162" i="43"/>
  <c r="R2178" i="43"/>
  <c r="R2194" i="43"/>
  <c r="R2210" i="43"/>
  <c r="R2228" i="43"/>
  <c r="R2335" i="43"/>
  <c r="R2351" i="43"/>
  <c r="R2367" i="43"/>
  <c r="R2383" i="43"/>
  <c r="R2399" i="43"/>
  <c r="R2417" i="43"/>
  <c r="R2433" i="43"/>
  <c r="R2548" i="43"/>
  <c r="R2564" i="43"/>
  <c r="R2653" i="43"/>
  <c r="R2671" i="43"/>
  <c r="R2685" i="43"/>
  <c r="R2701" i="43"/>
  <c r="R2719" i="43"/>
  <c r="R2735" i="43"/>
  <c r="R2751" i="43"/>
  <c r="R2767" i="43"/>
  <c r="R2783" i="43"/>
  <c r="R2799" i="43"/>
  <c r="R2817" i="43"/>
  <c r="R2858" i="43"/>
  <c r="R2874" i="43"/>
  <c r="R2892" i="43"/>
  <c r="R3133" i="43"/>
  <c r="R711" i="43"/>
  <c r="R2979" i="43"/>
  <c r="R812" i="43"/>
  <c r="R946" i="43"/>
  <c r="R1152" i="43"/>
  <c r="R3094" i="43"/>
  <c r="R1179" i="43"/>
  <c r="R871" i="43"/>
  <c r="R1005" i="43"/>
  <c r="R1195" i="43"/>
  <c r="R1261" i="43"/>
  <c r="R1325" i="43"/>
  <c r="R3081" i="43"/>
  <c r="R3155" i="43"/>
  <c r="R1028" i="43"/>
  <c r="R1090" i="43"/>
  <c r="R1154" i="43"/>
  <c r="R1218" i="43"/>
  <c r="R1280" i="43"/>
  <c r="R3121" i="43"/>
  <c r="R1585" i="43"/>
  <c r="R1647" i="43"/>
  <c r="R1709" i="43"/>
  <c r="R1773" i="43"/>
  <c r="R1347" i="43"/>
  <c r="R1379" i="43"/>
  <c r="R1411" i="43"/>
  <c r="R1443" i="43"/>
  <c r="R1475" i="43"/>
  <c r="R1507" i="43"/>
  <c r="R1539" i="43"/>
  <c r="R1595" i="43"/>
  <c r="R1661" i="43"/>
  <c r="R1727" i="43"/>
  <c r="R1793" i="43"/>
  <c r="R1344" i="43"/>
  <c r="R1388" i="43"/>
  <c r="R1452" i="43"/>
  <c r="R1516" i="43"/>
  <c r="R1582" i="43"/>
  <c r="R1646" i="43"/>
  <c r="R1370" i="43"/>
  <c r="R1386" i="43"/>
  <c r="R1402" i="43"/>
  <c r="R1418" i="43"/>
  <c r="R1436" i="43"/>
  <c r="R1450" i="43"/>
  <c r="R1468" i="43"/>
  <c r="R1484" i="43"/>
  <c r="R1500" i="43"/>
  <c r="R1514" i="43"/>
  <c r="R1530" i="43"/>
  <c r="R1546" i="43"/>
  <c r="R1562" i="43"/>
  <c r="R1576" i="43"/>
  <c r="R1592" i="43"/>
  <c r="R1608" i="43"/>
  <c r="R1624" i="43"/>
  <c r="R1640" i="43"/>
  <c r="R1656" i="43"/>
  <c r="R1672" i="43"/>
  <c r="R1686" i="43"/>
  <c r="R1718" i="43"/>
  <c r="R1750" i="43"/>
  <c r="R1782" i="43"/>
  <c r="R1867" i="43"/>
  <c r="R1885" i="43"/>
  <c r="R1901" i="43"/>
  <c r="R1917" i="43"/>
  <c r="R1933" i="43"/>
  <c r="R1949" i="43"/>
  <c r="R1965" i="43"/>
  <c r="R1981" i="43"/>
  <c r="R1997" i="43"/>
  <c r="R2013" i="43"/>
  <c r="R2029" i="43"/>
  <c r="R2045" i="43"/>
  <c r="R2061" i="43"/>
  <c r="R2077" i="43"/>
  <c r="R2093" i="43"/>
  <c r="R2109" i="43"/>
  <c r="R2129" i="43"/>
  <c r="R2145" i="43"/>
  <c r="R2161" i="43"/>
  <c r="R2177" i="43"/>
  <c r="R2334" i="43"/>
  <c r="R2398" i="43"/>
  <c r="R2561" i="43"/>
  <c r="R1796" i="43"/>
  <c r="R1837" i="43"/>
  <c r="R1871" i="43"/>
  <c r="R1935" i="43"/>
  <c r="R1999" i="43"/>
  <c r="R2063" i="43"/>
  <c r="R2123" i="43"/>
  <c r="R2187" i="43"/>
  <c r="R2340" i="43"/>
  <c r="R2404" i="43"/>
  <c r="R2567" i="43"/>
  <c r="R1866" i="43"/>
  <c r="R1928" i="43"/>
  <c r="R1992" i="43"/>
  <c r="R2054" i="43"/>
  <c r="R2108" i="43"/>
  <c r="R2140" i="43"/>
  <c r="R2172" i="43"/>
  <c r="R2204" i="43"/>
  <c r="R2234" i="43"/>
  <c r="R2357" i="43"/>
  <c r="R2389" i="43"/>
  <c r="R2419" i="43"/>
  <c r="R2550" i="43"/>
  <c r="R1712" i="43"/>
  <c r="R1776" i="43"/>
  <c r="R1816" i="43"/>
  <c r="R1832" i="43"/>
  <c r="R1848" i="43"/>
  <c r="R1864" i="43"/>
  <c r="R1896" i="43"/>
  <c r="R1930" i="43"/>
  <c r="R1964" i="43"/>
  <c r="R1994" i="43"/>
  <c r="R2028" i="43"/>
  <c r="R2060" i="43"/>
  <c r="R2090" i="43"/>
  <c r="R2122" i="43"/>
  <c r="R2154" i="43"/>
  <c r="R2186" i="43"/>
  <c r="R2220" i="43"/>
  <c r="R2343" i="43"/>
  <c r="R2375" i="43"/>
  <c r="R2407" i="43"/>
  <c r="R2540" i="43"/>
  <c r="R2645" i="43"/>
  <c r="R2677" i="43"/>
  <c r="R2709" i="43"/>
  <c r="R2743" i="43"/>
  <c r="R2775" i="43"/>
  <c r="R2809" i="43"/>
  <c r="R2866" i="43"/>
  <c r="R2900" i="43"/>
  <c r="R2916" i="43"/>
  <c r="R3026" i="43"/>
  <c r="R2694" i="43"/>
  <c r="R2720" i="43"/>
  <c r="R2744" i="43"/>
  <c r="R2768" i="43"/>
  <c r="R2792" i="43"/>
  <c r="R2571" i="43"/>
  <c r="R2579" i="43"/>
  <c r="R2587" i="43"/>
  <c r="R2595" i="43"/>
  <c r="R2603" i="43"/>
  <c r="R2611" i="43"/>
  <c r="R2619" i="43"/>
  <c r="R2627" i="43"/>
  <c r="R2635" i="43"/>
  <c r="R2643" i="43"/>
  <c r="R2659" i="43"/>
  <c r="R2675" i="43"/>
  <c r="R2691" i="43"/>
  <c r="R2707" i="43"/>
  <c r="R2721" i="43"/>
  <c r="R2737" i="43"/>
  <c r="R2753" i="43"/>
  <c r="R2769" i="43"/>
  <c r="R2785" i="43"/>
  <c r="R2801" i="43"/>
  <c r="R2815" i="43"/>
  <c r="R2831" i="43"/>
  <c r="R2872" i="43"/>
  <c r="R2886" i="43"/>
  <c r="R2902" i="43"/>
  <c r="R2918" i="43"/>
  <c r="R3191" i="43"/>
  <c r="R2704" i="43"/>
  <c r="R2728" i="43"/>
  <c r="R2752" i="43"/>
  <c r="R2776" i="43"/>
  <c r="R2798" i="43"/>
  <c r="R2814" i="43"/>
  <c r="R2867" i="43"/>
  <c r="R2885" i="43"/>
  <c r="R2901" i="43"/>
  <c r="R2917" i="43"/>
  <c r="R3232" i="43"/>
  <c r="R2578" i="43"/>
  <c r="R2586" i="43"/>
  <c r="R2594" i="43"/>
  <c r="R2602" i="43"/>
  <c r="R2612" i="43"/>
  <c r="R2620" i="43"/>
  <c r="R2628" i="43"/>
  <c r="R2636" i="43"/>
  <c r="R2644" i="43"/>
  <c r="R2652" i="43"/>
  <c r="R2660" i="43"/>
  <c r="R2668" i="43"/>
  <c r="R2676" i="43"/>
  <c r="R2684" i="43"/>
  <c r="R2696" i="43"/>
  <c r="R2718" i="43"/>
  <c r="R2742" i="43"/>
  <c r="R2766" i="43"/>
  <c r="R2790" i="43"/>
  <c r="R2808" i="43"/>
  <c r="R2822" i="43"/>
  <c r="R2830" i="43"/>
  <c r="R2865" i="43"/>
  <c r="R2879" i="43"/>
  <c r="R2895" i="43"/>
  <c r="R2911" i="43"/>
  <c r="R2929" i="43"/>
  <c r="R2227" i="43"/>
  <c r="R1764" i="43"/>
  <c r="R1861" i="43"/>
  <c r="R2047" i="43"/>
  <c r="R2233" i="43"/>
  <c r="R1778" i="43"/>
  <c r="R2038" i="43"/>
  <c r="R2200" i="43"/>
  <c r="R2385" i="43"/>
  <c r="R1704" i="43"/>
  <c r="R1830" i="43"/>
  <c r="R1892" i="43"/>
  <c r="R1990" i="43"/>
  <c r="R2086" i="43"/>
  <c r="R2182" i="43"/>
  <c r="R2371" i="43"/>
  <c r="R2568" i="43"/>
  <c r="R2739" i="43"/>
  <c r="R2862" i="43"/>
  <c r="R2928" i="43"/>
  <c r="R2738" i="43"/>
  <c r="R3192" i="43"/>
  <c r="R2593" i="43"/>
  <c r="R2617" i="43"/>
  <c r="R2641" i="43"/>
  <c r="R2687" i="43"/>
  <c r="R2749" i="43"/>
  <c r="R2797" i="43"/>
  <c r="R2868" i="43"/>
  <c r="R2914" i="43"/>
  <c r="R2722" i="43"/>
  <c r="R2794" i="43"/>
  <c r="R2881" i="43"/>
  <c r="R3188" i="43"/>
  <c r="R2592" i="43"/>
  <c r="R2618" i="43"/>
  <c r="R2642" i="43"/>
  <c r="R2666" i="43"/>
  <c r="R2690" i="43"/>
  <c r="R2760" i="43"/>
  <c r="R2820" i="43"/>
  <c r="R2875" i="43"/>
  <c r="R2925" i="43"/>
  <c r="R2193" i="43"/>
  <c r="R2350" i="43"/>
  <c r="R2414" i="43"/>
  <c r="R1700" i="43"/>
  <c r="R1813" i="43"/>
  <c r="R1845" i="43"/>
  <c r="R1887" i="43"/>
  <c r="R1951" i="43"/>
  <c r="R2015" i="43"/>
  <c r="R2079" i="43"/>
  <c r="R2139" i="43"/>
  <c r="R2203" i="43"/>
  <c r="R2356" i="43"/>
  <c r="R2420" i="43"/>
  <c r="R1714" i="43"/>
  <c r="R1884" i="43"/>
  <c r="R1944" i="43"/>
  <c r="R2006" i="43"/>
  <c r="R2072" i="43"/>
  <c r="R2120" i="43"/>
  <c r="R2152" i="43"/>
  <c r="R2184" i="43"/>
  <c r="R2216" i="43"/>
  <c r="R2337" i="43"/>
  <c r="R2369" i="43"/>
  <c r="R2401" i="43"/>
  <c r="R2431" i="43"/>
  <c r="R2562" i="43"/>
  <c r="R1736" i="43"/>
  <c r="R1800" i="43"/>
  <c r="R1822" i="43"/>
  <c r="R1838" i="43"/>
  <c r="R1854" i="43"/>
  <c r="R1874" i="43"/>
  <c r="R1908" i="43"/>
  <c r="R1942" i="43"/>
  <c r="R1976" i="43"/>
  <c r="R2008" i="43"/>
  <c r="R2040" i="43"/>
  <c r="R2070" i="43"/>
  <c r="R2102" i="43"/>
  <c r="R2134" i="43"/>
  <c r="R2166" i="43"/>
  <c r="R2198" i="43"/>
  <c r="R2232" i="43"/>
  <c r="R2355" i="43"/>
  <c r="R2387" i="43"/>
  <c r="R2421" i="43"/>
  <c r="R2552" i="43"/>
  <c r="R2657" i="43"/>
  <c r="R2689" i="43"/>
  <c r="R2723" i="43"/>
  <c r="R2755" i="43"/>
  <c r="R2787" i="43"/>
  <c r="R2821" i="43"/>
  <c r="R2878" i="43"/>
  <c r="R2904" i="43"/>
  <c r="R2920" i="43"/>
  <c r="R3189" i="43"/>
  <c r="R2700" i="43"/>
  <c r="R2726" i="43"/>
  <c r="R2750" i="43"/>
  <c r="R2774" i="43"/>
  <c r="R2921" i="43"/>
  <c r="R2573" i="43"/>
  <c r="R2581" i="43"/>
  <c r="R2589" i="43"/>
  <c r="R2597" i="43"/>
  <c r="R2605" i="43"/>
  <c r="R2613" i="43"/>
  <c r="R2621" i="43"/>
  <c r="R2629" i="43"/>
  <c r="R2637" i="43"/>
  <c r="R2647" i="43"/>
  <c r="R2663" i="43"/>
  <c r="R2679" i="43"/>
  <c r="R2695" i="43"/>
  <c r="R2711" i="43"/>
  <c r="R2725" i="43"/>
  <c r="R2741" i="43"/>
  <c r="R2757" i="43"/>
  <c r="R2773" i="43"/>
  <c r="R2789" i="43"/>
  <c r="R2805" i="43"/>
  <c r="R2819" i="43"/>
  <c r="R2860" i="43"/>
  <c r="R2876" i="43"/>
  <c r="R2890" i="43"/>
  <c r="R2906" i="43"/>
  <c r="R2922" i="43"/>
  <c r="R3220" i="43"/>
  <c r="R2710" i="43"/>
  <c r="R2734" i="43"/>
  <c r="R2758" i="43"/>
  <c r="R2782" i="43"/>
  <c r="R2802" i="43"/>
  <c r="R2818" i="43"/>
  <c r="R2873" i="43"/>
  <c r="R2889" i="43"/>
  <c r="R2905" i="43"/>
  <c r="R2923" i="43"/>
  <c r="R2572" i="43"/>
  <c r="R2580" i="43"/>
  <c r="R2588" i="43"/>
  <c r="R2596" i="43"/>
  <c r="R2606" i="43"/>
  <c r="R2614" i="43"/>
  <c r="R2622" i="43"/>
  <c r="R2630" i="43"/>
  <c r="R2638" i="43"/>
  <c r="R2646" i="43"/>
  <c r="R2654" i="43"/>
  <c r="R2662" i="43"/>
  <c r="R2670" i="43"/>
  <c r="R2678" i="43"/>
  <c r="R2686" i="43"/>
  <c r="R2702" i="43"/>
  <c r="R2724" i="43"/>
  <c r="R2748" i="43"/>
  <c r="R2772" i="43"/>
  <c r="R2796" i="43"/>
  <c r="R2812" i="43"/>
  <c r="R2824" i="43"/>
  <c r="R2832" i="43"/>
  <c r="R2869" i="43"/>
  <c r="R2883" i="43"/>
  <c r="R2899" i="43"/>
  <c r="R2915" i="43"/>
  <c r="R3190" i="43"/>
  <c r="R2382" i="43"/>
  <c r="R1829" i="43"/>
  <c r="R1983" i="43"/>
  <c r="R2171" i="43"/>
  <c r="R2551" i="43"/>
  <c r="R1974" i="43"/>
  <c r="R2104" i="43"/>
  <c r="R2168" i="43"/>
  <c r="R2353" i="43"/>
  <c r="R2546" i="43"/>
  <c r="R1814" i="43"/>
  <c r="R1862" i="43"/>
  <c r="R1960" i="43"/>
  <c r="R2056" i="43"/>
  <c r="R2150" i="43"/>
  <c r="R2339" i="43"/>
  <c r="R2536" i="43"/>
  <c r="R2705" i="43"/>
  <c r="R2803" i="43"/>
  <c r="R2912" i="43"/>
  <c r="R2714" i="43"/>
  <c r="R2786" i="43"/>
  <c r="R2577" i="43"/>
  <c r="R2601" i="43"/>
  <c r="R2625" i="43"/>
  <c r="R2655" i="43"/>
  <c r="R2703" i="43"/>
  <c r="R2733" i="43"/>
  <c r="R2781" i="43"/>
  <c r="R2827" i="43"/>
  <c r="R2898" i="43"/>
  <c r="R2698" i="43"/>
  <c r="R2770" i="43"/>
  <c r="R2863" i="43"/>
  <c r="R2913" i="43"/>
  <c r="R2584" i="43"/>
  <c r="R2610" i="43"/>
  <c r="R2634" i="43"/>
  <c r="R2658" i="43"/>
  <c r="R2682" i="43"/>
  <c r="R2736" i="43"/>
  <c r="R2804" i="43"/>
  <c r="R2861" i="43"/>
  <c r="R2907" i="43"/>
  <c r="R2209" i="43"/>
  <c r="R2366" i="43"/>
  <c r="R2430" i="43"/>
  <c r="R1732" i="43"/>
  <c r="R1821" i="43"/>
  <c r="R1853" i="43"/>
  <c r="R1903" i="43"/>
  <c r="R1967" i="43"/>
  <c r="R2031" i="43"/>
  <c r="R2095" i="43"/>
  <c r="R2155" i="43"/>
  <c r="R2219" i="43"/>
  <c r="R2372" i="43"/>
  <c r="R2535" i="43"/>
  <c r="R1746" i="43"/>
  <c r="R1898" i="43"/>
  <c r="R1958" i="43"/>
  <c r="R2022" i="43"/>
  <c r="R2088" i="43"/>
  <c r="R2124" i="43"/>
  <c r="R2156" i="43"/>
  <c r="R2188" i="43"/>
  <c r="R2218" i="43"/>
  <c r="R2341" i="43"/>
  <c r="R2373" i="43"/>
  <c r="R2405" i="43"/>
  <c r="R2534" i="43"/>
  <c r="R2566" i="43"/>
  <c r="R1744" i="43"/>
  <c r="R1808" i="43"/>
  <c r="R1824" i="43"/>
  <c r="R1840" i="43"/>
  <c r="R1856" i="43"/>
  <c r="R1878" i="43"/>
  <c r="R1912" i="43"/>
  <c r="R1946" i="43"/>
  <c r="R1980" i="43"/>
  <c r="R2012" i="43"/>
  <c r="R2044" i="43"/>
  <c r="R2074" i="43"/>
  <c r="R2106" i="43"/>
  <c r="R2138" i="43"/>
  <c r="R2170" i="43"/>
  <c r="R2202" i="43"/>
  <c r="R2236" i="43"/>
  <c r="R2359" i="43"/>
  <c r="R2391" i="43"/>
  <c r="R2425" i="43"/>
  <c r="R2556" i="43"/>
  <c r="R2661" i="43"/>
  <c r="R2693" i="43"/>
  <c r="R2727" i="43"/>
  <c r="R2759" i="43"/>
  <c r="R2791" i="43"/>
  <c r="R2825" i="43"/>
  <c r="R2882" i="43"/>
  <c r="R2908" i="43"/>
  <c r="R2924" i="43"/>
  <c r="R3193" i="43"/>
  <c r="R2706" i="43"/>
  <c r="R2732" i="43"/>
  <c r="R2756" i="43"/>
  <c r="R2780" i="43"/>
  <c r="R3051" i="43"/>
  <c r="R2575" i="43"/>
  <c r="R2583" i="43"/>
  <c r="R2591" i="43"/>
  <c r="R2599" i="43"/>
  <c r="R2607" i="43"/>
  <c r="R2615" i="43"/>
  <c r="R2623" i="43"/>
  <c r="R2631" i="43"/>
  <c r="R2639" i="43"/>
  <c r="R2651" i="43"/>
  <c r="R2665" i="43"/>
  <c r="R2683" i="43"/>
  <c r="R2699" i="43"/>
  <c r="R2715" i="43"/>
  <c r="R2729" i="43"/>
  <c r="R2745" i="43"/>
  <c r="R2761" i="43"/>
  <c r="R2777" i="43"/>
  <c r="R2793" i="43"/>
  <c r="R2807" i="43"/>
  <c r="R2823" i="43"/>
  <c r="R2864" i="43"/>
  <c r="R2880" i="43"/>
  <c r="R2894" i="43"/>
  <c r="R2910" i="43"/>
  <c r="R2926" i="43"/>
  <c r="R2692" i="43"/>
  <c r="R2716" i="43"/>
  <c r="R2740" i="43"/>
  <c r="R2764" i="43"/>
  <c r="R2788" i="43"/>
  <c r="R2806" i="43"/>
  <c r="R2857" i="43"/>
  <c r="R2877" i="43"/>
  <c r="R2893" i="43"/>
  <c r="R2909" i="43"/>
  <c r="R2927" i="43"/>
  <c r="R2574" i="43"/>
  <c r="R2582" i="43"/>
  <c r="R2590" i="43"/>
  <c r="R2598" i="43"/>
  <c r="R2608" i="43"/>
  <c r="R2616" i="43"/>
  <c r="R2624" i="43"/>
  <c r="R2632" i="43"/>
  <c r="R2640" i="43"/>
  <c r="R2648" i="43"/>
  <c r="R2656" i="43"/>
  <c r="R2664" i="43"/>
  <c r="R2672" i="43"/>
  <c r="R2680" i="43"/>
  <c r="R2688" i="43"/>
  <c r="R2708" i="43"/>
  <c r="R2730" i="43"/>
  <c r="R2754" i="43"/>
  <c r="R2778" i="43"/>
  <c r="R2800" i="43"/>
  <c r="R2816" i="43"/>
  <c r="R2826" i="43"/>
  <c r="R2859" i="43"/>
  <c r="R2871" i="43"/>
  <c r="R2887" i="43"/>
  <c r="R2903" i="43"/>
  <c r="R2919" i="43"/>
  <c r="R3223" i="43"/>
  <c r="R2545" i="43"/>
  <c r="R1919" i="43"/>
  <c r="R2111" i="43"/>
  <c r="R2388" i="43"/>
  <c r="R1914" i="43"/>
  <c r="R2136" i="43"/>
  <c r="R2230" i="43"/>
  <c r="R2415" i="43"/>
  <c r="R1768" i="43"/>
  <c r="R1846" i="43"/>
  <c r="R1926" i="43"/>
  <c r="R2024" i="43"/>
  <c r="R2118" i="43"/>
  <c r="R2214" i="43"/>
  <c r="R2403" i="43"/>
  <c r="R2673" i="43"/>
  <c r="R2771" i="43"/>
  <c r="R2896" i="43"/>
  <c r="R3231" i="43"/>
  <c r="R2762" i="43"/>
  <c r="R2585" i="43"/>
  <c r="R2609" i="43"/>
  <c r="R2633" i="43"/>
  <c r="R2669" i="43"/>
  <c r="R2717" i="43"/>
  <c r="R2765" i="43"/>
  <c r="R2811" i="43"/>
  <c r="R2884" i="43"/>
  <c r="R2930" i="43"/>
  <c r="R2746" i="43"/>
  <c r="R2810" i="43"/>
  <c r="R2897" i="43"/>
  <c r="R2576" i="43"/>
  <c r="R2600" i="43"/>
  <c r="R2626" i="43"/>
  <c r="R2650" i="43"/>
  <c r="R2674" i="43"/>
  <c r="R2712" i="43"/>
  <c r="R2784" i="43"/>
  <c r="R2828" i="43"/>
  <c r="R2891" i="43"/>
  <c r="N3203" i="43"/>
  <c r="N2770" i="43"/>
  <c r="N2834" i="43"/>
  <c r="N2256" i="43"/>
  <c r="N2228" i="43"/>
  <c r="N3046" i="43"/>
  <c r="N47" i="43"/>
  <c r="N112" i="43"/>
  <c r="N176" i="43"/>
  <c r="N240" i="43"/>
  <c r="N304" i="43"/>
  <c r="N34" i="43"/>
  <c r="N99" i="43"/>
  <c r="N163" i="43"/>
  <c r="N227" i="43"/>
  <c r="N291" i="43"/>
  <c r="N21" i="43"/>
  <c r="N86" i="43"/>
  <c r="N150" i="43"/>
  <c r="N214" i="43"/>
  <c r="N278" i="43"/>
  <c r="N343" i="43"/>
  <c r="N257" i="43"/>
  <c r="N380" i="43"/>
  <c r="N444" i="43"/>
  <c r="N508" i="43"/>
  <c r="N572" i="43"/>
  <c r="N35" i="43"/>
  <c r="N100" i="43"/>
  <c r="N164" i="43"/>
  <c r="N228" i="43"/>
  <c r="N292" i="43"/>
  <c r="N22" i="43"/>
  <c r="N87" i="43"/>
  <c r="N151" i="43"/>
  <c r="N215" i="43"/>
  <c r="N279" i="43"/>
  <c r="N9" i="43"/>
  <c r="N74" i="43"/>
  <c r="N138" i="43"/>
  <c r="N202" i="43"/>
  <c r="N266" i="43"/>
  <c r="N331" i="43"/>
  <c r="N209" i="43"/>
  <c r="N368" i="43"/>
  <c r="N432" i="43"/>
  <c r="N496" i="43"/>
  <c r="N560" i="43"/>
  <c r="N23" i="43"/>
  <c r="N88" i="43"/>
  <c r="N152" i="43"/>
  <c r="N216" i="43"/>
  <c r="N280" i="43"/>
  <c r="N10" i="43"/>
  <c r="N75" i="43"/>
  <c r="N139" i="43"/>
  <c r="N203" i="43"/>
  <c r="N267" i="43"/>
  <c r="N332" i="43"/>
  <c r="N61" i="43"/>
  <c r="N126" i="43"/>
  <c r="N190" i="43"/>
  <c r="N254" i="43"/>
  <c r="N319" i="43"/>
  <c r="N161" i="43"/>
  <c r="N356" i="43"/>
  <c r="N420" i="43"/>
  <c r="N484" i="43"/>
  <c r="N548" i="43"/>
  <c r="N11" i="43"/>
  <c r="N268" i="43"/>
  <c r="N191" i="43"/>
  <c r="N114" i="43"/>
  <c r="N113" i="43"/>
  <c r="N536" i="43"/>
  <c r="N213" i="43"/>
  <c r="N375" i="43"/>
  <c r="N439" i="43"/>
  <c r="N503" i="43"/>
  <c r="N567" i="43"/>
  <c r="N169" i="43"/>
  <c r="N366" i="43"/>
  <c r="N430" i="43"/>
  <c r="N494" i="43"/>
  <c r="N558" i="43"/>
  <c r="N93" i="43"/>
  <c r="N342" i="43"/>
  <c r="N405" i="43"/>
  <c r="N469" i="43"/>
  <c r="N533" i="43"/>
  <c r="N619" i="43"/>
  <c r="N156" i="43"/>
  <c r="N79" i="43"/>
  <c r="N336" i="43"/>
  <c r="N258" i="43"/>
  <c r="N424" i="43"/>
  <c r="N101" i="43"/>
  <c r="N347" i="43"/>
  <c r="N411" i="43"/>
  <c r="N475" i="43"/>
  <c r="N539" i="43"/>
  <c r="N56" i="43"/>
  <c r="N314" i="43"/>
  <c r="N402" i="43"/>
  <c r="N466" i="43"/>
  <c r="N530" i="43"/>
  <c r="N594" i="43"/>
  <c r="N237" i="43"/>
  <c r="N377" i="43"/>
  <c r="N441" i="43"/>
  <c r="N505" i="43"/>
  <c r="N593" i="43"/>
  <c r="N43" i="43"/>
  <c r="N300" i="43"/>
  <c r="N223" i="43"/>
  <c r="N146" i="43"/>
  <c r="N241" i="43"/>
  <c r="N568" i="43"/>
  <c r="N245" i="43"/>
  <c r="N383" i="43"/>
  <c r="N447" i="43"/>
  <c r="N511" i="43"/>
  <c r="N575" i="43"/>
  <c r="N201" i="43"/>
  <c r="N374" i="43"/>
  <c r="N438" i="43"/>
  <c r="N502" i="43"/>
  <c r="N566" i="43"/>
  <c r="N125" i="43"/>
  <c r="N349" i="43"/>
  <c r="N413" i="43"/>
  <c r="N477" i="43"/>
  <c r="N541" i="43"/>
  <c r="N627" i="43"/>
  <c r="N162" i="43"/>
  <c r="N387" i="43"/>
  <c r="N217" i="43"/>
  <c r="N570" i="43"/>
  <c r="N481" i="43"/>
  <c r="N671" i="43"/>
  <c r="N735" i="43"/>
  <c r="N799" i="43"/>
  <c r="N863" i="43"/>
  <c r="N927" i="43"/>
  <c r="N626" i="43"/>
  <c r="N690" i="43"/>
  <c r="N754" i="43"/>
  <c r="N818" i="43"/>
  <c r="N882" i="43"/>
  <c r="N609" i="43"/>
  <c r="N673" i="43"/>
  <c r="N737" i="43"/>
  <c r="N776" i="43"/>
  <c r="N904" i="43"/>
  <c r="N990" i="43"/>
  <c r="N1054" i="43"/>
  <c r="N1118" i="43"/>
  <c r="N1182" i="43"/>
  <c r="N1246" i="43"/>
  <c r="N1310" i="43"/>
  <c r="N696" i="43"/>
  <c r="N845" i="43"/>
  <c r="N957" i="43"/>
  <c r="N1021" i="43"/>
  <c r="N1085" i="43"/>
  <c r="N1149" i="43"/>
  <c r="N1213" i="43"/>
  <c r="N1277" i="43"/>
  <c r="N597" i="43"/>
  <c r="N796" i="43"/>
  <c r="N924" i="43"/>
  <c r="N992" i="43"/>
  <c r="N1056" i="43"/>
  <c r="N1120" i="43"/>
  <c r="N1184" i="43"/>
  <c r="N1248" i="43"/>
  <c r="N46" i="43"/>
  <c r="N68" i="43"/>
  <c r="N531" i="43"/>
  <c r="N458" i="43"/>
  <c r="N369" i="43"/>
  <c r="N643" i="43"/>
  <c r="N707" i="43"/>
  <c r="N771" i="43"/>
  <c r="N835" i="43"/>
  <c r="N899" i="43"/>
  <c r="N595" i="43"/>
  <c r="N662" i="43"/>
  <c r="N726" i="43"/>
  <c r="N790" i="43"/>
  <c r="N854" i="43"/>
  <c r="N918" i="43"/>
  <c r="N645" i="43"/>
  <c r="N709" i="43"/>
  <c r="N692" i="43"/>
  <c r="N848" i="43"/>
  <c r="N962" i="43"/>
  <c r="N1026" i="43"/>
  <c r="N1090" i="43"/>
  <c r="N1154" i="43"/>
  <c r="N1218" i="43"/>
  <c r="N33" i="43"/>
  <c r="N355" i="43"/>
  <c r="N89" i="43"/>
  <c r="N538" i="43"/>
  <c r="N449" i="43"/>
  <c r="N663" i="43"/>
  <c r="N727" i="43"/>
  <c r="N791" i="43"/>
  <c r="N855" i="43"/>
  <c r="N919" i="43"/>
  <c r="N618" i="43"/>
  <c r="N682" i="43"/>
  <c r="N746" i="43"/>
  <c r="N810" i="43"/>
  <c r="N874" i="43"/>
  <c r="N601" i="43"/>
  <c r="N665" i="43"/>
  <c r="N729" i="43"/>
  <c r="N760" i="43"/>
  <c r="N888" i="43"/>
  <c r="N982" i="43"/>
  <c r="N1046" i="43"/>
  <c r="N1110" i="43"/>
  <c r="N1174" i="43"/>
  <c r="N1238" i="43"/>
  <c r="N1302" i="43"/>
  <c r="N664" i="43"/>
  <c r="N829" i="43"/>
  <c r="N950" i="43"/>
  <c r="N1013" i="43"/>
  <c r="N1077" i="43"/>
  <c r="N1141" i="43"/>
  <c r="N1205" i="43"/>
  <c r="N1269" i="43"/>
  <c r="N1333" i="43"/>
  <c r="N780" i="43"/>
  <c r="N908" i="43"/>
  <c r="N984" i="43"/>
  <c r="N1048" i="43"/>
  <c r="N1112" i="43"/>
  <c r="N1176" i="43"/>
  <c r="N1240" i="43"/>
  <c r="N252" i="43"/>
  <c r="N334" i="43"/>
  <c r="N827" i="43"/>
  <c r="N718" i="43"/>
  <c r="N637" i="43"/>
  <c r="N954" i="43"/>
  <c r="N1210" i="43"/>
  <c r="N616" i="43"/>
  <c r="N934" i="43"/>
  <c r="N1065" i="43"/>
  <c r="N1193" i="43"/>
  <c r="N1321" i="43"/>
  <c r="N884" i="43"/>
  <c r="N1036" i="43"/>
  <c r="N1164" i="43"/>
  <c r="N1292" i="43"/>
  <c r="N672" i="43"/>
  <c r="N841" i="43"/>
  <c r="N955" i="43"/>
  <c r="N1019" i="43"/>
  <c r="N1083" i="43"/>
  <c r="N1151" i="43"/>
  <c r="N1358" i="43"/>
  <c r="N1422" i="43"/>
  <c r="N1486" i="43"/>
  <c r="N1550" i="43"/>
  <c r="N1614" i="43"/>
  <c r="N1678" i="43"/>
  <c r="N1742" i="43"/>
  <c r="N1806" i="43"/>
  <c r="N1870" i="43"/>
  <c r="N1934" i="43"/>
  <c r="N1267" i="43"/>
  <c r="N1385" i="43"/>
  <c r="N1449" i="43"/>
  <c r="N1513" i="43"/>
  <c r="N1577" i="43"/>
  <c r="N1641" i="43"/>
  <c r="N1705" i="43"/>
  <c r="N1769" i="43"/>
  <c r="N1833" i="43"/>
  <c r="N1897" i="43"/>
  <c r="N1961" i="43"/>
  <c r="N563" i="43"/>
  <c r="N715" i="43"/>
  <c r="N606" i="43"/>
  <c r="N862" i="43"/>
  <c r="N724" i="43"/>
  <c r="N1098" i="43"/>
  <c r="N1298" i="43"/>
  <c r="N821" i="43"/>
  <c r="N1009" i="43"/>
  <c r="N1137" i="43"/>
  <c r="N1265" i="43"/>
  <c r="N772" i="43"/>
  <c r="N980" i="43"/>
  <c r="N1108" i="43"/>
  <c r="N1236" i="43"/>
  <c r="N1328" i="43"/>
  <c r="N785" i="43"/>
  <c r="N913" i="43"/>
  <c r="N991" i="43"/>
  <c r="N1055" i="43"/>
  <c r="N1119" i="43"/>
  <c r="N1295" i="43"/>
  <c r="N1394" i="43"/>
  <c r="N1458" i="43"/>
  <c r="N1522" i="43"/>
  <c r="N1586" i="43"/>
  <c r="N1650" i="43"/>
  <c r="N1714" i="43"/>
  <c r="N1778" i="43"/>
  <c r="N1842" i="43"/>
  <c r="N1906" i="43"/>
  <c r="N1155" i="43"/>
  <c r="N1357" i="43"/>
  <c r="N1421" i="43"/>
  <c r="N1485" i="43"/>
  <c r="N1549" i="43"/>
  <c r="N1613" i="43"/>
  <c r="N1677" i="43"/>
  <c r="N1741" i="43"/>
  <c r="N1805" i="43"/>
  <c r="N1869" i="43"/>
  <c r="N1933" i="43"/>
  <c r="N98" i="43"/>
  <c r="N465" i="43"/>
  <c r="N859" i="43"/>
  <c r="N750" i="43"/>
  <c r="N669" i="43"/>
  <c r="N986" i="43"/>
  <c r="N1242" i="43"/>
  <c r="N680" i="43"/>
  <c r="N953" i="43"/>
  <c r="N1081" i="43"/>
  <c r="N1209" i="43"/>
  <c r="N1337" i="43"/>
  <c r="N916" i="43"/>
  <c r="N1052" i="43"/>
  <c r="N1180" i="43"/>
  <c r="N1300" i="43"/>
  <c r="N704" i="43"/>
  <c r="N857" i="43"/>
  <c r="N963" i="43"/>
  <c r="N1027" i="43"/>
  <c r="N1091" i="43"/>
  <c r="N1183" i="43"/>
  <c r="N1366" i="43"/>
  <c r="N1430" i="43"/>
  <c r="N1494" i="43"/>
  <c r="N1558" i="43"/>
  <c r="N1622" i="43"/>
  <c r="N1686" i="43"/>
  <c r="N1750" i="43"/>
  <c r="N1814" i="43"/>
  <c r="N1878" i="43"/>
  <c r="N1942" i="43"/>
  <c r="N1299" i="43"/>
  <c r="N1393" i="43"/>
  <c r="N1457" i="43"/>
  <c r="N1521" i="43"/>
  <c r="N1585" i="43"/>
  <c r="N1649" i="43"/>
  <c r="N1713" i="43"/>
  <c r="N1777" i="43"/>
  <c r="N1841" i="43"/>
  <c r="N1905" i="43"/>
  <c r="N1969" i="43"/>
  <c r="N875" i="43"/>
  <c r="N1250" i="43"/>
  <c r="N1217" i="43"/>
  <c r="N1188" i="43"/>
  <c r="N967" i="43"/>
  <c r="N1370" i="43"/>
  <c r="N1626" i="43"/>
  <c r="N1882" i="43"/>
  <c r="N1461" i="43"/>
  <c r="N1717" i="43"/>
  <c r="N1159" i="43"/>
  <c r="N1368" i="43"/>
  <c r="N1432" i="43"/>
  <c r="N1496" i="43"/>
  <c r="N1560" i="43"/>
  <c r="N1624" i="43"/>
  <c r="N1688" i="43"/>
  <c r="N1752" i="43"/>
  <c r="N1816" i="43"/>
  <c r="N1880" i="43"/>
  <c r="N1944" i="43"/>
  <c r="N1291" i="43"/>
  <c r="N1391" i="43"/>
  <c r="N1455" i="43"/>
  <c r="N1519" i="43"/>
  <c r="N1583" i="43"/>
  <c r="N1647" i="43"/>
  <c r="N1711" i="43"/>
  <c r="N1775" i="43"/>
  <c r="N1839" i="43"/>
  <c r="N1903" i="43"/>
  <c r="N1967" i="43"/>
  <c r="N2031" i="43"/>
  <c r="N2095" i="43"/>
  <c r="N2159" i="43"/>
  <c r="N2223" i="43"/>
  <c r="N2287" i="43"/>
  <c r="N2351" i="43"/>
  <c r="N2415" i="43"/>
  <c r="N2476" i="43"/>
  <c r="N1978" i="43"/>
  <c r="N2042" i="43"/>
  <c r="N2106" i="43"/>
  <c r="N830" i="43"/>
  <c r="N789" i="43"/>
  <c r="N732" i="43"/>
  <c r="N1320" i="43"/>
  <c r="N1047" i="43"/>
  <c r="N1450" i="43"/>
  <c r="N1706" i="43"/>
  <c r="N1962" i="43"/>
  <c r="N1541" i="43"/>
  <c r="N1797" i="43"/>
  <c r="N1287" i="43"/>
  <c r="N1388" i="43"/>
  <c r="N1452" i="43"/>
  <c r="N1516" i="43"/>
  <c r="N1580" i="43"/>
  <c r="N1644" i="43"/>
  <c r="N1708" i="43"/>
  <c r="N1772" i="43"/>
  <c r="N1836" i="43"/>
  <c r="N1900" i="43"/>
  <c r="N1964" i="43"/>
  <c r="N1347" i="43"/>
  <c r="N1411" i="43"/>
  <c r="N1475" i="43"/>
  <c r="N1539" i="43"/>
  <c r="N1603" i="43"/>
  <c r="N1667" i="43"/>
  <c r="N1731" i="43"/>
  <c r="N1795" i="43"/>
  <c r="N1859" i="43"/>
  <c r="N1923" i="43"/>
  <c r="N1987" i="43"/>
  <c r="N2051" i="43"/>
  <c r="N2115" i="43"/>
  <c r="N2179" i="43"/>
  <c r="N2243" i="43"/>
  <c r="N2307" i="43"/>
  <c r="N2371" i="43"/>
  <c r="N2435" i="43"/>
  <c r="N2496" i="43"/>
  <c r="N1998" i="43"/>
  <c r="N2062" i="43"/>
  <c r="N747" i="43"/>
  <c r="N1130" i="43"/>
  <c r="N1153" i="43"/>
  <c r="N1124" i="43"/>
  <c r="N929" i="43"/>
  <c r="N1327" i="43"/>
  <c r="N1594" i="43"/>
  <c r="N1850" i="43"/>
  <c r="N1429" i="43"/>
  <c r="N1685" i="43"/>
  <c r="N1941" i="43"/>
  <c r="N1360" i="43"/>
  <c r="N1424" i="43"/>
  <c r="N1488" i="43"/>
  <c r="N1552" i="43"/>
  <c r="N1616" i="43"/>
  <c r="N1680" i="43"/>
  <c r="N1744" i="43"/>
  <c r="N1808" i="43"/>
  <c r="N1872" i="43"/>
  <c r="N1936" i="43"/>
  <c r="N1259" i="43"/>
  <c r="N1383" i="43"/>
  <c r="N1447" i="43"/>
  <c r="N1511" i="43"/>
  <c r="N1575" i="43"/>
  <c r="N1639" i="43"/>
  <c r="N1703" i="43"/>
  <c r="N1767" i="43"/>
  <c r="N1831" i="43"/>
  <c r="N1895" i="43"/>
  <c r="N1959" i="43"/>
  <c r="N2023" i="43"/>
  <c r="N2087" i="43"/>
  <c r="N2151" i="43"/>
  <c r="N2215" i="43"/>
  <c r="N2279" i="43"/>
  <c r="N2343" i="43"/>
  <c r="N2407" i="43"/>
  <c r="N2468" i="43"/>
  <c r="N1970" i="43"/>
  <c r="N2034" i="43"/>
  <c r="N2098" i="43"/>
  <c r="N1028" i="43"/>
  <c r="N1802" i="43"/>
  <c r="N1348" i="43"/>
  <c r="N1604" i="43"/>
  <c r="N1860" i="43"/>
  <c r="N1435" i="43"/>
  <c r="N1691" i="43"/>
  <c r="N1947" i="43"/>
  <c r="N2203" i="43"/>
  <c r="N2456" i="43"/>
  <c r="N2118" i="43"/>
  <c r="N2182" i="43"/>
  <c r="N2250" i="43"/>
  <c r="N2314" i="43"/>
  <c r="N2378" i="43"/>
  <c r="N2443" i="43"/>
  <c r="N2507" i="43"/>
  <c r="N2571" i="43"/>
  <c r="N2635" i="43"/>
  <c r="N2017" i="43"/>
  <c r="N2081" i="43"/>
  <c r="N2145" i="43"/>
  <c r="N2209" i="43"/>
  <c r="N2273" i="43"/>
  <c r="N2337" i="43"/>
  <c r="N2401" i="43"/>
  <c r="N2466" i="43"/>
  <c r="N2530" i="43"/>
  <c r="N2594" i="43"/>
  <c r="N1992" i="43"/>
  <c r="N2056" i="43"/>
  <c r="N2308" i="43"/>
  <c r="N2549" i="43"/>
  <c r="N2661" i="43"/>
  <c r="N2725" i="43"/>
  <c r="N2789" i="43"/>
  <c r="N2857" i="43"/>
  <c r="N2918" i="43"/>
  <c r="N2979" i="43"/>
  <c r="N3048" i="43"/>
  <c r="N3120" i="43"/>
  <c r="N2140" i="43"/>
  <c r="N2392" i="43"/>
  <c r="N2588" i="43"/>
  <c r="N2680" i="43"/>
  <c r="N2744" i="43"/>
  <c r="N2808" i="43"/>
  <c r="N2873" i="43"/>
  <c r="N2937" i="43"/>
  <c r="N3002" i="43"/>
  <c r="N3071" i="43"/>
  <c r="N3143" i="43"/>
  <c r="N2208" i="43"/>
  <c r="N2481" i="43"/>
  <c r="N2633" i="43"/>
  <c r="N2703" i="43"/>
  <c r="N2767" i="43"/>
  <c r="N2831" i="43"/>
  <c r="N2896" i="43"/>
  <c r="N2960" i="43"/>
  <c r="N2116" i="43"/>
  <c r="N2762" i="43"/>
  <c r="N3009" i="43"/>
  <c r="N3173" i="43"/>
  <c r="N3196" i="43"/>
  <c r="N3057" i="43"/>
  <c r="N2368" i="43"/>
  <c r="N2766" i="43"/>
  <c r="N3030" i="43"/>
  <c r="N1185" i="43"/>
  <c r="N1610" i="43"/>
  <c r="N1957" i="43"/>
  <c r="N1556" i="43"/>
  <c r="N1812" i="43"/>
  <c r="N1387" i="43"/>
  <c r="N1643" i="43"/>
  <c r="N1899" i="43"/>
  <c r="N2155" i="43"/>
  <c r="N2411" i="43"/>
  <c r="N2102" i="43"/>
  <c r="N2170" i="43"/>
  <c r="N2234" i="43"/>
  <c r="N2302" i="43"/>
  <c r="N2366" i="43"/>
  <c r="N2430" i="43"/>
  <c r="N2495" i="43"/>
  <c r="N2559" i="43"/>
  <c r="N2623" i="43"/>
  <c r="N2005" i="43"/>
  <c r="N2069" i="43"/>
  <c r="N2133" i="43"/>
  <c r="N2197" i="43"/>
  <c r="N2261" i="43"/>
  <c r="N2325" i="43"/>
  <c r="N2389" i="43"/>
  <c r="N2454" i="43"/>
  <c r="N2518" i="43"/>
  <c r="N2582" i="43"/>
  <c r="N1980" i="43"/>
  <c r="N2044" i="43"/>
  <c r="N2260" i="43"/>
  <c r="N2521" i="43"/>
  <c r="N2650" i="43"/>
  <c r="N2713" i="43"/>
  <c r="N2777" i="43"/>
  <c r="N2845" i="43"/>
  <c r="N2906" i="43"/>
  <c r="N2970" i="43"/>
  <c r="N3032" i="43"/>
  <c r="N3104" i="43"/>
  <c r="N2092" i="43"/>
  <c r="N2344" i="43"/>
  <c r="N2564" i="43"/>
  <c r="N2668" i="43"/>
  <c r="N2732" i="43"/>
  <c r="N2796" i="43"/>
  <c r="N2861" i="43"/>
  <c r="N2925" i="43"/>
  <c r="N2990" i="43"/>
  <c r="N3059" i="43"/>
  <c r="N3131" i="43"/>
  <c r="N2160" i="43"/>
  <c r="N2428" i="43"/>
  <c r="N2609" i="43"/>
  <c r="N2691" i="43"/>
  <c r="N2755" i="43"/>
  <c r="N2819" i="43"/>
  <c r="N2884" i="43"/>
  <c r="N2948" i="43"/>
  <c r="N3014" i="43"/>
  <c r="N2714" i="43"/>
  <c r="N2955" i="43"/>
  <c r="N3141" i="43"/>
  <c r="N3154" i="43"/>
  <c r="N3004" i="43"/>
  <c r="N2196" i="43"/>
  <c r="N2718" i="43"/>
  <c r="N2980" i="43"/>
  <c r="N591" i="43"/>
  <c r="N1418" i="43"/>
  <c r="N1765" i="43"/>
  <c r="N1508" i="43"/>
  <c r="N1764" i="43"/>
  <c r="N1340" i="43"/>
  <c r="N1595" i="43"/>
  <c r="N1851" i="43"/>
  <c r="N2107" i="43"/>
  <c r="N2363" i="43"/>
  <c r="N2054" i="43"/>
  <c r="N2158" i="43"/>
  <c r="N2222" i="43"/>
  <c r="N2290" i="43"/>
  <c r="N2354" i="43"/>
  <c r="N2418" i="43"/>
  <c r="N2483" i="43"/>
  <c r="N2547" i="43"/>
  <c r="N2611" i="43"/>
  <c r="N1993" i="43"/>
  <c r="N2057" i="43"/>
  <c r="N2121" i="43"/>
  <c r="N2185" i="43"/>
  <c r="N2249" i="43"/>
  <c r="N2313" i="43"/>
  <c r="N2377" i="43"/>
  <c r="N2442" i="43"/>
  <c r="N2506" i="43"/>
  <c r="N2570" i="43"/>
  <c r="N2634" i="43"/>
  <c r="N2032" i="43"/>
  <c r="N2216" i="43"/>
  <c r="N2473" i="43"/>
  <c r="N2629" i="43"/>
  <c r="N2701" i="43"/>
  <c r="N2765" i="43"/>
  <c r="N2829" i="43"/>
  <c r="N2894" i="43"/>
  <c r="N2958" i="43"/>
  <c r="N3020" i="43"/>
  <c r="N3092" i="43"/>
  <c r="N3172" i="43"/>
  <c r="N2296" i="43"/>
  <c r="N2540" i="43"/>
  <c r="N2656" i="43"/>
  <c r="N2720" i="43"/>
  <c r="N2784" i="43"/>
  <c r="N2848" i="43"/>
  <c r="N2913" i="43"/>
  <c r="N2978" i="43"/>
  <c r="N3043" i="43"/>
  <c r="N63" i="43"/>
  <c r="N128" i="43"/>
  <c r="N192" i="43"/>
  <c r="N256" i="43"/>
  <c r="N321" i="43"/>
  <c r="N50" i="43"/>
  <c r="N115" i="43"/>
  <c r="N179" i="43"/>
  <c r="N243" i="43"/>
  <c r="N307" i="43"/>
  <c r="N37" i="43"/>
  <c r="N102" i="43"/>
  <c r="N166" i="43"/>
  <c r="N230" i="43"/>
  <c r="N294" i="43"/>
  <c r="N64" i="43"/>
  <c r="N322" i="43"/>
  <c r="N396" i="43"/>
  <c r="N460" i="43"/>
  <c r="N524" i="43"/>
  <c r="N588" i="43"/>
  <c r="N51" i="43"/>
  <c r="N116" i="43"/>
  <c r="N180" i="43"/>
  <c r="N244" i="43"/>
  <c r="N308" i="43"/>
  <c r="N38" i="43"/>
  <c r="N103" i="43"/>
  <c r="N167" i="43"/>
  <c r="N231" i="43"/>
  <c r="N295" i="43"/>
  <c r="N25" i="43"/>
  <c r="N90" i="43"/>
  <c r="N154" i="43"/>
  <c r="N218" i="43"/>
  <c r="N282" i="43"/>
  <c r="N16" i="43"/>
  <c r="N273" i="43"/>
  <c r="N384" i="43"/>
  <c r="N448" i="43"/>
  <c r="N512" i="43"/>
  <c r="N576" i="43"/>
  <c r="N39" i="43"/>
  <c r="N104" i="43"/>
  <c r="N168" i="43"/>
  <c r="N232" i="43"/>
  <c r="N296" i="43"/>
  <c r="N26" i="43"/>
  <c r="N91" i="43"/>
  <c r="N155" i="43"/>
  <c r="N219" i="43"/>
  <c r="N283" i="43"/>
  <c r="N13" i="43"/>
  <c r="N78" i="43"/>
  <c r="N142" i="43"/>
  <c r="N206" i="43"/>
  <c r="N270" i="43"/>
  <c r="N335" i="43"/>
  <c r="N225" i="43"/>
  <c r="N372" i="43"/>
  <c r="N436" i="43"/>
  <c r="N500" i="43"/>
  <c r="N564" i="43"/>
  <c r="N76" i="43"/>
  <c r="N333" i="43"/>
  <c r="N255" i="43"/>
  <c r="N178" i="43"/>
  <c r="N344" i="43"/>
  <c r="N20" i="43"/>
  <c r="N277" i="43"/>
  <c r="N391" i="43"/>
  <c r="N455" i="43"/>
  <c r="N519" i="43"/>
  <c r="N583" i="43"/>
  <c r="N233" i="43"/>
  <c r="N382" i="43"/>
  <c r="N446" i="43"/>
  <c r="N510" i="43"/>
  <c r="N574" i="43"/>
  <c r="N157" i="43"/>
  <c r="N357" i="43"/>
  <c r="N421" i="43"/>
  <c r="N485" i="43"/>
  <c r="N549" i="43"/>
  <c r="N635" i="43"/>
  <c r="N220" i="43"/>
  <c r="N143" i="43"/>
  <c r="N65" i="43"/>
  <c r="N323" i="43"/>
  <c r="N488" i="43"/>
  <c r="N165" i="43"/>
  <c r="N363" i="43"/>
  <c r="N427" i="43"/>
  <c r="N491" i="43"/>
  <c r="N555" i="43"/>
  <c r="N121" i="43"/>
  <c r="N354" i="43"/>
  <c r="N418" i="43"/>
  <c r="N482" i="43"/>
  <c r="N546" i="43"/>
  <c r="N44" i="43"/>
  <c r="N301" i="43"/>
  <c r="N393" i="43"/>
  <c r="N457" i="43"/>
  <c r="N521" i="43"/>
  <c r="N607" i="43"/>
  <c r="N108" i="43"/>
  <c r="N30" i="43"/>
  <c r="N287" i="43"/>
  <c r="N210" i="43"/>
  <c r="N376" i="43"/>
  <c r="N52" i="43"/>
  <c r="N309" i="43"/>
  <c r="N399" i="43"/>
  <c r="N463" i="43"/>
  <c r="N527" i="43"/>
  <c r="N8" i="43"/>
  <c r="N265" i="43"/>
  <c r="N390" i="43"/>
  <c r="N454" i="43"/>
  <c r="N518" i="43"/>
  <c r="N582" i="43"/>
  <c r="N189" i="43"/>
  <c r="N365" i="43"/>
  <c r="N429" i="43"/>
  <c r="N493" i="43"/>
  <c r="N557" i="43"/>
  <c r="N59" i="43"/>
  <c r="N305" i="43"/>
  <c r="N451" i="43"/>
  <c r="N378" i="43"/>
  <c r="N141" i="43"/>
  <c r="N545" i="43"/>
  <c r="N687" i="43"/>
  <c r="N751" i="43"/>
  <c r="N815" i="43"/>
  <c r="N879" i="43"/>
  <c r="N943" i="43"/>
  <c r="N642" i="43"/>
  <c r="N706" i="43"/>
  <c r="N770" i="43"/>
  <c r="N834" i="43"/>
  <c r="N898" i="43"/>
  <c r="N625" i="43"/>
  <c r="N689" i="43"/>
  <c r="N612" i="43"/>
  <c r="N808" i="43"/>
  <c r="N938" i="43"/>
  <c r="N1006" i="43"/>
  <c r="N1070" i="43"/>
  <c r="N1134" i="43"/>
  <c r="N1198" i="43"/>
  <c r="N1262" i="43"/>
  <c r="N1326" i="43"/>
  <c r="N749" i="43"/>
  <c r="N877" i="43"/>
  <c r="N973" i="43"/>
  <c r="N1037" i="43"/>
  <c r="N1101" i="43"/>
  <c r="N1165" i="43"/>
  <c r="N1229" i="43"/>
  <c r="N1293" i="43"/>
  <c r="N652" i="43"/>
  <c r="N828" i="43"/>
  <c r="N946" i="43"/>
  <c r="N1008" i="43"/>
  <c r="N1072" i="43"/>
  <c r="N1136" i="43"/>
  <c r="N1200" i="43"/>
  <c r="N1264" i="43"/>
  <c r="N303" i="43"/>
  <c r="N326" i="43"/>
  <c r="N24" i="43"/>
  <c r="N522" i="43"/>
  <c r="N433" i="43"/>
  <c r="N659" i="43"/>
  <c r="N723" i="43"/>
  <c r="N787" i="43"/>
  <c r="N851" i="43"/>
  <c r="N915" i="43"/>
  <c r="N614" i="43"/>
  <c r="N678" i="43"/>
  <c r="N742" i="43"/>
  <c r="N806" i="43"/>
  <c r="N870" i="43"/>
  <c r="N589" i="43"/>
  <c r="N661" i="43"/>
  <c r="N725" i="43"/>
  <c r="N752" i="43"/>
  <c r="N880" i="43"/>
  <c r="N978" i="43"/>
  <c r="N1042" i="43"/>
  <c r="N1106" i="43"/>
  <c r="N1170" i="43"/>
  <c r="N1234" i="43"/>
  <c r="N290" i="43"/>
  <c r="N419" i="43"/>
  <c r="N346" i="43"/>
  <c r="N12" i="43"/>
  <c r="N513" i="43"/>
  <c r="N679" i="43"/>
  <c r="N743" i="43"/>
  <c r="N807" i="43"/>
  <c r="N871" i="43"/>
  <c r="N935" i="43"/>
  <c r="N634" i="43"/>
  <c r="N698" i="43"/>
  <c r="N762" i="43"/>
  <c r="N826" i="43"/>
  <c r="N890" i="43"/>
  <c r="N617" i="43"/>
  <c r="N681" i="43"/>
  <c r="N745" i="43"/>
  <c r="N792" i="43"/>
  <c r="N920" i="43"/>
  <c r="N998" i="43"/>
  <c r="N1062" i="43"/>
  <c r="N1126" i="43"/>
  <c r="N1190" i="43"/>
  <c r="N1254" i="43"/>
  <c r="N1318" i="43"/>
  <c r="N728" i="43"/>
  <c r="N861" i="43"/>
  <c r="N965" i="43"/>
  <c r="N1029" i="43"/>
  <c r="N1093" i="43"/>
  <c r="N1157" i="43"/>
  <c r="N1221" i="43"/>
  <c r="N1285" i="43"/>
  <c r="N620" i="43"/>
  <c r="N812" i="43"/>
  <c r="N933" i="43"/>
  <c r="N1000" i="43"/>
  <c r="N1064" i="43"/>
  <c r="N1128" i="43"/>
  <c r="N1192" i="43"/>
  <c r="N1256" i="43"/>
  <c r="N520" i="43"/>
  <c r="N615" i="43"/>
  <c r="N891" i="43"/>
  <c r="N782" i="43"/>
  <c r="N701" i="43"/>
  <c r="N1018" i="43"/>
  <c r="N1258" i="43"/>
  <c r="N744" i="43"/>
  <c r="N969" i="43"/>
  <c r="N1097" i="43"/>
  <c r="N1225" i="43"/>
  <c r="N636" i="43"/>
  <c r="N936" i="43"/>
  <c r="N1068" i="43"/>
  <c r="N1196" i="43"/>
  <c r="N1308" i="43"/>
  <c r="N736" i="43"/>
  <c r="N873" i="43"/>
  <c r="N971" i="43"/>
  <c r="N1035" i="43"/>
  <c r="N1099" i="43"/>
  <c r="N1215" i="43"/>
  <c r="N1374" i="43"/>
  <c r="N1438" i="43"/>
  <c r="N1502" i="43"/>
  <c r="N1566" i="43"/>
  <c r="N1630" i="43"/>
  <c r="N1694" i="43"/>
  <c r="N1758" i="43"/>
  <c r="N1822" i="43"/>
  <c r="N1886" i="43"/>
  <c r="N1950" i="43"/>
  <c r="N1331" i="43"/>
  <c r="N1401" i="43"/>
  <c r="N1465" i="43"/>
  <c r="N1529" i="43"/>
  <c r="N1593" i="43"/>
  <c r="N1657" i="43"/>
  <c r="N1721" i="43"/>
  <c r="N1785" i="43"/>
  <c r="N1849" i="43"/>
  <c r="N1913" i="43"/>
  <c r="N1175" i="43"/>
  <c r="N490" i="43"/>
  <c r="N779" i="43"/>
  <c r="N670" i="43"/>
  <c r="N926" i="43"/>
  <c r="N864" i="43"/>
  <c r="N1162" i="43"/>
  <c r="N1330" i="43"/>
  <c r="N885" i="43"/>
  <c r="N1041" i="43"/>
  <c r="N1169" i="43"/>
  <c r="N1297" i="43"/>
  <c r="N836" i="43"/>
  <c r="N1012" i="43"/>
  <c r="N1140" i="43"/>
  <c r="N1268" i="43"/>
  <c r="N624" i="43"/>
  <c r="N817" i="43"/>
  <c r="N942" i="43"/>
  <c r="N1007" i="43"/>
  <c r="N1071" i="43"/>
  <c r="N1135" i="43"/>
  <c r="N1346" i="43"/>
  <c r="N1410" i="43"/>
  <c r="N1474" i="43"/>
  <c r="N1538" i="43"/>
  <c r="N1602" i="43"/>
  <c r="N1666" i="43"/>
  <c r="N1730" i="43"/>
  <c r="N1794" i="43"/>
  <c r="N1858" i="43"/>
  <c r="N1922" i="43"/>
  <c r="N1219" i="43"/>
  <c r="N1373" i="43"/>
  <c r="N1437" i="43"/>
  <c r="N1501" i="43"/>
  <c r="N1565" i="43"/>
  <c r="N1629" i="43"/>
  <c r="N1693" i="43"/>
  <c r="N1757" i="43"/>
  <c r="N1821" i="43"/>
  <c r="N1885" i="43"/>
  <c r="N1949" i="43"/>
  <c r="N371" i="43"/>
  <c r="N667" i="43"/>
  <c r="N923" i="43"/>
  <c r="N814" i="43"/>
  <c r="N733" i="43"/>
  <c r="N1050" i="43"/>
  <c r="N1274" i="43"/>
  <c r="N773" i="43"/>
  <c r="N985" i="43"/>
  <c r="N1113" i="43"/>
  <c r="N1241" i="43"/>
  <c r="N700" i="43"/>
  <c r="N956" i="43"/>
  <c r="N1084" i="43"/>
  <c r="N1212" i="43"/>
  <c r="N1316" i="43"/>
  <c r="N761" i="43"/>
  <c r="N889" i="43"/>
  <c r="N979" i="43"/>
  <c r="N1043" i="43"/>
  <c r="N1107" i="43"/>
  <c r="N1247" i="43"/>
  <c r="N1382" i="43"/>
  <c r="N1446" i="43"/>
  <c r="N1510" i="43"/>
  <c r="N1574" i="43"/>
  <c r="N1638" i="43"/>
  <c r="N1702" i="43"/>
  <c r="N1766" i="43"/>
  <c r="N1830" i="43"/>
  <c r="N1894" i="43"/>
  <c r="N1958" i="43"/>
  <c r="N1345" i="43"/>
  <c r="N1409" i="43"/>
  <c r="N1473" i="43"/>
  <c r="N1537" i="43"/>
  <c r="N1601" i="43"/>
  <c r="N1665" i="43"/>
  <c r="N1729" i="43"/>
  <c r="N1793" i="43"/>
  <c r="N1857" i="43"/>
  <c r="N1921" i="43"/>
  <c r="N1207" i="43"/>
  <c r="N766" i="43"/>
  <c r="N712" i="43"/>
  <c r="N604" i="43"/>
  <c r="N1304" i="43"/>
  <c r="N1031" i="43"/>
  <c r="N1434" i="43"/>
  <c r="N1690" i="43"/>
  <c r="N1946" i="43"/>
  <c r="N1525" i="43"/>
  <c r="N1781" i="43"/>
  <c r="N1271" i="43"/>
  <c r="N1384" i="43"/>
  <c r="N1448" i="43"/>
  <c r="N1512" i="43"/>
  <c r="N1576" i="43"/>
  <c r="N1640" i="43"/>
  <c r="N1704" i="43"/>
  <c r="N1768" i="43"/>
  <c r="N1832" i="43"/>
  <c r="N1896" i="43"/>
  <c r="N1960" i="43"/>
  <c r="N1343" i="43"/>
  <c r="N1407" i="43"/>
  <c r="N1471" i="43"/>
  <c r="N1535" i="43"/>
  <c r="N1599" i="43"/>
  <c r="N1663" i="43"/>
  <c r="N1727" i="43"/>
  <c r="N1791" i="43"/>
  <c r="N1855" i="43"/>
  <c r="N1919" i="43"/>
  <c r="N1983" i="43"/>
  <c r="N2047" i="43"/>
  <c r="N2111" i="43"/>
  <c r="N2175" i="43"/>
  <c r="N2239" i="43"/>
  <c r="N2303" i="43"/>
  <c r="N2367" i="43"/>
  <c r="N2431" i="43"/>
  <c r="N2492" i="43"/>
  <c r="N1994" i="43"/>
  <c r="N2058" i="43"/>
  <c r="N435" i="43"/>
  <c r="N577" i="43"/>
  <c r="N993" i="43"/>
  <c r="N964" i="43"/>
  <c r="N769" i="43"/>
  <c r="N1111" i="43"/>
  <c r="N1514" i="43"/>
  <c r="N1770" i="43"/>
  <c r="N1349" i="43"/>
  <c r="N1605" i="43"/>
  <c r="N1861" i="43"/>
  <c r="N1341" i="43"/>
  <c r="N1404" i="43"/>
  <c r="N1468" i="43"/>
  <c r="N1532" i="43"/>
  <c r="N1596" i="43"/>
  <c r="N1660" i="43"/>
  <c r="N1724" i="43"/>
  <c r="N1788" i="43"/>
  <c r="N1852" i="43"/>
  <c r="N1916" i="43"/>
  <c r="N1179" i="43"/>
  <c r="N1363" i="43"/>
  <c r="N1427" i="43"/>
  <c r="N1491" i="43"/>
  <c r="N1555" i="43"/>
  <c r="N1619" i="43"/>
  <c r="N1683" i="43"/>
  <c r="N1747" i="43"/>
  <c r="N1811" i="43"/>
  <c r="N1875" i="43"/>
  <c r="N1939" i="43"/>
  <c r="N2003" i="43"/>
  <c r="N2067" i="43"/>
  <c r="N2131" i="43"/>
  <c r="N2195" i="43"/>
  <c r="N2259" i="43"/>
  <c r="N2323" i="43"/>
  <c r="N2387" i="43"/>
  <c r="N2448" i="43"/>
  <c r="N2512" i="43"/>
  <c r="N2014" i="43"/>
  <c r="N2078" i="43"/>
  <c r="N638" i="43"/>
  <c r="N1314" i="43"/>
  <c r="N1281" i="43"/>
  <c r="N1252" i="43"/>
  <c r="N999" i="43"/>
  <c r="N1402" i="43"/>
  <c r="N1658" i="43"/>
  <c r="N1914" i="43"/>
  <c r="N1493" i="43"/>
  <c r="N1749" i="43"/>
  <c r="N1239" i="43"/>
  <c r="N1376" i="43"/>
  <c r="N1440" i="43"/>
  <c r="N1504" i="43"/>
  <c r="N1568" i="43"/>
  <c r="N1632" i="43"/>
  <c r="N1696" i="43"/>
  <c r="N1760" i="43"/>
  <c r="N1824" i="43"/>
  <c r="N1888" i="43"/>
  <c r="N1952" i="43"/>
  <c r="N1323" i="43"/>
  <c r="N1399" i="43"/>
  <c r="N1463" i="43"/>
  <c r="N1527" i="43"/>
  <c r="N1591" i="43"/>
  <c r="N1655" i="43"/>
  <c r="N1719" i="43"/>
  <c r="N1783" i="43"/>
  <c r="N1847" i="43"/>
  <c r="N1911" i="43"/>
  <c r="N1975" i="43"/>
  <c r="N2039" i="43"/>
  <c r="N2103" i="43"/>
  <c r="N2167" i="43"/>
  <c r="N2231" i="43"/>
  <c r="N2295" i="43"/>
  <c r="N2359" i="43"/>
  <c r="N2423" i="43"/>
  <c r="N2484" i="43"/>
  <c r="N1986" i="43"/>
  <c r="N2050" i="43"/>
  <c r="N77" i="43"/>
  <c r="N833" i="43"/>
  <c r="N1381" i="43"/>
  <c r="N1412" i="43"/>
  <c r="N1668" i="43"/>
  <c r="N1924" i="43"/>
  <c r="N1499" i="43"/>
  <c r="N1755" i="43"/>
  <c r="N2011" i="43"/>
  <c r="N2267" i="43"/>
  <c r="N2520" i="43"/>
  <c r="N2134" i="43"/>
  <c r="N2198" i="43"/>
  <c r="N2266" i="43"/>
  <c r="N2330" i="43"/>
  <c r="N2394" i="43"/>
  <c r="N2459" i="43"/>
  <c r="N2523" i="43"/>
  <c r="N2587" i="43"/>
  <c r="N2651" i="43"/>
  <c r="N2033" i="43"/>
  <c r="N2097" i="43"/>
  <c r="N2161" i="43"/>
  <c r="N2225" i="43"/>
  <c r="N2289" i="43"/>
  <c r="N2353" i="43"/>
  <c r="N2417" i="43"/>
  <c r="N2482" i="43"/>
  <c r="N2546" i="43"/>
  <c r="N2610" i="43"/>
  <c r="N2008" i="43"/>
  <c r="N2120" i="43"/>
  <c r="N2372" i="43"/>
  <c r="N2581" i="43"/>
  <c r="N2677" i="43"/>
  <c r="N2741" i="43"/>
  <c r="N2805" i="43"/>
  <c r="N2870" i="43"/>
  <c r="N2934" i="43"/>
  <c r="N2995" i="43"/>
  <c r="N3068" i="43"/>
  <c r="N3136" i="43"/>
  <c r="N2204" i="43"/>
  <c r="N2461" i="43"/>
  <c r="N2620" i="43"/>
  <c r="N2696" i="43"/>
  <c r="N2760" i="43"/>
  <c r="N2824" i="43"/>
  <c r="N2889" i="43"/>
  <c r="N2953" i="43"/>
  <c r="N3019" i="43"/>
  <c r="N3087" i="43"/>
  <c r="N3159" i="43"/>
  <c r="N2284" i="43"/>
  <c r="N2537" i="43"/>
  <c r="N2655" i="43"/>
  <c r="N2719" i="43"/>
  <c r="N2783" i="43"/>
  <c r="N2847" i="43"/>
  <c r="N2912" i="43"/>
  <c r="N2977" i="43"/>
  <c r="N2416" i="43"/>
  <c r="N2826" i="43"/>
  <c r="N3054" i="43"/>
  <c r="N3190" i="43"/>
  <c r="N3229" i="43"/>
  <c r="N3142" i="43"/>
  <c r="N2536" i="43"/>
  <c r="N2830" i="43"/>
  <c r="N3069" i="43"/>
  <c r="N1156" i="43"/>
  <c r="N1866" i="43"/>
  <c r="N1364" i="43"/>
  <c r="N1620" i="43"/>
  <c r="N1876" i="43"/>
  <c r="N1451" i="43"/>
  <c r="N1707" i="43"/>
  <c r="N1963" i="43"/>
  <c r="N2219" i="43"/>
  <c r="N2472" i="43"/>
  <c r="N2122" i="43"/>
  <c r="N2186" i="43"/>
  <c r="N2254" i="43"/>
  <c r="N2318" i="43"/>
  <c r="N2382" i="43"/>
  <c r="N2447" i="43"/>
  <c r="N2511" i="43"/>
  <c r="N2575" i="43"/>
  <c r="N2639" i="43"/>
  <c r="N2021" i="43"/>
  <c r="N2085" i="43"/>
  <c r="N2149" i="43"/>
  <c r="N2213" i="43"/>
  <c r="N2277" i="43"/>
  <c r="N2341" i="43"/>
  <c r="N2405" i="43"/>
  <c r="N2470" i="43"/>
  <c r="N2534" i="43"/>
  <c r="N2598" i="43"/>
  <c r="N1996" i="43"/>
  <c r="N2072" i="43"/>
  <c r="N2324" i="43"/>
  <c r="N2557" i="43"/>
  <c r="N2665" i="43"/>
  <c r="N2729" i="43"/>
  <c r="N2793" i="43"/>
  <c r="N2858" i="43"/>
  <c r="N2922" i="43"/>
  <c r="N2983" i="43"/>
  <c r="N3056" i="43"/>
  <c r="N3124" i="43"/>
  <c r="N2156" i="43"/>
  <c r="N2408" i="43"/>
  <c r="N2596" i="43"/>
  <c r="N2684" i="43"/>
  <c r="N2748" i="43"/>
  <c r="N2812" i="43"/>
  <c r="N2877" i="43"/>
  <c r="N2941" i="43"/>
  <c r="N3007" i="43"/>
  <c r="N3075" i="43"/>
  <c r="N3147" i="43"/>
  <c r="N2224" i="43"/>
  <c r="N2497" i="43"/>
  <c r="N2642" i="43"/>
  <c r="N2707" i="43"/>
  <c r="N2771" i="43"/>
  <c r="N2835" i="43"/>
  <c r="N2900" i="43"/>
  <c r="N2964" i="43"/>
  <c r="N2180" i="43"/>
  <c r="N2778" i="43"/>
  <c r="N3025" i="43"/>
  <c r="N3177" i="43"/>
  <c r="N3204" i="43"/>
  <c r="N3081" i="43"/>
  <c r="N2432" i="43"/>
  <c r="N2782" i="43"/>
  <c r="N3038" i="43"/>
  <c r="N1313" i="43"/>
  <c r="N1674" i="43"/>
  <c r="N1255" i="43"/>
  <c r="N1572" i="43"/>
  <c r="N1828" i="43"/>
  <c r="N1403" i="43"/>
  <c r="N1659" i="43"/>
  <c r="N1915" i="43"/>
  <c r="N2171" i="43"/>
  <c r="N2427" i="43"/>
  <c r="N2110" i="43"/>
  <c r="N2174" i="43"/>
  <c r="N2242" i="43"/>
  <c r="N2306" i="43"/>
  <c r="N2370" i="43"/>
  <c r="N2434" i="43"/>
  <c r="N2499" i="43"/>
  <c r="N2563" i="43"/>
  <c r="N2627" i="43"/>
  <c r="N2009" i="43"/>
  <c r="N2073" i="43"/>
  <c r="N2137" i="43"/>
  <c r="N2201" i="43"/>
  <c r="N2265" i="43"/>
  <c r="N2329" i="43"/>
  <c r="N2393" i="43"/>
  <c r="N2458" i="43"/>
  <c r="N2522" i="43"/>
  <c r="N2586" i="43"/>
  <c r="N1984" i="43"/>
  <c r="N2048" i="43"/>
  <c r="N2276" i="43"/>
  <c r="N2533" i="43"/>
  <c r="N2653" i="43"/>
  <c r="N2717" i="43"/>
  <c r="N2781" i="43"/>
  <c r="N2849" i="43"/>
  <c r="N2910" i="43"/>
  <c r="N2971" i="43"/>
  <c r="N3036" i="43"/>
  <c r="N3108" i="43"/>
  <c r="N2108" i="43"/>
  <c r="N2360" i="43"/>
  <c r="N2572" i="43"/>
  <c r="N2672" i="43"/>
  <c r="N2736" i="43"/>
  <c r="N2800" i="43"/>
  <c r="N2865" i="43"/>
  <c r="N2929" i="43"/>
  <c r="N2994" i="43"/>
  <c r="N15" i="43"/>
  <c r="N80" i="43"/>
  <c r="N144" i="43"/>
  <c r="N208" i="43"/>
  <c r="N272" i="43"/>
  <c r="N337" i="43"/>
  <c r="N66" i="43"/>
  <c r="N131" i="43"/>
  <c r="N195" i="43"/>
  <c r="N259" i="43"/>
  <c r="N324" i="43"/>
  <c r="N53" i="43"/>
  <c r="N118" i="43"/>
  <c r="N182" i="43"/>
  <c r="N246" i="43"/>
  <c r="N310" i="43"/>
  <c r="N129" i="43"/>
  <c r="N348" i="43"/>
  <c r="N412" i="43"/>
  <c r="N476" i="43"/>
  <c r="N540" i="43"/>
  <c r="N3" i="43"/>
  <c r="N67" i="43"/>
  <c r="N132" i="43"/>
  <c r="N196" i="43"/>
  <c r="N260" i="43"/>
  <c r="N325" i="43"/>
  <c r="N54" i="43"/>
  <c r="N119" i="43"/>
  <c r="N183" i="43"/>
  <c r="N247" i="43"/>
  <c r="N311" i="43"/>
  <c r="N41" i="43"/>
  <c r="N106" i="43"/>
  <c r="N170" i="43"/>
  <c r="N234" i="43"/>
  <c r="N298" i="43"/>
  <c r="N81" i="43"/>
  <c r="N338" i="43"/>
  <c r="N400" i="43"/>
  <c r="N464" i="43"/>
  <c r="N528" i="43"/>
  <c r="N592" i="43"/>
  <c r="N55" i="43"/>
  <c r="N120" i="43"/>
  <c r="N184" i="43"/>
  <c r="N248" i="43"/>
  <c r="N313" i="43"/>
  <c r="N42" i="43"/>
  <c r="N107" i="43"/>
  <c r="N171" i="43"/>
  <c r="N235" i="43"/>
  <c r="N299" i="43"/>
  <c r="N29" i="43"/>
  <c r="N94" i="43"/>
  <c r="N158" i="43"/>
  <c r="N222" i="43"/>
  <c r="N286" i="43"/>
  <c r="N32" i="43"/>
  <c r="N289" i="43"/>
  <c r="N388" i="43"/>
  <c r="N452" i="43"/>
  <c r="N516" i="43"/>
  <c r="N580" i="43"/>
  <c r="N140" i="43"/>
  <c r="N62" i="43"/>
  <c r="N320" i="43"/>
  <c r="N242" i="43"/>
  <c r="N408" i="43"/>
  <c r="N85" i="43"/>
  <c r="N340" i="43"/>
  <c r="N407" i="43"/>
  <c r="N471" i="43"/>
  <c r="N535" i="43"/>
  <c r="N40" i="43"/>
  <c r="N297" i="43"/>
  <c r="N398" i="43"/>
  <c r="N462" i="43"/>
  <c r="N526" i="43"/>
  <c r="N590" i="43"/>
  <c r="N221" i="43"/>
  <c r="N373" i="43"/>
  <c r="N437" i="43"/>
  <c r="N501" i="43"/>
  <c r="N581" i="43"/>
  <c r="N27" i="43"/>
  <c r="N284" i="43"/>
  <c r="N207" i="43"/>
  <c r="N130" i="43"/>
  <c r="N177" i="43"/>
  <c r="N552" i="43"/>
  <c r="N229" i="43"/>
  <c r="N379" i="43"/>
  <c r="N443" i="43"/>
  <c r="N507" i="43"/>
  <c r="N571" i="43"/>
  <c r="N185" i="43"/>
  <c r="N370" i="43"/>
  <c r="N434" i="43"/>
  <c r="N498" i="43"/>
  <c r="N562" i="43"/>
  <c r="N109" i="43"/>
  <c r="N345" i="43"/>
  <c r="N409" i="43"/>
  <c r="N473" i="43"/>
  <c r="N537" i="43"/>
  <c r="N623" i="43"/>
  <c r="N172" i="43"/>
  <c r="N95" i="43"/>
  <c r="N17" i="43"/>
  <c r="N274" i="43"/>
  <c r="N440" i="43"/>
  <c r="N117" i="43"/>
  <c r="N351" i="43"/>
  <c r="N415" i="43"/>
  <c r="N479" i="43"/>
  <c r="N543" i="43"/>
  <c r="N72" i="43"/>
  <c r="N330" i="43"/>
  <c r="N406" i="43"/>
  <c r="N470" i="43"/>
  <c r="N534" i="43"/>
  <c r="N598" i="43"/>
  <c r="N253" i="43"/>
  <c r="N381" i="43"/>
  <c r="N445" i="43"/>
  <c r="N509" i="43"/>
  <c r="N596" i="43"/>
  <c r="N317" i="43"/>
  <c r="N584" i="43"/>
  <c r="N515" i="43"/>
  <c r="N442" i="43"/>
  <c r="N353" i="43"/>
  <c r="N631" i="43"/>
  <c r="N703" i="43"/>
  <c r="N767" i="43"/>
  <c r="N831" i="43"/>
  <c r="N895" i="43"/>
  <c r="N585" i="43"/>
  <c r="N658" i="43"/>
  <c r="N722" i="43"/>
  <c r="N786" i="43"/>
  <c r="N850" i="43"/>
  <c r="N914" i="43"/>
  <c r="N641" i="43"/>
  <c r="N705" i="43"/>
  <c r="N676" i="43"/>
  <c r="N840" i="43"/>
  <c r="N958" i="43"/>
  <c r="N1022" i="43"/>
  <c r="N1086" i="43"/>
  <c r="N1150" i="43"/>
  <c r="N1214" i="43"/>
  <c r="N1278" i="43"/>
  <c r="N1342" i="43"/>
  <c r="N781" i="43"/>
  <c r="N909" i="43"/>
  <c r="N989" i="43"/>
  <c r="N1053" i="43"/>
  <c r="N1117" i="43"/>
  <c r="N1181" i="43"/>
  <c r="N1245" i="43"/>
  <c r="N1309" i="43"/>
  <c r="N716" i="43"/>
  <c r="N860" i="43"/>
  <c r="N960" i="43"/>
  <c r="N1024" i="43"/>
  <c r="N1088" i="43"/>
  <c r="N1152" i="43"/>
  <c r="N1216" i="43"/>
  <c r="N1280" i="43"/>
  <c r="N226" i="43"/>
  <c r="N403" i="43"/>
  <c r="N281" i="43"/>
  <c r="N586" i="43"/>
  <c r="N497" i="43"/>
  <c r="N675" i="43"/>
  <c r="N739" i="43"/>
  <c r="N803" i="43"/>
  <c r="N867" i="43"/>
  <c r="N931" i="43"/>
  <c r="N630" i="43"/>
  <c r="N694" i="43"/>
  <c r="N758" i="43"/>
  <c r="N822" i="43"/>
  <c r="N886" i="43"/>
  <c r="N613" i="43"/>
  <c r="N677" i="43"/>
  <c r="N741" i="43"/>
  <c r="N784" i="43"/>
  <c r="N912" i="43"/>
  <c r="N994" i="43"/>
  <c r="N1058" i="43"/>
  <c r="N1122" i="43"/>
  <c r="N1186" i="43"/>
  <c r="N188" i="43"/>
  <c r="N456" i="43"/>
  <c r="N483" i="43"/>
  <c r="N410" i="43"/>
  <c r="N269" i="43"/>
  <c r="N599" i="43"/>
  <c r="N695" i="43"/>
  <c r="N759" i="43"/>
  <c r="N823" i="43"/>
  <c r="N887" i="43"/>
  <c r="N951" i="43"/>
  <c r="N650" i="43"/>
  <c r="N714" i="43"/>
  <c r="N778" i="43"/>
  <c r="N842" i="43"/>
  <c r="N906" i="43"/>
  <c r="N633" i="43"/>
  <c r="N697" i="43"/>
  <c r="N644" i="43"/>
  <c r="N824" i="43"/>
  <c r="N944" i="43"/>
  <c r="N1014" i="43"/>
  <c r="N1078" i="43"/>
  <c r="N1142" i="43"/>
  <c r="N1206" i="43"/>
  <c r="N1270" i="43"/>
  <c r="N1334" i="43"/>
  <c r="N765" i="43"/>
  <c r="N893" i="43"/>
  <c r="N981" i="43"/>
  <c r="N1045" i="43"/>
  <c r="N1109" i="43"/>
  <c r="N1173" i="43"/>
  <c r="N1237" i="43"/>
  <c r="N1301" i="43"/>
  <c r="N684" i="43"/>
  <c r="N844" i="43"/>
  <c r="N952" i="43"/>
  <c r="N1016" i="43"/>
  <c r="N1080" i="43"/>
  <c r="N1144" i="43"/>
  <c r="N1208" i="43"/>
  <c r="N1272" i="43"/>
  <c r="N499" i="43"/>
  <c r="N699" i="43"/>
  <c r="N569" i="43"/>
  <c r="N846" i="43"/>
  <c r="N660" i="43"/>
  <c r="N1082" i="43"/>
  <c r="N1290" i="43"/>
  <c r="N805" i="43"/>
  <c r="N1001" i="43"/>
  <c r="N1129" i="43"/>
  <c r="N1257" i="43"/>
  <c r="N756" i="43"/>
  <c r="N972" i="43"/>
  <c r="N1100" i="43"/>
  <c r="N1228" i="43"/>
  <c r="N1324" i="43"/>
  <c r="N777" i="43"/>
  <c r="N905" i="43"/>
  <c r="N987" i="43"/>
  <c r="N1051" i="43"/>
  <c r="N1115" i="43"/>
  <c r="N1279" i="43"/>
  <c r="N1390" i="43"/>
  <c r="N1454" i="43"/>
  <c r="N1518" i="43"/>
  <c r="N1582" i="43"/>
  <c r="N1646" i="43"/>
  <c r="N1710" i="43"/>
  <c r="N1774" i="43"/>
  <c r="N1838" i="43"/>
  <c r="N1902" i="43"/>
  <c r="N1966" i="43"/>
  <c r="N1353" i="43"/>
  <c r="N1417" i="43"/>
  <c r="N1481" i="43"/>
  <c r="N1545" i="43"/>
  <c r="N1609" i="43"/>
  <c r="N1673" i="43"/>
  <c r="N1737" i="43"/>
  <c r="N1801" i="43"/>
  <c r="N1865" i="43"/>
  <c r="N1929" i="43"/>
  <c r="N175" i="43"/>
  <c r="N401" i="43"/>
  <c r="N843" i="43"/>
  <c r="N734" i="43"/>
  <c r="N653" i="43"/>
  <c r="N970" i="43"/>
  <c r="N1226" i="43"/>
  <c r="N648" i="43"/>
  <c r="N940" i="43"/>
  <c r="N1073" i="43"/>
  <c r="N1201" i="43"/>
  <c r="N1329" i="43"/>
  <c r="N900" i="43"/>
  <c r="N1044" i="43"/>
  <c r="N1172" i="43"/>
  <c r="N1296" i="43"/>
  <c r="N688" i="43"/>
  <c r="N849" i="43"/>
  <c r="N959" i="43"/>
  <c r="N1023" i="43"/>
  <c r="N1087" i="43"/>
  <c r="N1167" i="43"/>
  <c r="N1362" i="43"/>
  <c r="N1426" i="43"/>
  <c r="N1490" i="43"/>
  <c r="N1554" i="43"/>
  <c r="N1618" i="43"/>
  <c r="N1682" i="43"/>
  <c r="N1746" i="43"/>
  <c r="N1810" i="43"/>
  <c r="N1874" i="43"/>
  <c r="N1938" i="43"/>
  <c r="N1283" i="43"/>
  <c r="N1389" i="43"/>
  <c r="N1453" i="43"/>
  <c r="N1517" i="43"/>
  <c r="N1581" i="43"/>
  <c r="N1645" i="43"/>
  <c r="N1709" i="43"/>
  <c r="N1773" i="43"/>
  <c r="N1837" i="43"/>
  <c r="N1901" i="43"/>
  <c r="N1965" i="43"/>
  <c r="N153" i="43"/>
  <c r="N731" i="43"/>
  <c r="N622" i="43"/>
  <c r="N878" i="43"/>
  <c r="N768" i="43"/>
  <c r="N1114" i="43"/>
  <c r="N1306" i="43"/>
  <c r="N837" i="43"/>
  <c r="N1017" i="43"/>
  <c r="N1145" i="43"/>
  <c r="N1273" i="43"/>
  <c r="N788" i="43"/>
  <c r="N988" i="43"/>
  <c r="N1116" i="43"/>
  <c r="N1244" i="43"/>
  <c r="N1332" i="43"/>
  <c r="N793" i="43"/>
  <c r="N921" i="43"/>
  <c r="N995" i="43"/>
  <c r="N1059" i="43"/>
  <c r="N1123" i="43"/>
  <c r="N1311" i="43"/>
  <c r="N1398" i="43"/>
  <c r="N1462" i="43"/>
  <c r="N1526" i="43"/>
  <c r="N1590" i="43"/>
  <c r="N1654" i="43"/>
  <c r="N1718" i="43"/>
  <c r="N1782" i="43"/>
  <c r="N1846" i="43"/>
  <c r="N1910" i="43"/>
  <c r="N1171" i="43"/>
  <c r="N1361" i="43"/>
  <c r="N1425" i="43"/>
  <c r="N1489" i="43"/>
  <c r="N1553" i="43"/>
  <c r="N1617" i="43"/>
  <c r="N1681" i="43"/>
  <c r="N1745" i="43"/>
  <c r="N1809" i="43"/>
  <c r="N1873" i="43"/>
  <c r="N1937" i="43"/>
  <c r="N48" i="43"/>
  <c r="N685" i="43"/>
  <c r="N961" i="43"/>
  <c r="N930" i="43"/>
  <c r="N720" i="43"/>
  <c r="N1095" i="43"/>
  <c r="N1498" i="43"/>
  <c r="N1754" i="43"/>
  <c r="N1315" i="43"/>
  <c r="N1589" i="43"/>
  <c r="N1845" i="43"/>
  <c r="N1335" i="43"/>
  <c r="N1400" i="43"/>
  <c r="N1464" i="43"/>
  <c r="N1528" i="43"/>
  <c r="N1592" i="43"/>
  <c r="N1656" i="43"/>
  <c r="N1720" i="43"/>
  <c r="N1784" i="43"/>
  <c r="N1848" i="43"/>
  <c r="N1912" i="43"/>
  <c r="N1163" i="43"/>
  <c r="N1359" i="43"/>
  <c r="N1423" i="43"/>
  <c r="N1487" i="43"/>
  <c r="N1551" i="43"/>
  <c r="N1615" i="43"/>
  <c r="N1679" i="43"/>
  <c r="N1743" i="43"/>
  <c r="N1807" i="43"/>
  <c r="N1871" i="43"/>
  <c r="N1935" i="43"/>
  <c r="N1999" i="43"/>
  <c r="N2063" i="43"/>
  <c r="N2127" i="43"/>
  <c r="N2191" i="43"/>
  <c r="N2255" i="43"/>
  <c r="N2319" i="43"/>
  <c r="N2383" i="43"/>
  <c r="N2444" i="43"/>
  <c r="N2508" i="43"/>
  <c r="N2010" i="43"/>
  <c r="N2074" i="43"/>
  <c r="N683" i="43"/>
  <c r="N1066" i="43"/>
  <c r="N1121" i="43"/>
  <c r="N1092" i="43"/>
  <c r="N897" i="43"/>
  <c r="N1263" i="43"/>
  <c r="N1578" i="43"/>
  <c r="N1834" i="43"/>
  <c r="N1413" i="43"/>
  <c r="N1669" i="43"/>
  <c r="N1925" i="43"/>
  <c r="N1356" i="43"/>
  <c r="N1420" i="43"/>
  <c r="N1484" i="43"/>
  <c r="N1548" i="43"/>
  <c r="N1612" i="43"/>
  <c r="N1676" i="43"/>
  <c r="N1740" i="43"/>
  <c r="N1804" i="43"/>
  <c r="N1868" i="43"/>
  <c r="N1932" i="43"/>
  <c r="N1243" i="43"/>
  <c r="N1379" i="43"/>
  <c r="N1443" i="43"/>
  <c r="N1507" i="43"/>
  <c r="N1571" i="43"/>
  <c r="N1635" i="43"/>
  <c r="N1699" i="43"/>
  <c r="N1763" i="43"/>
  <c r="N1827" i="43"/>
  <c r="N1891" i="43"/>
  <c r="N1955" i="43"/>
  <c r="N2019" i="43"/>
  <c r="N2083" i="43"/>
  <c r="N2147" i="43"/>
  <c r="N2211" i="43"/>
  <c r="N2275" i="43"/>
  <c r="N2339" i="43"/>
  <c r="N2403" i="43"/>
  <c r="N2464" i="43"/>
  <c r="N2528" i="43"/>
  <c r="N2030" i="43"/>
  <c r="N2094" i="43"/>
  <c r="N894" i="43"/>
  <c r="N853" i="43"/>
  <c r="N804" i="43"/>
  <c r="N561" i="43"/>
  <c r="N1063" i="43"/>
  <c r="N1466" i="43"/>
  <c r="N1722" i="43"/>
  <c r="N1187" i="43"/>
  <c r="N1557" i="43"/>
  <c r="N1813" i="43"/>
  <c r="N1303" i="43"/>
  <c r="N1392" i="43"/>
  <c r="N1456" i="43"/>
  <c r="N1520" i="43"/>
  <c r="N1584" i="43"/>
  <c r="N1648" i="43"/>
  <c r="N1712" i="43"/>
  <c r="N1776" i="43"/>
  <c r="N1840" i="43"/>
  <c r="N1904" i="43"/>
  <c r="N1968" i="43"/>
  <c r="N1351" i="43"/>
  <c r="N1415" i="43"/>
  <c r="N1479" i="43"/>
  <c r="N1543" i="43"/>
  <c r="N1607" i="43"/>
  <c r="N1671" i="43"/>
  <c r="N1735" i="43"/>
  <c r="N1799" i="43"/>
  <c r="N1863" i="43"/>
  <c r="N1927" i="43"/>
  <c r="N1991" i="43"/>
  <c r="N2055" i="43"/>
  <c r="N2119" i="43"/>
  <c r="N2183" i="43"/>
  <c r="N2247" i="43"/>
  <c r="N2311" i="43"/>
  <c r="N2375" i="43"/>
  <c r="N2436" i="43"/>
  <c r="N2500" i="43"/>
  <c r="N2002" i="43"/>
  <c r="N2066" i="43"/>
  <c r="N928" i="43"/>
  <c r="N1143" i="43"/>
  <c r="N1637" i="43"/>
  <c r="N1476" i="43"/>
  <c r="N1732" i="43"/>
  <c r="N1211" i="43"/>
  <c r="N1563" i="43"/>
  <c r="N1819" i="43"/>
  <c r="N2075" i="43"/>
  <c r="N2331" i="43"/>
  <c r="N2022" i="43"/>
  <c r="N2150" i="43"/>
  <c r="N2214" i="43"/>
  <c r="N2282" i="43"/>
  <c r="N2346" i="43"/>
  <c r="N2410" i="43"/>
  <c r="N2475" i="43"/>
  <c r="N2539" i="43"/>
  <c r="N2603" i="43"/>
  <c r="N1985" i="43"/>
  <c r="N2049" i="43"/>
  <c r="N2113" i="43"/>
  <c r="N2177" i="43"/>
  <c r="N2241" i="43"/>
  <c r="N2305" i="43"/>
  <c r="N2369" i="43"/>
  <c r="N2433" i="43"/>
  <c r="N2498" i="43"/>
  <c r="N2562" i="43"/>
  <c r="N2626" i="43"/>
  <c r="N2024" i="43"/>
  <c r="N2184" i="43"/>
  <c r="N2441" i="43"/>
  <c r="N2613" i="43"/>
  <c r="N2693" i="43"/>
  <c r="N2757" i="43"/>
  <c r="N2821" i="43"/>
  <c r="N2886" i="43"/>
  <c r="N2950" i="43"/>
  <c r="N3012" i="43"/>
  <c r="N3084" i="43"/>
  <c r="N3160" i="43"/>
  <c r="N2264" i="43"/>
  <c r="N2525" i="43"/>
  <c r="N2649" i="43"/>
  <c r="N2712" i="43"/>
  <c r="N2776" i="43"/>
  <c r="N2840" i="43"/>
  <c r="N2905" i="43"/>
  <c r="N2969" i="43"/>
  <c r="N3035" i="43"/>
  <c r="N3107" i="43"/>
  <c r="N2080" i="43"/>
  <c r="N2348" i="43"/>
  <c r="N2569" i="43"/>
  <c r="N2671" i="43"/>
  <c r="N2735" i="43"/>
  <c r="N2799" i="43"/>
  <c r="N2864" i="43"/>
  <c r="N2928" i="43"/>
  <c r="N2993" i="43"/>
  <c r="N2624" i="43"/>
  <c r="N2875" i="43"/>
  <c r="N3086" i="43"/>
  <c r="N3214" i="43"/>
  <c r="N2850" i="43"/>
  <c r="N3207" i="43"/>
  <c r="N2641" i="43"/>
  <c r="N2895" i="43"/>
  <c r="N811" i="43"/>
  <c r="N948" i="43"/>
  <c r="N1445" i="43"/>
  <c r="N1428" i="43"/>
  <c r="N1684" i="43"/>
  <c r="N1940" i="43"/>
  <c r="N1515" i="43"/>
  <c r="N1771" i="43"/>
  <c r="N2027" i="43"/>
  <c r="N2283" i="43"/>
  <c r="N1974" i="43"/>
  <c r="N2138" i="43"/>
  <c r="N2202" i="43"/>
  <c r="N2270" i="43"/>
  <c r="N2334" i="43"/>
  <c r="N2398" i="43"/>
  <c r="N2463" i="43"/>
  <c r="N2527" i="43"/>
  <c r="N2591" i="43"/>
  <c r="N1973" i="43"/>
  <c r="N2037" i="43"/>
  <c r="N2101" i="43"/>
  <c r="N2165" i="43"/>
  <c r="N2229" i="43"/>
  <c r="N2293" i="43"/>
  <c r="N2357" i="43"/>
  <c r="N2421" i="43"/>
  <c r="N2486" i="43"/>
  <c r="N2550" i="43"/>
  <c r="N2614" i="43"/>
  <c r="N2012" i="43"/>
  <c r="N2136" i="43"/>
  <c r="N2388" i="43"/>
  <c r="N2589" i="43"/>
  <c r="N2681" i="43"/>
  <c r="N2745" i="43"/>
  <c r="N2809" i="43"/>
  <c r="N2874" i="43"/>
  <c r="N2938" i="43"/>
  <c r="N2999" i="43"/>
  <c r="N3072" i="43"/>
  <c r="N3140" i="43"/>
  <c r="N2220" i="43"/>
  <c r="N2477" i="43"/>
  <c r="N2628" i="43"/>
  <c r="N2700" i="43"/>
  <c r="N2764" i="43"/>
  <c r="N2828" i="43"/>
  <c r="N2893" i="43"/>
  <c r="N2957" i="43"/>
  <c r="N3023" i="43"/>
  <c r="N3091" i="43"/>
  <c r="N3163" i="43"/>
  <c r="N2300" i="43"/>
  <c r="N2545" i="43"/>
  <c r="N2659" i="43"/>
  <c r="N2723" i="43"/>
  <c r="N2787" i="43"/>
  <c r="N2851" i="43"/>
  <c r="N2916" i="43"/>
  <c r="N2981" i="43"/>
  <c r="N2485" i="43"/>
  <c r="N2838" i="43"/>
  <c r="N3062" i="43"/>
  <c r="N3198" i="43"/>
  <c r="N2584" i="43"/>
  <c r="N3162" i="43"/>
  <c r="N2568" i="43"/>
  <c r="N2842" i="43"/>
  <c r="N3077" i="43"/>
  <c r="N1284" i="43"/>
  <c r="N1930" i="43"/>
  <c r="N1380" i="43"/>
  <c r="N1636" i="43"/>
  <c r="N1892" i="43"/>
  <c r="N1467" i="43"/>
  <c r="N1723" i="43"/>
  <c r="N1979" i="43"/>
  <c r="N2235" i="43"/>
  <c r="N2488" i="43"/>
  <c r="N2126" i="43"/>
  <c r="N2190" i="43"/>
  <c r="N2258" i="43"/>
  <c r="N2322" i="43"/>
  <c r="N2386" i="43"/>
  <c r="N2451" i="43"/>
  <c r="N2515" i="43"/>
  <c r="N2579" i="43"/>
  <c r="N2643" i="43"/>
  <c r="N2025" i="43"/>
  <c r="N2089" i="43"/>
  <c r="N2153" i="43"/>
  <c r="N2217" i="43"/>
  <c r="N2281" i="43"/>
  <c r="N2345" i="43"/>
  <c r="N2409" i="43"/>
  <c r="N2474" i="43"/>
  <c r="N2538" i="43"/>
  <c r="N2602" i="43"/>
  <c r="N2000" i="43"/>
  <c r="N2088" i="43"/>
  <c r="N2340" i="43"/>
  <c r="N2565" i="43"/>
  <c r="N2669" i="43"/>
  <c r="N2733" i="43"/>
  <c r="N2797" i="43"/>
  <c r="N2862" i="43"/>
  <c r="N2926" i="43"/>
  <c r="N2987" i="43"/>
  <c r="N3060" i="43"/>
  <c r="N3128" i="43"/>
  <c r="N2172" i="43"/>
  <c r="N2424" i="43"/>
  <c r="N2604" i="43"/>
  <c r="N2688" i="43"/>
  <c r="N2752" i="43"/>
  <c r="N2816" i="43"/>
  <c r="N2881" i="43"/>
  <c r="N2945" i="43"/>
  <c r="N3011" i="43"/>
  <c r="N31" i="43"/>
  <c r="N96" i="43"/>
  <c r="N160" i="43"/>
  <c r="N224" i="43"/>
  <c r="N288" i="43"/>
  <c r="N18" i="43"/>
  <c r="N83" i="43"/>
  <c r="N147" i="43"/>
  <c r="N211" i="43"/>
  <c r="N275" i="43"/>
  <c r="N5" i="43"/>
  <c r="N69" i="43"/>
  <c r="N134" i="43"/>
  <c r="N198" i="43"/>
  <c r="N262" i="43"/>
  <c r="N327" i="43"/>
  <c r="N193" i="43"/>
  <c r="N364" i="43"/>
  <c r="N428" i="43"/>
  <c r="N492" i="43"/>
  <c r="N556" i="43"/>
  <c r="N19" i="43"/>
  <c r="N84" i="43"/>
  <c r="N148" i="43"/>
  <c r="N212" i="43"/>
  <c r="N276" i="43"/>
  <c r="N6" i="43"/>
  <c r="N70" i="43"/>
  <c r="N135" i="43"/>
  <c r="N199" i="43"/>
  <c r="N263" i="43"/>
  <c r="N328" i="43"/>
  <c r="N57" i="43"/>
  <c r="N122" i="43"/>
  <c r="N186" i="43"/>
  <c r="N250" i="43"/>
  <c r="N315" i="43"/>
  <c r="N145" i="43"/>
  <c r="N352" i="43"/>
  <c r="N416" i="43"/>
  <c r="N480" i="43"/>
  <c r="N544" i="43"/>
  <c r="N7" i="43"/>
  <c r="N71" i="43"/>
  <c r="N136" i="43"/>
  <c r="N200" i="43"/>
  <c r="N264" i="43"/>
  <c r="N329" i="43"/>
  <c r="N58" i="43"/>
  <c r="N123" i="43"/>
  <c r="N187" i="43"/>
  <c r="N251" i="43"/>
  <c r="N316" i="43"/>
  <c r="N45" i="43"/>
  <c r="N110" i="43"/>
  <c r="N174" i="43"/>
  <c r="N238" i="43"/>
  <c r="N302" i="43"/>
  <c r="N97" i="43"/>
  <c r="N341" i="43"/>
  <c r="N404" i="43"/>
  <c r="N468" i="43"/>
  <c r="N532" i="43"/>
  <c r="N4" i="43"/>
  <c r="N204" i="43"/>
  <c r="N127" i="43"/>
  <c r="N49" i="43"/>
  <c r="N306" i="43"/>
  <c r="N472" i="43"/>
  <c r="N149" i="43"/>
  <c r="N359" i="43"/>
  <c r="N423" i="43"/>
  <c r="N487" i="43"/>
  <c r="N551" i="43"/>
  <c r="N105" i="43"/>
  <c r="N350" i="43"/>
  <c r="N414" i="43"/>
  <c r="N478" i="43"/>
  <c r="N542" i="43"/>
  <c r="N28" i="43"/>
  <c r="N285" i="43"/>
  <c r="N389" i="43"/>
  <c r="N453" i="43"/>
  <c r="N517" i="43"/>
  <c r="N603" i="43"/>
  <c r="N92" i="43"/>
  <c r="N14" i="43"/>
  <c r="N271" i="43"/>
  <c r="N194" i="43"/>
  <c r="N360" i="43"/>
  <c r="N36" i="43"/>
  <c r="N293" i="43"/>
  <c r="N395" i="43"/>
  <c r="N459" i="43"/>
  <c r="N523" i="43"/>
  <c r="N587" i="43"/>
  <c r="N249" i="43"/>
  <c r="N386" i="43"/>
  <c r="N450" i="43"/>
  <c r="N514" i="43"/>
  <c r="N578" i="43"/>
  <c r="N173" i="43"/>
  <c r="N361" i="43"/>
  <c r="N425" i="43"/>
  <c r="N489" i="43"/>
  <c r="N553" i="43"/>
  <c r="N639" i="43"/>
  <c r="N236" i="43"/>
  <c r="N159" i="43"/>
  <c r="N82" i="43"/>
  <c r="N339" i="43"/>
  <c r="N504" i="43"/>
  <c r="N181" i="43"/>
  <c r="N367" i="43"/>
  <c r="N431" i="43"/>
  <c r="N495" i="43"/>
  <c r="N559" i="43"/>
  <c r="N137" i="43"/>
  <c r="N358" i="43"/>
  <c r="N422" i="43"/>
  <c r="N486" i="43"/>
  <c r="N550" i="43"/>
  <c r="N60" i="43"/>
  <c r="N318" i="43"/>
  <c r="N397" i="43"/>
  <c r="N461" i="43"/>
  <c r="N525" i="43"/>
  <c r="N611" i="43"/>
  <c r="N239" i="43"/>
  <c r="N261" i="43"/>
  <c r="N579" i="43"/>
  <c r="N506" i="43"/>
  <c r="N417" i="43"/>
  <c r="N655" i="43"/>
  <c r="N719" i="43"/>
  <c r="N783" i="43"/>
  <c r="N847" i="43"/>
  <c r="N911" i="43"/>
  <c r="N610" i="43"/>
  <c r="N674" i="43"/>
  <c r="N738" i="43"/>
  <c r="N802" i="43"/>
  <c r="N866" i="43"/>
  <c r="N573" i="43"/>
  <c r="N657" i="43"/>
  <c r="N721" i="43"/>
  <c r="N740" i="43"/>
  <c r="N872" i="43"/>
  <c r="N974" i="43"/>
  <c r="N1038" i="43"/>
  <c r="N1102" i="43"/>
  <c r="N1166" i="43"/>
  <c r="N1230" i="43"/>
  <c r="N1294" i="43"/>
  <c r="N632" i="43"/>
  <c r="N813" i="43"/>
  <c r="N937" i="43"/>
  <c r="N1005" i="43"/>
  <c r="N1069" i="43"/>
  <c r="N1133" i="43"/>
  <c r="N1197" i="43"/>
  <c r="N1261" i="43"/>
  <c r="N1325" i="43"/>
  <c r="N764" i="43"/>
  <c r="N892" i="43"/>
  <c r="N976" i="43"/>
  <c r="N1040" i="43"/>
  <c r="N1104" i="43"/>
  <c r="N1168" i="43"/>
  <c r="N1232" i="43"/>
  <c r="N124" i="43"/>
  <c r="N392" i="43"/>
  <c r="N467" i="43"/>
  <c r="N394" i="43"/>
  <c r="N205" i="43"/>
  <c r="N565" i="43"/>
  <c r="N691" i="43"/>
  <c r="N755" i="43"/>
  <c r="N819" i="43"/>
  <c r="N883" i="43"/>
  <c r="N947" i="43"/>
  <c r="N646" i="43"/>
  <c r="N710" i="43"/>
  <c r="N774" i="43"/>
  <c r="N838" i="43"/>
  <c r="N902" i="43"/>
  <c r="N629" i="43"/>
  <c r="N693" i="43"/>
  <c r="N628" i="43"/>
  <c r="N816" i="43"/>
  <c r="N941" i="43"/>
  <c r="N1010" i="43"/>
  <c r="N1074" i="43"/>
  <c r="N1138" i="43"/>
  <c r="N1202" i="43"/>
  <c r="N111" i="43"/>
  <c r="N133" i="43"/>
  <c r="N547" i="43"/>
  <c r="N474" i="43"/>
  <c r="N385" i="43"/>
  <c r="N647" i="43"/>
  <c r="N711" i="43"/>
  <c r="N775" i="43"/>
  <c r="N839" i="43"/>
  <c r="N903" i="43"/>
  <c r="N602" i="43"/>
  <c r="N666" i="43"/>
  <c r="N730" i="43"/>
  <c r="N794" i="43"/>
  <c r="N858" i="43"/>
  <c r="N922" i="43"/>
  <c r="N649" i="43"/>
  <c r="N713" i="43"/>
  <c r="N708" i="43"/>
  <c r="N856" i="43"/>
  <c r="N966" i="43"/>
  <c r="N1030" i="43"/>
  <c r="N1094" i="43"/>
  <c r="N1158" i="43"/>
  <c r="N1222" i="43"/>
  <c r="N1286" i="43"/>
  <c r="N600" i="43"/>
  <c r="N797" i="43"/>
  <c r="N925" i="43"/>
  <c r="N997" i="43"/>
  <c r="N1061" i="43"/>
  <c r="N1125" i="43"/>
  <c r="N1189" i="43"/>
  <c r="N1253" i="43"/>
  <c r="N1317" i="43"/>
  <c r="N748" i="43"/>
  <c r="N876" i="43"/>
  <c r="N968" i="43"/>
  <c r="N1032" i="43"/>
  <c r="N3045" i="43"/>
  <c r="N2678" i="43"/>
  <c r="N3145" i="43"/>
  <c r="N2915" i="43"/>
  <c r="N2638" i="43"/>
  <c r="N3034" i="43"/>
  <c r="N3149" i="43"/>
  <c r="N2632" i="43"/>
  <c r="N3078" i="43"/>
  <c r="N2924" i="43"/>
  <c r="N2667" i="43"/>
  <c r="N3099" i="43"/>
  <c r="N2836" i="43"/>
  <c r="N2509" i="43"/>
  <c r="N3008" i="43"/>
  <c r="N2753" i="43"/>
  <c r="N2168" i="43"/>
  <c r="N2494" i="43"/>
  <c r="N2237" i="43"/>
  <c r="N3026" i="43"/>
  <c r="N2662" i="43"/>
  <c r="N3121" i="43"/>
  <c r="N2899" i="43"/>
  <c r="N2608" i="43"/>
  <c r="N3230" i="43"/>
  <c r="N3146" i="43"/>
  <c r="N2501" i="43"/>
  <c r="N3041" i="43"/>
  <c r="N2908" i="43"/>
  <c r="N2648" i="43"/>
  <c r="N3083" i="43"/>
  <c r="N2820" i="43"/>
  <c r="N2445" i="43"/>
  <c r="N2991" i="43"/>
  <c r="N2737" i="43"/>
  <c r="N2104" i="43"/>
  <c r="N2478" i="43"/>
  <c r="N2221" i="43"/>
  <c r="N3005" i="43"/>
  <c r="N2616" i="43"/>
  <c r="N3109" i="43"/>
  <c r="N2883" i="43"/>
  <c r="N2576" i="43"/>
  <c r="N3226" i="43"/>
  <c r="N3138" i="43"/>
  <c r="N2304" i="43"/>
  <c r="N2992" i="43"/>
  <c r="N2892" i="43"/>
  <c r="N2625" i="43"/>
  <c r="N3067" i="43"/>
  <c r="N2804" i="43"/>
  <c r="N2376" i="43"/>
  <c r="N2975" i="43"/>
  <c r="N2721" i="43"/>
  <c r="N2052" i="43"/>
  <c r="N2462" i="43"/>
  <c r="N2205" i="43"/>
  <c r="N3065" i="43"/>
  <c r="N2694" i="43"/>
  <c r="N3157" i="43"/>
  <c r="N2947" i="43"/>
  <c r="N2658" i="43"/>
  <c r="N3073" i="43"/>
  <c r="N3158" i="43"/>
  <c r="N2686" i="43"/>
  <c r="N3105" i="43"/>
  <c r="N2940" i="43"/>
  <c r="N2683" i="43"/>
  <c r="N3123" i="43"/>
  <c r="N2852" i="43"/>
  <c r="N2548" i="43"/>
  <c r="N3024" i="43"/>
  <c r="N2769" i="43"/>
  <c r="N2232" i="43"/>
  <c r="N2510" i="43"/>
  <c r="N2253" i="43"/>
  <c r="N2093" i="43"/>
  <c r="N2029" i="43"/>
  <c r="N2647" i="43"/>
  <c r="N2583" i="43"/>
  <c r="N2519" i="43"/>
  <c r="N2455" i="43"/>
  <c r="N2390" i="43"/>
  <c r="N2326" i="43"/>
  <c r="N2262" i="43"/>
  <c r="N2194" i="43"/>
  <c r="N2130" i="43"/>
  <c r="N2504" i="43"/>
  <c r="N2251" i="43"/>
  <c r="N1995" i="43"/>
  <c r="N1739" i="43"/>
  <c r="N1483" i="43"/>
  <c r="N1908" i="43"/>
  <c r="N1652" i="43"/>
  <c r="N1396" i="43"/>
  <c r="N1251" i="43"/>
  <c r="N656" i="43"/>
  <c r="N3085" i="43"/>
  <c r="N2863" i="43"/>
  <c r="N2600" i="43"/>
  <c r="N3187" i="43"/>
  <c r="N2774" i="43"/>
  <c r="N3202" i="43"/>
  <c r="N3070" i="43"/>
  <c r="N2854" i="43"/>
  <c r="N2560" i="43"/>
  <c r="N2985" i="43"/>
  <c r="N2920" i="43"/>
  <c r="N2855" i="43"/>
  <c r="N2791" i="43"/>
  <c r="N2727" i="43"/>
  <c r="N2663" i="43"/>
  <c r="N2553" i="43"/>
  <c r="N2316" i="43"/>
  <c r="N3171" i="43"/>
  <c r="N3095" i="43"/>
  <c r="N2961" i="43"/>
  <c r="N2704" i="43"/>
  <c r="N3144" i="43"/>
  <c r="N2878" i="43"/>
  <c r="N2597" i="43"/>
  <c r="N2618" i="43"/>
  <c r="N2361" i="43"/>
  <c r="N2105" i="43"/>
  <c r="N2531" i="43"/>
  <c r="N2274" i="43"/>
  <c r="N2299" i="43"/>
  <c r="N1956" i="43"/>
  <c r="N1015" i="43"/>
  <c r="N3219" i="43"/>
  <c r="N2891" i="43"/>
  <c r="N2868" i="43"/>
  <c r="N2577" i="43"/>
  <c r="N3039" i="43"/>
  <c r="N2780" i="43"/>
  <c r="N2280" i="43"/>
  <c r="N2954" i="43"/>
  <c r="N2697" i="43"/>
  <c r="N2028" i="43"/>
  <c r="N2438" i="43"/>
  <c r="N2181" i="43"/>
  <c r="N2607" i="43"/>
  <c r="N2350" i="43"/>
  <c r="N2038" i="43"/>
  <c r="N1579" i="43"/>
  <c r="N1701" i="43"/>
  <c r="N2702" i="43"/>
  <c r="N3114" i="43"/>
  <c r="N2944" i="43"/>
  <c r="N2687" i="43"/>
  <c r="N3127" i="43"/>
  <c r="N2856" i="43"/>
  <c r="N2556" i="43"/>
  <c r="N3028" i="43"/>
  <c r="N2773" i="43"/>
  <c r="N2244" i="43"/>
  <c r="N2514" i="43"/>
  <c r="N2257" i="43"/>
  <c r="N2001" i="43"/>
  <c r="N2426" i="43"/>
  <c r="N2166" i="43"/>
  <c r="N1883" i="43"/>
  <c r="N1540" i="43"/>
  <c r="N2082" i="43"/>
  <c r="N2391" i="43"/>
  <c r="N2135" i="43"/>
  <c r="N1879" i="43"/>
  <c r="N1623" i="43"/>
  <c r="N1367" i="43"/>
  <c r="N1792" i="43"/>
  <c r="N1536" i="43"/>
  <c r="N1877" i="43"/>
  <c r="N1530" i="43"/>
  <c r="N1025" i="43"/>
  <c r="N1982" i="43"/>
  <c r="N2291" i="43"/>
  <c r="N2035" i="43"/>
  <c r="N1779" i="43"/>
  <c r="N1523" i="43"/>
  <c r="N1948" i="43"/>
  <c r="N1692" i="43"/>
  <c r="N1436" i="43"/>
  <c r="N1477" i="43"/>
  <c r="N983" i="43"/>
  <c r="N939" i="43"/>
  <c r="N2460" i="43"/>
  <c r="N2207" i="43"/>
  <c r="N1951" i="43"/>
  <c r="N1695" i="43"/>
  <c r="N1439" i="43"/>
  <c r="N1864" i="43"/>
  <c r="N1608" i="43"/>
  <c r="N1352" i="43"/>
  <c r="N1818" i="43"/>
  <c r="N1060" i="43"/>
  <c r="N1953" i="43"/>
  <c r="N1697" i="43"/>
  <c r="N1441" i="43"/>
  <c r="N1862" i="43"/>
  <c r="N1606" i="43"/>
  <c r="N1350" i="43"/>
  <c r="N945" i="43"/>
  <c r="N1148" i="43"/>
  <c r="N1177" i="43"/>
  <c r="N1178" i="43"/>
  <c r="N795" i="43"/>
  <c r="N1853" i="43"/>
  <c r="N1597" i="43"/>
  <c r="N1336" i="43"/>
  <c r="N1762" i="43"/>
  <c r="N1506" i="43"/>
  <c r="N1103" i="43"/>
  <c r="N753" i="43"/>
  <c r="N949" i="43"/>
  <c r="N977" i="43"/>
  <c r="N717" i="43"/>
  <c r="N197" i="43"/>
  <c r="N1753" i="43"/>
  <c r="N1497" i="43"/>
  <c r="N1918" i="43"/>
  <c r="N1662" i="43"/>
  <c r="N1406" i="43"/>
  <c r="N1003" i="43"/>
  <c r="N1260" i="43"/>
  <c r="N1289" i="43"/>
  <c r="N1322" i="43"/>
  <c r="N654" i="43"/>
  <c r="N1224" i="43"/>
  <c r="N2967" i="43"/>
  <c r="N2469" i="43"/>
  <c r="N3082" i="43"/>
  <c r="N2846" i="43"/>
  <c r="N2517" i="43"/>
  <c r="N3221" i="43"/>
  <c r="N3122" i="43"/>
  <c r="N3195" i="43"/>
  <c r="N2859" i="43"/>
  <c r="N2860" i="43"/>
  <c r="N2561" i="43"/>
  <c r="N3031" i="43"/>
  <c r="N2772" i="43"/>
  <c r="N2248" i="43"/>
  <c r="N2946" i="43"/>
  <c r="N2689" i="43"/>
  <c r="N2020" i="43"/>
  <c r="N2429" i="43"/>
  <c r="N2173" i="43"/>
  <c r="N2935" i="43"/>
  <c r="N2400" i="43"/>
  <c r="N3074" i="43"/>
  <c r="N2818" i="43"/>
  <c r="N2453" i="43"/>
  <c r="N3217" i="43"/>
  <c r="N3113" i="43"/>
  <c r="N3126" i="43"/>
  <c r="N2810" i="43"/>
  <c r="N2843" i="43"/>
  <c r="N2529" i="43"/>
  <c r="N3015" i="43"/>
  <c r="N2756" i="43"/>
  <c r="N2188" i="43"/>
  <c r="N2930" i="43"/>
  <c r="N2673" i="43"/>
  <c r="N2004" i="43"/>
  <c r="N2413" i="43"/>
  <c r="N2157" i="43"/>
  <c r="N2903" i="43"/>
  <c r="N2336" i="43"/>
  <c r="N3066" i="43"/>
  <c r="N2802" i="43"/>
  <c r="N2384" i="43"/>
  <c r="N3209" i="43"/>
  <c r="N3110" i="43"/>
  <c r="N3042" i="43"/>
  <c r="N2746" i="43"/>
  <c r="N2827" i="43"/>
  <c r="N2465" i="43"/>
  <c r="N2998" i="43"/>
  <c r="N2740" i="43"/>
  <c r="N2124" i="43"/>
  <c r="N2914" i="43"/>
  <c r="N2657" i="43"/>
  <c r="N1988" i="43"/>
  <c r="N2397" i="43"/>
  <c r="N2141" i="43"/>
  <c r="N2988" i="43"/>
  <c r="N2552" i="43"/>
  <c r="N3090" i="43"/>
  <c r="N2867" i="43"/>
  <c r="N2544" i="43"/>
  <c r="N3222" i="43"/>
  <c r="N3130" i="43"/>
  <c r="N2068" i="43"/>
  <c r="N2923" i="43"/>
  <c r="N2876" i="43"/>
  <c r="N2593" i="43"/>
  <c r="N3047" i="43"/>
  <c r="N2788" i="43"/>
  <c r="N2312" i="43"/>
  <c r="N2962" i="43"/>
  <c r="N2705" i="43"/>
  <c r="N2036" i="43"/>
  <c r="N2446" i="43"/>
  <c r="N2189" i="43"/>
  <c r="N2077" i="43"/>
  <c r="N2013" i="43"/>
  <c r="N2631" i="43"/>
  <c r="N2567" i="43"/>
  <c r="N2503" i="43"/>
  <c r="N2439" i="43"/>
  <c r="N2374" i="43"/>
  <c r="N2310" i="43"/>
  <c r="N2246" i="43"/>
  <c r="N2178" i="43"/>
  <c r="N2114" i="43"/>
  <c r="N2440" i="43"/>
  <c r="N2187" i="43"/>
  <c r="N1931" i="43"/>
  <c r="N1675" i="43"/>
  <c r="N1419" i="43"/>
  <c r="N1844" i="43"/>
  <c r="N1588" i="43"/>
  <c r="N1319" i="43"/>
  <c r="N1738" i="43"/>
  <c r="N868" i="43"/>
  <c r="N3049" i="43"/>
  <c r="N2798" i="43"/>
  <c r="N2437" i="43"/>
  <c r="N3097" i="43"/>
  <c r="N3212" i="43"/>
  <c r="N3181" i="43"/>
  <c r="N3033" i="43"/>
  <c r="N2794" i="43"/>
  <c r="N2288" i="43"/>
  <c r="N2968" i="43"/>
  <c r="N2904" i="43"/>
  <c r="N2839" i="43"/>
  <c r="N2775" i="43"/>
  <c r="N2711" i="43"/>
  <c r="N2645" i="43"/>
  <c r="N2513" i="43"/>
  <c r="N2252" i="43"/>
  <c r="N3151" i="43"/>
  <c r="N3079" i="43"/>
  <c r="N2897" i="43"/>
  <c r="N2636" i="43"/>
  <c r="N3076" i="43"/>
  <c r="N2813" i="43"/>
  <c r="N2404" i="43"/>
  <c r="N2554" i="43"/>
  <c r="N2297" i="43"/>
  <c r="N2041" i="43"/>
  <c r="N2467" i="43"/>
  <c r="N2206" i="43"/>
  <c r="N2043" i="43"/>
  <c r="N1700" i="43"/>
  <c r="N702" i="43"/>
  <c r="N2887" i="43"/>
  <c r="N2644" i="43"/>
  <c r="N2803" i="43"/>
  <c r="N2364" i="43"/>
  <c r="N2974" i="43"/>
  <c r="N2716" i="43"/>
  <c r="N3164" i="43"/>
  <c r="N2890" i="43"/>
  <c r="N2621" i="43"/>
  <c r="N2630" i="43"/>
  <c r="N2373" i="43"/>
  <c r="N2117" i="43"/>
  <c r="N2543" i="43"/>
  <c r="N2286" i="43"/>
  <c r="N2347" i="43"/>
  <c r="N1275" i="43"/>
  <c r="N1354" i="43"/>
  <c r="N2132" i="43"/>
  <c r="N2939" i="43"/>
  <c r="N2880" i="43"/>
  <c r="N2601" i="43"/>
  <c r="N3055" i="43"/>
  <c r="N2792" i="43"/>
  <c r="N2328" i="43"/>
  <c r="N2966" i="43"/>
  <c r="N2709" i="43"/>
  <c r="N2040" i="43"/>
  <c r="N2450" i="43"/>
  <c r="N2193" i="43"/>
  <c r="N2619" i="43"/>
  <c r="N2362" i="43"/>
  <c r="N2086" i="43"/>
  <c r="N1627" i="43"/>
  <c r="N1893" i="43"/>
  <c r="N2018" i="43"/>
  <c r="N2327" i="43"/>
  <c r="N2071" i="43"/>
  <c r="N1815" i="43"/>
  <c r="N1559" i="43"/>
  <c r="N1195" i="43"/>
  <c r="N1728" i="43"/>
  <c r="N1472" i="43"/>
  <c r="N1621" i="43"/>
  <c r="N1127" i="43"/>
  <c r="N800" i="43"/>
  <c r="N2480" i="43"/>
  <c r="N2227" i="43"/>
  <c r="N1971" i="43"/>
  <c r="N1715" i="43"/>
  <c r="N1459" i="43"/>
  <c r="N1884" i="43"/>
  <c r="N1628" i="43"/>
  <c r="N1372" i="43"/>
  <c r="N1898" i="43"/>
  <c r="N1220" i="43"/>
  <c r="N2090" i="43"/>
  <c r="N2399" i="43"/>
  <c r="N2143" i="43"/>
  <c r="N1887" i="43"/>
  <c r="N1631" i="43"/>
  <c r="N1375" i="43"/>
  <c r="N1800" i="43"/>
  <c r="N1544" i="43"/>
  <c r="N1909" i="43"/>
  <c r="N1562" i="43"/>
  <c r="N1089" i="43"/>
  <c r="N1889" i="43"/>
  <c r="N1633" i="43"/>
  <c r="N1377" i="43"/>
  <c r="N1798" i="43"/>
  <c r="N1542" i="43"/>
  <c r="N1139" i="43"/>
  <c r="N825" i="43"/>
  <c r="N1020" i="43"/>
  <c r="N1049" i="43"/>
  <c r="N896" i="43"/>
  <c r="N554" i="43"/>
  <c r="N1789" i="43"/>
  <c r="N1533" i="43"/>
  <c r="N1954" i="43"/>
  <c r="N1698" i="43"/>
  <c r="N1442" i="43"/>
  <c r="N1039" i="43"/>
  <c r="N1312" i="43"/>
  <c r="N668" i="43"/>
  <c r="N757" i="43"/>
  <c r="N798" i="43"/>
  <c r="N1945" i="43"/>
  <c r="N1689" i="43"/>
  <c r="N1433" i="43"/>
  <c r="N1854" i="43"/>
  <c r="N1598" i="43"/>
  <c r="N1339" i="43"/>
  <c r="N932" i="43"/>
  <c r="N1132" i="43"/>
  <c r="N1161" i="43"/>
  <c r="N1146" i="43"/>
  <c r="N763" i="43"/>
  <c r="N1160" i="43"/>
  <c r="N3197" i="43"/>
  <c r="N3093" i="43"/>
  <c r="N2822" i="43"/>
  <c r="N2592" i="43"/>
  <c r="N2795" i="43"/>
  <c r="N2332" i="43"/>
  <c r="N2965" i="43"/>
  <c r="N2708" i="43"/>
  <c r="N3152" i="43"/>
  <c r="N2882" i="43"/>
  <c r="N2605" i="43"/>
  <c r="N2622" i="43"/>
  <c r="N2365" i="43"/>
  <c r="N3191" i="43"/>
  <c r="N2806" i="43"/>
  <c r="N2164" i="43"/>
  <c r="N3037" i="43"/>
  <c r="N2754" i="43"/>
  <c r="N2212" i="43"/>
  <c r="N3193" i="43"/>
  <c r="N3053" i="43"/>
  <c r="N3216" i="43"/>
  <c r="N2352" i="43"/>
  <c r="N2779" i="43"/>
  <c r="N2268" i="43"/>
  <c r="N2949" i="43"/>
  <c r="N2692" i="43"/>
  <c r="N3132" i="43"/>
  <c r="N2866" i="43"/>
  <c r="N2573" i="43"/>
  <c r="N2606" i="43"/>
  <c r="N2349" i="43"/>
  <c r="N3174" i="43"/>
  <c r="N2790" i="43"/>
  <c r="N2100" i="43"/>
  <c r="N3029" i="43"/>
  <c r="N2738" i="43"/>
  <c r="N2148" i="43"/>
  <c r="N3189" i="43"/>
  <c r="N3013" i="43"/>
  <c r="N3179" i="43"/>
  <c r="N3022" i="43"/>
  <c r="N2763" i="43"/>
  <c r="N2192" i="43"/>
  <c r="N2933" i="43"/>
  <c r="N2676" i="43"/>
  <c r="N3112" i="43"/>
  <c r="N2853" i="43"/>
  <c r="N2541" i="43"/>
  <c r="N2590" i="43"/>
  <c r="N2333" i="43"/>
  <c r="N3211" i="43"/>
  <c r="N2871" i="43"/>
  <c r="N2272" i="43"/>
  <c r="N3058" i="43"/>
  <c r="N2786" i="43"/>
  <c r="N2320" i="43"/>
  <c r="N3201" i="43"/>
  <c r="N3101" i="43"/>
  <c r="N2951" i="43"/>
  <c r="N2682" i="43"/>
  <c r="N2811" i="43"/>
  <c r="N2396" i="43"/>
  <c r="N2982" i="43"/>
  <c r="N2724" i="43"/>
  <c r="N2060" i="43"/>
  <c r="N2898" i="43"/>
  <c r="N2637" i="43"/>
  <c r="N1972" i="43"/>
  <c r="N2381" i="43"/>
  <c r="N2125" i="43"/>
  <c r="N2061" i="43"/>
  <c r="N1997" i="43"/>
  <c r="N2615" i="43"/>
  <c r="N2551" i="43"/>
  <c r="N2487" i="43"/>
  <c r="N2422" i="43"/>
  <c r="N2358" i="43"/>
  <c r="N2294" i="43"/>
  <c r="N2226" i="43"/>
  <c r="N2162" i="43"/>
  <c r="N2070" i="43"/>
  <c r="N2379" i="43"/>
  <c r="N2123" i="43"/>
  <c r="N1867" i="43"/>
  <c r="N1611" i="43"/>
  <c r="N1355" i="43"/>
  <c r="N1780" i="43"/>
  <c r="N1524" i="43"/>
  <c r="N1829" i="43"/>
  <c r="N1482" i="43"/>
  <c r="N917" i="43"/>
  <c r="N2996" i="43"/>
  <c r="N2734" i="43"/>
  <c r="N2240" i="43"/>
  <c r="N3021" i="43"/>
  <c r="N3165" i="43"/>
  <c r="N3150" i="43"/>
  <c r="N2976" i="43"/>
  <c r="N2730" i="43"/>
  <c r="N3018" i="43"/>
  <c r="N2952" i="43"/>
  <c r="N2888" i="43"/>
  <c r="N2823" i="43"/>
  <c r="N2759" i="43"/>
  <c r="N2695" i="43"/>
  <c r="N2617" i="43"/>
  <c r="N2449" i="43"/>
  <c r="N2176" i="43"/>
  <c r="N3135" i="43"/>
  <c r="N3063" i="43"/>
  <c r="N2832" i="43"/>
  <c r="N2493" i="43"/>
  <c r="N3003" i="43"/>
  <c r="N2749" i="43"/>
  <c r="N2152" i="43"/>
  <c r="N2490" i="43"/>
  <c r="N2233" i="43"/>
  <c r="N1977" i="43"/>
  <c r="N2402" i="43"/>
  <c r="N2142" i="43"/>
  <c r="N1787" i="43"/>
  <c r="N1444" i="43"/>
  <c r="N2911" i="43"/>
  <c r="N3218" i="43"/>
  <c r="N2997" i="43"/>
  <c r="N2739" i="43"/>
  <c r="N2096" i="43"/>
  <c r="N2909" i="43"/>
  <c r="N2652" i="43"/>
  <c r="N3088" i="43"/>
  <c r="N2825" i="43"/>
  <c r="N2457" i="43"/>
  <c r="N2566" i="43"/>
  <c r="N2309" i="43"/>
  <c r="N2053" i="43"/>
  <c r="N2479" i="43"/>
  <c r="N2218" i="43"/>
  <c r="N2091" i="43"/>
  <c r="N1748" i="43"/>
  <c r="N1194" i="43"/>
  <c r="N2972" i="43"/>
  <c r="N2698" i="43"/>
  <c r="N2815" i="43"/>
  <c r="N2412" i="43"/>
  <c r="N2986" i="43"/>
  <c r="N2728" i="43"/>
  <c r="N2076" i="43"/>
  <c r="N2902" i="43"/>
  <c r="N2640" i="43"/>
  <c r="N1976" i="43"/>
  <c r="N2385" i="43"/>
  <c r="N2129" i="43"/>
  <c r="N2555" i="43"/>
  <c r="N2298" i="43"/>
  <c r="N2395" i="43"/>
  <c r="N1371" i="43"/>
  <c r="N1546" i="43"/>
  <c r="N2516" i="43"/>
  <c r="N2263" i="43"/>
  <c r="N2007" i="43"/>
  <c r="N1751" i="43"/>
  <c r="N1495" i="43"/>
  <c r="N1920" i="43"/>
  <c r="N1664" i="43"/>
  <c r="N1408" i="43"/>
  <c r="N1365" i="43"/>
  <c r="N801" i="43"/>
  <c r="N362" i="43"/>
  <c r="N2419" i="43"/>
  <c r="N2163" i="43"/>
  <c r="N1907" i="43"/>
  <c r="N1651" i="43"/>
  <c r="N1395" i="43"/>
  <c r="N1820" i="43"/>
  <c r="N1564" i="43"/>
  <c r="N1223" i="43"/>
  <c r="N1642" i="43"/>
  <c r="N1249" i="43"/>
  <c r="N2026" i="43"/>
  <c r="N2335" i="43"/>
  <c r="N2079" i="43"/>
  <c r="N1823" i="43"/>
  <c r="N1567" i="43"/>
  <c r="N1227" i="43"/>
  <c r="N1736" i="43"/>
  <c r="N1480" i="43"/>
  <c r="N1653" i="43"/>
  <c r="N1199" i="43"/>
  <c r="N1002" i="43"/>
  <c r="N1825" i="43"/>
  <c r="N1569" i="43"/>
  <c r="N1235" i="43"/>
  <c r="N1734" i="43"/>
  <c r="N1478" i="43"/>
  <c r="N1075" i="43"/>
  <c r="N640" i="43"/>
  <c r="N852" i="43"/>
  <c r="N901" i="43"/>
  <c r="N605" i="43"/>
  <c r="N1191" i="43"/>
  <c r="N1725" i="43"/>
  <c r="N1469" i="43"/>
  <c r="N1890" i="43"/>
  <c r="N1634" i="43"/>
  <c r="N1378" i="43"/>
  <c r="N975" i="43"/>
  <c r="N1204" i="43"/>
  <c r="N1233" i="43"/>
  <c r="N1266" i="43"/>
  <c r="N907" i="43"/>
  <c r="N1881" i="43"/>
  <c r="N1625" i="43"/>
  <c r="N1369" i="43"/>
  <c r="N1790" i="43"/>
  <c r="N1534" i="43"/>
  <c r="N1131" i="43"/>
  <c r="N809" i="43"/>
  <c r="N1004" i="43"/>
  <c r="N1033" i="43"/>
  <c r="N832" i="43"/>
  <c r="N426" i="43"/>
  <c r="N1096" i="43"/>
  <c r="N3134" i="43"/>
  <c r="N2742" i="43"/>
  <c r="N3200" i="43"/>
  <c r="N3000" i="43"/>
  <c r="N2706" i="43"/>
  <c r="N3199" i="43"/>
  <c r="N3176" i="43"/>
  <c r="N2879" i="43"/>
  <c r="N3206" i="43"/>
  <c r="N2989" i="43"/>
  <c r="N2731" i="43"/>
  <c r="N2064" i="43"/>
  <c r="N2901" i="43"/>
  <c r="N2646" i="43"/>
  <c r="N3080" i="43"/>
  <c r="N2817" i="43"/>
  <c r="N2420" i="43"/>
  <c r="N2558" i="43"/>
  <c r="N2301" i="43"/>
  <c r="N3118" i="43"/>
  <c r="N2726" i="43"/>
  <c r="N3192" i="43"/>
  <c r="N2984" i="43"/>
  <c r="N2690" i="43"/>
  <c r="N3182" i="43"/>
  <c r="N3170" i="43"/>
  <c r="N2814" i="43"/>
  <c r="N3186" i="43"/>
  <c r="N2973" i="43"/>
  <c r="N2715" i="43"/>
  <c r="N3155" i="43"/>
  <c r="N2885" i="43"/>
  <c r="N2612" i="43"/>
  <c r="N3064" i="43"/>
  <c r="N2801" i="43"/>
  <c r="N2356" i="43"/>
  <c r="N2542" i="43"/>
  <c r="N2285" i="43"/>
  <c r="N3089" i="43"/>
  <c r="N2710" i="43"/>
  <c r="N3175" i="43"/>
  <c r="N2963" i="43"/>
  <c r="N2674" i="43"/>
  <c r="N3106" i="43"/>
  <c r="N3166" i="43"/>
  <c r="N2750" i="43"/>
  <c r="N3161" i="43"/>
  <c r="N2956" i="43"/>
  <c r="N2699" i="43"/>
  <c r="N3139" i="43"/>
  <c r="N2869" i="43"/>
  <c r="N2580" i="43"/>
  <c r="N3040" i="43"/>
  <c r="N2785" i="43"/>
  <c r="N2292" i="43"/>
  <c r="N2526" i="43"/>
  <c r="N2269" i="43"/>
  <c r="N3153" i="43"/>
  <c r="N2758" i="43"/>
  <c r="N3208" i="43"/>
  <c r="N3017" i="43"/>
  <c r="N2722" i="43"/>
  <c r="N2084" i="43"/>
  <c r="N3184" i="43"/>
  <c r="N2943" i="43"/>
  <c r="N3098" i="43"/>
  <c r="N2747" i="43"/>
  <c r="N2128" i="43"/>
  <c r="N2917" i="43"/>
  <c r="N2660" i="43"/>
  <c r="N3096" i="43"/>
  <c r="N2837" i="43"/>
  <c r="N2489" i="43"/>
  <c r="N2574" i="43"/>
  <c r="N2317" i="43"/>
  <c r="N2109" i="43"/>
  <c r="N2045" i="43"/>
  <c r="N1981" i="43"/>
  <c r="N2599" i="43"/>
  <c r="N2535" i="43"/>
  <c r="N2471" i="43"/>
  <c r="N2406" i="43"/>
  <c r="N2342" i="43"/>
  <c r="N2278" i="43"/>
  <c r="N2210" i="43"/>
  <c r="N2146" i="43"/>
  <c r="N2006" i="43"/>
  <c r="N2315" i="43"/>
  <c r="N2059" i="43"/>
  <c r="N1803" i="43"/>
  <c r="N1547" i="43"/>
  <c r="N1147" i="43"/>
  <c r="N1716" i="43"/>
  <c r="N1460" i="43"/>
  <c r="N1573" i="43"/>
  <c r="N1079" i="43"/>
  <c r="N621" i="43"/>
  <c r="N2927" i="43"/>
  <c r="N2670" i="43"/>
  <c r="N3232" i="43"/>
  <c r="N2919" i="43"/>
  <c r="N3227" i="43"/>
  <c r="N3102" i="43"/>
  <c r="N2907" i="43"/>
  <c r="N2666" i="43"/>
  <c r="N3001" i="43"/>
  <c r="N2936" i="43"/>
  <c r="N2872" i="43"/>
  <c r="N2807" i="43"/>
  <c r="N2743" i="43"/>
  <c r="N2679" i="43"/>
  <c r="N2585" i="43"/>
  <c r="N2380" i="43"/>
  <c r="N2112" i="43"/>
  <c r="N3119" i="43"/>
  <c r="N3027" i="43"/>
  <c r="N2768" i="43"/>
  <c r="N2236" i="43"/>
  <c r="N2942" i="43"/>
  <c r="N2685" i="43"/>
  <c r="N2016" i="43"/>
  <c r="N2425" i="43"/>
  <c r="N2169" i="43"/>
  <c r="N2595" i="43"/>
  <c r="N2338" i="43"/>
  <c r="N1990" i="43"/>
  <c r="N1531" i="43"/>
  <c r="N1509" i="43"/>
  <c r="N2654" i="43"/>
  <c r="N3094" i="43"/>
  <c r="N2932" i="43"/>
  <c r="N2675" i="43"/>
  <c r="N3115" i="43"/>
  <c r="N2844" i="43"/>
  <c r="N2532" i="43"/>
  <c r="N3016" i="43"/>
  <c r="N2761" i="43"/>
  <c r="N2200" i="43"/>
  <c r="N2502" i="43"/>
  <c r="N2245" i="43"/>
  <c r="N1989" i="43"/>
  <c r="N2414" i="43"/>
  <c r="N2154" i="43"/>
  <c r="N1835" i="43"/>
  <c r="N1492" i="43"/>
  <c r="N2959" i="43"/>
  <c r="N3137" i="43"/>
  <c r="N3010" i="43"/>
  <c r="N2751" i="43"/>
  <c r="N2144" i="43"/>
  <c r="N2921" i="43"/>
  <c r="N2664" i="43"/>
  <c r="N3100" i="43"/>
  <c r="N2841" i="43"/>
  <c r="N2505" i="43"/>
  <c r="N2578" i="43"/>
  <c r="N2321" i="43"/>
  <c r="N2065" i="43"/>
  <c r="N2491" i="43"/>
  <c r="N2230" i="43"/>
  <c r="N2139" i="43"/>
  <c r="N1796" i="43"/>
  <c r="N1057" i="43"/>
  <c r="N2452" i="43"/>
  <c r="N2199" i="43"/>
  <c r="N1943" i="43"/>
  <c r="N1687" i="43"/>
  <c r="N1431" i="43"/>
  <c r="N1856" i="43"/>
  <c r="N1600" i="43"/>
  <c r="N1344" i="43"/>
  <c r="N1786" i="43"/>
  <c r="N996" i="43"/>
  <c r="N2046" i="43"/>
  <c r="N2355" i="43"/>
  <c r="N2099" i="43"/>
  <c r="N1843" i="43"/>
  <c r="N1587" i="43"/>
  <c r="N1307" i="43"/>
  <c r="N1756" i="43"/>
  <c r="N1500" i="43"/>
  <c r="N1733" i="43"/>
  <c r="N1386" i="43"/>
  <c r="N1282" i="43"/>
  <c r="N2524" i="43"/>
  <c r="N2271" i="43"/>
  <c r="N2015" i="43"/>
  <c r="N1759" i="43"/>
  <c r="N1503" i="43"/>
  <c r="N1928" i="43"/>
  <c r="N1672" i="43"/>
  <c r="N1416" i="43"/>
  <c r="N1397" i="43"/>
  <c r="N865" i="43"/>
  <c r="N529" i="43"/>
  <c r="N1761" i="43"/>
  <c r="N1505" i="43"/>
  <c r="N1926" i="43"/>
  <c r="N1670" i="43"/>
  <c r="N1414" i="43"/>
  <c r="N1011" i="43"/>
  <c r="N1276" i="43"/>
  <c r="N1305" i="43"/>
  <c r="N1338" i="43"/>
  <c r="N686" i="43"/>
  <c r="N1917" i="43"/>
  <c r="N1661" i="43"/>
  <c r="N1405" i="43"/>
  <c r="N1826" i="43"/>
  <c r="N1570" i="43"/>
  <c r="N1231" i="43"/>
  <c r="N881" i="43"/>
  <c r="N1076" i="43"/>
  <c r="N1105" i="43"/>
  <c r="N1034" i="43"/>
  <c r="N651" i="43"/>
  <c r="N1817" i="43"/>
  <c r="N1561" i="43"/>
  <c r="N1203" i="43"/>
  <c r="N1726" i="43"/>
  <c r="N1470" i="43"/>
  <c r="N1067" i="43"/>
  <c r="N608" i="43"/>
  <c r="N820" i="43"/>
  <c r="N869" i="43"/>
  <c r="N910" i="43"/>
  <c r="N1288" i="43"/>
  <c r="K2" i="43"/>
  <c r="Q2" i="43"/>
  <c r="P2" i="43"/>
  <c r="M2" i="43"/>
  <c r="L2" i="43"/>
  <c r="O2" i="43"/>
  <c r="R2" i="43"/>
  <c r="N2" i="43"/>
  <c r="S4142" i="43" l="1"/>
  <c r="S4141" i="43"/>
  <c r="S4140" i="43"/>
  <c r="S4135" i="43"/>
  <c r="S4139" i="43"/>
  <c r="H197" i="11" s="1"/>
  <c r="I197" i="11" s="1"/>
  <c r="T50" i="11" s="1"/>
  <c r="F32" i="6" s="1"/>
  <c r="S4136" i="43"/>
  <c r="S4138" i="43"/>
  <c r="H186" i="11" s="1"/>
  <c r="I186" i="11" s="1"/>
  <c r="S4137" i="43"/>
  <c r="S4134" i="43"/>
  <c r="S4133" i="43"/>
  <c r="S4132" i="43"/>
  <c r="S4131" i="43"/>
  <c r="S4130" i="43"/>
  <c r="S4129" i="43"/>
  <c r="S4128" i="43"/>
  <c r="S4126" i="43"/>
  <c r="S4125" i="43"/>
  <c r="S4127" i="43"/>
  <c r="S4124" i="43"/>
  <c r="S4123" i="43"/>
  <c r="S4122" i="43"/>
  <c r="S4120" i="43"/>
  <c r="S4121" i="43"/>
  <c r="S4118" i="43"/>
  <c r="S4108" i="43"/>
  <c r="S4119" i="43"/>
  <c r="S4117" i="43"/>
  <c r="S4114" i="43"/>
  <c r="S4115" i="43"/>
  <c r="S4116" i="43"/>
  <c r="S4110" i="43"/>
  <c r="S4113" i="43"/>
  <c r="S4112" i="43"/>
  <c r="S4111" i="43"/>
  <c r="S4109" i="43"/>
  <c r="S4107" i="43"/>
  <c r="S4106" i="43"/>
  <c r="S4104" i="43"/>
  <c r="S4105" i="43"/>
  <c r="S4102" i="43"/>
  <c r="S4099" i="43"/>
  <c r="S4103" i="43"/>
  <c r="S4097" i="43"/>
  <c r="S4101" i="43"/>
  <c r="S4100" i="43"/>
  <c r="S4096" i="43"/>
  <c r="S4098" i="43"/>
  <c r="S4095" i="43"/>
  <c r="S4094" i="43"/>
  <c r="S4093" i="43"/>
  <c r="S4091" i="43"/>
  <c r="S4092" i="43"/>
  <c r="S4090" i="43"/>
  <c r="S4089" i="43"/>
  <c r="S4088" i="43"/>
  <c r="S4087" i="43"/>
  <c r="S4086" i="43"/>
  <c r="S4085" i="43"/>
  <c r="S4084" i="43"/>
  <c r="S4081" i="43"/>
  <c r="S4082" i="43"/>
  <c r="S4074" i="43"/>
  <c r="S4077" i="43"/>
  <c r="S4083" i="43"/>
  <c r="S4080" i="43"/>
  <c r="S4078" i="43"/>
  <c r="S4076" i="43"/>
  <c r="S4079" i="43"/>
  <c r="S4075" i="43"/>
  <c r="S4073" i="43"/>
  <c r="S4071" i="43"/>
  <c r="S4072" i="43"/>
  <c r="S4070" i="43"/>
  <c r="S4069" i="43"/>
  <c r="S4068" i="43"/>
  <c r="S4067" i="43"/>
  <c r="S4066" i="43"/>
  <c r="S4065" i="43"/>
  <c r="S4063" i="43"/>
  <c r="S4064" i="43"/>
  <c r="S4062" i="43"/>
  <c r="S4061" i="43"/>
  <c r="S4060" i="43"/>
  <c r="S4059" i="43"/>
  <c r="S4056" i="43"/>
  <c r="S4058" i="43"/>
  <c r="S4057" i="43"/>
  <c r="S4054" i="43"/>
  <c r="S4055" i="43"/>
  <c r="S4052" i="43"/>
  <c r="S4053" i="43"/>
  <c r="S4049" i="43"/>
  <c r="S4051" i="43"/>
  <c r="S4047" i="43"/>
  <c r="S4048" i="43"/>
  <c r="S4050" i="43"/>
  <c r="S4046" i="43"/>
  <c r="S4044" i="43"/>
  <c r="S4045" i="43"/>
  <c r="S4043" i="43"/>
  <c r="S4041" i="43"/>
  <c r="S4039" i="43"/>
  <c r="S4042" i="43"/>
  <c r="S4040" i="43"/>
  <c r="S4033" i="43"/>
  <c r="S4037" i="43"/>
  <c r="S4035" i="43"/>
  <c r="S4038" i="43"/>
  <c r="S4036" i="43"/>
  <c r="S4034" i="43"/>
  <c r="S4032" i="43"/>
  <c r="S4031" i="43"/>
  <c r="S4030" i="43"/>
  <c r="S4029" i="43"/>
  <c r="S4028" i="43"/>
  <c r="S4022" i="43"/>
  <c r="S4027" i="43"/>
  <c r="S4026" i="43"/>
  <c r="S4025" i="43"/>
  <c r="S4024" i="43"/>
  <c r="S4023" i="43"/>
  <c r="S4021" i="43"/>
  <c r="S4020" i="43"/>
  <c r="S4019" i="43"/>
  <c r="S4018" i="43"/>
  <c r="S4017" i="43"/>
  <c r="S4013" i="43"/>
  <c r="S4016" i="43"/>
  <c r="S4015" i="43"/>
  <c r="S4014" i="43"/>
  <c r="S4012" i="43"/>
  <c r="S4011" i="43"/>
  <c r="S4010" i="43"/>
  <c r="S4009" i="43"/>
  <c r="S4007" i="43"/>
  <c r="S4008" i="43"/>
  <c r="S4006" i="43"/>
  <c r="S4004" i="43"/>
  <c r="S4005" i="43"/>
  <c r="S4002" i="43"/>
  <c r="S4003" i="43"/>
  <c r="S4001" i="43"/>
  <c r="S4000" i="43"/>
  <c r="S3999" i="43"/>
  <c r="S3997" i="43"/>
  <c r="S3998" i="43"/>
  <c r="S3995" i="43"/>
  <c r="S3996" i="43"/>
  <c r="S3991" i="43"/>
  <c r="S3994" i="43"/>
  <c r="S3990" i="43"/>
  <c r="S3992" i="43"/>
  <c r="S3993" i="43"/>
  <c r="S3989" i="43"/>
  <c r="S3988" i="43"/>
  <c r="S3982" i="43"/>
  <c r="S3987" i="43"/>
  <c r="S3986" i="43"/>
  <c r="S3985" i="43"/>
  <c r="S3983" i="43"/>
  <c r="S3984" i="43"/>
  <c r="S3981" i="43"/>
  <c r="S3980" i="43"/>
  <c r="S3979" i="43"/>
  <c r="S3978" i="43"/>
  <c r="S3977" i="43"/>
  <c r="S3976" i="43"/>
  <c r="S3975" i="43"/>
  <c r="S3971" i="43"/>
  <c r="S3974" i="43"/>
  <c r="S3973" i="43"/>
  <c r="S3972" i="43"/>
  <c r="S3970" i="43"/>
  <c r="S3969" i="43"/>
  <c r="S3968" i="43"/>
  <c r="S3967" i="43"/>
  <c r="S3963" i="43"/>
  <c r="S3966" i="43"/>
  <c r="S3965" i="43"/>
  <c r="S3964" i="43"/>
  <c r="S3962" i="43"/>
  <c r="S3960" i="43"/>
  <c r="S3961" i="43"/>
  <c r="S3959" i="43"/>
  <c r="S3958" i="43"/>
  <c r="S3957" i="43"/>
  <c r="S3956" i="43"/>
  <c r="S3955" i="43"/>
  <c r="S3953" i="43"/>
  <c r="S3954" i="43"/>
  <c r="S3952" i="43"/>
  <c r="S3950" i="43"/>
  <c r="S3948" i="43"/>
  <c r="S3951" i="43"/>
  <c r="S3949" i="43"/>
  <c r="S3947" i="43"/>
  <c r="S3945" i="43"/>
  <c r="S3944" i="43"/>
  <c r="S3946" i="43"/>
  <c r="S3943" i="43"/>
  <c r="S3941" i="43"/>
  <c r="S3942" i="43"/>
  <c r="S3940" i="43"/>
  <c r="S3939" i="43"/>
  <c r="S3936" i="43"/>
  <c r="S3934" i="43"/>
  <c r="S3935" i="43"/>
  <c r="S3938" i="43"/>
  <c r="S3937" i="43"/>
  <c r="S3933" i="43"/>
  <c r="S3932" i="43"/>
  <c r="S3930" i="43"/>
  <c r="S3931" i="43"/>
  <c r="S3928" i="43"/>
  <c r="S3929" i="43"/>
  <c r="S3927" i="43"/>
  <c r="S3918" i="43"/>
  <c r="S3926" i="43"/>
  <c r="S3923" i="43"/>
  <c r="S3925" i="43"/>
  <c r="S3924" i="43"/>
  <c r="S3922" i="43"/>
  <c r="S3921" i="43"/>
  <c r="S3920" i="43"/>
  <c r="S3919" i="43"/>
  <c r="S3917" i="43"/>
  <c r="S3916" i="43"/>
  <c r="S3915" i="43"/>
  <c r="S3914" i="43"/>
  <c r="S3913" i="43"/>
  <c r="S3912" i="43"/>
  <c r="S3911" i="43"/>
  <c r="S3908" i="43"/>
  <c r="S3910" i="43"/>
  <c r="S3909" i="43"/>
  <c r="S3907" i="43"/>
  <c r="S3906" i="43"/>
  <c r="S3905" i="43"/>
  <c r="S3903" i="43"/>
  <c r="S3904" i="43"/>
  <c r="S3901" i="43"/>
  <c r="S3902" i="43"/>
  <c r="S3900" i="43"/>
  <c r="S3899" i="43"/>
  <c r="S3898" i="43"/>
  <c r="S3897" i="43"/>
  <c r="S3885" i="43"/>
  <c r="S3891" i="43"/>
  <c r="S3894" i="43"/>
  <c r="S3896" i="43"/>
  <c r="S3895" i="43"/>
  <c r="S3887" i="43"/>
  <c r="S3892" i="43"/>
  <c r="S3893" i="43"/>
  <c r="S3890" i="43"/>
  <c r="S3889" i="43"/>
  <c r="S3888" i="43"/>
  <c r="S3886" i="43"/>
  <c r="S3884" i="43"/>
  <c r="S3883" i="43"/>
  <c r="S3882" i="43"/>
  <c r="S3881" i="43"/>
  <c r="S3880" i="43"/>
  <c r="S3879" i="43"/>
  <c r="S3878" i="43"/>
  <c r="S3877" i="43"/>
  <c r="S3876" i="43"/>
  <c r="S3875" i="43"/>
  <c r="S3873" i="43"/>
  <c r="S3874" i="43"/>
  <c r="S3867" i="43"/>
  <c r="S3872" i="43"/>
  <c r="S3869" i="43"/>
  <c r="S3871" i="43"/>
  <c r="S3870" i="43"/>
  <c r="S3868" i="43"/>
  <c r="S3866" i="43"/>
  <c r="S3864" i="43"/>
  <c r="S3865" i="43"/>
  <c r="S3863" i="43"/>
  <c r="S3862" i="43"/>
  <c r="S3861" i="43"/>
  <c r="S3859" i="43"/>
  <c r="S3860" i="43"/>
  <c r="S3857" i="43"/>
  <c r="S3858" i="43"/>
  <c r="S3856" i="43"/>
  <c r="S3855" i="43"/>
  <c r="S3853" i="43"/>
  <c r="S3854" i="43"/>
  <c r="S3851" i="43"/>
  <c r="S3852" i="43"/>
  <c r="S3850" i="43"/>
  <c r="S3849" i="43"/>
  <c r="S3848" i="43"/>
  <c r="S3847" i="43"/>
  <c r="S3846" i="43"/>
  <c r="S3845" i="43"/>
  <c r="S3843" i="43"/>
  <c r="S3844" i="43"/>
  <c r="S3842" i="43"/>
  <c r="S3838" i="43"/>
  <c r="S3841" i="43"/>
  <c r="S3840" i="43"/>
  <c r="S3837" i="43"/>
  <c r="S3839" i="43"/>
  <c r="S3836" i="43"/>
  <c r="S3835" i="43"/>
  <c r="S3834" i="43"/>
  <c r="S3833" i="43"/>
  <c r="S3832" i="43"/>
  <c r="S3830" i="43"/>
  <c r="S3831" i="43"/>
  <c r="S3829" i="43"/>
  <c r="S3828" i="43"/>
  <c r="S3826" i="43"/>
  <c r="S3827" i="43"/>
  <c r="S3824" i="43"/>
  <c r="S3825" i="43"/>
  <c r="S3823" i="43"/>
  <c r="S3822" i="43"/>
  <c r="S3821" i="43"/>
  <c r="S3820" i="43"/>
  <c r="S3819" i="43"/>
  <c r="S3815" i="43"/>
  <c r="S3813" i="43"/>
  <c r="S3817" i="43"/>
  <c r="S3818" i="43"/>
  <c r="S3814" i="43"/>
  <c r="S3816" i="43"/>
  <c r="S3812" i="43"/>
  <c r="S3811" i="43"/>
  <c r="S3810" i="43"/>
  <c r="S3809" i="43"/>
  <c r="S3808" i="43"/>
  <c r="S3807" i="43"/>
  <c r="S3806" i="43"/>
  <c r="S3803" i="43"/>
  <c r="S3805" i="43"/>
  <c r="S3804" i="43"/>
  <c r="S3802" i="43"/>
  <c r="S3801" i="43"/>
  <c r="S3795" i="43"/>
  <c r="S3799" i="43"/>
  <c r="S3800" i="43"/>
  <c r="S3797" i="43"/>
  <c r="S3798" i="43"/>
  <c r="S3796" i="43"/>
  <c r="S3791" i="43"/>
  <c r="S3794" i="43"/>
  <c r="S3792" i="43"/>
  <c r="S3793" i="43"/>
  <c r="S3790" i="43"/>
  <c r="S3789" i="43"/>
  <c r="S3788" i="43"/>
  <c r="S3787" i="43"/>
  <c r="S3786" i="43"/>
  <c r="S3785" i="43"/>
  <c r="S3784" i="43"/>
  <c r="S3783" i="43"/>
  <c r="S3782" i="43"/>
  <c r="S3781" i="43"/>
  <c r="S3780" i="43"/>
  <c r="S3779" i="43"/>
  <c r="S3777" i="43"/>
  <c r="S3778" i="43"/>
  <c r="S3774" i="43"/>
  <c r="S3776" i="43"/>
  <c r="S3775" i="43"/>
  <c r="S3772" i="43"/>
  <c r="S3773" i="43"/>
  <c r="S3770" i="43"/>
  <c r="S3767" i="43"/>
  <c r="S3771" i="43"/>
  <c r="S3768" i="43"/>
  <c r="S3769" i="43"/>
  <c r="S3765" i="43"/>
  <c r="S3766" i="43"/>
  <c r="S3764" i="43"/>
  <c r="S3763" i="43"/>
  <c r="S3762" i="43"/>
  <c r="S3757" i="43"/>
  <c r="S3760" i="43"/>
  <c r="S3758" i="43"/>
  <c r="S3761" i="43"/>
  <c r="S3759" i="43"/>
  <c r="S3753" i="43"/>
  <c r="S3756" i="43"/>
  <c r="S3755" i="43"/>
  <c r="S3751" i="43"/>
  <c r="S3754" i="43"/>
  <c r="S3752" i="43"/>
  <c r="S3750" i="43"/>
  <c r="S3748" i="43"/>
  <c r="S3749" i="43"/>
  <c r="S3747" i="43"/>
  <c r="S3746" i="43"/>
  <c r="S3745" i="43"/>
  <c r="S3744" i="43"/>
  <c r="S3743" i="43"/>
  <c r="S3742" i="43"/>
  <c r="S3741" i="43"/>
  <c r="S3740" i="43"/>
  <c r="S3739" i="43"/>
  <c r="S3738" i="43"/>
  <c r="S3737" i="43"/>
  <c r="S3735" i="43"/>
  <c r="S3736" i="43"/>
  <c r="S3734" i="43"/>
  <c r="S3733" i="43"/>
  <c r="S3732" i="43"/>
  <c r="S3731" i="43"/>
  <c r="S3730" i="43"/>
  <c r="S3729" i="43"/>
  <c r="S3728" i="43"/>
  <c r="S3727" i="43"/>
  <c r="S3726" i="43"/>
  <c r="S3724" i="43"/>
  <c r="S3725" i="43"/>
  <c r="S3723" i="43"/>
  <c r="S3721" i="43"/>
  <c r="S3722" i="43"/>
  <c r="S3720" i="43"/>
  <c r="S3716" i="43"/>
  <c r="S3708" i="43"/>
  <c r="S3719" i="43"/>
  <c r="S3718" i="43"/>
  <c r="S3715" i="43"/>
  <c r="S3717" i="43"/>
  <c r="S3713" i="43"/>
  <c r="S3714" i="43"/>
  <c r="S3712" i="43"/>
  <c r="S3711" i="43"/>
  <c r="S3710" i="43"/>
  <c r="S3707" i="43"/>
  <c r="S3709" i="43"/>
  <c r="S3703" i="43"/>
  <c r="S3701" i="43"/>
  <c r="S3702" i="43"/>
  <c r="S3700" i="43"/>
  <c r="S3706" i="43"/>
  <c r="S3704" i="43"/>
  <c r="S3705" i="43"/>
  <c r="S3699" i="43"/>
  <c r="S3697" i="43"/>
  <c r="S3698" i="43"/>
  <c r="S3689" i="43"/>
  <c r="S3696" i="43"/>
  <c r="S3695" i="43"/>
  <c r="H162" i="11" s="1"/>
  <c r="I162" i="11" s="1"/>
  <c r="S3694" i="43"/>
  <c r="S3692" i="43"/>
  <c r="S3688" i="43"/>
  <c r="S3691" i="43"/>
  <c r="S3693" i="43"/>
  <c r="S3690" i="43"/>
  <c r="S3687" i="43"/>
  <c r="S3686" i="43"/>
  <c r="S3685" i="43"/>
  <c r="S3683" i="43"/>
  <c r="S3684" i="43"/>
  <c r="S3679" i="43"/>
  <c r="S3680" i="43"/>
  <c r="S3678" i="43"/>
  <c r="S3682" i="43"/>
  <c r="S3673" i="43"/>
  <c r="S3681" i="43"/>
  <c r="S3677" i="43"/>
  <c r="S3668" i="43"/>
  <c r="S3669" i="43"/>
  <c r="S3670" i="43"/>
  <c r="S3658" i="43"/>
  <c r="S3676" i="43"/>
  <c r="S3648" i="43"/>
  <c r="S3674" i="43"/>
  <c r="S3675" i="43"/>
  <c r="S3672" i="43"/>
  <c r="S3671" i="43"/>
  <c r="S3649" i="43"/>
  <c r="S3650" i="43"/>
  <c r="S3664" i="43"/>
  <c r="S3665" i="43"/>
  <c r="S3666" i="43"/>
  <c r="S3667" i="43"/>
  <c r="S3663" i="43"/>
  <c r="S3652" i="43"/>
  <c r="S3657" i="43"/>
  <c r="S3661" i="43"/>
  <c r="S3662" i="43"/>
  <c r="S3654" i="43"/>
  <c r="S3659" i="43"/>
  <c r="S3660" i="43"/>
  <c r="S3651" i="43"/>
  <c r="S3655" i="43"/>
  <c r="S3656" i="43"/>
  <c r="S3653" i="43"/>
  <c r="S3647" i="43"/>
  <c r="S3646" i="43"/>
  <c r="S3645" i="43"/>
  <c r="S3643" i="43"/>
  <c r="S3642" i="43"/>
  <c r="S3644" i="43"/>
  <c r="S3641" i="43"/>
  <c r="S3638" i="43"/>
  <c r="S3639" i="43"/>
  <c r="S3633" i="43"/>
  <c r="S3640" i="43"/>
  <c r="S3635" i="43"/>
  <c r="S3636" i="43"/>
  <c r="S3637" i="43"/>
  <c r="S3627" i="43"/>
  <c r="S3631" i="43"/>
  <c r="S3632" i="43"/>
  <c r="S3634" i="43"/>
  <c r="S3630" i="43"/>
  <c r="S3629" i="43"/>
  <c r="S3628" i="43"/>
  <c r="S3619" i="43"/>
  <c r="S3626" i="43"/>
  <c r="S3618" i="43"/>
  <c r="S3625" i="43"/>
  <c r="S3624" i="43"/>
  <c r="S3612" i="43"/>
  <c r="S3623" i="43"/>
  <c r="S3615" i="43"/>
  <c r="S3621" i="43"/>
  <c r="S3622" i="43"/>
  <c r="S3620" i="43"/>
  <c r="S3617" i="43"/>
  <c r="S3616" i="43"/>
  <c r="S3614" i="43"/>
  <c r="S3613" i="43"/>
  <c r="S3611" i="43"/>
  <c r="S3610" i="43"/>
  <c r="S3607" i="43"/>
  <c r="S3609" i="43"/>
  <c r="S3606" i="43"/>
  <c r="S3608" i="43"/>
  <c r="S3605" i="43"/>
  <c r="S3600" i="43"/>
  <c r="S3604" i="43"/>
  <c r="S3601" i="43"/>
  <c r="S3603" i="43"/>
  <c r="S3602" i="43"/>
  <c r="S3597" i="43"/>
  <c r="S3599" i="43"/>
  <c r="S3598" i="43"/>
  <c r="S3596" i="43"/>
  <c r="S3595" i="43"/>
  <c r="S3594" i="43"/>
  <c r="S3589" i="43"/>
  <c r="S3593" i="43"/>
  <c r="S3592" i="43"/>
  <c r="S3591" i="43"/>
  <c r="S3590" i="43"/>
  <c r="S3588" i="43"/>
  <c r="S3586" i="43"/>
  <c r="S3587" i="43"/>
  <c r="S3585" i="43"/>
  <c r="S3584" i="43"/>
  <c r="S3582" i="43"/>
  <c r="S3583" i="43"/>
  <c r="S3580" i="43"/>
  <c r="S3581" i="43"/>
  <c r="S3579" i="43"/>
  <c r="S3578" i="43"/>
  <c r="S3577" i="43"/>
  <c r="S3574" i="43"/>
  <c r="S3576" i="43"/>
  <c r="S3575" i="43"/>
  <c r="S3573" i="43"/>
  <c r="S3572" i="43"/>
  <c r="S3570" i="43"/>
  <c r="S3571" i="43"/>
  <c r="S3569" i="43"/>
  <c r="S3568" i="43"/>
  <c r="S3567" i="43"/>
  <c r="S3565" i="43"/>
  <c r="S3566" i="43"/>
  <c r="S3563" i="43"/>
  <c r="S3564" i="43"/>
  <c r="S3561" i="43"/>
  <c r="S3562" i="43"/>
  <c r="S3559" i="43"/>
  <c r="S3560" i="43"/>
  <c r="S3558" i="43"/>
  <c r="S3556" i="43"/>
  <c r="S3557" i="43"/>
  <c r="S3555" i="43"/>
  <c r="S3554" i="43"/>
  <c r="S3553" i="43"/>
  <c r="S3549" i="43"/>
  <c r="S3552" i="43"/>
  <c r="S3550" i="43"/>
  <c r="S3551" i="43"/>
  <c r="S3548" i="43"/>
  <c r="S3542" i="43"/>
  <c r="S3544" i="43"/>
  <c r="S3543" i="43"/>
  <c r="S3547" i="43"/>
  <c r="S3546" i="43"/>
  <c r="S3545" i="43"/>
  <c r="S3538" i="43"/>
  <c r="S3539" i="43"/>
  <c r="H128" i="11" s="1"/>
  <c r="I128" i="11" s="1"/>
  <c r="S3541" i="43"/>
  <c r="S3540" i="43"/>
  <c r="S3537" i="43"/>
  <c r="S3535" i="43"/>
  <c r="S3536" i="43"/>
  <c r="S3534" i="43"/>
  <c r="S3531" i="43"/>
  <c r="S3532" i="43"/>
  <c r="S3533" i="43"/>
  <c r="S3530" i="43"/>
  <c r="S3526" i="43"/>
  <c r="S3528" i="43"/>
  <c r="S3525" i="43"/>
  <c r="S3527" i="43"/>
  <c r="S3523" i="43"/>
  <c r="H185" i="11" s="1"/>
  <c r="I185" i="11" s="1"/>
  <c r="S3529" i="43"/>
  <c r="S3524" i="43"/>
  <c r="S3522" i="43"/>
  <c r="S3521" i="43"/>
  <c r="S3519" i="43"/>
  <c r="S3520" i="43"/>
  <c r="S3517" i="43"/>
  <c r="S3507" i="43"/>
  <c r="S3477" i="43"/>
  <c r="S3508" i="43"/>
  <c r="S3518" i="43"/>
  <c r="S3516" i="43"/>
  <c r="S3515" i="43"/>
  <c r="S3514" i="43"/>
  <c r="S3512" i="43"/>
  <c r="S3511" i="43"/>
  <c r="S3513" i="43"/>
  <c r="S3510" i="43"/>
  <c r="S3509" i="43"/>
  <c r="S3506" i="43"/>
  <c r="S3505" i="43"/>
  <c r="S3503" i="43"/>
  <c r="S3504" i="43"/>
  <c r="S3497" i="43"/>
  <c r="S3502" i="43"/>
  <c r="S3499" i="43"/>
  <c r="S3501" i="43"/>
  <c r="S3500" i="43"/>
  <c r="S3496" i="43"/>
  <c r="S3491" i="43"/>
  <c r="S3498" i="43"/>
  <c r="S3481" i="43"/>
  <c r="S3484" i="43"/>
  <c r="S3495" i="43"/>
  <c r="S3493" i="43"/>
  <c r="S3494" i="43"/>
  <c r="S3489" i="43"/>
  <c r="S3482" i="43"/>
  <c r="S3488" i="43"/>
  <c r="S3492" i="43"/>
  <c r="S3479" i="43"/>
  <c r="S3480" i="43"/>
  <c r="S3483" i="43"/>
  <c r="S3490" i="43"/>
  <c r="S3485" i="43"/>
  <c r="S3486" i="43"/>
  <c r="S3487" i="43"/>
  <c r="S3478" i="43"/>
  <c r="S3476" i="43"/>
  <c r="S3475" i="43"/>
  <c r="S3474" i="43"/>
  <c r="S3473" i="43"/>
  <c r="S3465" i="43"/>
  <c r="S3472" i="43"/>
  <c r="S3468" i="43"/>
  <c r="S3470" i="43"/>
  <c r="S3458" i="43"/>
  <c r="S3469" i="43"/>
  <c r="S3467" i="43"/>
  <c r="S3471" i="43"/>
  <c r="S3464" i="43"/>
  <c r="S3466" i="43"/>
  <c r="S3462" i="43"/>
  <c r="S3461" i="43"/>
  <c r="S3463" i="43"/>
  <c r="S3460" i="43"/>
  <c r="S3459" i="43"/>
  <c r="S3456" i="43"/>
  <c r="S3457" i="43"/>
  <c r="S3455" i="43"/>
  <c r="S3454" i="43"/>
  <c r="S3451" i="43"/>
  <c r="S3452" i="43"/>
  <c r="S3453" i="43"/>
  <c r="S3449" i="43"/>
  <c r="S3450" i="43"/>
  <c r="S3447" i="43"/>
  <c r="S3448" i="43"/>
  <c r="S3446" i="43"/>
  <c r="S3445" i="43"/>
  <c r="S3444" i="43"/>
  <c r="S3438" i="43"/>
  <c r="S3443" i="43"/>
  <c r="S3440" i="43"/>
  <c r="S3442" i="43"/>
  <c r="S3441" i="43"/>
  <c r="S3432" i="43"/>
  <c r="S3439" i="43"/>
  <c r="S3437" i="43"/>
  <c r="S3436" i="43"/>
  <c r="S3435" i="43"/>
  <c r="S3412" i="43"/>
  <c r="S3434" i="43"/>
  <c r="S3433" i="43"/>
  <c r="S3426" i="43"/>
  <c r="S3427" i="43"/>
  <c r="S3431" i="43"/>
  <c r="S3430" i="43"/>
  <c r="S3428" i="43"/>
  <c r="S3429" i="43"/>
  <c r="S3425" i="43"/>
  <c r="S3424" i="43"/>
  <c r="S3422" i="43"/>
  <c r="S3423" i="43"/>
  <c r="S3420" i="43"/>
  <c r="S3421" i="43"/>
  <c r="S3419" i="43"/>
  <c r="S3418" i="43"/>
  <c r="S3416" i="43"/>
  <c r="S3417" i="43"/>
  <c r="S3415" i="43"/>
  <c r="S3414" i="43"/>
  <c r="S3408" i="43"/>
  <c r="S3413" i="43"/>
  <c r="S3410" i="43"/>
  <c r="S3411" i="43"/>
  <c r="S3407" i="43"/>
  <c r="S3409" i="43"/>
  <c r="S3406" i="43"/>
  <c r="S3403" i="43"/>
  <c r="S3399" i="43"/>
  <c r="S3405" i="43"/>
  <c r="S3404" i="43"/>
  <c r="S3402" i="43"/>
  <c r="S3401" i="43"/>
  <c r="S3400" i="43"/>
  <c r="S3398" i="43"/>
  <c r="S3396" i="43"/>
  <c r="S3397" i="43"/>
  <c r="S3391" i="43"/>
  <c r="S3393" i="43"/>
  <c r="S3394" i="43"/>
  <c r="S3395" i="43"/>
  <c r="S3392" i="43"/>
  <c r="S3390" i="43"/>
  <c r="S3389" i="43"/>
  <c r="S3383" i="43"/>
  <c r="S3388" i="43"/>
  <c r="S3387" i="43"/>
  <c r="S3386" i="43"/>
  <c r="S3384" i="43"/>
  <c r="S3385" i="43"/>
  <c r="S3382" i="43"/>
  <c r="S3381" i="43"/>
  <c r="S3379" i="43"/>
  <c r="S3380" i="43"/>
  <c r="S3378" i="43"/>
  <c r="S3377" i="43"/>
  <c r="S3375" i="43"/>
  <c r="S3376" i="43"/>
  <c r="S3374" i="43"/>
  <c r="S3372" i="43"/>
  <c r="S3373" i="43"/>
  <c r="S3370" i="43"/>
  <c r="S3371" i="43"/>
  <c r="S3369" i="43"/>
  <c r="S3368" i="43"/>
  <c r="S3366" i="43"/>
  <c r="S3367" i="43"/>
  <c r="S3364" i="43"/>
  <c r="S3365" i="43"/>
  <c r="S3363" i="43"/>
  <c r="S3362" i="43"/>
  <c r="S3361" i="43"/>
  <c r="S3360" i="43"/>
  <c r="S3357" i="43"/>
  <c r="S3356" i="43"/>
  <c r="S3358" i="43"/>
  <c r="S3359" i="43"/>
  <c r="S3353" i="43"/>
  <c r="S3354" i="43"/>
  <c r="S3355" i="43"/>
  <c r="S3350" i="43"/>
  <c r="S3343" i="43"/>
  <c r="S3349" i="43"/>
  <c r="S3351" i="43"/>
  <c r="S3352" i="43"/>
  <c r="S3348" i="43"/>
  <c r="S3347" i="43"/>
  <c r="S3346" i="43"/>
  <c r="S3345" i="43"/>
  <c r="S3344" i="43"/>
  <c r="S3334" i="43"/>
  <c r="S3341" i="43"/>
  <c r="S3342" i="43"/>
  <c r="S3340" i="43"/>
  <c r="S3336" i="43"/>
  <c r="S3337" i="43"/>
  <c r="S3329" i="43"/>
  <c r="S3339" i="43"/>
  <c r="S3338" i="43"/>
  <c r="S3335" i="43"/>
  <c r="S3333" i="43"/>
  <c r="S3332" i="43"/>
  <c r="S3331" i="43"/>
  <c r="S3327" i="43"/>
  <c r="S3328" i="43"/>
  <c r="S3330" i="43"/>
  <c r="S3326" i="43"/>
  <c r="S3325" i="43"/>
  <c r="S3324" i="43"/>
  <c r="S3320" i="43"/>
  <c r="S3323" i="43"/>
  <c r="S3322" i="43"/>
  <c r="S3318" i="43"/>
  <c r="S3321" i="43"/>
  <c r="S3319" i="43"/>
  <c r="S3314" i="43"/>
  <c r="S3317" i="43"/>
  <c r="S3316" i="43"/>
  <c r="S3315" i="43"/>
  <c r="S3313" i="43"/>
  <c r="S3311" i="43"/>
  <c r="S3312" i="43"/>
  <c r="S3308" i="43"/>
  <c r="S3310" i="43"/>
  <c r="S3309" i="43"/>
  <c r="S3307" i="43"/>
  <c r="S3306" i="43"/>
  <c r="S3305" i="43"/>
  <c r="S3304" i="43"/>
  <c r="S3301" i="43"/>
  <c r="S3300" i="43"/>
  <c r="S3302" i="43"/>
  <c r="S3303" i="43"/>
  <c r="S3295" i="43"/>
  <c r="S3299" i="43"/>
  <c r="S3298" i="43"/>
  <c r="S3297" i="43"/>
  <c r="S3296" i="43"/>
  <c r="S3294" i="43"/>
  <c r="S3289" i="43"/>
  <c r="S3292" i="43"/>
  <c r="S3293" i="43"/>
  <c r="S3290" i="43"/>
  <c r="S3291" i="43"/>
  <c r="S3288" i="43"/>
  <c r="S3287" i="43"/>
  <c r="S3286" i="43"/>
  <c r="S3284" i="43"/>
  <c r="S3285" i="43"/>
  <c r="S3283" i="43"/>
  <c r="H151" i="11" s="1"/>
  <c r="I151" i="11" s="1"/>
  <c r="S3281" i="43"/>
  <c r="S3282" i="43"/>
  <c r="S3280" i="43"/>
  <c r="S3279" i="43"/>
  <c r="S3278" i="43"/>
  <c r="S3276" i="43"/>
  <c r="S3277" i="43"/>
  <c r="S3275" i="43"/>
  <c r="S3268" i="43"/>
  <c r="S3274" i="43"/>
  <c r="S3270" i="43"/>
  <c r="S3273" i="43"/>
  <c r="S3269" i="43"/>
  <c r="S3271" i="43"/>
  <c r="S3272" i="43"/>
  <c r="S3267" i="43"/>
  <c r="S3266" i="43"/>
  <c r="S3265" i="43"/>
  <c r="S839" i="43"/>
  <c r="S3264" i="43"/>
  <c r="S3263" i="43"/>
  <c r="S3262" i="43"/>
  <c r="S661" i="43"/>
  <c r="S3261" i="43"/>
  <c r="S970" i="43"/>
  <c r="S3260" i="43"/>
  <c r="S3259" i="43"/>
  <c r="S3256" i="43"/>
  <c r="S2200" i="43"/>
  <c r="S3258" i="43"/>
  <c r="S3248" i="43"/>
  <c r="S3257" i="43"/>
  <c r="S3253" i="43"/>
  <c r="S3255" i="43"/>
  <c r="S3254" i="43"/>
  <c r="S2879" i="43"/>
  <c r="S3251" i="43"/>
  <c r="S3252" i="43"/>
  <c r="S3250" i="43"/>
  <c r="S3249" i="43"/>
  <c r="S3247" i="43"/>
  <c r="S2561" i="43"/>
  <c r="S2869" i="43"/>
  <c r="S174" i="43"/>
  <c r="S3094" i="43"/>
  <c r="S2272" i="43"/>
  <c r="S2802" i="43"/>
  <c r="S611" i="43"/>
  <c r="S1273" i="43"/>
  <c r="S638" i="43"/>
  <c r="S2524" i="43"/>
  <c r="S1492" i="43"/>
  <c r="S356" i="43"/>
  <c r="S3240" i="43"/>
  <c r="S774" i="43"/>
  <c r="S416" i="43"/>
  <c r="S1622" i="43"/>
  <c r="S464" i="43"/>
  <c r="S820" i="43"/>
  <c r="S2622" i="43"/>
  <c r="S2708" i="43"/>
  <c r="S646" i="43"/>
  <c r="S948" i="43"/>
  <c r="S1955" i="43"/>
  <c r="S1281" i="43"/>
  <c r="S953" i="43"/>
  <c r="S377" i="43"/>
  <c r="S3246" i="43"/>
  <c r="S3245" i="43"/>
  <c r="S1369" i="43"/>
  <c r="S1045" i="43"/>
  <c r="S1934" i="43"/>
  <c r="S2129" i="43"/>
  <c r="S3244" i="43"/>
  <c r="S2932" i="43"/>
  <c r="S1822" i="43"/>
  <c r="S178" i="43"/>
  <c r="S2547" i="43"/>
  <c r="S1947" i="43"/>
  <c r="S3194" i="43"/>
  <c r="S3188" i="43"/>
  <c r="S3185" i="43"/>
  <c r="S2682" i="43"/>
  <c r="S175" i="43"/>
  <c r="S1734" i="43"/>
  <c r="S2852" i="43"/>
  <c r="S886" i="43"/>
  <c r="S2684" i="43"/>
  <c r="S38" i="43"/>
  <c r="S1964" i="43"/>
  <c r="S3174" i="43"/>
  <c r="S3238" i="43"/>
  <c r="S2336" i="43"/>
  <c r="S1672" i="43"/>
  <c r="S4" i="43"/>
  <c r="S1740" i="43"/>
  <c r="S705" i="43"/>
  <c r="S2894" i="43"/>
  <c r="S830" i="43"/>
  <c r="S1826" i="43"/>
  <c r="S1598" i="43"/>
  <c r="S1759" i="43"/>
  <c r="S1431" i="43"/>
  <c r="S3010" i="43"/>
  <c r="S1509" i="43"/>
  <c r="S2872" i="43"/>
  <c r="S1881" i="43"/>
  <c r="S2825" i="43"/>
  <c r="S3211" i="43"/>
  <c r="S1542" i="43"/>
  <c r="S2362" i="43"/>
  <c r="S2373" i="43"/>
  <c r="S3090" i="43"/>
  <c r="S1395" i="43"/>
  <c r="S1428" i="43"/>
  <c r="S48" i="43"/>
  <c r="S260" i="43"/>
  <c r="S1072" i="43"/>
  <c r="S2654" i="43"/>
  <c r="S1235" i="43"/>
  <c r="S2493" i="43"/>
  <c r="S1628" i="43"/>
  <c r="S3061" i="43"/>
  <c r="S2199" i="43"/>
  <c r="S3170" i="43"/>
  <c r="S476" i="43"/>
  <c r="S2214" i="43"/>
  <c r="S27" i="43"/>
  <c r="S2341" i="43"/>
  <c r="S2059" i="43"/>
  <c r="S2996" i="43"/>
  <c r="S2117" i="43"/>
  <c r="S3199" i="43"/>
  <c r="S1570" i="43"/>
  <c r="S2731" i="43"/>
  <c r="S764" i="43"/>
  <c r="S1710" i="43"/>
  <c r="S184" i="43"/>
  <c r="S712" i="43"/>
  <c r="S557" i="43"/>
  <c r="S810" i="43"/>
  <c r="S227" i="43"/>
  <c r="S1503" i="43"/>
  <c r="S2917" i="43"/>
  <c r="S2457" i="43"/>
  <c r="S2086" i="43"/>
  <c r="S2750" i="43"/>
  <c r="S1835" i="43"/>
  <c r="S801" i="43"/>
  <c r="S1889" i="43"/>
  <c r="S3164" i="43"/>
  <c r="S2082" i="43"/>
  <c r="S3178" i="43"/>
  <c r="S318" i="43"/>
  <c r="S2407" i="43"/>
  <c r="S1856" i="43"/>
  <c r="S2989" i="43"/>
  <c r="S1997" i="43"/>
  <c r="S3098" i="43"/>
  <c r="S2144" i="43"/>
  <c r="S2555" i="43"/>
  <c r="S3074" i="43"/>
  <c r="S3067" i="43"/>
  <c r="S2339" i="43"/>
  <c r="S1696" i="43"/>
  <c r="S143" i="43"/>
  <c r="S1269" i="43"/>
  <c r="S1625" i="43"/>
  <c r="S1233" i="43"/>
  <c r="S1282" i="43"/>
  <c r="S2907" i="43"/>
  <c r="S3166" i="43"/>
  <c r="S1653" i="43"/>
  <c r="S3079" i="43"/>
  <c r="S2689" i="43"/>
  <c r="S2105" i="43"/>
  <c r="S3226" i="43"/>
  <c r="S911" i="43"/>
  <c r="S478" i="43"/>
  <c r="S2538" i="43"/>
  <c r="S2527" i="43"/>
  <c r="S2127" i="43"/>
  <c r="S793" i="43"/>
  <c r="S1279" i="43"/>
  <c r="S406" i="43"/>
  <c r="S2830" i="43"/>
  <c r="S1627" i="43"/>
  <c r="S622" i="43"/>
  <c r="S537" i="43"/>
  <c r="S3204" i="43"/>
  <c r="S1242" i="43"/>
  <c r="S2807" i="43"/>
  <c r="S2365" i="43"/>
  <c r="S2915" i="43"/>
  <c r="S1005" i="43"/>
  <c r="S145" i="43"/>
  <c r="S2881" i="43"/>
  <c r="S1979" i="43"/>
  <c r="S3207" i="43"/>
  <c r="S1563" i="43"/>
  <c r="S1528" i="43"/>
  <c r="S1773" i="43"/>
  <c r="H81" i="11" s="1"/>
  <c r="I81" i="11" s="1"/>
  <c r="S1792" i="43"/>
  <c r="S925" i="43"/>
  <c r="S517" i="43"/>
  <c r="S1343" i="43"/>
  <c r="S692" i="43"/>
  <c r="S2751" i="43"/>
  <c r="S3139" i="43"/>
  <c r="S3223" i="43"/>
  <c r="S686" i="43"/>
  <c r="S2210" i="43"/>
  <c r="S2278" i="43"/>
  <c r="S302" i="43"/>
  <c r="S1984" i="43"/>
  <c r="S3003" i="43"/>
  <c r="S2080" i="43"/>
  <c r="S1398" i="43"/>
  <c r="S960" i="43"/>
  <c r="S337" i="43"/>
  <c r="S2295" i="43"/>
  <c r="S1666" i="43"/>
  <c r="S1139" i="43"/>
  <c r="S2338" i="43"/>
  <c r="S2943" i="43"/>
  <c r="S3182" i="43"/>
  <c r="S1204" i="43"/>
  <c r="S2096" i="43"/>
  <c r="S2853" i="43"/>
  <c r="S798" i="43"/>
  <c r="S2040" i="43"/>
  <c r="S2004" i="43"/>
  <c r="S983" i="43"/>
  <c r="S3070" i="43"/>
  <c r="S386" i="43"/>
  <c r="S364" i="43"/>
  <c r="S1617" i="43"/>
  <c r="S1023" i="43"/>
  <c r="S699" i="43"/>
  <c r="S269" i="43"/>
  <c r="S867" i="43"/>
  <c r="S498" i="43"/>
  <c r="S2427" i="43"/>
  <c r="S3114" i="43"/>
  <c r="S1261" i="43"/>
  <c r="S173" i="43"/>
  <c r="S544" i="43"/>
  <c r="S3035" i="43"/>
  <c r="S2055" i="43"/>
  <c r="S734" i="43"/>
  <c r="S3148" i="43"/>
  <c r="S1623" i="43"/>
  <c r="S2504" i="43"/>
  <c r="S3041" i="43"/>
  <c r="S711" i="43"/>
  <c r="S389" i="43"/>
  <c r="S19" i="43"/>
  <c r="S2211" i="43"/>
  <c r="S1123" i="43"/>
  <c r="S3228" i="43"/>
  <c r="S2936" i="43"/>
  <c r="S3186" i="43"/>
  <c r="S1798" i="43"/>
  <c r="S3076" i="43"/>
  <c r="S2631" i="43"/>
  <c r="S2940" i="43"/>
  <c r="S1286" i="43"/>
  <c r="S1197" i="43"/>
  <c r="S3044" i="43"/>
  <c r="S3117" i="43"/>
  <c r="S1956" i="43"/>
  <c r="S468" i="43"/>
  <c r="S2022" i="43"/>
  <c r="S153" i="43"/>
  <c r="S1582" i="43"/>
  <c r="S1687" i="43"/>
  <c r="S1531" i="43"/>
  <c r="S1825" i="43"/>
  <c r="S1976" i="43"/>
  <c r="S3063" i="43"/>
  <c r="S1433" i="43"/>
  <c r="S2552" i="43"/>
  <c r="S2173" i="43"/>
  <c r="S1879" i="43"/>
  <c r="S2299" i="43"/>
  <c r="S3149" i="43"/>
  <c r="S947" i="43"/>
  <c r="S910" i="43"/>
  <c r="S1917" i="43"/>
  <c r="S1943" i="43"/>
  <c r="S1990" i="43"/>
  <c r="S2146" i="43"/>
  <c r="S3161" i="43"/>
  <c r="S2814" i="43"/>
  <c r="S3176" i="43"/>
  <c r="S1266" i="43"/>
  <c r="S1002" i="43"/>
  <c r="S2652" i="43"/>
  <c r="S1829" i="43"/>
  <c r="S2381" i="43"/>
  <c r="S2882" i="43"/>
  <c r="S1689" i="43"/>
  <c r="S1377" i="43"/>
  <c r="S1229" i="43"/>
  <c r="S588" i="43"/>
  <c r="S726" i="43"/>
  <c r="S1276" i="43"/>
  <c r="S2695" i="43"/>
  <c r="S2678" i="43"/>
  <c r="S250" i="43"/>
  <c r="S2649" i="43"/>
  <c r="S1244" i="43"/>
  <c r="S3142" i="43"/>
  <c r="S2417" i="43"/>
  <c r="S1499" i="43"/>
  <c r="S1783" i="43"/>
  <c r="S1007" i="43"/>
  <c r="S1913" i="43"/>
  <c r="S1215" i="43"/>
  <c r="S1190" i="43"/>
  <c r="S12" i="43"/>
  <c r="S851" i="43"/>
  <c r="S1101" i="43"/>
  <c r="S642" i="43"/>
  <c r="S482" i="43"/>
  <c r="S574" i="43"/>
  <c r="S384" i="43"/>
  <c r="S460" i="43"/>
  <c r="S2978" i="43"/>
  <c r="S2363" i="43"/>
  <c r="S1911" i="43"/>
  <c r="S100" i="43"/>
  <c r="S1796" i="43"/>
  <c r="S2060" i="43"/>
  <c r="S2974" i="43"/>
  <c r="S945" i="43"/>
  <c r="S2455" i="43"/>
  <c r="S327" i="43"/>
  <c r="S1732" i="43"/>
  <c r="S1400" i="43"/>
  <c r="S1915" i="43"/>
  <c r="S2858" i="43"/>
  <c r="S2760" i="43"/>
  <c r="S1470" i="43"/>
  <c r="S2016" i="43"/>
  <c r="S2963" i="43"/>
  <c r="S1634" i="43"/>
  <c r="S1664" i="43"/>
  <c r="S3218" i="43"/>
  <c r="S2724" i="43"/>
  <c r="S2268" i="43"/>
  <c r="S1312" i="43"/>
  <c r="S1127" i="43"/>
  <c r="H75" i="11" s="1"/>
  <c r="I75" i="11" s="1"/>
  <c r="S2364" i="43"/>
  <c r="S1844" i="43"/>
  <c r="S2188" i="43"/>
  <c r="S1662" i="43"/>
  <c r="S1692" i="43"/>
  <c r="S2181" i="43"/>
  <c r="S2519" i="43"/>
  <c r="S3109" i="43"/>
  <c r="S632" i="43"/>
  <c r="S431" i="43"/>
  <c r="S186" i="43"/>
  <c r="S2345" i="43"/>
  <c r="S2545" i="43"/>
  <c r="S2334" i="43"/>
  <c r="S2525" i="43"/>
  <c r="S1466" i="43"/>
  <c r="H187" i="11" s="1"/>
  <c r="S1763" i="43"/>
  <c r="S1413" i="43"/>
  <c r="S1935" i="43"/>
  <c r="S1335" i="43"/>
  <c r="S1116" i="43"/>
  <c r="S1581" i="43"/>
  <c r="S987" i="43"/>
  <c r="S1208" i="43"/>
  <c r="S1014" i="43"/>
  <c r="S675" i="43"/>
  <c r="S909" i="43"/>
  <c r="S831" i="43"/>
  <c r="S543" i="43"/>
  <c r="S185" i="43"/>
  <c r="S398" i="43"/>
  <c r="S222" i="43"/>
  <c r="S1659" i="43"/>
  <c r="S2447" i="43"/>
  <c r="S1924" i="43"/>
  <c r="S1719" i="43"/>
  <c r="S1861" i="43"/>
  <c r="S1693" i="43"/>
  <c r="S942" i="43"/>
  <c r="S1849" i="43"/>
  <c r="S1099" i="43"/>
  <c r="S787" i="43"/>
  <c r="S1037" i="43"/>
  <c r="S943" i="43"/>
  <c r="S418" i="43"/>
  <c r="S510" i="43"/>
  <c r="S273" i="43"/>
  <c r="S2913" i="43"/>
  <c r="S2819" i="43"/>
  <c r="S2368" i="43"/>
  <c r="S1691" i="43"/>
  <c r="S1987" i="43"/>
  <c r="S2159" i="43"/>
  <c r="S1560" i="43"/>
  <c r="S1649" i="43"/>
  <c r="S1055" i="43"/>
  <c r="S827" i="43"/>
  <c r="S1238" i="43"/>
  <c r="S690" i="43"/>
  <c r="S438" i="43"/>
  <c r="S432" i="43"/>
  <c r="S508" i="43"/>
  <c r="S512" i="43"/>
  <c r="S1752" i="43"/>
  <c r="S1067" i="43"/>
  <c r="S2084" i="43"/>
  <c r="S2997" i="43"/>
  <c r="S2657" i="43"/>
  <c r="S2618" i="43"/>
  <c r="S111" i="43"/>
  <c r="S1489" i="43"/>
  <c r="S739" i="43"/>
  <c r="S2511" i="43"/>
  <c r="S1011" i="43"/>
  <c r="S2139" i="43"/>
  <c r="S1989" i="43"/>
  <c r="S2722" i="43"/>
  <c r="S3192" i="43"/>
  <c r="S2742" i="43"/>
  <c r="S1227" i="43"/>
  <c r="S2759" i="43"/>
  <c r="S2933" i="43"/>
  <c r="S1909" i="43"/>
  <c r="S2328" i="43"/>
  <c r="S2513" i="43"/>
  <c r="S2705" i="43"/>
  <c r="S2914" i="43"/>
  <c r="S2772" i="43"/>
  <c r="S1350" i="43"/>
  <c r="S2597" i="43"/>
  <c r="S2947" i="43"/>
  <c r="S856" i="43"/>
  <c r="S205" i="43"/>
  <c r="S523" i="43"/>
  <c r="S110" i="43"/>
  <c r="S262" i="43"/>
  <c r="S2688" i="43"/>
  <c r="S1892" i="43"/>
  <c r="S2681" i="43"/>
  <c r="S2241" i="43"/>
  <c r="S1607" i="43"/>
  <c r="S1425" i="43"/>
  <c r="S2676" i="43"/>
  <c r="S2252" i="43"/>
  <c r="S1883" i="43"/>
  <c r="S2745" i="43"/>
  <c r="S1999" i="43"/>
  <c r="S2491" i="43"/>
  <c r="S1472" i="43"/>
  <c r="S713" i="43"/>
  <c r="S2388" i="43"/>
  <c r="S561" i="43"/>
  <c r="S1172" i="43"/>
  <c r="S507" i="43"/>
  <c r="S1860" i="43"/>
  <c r="S357" i="43"/>
  <c r="S98" i="43"/>
  <c r="S1408" i="43"/>
  <c r="S2883" i="43"/>
  <c r="S2305" i="43"/>
  <c r="S2502" i="43"/>
  <c r="S2710" i="43"/>
  <c r="S3055" i="43"/>
  <c r="S2740" i="43"/>
  <c r="S316" i="43"/>
  <c r="S1635" i="43"/>
  <c r="S586" i="43"/>
  <c r="S94" i="43"/>
  <c r="S2329" i="43"/>
  <c r="S2461" i="43"/>
  <c r="S1402" i="43"/>
  <c r="S1721" i="43"/>
  <c r="S815" i="43"/>
  <c r="S282" i="43"/>
  <c r="S1432" i="43"/>
  <c r="S913" i="43"/>
  <c r="S1110" i="43"/>
  <c r="S490" i="43"/>
  <c r="S44" i="43"/>
  <c r="S3104" i="43"/>
  <c r="S1550" i="43"/>
  <c r="S23" i="43"/>
  <c r="S3243" i="43"/>
  <c r="S2949" i="43"/>
  <c r="S2658" i="43"/>
  <c r="S495" i="43"/>
  <c r="S1467" i="43"/>
  <c r="S1827" i="43"/>
  <c r="S81" i="43"/>
  <c r="S1862" i="43"/>
  <c r="S417" i="43"/>
  <c r="S2113" i="43"/>
  <c r="S1342" i="43"/>
  <c r="S290" i="43"/>
  <c r="S121" i="43"/>
  <c r="S64" i="43"/>
  <c r="S2031" i="43"/>
  <c r="S252" i="43"/>
  <c r="S209" i="43"/>
  <c r="S2546" i="43"/>
  <c r="S1729" i="43"/>
  <c r="S1318" i="43"/>
  <c r="S2351" i="43"/>
  <c r="S176" i="43"/>
  <c r="S2674" i="43"/>
  <c r="S668" i="43"/>
  <c r="S2607" i="43"/>
  <c r="S350" i="43"/>
  <c r="S348" i="43"/>
  <c r="S1203" i="43"/>
  <c r="S2644" i="43"/>
  <c r="S1497" i="43"/>
  <c r="S1171" i="43"/>
  <c r="S777" i="43"/>
  <c r="S1186" i="43"/>
  <c r="S246" i="43"/>
  <c r="S2497" i="43"/>
  <c r="S1084" i="43"/>
  <c r="S659" i="43"/>
  <c r="S382" i="43"/>
  <c r="S2784" i="43"/>
  <c r="S2777" i="43"/>
  <c r="S2337" i="43"/>
  <c r="S1300" i="43"/>
  <c r="S89" i="43"/>
  <c r="S319" i="43"/>
  <c r="S2011" i="43"/>
  <c r="S979" i="43"/>
  <c r="S614" i="43"/>
  <c r="S436" i="43"/>
  <c r="S2456" i="43"/>
  <c r="S2774" i="43"/>
  <c r="S813" i="43"/>
  <c r="S2409" i="43"/>
  <c r="S1722" i="43"/>
  <c r="S1495" i="43"/>
  <c r="S2396" i="43"/>
  <c r="S1442" i="43"/>
  <c r="S3005" i="43"/>
  <c r="S467" i="43"/>
  <c r="S487" i="43"/>
  <c r="S2424" i="43"/>
  <c r="S170" i="43"/>
  <c r="S1828" i="43"/>
  <c r="S1192" i="43"/>
  <c r="S877" i="43"/>
  <c r="S2680" i="43"/>
  <c r="H120" i="11" s="1"/>
  <c r="I120" i="11" s="1"/>
  <c r="S1521" i="43"/>
  <c r="S494" i="43"/>
  <c r="S3236" i="43"/>
  <c r="S362" i="43"/>
  <c r="S2909" i="43"/>
  <c r="S2176" i="43"/>
  <c r="S1524" i="43"/>
  <c r="S1972" i="43"/>
  <c r="S3152" i="43"/>
  <c r="S1945" i="43"/>
  <c r="S1633" i="43"/>
  <c r="S1971" i="43"/>
  <c r="S2450" i="43"/>
  <c r="S2890" i="43"/>
  <c r="S2897" i="43"/>
  <c r="S2141" i="43"/>
  <c r="S2413" i="43"/>
  <c r="S1178" i="43"/>
  <c r="S939" i="43"/>
  <c r="S1579" i="43"/>
  <c r="S2531" i="43"/>
  <c r="S2686" i="43"/>
  <c r="S3138" i="43"/>
  <c r="S3230" i="43"/>
  <c r="S2638" i="43"/>
  <c r="S1158" i="43"/>
  <c r="S1069" i="43"/>
  <c r="S358" i="43"/>
  <c r="S450" i="43"/>
  <c r="S542" i="43"/>
  <c r="S97" i="43"/>
  <c r="S352" i="43"/>
  <c r="S428" i="43"/>
  <c r="S2945" i="43"/>
  <c r="S2602" i="43"/>
  <c r="S2235" i="43"/>
  <c r="S2851" i="43"/>
  <c r="S2938" i="43"/>
  <c r="S2641" i="43"/>
  <c r="S2840" i="43"/>
  <c r="S1819" i="43"/>
  <c r="S1813" i="43"/>
  <c r="S1420" i="43"/>
  <c r="S2191" i="43"/>
  <c r="S1592" i="43"/>
  <c r="S1681" i="43"/>
  <c r="S921" i="43"/>
  <c r="S1087" i="43"/>
  <c r="S1390" i="43"/>
  <c r="S569" i="43"/>
  <c r="S1270" i="43"/>
  <c r="S599" i="43"/>
  <c r="S1181" i="43"/>
  <c r="S722" i="43"/>
  <c r="S470" i="43"/>
  <c r="S221" i="43"/>
  <c r="S388" i="43"/>
  <c r="S15" i="43"/>
  <c r="S2048" i="43"/>
  <c r="S2021" i="43"/>
  <c r="S2610" i="43"/>
  <c r="S2267" i="43"/>
  <c r="S1704" i="43"/>
  <c r="S1793" i="43"/>
  <c r="S1043" i="43"/>
  <c r="S1949" i="43"/>
  <c r="S779" i="43"/>
  <c r="S728" i="43"/>
  <c r="S678" i="43"/>
  <c r="S1293" i="43"/>
  <c r="S301" i="43"/>
  <c r="S421" i="43"/>
  <c r="S2714" i="43"/>
  <c r="S2092" i="43"/>
  <c r="S2243" i="43"/>
  <c r="S1644" i="43"/>
  <c r="S1816" i="43"/>
  <c r="S1183" i="43"/>
  <c r="S465" i="43"/>
  <c r="S862" i="43"/>
  <c r="S1614" i="43"/>
  <c r="S950" i="43"/>
  <c r="S790" i="43"/>
  <c r="S609" i="43"/>
  <c r="S441" i="43"/>
  <c r="S88" i="43"/>
  <c r="S164" i="43"/>
  <c r="S240" i="43"/>
  <c r="S608" i="43"/>
  <c r="S1057" i="43"/>
  <c r="S2169" i="43"/>
  <c r="S3102" i="43"/>
  <c r="S2342" i="43"/>
  <c r="S2690" i="43"/>
  <c r="S3000" i="43"/>
  <c r="S975" i="43"/>
  <c r="S1365" i="43"/>
  <c r="S2739" i="43"/>
  <c r="S2617" i="43"/>
  <c r="S1355" i="43"/>
  <c r="S3112" i="43"/>
  <c r="S757" i="43"/>
  <c r="S2709" i="43"/>
  <c r="S2716" i="43"/>
  <c r="S1319" i="43"/>
  <c r="S2946" i="43"/>
  <c r="S1148" i="43"/>
  <c r="S3202" i="43"/>
  <c r="S2899" i="43"/>
  <c r="S1030" i="43"/>
  <c r="S133" i="43"/>
  <c r="S559" i="43"/>
  <c r="S249" i="43"/>
  <c r="S414" i="43"/>
  <c r="S2474" i="43"/>
  <c r="S2723" i="43"/>
  <c r="S2809" i="43"/>
  <c r="S1464" i="43"/>
  <c r="S1553" i="43"/>
  <c r="S1332" i="43"/>
  <c r="S499" i="43"/>
  <c r="S1142" i="43"/>
  <c r="S803" i="43"/>
  <c r="S434" i="43"/>
  <c r="S338" i="43"/>
  <c r="S2922" i="43"/>
  <c r="S2575" i="43"/>
  <c r="S2482" i="43"/>
  <c r="S1755" i="43"/>
  <c r="S1576" i="43"/>
  <c r="S891" i="43"/>
  <c r="S915" i="43"/>
  <c r="S1165" i="43"/>
  <c r="S706" i="43"/>
  <c r="S546" i="43"/>
  <c r="S524" i="43"/>
  <c r="S2937" i="43"/>
  <c r="S2594" i="43"/>
  <c r="S1360" i="43"/>
  <c r="S2115" i="43"/>
  <c r="S1516" i="43"/>
  <c r="S2287" i="43"/>
  <c r="S1486" i="43"/>
  <c r="S662" i="43"/>
  <c r="S818" i="43"/>
  <c r="S566" i="43"/>
  <c r="S237" i="43"/>
  <c r="S484" i="43"/>
  <c r="S560" i="43"/>
  <c r="S35" i="43"/>
  <c r="S112" i="43"/>
  <c r="S3213" i="43"/>
  <c r="S2972" i="43"/>
  <c r="S3022" i="43"/>
  <c r="S1375" i="43"/>
  <c r="S1753" i="43"/>
  <c r="S1166" i="43"/>
  <c r="S251" i="43"/>
  <c r="S1930" i="43"/>
  <c r="S3084" i="43"/>
  <c r="S2265" i="43"/>
  <c r="S999" i="43"/>
  <c r="S1657" i="43"/>
  <c r="S433" i="43"/>
  <c r="S142" i="43"/>
  <c r="S1340" i="43"/>
  <c r="S2588" i="43"/>
  <c r="S1180" i="43"/>
  <c r="S3215" i="43"/>
  <c r="S1926" i="43"/>
  <c r="S1981" i="43"/>
  <c r="S1725" i="43"/>
  <c r="S2529" i="43"/>
  <c r="S3065" i="43"/>
  <c r="S392" i="43"/>
  <c r="S423" i="43"/>
  <c r="S1571" i="43"/>
  <c r="S1389" i="43"/>
  <c r="S281" i="43"/>
  <c r="S1572" i="43"/>
  <c r="S463" i="43"/>
  <c r="S1561" i="43"/>
  <c r="S426" i="43"/>
  <c r="S1787" i="43"/>
  <c r="S3216" i="43"/>
  <c r="S2998" i="43"/>
  <c r="S649" i="43"/>
  <c r="S293" i="43"/>
  <c r="S443" i="43"/>
  <c r="S1527" i="43"/>
  <c r="S1268" i="43"/>
  <c r="S1234" i="43"/>
  <c r="S2377" i="43"/>
  <c r="S3173" i="43"/>
  <c r="S1594" i="43"/>
  <c r="S1457" i="43"/>
  <c r="S651" i="43"/>
  <c r="S3027" i="43"/>
  <c r="S1887" i="43"/>
  <c r="S2904" i="43"/>
  <c r="S1953" i="43"/>
  <c r="S3095" i="43"/>
  <c r="S2104" i="43"/>
  <c r="S858" i="43"/>
  <c r="S1038" i="43"/>
  <c r="S149" i="43"/>
  <c r="S3060" i="43"/>
  <c r="S2614" i="43"/>
  <c r="S440" i="43"/>
  <c r="S77" i="43"/>
  <c r="S1894" i="43"/>
  <c r="S1012" i="43"/>
  <c r="S1308" i="43"/>
  <c r="S745" i="43"/>
  <c r="S1106" i="43"/>
  <c r="S24" i="43"/>
  <c r="S1262" i="43"/>
  <c r="S13" i="43"/>
  <c r="S2521" i="43"/>
  <c r="S2145" i="43"/>
  <c r="S1299" i="43"/>
  <c r="S916" i="43"/>
  <c r="S1236" i="43"/>
  <c r="S841" i="43"/>
  <c r="S888" i="43"/>
  <c r="S369" i="43"/>
  <c r="S735" i="43"/>
  <c r="S539" i="43"/>
  <c r="S202" i="43"/>
  <c r="S278" i="43"/>
  <c r="S2301" i="43"/>
  <c r="S1698" i="43"/>
  <c r="S2775" i="43"/>
  <c r="S504" i="43"/>
  <c r="S69" i="43"/>
  <c r="S2136" i="43"/>
  <c r="S2049" i="43"/>
  <c r="S631" i="43"/>
  <c r="S106" i="43"/>
  <c r="S1128" i="43"/>
  <c r="S749" i="43"/>
  <c r="S1604" i="43"/>
  <c r="S1967" i="43"/>
  <c r="S331" i="43"/>
  <c r="S1761" i="43"/>
  <c r="S2578" i="43"/>
  <c r="S2542" i="43"/>
  <c r="S1748" i="43"/>
  <c r="S2226" i="43"/>
  <c r="S3013" i="43"/>
  <c r="S2939" i="43"/>
  <c r="S2440" i="43"/>
  <c r="S2810" i="43"/>
  <c r="S717" i="43"/>
  <c r="S1251" i="43"/>
  <c r="S2462" i="43"/>
  <c r="S1232" i="43"/>
  <c r="S82" i="43"/>
  <c r="S123" i="43"/>
  <c r="S275" i="43"/>
  <c r="S3077" i="43"/>
  <c r="S2283" i="43"/>
  <c r="S1782" i="43"/>
  <c r="S1017" i="43"/>
  <c r="S633" i="43"/>
  <c r="S1150" i="43"/>
  <c r="S229" i="43"/>
  <c r="S235" i="43"/>
  <c r="S2977" i="43"/>
  <c r="S1529" i="43"/>
  <c r="S1034" i="43"/>
  <c r="S1573" i="43"/>
  <c r="S1004" i="43"/>
  <c r="S1751" i="43"/>
  <c r="S1728" i="43"/>
  <c r="S2788" i="43"/>
  <c r="S876" i="43"/>
  <c r="S328" i="43"/>
  <c r="S3091" i="43"/>
  <c r="S928" i="43"/>
  <c r="S1044" i="43"/>
  <c r="S182" i="43"/>
  <c r="S2557" i="43"/>
  <c r="S920" i="43"/>
  <c r="S751" i="43"/>
  <c r="S2273" i="43"/>
  <c r="S314" i="43"/>
  <c r="S2834" i="43"/>
  <c r="S2420" i="43"/>
  <c r="S605" i="43"/>
  <c r="S2730" i="43"/>
  <c r="S1559" i="43"/>
  <c r="S1700" i="43"/>
  <c r="S2593" i="43"/>
  <c r="S3195" i="43"/>
  <c r="S816" i="43"/>
  <c r="S261" i="43"/>
  <c r="S360" i="43"/>
  <c r="S199" i="43"/>
  <c r="S2864" i="43"/>
  <c r="S1443" i="43"/>
  <c r="S1329" i="43"/>
  <c r="S994" i="43"/>
  <c r="S407" i="43"/>
  <c r="S53" i="43"/>
  <c r="S2137" i="43"/>
  <c r="S2072" i="43"/>
  <c r="S1399" i="43"/>
  <c r="S529" i="43"/>
  <c r="S3119" i="43"/>
  <c r="S2817" i="43"/>
  <c r="S901" i="43"/>
  <c r="S2873" i="43"/>
  <c r="S1452" i="43"/>
  <c r="S2223" i="43"/>
  <c r="S1624" i="43"/>
  <c r="S1119" i="43"/>
  <c r="S563" i="43"/>
  <c r="S1422" i="43"/>
  <c r="S595" i="43"/>
  <c r="S754" i="43"/>
  <c r="S502" i="43"/>
  <c r="S47" i="43"/>
  <c r="S1414" i="43"/>
  <c r="S2245" i="43"/>
  <c r="S2685" i="43"/>
  <c r="S3232" i="43"/>
  <c r="S3134" i="43"/>
  <c r="S1890" i="43"/>
  <c r="S1920" i="43"/>
  <c r="S2911" i="43"/>
  <c r="S2982" i="43"/>
  <c r="S2779" i="43"/>
  <c r="S2592" i="43"/>
  <c r="S2792" i="43"/>
  <c r="S2803" i="43"/>
  <c r="S1419" i="43"/>
  <c r="S2124" i="43"/>
  <c r="S2756" i="43"/>
  <c r="S3031" i="43"/>
  <c r="S1606" i="43"/>
  <c r="S2426" i="43"/>
  <c r="S2438" i="43"/>
  <c r="S2583" i="43"/>
  <c r="S3157" i="43"/>
  <c r="S708" i="43"/>
  <c r="S1138" i="43"/>
  <c r="S394" i="43"/>
  <c r="S1294" i="43"/>
  <c r="S367" i="43"/>
  <c r="S551" i="43"/>
  <c r="S45" i="43"/>
  <c r="S122" i="43"/>
  <c r="S198" i="43"/>
  <c r="S2604" i="43"/>
  <c r="S1636" i="43"/>
  <c r="S2300" i="43"/>
  <c r="S2589" i="43"/>
  <c r="S2270" i="43"/>
  <c r="S2875" i="43"/>
  <c r="S2264" i="43"/>
  <c r="S2177" i="43"/>
  <c r="S1637" i="43"/>
  <c r="S1063" i="43"/>
  <c r="S1699" i="43"/>
  <c r="S1834" i="43"/>
  <c r="S1845" i="43"/>
  <c r="S1296" i="43"/>
  <c r="S905" i="43"/>
  <c r="S944" i="43"/>
  <c r="S188" i="43"/>
  <c r="S497" i="43"/>
  <c r="S781" i="43"/>
  <c r="S767" i="43"/>
  <c r="S571" i="43"/>
  <c r="S297" i="43"/>
  <c r="S234" i="43"/>
  <c r="S310" i="43"/>
  <c r="S1403" i="43"/>
  <c r="S2620" i="43"/>
  <c r="S1655" i="43"/>
  <c r="S1658" i="43"/>
  <c r="S1384" i="43"/>
  <c r="S1212" i="43"/>
  <c r="S1785" i="43"/>
  <c r="S1035" i="43"/>
  <c r="S1256" i="43"/>
  <c r="S1062" i="43"/>
  <c r="S723" i="43"/>
  <c r="S973" i="43"/>
  <c r="S879" i="43"/>
  <c r="S354" i="43"/>
  <c r="S446" i="43"/>
  <c r="S270" i="43"/>
  <c r="S16" i="43"/>
  <c r="S2848" i="43"/>
  <c r="S2506" i="43"/>
  <c r="S1435" i="43"/>
  <c r="S1923" i="43"/>
  <c r="S1287" i="43"/>
  <c r="S2095" i="43"/>
  <c r="S1496" i="43"/>
  <c r="S1585" i="43"/>
  <c r="S704" i="43"/>
  <c r="S1151" i="43"/>
  <c r="S334" i="43"/>
  <c r="S626" i="43"/>
  <c r="S374" i="43"/>
  <c r="S1817" i="43"/>
  <c r="S1505" i="43"/>
  <c r="S1843" i="43"/>
  <c r="S2321" i="43"/>
  <c r="S2768" i="43"/>
  <c r="S621" i="43"/>
  <c r="S2045" i="43"/>
  <c r="S3153" i="43"/>
  <c r="S2558" i="43"/>
  <c r="S832" i="43"/>
  <c r="S1191" i="43"/>
  <c r="S2007" i="43"/>
  <c r="S1194" i="43"/>
  <c r="S2142" i="43"/>
  <c r="S3018" i="43"/>
  <c r="S3179" i="43"/>
  <c r="S1954" i="43"/>
  <c r="S1631" i="43"/>
  <c r="S1195" i="43"/>
  <c r="S2880" i="43"/>
  <c r="S702" i="43"/>
  <c r="S3047" i="43"/>
  <c r="S2465" i="43"/>
  <c r="S2859" i="43"/>
  <c r="S197" i="43"/>
  <c r="S1697" i="43"/>
  <c r="S2035" i="43"/>
  <c r="S2514" i="43"/>
  <c r="S2954" i="43"/>
  <c r="S2961" i="43"/>
  <c r="S656" i="43"/>
  <c r="S2205" i="43"/>
  <c r="S2478" i="43"/>
  <c r="S2168" i="43"/>
  <c r="S748" i="43"/>
  <c r="S2844" i="43"/>
  <c r="S2233" i="43"/>
  <c r="S2148" i="43"/>
  <c r="S554" i="43"/>
  <c r="S2206" i="43"/>
  <c r="S3042" i="43"/>
  <c r="S2232" i="43"/>
  <c r="S693" i="43"/>
  <c r="S1104" i="43"/>
  <c r="S872" i="43"/>
  <c r="S236" i="43"/>
  <c r="S70" i="43"/>
  <c r="S147" i="43"/>
  <c r="S2926" i="43"/>
  <c r="S2735" i="43"/>
  <c r="S2436" i="43"/>
  <c r="S1066" i="43"/>
  <c r="S1654" i="43"/>
  <c r="S1301" i="43"/>
  <c r="S842" i="43"/>
  <c r="S584" i="43"/>
  <c r="S17" i="43"/>
  <c r="S177" i="43"/>
  <c r="S259" i="43"/>
  <c r="S2009" i="43"/>
  <c r="S2941" i="43"/>
  <c r="S2598" i="43"/>
  <c r="S2587" i="43"/>
  <c r="S1986" i="43"/>
  <c r="S1952" i="43"/>
  <c r="S1766" i="43"/>
  <c r="S1922" i="43"/>
  <c r="S1401" i="43"/>
  <c r="S303" i="43"/>
  <c r="S1134" i="43"/>
  <c r="S376" i="43"/>
  <c r="S165" i="43"/>
  <c r="S391" i="43"/>
  <c r="S219" i="43"/>
  <c r="S295" i="43"/>
  <c r="S3059" i="43"/>
  <c r="S2017" i="43"/>
  <c r="S1383" i="43"/>
  <c r="S1153" i="43"/>
  <c r="S1209" i="43"/>
  <c r="S1357" i="43"/>
  <c r="S980" i="43"/>
  <c r="S984" i="43"/>
  <c r="S531" i="43"/>
  <c r="S411" i="43"/>
  <c r="S74" i="43"/>
  <c r="S150" i="43"/>
  <c r="S865" i="43"/>
  <c r="S1460" i="43"/>
  <c r="S809" i="43"/>
  <c r="S1146" i="43"/>
  <c r="S2071" i="43"/>
  <c r="S3221" i="43"/>
  <c r="S3039" i="43"/>
  <c r="S1652" i="43"/>
  <c r="S2380" i="43"/>
  <c r="S2785" i="43"/>
  <c r="S2646" i="43"/>
  <c r="S640" i="43"/>
  <c r="S1371" i="43"/>
  <c r="S896" i="43"/>
  <c r="S3217" i="43"/>
  <c r="S1530" i="43"/>
  <c r="S2577" i="43"/>
  <c r="S2769" i="43"/>
  <c r="S2445" i="43"/>
  <c r="S629" i="43"/>
  <c r="S525" i="43"/>
  <c r="S14" i="43"/>
  <c r="S264" i="43"/>
  <c r="S83" i="43"/>
  <c r="S3162" i="43"/>
  <c r="S2671" i="43"/>
  <c r="S2375" i="43"/>
  <c r="S2528" i="43"/>
  <c r="S683" i="43"/>
  <c r="S930" i="43"/>
  <c r="S1902" i="43"/>
  <c r="S1237" i="43"/>
  <c r="S741" i="43"/>
  <c r="S95" i="43"/>
  <c r="S2971" i="43"/>
  <c r="S2877" i="43"/>
  <c r="S993" i="43"/>
  <c r="S1031" i="43"/>
  <c r="S210" i="43"/>
  <c r="S155" i="43"/>
  <c r="S231" i="43"/>
  <c r="S591" i="43"/>
  <c r="S1259" i="43"/>
  <c r="S1475" i="43"/>
  <c r="S1320" i="43"/>
  <c r="S1647" i="43"/>
  <c r="S1626" i="43"/>
  <c r="S1081" i="43"/>
  <c r="S908" i="43"/>
  <c r="S665" i="43"/>
  <c r="S1026" i="43"/>
  <c r="S68" i="43"/>
  <c r="S1182" i="43"/>
  <c r="S347" i="43"/>
  <c r="S2112" i="43"/>
  <c r="S3080" i="43"/>
  <c r="S2754" i="43"/>
  <c r="S2178" i="43"/>
  <c r="S3113" i="43"/>
  <c r="S1025" i="43"/>
  <c r="S2316" i="43"/>
  <c r="S2721" i="43"/>
  <c r="S271" i="43"/>
  <c r="S1076" i="43"/>
  <c r="S3115" i="43"/>
  <c r="S1716" i="43"/>
  <c r="S2489" i="43"/>
  <c r="S1131" i="43"/>
  <c r="S1223" i="43"/>
  <c r="S2479" i="43"/>
  <c r="S3165" i="43"/>
  <c r="S2320" i="43"/>
  <c r="S2738" i="43"/>
  <c r="S2090" i="43"/>
  <c r="S2327" i="43"/>
  <c r="S2467" i="43"/>
  <c r="S2517" i="43"/>
  <c r="S1352" i="43"/>
  <c r="S2556" i="43"/>
  <c r="S2553" i="43"/>
  <c r="S1908" i="43"/>
  <c r="S2975" i="43"/>
  <c r="S2836" i="43"/>
  <c r="S666" i="43"/>
  <c r="S1040" i="43"/>
  <c r="S740" i="43"/>
  <c r="S49" i="43"/>
  <c r="S6" i="43"/>
  <c r="S2862" i="43"/>
  <c r="S2515" i="43"/>
  <c r="S1515" i="43"/>
  <c r="S2410" i="43"/>
  <c r="S1932" i="43"/>
  <c r="S1423" i="43"/>
  <c r="S1590" i="43"/>
  <c r="S1114" i="43"/>
  <c r="S940" i="43"/>
  <c r="S1257" i="43"/>
  <c r="S778" i="43"/>
  <c r="S317" i="43"/>
  <c r="S195" i="43"/>
  <c r="S2782" i="43"/>
  <c r="S2783" i="43"/>
  <c r="S2523" i="43"/>
  <c r="S1888" i="43"/>
  <c r="S1363" i="43"/>
  <c r="S1858" i="43"/>
  <c r="S1331" i="43"/>
  <c r="S620" i="43"/>
  <c r="S1264" i="43"/>
  <c r="S2979" i="43"/>
  <c r="S881" i="43"/>
  <c r="S1786" i="43"/>
  <c r="S2675" i="43"/>
  <c r="S2585" i="43"/>
  <c r="S1147" i="43"/>
  <c r="S2612" i="43"/>
  <c r="S1075" i="43"/>
  <c r="S2395" i="43"/>
  <c r="S2053" i="43"/>
  <c r="S2885" i="43"/>
  <c r="S2309" i="43"/>
  <c r="S2749" i="43"/>
  <c r="S2240" i="43"/>
  <c r="S2551" i="43"/>
  <c r="S2806" i="43"/>
  <c r="S1020" i="43"/>
  <c r="S1898" i="43"/>
  <c r="S1893" i="43"/>
  <c r="S2297" i="43"/>
  <c r="S3181" i="43"/>
  <c r="S3082" i="43"/>
  <c r="S1506" i="43"/>
  <c r="S1536" i="43"/>
  <c r="S3127" i="43"/>
  <c r="S2727" i="43"/>
  <c r="S2548" i="43"/>
  <c r="S3083" i="43"/>
  <c r="S2667" i="43"/>
  <c r="S903" i="43"/>
  <c r="S838" i="43"/>
  <c r="S397" i="43"/>
  <c r="S2386" i="43"/>
  <c r="S3198" i="43"/>
  <c r="S2613" i="43"/>
  <c r="S1804" i="43"/>
  <c r="S1163" i="43"/>
  <c r="S685" i="43"/>
  <c r="S1462" i="43"/>
  <c r="S878" i="43"/>
  <c r="S1774" i="43"/>
  <c r="S1001" i="43"/>
  <c r="S1109" i="43"/>
  <c r="S650" i="43"/>
  <c r="S284" i="43"/>
  <c r="S248" i="43"/>
  <c r="S325" i="43"/>
  <c r="S66" i="43"/>
  <c r="S2849" i="43"/>
  <c r="S3081" i="43"/>
  <c r="S2748" i="43"/>
  <c r="S2405" i="43"/>
  <c r="S2394" i="43"/>
  <c r="S1760" i="43"/>
  <c r="S435" i="43"/>
  <c r="S885" i="43"/>
  <c r="S725" i="43"/>
  <c r="S1136" i="43"/>
  <c r="S938" i="43"/>
  <c r="S59" i="43"/>
  <c r="S344" i="43"/>
  <c r="S26" i="43"/>
  <c r="S103" i="43"/>
  <c r="S2958" i="43"/>
  <c r="S2611" i="43"/>
  <c r="S2718" i="43"/>
  <c r="S2857" i="43"/>
  <c r="S2507" i="43"/>
  <c r="S2468" i="43"/>
  <c r="S789" i="43"/>
  <c r="S1519" i="43"/>
  <c r="S967" i="43"/>
  <c r="S1686" i="43"/>
  <c r="S1267" i="43"/>
  <c r="S884" i="43"/>
  <c r="S1333" i="43"/>
  <c r="S874" i="43"/>
  <c r="S1054" i="43"/>
  <c r="S424" i="43"/>
  <c r="S291" i="43"/>
  <c r="S124" i="43"/>
  <c r="S579" i="43"/>
  <c r="S339" i="43"/>
  <c r="S36" i="43"/>
  <c r="S359" i="43"/>
  <c r="S187" i="43"/>
  <c r="S263" i="43"/>
  <c r="S5" i="43"/>
  <c r="S2089" i="43"/>
  <c r="S1284" i="43"/>
  <c r="S2012" i="43"/>
  <c r="S3012" i="43"/>
  <c r="S1985" i="43"/>
  <c r="S2066" i="43"/>
  <c r="S1351" i="43"/>
  <c r="S853" i="43"/>
  <c r="S1507" i="43"/>
  <c r="S897" i="43"/>
  <c r="S1679" i="43"/>
  <c r="S1754" i="43"/>
  <c r="S1846" i="43"/>
  <c r="S1145" i="43"/>
  <c r="S1283" i="43"/>
  <c r="S900" i="43"/>
  <c r="S1481" i="43"/>
  <c r="S952" i="43"/>
  <c r="S697" i="43"/>
  <c r="S1058" i="43"/>
  <c r="S403" i="43"/>
  <c r="S1214" i="43"/>
  <c r="S117" i="43"/>
  <c r="S379" i="43"/>
  <c r="S2360" i="43"/>
  <c r="S2201" i="43"/>
  <c r="S1255" i="43"/>
  <c r="S2416" i="43"/>
  <c r="S833" i="43"/>
  <c r="S1463" i="43"/>
  <c r="S1958" i="43"/>
  <c r="S1437" i="43"/>
  <c r="S1140" i="43"/>
  <c r="S1593" i="43"/>
  <c r="S1064" i="43"/>
  <c r="S792" i="43"/>
  <c r="S522" i="43"/>
  <c r="S687" i="43"/>
  <c r="S399" i="43"/>
  <c r="S583" i="43"/>
  <c r="S154" i="43"/>
  <c r="S230" i="43"/>
  <c r="S1764" i="43"/>
  <c r="S2428" i="43"/>
  <c r="S2650" i="43"/>
  <c r="S3009" i="43"/>
  <c r="S2392" i="43"/>
  <c r="S2209" i="43"/>
  <c r="S1731" i="43"/>
  <c r="S1962" i="43"/>
  <c r="S1903" i="43"/>
  <c r="S1159" i="43"/>
  <c r="S1052" i="43"/>
  <c r="S1328" i="43"/>
  <c r="S955" i="43"/>
  <c r="S982" i="43"/>
  <c r="S845" i="43"/>
  <c r="S799" i="43"/>
  <c r="S56" i="43"/>
  <c r="S190" i="43"/>
  <c r="S3052" i="43"/>
  <c r="S1249" i="43"/>
  <c r="S1977" i="43"/>
  <c r="S2976" i="43"/>
  <c r="S3101" i="43"/>
  <c r="S3189" i="43"/>
  <c r="S763" i="43"/>
  <c r="S1815" i="43"/>
  <c r="S2043" i="43"/>
  <c r="S2968" i="43"/>
  <c r="S2114" i="43"/>
  <c r="S2876" i="43"/>
  <c r="S2746" i="43"/>
  <c r="S3171" i="43"/>
  <c r="S1396" i="43"/>
  <c r="S2510" i="43"/>
  <c r="S2737" i="43"/>
  <c r="S628" i="43"/>
  <c r="S1168" i="43"/>
  <c r="S239" i="43"/>
  <c r="S58" i="43"/>
  <c r="S135" i="43"/>
  <c r="S211" i="43"/>
  <c r="S2842" i="43"/>
  <c r="S2886" i="43"/>
  <c r="S1121" i="43"/>
  <c r="S1095" i="43"/>
  <c r="S972" i="43"/>
  <c r="S684" i="43"/>
  <c r="S906" i="43"/>
  <c r="S1086" i="43"/>
  <c r="S515" i="43"/>
  <c r="S552" i="43"/>
  <c r="S340" i="43"/>
  <c r="S324" i="43"/>
  <c r="S3108" i="43"/>
  <c r="S2073" i="43"/>
  <c r="S1313" i="43"/>
  <c r="S3007" i="43"/>
  <c r="S1996" i="43"/>
  <c r="S2912" i="43"/>
  <c r="S2050" i="43"/>
  <c r="S1323" i="43"/>
  <c r="S1314" i="43"/>
  <c r="S769" i="43"/>
  <c r="S1830" i="43"/>
  <c r="S836" i="43"/>
  <c r="S1465" i="43"/>
  <c r="S933" i="43"/>
  <c r="S326" i="43"/>
  <c r="S141" i="43"/>
  <c r="S455" i="43"/>
  <c r="S283" i="43"/>
  <c r="S25" i="43"/>
  <c r="S102" i="43"/>
  <c r="S2296" i="43"/>
  <c r="S1765" i="43"/>
  <c r="S2081" i="43"/>
  <c r="S1603" i="43"/>
  <c r="S1775" i="43"/>
  <c r="S1108" i="43"/>
  <c r="S672" i="43"/>
  <c r="S1154" i="43"/>
  <c r="S458" i="43"/>
  <c r="S1310" i="43"/>
  <c r="S671" i="43"/>
  <c r="S383" i="43"/>
  <c r="S475" i="43"/>
  <c r="S61" i="43"/>
  <c r="S3239" i="43"/>
  <c r="S2487" i="43"/>
  <c r="S2786" i="43"/>
  <c r="S1049" i="43"/>
  <c r="S2018" i="43"/>
  <c r="S2041" i="43"/>
  <c r="S3130" i="43"/>
  <c r="S3209" i="43"/>
  <c r="S2846" i="43"/>
  <c r="S2868" i="43"/>
  <c r="S2663" i="43"/>
  <c r="S2820" i="43"/>
  <c r="S602" i="43"/>
  <c r="S461" i="43"/>
  <c r="S92" i="43"/>
  <c r="S127" i="43"/>
  <c r="S276" i="43"/>
  <c r="S18" i="43"/>
  <c r="S2584" i="43"/>
  <c r="S1940" i="43"/>
  <c r="S2311" i="43"/>
  <c r="S2464" i="43"/>
  <c r="S1868" i="43"/>
  <c r="S2074" i="43"/>
  <c r="S1526" i="43"/>
  <c r="S768" i="43"/>
  <c r="S648" i="43"/>
  <c r="S1838" i="43"/>
  <c r="S1173" i="43"/>
  <c r="S714" i="43"/>
  <c r="S1088" i="43"/>
  <c r="S840" i="43"/>
  <c r="S172" i="43"/>
  <c r="S207" i="43"/>
  <c r="S242" i="43"/>
  <c r="S313" i="43"/>
  <c r="S131" i="43"/>
  <c r="S2432" i="43"/>
  <c r="S2470" i="43"/>
  <c r="S2459" i="43"/>
  <c r="S1824" i="43"/>
  <c r="S1274" i="43"/>
  <c r="S752" i="43"/>
  <c r="S1200" i="43"/>
  <c r="S1006" i="43"/>
  <c r="S305" i="43"/>
  <c r="S91" i="43"/>
  <c r="S167" i="43"/>
  <c r="S1411" i="43"/>
  <c r="S780" i="43"/>
  <c r="S601" i="43"/>
  <c r="S962" i="43"/>
  <c r="S46" i="43"/>
  <c r="S217" i="43"/>
  <c r="S241" i="43"/>
  <c r="S101" i="43"/>
  <c r="S21" i="43"/>
  <c r="S3097" i="43"/>
  <c r="S2867" i="43"/>
  <c r="S3066" i="43"/>
  <c r="S2400" i="43"/>
  <c r="S2967" i="43"/>
  <c r="S1336" i="43"/>
  <c r="S1695" i="43"/>
  <c r="S2944" i="43"/>
  <c r="S1015" i="43"/>
  <c r="S2855" i="43"/>
  <c r="S2251" i="43"/>
  <c r="S3123" i="43"/>
  <c r="S2625" i="43"/>
  <c r="S2908" i="43"/>
  <c r="S3078" i="43"/>
  <c r="S797" i="43"/>
  <c r="S775" i="43"/>
  <c r="S1325" i="43"/>
  <c r="S866" i="43"/>
  <c r="S60" i="43"/>
  <c r="S361" i="43"/>
  <c r="S453" i="43"/>
  <c r="S532" i="43"/>
  <c r="S7" i="43"/>
  <c r="S160" i="43"/>
  <c r="S2258" i="43"/>
  <c r="S2838" i="43"/>
  <c r="S2220" i="43"/>
  <c r="S2165" i="43"/>
  <c r="S1445" i="43"/>
  <c r="S3107" i="43"/>
  <c r="S2150" i="43"/>
  <c r="S1520" i="43"/>
  <c r="S1676" i="43"/>
  <c r="S2444" i="43"/>
  <c r="S1848" i="43"/>
  <c r="S1937" i="43"/>
  <c r="S1311" i="43"/>
  <c r="S731" i="43"/>
  <c r="S653" i="43"/>
  <c r="S1646" i="43"/>
  <c r="S1290" i="43"/>
  <c r="S981" i="43"/>
  <c r="S887" i="43"/>
  <c r="S822" i="43"/>
  <c r="S860" i="43"/>
  <c r="S641" i="43"/>
  <c r="S381" i="43"/>
  <c r="S473" i="43"/>
  <c r="S581" i="43"/>
  <c r="S140" i="43"/>
  <c r="S120" i="43"/>
  <c r="S196" i="43"/>
  <c r="S272" i="43"/>
  <c r="S2717" i="43"/>
  <c r="S2277" i="43"/>
  <c r="S1620" i="43"/>
  <c r="S2284" i="43"/>
  <c r="S2581" i="43"/>
  <c r="S766" i="43"/>
  <c r="S1602" i="43"/>
  <c r="S1162" i="43"/>
  <c r="S589" i="43"/>
  <c r="S493" i="43"/>
  <c r="S607" i="43"/>
  <c r="S220" i="43"/>
  <c r="S2829" i="43"/>
  <c r="S2483" i="43"/>
  <c r="S3004" i="43"/>
  <c r="S1387" i="43"/>
  <c r="S2496" i="43"/>
  <c r="S1900" i="43"/>
  <c r="S1217" i="43"/>
  <c r="S1558" i="43"/>
  <c r="S1714" i="43"/>
  <c r="S821" i="43"/>
  <c r="S1870" i="43"/>
  <c r="S1205" i="43"/>
  <c r="S746" i="43"/>
  <c r="S336" i="43"/>
  <c r="S113" i="43"/>
  <c r="S163" i="43"/>
  <c r="S3180" i="43"/>
  <c r="S3116" i="43"/>
  <c r="S893" i="43"/>
  <c r="S823" i="43"/>
  <c r="S716" i="43"/>
  <c r="S253" i="43"/>
  <c r="S409" i="43"/>
  <c r="S501" i="43"/>
  <c r="S580" i="43"/>
  <c r="S55" i="43"/>
  <c r="S132" i="43"/>
  <c r="S208" i="43"/>
  <c r="S2306" i="43"/>
  <c r="S2213" i="43"/>
  <c r="S1364" i="43"/>
  <c r="S2167" i="43"/>
  <c r="S1568" i="43"/>
  <c r="S2492" i="43"/>
  <c r="S1538" i="43"/>
  <c r="S935" i="43"/>
  <c r="S429" i="43"/>
  <c r="S635" i="43"/>
  <c r="S2418" i="43"/>
  <c r="S2481" i="43"/>
  <c r="S1836" i="43"/>
  <c r="S1291" i="43"/>
  <c r="S1494" i="43"/>
  <c r="S1806" i="43"/>
  <c r="S1141" i="43"/>
  <c r="S776" i="43"/>
  <c r="S79" i="43"/>
  <c r="S280" i="43"/>
  <c r="S99" i="43"/>
  <c r="S578" i="43"/>
  <c r="S404" i="43"/>
  <c r="S556" i="43"/>
  <c r="S3072" i="43"/>
  <c r="S2969" i="43"/>
  <c r="S2626" i="43"/>
  <c r="S2331" i="43"/>
  <c r="S1548" i="43"/>
  <c r="S1362" i="43"/>
  <c r="S843" i="43"/>
  <c r="S1518" i="43"/>
  <c r="S660" i="43"/>
  <c r="S759" i="43"/>
  <c r="S850" i="43"/>
  <c r="S345" i="43"/>
  <c r="S516" i="43"/>
  <c r="S67" i="43"/>
  <c r="S144" i="43"/>
  <c r="S2242" i="43"/>
  <c r="S2778" i="43"/>
  <c r="S2149" i="43"/>
  <c r="H39" i="11" s="1"/>
  <c r="I39" i="11" s="1"/>
  <c r="S1866" i="43"/>
  <c r="S1504" i="43"/>
  <c r="S2431" i="43"/>
  <c r="S1921" i="43"/>
  <c r="S1247" i="43"/>
  <c r="S1474" i="43"/>
  <c r="S871" i="43"/>
  <c r="S365" i="43"/>
  <c r="S549" i="43"/>
  <c r="S104" i="43"/>
  <c r="S2564" i="43"/>
  <c r="S1556" i="43"/>
  <c r="S2208" i="43"/>
  <c r="S2549" i="43"/>
  <c r="S2371" i="43"/>
  <c r="S1772" i="43"/>
  <c r="S1944" i="43"/>
  <c r="S1430" i="43"/>
  <c r="S1742" i="43"/>
  <c r="S1077" i="43"/>
  <c r="S918" i="43"/>
  <c r="S992" i="43"/>
  <c r="S737" i="43"/>
  <c r="S477" i="43"/>
  <c r="S593" i="43"/>
  <c r="S156" i="43"/>
  <c r="S216" i="43"/>
  <c r="S292" i="43"/>
  <c r="S34" i="43"/>
  <c r="S1322" i="43"/>
  <c r="S2460" i="43"/>
  <c r="S1701" i="43"/>
  <c r="S2274" i="43"/>
  <c r="S2560" i="43"/>
  <c r="S3105" i="43"/>
  <c r="S2304" i="43"/>
  <c r="S3146" i="43"/>
  <c r="S883" i="43"/>
  <c r="S1133" i="43"/>
  <c r="S514" i="43"/>
  <c r="S3011" i="43"/>
  <c r="S2488" i="43"/>
  <c r="S2999" i="43"/>
  <c r="S2905" i="43"/>
  <c r="S2075" i="43"/>
  <c r="S2083" i="43"/>
  <c r="H146" i="11" s="1"/>
  <c r="I146" i="11" s="1"/>
  <c r="S1484" i="43"/>
  <c r="S2255" i="43"/>
  <c r="S401" i="43"/>
  <c r="S1454" i="43"/>
  <c r="S695" i="43"/>
  <c r="S630" i="43"/>
  <c r="S786" i="43"/>
  <c r="S534" i="43"/>
  <c r="S109" i="43"/>
  <c r="S3" i="43"/>
  <c r="S80" i="43"/>
  <c r="S2085" i="43"/>
  <c r="S2008" i="43"/>
  <c r="S2520" i="43"/>
  <c r="S2039" i="43"/>
  <c r="S1440" i="43"/>
  <c r="S2367" i="43"/>
  <c r="S1857" i="43"/>
  <c r="S1107" i="43"/>
  <c r="S371" i="43"/>
  <c r="S1410" i="43"/>
  <c r="S670" i="43"/>
  <c r="S1018" i="43"/>
  <c r="S861" i="43"/>
  <c r="S652" i="43"/>
  <c r="S898" i="43"/>
  <c r="S485" i="43"/>
  <c r="S564" i="43"/>
  <c r="S1957" i="43"/>
  <c r="S3143" i="43"/>
  <c r="S1880" i="43"/>
  <c r="S1366" i="43"/>
  <c r="S724" i="43"/>
  <c r="S1678" i="43"/>
  <c r="S616" i="43"/>
  <c r="S1013" i="43"/>
  <c r="S673" i="43"/>
  <c r="S505" i="43"/>
  <c r="S619" i="43"/>
  <c r="S152" i="43"/>
  <c r="S228" i="43"/>
  <c r="S304" i="43"/>
  <c r="S2833" i="43"/>
  <c r="S3242" i="43"/>
  <c r="S3241" i="43"/>
  <c r="S3135" i="43"/>
  <c r="S2135" i="43"/>
  <c r="S2030" i="43"/>
  <c r="S1743" i="43"/>
  <c r="S1487" i="43"/>
  <c r="S1966" i="43"/>
  <c r="S3036" i="43"/>
  <c r="S2276" i="43"/>
  <c r="S2677" i="43"/>
  <c r="S2058" i="43"/>
  <c r="S3172" i="43"/>
  <c r="S2884" i="43"/>
  <c r="S2713" i="43"/>
  <c r="S1711" i="43"/>
  <c r="S1455" i="43"/>
  <c r="S2358" i="43"/>
  <c r="S2399" i="43"/>
  <c r="S2422" i="43"/>
  <c r="S2871" i="43"/>
  <c r="S2166" i="43"/>
  <c r="S1974" i="43"/>
  <c r="S2498" i="43"/>
  <c r="S2596" i="43"/>
  <c r="S2231" i="43"/>
  <c r="S1975" i="43"/>
  <c r="S2107" i="43"/>
  <c r="S2414" i="43"/>
  <c r="S2636" i="43"/>
  <c r="S3016" i="43"/>
  <c r="S2269" i="43"/>
  <c r="S2823" i="43"/>
  <c r="S2935" i="43"/>
  <c r="S2616" i="43"/>
  <c r="S2485" i="43"/>
  <c r="S2950" i="43"/>
  <c r="S3002" i="43"/>
  <c r="S2744" i="43"/>
  <c r="S3233" i="43"/>
  <c r="S2109" i="43"/>
  <c r="S3040" i="43"/>
  <c r="S2699" i="43"/>
  <c r="S2973" i="43"/>
  <c r="S1033" i="43"/>
  <c r="S2026" i="43"/>
  <c r="S1564" i="43"/>
  <c r="S2263" i="43"/>
  <c r="S2385" i="43"/>
  <c r="S1160" i="43"/>
  <c r="S3033" i="43"/>
  <c r="S2567" i="43"/>
  <c r="S2397" i="43"/>
  <c r="S2453" i="43"/>
  <c r="S1177" i="43"/>
  <c r="S1951" i="43"/>
  <c r="S2244" i="43"/>
  <c r="S1483" i="43"/>
  <c r="S2326" i="43"/>
  <c r="S2753" i="43"/>
  <c r="S1032" i="43"/>
  <c r="S1317" i="43"/>
  <c r="S1061" i="43"/>
  <c r="S600" i="43"/>
  <c r="S2451" i="43"/>
  <c r="S2190" i="43"/>
  <c r="S2357" i="43"/>
  <c r="S2101" i="43"/>
  <c r="S2776" i="43"/>
  <c r="S2693" i="43"/>
  <c r="S2346" i="43"/>
  <c r="S1799" i="43"/>
  <c r="S894" i="43"/>
  <c r="S1356" i="43"/>
  <c r="S1784" i="43"/>
  <c r="S1498" i="43"/>
  <c r="S1100" i="43"/>
  <c r="S758" i="43"/>
  <c r="S2910" i="43"/>
  <c r="S2983" i="43"/>
  <c r="S2639" i="43"/>
  <c r="S2382" i="43"/>
  <c r="S3068" i="43"/>
  <c r="S1605" i="43"/>
  <c r="S1241" i="43"/>
  <c r="S923" i="43"/>
  <c r="S1885" i="43"/>
  <c r="S1629" i="43"/>
  <c r="S519" i="43"/>
  <c r="S1851" i="43"/>
  <c r="S2980" i="43"/>
  <c r="S3014" i="43"/>
  <c r="S1667" i="43"/>
  <c r="S1839" i="43"/>
  <c r="S1583" i="43"/>
  <c r="S1370" i="43"/>
  <c r="S1394" i="43"/>
  <c r="S1288" i="43"/>
  <c r="S2154" i="43"/>
  <c r="S2532" i="43"/>
  <c r="S3184" i="43"/>
  <c r="S3106" i="43"/>
  <c r="S3088" i="43"/>
  <c r="S1988" i="43"/>
  <c r="S2903" i="43"/>
  <c r="S1477" i="43"/>
  <c r="S2773" i="43"/>
  <c r="S2028" i="43"/>
  <c r="S3144" i="43"/>
  <c r="S2390" i="43"/>
  <c r="S2052" i="43"/>
  <c r="S2643" i="43"/>
  <c r="S2126" i="43"/>
  <c r="S2293" i="43"/>
  <c r="S2037" i="43"/>
  <c r="S2348" i="43"/>
  <c r="S2712" i="43"/>
  <c r="S2282" i="43"/>
  <c r="S2403" i="43"/>
  <c r="S2147" i="43"/>
  <c r="S1891" i="43"/>
  <c r="S1925" i="43"/>
  <c r="S1720" i="43"/>
  <c r="S592" i="43"/>
  <c r="S2171" i="43"/>
  <c r="S2156" i="43"/>
  <c r="S2318" i="43"/>
  <c r="S3054" i="43"/>
  <c r="S2359" i="43"/>
  <c r="S2103" i="43"/>
  <c r="S1847" i="43"/>
  <c r="S1591" i="43"/>
  <c r="S1690" i="43"/>
  <c r="S1821" i="43"/>
  <c r="S1565" i="43"/>
  <c r="S3043" i="43"/>
  <c r="S2442" i="43"/>
  <c r="S1595" i="43"/>
  <c r="S2116" i="43"/>
  <c r="S2203" i="43"/>
  <c r="S1616" i="43"/>
  <c r="S2062" i="43"/>
  <c r="S1797" i="43"/>
  <c r="S680" i="43"/>
  <c r="S715" i="43"/>
  <c r="S664" i="43"/>
  <c r="S380" i="43"/>
  <c r="S3133" i="43"/>
  <c r="S1733" i="43"/>
  <c r="S2574" i="43"/>
  <c r="S3200" i="43"/>
  <c r="S2640" i="43"/>
  <c r="S2218" i="43"/>
  <c r="S2566" i="43"/>
  <c r="S3150" i="43"/>
  <c r="S2811" i="43"/>
  <c r="S3201" i="43"/>
  <c r="S3191" i="43"/>
  <c r="S1562" i="43"/>
  <c r="S1372" i="43"/>
  <c r="S2543" i="43"/>
  <c r="S2621" i="43"/>
  <c r="S2013" i="43"/>
  <c r="S2704" i="43"/>
  <c r="S2648" i="43"/>
  <c r="S2579" i="43"/>
  <c r="S2916" i="43"/>
  <c r="S2659" i="43"/>
  <c r="S2229" i="43"/>
  <c r="S1973" i="43"/>
  <c r="S1669" i="43"/>
  <c r="S1912" i="43"/>
  <c r="S2781" i="43"/>
  <c r="S3038" i="43"/>
  <c r="S2180" i="43"/>
  <c r="S2254" i="43"/>
  <c r="S2847" i="43"/>
  <c r="S1434" i="43"/>
  <c r="S1345" i="43"/>
  <c r="S1757" i="43"/>
  <c r="S1501" i="43"/>
  <c r="S2796" i="43"/>
  <c r="S2703" i="43"/>
  <c r="S2308" i="43"/>
  <c r="S1998" i="43"/>
  <c r="S1541" i="43"/>
  <c r="S1778" i="43"/>
  <c r="S854" i="43"/>
  <c r="S162" i="43"/>
  <c r="S3169" i="43"/>
  <c r="S3050" i="43"/>
  <c r="S2238" i="43"/>
  <c r="S2931" i="43"/>
  <c r="S3220" i="43"/>
  <c r="S3168" i="43"/>
  <c r="S2015" i="43"/>
  <c r="S1547" i="43"/>
  <c r="S2091" i="43"/>
  <c r="S2132" i="43"/>
  <c r="S1928" i="43"/>
  <c r="S2271" i="43"/>
  <c r="S1600" i="43"/>
  <c r="S1736" i="43"/>
  <c r="S2079" i="43"/>
  <c r="S1642" i="43"/>
  <c r="S1611" i="43"/>
  <c r="S1339" i="43"/>
  <c r="S1354" i="43"/>
  <c r="S2248" i="43"/>
  <c r="S795" i="43"/>
  <c r="S1436" i="43"/>
  <c r="S1222" i="43"/>
  <c r="S730" i="43"/>
  <c r="S1010" i="43"/>
  <c r="S565" i="43"/>
  <c r="S341" i="43"/>
  <c r="S148" i="43"/>
  <c r="S1771" i="43"/>
  <c r="S804" i="43"/>
  <c r="S1263" i="43"/>
  <c r="S720" i="43"/>
  <c r="S995" i="43"/>
  <c r="S1306" i="43"/>
  <c r="S644" i="43"/>
  <c r="S370" i="43"/>
  <c r="S373" i="43"/>
  <c r="S535" i="43"/>
  <c r="S85" i="43"/>
  <c r="S62" i="43"/>
  <c r="S286" i="43"/>
  <c r="S29" i="43"/>
  <c r="S107" i="43"/>
  <c r="S528" i="43"/>
  <c r="S869" i="43"/>
  <c r="S1397" i="43"/>
  <c r="S1500" i="43"/>
  <c r="S1199" i="43"/>
  <c r="S2335" i="43"/>
  <c r="S1161" i="43"/>
  <c r="S1275" i="43"/>
  <c r="S2068" i="43"/>
  <c r="S1289" i="43"/>
  <c r="S753" i="43"/>
  <c r="S474" i="43"/>
  <c r="S819" i="43"/>
  <c r="S639" i="43"/>
  <c r="S105" i="43"/>
  <c r="S84" i="43"/>
  <c r="S2184" i="43"/>
  <c r="S688" i="43"/>
  <c r="S931" i="43"/>
  <c r="S958" i="43"/>
  <c r="S353" i="43"/>
  <c r="S562" i="43"/>
  <c r="S907" i="43"/>
  <c r="S1800" i="43"/>
  <c r="S1675" i="43"/>
  <c r="S2312" i="43"/>
  <c r="S977" i="43"/>
  <c r="S1060" i="43"/>
  <c r="S1864" i="43"/>
  <c r="S2207" i="43"/>
  <c r="S968" i="43"/>
  <c r="S794" i="43"/>
  <c r="S691" i="43"/>
  <c r="S892" i="43"/>
  <c r="S937" i="43"/>
  <c r="S212" i="43"/>
  <c r="S1380" i="43"/>
  <c r="S2027" i="43"/>
  <c r="S1684" i="43"/>
  <c r="S1211" i="43"/>
  <c r="S1578" i="43"/>
  <c r="S788" i="43"/>
  <c r="S837" i="43"/>
  <c r="S1353" i="43"/>
  <c r="S410" i="43"/>
  <c r="S694" i="43"/>
  <c r="S585" i="43"/>
  <c r="S437" i="43"/>
  <c r="S40" i="43"/>
  <c r="S320" i="43"/>
  <c r="S171" i="43"/>
  <c r="S1663" i="43"/>
  <c r="S1407" i="43"/>
  <c r="S604" i="43"/>
  <c r="S1050" i="43"/>
  <c r="S667" i="43"/>
  <c r="S1730" i="43"/>
  <c r="S1071" i="43"/>
  <c r="S624" i="43"/>
  <c r="S1225" i="43"/>
  <c r="S625" i="43"/>
  <c r="S454" i="43"/>
  <c r="S457" i="43"/>
  <c r="S363" i="43"/>
  <c r="S206" i="43"/>
  <c r="S448" i="43"/>
  <c r="S256" i="43"/>
  <c r="S2260" i="43"/>
  <c r="S1899" i="43"/>
  <c r="S1124" i="43"/>
  <c r="S1450" i="43"/>
  <c r="S750" i="43"/>
  <c r="S1677" i="43"/>
  <c r="S1421" i="43"/>
  <c r="S1098" i="43"/>
  <c r="S1083" i="43"/>
  <c r="S1048" i="43"/>
  <c r="S848" i="43"/>
  <c r="S387" i="43"/>
  <c r="S146" i="43"/>
  <c r="S213" i="43"/>
  <c r="S191" i="43"/>
  <c r="S215" i="43"/>
  <c r="S471" i="43"/>
  <c r="S408" i="43"/>
  <c r="S299" i="43"/>
  <c r="S42" i="43"/>
  <c r="S540" i="43"/>
  <c r="S129" i="43"/>
  <c r="S2324" i="43"/>
  <c r="S1963" i="43"/>
  <c r="S2484" i="43"/>
  <c r="S1252" i="43"/>
  <c r="S2078" i="43"/>
  <c r="S1514" i="43"/>
  <c r="S1535" i="43"/>
  <c r="S1448" i="43"/>
  <c r="S1316" i="43"/>
  <c r="S773" i="43"/>
  <c r="S814" i="43"/>
  <c r="S1346" i="43"/>
  <c r="S346" i="43"/>
  <c r="S834" i="43"/>
  <c r="S451" i="43"/>
  <c r="S582" i="43"/>
  <c r="S491" i="43"/>
  <c r="S277" i="43"/>
  <c r="S255" i="43"/>
  <c r="S232" i="43"/>
  <c r="S128" i="43"/>
  <c r="S2466" i="43"/>
  <c r="S1549" i="43"/>
  <c r="S1176" i="43"/>
  <c r="S33" i="43"/>
  <c r="S709" i="43"/>
  <c r="S1149" i="43"/>
  <c r="S904" i="43"/>
  <c r="S627" i="43"/>
  <c r="S349" i="43"/>
  <c r="S511" i="43"/>
  <c r="S300" i="43"/>
  <c r="S366" i="43"/>
  <c r="S266" i="43"/>
  <c r="S9" i="43"/>
  <c r="S87" i="43"/>
  <c r="S343" i="43"/>
  <c r="S86" i="43"/>
  <c r="S3129" i="43"/>
  <c r="S2108" i="43"/>
  <c r="S2393" i="43"/>
  <c r="S2563" i="43"/>
  <c r="S2408" i="43"/>
  <c r="S2729" i="43"/>
  <c r="S3190" i="43"/>
  <c r="S2719" i="43"/>
  <c r="S2889" i="43"/>
  <c r="S2372" i="43"/>
  <c r="S2423" i="43"/>
  <c r="S1239" i="43"/>
  <c r="S2014" i="43"/>
  <c r="S2323" i="43"/>
  <c r="S2067" i="43"/>
  <c r="S1811" i="43"/>
  <c r="S1111" i="43"/>
  <c r="S1471" i="43"/>
  <c r="S1640" i="43"/>
  <c r="S1946" i="43"/>
  <c r="S1304" i="43"/>
  <c r="S1473" i="43"/>
  <c r="S1382" i="43"/>
  <c r="S1794" i="43"/>
  <c r="S1135" i="43"/>
  <c r="S817" i="43"/>
  <c r="S744" i="43"/>
  <c r="S946" i="43"/>
  <c r="S689" i="43"/>
  <c r="S770" i="43"/>
  <c r="S545" i="43"/>
  <c r="S518" i="43"/>
  <c r="S521" i="43"/>
  <c r="S427" i="43"/>
  <c r="S20" i="43"/>
  <c r="H56" i="11" s="1"/>
  <c r="I56" i="11" s="1"/>
  <c r="S168" i="43"/>
  <c r="S90" i="43"/>
  <c r="S322" i="43"/>
  <c r="S166" i="43"/>
  <c r="S321" i="43"/>
  <c r="S63" i="43"/>
  <c r="S2765" i="43"/>
  <c r="S2249" i="43"/>
  <c r="S1993" i="43"/>
  <c r="S2925" i="43"/>
  <c r="S2845" i="43"/>
  <c r="S2155" i="43"/>
  <c r="S1812" i="43"/>
  <c r="S1992" i="43"/>
  <c r="S2401" i="43"/>
  <c r="S2571" i="43"/>
  <c r="S1970" i="43"/>
  <c r="S1511" i="43"/>
  <c r="S1424" i="43"/>
  <c r="S929" i="43"/>
  <c r="S747" i="43"/>
  <c r="S1706" i="43"/>
  <c r="S1717" i="43"/>
  <c r="S1250" i="43"/>
  <c r="S1841" i="43"/>
  <c r="S669" i="43"/>
  <c r="S1485" i="43"/>
  <c r="S1906" i="43"/>
  <c r="S1265" i="43"/>
  <c r="S1298" i="43"/>
  <c r="S606" i="43"/>
  <c r="S1641" i="43"/>
  <c r="S1112" i="43"/>
  <c r="S1174" i="43"/>
  <c r="S791" i="43"/>
  <c r="S538" i="43"/>
  <c r="S645" i="43"/>
  <c r="S1085" i="43"/>
  <c r="S882" i="43"/>
  <c r="S541" i="43"/>
  <c r="S125" i="43"/>
  <c r="S447" i="43"/>
  <c r="S43" i="43"/>
  <c r="S558" i="43"/>
  <c r="S169" i="43"/>
  <c r="S126" i="43"/>
  <c r="S368" i="43"/>
  <c r="S279" i="43"/>
  <c r="S22" i="43"/>
  <c r="S444" i="43"/>
  <c r="S2219" i="43"/>
  <c r="S1876" i="43"/>
  <c r="S1341" i="43"/>
  <c r="S1599" i="43"/>
  <c r="S1512" i="43"/>
  <c r="S1781" i="43"/>
  <c r="S956" i="43"/>
  <c r="S985" i="43"/>
  <c r="S733" i="43"/>
  <c r="S1097" i="43"/>
  <c r="S615" i="43"/>
  <c r="S189" i="43"/>
  <c r="S390" i="43"/>
  <c r="S108" i="43"/>
  <c r="S393" i="43"/>
  <c r="S555" i="43"/>
  <c r="S233" i="43"/>
  <c r="S296" i="43"/>
  <c r="S39" i="43"/>
  <c r="S192" i="43"/>
  <c r="S2196" i="43"/>
  <c r="S2609" i="43"/>
  <c r="S2530" i="43"/>
  <c r="S2443" i="43"/>
  <c r="S1368" i="43"/>
  <c r="S1188" i="43"/>
  <c r="S1613" i="43"/>
  <c r="S1019" i="43"/>
  <c r="S1240" i="43"/>
  <c r="S729" i="43"/>
  <c r="S919" i="43"/>
  <c r="S663" i="43"/>
  <c r="S1090" i="43"/>
  <c r="S1213" i="43"/>
  <c r="S1246" i="43"/>
  <c r="S481" i="43"/>
  <c r="S413" i="43"/>
  <c r="S575" i="43"/>
  <c r="S342" i="43"/>
  <c r="S430" i="43"/>
  <c r="S420" i="43"/>
  <c r="S151" i="43"/>
  <c r="S257" i="43"/>
  <c r="S3234" i="43"/>
  <c r="S1416" i="43"/>
  <c r="S1756" i="43"/>
  <c r="S2837" i="43"/>
  <c r="S1534" i="43"/>
  <c r="S1569" i="43"/>
  <c r="S1907" i="43"/>
  <c r="S2152" i="43"/>
  <c r="S917" i="43"/>
  <c r="S2123" i="43"/>
  <c r="S2061" i="43"/>
  <c r="S1726" i="43"/>
  <c r="S1338" i="43"/>
  <c r="S2099" i="43"/>
  <c r="S2230" i="43"/>
  <c r="S2664" i="43"/>
  <c r="S2595" i="43"/>
  <c r="S1079" i="43"/>
  <c r="S2128" i="43"/>
  <c r="S3175" i="43"/>
  <c r="S2901" i="43"/>
  <c r="S2706" i="43"/>
  <c r="S2076" i="43"/>
  <c r="S2402" i="43"/>
  <c r="S2832" i="43"/>
  <c r="S2449" i="43"/>
  <c r="S3021" i="43"/>
  <c r="S1780" i="43"/>
  <c r="S2637" i="43"/>
  <c r="S2192" i="43"/>
  <c r="S3029" i="43"/>
  <c r="S3193" i="43"/>
  <c r="S2164" i="43"/>
  <c r="S1132" i="43"/>
  <c r="S1854" i="43"/>
  <c r="S1039" i="43"/>
  <c r="S1544" i="43"/>
  <c r="S1884" i="43"/>
  <c r="S2189" i="43"/>
  <c r="S1608" i="43"/>
  <c r="S1948" i="43"/>
  <c r="S2038" i="43"/>
  <c r="S2683" i="43"/>
  <c r="S2376" i="43"/>
  <c r="S547" i="43"/>
  <c r="S902" i="43"/>
  <c r="S721" i="43"/>
  <c r="S655" i="43"/>
  <c r="S550" i="43"/>
  <c r="S2797" i="43"/>
  <c r="S2025" i="43"/>
  <c r="S2603" i="43"/>
  <c r="S2383" i="43"/>
  <c r="S844" i="43"/>
  <c r="S1206" i="43"/>
  <c r="S914" i="43"/>
  <c r="S442" i="43"/>
  <c r="S289" i="43"/>
  <c r="S311" i="43"/>
  <c r="S2900" i="43"/>
  <c r="S1179" i="43"/>
  <c r="S577" i="43"/>
  <c r="S636" i="43"/>
  <c r="S782" i="43"/>
  <c r="S1285" i="43"/>
  <c r="S826" i="43"/>
  <c r="S679" i="43"/>
  <c r="S419" i="43"/>
  <c r="S8" i="43"/>
  <c r="S309" i="43"/>
  <c r="S323" i="43"/>
  <c r="S333" i="43"/>
  <c r="S244" i="43"/>
  <c r="S243" i="43"/>
  <c r="S3020" i="43"/>
  <c r="S2216" i="43"/>
  <c r="S1508" i="43"/>
  <c r="S3154" i="43"/>
  <c r="S2668" i="43"/>
  <c r="S2582" i="43"/>
  <c r="S2495" i="43"/>
  <c r="S2234" i="43"/>
  <c r="S2762" i="43"/>
  <c r="S2831" i="43"/>
  <c r="S2140" i="43"/>
  <c r="S2661" i="43"/>
  <c r="S1802" i="43"/>
  <c r="S2279" i="43"/>
  <c r="S2023" i="43"/>
  <c r="S1767" i="43"/>
  <c r="S1936" i="43"/>
  <c r="S1680" i="43"/>
  <c r="S1429" i="43"/>
  <c r="S1580" i="43"/>
  <c r="S732" i="43"/>
  <c r="S2042" i="43"/>
  <c r="S1750" i="43"/>
  <c r="S1091" i="43"/>
  <c r="S1741" i="43"/>
  <c r="S1650" i="43"/>
  <c r="S991" i="43"/>
  <c r="S1897" i="43"/>
  <c r="S1385" i="43"/>
  <c r="S1065" i="43"/>
  <c r="S954" i="43"/>
  <c r="S829" i="43"/>
  <c r="S682" i="43"/>
  <c r="S1218" i="43"/>
  <c r="S835" i="43"/>
  <c r="S1056" i="43"/>
  <c r="S597" i="43"/>
  <c r="S696" i="43"/>
  <c r="S1118" i="43"/>
  <c r="S466" i="43"/>
  <c r="S469" i="43"/>
  <c r="S375" i="43"/>
  <c r="S114" i="43"/>
  <c r="S548" i="43"/>
  <c r="S161" i="43"/>
  <c r="S203" i="43"/>
  <c r="S2228" i="43"/>
  <c r="S1220" i="43"/>
  <c r="S1621" i="43"/>
  <c r="S1738" i="43"/>
  <c r="S1918" i="43"/>
  <c r="S1877" i="43"/>
  <c r="S2280" i="43"/>
  <c r="S2600" i="43"/>
  <c r="S2253" i="43"/>
  <c r="S2892" i="43"/>
  <c r="S755" i="43"/>
  <c r="S976" i="43"/>
  <c r="S802" i="43"/>
  <c r="S137" i="43"/>
  <c r="S200" i="43"/>
  <c r="S96" i="43"/>
  <c r="S2957" i="43"/>
  <c r="S2433" i="43"/>
  <c r="S1873" i="43"/>
  <c r="S1082" i="43"/>
  <c r="S677" i="43"/>
  <c r="S1117" i="43"/>
  <c r="S590" i="43"/>
  <c r="S400" i="43"/>
  <c r="S54" i="43"/>
  <c r="S1674" i="43"/>
  <c r="S3025" i="43"/>
  <c r="S2812" i="43"/>
  <c r="S1668" i="43"/>
  <c r="S1727" i="43"/>
  <c r="S1896" i="43"/>
  <c r="S1207" i="43"/>
  <c r="S1373" i="43"/>
  <c r="S1041" i="43"/>
  <c r="S1000" i="43"/>
  <c r="S1029" i="43"/>
  <c r="S870" i="43"/>
  <c r="S287" i="43"/>
  <c r="S1231" i="43"/>
  <c r="H25" i="11" s="1"/>
  <c r="I25" i="11" s="1"/>
  <c r="S1386" i="43"/>
  <c r="S1307" i="43"/>
  <c r="S2355" i="43"/>
  <c r="S2317" i="43"/>
  <c r="S3096" i="43"/>
  <c r="S2747" i="43"/>
  <c r="S2356" i="43"/>
  <c r="S3118" i="43"/>
  <c r="S2227" i="43"/>
  <c r="S2962" i="43"/>
  <c r="S2827" i="43"/>
  <c r="S1260" i="43"/>
  <c r="S1103" i="43"/>
  <c r="S2291" i="43"/>
  <c r="S2856" i="43"/>
  <c r="S3024" i="43"/>
  <c r="S3026" i="43"/>
  <c r="S1094" i="43"/>
  <c r="S553" i="43"/>
  <c r="S459" i="43"/>
  <c r="S2281" i="43"/>
  <c r="S2874" i="43"/>
  <c r="S2024" i="43"/>
  <c r="S2002" i="43"/>
  <c r="S1543" i="43"/>
  <c r="S1557" i="43"/>
  <c r="S1612" i="43"/>
  <c r="S1092" i="43"/>
  <c r="S1359" i="43"/>
  <c r="S961" i="43"/>
  <c r="S988" i="43"/>
  <c r="S1517" i="43"/>
  <c r="S1129" i="43"/>
  <c r="S1144" i="43"/>
  <c r="S226" i="43"/>
  <c r="S658" i="43"/>
  <c r="S596" i="43"/>
  <c r="S479" i="43"/>
  <c r="S158" i="43"/>
  <c r="S2642" i="43"/>
  <c r="S1707" i="43"/>
  <c r="S3159" i="43"/>
  <c r="S1555" i="43"/>
  <c r="S1638" i="43"/>
  <c r="S864" i="43"/>
  <c r="S1105" i="43"/>
  <c r="S2046" i="43"/>
  <c r="S2065" i="43"/>
  <c r="S2425" i="43"/>
  <c r="S3001" i="43"/>
  <c r="S2927" i="43"/>
  <c r="S1803" i="43"/>
  <c r="S2406" i="43"/>
  <c r="S2660" i="43"/>
  <c r="S2292" i="43"/>
  <c r="S3089" i="43"/>
  <c r="S2801" i="43"/>
  <c r="S3155" i="43"/>
  <c r="S1378" i="43"/>
  <c r="S852" i="43"/>
  <c r="S1546" i="43"/>
  <c r="S2986" i="43"/>
  <c r="S2064" i="43"/>
  <c r="S1790" i="43"/>
  <c r="S1480" i="43"/>
  <c r="S1820" i="43"/>
  <c r="S2163" i="43"/>
  <c r="S2516" i="43"/>
  <c r="S2298" i="43"/>
  <c r="S2728" i="43"/>
  <c r="S2698" i="43"/>
  <c r="S1444" i="43"/>
  <c r="S1482" i="43"/>
  <c r="S2294" i="43"/>
  <c r="S2125" i="43"/>
  <c r="S2898" i="43"/>
  <c r="S3058" i="43"/>
  <c r="S2100" i="43"/>
  <c r="S2965" i="43"/>
  <c r="S2619" i="43"/>
  <c r="S3151" i="43"/>
  <c r="S2711" i="43"/>
  <c r="S2384" i="43"/>
  <c r="S3015" i="43"/>
  <c r="S3126" i="43"/>
  <c r="S3122" i="43"/>
  <c r="S654" i="43"/>
  <c r="S1003" i="43"/>
  <c r="S1982" i="43"/>
  <c r="S2001" i="43"/>
  <c r="S2702" i="43"/>
  <c r="S2361" i="43"/>
  <c r="S2985" i="43"/>
  <c r="S1739" i="43"/>
  <c r="S2130" i="43"/>
  <c r="S2647" i="43"/>
  <c r="S2576" i="43"/>
  <c r="S1074" i="43"/>
  <c r="S1230" i="43"/>
  <c r="S657" i="43"/>
  <c r="S738" i="43"/>
  <c r="S486" i="43"/>
  <c r="S181" i="43"/>
  <c r="S159" i="43"/>
  <c r="S489" i="43"/>
  <c r="S395" i="43"/>
  <c r="S194" i="43"/>
  <c r="S285" i="43"/>
  <c r="S204" i="43"/>
  <c r="S238" i="43"/>
  <c r="H38" i="11" s="1"/>
  <c r="I38" i="11" s="1"/>
  <c r="S136" i="43"/>
  <c r="S480" i="43"/>
  <c r="S315" i="43"/>
  <c r="S57" i="43"/>
  <c r="S134" i="43"/>
  <c r="S288" i="43"/>
  <c r="S31" i="43"/>
  <c r="S2816" i="43"/>
  <c r="S2088" i="43"/>
  <c r="S2217" i="43"/>
  <c r="S3163" i="43"/>
  <c r="S2893" i="43"/>
  <c r="S811" i="43"/>
  <c r="S2624" i="43"/>
  <c r="S2369" i="43"/>
  <c r="S2539" i="43"/>
  <c r="S1143" i="43"/>
  <c r="S1479" i="43"/>
  <c r="S1809" i="43"/>
  <c r="S1709" i="43"/>
  <c r="S1453" i="43"/>
  <c r="S1226" i="43"/>
  <c r="S1115" i="43"/>
  <c r="S1080" i="43"/>
  <c r="S765" i="43"/>
  <c r="S912" i="43"/>
  <c r="S613" i="43"/>
  <c r="S1309" i="43"/>
  <c r="S1053" i="43"/>
  <c r="S676" i="43"/>
  <c r="S703" i="43"/>
  <c r="S509" i="43"/>
  <c r="S330" i="43"/>
  <c r="S415" i="43"/>
  <c r="S274" i="43"/>
  <c r="S623" i="43"/>
  <c r="S526" i="43"/>
  <c r="S2790" i="43"/>
  <c r="S2573" i="43"/>
  <c r="S2332" i="43"/>
  <c r="S3093" i="43"/>
  <c r="S825" i="43"/>
  <c r="S1715" i="43"/>
  <c r="S2193" i="43"/>
  <c r="S2887" i="43"/>
  <c r="S2554" i="43"/>
  <c r="S1931" i="43"/>
  <c r="S2036" i="43"/>
  <c r="S2923" i="43"/>
  <c r="S2988" i="43"/>
  <c r="S2429" i="43"/>
  <c r="S2469" i="43"/>
  <c r="S1406" i="43"/>
  <c r="S1762" i="43"/>
  <c r="S1441" i="43"/>
  <c r="S1439" i="43"/>
  <c r="S1779" i="43"/>
  <c r="S2257" i="43"/>
  <c r="S3028" i="43"/>
  <c r="S2687" i="43"/>
  <c r="S2697" i="43"/>
  <c r="S3219" i="43"/>
  <c r="S2791" i="43"/>
  <c r="S3085" i="43"/>
  <c r="S1995" i="43"/>
  <c r="S2194" i="43"/>
  <c r="S2494" i="43"/>
  <c r="S2509" i="43"/>
  <c r="S966" i="43"/>
  <c r="S385" i="43"/>
  <c r="S573" i="43"/>
  <c r="S783" i="43"/>
  <c r="S506" i="43"/>
  <c r="S422" i="43"/>
  <c r="S425" i="43"/>
  <c r="S587" i="43"/>
  <c r="S28" i="43"/>
  <c r="S306" i="43"/>
  <c r="S329" i="43"/>
  <c r="S71" i="43"/>
  <c r="S492" i="43"/>
  <c r="S224" i="43"/>
  <c r="S2752" i="43"/>
  <c r="S2000" i="43"/>
  <c r="S2153" i="43"/>
  <c r="S2322" i="43"/>
  <c r="S3062" i="43"/>
  <c r="S2828" i="43"/>
  <c r="S3214" i="43"/>
  <c r="S2993" i="43"/>
  <c r="S2821" i="43"/>
  <c r="S2441" i="43"/>
  <c r="S2562" i="43"/>
  <c r="S2475" i="43"/>
  <c r="S1671" i="43"/>
  <c r="S1415" i="43"/>
  <c r="S1584" i="43"/>
  <c r="S1243" i="43"/>
  <c r="S2508" i="43"/>
  <c r="S1656" i="43"/>
  <c r="S1745" i="43"/>
  <c r="S1910" i="43"/>
  <c r="S1645" i="43"/>
  <c r="S1810" i="43"/>
  <c r="S1167" i="43"/>
  <c r="S849" i="43"/>
  <c r="S1545" i="43"/>
  <c r="S1051" i="43"/>
  <c r="S1324" i="43"/>
  <c r="S756" i="43"/>
  <c r="S805" i="43"/>
  <c r="S846" i="43"/>
  <c r="S1272" i="43"/>
  <c r="S1016" i="43"/>
  <c r="S951" i="43"/>
  <c r="S483" i="43"/>
  <c r="S1122" i="43"/>
  <c r="S784" i="43"/>
  <c r="S1245" i="43"/>
  <c r="S1278" i="43"/>
  <c r="S1022" i="43"/>
  <c r="S445" i="43"/>
  <c r="S72" i="43"/>
  <c r="S351" i="43"/>
  <c r="S462" i="43"/>
  <c r="S452" i="43"/>
  <c r="S32" i="43"/>
  <c r="S247" i="43"/>
  <c r="S412" i="43"/>
  <c r="S2533" i="43"/>
  <c r="S2835" i="43"/>
  <c r="S2472" i="43"/>
  <c r="S1451" i="43"/>
  <c r="S2536" i="43"/>
  <c r="S3087" i="43"/>
  <c r="S1749" i="43"/>
  <c r="S2512" i="43"/>
  <c r="S1349" i="43"/>
  <c r="S2175" i="43"/>
  <c r="S1919" i="43"/>
  <c r="S1832" i="43"/>
  <c r="S1271" i="43"/>
  <c r="S1574" i="43"/>
  <c r="S1219" i="43"/>
  <c r="S926" i="43"/>
  <c r="S1196" i="43"/>
  <c r="S1221" i="43"/>
  <c r="S965" i="43"/>
  <c r="S1254" i="43"/>
  <c r="S681" i="43"/>
  <c r="S762" i="43"/>
  <c r="S513" i="43"/>
  <c r="S806" i="43"/>
  <c r="S828" i="43"/>
  <c r="S52" i="43"/>
  <c r="S30" i="43"/>
  <c r="S157" i="43"/>
  <c r="S76" i="43"/>
  <c r="S180" i="43"/>
  <c r="S179" i="43"/>
  <c r="S2701" i="43"/>
  <c r="S2691" i="43"/>
  <c r="S3131" i="43"/>
  <c r="S2430" i="43"/>
  <c r="S2170" i="43"/>
  <c r="S3196" i="43"/>
  <c r="S2767" i="43"/>
  <c r="S1028" i="43"/>
  <c r="S2215" i="43"/>
  <c r="S1959" i="43"/>
  <c r="S1872" i="43"/>
  <c r="S1347" i="43"/>
  <c r="S1978" i="43"/>
  <c r="S875" i="43"/>
  <c r="S1027" i="43"/>
  <c r="S1933" i="43"/>
  <c r="S1586" i="43"/>
  <c r="S1295" i="43"/>
  <c r="S1833" i="43"/>
  <c r="S637" i="43"/>
  <c r="S760" i="43"/>
  <c r="S618" i="43"/>
  <c r="S727" i="43"/>
  <c r="S927" i="43"/>
  <c r="S201" i="43"/>
  <c r="S402" i="43"/>
  <c r="S405" i="43"/>
  <c r="S567" i="43"/>
  <c r="S139" i="43"/>
  <c r="S138" i="43"/>
  <c r="S214" i="43"/>
  <c r="S2256" i="43"/>
  <c r="S183" i="43"/>
  <c r="S2572" i="43"/>
  <c r="S2174" i="43"/>
  <c r="S2771" i="43"/>
  <c r="S1156" i="43"/>
  <c r="S2204" i="43"/>
  <c r="S1493" i="43"/>
  <c r="S2448" i="43"/>
  <c r="S1683" i="43"/>
  <c r="S1427" i="43"/>
  <c r="S1596" i="43"/>
  <c r="S964" i="43"/>
  <c r="S2111" i="43"/>
  <c r="S1855" i="43"/>
  <c r="S1768" i="43"/>
  <c r="S1510" i="43"/>
  <c r="S761" i="43"/>
  <c r="S1297" i="43"/>
  <c r="S1330" i="43"/>
  <c r="S873" i="43"/>
  <c r="S1068" i="43"/>
  <c r="S1157" i="43"/>
  <c r="S617" i="43"/>
  <c r="S807" i="43"/>
  <c r="S978" i="43"/>
  <c r="S742" i="43"/>
  <c r="S808" i="43"/>
  <c r="S378" i="43"/>
  <c r="S225" i="43"/>
  <c r="S218" i="43"/>
  <c r="S116" i="43"/>
  <c r="S294" i="43"/>
  <c r="S37" i="43"/>
  <c r="S115" i="43"/>
  <c r="S2634" i="43"/>
  <c r="S1418" i="43"/>
  <c r="S2344" i="43"/>
  <c r="S2454" i="43"/>
  <c r="S2197" i="43"/>
  <c r="S2623" i="43"/>
  <c r="S2366" i="43"/>
  <c r="S1643" i="43"/>
  <c r="S2766" i="43"/>
  <c r="S2960" i="43"/>
  <c r="S2151" i="43"/>
  <c r="S1895" i="43"/>
  <c r="S1808" i="43"/>
  <c r="S1941" i="43"/>
  <c r="S963" i="43"/>
  <c r="S859" i="43"/>
  <c r="S1869" i="43"/>
  <c r="S1522" i="43"/>
  <c r="S785" i="43"/>
  <c r="S1009" i="43"/>
  <c r="S1769" i="43"/>
  <c r="S1321" i="43"/>
  <c r="S718" i="43"/>
  <c r="S1302" i="43"/>
  <c r="S1046" i="43"/>
  <c r="S355" i="43"/>
  <c r="S707" i="43"/>
  <c r="S1184" i="43"/>
  <c r="S924" i="43"/>
  <c r="S957" i="43"/>
  <c r="S990" i="43"/>
  <c r="S245" i="43"/>
  <c r="S223" i="43"/>
  <c r="S594" i="43"/>
  <c r="S258" i="43"/>
  <c r="S503" i="43"/>
  <c r="S536" i="43"/>
  <c r="S268" i="43"/>
  <c r="S254" i="43"/>
  <c r="S332" i="43"/>
  <c r="S75" i="43"/>
  <c r="S496" i="43"/>
  <c r="S572" i="43"/>
  <c r="S3224" i="43"/>
  <c r="S3111" i="43"/>
  <c r="S3183" i="43"/>
  <c r="S298" i="43"/>
  <c r="S41" i="43"/>
  <c r="S119" i="43"/>
  <c r="S118" i="43"/>
  <c r="S2110" i="43"/>
  <c r="S3177" i="43"/>
  <c r="S3147" i="43"/>
  <c r="S3229" i="43"/>
  <c r="S3136" i="43"/>
  <c r="S2870" i="43"/>
  <c r="S1632" i="43"/>
  <c r="S1376" i="43"/>
  <c r="S1914" i="43"/>
  <c r="S2387" i="43"/>
  <c r="S1532" i="43"/>
  <c r="S2303" i="43"/>
  <c r="S2047" i="43"/>
  <c r="S1791" i="43"/>
  <c r="S1960" i="43"/>
  <c r="S1702" i="43"/>
  <c r="S1446" i="43"/>
  <c r="S700" i="43"/>
  <c r="S1169" i="43"/>
  <c r="S736" i="43"/>
  <c r="S936" i="43"/>
  <c r="S969" i="43"/>
  <c r="S701" i="43"/>
  <c r="S520" i="43"/>
  <c r="S1093" i="43"/>
  <c r="S890" i="43"/>
  <c r="S634" i="43"/>
  <c r="S1170" i="43"/>
  <c r="S1326" i="43"/>
  <c r="S1070" i="43"/>
  <c r="S612" i="43"/>
  <c r="S265" i="43"/>
  <c r="S488" i="43"/>
  <c r="S500" i="43"/>
  <c r="S335" i="43"/>
  <c r="S78" i="43"/>
  <c r="S576" i="43"/>
  <c r="S308" i="43"/>
  <c r="S51" i="43"/>
  <c r="S396" i="43"/>
  <c r="S307" i="43"/>
  <c r="S50" i="43"/>
  <c r="S3092" i="43"/>
  <c r="S2732" i="43"/>
  <c r="S2559" i="43"/>
  <c r="S2302" i="43"/>
  <c r="S2411" i="43"/>
  <c r="S1610" i="43"/>
  <c r="S2633" i="43"/>
  <c r="S3071" i="43"/>
  <c r="S2808" i="43"/>
  <c r="S2725" i="43"/>
  <c r="S1348" i="43"/>
  <c r="S2343" i="43"/>
  <c r="S2087" i="43"/>
  <c r="S1831" i="43"/>
  <c r="S1744" i="43"/>
  <c r="S1685" i="43"/>
  <c r="S1130" i="43"/>
  <c r="S1388" i="43"/>
  <c r="S2106" i="43"/>
  <c r="S857" i="43"/>
  <c r="S1805" i="43"/>
  <c r="S1155" i="43"/>
  <c r="S1458" i="43"/>
  <c r="S772" i="43"/>
  <c r="S1961" i="43"/>
  <c r="S855" i="43"/>
  <c r="S449" i="43"/>
  <c r="S1120" i="43"/>
  <c r="S570" i="43"/>
  <c r="S568" i="43"/>
  <c r="S530" i="43"/>
  <c r="S533" i="43"/>
  <c r="S93" i="43"/>
  <c r="S439" i="43"/>
  <c r="S11" i="43"/>
  <c r="S267" i="43"/>
  <c r="S10" i="43"/>
  <c r="S2770" i="43"/>
  <c r="S3237" i="43"/>
  <c r="S3235" i="43"/>
  <c r="S3156" i="43"/>
  <c r="S3125" i="43"/>
  <c r="S3167" i="43"/>
  <c r="S1670" i="43"/>
  <c r="S1344" i="43"/>
  <c r="S2679" i="43"/>
  <c r="S2670" i="43"/>
  <c r="S2006" i="43"/>
  <c r="S1478" i="43"/>
  <c r="S2888" i="43"/>
  <c r="S2379" i="43"/>
  <c r="S2606" i="43"/>
  <c r="S2692" i="43"/>
  <c r="S2352" i="43"/>
  <c r="S2605" i="43"/>
  <c r="S2822" i="43"/>
  <c r="S932" i="43"/>
  <c r="S1459" i="43"/>
  <c r="S2630" i="43"/>
  <c r="S2798" i="43"/>
  <c r="S1523" i="43"/>
  <c r="S1540" i="43"/>
  <c r="S2780" i="43"/>
  <c r="S2694" i="43"/>
  <c r="S2804" i="43"/>
  <c r="S2992" i="43"/>
  <c r="S3145" i="43"/>
  <c r="S997" i="43"/>
  <c r="S847" i="43"/>
  <c r="S603" i="43"/>
  <c r="S472" i="43"/>
  <c r="S2733" i="43"/>
  <c r="S2628" i="43"/>
  <c r="S2550" i="43"/>
  <c r="S2463" i="43"/>
  <c r="S2202" i="43"/>
  <c r="S2850" i="43"/>
  <c r="S2799" i="43"/>
  <c r="S2247" i="43"/>
  <c r="S1991" i="43"/>
  <c r="S1735" i="43"/>
  <c r="S1187" i="43"/>
  <c r="S2010" i="43"/>
  <c r="S1589" i="43"/>
  <c r="S1718" i="43"/>
  <c r="S1059" i="43"/>
  <c r="S1965" i="43"/>
  <c r="S959" i="43"/>
  <c r="S1201" i="43"/>
  <c r="S824" i="43"/>
  <c r="S1280" i="43"/>
  <c r="S1024" i="43"/>
  <c r="S598" i="43"/>
  <c r="S2929" i="43"/>
  <c r="S2586" i="43"/>
  <c r="S2499" i="43"/>
  <c r="S2665" i="43"/>
  <c r="S2655" i="43"/>
  <c r="S2995" i="43"/>
  <c r="S2120" i="43"/>
  <c r="S2651" i="43"/>
  <c r="S1412" i="43"/>
  <c r="S2259" i="43"/>
  <c r="S2003" i="43"/>
  <c r="S1747" i="43"/>
  <c r="S1665" i="43"/>
  <c r="S1409" i="43"/>
  <c r="S889" i="43"/>
  <c r="S1175" i="43"/>
  <c r="S971" i="43"/>
  <c r="S1258" i="43"/>
  <c r="S998" i="43"/>
  <c r="S1042" i="43"/>
  <c r="S1198" i="43"/>
  <c r="S372" i="43"/>
  <c r="S2185" i="43"/>
  <c r="S2354" i="43"/>
  <c r="S3141" i="43"/>
  <c r="S2861" i="43"/>
  <c r="S3030" i="43"/>
  <c r="S1703" i="43"/>
  <c r="S1447" i="43"/>
  <c r="S1688" i="43"/>
  <c r="S1461" i="43"/>
  <c r="S1777" i="43"/>
  <c r="S1942" i="43"/>
  <c r="S1842" i="43"/>
  <c r="S1137" i="43"/>
  <c r="S1577" i="43"/>
  <c r="S934" i="43"/>
  <c r="S771" i="43"/>
  <c r="S1587" i="43"/>
  <c r="S2841" i="43"/>
  <c r="S2959" i="43"/>
  <c r="S2236" i="43"/>
  <c r="S2743" i="43"/>
  <c r="S3227" i="43"/>
  <c r="S2758" i="43"/>
  <c r="S2984" i="43"/>
  <c r="S2419" i="43"/>
  <c r="S2952" i="43"/>
  <c r="S2734" i="43"/>
  <c r="S2070" i="43"/>
  <c r="S2615" i="43"/>
  <c r="S2590" i="43"/>
  <c r="S800" i="43"/>
  <c r="S2966" i="43"/>
  <c r="S2601" i="43"/>
  <c r="S2288" i="43"/>
  <c r="S3212" i="43"/>
  <c r="S3049" i="43"/>
  <c r="S1588" i="43"/>
  <c r="S2439" i="43"/>
  <c r="S2544" i="43"/>
  <c r="S2157" i="43"/>
  <c r="S2930" i="43"/>
  <c r="S2860" i="43"/>
  <c r="S949" i="43"/>
  <c r="S1818" i="43"/>
  <c r="S2029" i="43"/>
  <c r="S2221" i="43"/>
  <c r="S2991" i="43"/>
  <c r="S3121" i="43"/>
  <c r="S2924" i="43"/>
  <c r="S3034" i="43"/>
  <c r="S1189" i="43"/>
  <c r="S674" i="43"/>
  <c r="S2172" i="43"/>
  <c r="S2669" i="43"/>
  <c r="S2568" i="43"/>
  <c r="S2477" i="43"/>
  <c r="S2486" i="43"/>
  <c r="S2398" i="43"/>
  <c r="S2138" i="43"/>
  <c r="S2895" i="43"/>
  <c r="S2183" i="43"/>
  <c r="S1927" i="43"/>
  <c r="S1840" i="43"/>
  <c r="S1303" i="43"/>
  <c r="S1315" i="43"/>
  <c r="S1901" i="43"/>
  <c r="S1554" i="43"/>
  <c r="S1073" i="43"/>
  <c r="S1801" i="43"/>
  <c r="S1334" i="43"/>
  <c r="S1078" i="43"/>
  <c r="S1216" i="43"/>
  <c r="S989" i="43"/>
  <c r="S895" i="43"/>
  <c r="S2865" i="43"/>
  <c r="S2522" i="43"/>
  <c r="S2434" i="43"/>
  <c r="S2224" i="43"/>
  <c r="S3124" i="43"/>
  <c r="S2826" i="43"/>
  <c r="S2537" i="43"/>
  <c r="S3019" i="43"/>
  <c r="S2161" i="43"/>
  <c r="S2330" i="43"/>
  <c r="S1381" i="43"/>
  <c r="S2195" i="43"/>
  <c r="S1939" i="43"/>
  <c r="S1852" i="43"/>
  <c r="S1770" i="43"/>
  <c r="S1601" i="43"/>
  <c r="S1566" i="43"/>
  <c r="S812" i="43"/>
  <c r="S698" i="43"/>
  <c r="S2720" i="43"/>
  <c r="S2629" i="43"/>
  <c r="S2121" i="43"/>
  <c r="S2290" i="43"/>
  <c r="S2955" i="43"/>
  <c r="S2970" i="43"/>
  <c r="S2044" i="43"/>
  <c r="S2789" i="43"/>
  <c r="S2098" i="43"/>
  <c r="S1639" i="43"/>
  <c r="S1552" i="43"/>
  <c r="S1708" i="43"/>
  <c r="S1047" i="43"/>
  <c r="S2476" i="43"/>
  <c r="S1882" i="43"/>
  <c r="S1969" i="43"/>
  <c r="S1713" i="43"/>
  <c r="S1878" i="43"/>
  <c r="S1513" i="43"/>
  <c r="S1292" i="43"/>
  <c r="S863" i="43"/>
  <c r="S996" i="43"/>
  <c r="S2761" i="43"/>
  <c r="S2666" i="43"/>
  <c r="S2919" i="43"/>
  <c r="S2285" i="43"/>
  <c r="S3064" i="43"/>
  <c r="S2715" i="43"/>
  <c r="S2412" i="43"/>
  <c r="S2162" i="43"/>
  <c r="S2866" i="43"/>
  <c r="S3053" i="43"/>
  <c r="S2795" i="43"/>
  <c r="S3197" i="43"/>
  <c r="S2794" i="43"/>
  <c r="S868" i="43"/>
  <c r="S2503" i="43"/>
  <c r="S1367" i="43"/>
  <c r="S2262" i="43"/>
  <c r="S1125" i="43"/>
  <c r="S922" i="43"/>
  <c r="S1202" i="43"/>
  <c r="S941" i="43"/>
  <c r="S1102" i="43"/>
  <c r="S610" i="43"/>
  <c r="S719" i="43"/>
  <c r="S3128" i="43"/>
  <c r="S3023" i="43"/>
  <c r="S2421" i="43"/>
  <c r="S2591" i="43"/>
  <c r="S3086" i="43"/>
  <c r="S2928" i="43"/>
  <c r="S2757" i="43"/>
  <c r="S1476" i="43"/>
  <c r="S2119" i="43"/>
  <c r="S1863" i="43"/>
  <c r="S1776" i="43"/>
  <c r="S1837" i="43"/>
  <c r="S1737" i="43"/>
  <c r="S1228" i="43"/>
  <c r="S456" i="43"/>
  <c r="S1152" i="43"/>
  <c r="S2458" i="43"/>
  <c r="S2370" i="43"/>
  <c r="S2953" i="43"/>
  <c r="S2353" i="43"/>
  <c r="S2097" i="43"/>
  <c r="S2266" i="43"/>
  <c r="S2131" i="43"/>
  <c r="S1875" i="43"/>
  <c r="S1788" i="43"/>
  <c r="S1525" i="43"/>
  <c r="S1537" i="43"/>
  <c r="S1758" i="43"/>
  <c r="S1502" i="43"/>
  <c r="S1126" i="43"/>
  <c r="S743" i="43"/>
  <c r="S880" i="43"/>
  <c r="S1008" i="43"/>
  <c r="S2656" i="43"/>
  <c r="S2473" i="43"/>
  <c r="S2313" i="43"/>
  <c r="S2057" i="43"/>
  <c r="S2990" i="43"/>
  <c r="S1980" i="43"/>
  <c r="S2056" i="43"/>
  <c r="S2034" i="43"/>
  <c r="S1575" i="43"/>
  <c r="S1488" i="43"/>
  <c r="S1327" i="43"/>
  <c r="S2415" i="43"/>
  <c r="S1391" i="43"/>
  <c r="S1905" i="43"/>
  <c r="S1393" i="43"/>
  <c r="S1814" i="43"/>
  <c r="S986" i="43"/>
  <c r="S1705" i="43"/>
  <c r="S1449" i="43"/>
  <c r="S1358" i="43"/>
  <c r="S1210" i="43"/>
  <c r="S643" i="43"/>
  <c r="S796" i="43"/>
  <c r="S2934" i="43"/>
  <c r="S2102" i="43"/>
  <c r="S3048" i="43"/>
  <c r="S2182" i="43"/>
  <c r="S2307" i="43"/>
  <c r="S2051" i="43"/>
  <c r="S1795" i="43"/>
  <c r="S1539" i="43"/>
  <c r="S3100" i="43"/>
  <c r="S2490" i="43"/>
  <c r="S2839" i="43"/>
  <c r="S2246" i="43"/>
  <c r="S710" i="43"/>
  <c r="S1746" i="43"/>
  <c r="S2800" i="43"/>
  <c r="S3056" i="43"/>
  <c r="S2696" i="43"/>
  <c r="S2570" i="43"/>
  <c r="S2222" i="43"/>
  <c r="S2906" i="43"/>
  <c r="S2389" i="43"/>
  <c r="S2133" i="43"/>
  <c r="S2896" i="43"/>
  <c r="S2635" i="43"/>
  <c r="S2378" i="43"/>
  <c r="S2118" i="43"/>
  <c r="S1164" i="43"/>
  <c r="S1193" i="43"/>
  <c r="S899" i="43"/>
  <c r="S3046" i="43"/>
  <c r="S2471" i="43"/>
  <c r="S2541" i="43"/>
  <c r="S3110" i="43"/>
  <c r="S2843" i="43"/>
  <c r="S2020" i="43"/>
  <c r="S2854" i="43"/>
  <c r="S3045" i="43"/>
  <c r="S2565" i="43"/>
  <c r="S2764" i="43"/>
  <c r="S2275" i="43"/>
  <c r="S130" i="43"/>
  <c r="S2964" i="43"/>
  <c r="S2793" i="43"/>
  <c r="S2534" i="43"/>
  <c r="S1405" i="43"/>
  <c r="S2452" i="43"/>
  <c r="S2315" i="43"/>
  <c r="S2535" i="43"/>
  <c r="S3017" i="43"/>
  <c r="S2726" i="43"/>
  <c r="S3206" i="43"/>
  <c r="S1567" i="43"/>
  <c r="S2815" i="43"/>
  <c r="S2951" i="43"/>
  <c r="S2349" i="43"/>
  <c r="S3132" i="43"/>
  <c r="S1533" i="43"/>
  <c r="S2347" i="43"/>
  <c r="S2813" i="43"/>
  <c r="S2645" i="43"/>
  <c r="S2437" i="43"/>
  <c r="S2310" i="43"/>
  <c r="S1224" i="43"/>
  <c r="S1597" i="43"/>
  <c r="S2878" i="43"/>
  <c r="S2920" i="43"/>
  <c r="S3158" i="43"/>
  <c r="S2608" i="43"/>
  <c r="S3099" i="43"/>
  <c r="S2632" i="43"/>
  <c r="S2340" i="43"/>
  <c r="S2787" i="43"/>
  <c r="S2700" i="43"/>
  <c r="S3140" i="43"/>
  <c r="S2569" i="43"/>
  <c r="S1968" i="43"/>
  <c r="S1712" i="43"/>
  <c r="S1456" i="43"/>
  <c r="S1871" i="43"/>
  <c r="S1615" i="43"/>
  <c r="S1361" i="43"/>
  <c r="S1938" i="43"/>
  <c r="S1682" i="43"/>
  <c r="S1426" i="43"/>
  <c r="S1929" i="43"/>
  <c r="S1673" i="43"/>
  <c r="S1417" i="43"/>
  <c r="S2994" i="43"/>
  <c r="S2736" i="43"/>
  <c r="S2653" i="43"/>
  <c r="S3075" i="43"/>
  <c r="S2122" i="43"/>
  <c r="S2805" i="43"/>
  <c r="S2289" i="43"/>
  <c r="S2033" i="43"/>
  <c r="S2198" i="43"/>
  <c r="S1724" i="43"/>
  <c r="S1468" i="43"/>
  <c r="S2239" i="43"/>
  <c r="S1983" i="43"/>
  <c r="S1950" i="43"/>
  <c r="S1694" i="43"/>
  <c r="S1438" i="43"/>
  <c r="S2540" i="43"/>
  <c r="S2158" i="43"/>
  <c r="S2755" i="43"/>
  <c r="S2160" i="43"/>
  <c r="S2325" i="43"/>
  <c r="S2069" i="43"/>
  <c r="S1185" i="43"/>
  <c r="S3057" i="43"/>
  <c r="S2918" i="43"/>
  <c r="S2314" i="43"/>
  <c r="S2435" i="43"/>
  <c r="S2179" i="43"/>
  <c r="S1036" i="43"/>
  <c r="S3203" i="43"/>
  <c r="S3231" i="43"/>
  <c r="S3051" i="43"/>
  <c r="S3225" i="43"/>
  <c r="S3205" i="43"/>
  <c r="S3210" i="43"/>
  <c r="S3103" i="43"/>
  <c r="S1651" i="43"/>
  <c r="S2902" i="43"/>
  <c r="S1867" i="43"/>
  <c r="S3037" i="43"/>
  <c r="S2404" i="43"/>
  <c r="S2187" i="43"/>
  <c r="S2077" i="43"/>
  <c r="S2391" i="43"/>
  <c r="S3187" i="43"/>
  <c r="S2093" i="43"/>
  <c r="S2662" i="43"/>
  <c r="S2019" i="43"/>
  <c r="S1490" i="43"/>
  <c r="S2627" i="43"/>
  <c r="S2707" i="43"/>
  <c r="S2186" i="43"/>
  <c r="S3069" i="43"/>
  <c r="S1619" i="43"/>
  <c r="S1994" i="43"/>
  <c r="S1661" i="43"/>
  <c r="S1305" i="43"/>
  <c r="S2505" i="43"/>
  <c r="S2921" i="43"/>
  <c r="S3137" i="43"/>
  <c r="S2942" i="43"/>
  <c r="S2599" i="43"/>
  <c r="S3208" i="43"/>
  <c r="S2526" i="43"/>
  <c r="S2580" i="43"/>
  <c r="S2956" i="43"/>
  <c r="S1096" i="43"/>
  <c r="S1469" i="43"/>
  <c r="S1823" i="43"/>
  <c r="S2333" i="43"/>
  <c r="S2763" i="43"/>
  <c r="S2212" i="43"/>
  <c r="S1789" i="43"/>
  <c r="S1089" i="43"/>
  <c r="S2143" i="43"/>
  <c r="S2480" i="43"/>
  <c r="S2286" i="43"/>
  <c r="S2374" i="43"/>
  <c r="S2446" i="43"/>
  <c r="S3222" i="43"/>
  <c r="S2673" i="43"/>
  <c r="S2818" i="43"/>
  <c r="S1853" i="43"/>
  <c r="S2350" i="43"/>
  <c r="S2891" i="43"/>
  <c r="S2863" i="43"/>
  <c r="S3073" i="43"/>
  <c r="S2501" i="43"/>
  <c r="S2237" i="43"/>
  <c r="S3008" i="43"/>
  <c r="S1253" i="43"/>
  <c r="S647" i="43"/>
  <c r="S974" i="43"/>
  <c r="S193" i="43"/>
  <c r="S2987" i="43"/>
  <c r="S1723" i="43"/>
  <c r="S2981" i="43"/>
  <c r="S3160" i="43"/>
  <c r="S2500" i="43"/>
  <c r="S1904" i="43"/>
  <c r="S1648" i="43"/>
  <c r="S1392" i="43"/>
  <c r="S2094" i="43"/>
  <c r="S1379" i="43"/>
  <c r="S2319" i="43"/>
  <c r="S2063" i="43"/>
  <c r="S1807" i="43"/>
  <c r="S1551" i="43"/>
  <c r="S1874" i="43"/>
  <c r="S1618" i="43"/>
  <c r="S1865" i="43"/>
  <c r="S1609" i="43"/>
  <c r="S2672" i="43"/>
  <c r="S2824" i="43"/>
  <c r="S2741" i="43"/>
  <c r="S2225" i="43"/>
  <c r="S2134" i="43"/>
  <c r="S1491" i="43"/>
  <c r="S1916" i="43"/>
  <c r="S1660" i="43"/>
  <c r="S1404" i="43"/>
  <c r="S1113" i="43"/>
  <c r="S1886" i="43"/>
  <c r="S1630" i="43"/>
  <c r="S1374" i="43"/>
  <c r="S527" i="43"/>
  <c r="S65" i="43"/>
  <c r="S2032" i="43"/>
  <c r="S2054" i="43"/>
  <c r="S2948" i="43"/>
  <c r="S3032" i="43"/>
  <c r="S2518" i="43"/>
  <c r="S2261" i="43"/>
  <c r="S2005" i="43"/>
  <c r="S3120" i="43"/>
  <c r="S2250" i="43"/>
  <c r="S1850" i="43"/>
  <c r="S1859" i="43"/>
  <c r="S1337" i="43"/>
  <c r="S1248" i="43"/>
  <c r="S1277" i="43"/>
  <c r="S1021" i="43"/>
  <c r="AC26" i="43"/>
  <c r="S2" i="43"/>
  <c r="H141" i="11"/>
  <c r="I141" i="11" s="1"/>
  <c r="I1582" i="43"/>
  <c r="T33" i="11" l="1"/>
  <c r="AE33" i="11" s="1"/>
  <c r="H210" i="11"/>
  <c r="I210" i="11" s="1"/>
  <c r="S50" i="11" s="1"/>
  <c r="E32" i="6" s="1"/>
  <c r="N32" i="6" s="1"/>
  <c r="H142" i="11"/>
  <c r="I142" i="11" s="1"/>
  <c r="H212" i="11"/>
  <c r="V33" i="11" s="1"/>
  <c r="AG33" i="11" s="1"/>
  <c r="H196" i="11"/>
  <c r="W33" i="11" s="1"/>
  <c r="AH33" i="11" s="1"/>
  <c r="H144" i="11"/>
  <c r="I144" i="11" s="1"/>
  <c r="H181" i="11"/>
  <c r="I181" i="11" s="1"/>
  <c r="H136" i="11"/>
  <c r="I136" i="11" s="1"/>
  <c r="H169" i="11"/>
  <c r="I169" i="11" s="1"/>
  <c r="H145" i="11"/>
  <c r="I145" i="11" s="1"/>
  <c r="I187" i="11"/>
  <c r="X49" i="11" s="1"/>
  <c r="J31" i="6" s="1"/>
  <c r="P31" i="6" s="1"/>
  <c r="X32" i="11"/>
  <c r="AI32" i="11" s="1"/>
  <c r="H184" i="11"/>
  <c r="I184" i="11" s="1"/>
  <c r="H183" i="11"/>
  <c r="I183" i="11" s="1"/>
  <c r="H182" i="11"/>
  <c r="I182" i="11" s="1"/>
  <c r="H148" i="11"/>
  <c r="I148" i="11" s="1"/>
  <c r="H193" i="11"/>
  <c r="H178" i="11"/>
  <c r="I178" i="11" s="1"/>
  <c r="H177" i="11"/>
  <c r="I177" i="11" s="1"/>
  <c r="H191" i="11"/>
  <c r="I191" i="11" s="1"/>
  <c r="H47" i="11"/>
  <c r="I47" i="11" s="1"/>
  <c r="H31" i="11"/>
  <c r="I31" i="11" s="1"/>
  <c r="H126" i="11"/>
  <c r="I126" i="11" s="1"/>
  <c r="H143" i="11"/>
  <c r="I143" i="11" s="1"/>
  <c r="H88" i="11"/>
  <c r="I88" i="11" s="1"/>
  <c r="H166" i="11"/>
  <c r="H174" i="11"/>
  <c r="I174" i="11" s="1"/>
  <c r="H32" i="11"/>
  <c r="I32" i="11" s="1"/>
  <c r="H137" i="11"/>
  <c r="I137" i="11" s="1"/>
  <c r="H132" i="11"/>
  <c r="I132" i="11" s="1"/>
  <c r="H163" i="11"/>
  <c r="H113" i="11"/>
  <c r="I113" i="11" s="1"/>
  <c r="H164" i="11"/>
  <c r="H130" i="11"/>
  <c r="I130" i="11" s="1"/>
  <c r="H129" i="11"/>
  <c r="I129" i="11" s="1"/>
  <c r="H112" i="11"/>
  <c r="I112" i="11" s="1"/>
  <c r="H2" i="11"/>
  <c r="H123" i="11"/>
  <c r="I123" i="11" s="1"/>
  <c r="H117" i="11"/>
  <c r="H122" i="11"/>
  <c r="P29" i="11" s="1"/>
  <c r="H97" i="11"/>
  <c r="I97" i="11" s="1"/>
  <c r="H160" i="11"/>
  <c r="H165" i="11"/>
  <c r="H78" i="11"/>
  <c r="I78" i="11" s="1"/>
  <c r="H66" i="11"/>
  <c r="I66" i="11" s="1"/>
  <c r="H42" i="11"/>
  <c r="I42" i="11" s="1"/>
  <c r="H50" i="11"/>
  <c r="I50" i="11" s="1"/>
  <c r="H53" i="11"/>
  <c r="I53" i="11" s="1"/>
  <c r="H159" i="11"/>
  <c r="H154" i="11"/>
  <c r="I154" i="11" s="1"/>
  <c r="H116" i="11"/>
  <c r="I116" i="11" s="1"/>
  <c r="H64" i="11"/>
  <c r="I64" i="11" s="1"/>
  <c r="H63" i="11"/>
  <c r="I63" i="11" s="1"/>
  <c r="H90" i="11"/>
  <c r="I90" i="11" s="1"/>
  <c r="H92" i="11"/>
  <c r="I92" i="11" s="1"/>
  <c r="H133" i="11"/>
  <c r="I133" i="11" s="1"/>
  <c r="H73" i="11"/>
  <c r="I73" i="11" s="1"/>
  <c r="H149" i="11"/>
  <c r="I149" i="11" s="1"/>
  <c r="H139" i="11"/>
  <c r="I139" i="11" s="1"/>
  <c r="H104" i="11"/>
  <c r="I104" i="11" s="1"/>
  <c r="H118" i="11"/>
  <c r="I118" i="11" s="1"/>
  <c r="H106" i="11"/>
  <c r="I106" i="11" s="1"/>
  <c r="H96" i="11"/>
  <c r="I96" i="11" s="1"/>
  <c r="H52" i="11"/>
  <c r="I52" i="11" s="1"/>
  <c r="H23" i="11"/>
  <c r="I23" i="11" s="1"/>
  <c r="H33" i="11"/>
  <c r="I33" i="11" s="1"/>
  <c r="H74" i="11"/>
  <c r="I74" i="11" s="1"/>
  <c r="H100" i="11"/>
  <c r="I100" i="11" s="1"/>
  <c r="H156" i="11"/>
  <c r="I156" i="11" s="1"/>
  <c r="H140" i="11"/>
  <c r="I140" i="11" s="1"/>
  <c r="H173" i="11"/>
  <c r="H49" i="11"/>
  <c r="I49" i="11" s="1"/>
  <c r="H105" i="11"/>
  <c r="I105" i="11" s="1"/>
  <c r="H138" i="11"/>
  <c r="P30" i="11" s="1"/>
  <c r="H115" i="11"/>
  <c r="I115" i="11" s="1"/>
  <c r="H82" i="11"/>
  <c r="I82" i="11" s="1"/>
  <c r="H36" i="11"/>
  <c r="I36" i="11" s="1"/>
  <c r="H57" i="11"/>
  <c r="I57" i="11" s="1"/>
  <c r="H110" i="11"/>
  <c r="I110" i="11" s="1"/>
  <c r="H62" i="11"/>
  <c r="I62" i="11" s="1"/>
  <c r="H99" i="11"/>
  <c r="I99" i="11" s="1"/>
  <c r="H40" i="11"/>
  <c r="I40" i="11" s="1"/>
  <c r="H59" i="11"/>
  <c r="I59" i="11" s="1"/>
  <c r="H28" i="11"/>
  <c r="I28" i="11" s="1"/>
  <c r="H79" i="11"/>
  <c r="I79" i="11" s="1"/>
  <c r="H150" i="11"/>
  <c r="W30" i="11" s="1"/>
  <c r="H58" i="11"/>
  <c r="I58" i="11" s="1"/>
  <c r="H101" i="11"/>
  <c r="I101" i="11" s="1"/>
  <c r="H175" i="11"/>
  <c r="H158" i="11"/>
  <c r="H119" i="11"/>
  <c r="I119" i="11" s="1"/>
  <c r="H153" i="11"/>
  <c r="I153" i="11" s="1"/>
  <c r="H111" i="11"/>
  <c r="I111" i="11" s="1"/>
  <c r="H70" i="11"/>
  <c r="I70" i="11" s="1"/>
  <c r="H60" i="11"/>
  <c r="I60" i="11" s="1"/>
  <c r="H102" i="11"/>
  <c r="I102" i="11" s="1"/>
  <c r="H20" i="11"/>
  <c r="I20" i="11" s="1"/>
  <c r="H121" i="11"/>
  <c r="I121" i="11" s="1"/>
  <c r="H41" i="11"/>
  <c r="I41" i="11" s="1"/>
  <c r="H80" i="11"/>
  <c r="I80" i="11" s="1"/>
  <c r="H43" i="11"/>
  <c r="I43" i="11" s="1"/>
  <c r="H34" i="11"/>
  <c r="I34" i="11" s="1"/>
  <c r="H55" i="11"/>
  <c r="I55" i="11" s="1"/>
  <c r="H86" i="11"/>
  <c r="I86" i="11" s="1"/>
  <c r="H114" i="11"/>
  <c r="I114" i="11" s="1"/>
  <c r="H131" i="11"/>
  <c r="I131" i="11" s="1"/>
  <c r="H124" i="11"/>
  <c r="I124" i="11" s="1"/>
  <c r="H37" i="11"/>
  <c r="I37" i="11" s="1"/>
  <c r="H107" i="11"/>
  <c r="I107" i="11" s="1"/>
  <c r="H152" i="11"/>
  <c r="I152" i="11" s="1"/>
  <c r="H91" i="11"/>
  <c r="I91" i="11" s="1"/>
  <c r="H35" i="11"/>
  <c r="I35" i="11" s="1"/>
  <c r="H24" i="11"/>
  <c r="I24" i="11" s="1"/>
  <c r="H83" i="11"/>
  <c r="I83" i="11" s="1"/>
  <c r="H89" i="11"/>
  <c r="I89" i="11" s="1"/>
  <c r="H67" i="11"/>
  <c r="I67" i="11" s="1"/>
  <c r="H103" i="11"/>
  <c r="I103" i="11" s="1"/>
  <c r="H45" i="11"/>
  <c r="I45" i="11" s="1"/>
  <c r="H46" i="11"/>
  <c r="I46" i="11" s="1"/>
  <c r="H76" i="11"/>
  <c r="I76" i="11" s="1"/>
  <c r="H54" i="11"/>
  <c r="I54" i="11" s="1"/>
  <c r="H147" i="11"/>
  <c r="I147" i="11" s="1"/>
  <c r="H134" i="11"/>
  <c r="I134" i="11" s="1"/>
  <c r="H51" i="11"/>
  <c r="I51" i="11" s="1"/>
  <c r="H95" i="11"/>
  <c r="I95" i="11" s="1"/>
  <c r="H94" i="11"/>
  <c r="I94" i="11" s="1"/>
  <c r="H85" i="11"/>
  <c r="I85" i="11" s="1"/>
  <c r="H108" i="11"/>
  <c r="I108" i="11" s="1"/>
  <c r="H26" i="11"/>
  <c r="I26" i="11" s="1"/>
  <c r="H127" i="11"/>
  <c r="I127" i="11" s="1"/>
  <c r="H30" i="11"/>
  <c r="I30" i="11" s="1"/>
  <c r="H48" i="11"/>
  <c r="I48" i="11" s="1"/>
  <c r="H155" i="11"/>
  <c r="I155" i="11" s="1"/>
  <c r="H98" i="11"/>
  <c r="I98" i="11" s="1"/>
  <c r="H157" i="11"/>
  <c r="I157" i="11" s="1"/>
  <c r="H69" i="11"/>
  <c r="I69" i="11" s="1"/>
  <c r="H87" i="11"/>
  <c r="I87" i="11" s="1"/>
  <c r="H21" i="11"/>
  <c r="I21" i="11" s="1"/>
  <c r="I1581" i="43"/>
  <c r="I1580" i="43"/>
  <c r="I1579" i="43"/>
  <c r="S33" i="11" l="1"/>
  <c r="AD33" i="11" s="1"/>
  <c r="AJ33" i="11" s="1"/>
  <c r="I212" i="11"/>
  <c r="V50" i="11" s="1"/>
  <c r="H32" i="6" s="1"/>
  <c r="O32" i="6" s="1"/>
  <c r="L32" i="6" s="1"/>
  <c r="I196" i="11"/>
  <c r="I193" i="11"/>
  <c r="V32" i="11"/>
  <c r="AG32" i="11" s="1"/>
  <c r="I158" i="11"/>
  <c r="W29" i="11"/>
  <c r="W31" i="11"/>
  <c r="I165" i="11"/>
  <c r="Q49" i="11" s="1"/>
  <c r="C31" i="6" s="1"/>
  <c r="Q32" i="11"/>
  <c r="AB32" i="11" s="1"/>
  <c r="I160" i="11"/>
  <c r="T49" i="11" s="1"/>
  <c r="F31" i="6" s="1"/>
  <c r="T32" i="11"/>
  <c r="AE32" i="11" s="1"/>
  <c r="I175" i="11"/>
  <c r="I159" i="11"/>
  <c r="W32" i="11"/>
  <c r="AH32" i="11" s="1"/>
  <c r="I164" i="11"/>
  <c r="P49" i="11" s="1"/>
  <c r="B31" i="6" s="1"/>
  <c r="P32" i="11"/>
  <c r="AA32" i="11" s="1"/>
  <c r="I166" i="11"/>
  <c r="R49" i="11" s="1"/>
  <c r="D31" i="6" s="1"/>
  <c r="R32" i="11"/>
  <c r="AC32" i="11" s="1"/>
  <c r="I173" i="11"/>
  <c r="S49" i="11" s="1"/>
  <c r="E31" i="6" s="1"/>
  <c r="S32" i="11"/>
  <c r="AD32" i="11" s="1"/>
  <c r="I163" i="11"/>
  <c r="U49" i="11" s="1"/>
  <c r="G31" i="6" s="1"/>
  <c r="U32" i="11"/>
  <c r="AF32" i="11" s="1"/>
  <c r="W48" i="11"/>
  <c r="W49" i="11"/>
  <c r="I31" i="6" s="1"/>
  <c r="I150" i="11"/>
  <c r="I117" i="11"/>
  <c r="V28" i="11"/>
  <c r="P31" i="11"/>
  <c r="I138" i="11"/>
  <c r="I122" i="11"/>
  <c r="I1578" i="43"/>
  <c r="V49" i="11" l="1"/>
  <c r="H31" i="6" s="1"/>
  <c r="O31" i="6" s="1"/>
  <c r="M31" i="6"/>
  <c r="N31" i="6"/>
  <c r="I1577" i="43"/>
  <c r="I1576" i="43"/>
  <c r="I1575" i="43"/>
  <c r="V14" i="6" l="1"/>
  <c r="S14" i="6"/>
  <c r="L31" i="6"/>
  <c r="I1574" i="43"/>
  <c r="I1573" i="43"/>
  <c r="J48" i="6" l="1"/>
  <c r="G48" i="6"/>
  <c r="G65" i="6" s="1"/>
  <c r="G82" i="6" s="1"/>
  <c r="G99" i="6" s="1"/>
  <c r="B48" i="6"/>
  <c r="B65" i="6" s="1"/>
  <c r="H48" i="6"/>
  <c r="H65" i="6" s="1"/>
  <c r="D48" i="6"/>
  <c r="D65" i="6" s="1"/>
  <c r="I48" i="6"/>
  <c r="I65" i="6" s="1"/>
  <c r="E48" i="6"/>
  <c r="E65" i="6" s="1"/>
  <c r="E82" i="6" s="1"/>
  <c r="F48" i="6"/>
  <c r="F65" i="6" s="1"/>
  <c r="F82" i="6" s="1"/>
  <c r="F99" i="6" s="1"/>
  <c r="C48" i="6"/>
  <c r="X14" i="6"/>
  <c r="Q14" i="6"/>
  <c r="I1571" i="43"/>
  <c r="C65" i="6" l="1"/>
  <c r="M65" i="6" s="1"/>
  <c r="N82" i="6"/>
  <c r="E99" i="6"/>
  <c r="O65" i="6"/>
  <c r="H82" i="6"/>
  <c r="N65" i="6"/>
  <c r="I1572" i="43"/>
  <c r="O82" i="6" l="1"/>
  <c r="H99" i="6"/>
  <c r="L65" i="6"/>
  <c r="I1570" i="43"/>
  <c r="L82" i="6" l="1"/>
  <c r="I1569" i="43"/>
  <c r="I1568" i="43"/>
  <c r="I1567" i="43"/>
  <c r="I1566" i="43" l="1"/>
  <c r="I1565" i="43"/>
  <c r="I1564" i="43"/>
  <c r="C80" i="17" l="1"/>
  <c r="D80" i="17"/>
  <c r="C81" i="17"/>
  <c r="D81" i="17"/>
  <c r="C82" i="17"/>
  <c r="D82" i="17"/>
  <c r="G80" i="17"/>
  <c r="H80" i="17"/>
  <c r="G81" i="17"/>
  <c r="H81" i="17"/>
  <c r="G82" i="17"/>
  <c r="H82" i="17"/>
  <c r="G83" i="17"/>
  <c r="H83" i="17"/>
  <c r="G84" i="17"/>
  <c r="H84" i="17"/>
  <c r="G85" i="17"/>
  <c r="H85" i="17"/>
  <c r="I1563" i="43" l="1"/>
  <c r="I1562" i="43" l="1"/>
  <c r="I1561" i="43"/>
  <c r="I1560" i="43" l="1"/>
  <c r="I1559" i="43"/>
  <c r="I1558" i="43"/>
  <c r="I1557" i="43"/>
  <c r="I1556" i="43"/>
  <c r="I1555" i="43" l="1"/>
  <c r="I1554" i="43"/>
  <c r="I1553" i="43" l="1"/>
  <c r="I1552" i="43" l="1"/>
  <c r="I1551" i="43"/>
  <c r="I1550" i="43" l="1"/>
  <c r="I1549" i="43" l="1"/>
  <c r="I1548" i="43"/>
  <c r="I1547" i="43"/>
  <c r="I1546" i="43"/>
  <c r="I1545" i="43" l="1"/>
  <c r="I1544" i="43"/>
  <c r="I1543" i="43" l="1"/>
  <c r="I1542" i="43" l="1"/>
  <c r="I1541" i="43" l="1"/>
  <c r="I1540" i="43"/>
  <c r="I1539" i="43" l="1"/>
  <c r="I1538" i="43" l="1"/>
  <c r="I1537" i="43"/>
  <c r="I1536" i="43"/>
  <c r="I1535" i="43"/>
  <c r="I1534" i="43"/>
  <c r="I1532" i="43" l="1"/>
  <c r="I1531" i="43"/>
  <c r="I1530" i="43"/>
  <c r="I1529" i="43"/>
  <c r="I1528" i="43"/>
  <c r="I1527" i="43" l="1"/>
  <c r="I1526" i="43"/>
  <c r="I1525" i="43" l="1"/>
  <c r="I1524" i="43"/>
  <c r="I1523" i="43"/>
  <c r="I1522" i="43"/>
  <c r="I1521" i="43"/>
  <c r="I1520" i="43"/>
  <c r="I1519" i="43" l="1"/>
  <c r="I1518" i="43"/>
  <c r="I1517" i="43" l="1"/>
  <c r="I1516" i="43"/>
  <c r="I1515" i="43"/>
  <c r="I1514" i="43"/>
  <c r="I1513" i="43" l="1"/>
  <c r="I1512" i="43"/>
  <c r="I1511" i="43"/>
  <c r="I1510" i="43"/>
  <c r="I1509" i="43"/>
  <c r="I1508" i="43" l="1"/>
  <c r="I1507" i="43" l="1"/>
  <c r="I1506" i="43" l="1"/>
  <c r="I1505" i="43" l="1"/>
  <c r="I1504" i="43" l="1"/>
  <c r="I1503" i="43" l="1"/>
  <c r="I1502" i="43"/>
  <c r="I1501" i="43" l="1"/>
  <c r="I1500" i="43"/>
  <c r="I1499" i="43" l="1"/>
  <c r="I1498" i="43" l="1"/>
  <c r="I1497" i="43" l="1"/>
  <c r="I1496" i="43"/>
  <c r="I1495" i="43" l="1"/>
  <c r="I1494" i="43"/>
  <c r="I1493" i="43"/>
  <c r="I1492" i="43"/>
  <c r="I1491" i="43"/>
  <c r="I1490" i="43"/>
  <c r="I1489" i="43"/>
  <c r="I1488" i="43"/>
  <c r="I1487" i="43" l="1"/>
  <c r="I1486" i="43"/>
  <c r="I1485" i="43" l="1"/>
  <c r="I1484" i="43"/>
  <c r="I1483" i="43" l="1"/>
  <c r="I1482" i="43"/>
  <c r="I1481" i="43" l="1"/>
  <c r="I1480" i="43" l="1"/>
  <c r="I1479" i="43" l="1"/>
  <c r="I1478" i="43" l="1"/>
  <c r="I1477" i="43" l="1"/>
  <c r="I1476" i="43" l="1"/>
  <c r="I1475" i="43"/>
  <c r="I1474" i="43" l="1"/>
  <c r="I1473" i="43"/>
  <c r="I1472" i="43"/>
  <c r="I1471" i="43" l="1"/>
  <c r="I1470" i="43"/>
  <c r="I1469" i="43"/>
  <c r="I1468" i="43"/>
  <c r="I1467" i="43"/>
  <c r="I1466" i="43" l="1"/>
  <c r="I1465" i="43"/>
  <c r="I1464" i="43"/>
  <c r="I1463" i="43" l="1"/>
  <c r="I1462" i="43" l="1"/>
  <c r="I1461" i="43"/>
  <c r="I1460" i="43" l="1"/>
  <c r="I1459" i="43"/>
  <c r="I1458" i="43"/>
  <c r="I1457" i="43"/>
  <c r="I1456" i="43"/>
  <c r="I1455" i="43"/>
  <c r="I1454" i="43" l="1"/>
  <c r="I1453" i="43"/>
  <c r="I1452" i="43" l="1"/>
  <c r="I1451" i="43" l="1"/>
  <c r="I1450" i="43"/>
  <c r="I1449" i="43"/>
  <c r="I1448" i="43" l="1"/>
  <c r="I1447" i="43"/>
  <c r="I1446" i="43"/>
  <c r="I1445" i="43" l="1"/>
  <c r="I1444" i="43" l="1"/>
  <c r="H145" i="17"/>
  <c r="I1443" i="43" l="1"/>
  <c r="I1442" i="43"/>
  <c r="I1441" i="43"/>
  <c r="I1440" i="43" l="1"/>
  <c r="I1439" i="43"/>
  <c r="I1438" i="43" l="1"/>
  <c r="I1437" i="43"/>
  <c r="I1436" i="43"/>
  <c r="I1435" i="43"/>
  <c r="I1434" i="43"/>
  <c r="V1433" i="43"/>
  <c r="I1433" i="43"/>
  <c r="V1418" i="43"/>
  <c r="V1419" i="43"/>
  <c r="V1420" i="43"/>
  <c r="V1421" i="43"/>
  <c r="V1422" i="43"/>
  <c r="V1423" i="43"/>
  <c r="V1424" i="43"/>
  <c r="V1425" i="43"/>
  <c r="V1426" i="43"/>
  <c r="V1427" i="43"/>
  <c r="V1428" i="43"/>
  <c r="V1429" i="43"/>
  <c r="V1430" i="43"/>
  <c r="V1431" i="43"/>
  <c r="V1432" i="43"/>
  <c r="I1422" i="43"/>
  <c r="I1423" i="43"/>
  <c r="I1424" i="43"/>
  <c r="I1425" i="43"/>
  <c r="I1426" i="43"/>
  <c r="I1427" i="43"/>
  <c r="I1428" i="43"/>
  <c r="I1429" i="43"/>
  <c r="I1430" i="43"/>
  <c r="I1431" i="43"/>
  <c r="I1432" i="43"/>
  <c r="I1409" i="43" l="1"/>
  <c r="I1410" i="43"/>
  <c r="I1411" i="43"/>
  <c r="I1412" i="43"/>
  <c r="I1413" i="43"/>
  <c r="I1414" i="43"/>
  <c r="I1415" i="43"/>
  <c r="I1416" i="43"/>
  <c r="I1417" i="43"/>
  <c r="I1418" i="43"/>
  <c r="I1419" i="43"/>
  <c r="I1420" i="43"/>
  <c r="I1421" i="43"/>
  <c r="V1417" i="43" l="1"/>
  <c r="V1416" i="43"/>
  <c r="V1415" i="43"/>
  <c r="V1414" i="43"/>
  <c r="V1413" i="43"/>
  <c r="V1412" i="43" l="1"/>
  <c r="V1411" i="43" l="1"/>
  <c r="V1410" i="43" l="1"/>
  <c r="V1409" i="43"/>
  <c r="V1408" i="43"/>
  <c r="I1408" i="43"/>
  <c r="V1407" i="43"/>
  <c r="I1407" i="43"/>
  <c r="V1406" i="43"/>
  <c r="I1406" i="43"/>
  <c r="V1405" i="43"/>
  <c r="I1405" i="43"/>
  <c r="V1404" i="43"/>
  <c r="I1404" i="43"/>
  <c r="V1403" i="43" l="1"/>
  <c r="I1403" i="43"/>
  <c r="V1402" i="43" l="1"/>
  <c r="I1402" i="43"/>
  <c r="V1401" i="43"/>
  <c r="I1401" i="43"/>
  <c r="V1400" i="43"/>
  <c r="I1400" i="43"/>
  <c r="V1399" i="43" l="1"/>
  <c r="I1399" i="43"/>
  <c r="V1398" i="43"/>
  <c r="I1398" i="43"/>
  <c r="I1397" i="43"/>
  <c r="I1396" i="43"/>
  <c r="I1395" i="43" l="1"/>
  <c r="I1394" i="43"/>
  <c r="I1393" i="43"/>
  <c r="I1392" i="43"/>
  <c r="I1391" i="43" l="1"/>
  <c r="V1390" i="43" l="1"/>
  <c r="V1391" i="43"/>
  <c r="V1392" i="43"/>
  <c r="V1393" i="43"/>
  <c r="V1394" i="43"/>
  <c r="V1395" i="43"/>
  <c r="V1396" i="43"/>
  <c r="V1397" i="43"/>
  <c r="I1390" i="43"/>
  <c r="V1389" i="43"/>
  <c r="I1389" i="43"/>
  <c r="V1388" i="43" l="1"/>
  <c r="I1388" i="43"/>
  <c r="V1387" i="43" l="1"/>
  <c r="I1387" i="43"/>
  <c r="V1386" i="43"/>
  <c r="I1386" i="43"/>
  <c r="V1385" i="43"/>
  <c r="I1385" i="43"/>
  <c r="V1384" i="43"/>
  <c r="I1384" i="43"/>
  <c r="V1383" i="43"/>
  <c r="I1383" i="43"/>
  <c r="V1382" i="43" l="1"/>
  <c r="I1382" i="43"/>
  <c r="V1381" i="43"/>
  <c r="I1381" i="43"/>
  <c r="E51" i="17" l="1"/>
  <c r="F51" i="17"/>
  <c r="V1380" i="43"/>
  <c r="I1380" i="43"/>
  <c r="V1379" i="43" l="1"/>
  <c r="I1379" i="43"/>
  <c r="V1378" i="43"/>
  <c r="I1378" i="43"/>
  <c r="V1377" i="43" l="1"/>
  <c r="I1377" i="43"/>
  <c r="V1376" i="43" l="1"/>
  <c r="I1376" i="43"/>
  <c r="V1375" i="43"/>
  <c r="I1375" i="43"/>
  <c r="V1374" i="43"/>
  <c r="I1374" i="43"/>
  <c r="V1373" i="43"/>
  <c r="I1373" i="43"/>
  <c r="V1372" i="43"/>
  <c r="I1372" i="43"/>
  <c r="V1371" i="43"/>
  <c r="I1371" i="43"/>
  <c r="V1370" i="43"/>
  <c r="I1370" i="43"/>
  <c r="V1369" i="43"/>
  <c r="I1369" i="43"/>
  <c r="V1368" i="43"/>
  <c r="I1368" i="43"/>
  <c r="V1367" i="43"/>
  <c r="I1367" i="43"/>
  <c r="V1366" i="43"/>
  <c r="I1366" i="43"/>
  <c r="V1365" i="43"/>
  <c r="I1365" i="43"/>
  <c r="V1364" i="43" l="1"/>
  <c r="I1364" i="43"/>
  <c r="V1363" i="43"/>
  <c r="I1363" i="43"/>
  <c r="V1362" i="43" l="1"/>
  <c r="I1362" i="43"/>
  <c r="E26" i="16"/>
  <c r="I1361" i="43" l="1"/>
  <c r="I1360" i="43"/>
  <c r="I1359" i="43"/>
  <c r="I1358" i="43" l="1"/>
  <c r="V1344" i="43"/>
  <c r="V1345" i="43"/>
  <c r="V1346" i="43"/>
  <c r="V1347" i="43"/>
  <c r="V1348" i="43"/>
  <c r="V1349" i="43"/>
  <c r="V1350" i="43"/>
  <c r="V1351" i="43"/>
  <c r="V1352" i="43"/>
  <c r="V1353" i="43"/>
  <c r="V1354" i="43"/>
  <c r="V1355" i="43"/>
  <c r="V1356" i="43"/>
  <c r="V1357" i="43"/>
  <c r="V1358" i="43"/>
  <c r="V1359" i="43"/>
  <c r="V1360" i="43"/>
  <c r="V1361" i="43"/>
  <c r="I1357" i="43"/>
  <c r="I1356" i="43"/>
  <c r="I1355" i="43"/>
  <c r="I1354" i="43"/>
  <c r="I1353" i="43"/>
  <c r="I1352" i="43" l="1"/>
  <c r="I1351" i="43"/>
  <c r="I1350" i="43"/>
  <c r="I1349" i="43"/>
  <c r="F98" i="17" l="1"/>
  <c r="G98" i="17"/>
  <c r="H98" i="17"/>
  <c r="F99" i="17"/>
  <c r="G99" i="17"/>
  <c r="H99" i="17"/>
  <c r="F100" i="17"/>
  <c r="G100" i="17"/>
  <c r="H100" i="17"/>
  <c r="F101" i="17"/>
  <c r="H101" i="17"/>
  <c r="F102" i="17"/>
  <c r="H102" i="17"/>
  <c r="F103" i="17"/>
  <c r="H103" i="17"/>
  <c r="E98" i="17"/>
  <c r="E99" i="17"/>
  <c r="E100" i="17"/>
  <c r="E101" i="17"/>
  <c r="E102" i="17"/>
  <c r="C98" i="17"/>
  <c r="D98" i="17"/>
  <c r="C99" i="17"/>
  <c r="C100" i="17"/>
  <c r="D100" i="17"/>
  <c r="C101" i="17"/>
  <c r="D101" i="17"/>
  <c r="C102" i="17"/>
  <c r="D102" i="17"/>
  <c r="C103" i="17"/>
  <c r="D103" i="17"/>
  <c r="C104" i="17"/>
  <c r="D104" i="17"/>
  <c r="A98" i="17"/>
  <c r="B98" i="17"/>
  <c r="A99" i="17"/>
  <c r="B99" i="17"/>
  <c r="A100" i="17"/>
  <c r="B100" i="17"/>
  <c r="A101" i="17"/>
  <c r="B101" i="17"/>
  <c r="A102" i="17"/>
  <c r="B102" i="17"/>
  <c r="A103" i="17"/>
  <c r="B103" i="17"/>
  <c r="A104" i="17"/>
  <c r="B104" i="17"/>
  <c r="A105" i="17"/>
  <c r="B105" i="17"/>
  <c r="G86" i="17"/>
  <c r="H86" i="17"/>
  <c r="G87" i="17"/>
  <c r="H87" i="17"/>
  <c r="G88" i="17"/>
  <c r="H88" i="17"/>
  <c r="G89" i="17"/>
  <c r="H89" i="17"/>
  <c r="G90" i="17"/>
  <c r="H90" i="17"/>
  <c r="G91" i="17"/>
  <c r="H91" i="17"/>
  <c r="G92" i="17"/>
  <c r="H92" i="17"/>
  <c r="E81" i="17"/>
  <c r="F81" i="17"/>
  <c r="E82" i="17"/>
  <c r="F82" i="17"/>
  <c r="E83" i="17"/>
  <c r="F83" i="17"/>
  <c r="E84" i="17"/>
  <c r="F84" i="17"/>
  <c r="E85" i="17"/>
  <c r="F85" i="17"/>
  <c r="E86" i="17"/>
  <c r="F86" i="17"/>
  <c r="E87" i="17"/>
  <c r="F87" i="17"/>
  <c r="E88" i="17"/>
  <c r="F88" i="17"/>
  <c r="C83" i="17"/>
  <c r="D83" i="17"/>
  <c r="C84" i="17"/>
  <c r="D84" i="17"/>
  <c r="C85" i="17"/>
  <c r="D85" i="17"/>
  <c r="C86" i="17"/>
  <c r="D86" i="17"/>
  <c r="C87" i="17"/>
  <c r="D87" i="17"/>
  <c r="C88" i="17"/>
  <c r="D88" i="17"/>
  <c r="C89" i="17"/>
  <c r="D89" i="17"/>
  <c r="C90" i="17"/>
  <c r="D90" i="17"/>
  <c r="C91" i="17"/>
  <c r="D91" i="17"/>
  <c r="C92" i="17"/>
  <c r="D92" i="17"/>
  <c r="C93" i="17"/>
  <c r="D93" i="17"/>
  <c r="A81" i="17"/>
  <c r="B81" i="17"/>
  <c r="A82" i="17"/>
  <c r="B82" i="17"/>
  <c r="A83" i="17"/>
  <c r="B83" i="17"/>
  <c r="A84" i="17"/>
  <c r="B84" i="17"/>
  <c r="A85" i="17"/>
  <c r="B85" i="17"/>
  <c r="A86" i="17"/>
  <c r="B86" i="17"/>
  <c r="A87" i="17"/>
  <c r="B87" i="17"/>
  <c r="A88" i="17"/>
  <c r="B88" i="17"/>
  <c r="A89" i="17"/>
  <c r="I1348" i="43"/>
  <c r="I1347" i="43"/>
  <c r="I1346" i="43" l="1"/>
  <c r="I1345" i="43"/>
  <c r="V1315" i="43" l="1"/>
  <c r="V1316" i="43"/>
  <c r="V1317" i="43"/>
  <c r="V1318" i="43"/>
  <c r="V1319" i="43"/>
  <c r="V1320" i="43"/>
  <c r="V1321" i="43"/>
  <c r="V1322" i="43"/>
  <c r="V1323" i="43"/>
  <c r="V1324" i="43"/>
  <c r="V1325" i="43"/>
  <c r="V1326" i="43"/>
  <c r="V1327" i="43"/>
  <c r="V1328" i="43"/>
  <c r="V1329" i="43"/>
  <c r="V1330" i="43"/>
  <c r="V1331" i="43"/>
  <c r="V1332" i="43"/>
  <c r="V1333" i="43"/>
  <c r="V1334" i="43"/>
  <c r="V1335" i="43"/>
  <c r="V1336" i="43"/>
  <c r="V1337" i="43"/>
  <c r="V1338" i="43"/>
  <c r="V1339" i="43"/>
  <c r="V1340" i="43"/>
  <c r="V1341" i="43"/>
  <c r="V1342" i="43"/>
  <c r="V1343" i="43"/>
  <c r="I1344" i="43"/>
  <c r="H104" i="17" l="1"/>
  <c r="H105" i="17"/>
  <c r="G106" i="17"/>
  <c r="H106" i="17"/>
  <c r="G107" i="17"/>
  <c r="H107" i="17"/>
  <c r="G108" i="17"/>
  <c r="H108" i="17"/>
  <c r="G109" i="17"/>
  <c r="H109" i="17"/>
  <c r="H97" i="17"/>
  <c r="G97" i="17"/>
  <c r="E103" i="17"/>
  <c r="E104" i="17"/>
  <c r="F104" i="17"/>
  <c r="E105" i="17"/>
  <c r="F105" i="17"/>
  <c r="E106" i="17"/>
  <c r="F106" i="17"/>
  <c r="E107" i="17"/>
  <c r="F107" i="17"/>
  <c r="E108" i="17"/>
  <c r="F108" i="17"/>
  <c r="E109" i="17"/>
  <c r="F109" i="17"/>
  <c r="F97" i="17"/>
  <c r="C105" i="17"/>
  <c r="D105" i="17"/>
  <c r="C106" i="17"/>
  <c r="D106" i="17"/>
  <c r="C107" i="17"/>
  <c r="D107" i="17"/>
  <c r="C108" i="17"/>
  <c r="D108" i="17"/>
  <c r="C109" i="17"/>
  <c r="D109" i="17"/>
  <c r="D97" i="17"/>
  <c r="C97" i="17"/>
  <c r="A106" i="17"/>
  <c r="B106" i="17"/>
  <c r="A107" i="17"/>
  <c r="A108" i="17"/>
  <c r="B108" i="17"/>
  <c r="A109" i="17"/>
  <c r="B109" i="17"/>
  <c r="B97" i="17"/>
  <c r="A97" i="17"/>
  <c r="G93" i="17"/>
  <c r="H93" i="17"/>
  <c r="E89" i="17"/>
  <c r="F89" i="17"/>
  <c r="E90" i="17"/>
  <c r="F90" i="17"/>
  <c r="E91" i="17"/>
  <c r="F91" i="17"/>
  <c r="E92" i="17"/>
  <c r="F92" i="17"/>
  <c r="E93" i="17"/>
  <c r="F93" i="17"/>
  <c r="E94" i="17"/>
  <c r="F94" i="17"/>
  <c r="F80" i="17"/>
  <c r="E80" i="17"/>
  <c r="C94" i="17"/>
  <c r="D94" i="17"/>
  <c r="B80" i="17"/>
  <c r="A90" i="17" l="1"/>
  <c r="B90" i="17"/>
  <c r="A91" i="17"/>
  <c r="B91" i="17"/>
  <c r="B92" i="17"/>
  <c r="B93" i="17"/>
  <c r="A80" i="17"/>
  <c r="I1343" i="43"/>
  <c r="I1342" i="43" l="1"/>
  <c r="I1340" i="43" l="1"/>
  <c r="I1341" i="43"/>
  <c r="I1331" i="43"/>
  <c r="I1332" i="43"/>
  <c r="I1333" i="43"/>
  <c r="I1334" i="43"/>
  <c r="I1335" i="43"/>
  <c r="I1336" i="43"/>
  <c r="I1337" i="43"/>
  <c r="I1338" i="43"/>
  <c r="I1339" i="43"/>
  <c r="I1322" i="43"/>
  <c r="I1323" i="43"/>
  <c r="I1324" i="43"/>
  <c r="I1325" i="43"/>
  <c r="I1326" i="43"/>
  <c r="I1327" i="43"/>
  <c r="I1328" i="43"/>
  <c r="I1329" i="43"/>
  <c r="I1330" i="43"/>
  <c r="I1321" i="43"/>
  <c r="I1320" i="43" l="1"/>
  <c r="I1319" i="43" l="1"/>
  <c r="I1318" i="43"/>
  <c r="I1317" i="43" l="1"/>
  <c r="I1316" i="43" l="1"/>
  <c r="C344" i="17"/>
  <c r="C378" i="17" s="1"/>
  <c r="I1315" i="43"/>
  <c r="V1314" i="43"/>
  <c r="I1314" i="43"/>
  <c r="V1313" i="43"/>
  <c r="I1313" i="43"/>
  <c r="V1312" i="43" l="1"/>
  <c r="I1312" i="43"/>
  <c r="V1311" i="43" l="1"/>
  <c r="V1310" i="43"/>
  <c r="I1311" i="43"/>
  <c r="I1310" i="43"/>
  <c r="V1309" i="43"/>
  <c r="I1309" i="43"/>
  <c r="V1308" i="43" l="1"/>
  <c r="I1308" i="43"/>
  <c r="V1307" i="43"/>
  <c r="I1307" i="43"/>
  <c r="V1306" i="43" l="1"/>
  <c r="I1306" i="43"/>
  <c r="V1305" i="43"/>
  <c r="I1305" i="43"/>
  <c r="V1304" i="43"/>
  <c r="I1304" i="43"/>
  <c r="V1303" i="43" l="1"/>
  <c r="I1303" i="43"/>
  <c r="V1302" i="43"/>
  <c r="I1302" i="43"/>
  <c r="V1301" i="43"/>
  <c r="I1301" i="43"/>
  <c r="V1300" i="43"/>
  <c r="I1300" i="43"/>
  <c r="V1299" i="43"/>
  <c r="I1299" i="43"/>
  <c r="V1298" i="43" l="1"/>
  <c r="I1298" i="43"/>
  <c r="V1297" i="43"/>
  <c r="I1297" i="43"/>
  <c r="V1296" i="43"/>
  <c r="I1296" i="43"/>
  <c r="V1295" i="43"/>
  <c r="I1295" i="43"/>
  <c r="V1294" i="43" l="1"/>
  <c r="I1294" i="43"/>
  <c r="V1293" i="43"/>
  <c r="I1293" i="43"/>
  <c r="V1292" i="43"/>
  <c r="I1292" i="43"/>
  <c r="V1291" i="43" l="1"/>
  <c r="I1291" i="43"/>
  <c r="V1290" i="43" l="1"/>
  <c r="I1290" i="43"/>
  <c r="V1289" i="43"/>
  <c r="I1289" i="43"/>
  <c r="V1288" i="43" l="1"/>
  <c r="I1288" i="43"/>
  <c r="V1287" i="43" l="1"/>
  <c r="I1287" i="43"/>
  <c r="I1286" i="43"/>
  <c r="I1285" i="43"/>
  <c r="I1284" i="43" l="1"/>
  <c r="I1283" i="43"/>
  <c r="I1282" i="43"/>
  <c r="I1281" i="43" l="1"/>
  <c r="I1280" i="43"/>
  <c r="I1279" i="43" l="1"/>
  <c r="I1278" i="43" l="1"/>
  <c r="I1277" i="43"/>
  <c r="V1286" i="43"/>
  <c r="V1285" i="43"/>
  <c r="V1284" i="43"/>
  <c r="V1283" i="43"/>
  <c r="V1282" i="43"/>
  <c r="V1281" i="43"/>
  <c r="V1280" i="43"/>
  <c r="V1279" i="43"/>
  <c r="V1278" i="43"/>
  <c r="V1277" i="43"/>
  <c r="V1276" i="43"/>
  <c r="I1276" i="43"/>
  <c r="V1275" i="43" l="1"/>
  <c r="I1275" i="43"/>
  <c r="V1274" i="43"/>
  <c r="I1274" i="43"/>
  <c r="V1273" i="43"/>
  <c r="I1273" i="43"/>
  <c r="V1272" i="43" l="1"/>
  <c r="I1272" i="43"/>
  <c r="V1271" i="43"/>
  <c r="I1271" i="43"/>
  <c r="V1270" i="43"/>
  <c r="I1270" i="43"/>
  <c r="I1269" i="43"/>
  <c r="V1269" i="43"/>
  <c r="V1268" i="43" l="1"/>
  <c r="I1268" i="43"/>
  <c r="V1267" i="43"/>
  <c r="I1267" i="43"/>
  <c r="V1266" i="43"/>
  <c r="I1266" i="43"/>
  <c r="V1265" i="43"/>
  <c r="I1265" i="43"/>
  <c r="V1264" i="43"/>
  <c r="I1264" i="43"/>
  <c r="V1263" i="43"/>
  <c r="I1263" i="43"/>
  <c r="I1262" i="43"/>
  <c r="I1261" i="43"/>
  <c r="I1260" i="43"/>
  <c r="I1259" i="43"/>
  <c r="I1258" i="43"/>
  <c r="I1257" i="43" l="1"/>
  <c r="I1256" i="43"/>
  <c r="I1255" i="43"/>
  <c r="I1254" i="43"/>
  <c r="V1253" i="43" l="1"/>
  <c r="I1253" i="43"/>
  <c r="V1262" i="43" l="1"/>
  <c r="V1261" i="43"/>
  <c r="V1260" i="43"/>
  <c r="V1259" i="43"/>
  <c r="V1258" i="43"/>
  <c r="V1257" i="43"/>
  <c r="V1256" i="43"/>
  <c r="V1255" i="43"/>
  <c r="V1254" i="43"/>
  <c r="V1252" i="43"/>
  <c r="I1252" i="43"/>
  <c r="V1251" i="43"/>
  <c r="I1251" i="43"/>
  <c r="V1250" i="43"/>
  <c r="I1250" i="43"/>
  <c r="V1249" i="43"/>
  <c r="I1249" i="43"/>
  <c r="V1248" i="43" l="1"/>
  <c r="I1248" i="43"/>
  <c r="V1247" i="43"/>
  <c r="I1247" i="43"/>
  <c r="V1246" i="43"/>
  <c r="I1246" i="43"/>
  <c r="V1245" i="43" l="1"/>
  <c r="I1245" i="43"/>
  <c r="V1244" i="43" l="1"/>
  <c r="I1244" i="43"/>
  <c r="V1243" i="43" l="1"/>
  <c r="I1243" i="43"/>
  <c r="V1242" i="43"/>
  <c r="I1242" i="43"/>
  <c r="V1241" i="43"/>
  <c r="I1241" i="43"/>
  <c r="V1240" i="43"/>
  <c r="I1240" i="43"/>
  <c r="V1239" i="43"/>
  <c r="I1239" i="43"/>
  <c r="V1238" i="43" l="1"/>
  <c r="I1238" i="43"/>
  <c r="V1237" i="43" l="1"/>
  <c r="I1237" i="43"/>
  <c r="V1236" i="43"/>
  <c r="I1236" i="43"/>
  <c r="V1235" i="43"/>
  <c r="I1235" i="43"/>
  <c r="V1234" i="43"/>
  <c r="I1234" i="43"/>
  <c r="V1233" i="43"/>
  <c r="I1233" i="43"/>
  <c r="V1232" i="43"/>
  <c r="I1232" i="43"/>
  <c r="V1231" i="43"/>
  <c r="I1231" i="43"/>
  <c r="V1230" i="43" l="1"/>
  <c r="I1230" i="43"/>
  <c r="V1229" i="43"/>
  <c r="I1229" i="43"/>
  <c r="V1228" i="43"/>
  <c r="I1228" i="43"/>
  <c r="V1227" i="43"/>
  <c r="I1227" i="43"/>
  <c r="V1226" i="43"/>
  <c r="I1226" i="43"/>
  <c r="V1225" i="43"/>
  <c r="I1225" i="43"/>
  <c r="V1224" i="43"/>
  <c r="I1224" i="43"/>
  <c r="V1223" i="43"/>
  <c r="I1223" i="43"/>
  <c r="V1222" i="43"/>
  <c r="I1222" i="43"/>
  <c r="V1221" i="43"/>
  <c r="I1221" i="43"/>
  <c r="V1220" i="43"/>
  <c r="I1220" i="43"/>
  <c r="V1219" i="43" l="1"/>
  <c r="I1219" i="43"/>
  <c r="V1218" i="43" l="1"/>
  <c r="I1218" i="43"/>
  <c r="V1217" i="43"/>
  <c r="I1217" i="43"/>
  <c r="V1216" i="43"/>
  <c r="I1216" i="43"/>
  <c r="V1215" i="43"/>
  <c r="I1215" i="43"/>
  <c r="V1214" i="43"/>
  <c r="I1214" i="43"/>
  <c r="V1213" i="43"/>
  <c r="I1213" i="43"/>
  <c r="I1212" i="43" l="1"/>
  <c r="V1212" i="43" l="1"/>
  <c r="V1211" i="43"/>
  <c r="I1211" i="43"/>
  <c r="V1210" i="43"/>
  <c r="I1210" i="43"/>
  <c r="V1209" i="43"/>
  <c r="I1209" i="43"/>
  <c r="I1208" i="43"/>
  <c r="V1208" i="43"/>
  <c r="V1207" i="43" l="1"/>
  <c r="I1207" i="43"/>
  <c r="V1206" i="43" l="1"/>
  <c r="I1206" i="43"/>
  <c r="V1205" i="43" l="1"/>
  <c r="I1205" i="43"/>
  <c r="V1204" i="43"/>
  <c r="I1204" i="43"/>
  <c r="V1203" i="43"/>
  <c r="I1203" i="43"/>
  <c r="I1202" i="43"/>
  <c r="V1202" i="43" l="1"/>
  <c r="V1201" i="43" l="1"/>
  <c r="I1201" i="43"/>
  <c r="V1200" i="43" l="1"/>
  <c r="I1200" i="43"/>
  <c r="V1199" i="43"/>
  <c r="I1199" i="43"/>
  <c r="V1198" i="43" l="1"/>
  <c r="I1198" i="43"/>
  <c r="V1197" i="43" l="1"/>
  <c r="I1197" i="43"/>
  <c r="V1196" i="43"/>
  <c r="I1196" i="43"/>
  <c r="V1195" i="43"/>
  <c r="I1195" i="43"/>
  <c r="V1194" i="43"/>
  <c r="I1194" i="43"/>
  <c r="V1193" i="43"/>
  <c r="I1193" i="43"/>
  <c r="V1192" i="43" l="1"/>
  <c r="I1192" i="43"/>
  <c r="V1191" i="43"/>
  <c r="I1191" i="43"/>
  <c r="V1190" i="43"/>
  <c r="I1190" i="43"/>
  <c r="V1189" i="43"/>
  <c r="I1189" i="43"/>
  <c r="V1188" i="43" l="1"/>
  <c r="I1188" i="43"/>
  <c r="V1187" i="43"/>
  <c r="I1187" i="43"/>
  <c r="I1186" i="43"/>
  <c r="V1186" i="43" l="1"/>
  <c r="V1185" i="43"/>
  <c r="I1185" i="43"/>
  <c r="V1184" i="43"/>
  <c r="I1184" i="43"/>
  <c r="V1183" i="43"/>
  <c r="I1183" i="43"/>
  <c r="V1182" i="43"/>
  <c r="I1182" i="43"/>
  <c r="V1181" i="43"/>
  <c r="I1181" i="43"/>
  <c r="V1180" i="43"/>
  <c r="I1180" i="43"/>
  <c r="V1179" i="43"/>
  <c r="I1179" i="43"/>
  <c r="V1178" i="43"/>
  <c r="I1178" i="43"/>
  <c r="V1177" i="43"/>
  <c r="I1177" i="43"/>
  <c r="V1176" i="43"/>
  <c r="I1176" i="43"/>
  <c r="V1175" i="43"/>
  <c r="I1175" i="43"/>
  <c r="V1174" i="43"/>
  <c r="I1174" i="43"/>
  <c r="V1173" i="43"/>
  <c r="I1173" i="43"/>
  <c r="V1172" i="43"/>
  <c r="I1172" i="43"/>
  <c r="V1171" i="43"/>
  <c r="I1171" i="43"/>
  <c r="V1170" i="43"/>
  <c r="I1170" i="43"/>
  <c r="V1169" i="43"/>
  <c r="I1169" i="43"/>
  <c r="V1168" i="43"/>
  <c r="I1168" i="43"/>
  <c r="V1159" i="43" l="1"/>
  <c r="V1160" i="43"/>
  <c r="V1161" i="43"/>
  <c r="V1162" i="43"/>
  <c r="V1163" i="43"/>
  <c r="V1164" i="43"/>
  <c r="V1165" i="43"/>
  <c r="V1166" i="43"/>
  <c r="V1167" i="43"/>
  <c r="I1159" i="43"/>
  <c r="I1160" i="43"/>
  <c r="I1161" i="43"/>
  <c r="I1162" i="43"/>
  <c r="I1163" i="43"/>
  <c r="I1164" i="43"/>
  <c r="I1165" i="43"/>
  <c r="I1166" i="43"/>
  <c r="I1167" i="43"/>
  <c r="I1158" i="43" l="1"/>
  <c r="V1158" i="43"/>
  <c r="V1157" i="43"/>
  <c r="I1157" i="43"/>
  <c r="V1156" i="43" l="1"/>
  <c r="I1156" i="43"/>
  <c r="I1155" i="43" l="1"/>
  <c r="V1155" i="43" l="1"/>
  <c r="V1153" i="43" l="1"/>
  <c r="V1154" i="43"/>
  <c r="I1154" i="43"/>
  <c r="I1153" i="43"/>
  <c r="V1152" i="43"/>
  <c r="I1152" i="43"/>
  <c r="V1151" i="43" l="1"/>
  <c r="I1151" i="43"/>
  <c r="V1150" i="43"/>
  <c r="I1150" i="43"/>
  <c r="V1149" i="43"/>
  <c r="I1149" i="43"/>
  <c r="V1148" i="43" l="1"/>
  <c r="I1148" i="43"/>
  <c r="V1147" i="43"/>
  <c r="I1147" i="43"/>
  <c r="V1146" i="43"/>
  <c r="I1146" i="43"/>
  <c r="V1145" i="43" l="1"/>
  <c r="I1145" i="43"/>
  <c r="V1144" i="43" l="1"/>
  <c r="I1144" i="43"/>
  <c r="V1143" i="43"/>
  <c r="I1143" i="43"/>
  <c r="V1142" i="43"/>
  <c r="I1142" i="43"/>
  <c r="V1141" i="43"/>
  <c r="I1141" i="43"/>
  <c r="I1140" i="43"/>
  <c r="V1140" i="43" l="1"/>
  <c r="V1139" i="43"/>
  <c r="I1139" i="43"/>
  <c r="V1138" i="43"/>
  <c r="I1138" i="43"/>
  <c r="V1137" i="43"/>
  <c r="I1137" i="43"/>
  <c r="V1136" i="43"/>
  <c r="I1136" i="43"/>
  <c r="V1135" i="43" l="1"/>
  <c r="I1135" i="43"/>
  <c r="V1134" i="43"/>
  <c r="I1134" i="43"/>
  <c r="V1133" i="43"/>
  <c r="I1133" i="43"/>
  <c r="V1132" i="43" l="1"/>
  <c r="I1132" i="43"/>
  <c r="V1131" i="43"/>
  <c r="I1131" i="43"/>
  <c r="V1130" i="43" l="1"/>
  <c r="I1130" i="43"/>
  <c r="V1129" i="43" l="1"/>
  <c r="I1129" i="43"/>
  <c r="V1128" i="43" l="1"/>
  <c r="I1128" i="43"/>
  <c r="V1127" i="43" l="1"/>
  <c r="I1127" i="43"/>
  <c r="V1126" i="43" l="1"/>
  <c r="I1126" i="43"/>
  <c r="V1125" i="43"/>
  <c r="I1125" i="43"/>
  <c r="V1124" i="43"/>
  <c r="I1124" i="43"/>
  <c r="V1123" i="43"/>
  <c r="I1123" i="43"/>
  <c r="V1122" i="43"/>
  <c r="I1122" i="43"/>
  <c r="V1121" i="43"/>
  <c r="I1121" i="43"/>
  <c r="V1120" i="43" l="1"/>
  <c r="I1120" i="43"/>
  <c r="V1119" i="43"/>
  <c r="I1119" i="43"/>
  <c r="V1118" i="43"/>
  <c r="I1118" i="43"/>
  <c r="V1117" i="43" l="1"/>
  <c r="I1117" i="43"/>
  <c r="V1116" i="43" l="1"/>
  <c r="I1116" i="43"/>
  <c r="V1115" i="43"/>
  <c r="I1115" i="43"/>
  <c r="V1114" i="43"/>
  <c r="I1114" i="43"/>
  <c r="V1113" i="43" l="1"/>
  <c r="I1113" i="43"/>
  <c r="V1112" i="43"/>
  <c r="I1112" i="43"/>
  <c r="V1111" i="43"/>
  <c r="I1111" i="43"/>
  <c r="V1110" i="43"/>
  <c r="I1110" i="43"/>
  <c r="V1109" i="43"/>
  <c r="I1109" i="43"/>
  <c r="I1087" i="43"/>
  <c r="V1108" i="43" l="1"/>
  <c r="I1108" i="43"/>
  <c r="V1107" i="43"/>
  <c r="I1107" i="43"/>
  <c r="V1106" i="43"/>
  <c r="I1106" i="43"/>
  <c r="V1105" i="43" l="1"/>
  <c r="I1105" i="43"/>
  <c r="V1104" i="43" l="1"/>
  <c r="I1104" i="43"/>
  <c r="V1103" i="43"/>
  <c r="I1103" i="43"/>
  <c r="V1102" i="43"/>
  <c r="I1102" i="43"/>
  <c r="V1101" i="43"/>
  <c r="I1101" i="43"/>
  <c r="V1100" i="43" l="1"/>
  <c r="I1100" i="43"/>
  <c r="V1099" i="43"/>
  <c r="I1099" i="43"/>
  <c r="AH13" i="11" l="1"/>
  <c r="AH12" i="11"/>
  <c r="AH11" i="11"/>
  <c r="AH10" i="11"/>
  <c r="AH9" i="11"/>
  <c r="AH8" i="11"/>
  <c r="AH7" i="11"/>
  <c r="AH6" i="11"/>
  <c r="AH5" i="11"/>
  <c r="V1098" i="43" l="1"/>
  <c r="I1098" i="43"/>
  <c r="V1097" i="43"/>
  <c r="I1097" i="43"/>
  <c r="V1096" i="43"/>
  <c r="I1096" i="43"/>
  <c r="V1095" i="43"/>
  <c r="I1095" i="43"/>
  <c r="V1094" i="43"/>
  <c r="I1094" i="43"/>
  <c r="AD13" i="11" l="1"/>
  <c r="AC13" i="11"/>
  <c r="AB13" i="11"/>
  <c r="AD12" i="11"/>
  <c r="AB12" i="11"/>
  <c r="AD11" i="11"/>
  <c r="AC11" i="11"/>
  <c r="AB11" i="11"/>
  <c r="AD10" i="11"/>
  <c r="AB10" i="11"/>
  <c r="AD9" i="11"/>
  <c r="AC9" i="11"/>
  <c r="AB9" i="11"/>
  <c r="AD8" i="11"/>
  <c r="AC8" i="11"/>
  <c r="AB8" i="11"/>
  <c r="AD7" i="11"/>
  <c r="AC7" i="11"/>
  <c r="AB7" i="11"/>
  <c r="AD6" i="11"/>
  <c r="AC6" i="11"/>
  <c r="AB6" i="11"/>
  <c r="AD5" i="11"/>
  <c r="AC5" i="11"/>
  <c r="AB5" i="11"/>
  <c r="AC16" i="11" l="1"/>
  <c r="AB16" i="11"/>
  <c r="AD16" i="11"/>
  <c r="AE13" i="11"/>
  <c r="AE12" i="11"/>
  <c r="AF12" i="11"/>
  <c r="AG12" i="11" s="1"/>
  <c r="AF13" i="11"/>
  <c r="AG13" i="11" s="1"/>
  <c r="V1093" i="43"/>
  <c r="V1092" i="43"/>
  <c r="V1091" i="43"/>
  <c r="V1090" i="43"/>
  <c r="I1093" i="43"/>
  <c r="I1092" i="43"/>
  <c r="I1091" i="43"/>
  <c r="I1090" i="43"/>
  <c r="V1089" i="43"/>
  <c r="I1089" i="43"/>
  <c r="V1088" i="43"/>
  <c r="I1088" i="43"/>
  <c r="V1087" i="43"/>
  <c r="V1086" i="43" l="1"/>
  <c r="I1086" i="43"/>
  <c r="AF11" i="11" l="1"/>
  <c r="AG11" i="11" s="1"/>
  <c r="V1085" i="43" l="1"/>
  <c r="I1085" i="43"/>
  <c r="V1084" i="43" l="1"/>
  <c r="I1084" i="43"/>
  <c r="V1083" i="43" l="1"/>
  <c r="I1083" i="43"/>
  <c r="V1082" i="43"/>
  <c r="I1082" i="43"/>
  <c r="V1081" i="43" l="1"/>
  <c r="I1081" i="43"/>
  <c r="V1080" i="43" l="1"/>
  <c r="I1080" i="43"/>
  <c r="V1079" i="43"/>
  <c r="I1079" i="43"/>
  <c r="V1078" i="43" l="1"/>
  <c r="I1078" i="43"/>
  <c r="V1077" i="43" l="1"/>
  <c r="I1077" i="43"/>
  <c r="I1076" i="43"/>
  <c r="V1076" i="43"/>
  <c r="V1075" i="43" l="1"/>
  <c r="I1075" i="43"/>
  <c r="V1074" i="43"/>
  <c r="I1074" i="43"/>
  <c r="V1073" i="43"/>
  <c r="I1073" i="43"/>
  <c r="V1072" i="43"/>
  <c r="I1072" i="43"/>
  <c r="V1071" i="43"/>
  <c r="I1071" i="43"/>
  <c r="V1070" i="43"/>
  <c r="I1070" i="43"/>
  <c r="V1069" i="43" l="1"/>
  <c r="I1069" i="43"/>
  <c r="V1068" i="43"/>
  <c r="I1068" i="43"/>
  <c r="V1067" i="43" l="1"/>
  <c r="I1067" i="43"/>
  <c r="V1066" i="43" l="1"/>
  <c r="I1066" i="43"/>
  <c r="V1065" i="43"/>
  <c r="I1065" i="43"/>
  <c r="V1064" i="43"/>
  <c r="I1064" i="43"/>
  <c r="V1063" i="43"/>
  <c r="I1063" i="43"/>
  <c r="V1062" i="43"/>
  <c r="I1062" i="43"/>
  <c r="V1061" i="43" l="1"/>
  <c r="I1061" i="43"/>
  <c r="V1060" i="43" l="1"/>
  <c r="I1060" i="43"/>
  <c r="V1059" i="43" l="1"/>
  <c r="I1059" i="43"/>
  <c r="V1058" i="43"/>
  <c r="I1058" i="43"/>
  <c r="V1057" i="43"/>
  <c r="I1057" i="43"/>
  <c r="V1056" i="43"/>
  <c r="I1056" i="43"/>
  <c r="A125" i="17"/>
  <c r="B125" i="17"/>
  <c r="A126" i="17"/>
  <c r="B126" i="17"/>
  <c r="A127" i="17"/>
  <c r="B127" i="17"/>
  <c r="A128" i="17"/>
  <c r="B128" i="17"/>
  <c r="A129" i="17"/>
  <c r="B129" i="17"/>
  <c r="A130" i="17"/>
  <c r="B130" i="17"/>
  <c r="A131" i="17"/>
  <c r="B131" i="17"/>
  <c r="A132" i="17"/>
  <c r="B132" i="17"/>
  <c r="V1055" i="43" l="1"/>
  <c r="I1055" i="43"/>
  <c r="V1054" i="43"/>
  <c r="I1054" i="43"/>
  <c r="V1053" i="43" l="1"/>
  <c r="I1053" i="43"/>
  <c r="V1052" i="43"/>
  <c r="I1052" i="43"/>
  <c r="V1051" i="43"/>
  <c r="I1051" i="43"/>
  <c r="V1050" i="43"/>
  <c r="I1050" i="43"/>
  <c r="V1049" i="43" l="1"/>
  <c r="I1049" i="43"/>
  <c r="V1048" i="43" l="1"/>
  <c r="I1048" i="43"/>
  <c r="V1047" i="43" l="1"/>
  <c r="I1047" i="43"/>
  <c r="V1046" i="43"/>
  <c r="I1046" i="43"/>
  <c r="V1045" i="43" l="1"/>
  <c r="I1045" i="43"/>
  <c r="V1044" i="43"/>
  <c r="I1044" i="43"/>
  <c r="V1043" i="43"/>
  <c r="I1043" i="43"/>
  <c r="V1042" i="43" l="1"/>
  <c r="I1042" i="43"/>
  <c r="V1041" i="43" l="1"/>
  <c r="I1041" i="43"/>
  <c r="V1040" i="43" l="1"/>
  <c r="I1040" i="43"/>
  <c r="V1039" i="43"/>
  <c r="I1039" i="43"/>
  <c r="V1038" i="43" l="1"/>
  <c r="I1038" i="43"/>
  <c r="V1035" i="43" l="1"/>
  <c r="I1035" i="43"/>
  <c r="C124" i="17" l="1"/>
  <c r="D124" i="17"/>
  <c r="C125" i="17"/>
  <c r="D125" i="17"/>
  <c r="C126" i="17"/>
  <c r="D126" i="17"/>
  <c r="C127" i="17"/>
  <c r="D127" i="17"/>
  <c r="C128" i="17"/>
  <c r="D128" i="17"/>
  <c r="C129" i="17"/>
  <c r="D129" i="17"/>
  <c r="C130" i="17"/>
  <c r="D130" i="17"/>
  <c r="C131" i="17"/>
  <c r="D131" i="17"/>
  <c r="D132" i="17"/>
  <c r="C133" i="17"/>
  <c r="D133" i="17"/>
  <c r="C134" i="17"/>
  <c r="D134" i="17"/>
  <c r="C135" i="17"/>
  <c r="D135" i="17"/>
  <c r="C136" i="17"/>
  <c r="D136" i="17"/>
  <c r="C137" i="17"/>
  <c r="D137" i="17"/>
  <c r="D123" i="17"/>
  <c r="C123" i="17"/>
  <c r="V1037" i="43" l="1"/>
  <c r="I1037" i="43"/>
  <c r="V1036" i="43" l="1"/>
  <c r="V1018" i="43"/>
  <c r="I1036" i="43"/>
  <c r="V1034" i="43" l="1"/>
  <c r="I1034" i="43"/>
  <c r="V1033" i="43"/>
  <c r="I1033" i="43"/>
  <c r="V1032" i="43"/>
  <c r="I1032" i="43"/>
  <c r="V1031" i="43" l="1"/>
  <c r="I1031" i="43"/>
  <c r="V1030" i="43" l="1"/>
  <c r="I1030" i="43"/>
  <c r="V1029" i="43"/>
  <c r="I1029" i="43"/>
  <c r="V1028" i="43"/>
  <c r="I1028" i="43"/>
  <c r="V1027" i="43"/>
  <c r="I1027" i="43"/>
  <c r="V1026" i="43" l="1"/>
  <c r="I1026" i="43"/>
  <c r="V1025" i="43"/>
  <c r="I1025" i="43"/>
  <c r="V1024" i="43"/>
  <c r="I1024" i="43"/>
  <c r="V1023" i="43"/>
  <c r="I1023" i="43"/>
  <c r="V1022" i="43" l="1"/>
  <c r="I1022" i="43"/>
  <c r="V1021" i="43"/>
  <c r="I1021" i="43"/>
  <c r="V1020" i="43"/>
  <c r="I1020" i="43"/>
  <c r="V1019" i="43"/>
  <c r="I1019" i="43"/>
  <c r="I1018" i="43"/>
  <c r="V1017" i="43" l="1"/>
  <c r="I1017" i="43"/>
  <c r="V1016" i="43"/>
  <c r="I1016" i="43"/>
  <c r="V1015" i="43"/>
  <c r="I1015" i="43"/>
  <c r="V1014" i="43" l="1"/>
  <c r="I1014" i="43"/>
  <c r="V1013" i="43" l="1"/>
  <c r="I1013" i="43"/>
  <c r="V1012" i="43"/>
  <c r="I1012" i="43"/>
  <c r="V1011" i="43" l="1"/>
  <c r="I1011" i="43"/>
  <c r="V1010" i="43" l="1"/>
  <c r="I1010" i="43"/>
  <c r="V1009" i="43" l="1"/>
  <c r="I1009" i="43"/>
  <c r="V1008" i="43" l="1"/>
  <c r="I1008" i="43"/>
  <c r="V1007" i="43" l="1"/>
  <c r="I1007" i="43"/>
  <c r="V1006" i="43"/>
  <c r="I1006" i="43"/>
  <c r="V1005" i="43"/>
  <c r="I1005" i="43"/>
  <c r="V1004" i="43" l="1"/>
  <c r="I1004" i="43"/>
  <c r="V1003" i="43" l="1"/>
  <c r="I1003" i="43"/>
  <c r="V1002" i="43" l="1"/>
  <c r="I1002" i="43"/>
  <c r="V1001" i="43"/>
  <c r="I1001" i="43"/>
  <c r="V1000" i="43" l="1"/>
  <c r="I1000" i="43"/>
  <c r="I998" i="43" l="1"/>
  <c r="I999" i="43"/>
  <c r="V999" i="43"/>
  <c r="C209" i="17" l="1"/>
  <c r="C245" i="17" s="1"/>
  <c r="D209" i="17"/>
  <c r="V998" i="43" l="1"/>
  <c r="V997" i="43" l="1"/>
  <c r="I997" i="43"/>
  <c r="V996" i="43" l="1"/>
  <c r="I996" i="43"/>
  <c r="V995" i="43"/>
  <c r="I995" i="43"/>
  <c r="V994" i="43"/>
  <c r="I994" i="43"/>
  <c r="V993" i="43"/>
  <c r="I993" i="43"/>
  <c r="V992" i="43" l="1"/>
  <c r="I992" i="43"/>
  <c r="V991" i="43" l="1"/>
  <c r="I991" i="43"/>
  <c r="V990" i="43" l="1"/>
  <c r="I990" i="43"/>
  <c r="I989" i="43" l="1"/>
  <c r="V989" i="43"/>
  <c r="V988" i="43"/>
  <c r="I988" i="43"/>
  <c r="V987" i="43"/>
  <c r="I987" i="43"/>
  <c r="V986" i="43"/>
  <c r="I986" i="43"/>
  <c r="G22" i="49" l="1"/>
  <c r="G18" i="49"/>
  <c r="C12" i="49"/>
  <c r="C11" i="49"/>
  <c r="G16" i="49" s="1"/>
  <c r="C10" i="49"/>
  <c r="C9" i="49"/>
  <c r="C8" i="49"/>
  <c r="C7" i="49"/>
  <c r="C6" i="49"/>
  <c r="C5" i="49"/>
  <c r="C4" i="49"/>
  <c r="V985" i="43"/>
  <c r="I985" i="43"/>
  <c r="V984" i="43"/>
  <c r="I984" i="43"/>
  <c r="V983" i="43"/>
  <c r="I983" i="43"/>
  <c r="V982" i="43"/>
  <c r="I982" i="43"/>
  <c r="I964" i="43"/>
  <c r="V981" i="43" l="1"/>
  <c r="I981" i="43"/>
  <c r="V980" i="43" l="1"/>
  <c r="I980" i="43"/>
  <c r="V979" i="43"/>
  <c r="I979" i="43"/>
  <c r="V978" i="43" l="1"/>
  <c r="I978" i="43"/>
  <c r="V977" i="43"/>
  <c r="I977" i="43"/>
  <c r="V976" i="43" l="1"/>
  <c r="I976" i="43"/>
  <c r="V975" i="43"/>
  <c r="I975" i="43"/>
  <c r="V974" i="43" l="1"/>
  <c r="I974" i="43"/>
  <c r="V973" i="43" l="1"/>
  <c r="I973" i="43"/>
  <c r="V972" i="43"/>
  <c r="I972" i="43"/>
  <c r="V971" i="43" l="1"/>
  <c r="I971" i="43"/>
  <c r="V970" i="43"/>
  <c r="I970" i="43"/>
  <c r="V969" i="43"/>
  <c r="I969" i="43"/>
  <c r="V968" i="43"/>
  <c r="I968" i="43"/>
  <c r="V967" i="43"/>
  <c r="I967" i="43"/>
  <c r="V966" i="43" l="1"/>
  <c r="I966" i="43"/>
  <c r="V965" i="43" l="1"/>
  <c r="I965" i="43"/>
  <c r="V964" i="43" l="1"/>
  <c r="V963" i="43"/>
  <c r="I963" i="43"/>
  <c r="V962" i="43"/>
  <c r="I962" i="43"/>
  <c r="V961" i="43"/>
  <c r="I961" i="43"/>
  <c r="V960" i="43"/>
  <c r="I960" i="43"/>
  <c r="V959" i="43" l="1"/>
  <c r="I959" i="43"/>
  <c r="V958" i="43"/>
  <c r="I958" i="43"/>
  <c r="V957" i="43"/>
  <c r="I957" i="43"/>
  <c r="V956" i="43"/>
  <c r="I956" i="43"/>
  <c r="V955" i="43"/>
  <c r="I955" i="43"/>
  <c r="V954" i="43" l="1"/>
  <c r="I954" i="43"/>
  <c r="V953" i="43" l="1"/>
  <c r="I953" i="43"/>
  <c r="V952" i="43"/>
  <c r="I952" i="43"/>
  <c r="V951" i="43"/>
  <c r="I951" i="43"/>
  <c r="I950" i="43" l="1"/>
  <c r="V950" i="43"/>
  <c r="V949" i="43" l="1"/>
  <c r="I949" i="43"/>
  <c r="V948" i="43" l="1"/>
  <c r="V947" i="43"/>
  <c r="V946" i="43"/>
  <c r="V945" i="43" l="1"/>
  <c r="V944" i="43" l="1"/>
  <c r="V943" i="43" l="1"/>
  <c r="V942" i="43"/>
  <c r="V941" i="43" l="1"/>
  <c r="V940" i="43"/>
  <c r="V939" i="43"/>
  <c r="I948" i="43"/>
  <c r="I947" i="43"/>
  <c r="I946" i="43"/>
  <c r="I945" i="43"/>
  <c r="I944" i="43"/>
  <c r="I943" i="43"/>
  <c r="I942" i="43"/>
  <c r="I941" i="43"/>
  <c r="I940" i="43"/>
  <c r="I939" i="43"/>
  <c r="I938" i="43" l="1"/>
  <c r="V938" i="43"/>
  <c r="V937" i="43"/>
  <c r="I937" i="43"/>
  <c r="V936" i="43"/>
  <c r="I936" i="43"/>
  <c r="V935" i="43"/>
  <c r="I935" i="43"/>
  <c r="V934" i="43"/>
  <c r="I934" i="43"/>
  <c r="V933" i="43"/>
  <c r="I933" i="43"/>
  <c r="V932" i="43"/>
  <c r="I932" i="43"/>
  <c r="V931" i="43"/>
  <c r="I931" i="43"/>
  <c r="V930" i="43"/>
  <c r="I930" i="43"/>
  <c r="V929" i="43"/>
  <c r="I929" i="43"/>
  <c r="V928" i="43"/>
  <c r="I928" i="43"/>
  <c r="V927" i="43" l="1"/>
  <c r="I927" i="43"/>
  <c r="V926" i="43" l="1"/>
  <c r="I926" i="43"/>
  <c r="V925" i="43" l="1"/>
  <c r="I925" i="43"/>
  <c r="V924" i="43"/>
  <c r="I924" i="43"/>
  <c r="V923" i="43" l="1"/>
  <c r="V922" i="43" l="1"/>
  <c r="V921" i="43"/>
  <c r="V920" i="43"/>
  <c r="V919" i="43"/>
  <c r="V918" i="43"/>
  <c r="I923" i="43"/>
  <c r="I922" i="43"/>
  <c r="I921" i="43"/>
  <c r="I920" i="43"/>
  <c r="I919" i="43"/>
  <c r="I918" i="43"/>
  <c r="V917" i="43" l="1"/>
  <c r="I917" i="43"/>
  <c r="V916" i="43"/>
  <c r="I916" i="43"/>
  <c r="V915" i="43" l="1"/>
  <c r="I915" i="43"/>
  <c r="V914" i="43" l="1"/>
  <c r="I914" i="43"/>
  <c r="V913" i="43" l="1"/>
  <c r="I913" i="43"/>
  <c r="V912" i="43" l="1"/>
  <c r="I912" i="43"/>
  <c r="V911" i="43"/>
  <c r="I911" i="43"/>
  <c r="V910" i="43"/>
  <c r="I910" i="43"/>
  <c r="V909" i="43" l="1"/>
  <c r="I909" i="43"/>
  <c r="V908" i="43"/>
  <c r="I908" i="43"/>
  <c r="V907" i="43"/>
  <c r="I907" i="43"/>
  <c r="V906" i="43" l="1"/>
  <c r="I906" i="43"/>
  <c r="V905" i="43" l="1"/>
  <c r="I905" i="43"/>
  <c r="V904" i="43"/>
  <c r="I904" i="43"/>
  <c r="V903" i="43"/>
  <c r="I903" i="43"/>
  <c r="V902" i="43"/>
  <c r="I902" i="43"/>
  <c r="V901" i="43" l="1"/>
  <c r="I901" i="43"/>
  <c r="V900" i="43" l="1"/>
  <c r="I900" i="43"/>
  <c r="V899" i="43" l="1"/>
  <c r="I899" i="43"/>
  <c r="V898" i="43" l="1"/>
  <c r="I898" i="43"/>
  <c r="V897" i="43"/>
  <c r="I897" i="43"/>
  <c r="V896" i="43"/>
  <c r="I896" i="43"/>
  <c r="V895" i="43"/>
  <c r="I895" i="43"/>
  <c r="V894" i="43" l="1"/>
  <c r="I894" i="43"/>
  <c r="V893" i="43"/>
  <c r="I893" i="43"/>
  <c r="V892" i="43"/>
  <c r="I892" i="43"/>
  <c r="V891" i="43"/>
  <c r="I891" i="43"/>
  <c r="V890" i="43"/>
  <c r="I890" i="43"/>
  <c r="I889" i="43" l="1"/>
  <c r="V889" i="43" l="1"/>
  <c r="V888" i="43" l="1"/>
  <c r="I888" i="43"/>
  <c r="I887" i="43" l="1"/>
  <c r="V887" i="43"/>
  <c r="V886" i="43" l="1"/>
  <c r="V885" i="43"/>
  <c r="V884" i="43"/>
  <c r="I884" i="43"/>
  <c r="V883" i="43" l="1"/>
  <c r="V882" i="43"/>
  <c r="V881" i="43" l="1"/>
  <c r="V880" i="43"/>
  <c r="I886" i="43"/>
  <c r="I885" i="43"/>
  <c r="I883" i="43"/>
  <c r="I882" i="43"/>
  <c r="I881" i="43"/>
  <c r="I880" i="43"/>
  <c r="V879" i="43" l="1"/>
  <c r="V878" i="43" l="1"/>
  <c r="V877" i="43"/>
  <c r="V876" i="43"/>
  <c r="I879" i="43"/>
  <c r="I878" i="43"/>
  <c r="I877" i="43"/>
  <c r="I876" i="43"/>
  <c r="V875" i="43"/>
  <c r="I873" i="43" l="1"/>
  <c r="I874" i="43"/>
  <c r="I875" i="43"/>
  <c r="I872" i="43"/>
  <c r="V871" i="43"/>
  <c r="V872" i="43"/>
  <c r="V873" i="43"/>
  <c r="V874" i="43"/>
  <c r="I871" i="43"/>
  <c r="V870" i="43" l="1"/>
  <c r="I870" i="43"/>
  <c r="V869" i="43"/>
  <c r="I869" i="43"/>
  <c r="V868" i="43" l="1"/>
  <c r="I868" i="43"/>
  <c r="V867" i="43"/>
  <c r="I867" i="43"/>
  <c r="V866" i="43" l="1"/>
  <c r="I866" i="43"/>
  <c r="V865" i="43" l="1"/>
  <c r="I865" i="43"/>
  <c r="V864" i="43" l="1"/>
  <c r="I864" i="43"/>
  <c r="V863" i="43"/>
  <c r="I863" i="43"/>
  <c r="V862" i="43" l="1"/>
  <c r="I862" i="43"/>
  <c r="V861" i="43" l="1"/>
  <c r="I861" i="43"/>
  <c r="V860" i="43" l="1"/>
  <c r="I860" i="43"/>
  <c r="A254" i="17" l="1"/>
  <c r="B254" i="17"/>
  <c r="C254" i="17"/>
  <c r="D254" i="17"/>
  <c r="E254" i="17"/>
  <c r="F254" i="17"/>
  <c r="A255" i="17"/>
  <c r="B255" i="17"/>
  <c r="C255" i="17"/>
  <c r="D255" i="17"/>
  <c r="E255" i="17"/>
  <c r="F255" i="17"/>
  <c r="A256" i="17"/>
  <c r="B256" i="17"/>
  <c r="C256" i="17"/>
  <c r="D256" i="17"/>
  <c r="E256" i="17"/>
  <c r="F256" i="17"/>
  <c r="A257" i="17"/>
  <c r="B257" i="17"/>
  <c r="C257" i="17"/>
  <c r="D257" i="17"/>
  <c r="E257" i="17"/>
  <c r="F257" i="17"/>
  <c r="A258" i="17"/>
  <c r="B258" i="17"/>
  <c r="C258" i="17"/>
  <c r="D258" i="17"/>
  <c r="E258" i="17"/>
  <c r="F258" i="17"/>
  <c r="A259" i="17"/>
  <c r="B259" i="17"/>
  <c r="C259" i="17"/>
  <c r="D259" i="17"/>
  <c r="E259" i="17"/>
  <c r="F259" i="17"/>
  <c r="A184" i="17"/>
  <c r="B184" i="17"/>
  <c r="C184" i="17"/>
  <c r="D184" i="17"/>
  <c r="E184" i="17"/>
  <c r="F184" i="17"/>
  <c r="G184" i="17"/>
  <c r="H184" i="17"/>
  <c r="A185" i="17"/>
  <c r="B185" i="17"/>
  <c r="C185" i="17"/>
  <c r="D185" i="17"/>
  <c r="E185" i="17"/>
  <c r="F185" i="17"/>
  <c r="G185" i="17"/>
  <c r="H185" i="17"/>
  <c r="A186" i="17"/>
  <c r="B186" i="17"/>
  <c r="C186" i="17"/>
  <c r="D186" i="17"/>
  <c r="E186" i="17"/>
  <c r="F186" i="17"/>
  <c r="G186" i="17"/>
  <c r="H186" i="17"/>
  <c r="A187" i="17"/>
  <c r="B187" i="17"/>
  <c r="C187" i="17"/>
  <c r="D187" i="17"/>
  <c r="E187" i="17"/>
  <c r="F187" i="17"/>
  <c r="G187" i="17"/>
  <c r="H187" i="17"/>
  <c r="A188" i="17"/>
  <c r="B188" i="17"/>
  <c r="D188" i="17"/>
  <c r="E188" i="17"/>
  <c r="F188" i="17"/>
  <c r="G188" i="17"/>
  <c r="H188" i="17"/>
  <c r="A167" i="17"/>
  <c r="B167" i="17"/>
  <c r="C167" i="17"/>
  <c r="D167" i="17"/>
  <c r="E167" i="17"/>
  <c r="F167" i="17"/>
  <c r="G167" i="17"/>
  <c r="H167" i="17"/>
  <c r="A168" i="17"/>
  <c r="B168" i="17"/>
  <c r="C168" i="17"/>
  <c r="D168" i="17"/>
  <c r="E168" i="17"/>
  <c r="F168" i="17"/>
  <c r="G168" i="17"/>
  <c r="H168" i="17"/>
  <c r="A169" i="17"/>
  <c r="B169" i="17"/>
  <c r="C169" i="17"/>
  <c r="D169" i="17"/>
  <c r="E169" i="17"/>
  <c r="F169" i="17"/>
  <c r="G169" i="17"/>
  <c r="H169" i="17"/>
  <c r="A170" i="17"/>
  <c r="B170" i="17"/>
  <c r="C170" i="17"/>
  <c r="D170" i="17"/>
  <c r="E170" i="17"/>
  <c r="F170" i="17"/>
  <c r="G170" i="17"/>
  <c r="H170" i="17"/>
  <c r="A171" i="17"/>
  <c r="B171" i="17"/>
  <c r="C171" i="17"/>
  <c r="D171" i="17"/>
  <c r="E171" i="17"/>
  <c r="F171" i="17"/>
  <c r="G171" i="17"/>
  <c r="H171" i="17"/>
  <c r="A172" i="17"/>
  <c r="B172" i="17"/>
  <c r="C172" i="17"/>
  <c r="D172" i="17"/>
  <c r="E172" i="17"/>
  <c r="F172" i="17"/>
  <c r="A142" i="17"/>
  <c r="B142" i="17"/>
  <c r="C142" i="17"/>
  <c r="D142" i="17"/>
  <c r="E142" i="17"/>
  <c r="F142" i="17"/>
  <c r="G142" i="17"/>
  <c r="H142" i="17"/>
  <c r="A143" i="17"/>
  <c r="B143" i="17"/>
  <c r="C143" i="17"/>
  <c r="D143" i="17"/>
  <c r="E143" i="17"/>
  <c r="F143" i="17"/>
  <c r="G143" i="17"/>
  <c r="H143" i="17"/>
  <c r="A144" i="17"/>
  <c r="B144" i="17"/>
  <c r="C144" i="17"/>
  <c r="D144" i="17"/>
  <c r="E144" i="17"/>
  <c r="F144" i="17"/>
  <c r="G144" i="17"/>
  <c r="H144" i="17"/>
  <c r="A145" i="17"/>
  <c r="B145" i="17"/>
  <c r="C145" i="17"/>
  <c r="D145" i="17"/>
  <c r="E145" i="17"/>
  <c r="F145" i="17"/>
  <c r="G145" i="17"/>
  <c r="A146" i="17"/>
  <c r="B146" i="17"/>
  <c r="C146" i="17"/>
  <c r="D146" i="17"/>
  <c r="E146" i="17"/>
  <c r="F146" i="17"/>
  <c r="G146" i="17"/>
  <c r="H146" i="17"/>
  <c r="B147" i="17"/>
  <c r="C147" i="17"/>
  <c r="D147" i="17"/>
  <c r="E147" i="17"/>
  <c r="F147" i="17"/>
  <c r="G147" i="17"/>
  <c r="H147" i="17"/>
  <c r="E125" i="17"/>
  <c r="G125" i="17"/>
  <c r="H125" i="17"/>
  <c r="E126" i="17"/>
  <c r="F126" i="17"/>
  <c r="G126" i="17"/>
  <c r="H126" i="17"/>
  <c r="F127" i="17"/>
  <c r="G127" i="17"/>
  <c r="H127" i="17"/>
  <c r="E128" i="17"/>
  <c r="F128" i="17"/>
  <c r="G128" i="17"/>
  <c r="H128" i="17"/>
  <c r="E129" i="17"/>
  <c r="F129" i="17"/>
  <c r="G129" i="17"/>
  <c r="H129" i="17"/>
  <c r="V859" i="43"/>
  <c r="I859" i="43"/>
  <c r="A260" i="17" l="1"/>
  <c r="B260" i="17"/>
  <c r="A261" i="17"/>
  <c r="B261" i="17"/>
  <c r="A262" i="17"/>
  <c r="B262" i="17"/>
  <c r="A263" i="17"/>
  <c r="B263" i="17"/>
  <c r="A264" i="17"/>
  <c r="B264" i="17"/>
  <c r="A265" i="17"/>
  <c r="B265" i="17"/>
  <c r="V858" i="43"/>
  <c r="I858" i="43"/>
  <c r="V857" i="43" l="1"/>
  <c r="I857" i="43"/>
  <c r="V856" i="43" l="1"/>
  <c r="I856" i="43"/>
  <c r="V855" i="43"/>
  <c r="I855" i="43"/>
  <c r="V854" i="43" l="1"/>
  <c r="I854" i="43"/>
  <c r="V853" i="43"/>
  <c r="I853" i="43"/>
  <c r="V852" i="43" l="1"/>
  <c r="I852" i="43"/>
  <c r="V851" i="43"/>
  <c r="I851" i="43"/>
  <c r="V850" i="43" l="1"/>
  <c r="I850" i="43"/>
  <c r="V849" i="43" l="1"/>
  <c r="I849" i="43"/>
  <c r="V848" i="43"/>
  <c r="I848" i="43"/>
  <c r="V847" i="43"/>
  <c r="I847" i="43"/>
  <c r="V846" i="43"/>
  <c r="I846" i="43"/>
  <c r="C260" i="17" l="1"/>
  <c r="E260" i="17"/>
  <c r="F260" i="17"/>
  <c r="G260" i="17"/>
  <c r="H260" i="17"/>
  <c r="D189" i="17"/>
  <c r="E189" i="17"/>
  <c r="F189" i="17"/>
  <c r="G189" i="17"/>
  <c r="H189" i="17"/>
  <c r="A141" i="17"/>
  <c r="B141" i="17"/>
  <c r="C141" i="17"/>
  <c r="D141" i="17"/>
  <c r="E141" i="17"/>
  <c r="F141" i="17"/>
  <c r="G141" i="17"/>
  <c r="H141" i="17"/>
  <c r="A124" i="17"/>
  <c r="B124" i="17"/>
  <c r="E124" i="17"/>
  <c r="F124" i="17"/>
  <c r="G124" i="17"/>
  <c r="H124" i="17"/>
  <c r="V845" i="43"/>
  <c r="I845" i="43"/>
  <c r="V844" i="43" l="1"/>
  <c r="I844" i="43"/>
  <c r="V843" i="43"/>
  <c r="I843" i="43"/>
  <c r="V842" i="43" l="1"/>
  <c r="I842" i="43"/>
  <c r="C404" i="17"/>
  <c r="C422" i="17" s="1"/>
  <c r="G261" i="17"/>
  <c r="H261" i="17"/>
  <c r="H262" i="17"/>
  <c r="G263" i="17"/>
  <c r="H263" i="17"/>
  <c r="G264" i="17"/>
  <c r="H264" i="17"/>
  <c r="G265" i="17"/>
  <c r="H265" i="17"/>
  <c r="G266" i="17"/>
  <c r="H266" i="17"/>
  <c r="E261" i="17"/>
  <c r="F261" i="17"/>
  <c r="E262" i="17"/>
  <c r="F262" i="17"/>
  <c r="E263" i="17"/>
  <c r="F263" i="17"/>
  <c r="E264" i="17"/>
  <c r="F264" i="17"/>
  <c r="E265" i="17"/>
  <c r="F265" i="17"/>
  <c r="E266" i="17"/>
  <c r="F266" i="17"/>
  <c r="C261" i="17"/>
  <c r="D261" i="17"/>
  <c r="C262" i="17"/>
  <c r="D262" i="17"/>
  <c r="C263" i="17"/>
  <c r="D263" i="17"/>
  <c r="C264" i="17"/>
  <c r="D264" i="17"/>
  <c r="C265" i="17"/>
  <c r="D265" i="17"/>
  <c r="C266" i="17"/>
  <c r="D266" i="17"/>
  <c r="A266" i="17"/>
  <c r="B266" i="17"/>
  <c r="G190" i="17"/>
  <c r="H190" i="17"/>
  <c r="G191" i="17"/>
  <c r="H191" i="17"/>
  <c r="G192" i="17"/>
  <c r="H192" i="17"/>
  <c r="G193" i="17"/>
  <c r="H193" i="17"/>
  <c r="G194" i="17"/>
  <c r="H194" i="17"/>
  <c r="E190" i="17"/>
  <c r="F190" i="17"/>
  <c r="E191" i="17"/>
  <c r="F191" i="17"/>
  <c r="E192" i="17"/>
  <c r="F192" i="17"/>
  <c r="E193" i="17"/>
  <c r="F193" i="17"/>
  <c r="E194" i="17"/>
  <c r="F194" i="17"/>
  <c r="D190" i="17"/>
  <c r="D191" i="17"/>
  <c r="D192" i="17"/>
  <c r="C193" i="17"/>
  <c r="D193" i="17"/>
  <c r="C194" i="17"/>
  <c r="D194" i="17"/>
  <c r="A193" i="17"/>
  <c r="B193" i="17"/>
  <c r="A194" i="17"/>
  <c r="B194" i="17"/>
  <c r="G175" i="17"/>
  <c r="H175" i="17"/>
  <c r="G176" i="17"/>
  <c r="H176" i="17"/>
  <c r="G177" i="17"/>
  <c r="H177" i="17"/>
  <c r="G178" i="17"/>
  <c r="H178" i="17"/>
  <c r="G179" i="17"/>
  <c r="H179" i="17"/>
  <c r="E173" i="17"/>
  <c r="F173" i="17"/>
  <c r="F174" i="17"/>
  <c r="E175" i="17"/>
  <c r="F175" i="17"/>
  <c r="E176" i="17"/>
  <c r="F176" i="17"/>
  <c r="E177" i="17"/>
  <c r="F177" i="17"/>
  <c r="E178" i="17"/>
  <c r="F178" i="17"/>
  <c r="E179" i="17"/>
  <c r="F179" i="17"/>
  <c r="C173" i="17"/>
  <c r="D173" i="17"/>
  <c r="C174" i="17"/>
  <c r="D174" i="17"/>
  <c r="C175" i="17"/>
  <c r="D175" i="17"/>
  <c r="C176" i="17"/>
  <c r="D176" i="17"/>
  <c r="C177" i="17"/>
  <c r="D177" i="17"/>
  <c r="C178" i="17"/>
  <c r="D178" i="17"/>
  <c r="C179" i="17"/>
  <c r="D179" i="17"/>
  <c r="A173" i="17"/>
  <c r="B173" i="17"/>
  <c r="A174" i="17"/>
  <c r="B174" i="17"/>
  <c r="A175" i="17"/>
  <c r="B175" i="17"/>
  <c r="A176" i="17"/>
  <c r="B176" i="17"/>
  <c r="A177" i="17"/>
  <c r="B177" i="17"/>
  <c r="A178" i="17"/>
  <c r="B178" i="17"/>
  <c r="A179" i="17"/>
  <c r="B179" i="17"/>
  <c r="G148" i="17"/>
  <c r="H148" i="17"/>
  <c r="G149" i="17"/>
  <c r="H149" i="17"/>
  <c r="G150" i="17"/>
  <c r="H150" i="17"/>
  <c r="G151" i="17"/>
  <c r="H151" i="17"/>
  <c r="E148" i="17"/>
  <c r="F148" i="17"/>
  <c r="E149" i="17"/>
  <c r="F149" i="17"/>
  <c r="E150" i="17"/>
  <c r="F150" i="17"/>
  <c r="E151" i="17"/>
  <c r="F151" i="17"/>
  <c r="C148" i="17"/>
  <c r="D148" i="17"/>
  <c r="C149" i="17"/>
  <c r="D149" i="17"/>
  <c r="C150" i="17"/>
  <c r="D150" i="17"/>
  <c r="C151" i="17"/>
  <c r="D151" i="17"/>
  <c r="A148" i="17"/>
  <c r="B148" i="17"/>
  <c r="A149" i="17"/>
  <c r="B149" i="17"/>
  <c r="A150" i="17"/>
  <c r="B150" i="17"/>
  <c r="A151" i="17"/>
  <c r="B151" i="17"/>
  <c r="G130" i="17"/>
  <c r="H130" i="17"/>
  <c r="G131" i="17"/>
  <c r="H131" i="17"/>
  <c r="G132" i="17"/>
  <c r="H132" i="17"/>
  <c r="G133" i="17"/>
  <c r="H133" i="17"/>
  <c r="G134" i="17"/>
  <c r="H134" i="17"/>
  <c r="G135" i="17"/>
  <c r="H135" i="17"/>
  <c r="G136" i="17"/>
  <c r="H136" i="17"/>
  <c r="E130" i="17"/>
  <c r="F130" i="17"/>
  <c r="E131" i="17"/>
  <c r="F131" i="17"/>
  <c r="E132" i="17"/>
  <c r="F132" i="17"/>
  <c r="E133" i="17"/>
  <c r="F133" i="17"/>
  <c r="E134" i="17"/>
  <c r="F134" i="17"/>
  <c r="E135" i="17"/>
  <c r="F135" i="17"/>
  <c r="E136" i="17"/>
  <c r="F136" i="17"/>
  <c r="A133" i="17"/>
  <c r="B133" i="17"/>
  <c r="A134" i="17"/>
  <c r="B134" i="17"/>
  <c r="A135" i="17"/>
  <c r="B135" i="17"/>
  <c r="A136" i="17"/>
  <c r="B136" i="17"/>
  <c r="V841" i="43" l="1"/>
  <c r="I841" i="43"/>
  <c r="V840" i="43" l="1"/>
  <c r="I840" i="43"/>
  <c r="V839" i="43" l="1"/>
  <c r="I839" i="43"/>
  <c r="V838" i="43" l="1"/>
  <c r="I838" i="43"/>
  <c r="V837" i="43"/>
  <c r="I837" i="43"/>
  <c r="V836" i="43" l="1"/>
  <c r="I836" i="43"/>
  <c r="I12" i="43"/>
  <c r="V12" i="43"/>
  <c r="I13" i="43"/>
  <c r="V13" i="43"/>
  <c r="I14" i="43"/>
  <c r="V14" i="43"/>
  <c r="I15" i="43"/>
  <c r="V15" i="43"/>
  <c r="I16" i="43"/>
  <c r="V16" i="43"/>
  <c r="I17" i="43"/>
  <c r="V17" i="43"/>
  <c r="I18" i="43"/>
  <c r="V18" i="43"/>
  <c r="I19" i="43"/>
  <c r="V19" i="43"/>
  <c r="I20" i="43"/>
  <c r="V20" i="43"/>
  <c r="AG25" i="43" s="1"/>
  <c r="I21" i="43"/>
  <c r="V21" i="43"/>
  <c r="I22" i="43"/>
  <c r="V22" i="43"/>
  <c r="I23" i="43"/>
  <c r="V23" i="43"/>
  <c r="I24" i="43"/>
  <c r="V24" i="43"/>
  <c r="I25" i="43"/>
  <c r="V25" i="43"/>
  <c r="I26" i="43"/>
  <c r="V26" i="43"/>
  <c r="I27" i="43"/>
  <c r="V27" i="43"/>
  <c r="I28" i="43"/>
  <c r="V28" i="43"/>
  <c r="I29" i="43"/>
  <c r="V29" i="43"/>
  <c r="I30" i="43"/>
  <c r="V30" i="43"/>
  <c r="I31" i="43"/>
  <c r="V31" i="43"/>
  <c r="I32" i="43"/>
  <c r="V32" i="43"/>
  <c r="I33" i="43"/>
  <c r="V33" i="43"/>
  <c r="I34" i="43"/>
  <c r="V34" i="43"/>
  <c r="I35" i="43"/>
  <c r="V35" i="43"/>
  <c r="I36" i="43"/>
  <c r="V36" i="43"/>
  <c r="I37" i="43"/>
  <c r="V37" i="43"/>
  <c r="I38" i="43"/>
  <c r="V38" i="43"/>
  <c r="I39" i="43"/>
  <c r="V39" i="43"/>
  <c r="I40" i="43"/>
  <c r="V40" i="43"/>
  <c r="I41" i="43"/>
  <c r="V41" i="43"/>
  <c r="I42" i="43"/>
  <c r="V42" i="43"/>
  <c r="I43" i="43"/>
  <c r="V43" i="43"/>
  <c r="I44" i="43"/>
  <c r="V44" i="43"/>
  <c r="I45" i="43"/>
  <c r="V45" i="43"/>
  <c r="I46" i="43"/>
  <c r="V46" i="43"/>
  <c r="I47" i="43"/>
  <c r="V47" i="43"/>
  <c r="I48" i="43"/>
  <c r="V48" i="43"/>
  <c r="I49" i="43"/>
  <c r="V49" i="43"/>
  <c r="I50" i="43"/>
  <c r="V50" i="43"/>
  <c r="I51" i="43"/>
  <c r="V51" i="43"/>
  <c r="I52" i="43"/>
  <c r="V52" i="43"/>
  <c r="I53" i="43"/>
  <c r="V53" i="43"/>
  <c r="I54" i="43"/>
  <c r="V54" i="43"/>
  <c r="I55" i="43"/>
  <c r="V55" i="43"/>
  <c r="I56" i="43"/>
  <c r="V56" i="43"/>
  <c r="I57" i="43"/>
  <c r="V57" i="43"/>
  <c r="I58" i="43"/>
  <c r="V58" i="43"/>
  <c r="I59" i="43"/>
  <c r="V59" i="43"/>
  <c r="I60" i="43"/>
  <c r="V60" i="43"/>
  <c r="I61" i="43"/>
  <c r="V61" i="43"/>
  <c r="I62" i="43"/>
  <c r="V62" i="43"/>
  <c r="I63" i="43"/>
  <c r="V63" i="43"/>
  <c r="I64" i="43"/>
  <c r="V64" i="43"/>
  <c r="I65" i="43"/>
  <c r="V65" i="43"/>
  <c r="I66" i="43"/>
  <c r="V66" i="43"/>
  <c r="I67" i="43"/>
  <c r="V67" i="43"/>
  <c r="I68" i="43"/>
  <c r="V68" i="43"/>
  <c r="I69" i="43"/>
  <c r="V69" i="43"/>
  <c r="I70" i="43"/>
  <c r="V70" i="43"/>
  <c r="I71" i="43"/>
  <c r="V71" i="43"/>
  <c r="I72" i="43"/>
  <c r="V72" i="43"/>
  <c r="I73" i="43"/>
  <c r="J73" i="43"/>
  <c r="V73" i="43"/>
  <c r="I74" i="43"/>
  <c r="V74" i="43"/>
  <c r="I75" i="43"/>
  <c r="V75" i="43"/>
  <c r="I76" i="43"/>
  <c r="V76" i="43"/>
  <c r="I77" i="43"/>
  <c r="V77" i="43"/>
  <c r="I78" i="43"/>
  <c r="V78" i="43"/>
  <c r="I79" i="43"/>
  <c r="V79" i="43"/>
  <c r="I80" i="43"/>
  <c r="V80" i="43"/>
  <c r="I81" i="43"/>
  <c r="V81" i="43"/>
  <c r="I82" i="43"/>
  <c r="V82" i="43"/>
  <c r="I83" i="43"/>
  <c r="V83" i="43"/>
  <c r="I84" i="43"/>
  <c r="V84" i="43"/>
  <c r="I85" i="43"/>
  <c r="V85" i="43"/>
  <c r="I86" i="43"/>
  <c r="V86" i="43"/>
  <c r="I87" i="43"/>
  <c r="V87" i="43"/>
  <c r="I88" i="43"/>
  <c r="V88" i="43"/>
  <c r="I89" i="43"/>
  <c r="V89" i="43"/>
  <c r="I90" i="43"/>
  <c r="V90" i="43"/>
  <c r="I91" i="43"/>
  <c r="V91" i="43"/>
  <c r="I92" i="43"/>
  <c r="V92" i="43"/>
  <c r="I93" i="43"/>
  <c r="V93" i="43"/>
  <c r="I94" i="43"/>
  <c r="V94" i="43"/>
  <c r="I95" i="43"/>
  <c r="V95" i="43"/>
  <c r="I96" i="43"/>
  <c r="V96" i="43"/>
  <c r="I97" i="43"/>
  <c r="V97" i="43"/>
  <c r="I98" i="43"/>
  <c r="V98" i="43"/>
  <c r="I99" i="43"/>
  <c r="V99" i="43"/>
  <c r="I100" i="43"/>
  <c r="V100" i="43"/>
  <c r="I101" i="43"/>
  <c r="V101" i="43"/>
  <c r="I102" i="43"/>
  <c r="V102" i="43"/>
  <c r="I103" i="43"/>
  <c r="V103" i="43"/>
  <c r="I104" i="43"/>
  <c r="V104" i="43"/>
  <c r="I105" i="43"/>
  <c r="V105" i="43"/>
  <c r="I106" i="43"/>
  <c r="V106" i="43"/>
  <c r="I107" i="43"/>
  <c r="V107" i="43"/>
  <c r="I108" i="43"/>
  <c r="V108" i="43"/>
  <c r="I109" i="43"/>
  <c r="V109" i="43"/>
  <c r="I110" i="43"/>
  <c r="V110" i="43"/>
  <c r="I111" i="43"/>
  <c r="V111" i="43"/>
  <c r="I112" i="43"/>
  <c r="V112" i="43"/>
  <c r="I113" i="43"/>
  <c r="V113" i="43"/>
  <c r="I114" i="43"/>
  <c r="V114" i="43"/>
  <c r="I115" i="43"/>
  <c r="V115" i="43"/>
  <c r="I116" i="43"/>
  <c r="V116" i="43"/>
  <c r="I117" i="43"/>
  <c r="V117" i="43"/>
  <c r="I118" i="43"/>
  <c r="V118" i="43"/>
  <c r="I119" i="43"/>
  <c r="V119" i="43"/>
  <c r="I120" i="43"/>
  <c r="V120" i="43"/>
  <c r="I121" i="43"/>
  <c r="V121" i="43"/>
  <c r="I122" i="43"/>
  <c r="V122" i="43"/>
  <c r="I123" i="43"/>
  <c r="V123" i="43"/>
  <c r="I124" i="43"/>
  <c r="V124" i="43"/>
  <c r="I125" i="43"/>
  <c r="V125" i="43"/>
  <c r="I126" i="43"/>
  <c r="V126" i="43"/>
  <c r="I127" i="43"/>
  <c r="V127" i="43"/>
  <c r="I128" i="43"/>
  <c r="V128" i="43"/>
  <c r="I129" i="43"/>
  <c r="V129" i="43"/>
  <c r="I130" i="43"/>
  <c r="V130" i="43"/>
  <c r="I131" i="43"/>
  <c r="V131" i="43"/>
  <c r="I132" i="43"/>
  <c r="V132" i="43"/>
  <c r="I133" i="43"/>
  <c r="V133" i="43"/>
  <c r="I134" i="43"/>
  <c r="V134" i="43"/>
  <c r="I135" i="43"/>
  <c r="V135" i="43"/>
  <c r="I136" i="43"/>
  <c r="V136" i="43"/>
  <c r="I137" i="43"/>
  <c r="V137" i="43"/>
  <c r="I138" i="43"/>
  <c r="V138" i="43"/>
  <c r="I139" i="43"/>
  <c r="V139" i="43"/>
  <c r="I140" i="43"/>
  <c r="V140" i="43"/>
  <c r="I141" i="43"/>
  <c r="V141" i="43"/>
  <c r="I142" i="43"/>
  <c r="V142" i="43"/>
  <c r="I143" i="43"/>
  <c r="V143" i="43"/>
  <c r="I144" i="43"/>
  <c r="V144" i="43"/>
  <c r="I145" i="43"/>
  <c r="V145" i="43"/>
  <c r="I146" i="43"/>
  <c r="V146" i="43"/>
  <c r="I147" i="43"/>
  <c r="V147" i="43"/>
  <c r="I148" i="43"/>
  <c r="V148" i="43"/>
  <c r="I149" i="43"/>
  <c r="V149" i="43"/>
  <c r="I150" i="43"/>
  <c r="V150" i="43"/>
  <c r="I151" i="43"/>
  <c r="V151" i="43"/>
  <c r="I152" i="43"/>
  <c r="V152" i="43"/>
  <c r="I153" i="43"/>
  <c r="V153" i="43"/>
  <c r="I154" i="43"/>
  <c r="V154" i="43"/>
  <c r="I155" i="43"/>
  <c r="V155" i="43"/>
  <c r="I156" i="43"/>
  <c r="V156" i="43"/>
  <c r="I157" i="43"/>
  <c r="V157" i="43"/>
  <c r="I158" i="43"/>
  <c r="V158" i="43"/>
  <c r="I159" i="43"/>
  <c r="V159" i="43"/>
  <c r="I160" i="43"/>
  <c r="V160" i="43"/>
  <c r="I161" i="43"/>
  <c r="V161" i="43"/>
  <c r="I162" i="43"/>
  <c r="V162" i="43"/>
  <c r="I163" i="43"/>
  <c r="V163" i="43"/>
  <c r="I164" i="43"/>
  <c r="V164" i="43"/>
  <c r="I165" i="43"/>
  <c r="V165" i="43"/>
  <c r="I166" i="43"/>
  <c r="V166" i="43"/>
  <c r="I167" i="43"/>
  <c r="V167" i="43"/>
  <c r="I168" i="43"/>
  <c r="V168" i="43"/>
  <c r="I169" i="43"/>
  <c r="V169" i="43"/>
  <c r="I170" i="43"/>
  <c r="V170" i="43"/>
  <c r="I171" i="43"/>
  <c r="V171" i="43"/>
  <c r="I172" i="43"/>
  <c r="V172" i="43"/>
  <c r="I173" i="43"/>
  <c r="V173" i="43"/>
  <c r="I174" i="43"/>
  <c r="V174" i="43"/>
  <c r="I175" i="43"/>
  <c r="V175" i="43"/>
  <c r="I176" i="43"/>
  <c r="V176" i="43"/>
  <c r="I177" i="43"/>
  <c r="V177" i="43"/>
  <c r="I178" i="43"/>
  <c r="V178" i="43"/>
  <c r="I179" i="43"/>
  <c r="V179" i="43"/>
  <c r="I180" i="43"/>
  <c r="V180" i="43"/>
  <c r="I181" i="43"/>
  <c r="V181" i="43"/>
  <c r="I182" i="43"/>
  <c r="V182" i="43"/>
  <c r="I183" i="43"/>
  <c r="V183" i="43"/>
  <c r="I184" i="43"/>
  <c r="V184" i="43"/>
  <c r="I185" i="43"/>
  <c r="V185" i="43"/>
  <c r="I186" i="43"/>
  <c r="V186" i="43"/>
  <c r="I187" i="43"/>
  <c r="V187" i="43"/>
  <c r="I188" i="43"/>
  <c r="V188" i="43"/>
  <c r="I189" i="43"/>
  <c r="V189" i="43"/>
  <c r="I190" i="43"/>
  <c r="V190" i="43"/>
  <c r="I191" i="43"/>
  <c r="V191" i="43"/>
  <c r="I192" i="43"/>
  <c r="V192" i="43"/>
  <c r="I193" i="43"/>
  <c r="V193" i="43"/>
  <c r="I194" i="43"/>
  <c r="V194" i="43"/>
  <c r="I195" i="43"/>
  <c r="V195" i="43"/>
  <c r="I196" i="43"/>
  <c r="V196" i="43"/>
  <c r="I197" i="43"/>
  <c r="V197" i="43"/>
  <c r="I198" i="43"/>
  <c r="V198" i="43"/>
  <c r="I199" i="43"/>
  <c r="V199" i="43"/>
  <c r="I200" i="43"/>
  <c r="V200" i="43"/>
  <c r="I201" i="43"/>
  <c r="V201" i="43"/>
  <c r="I202" i="43"/>
  <c r="V202" i="43"/>
  <c r="I203" i="43"/>
  <c r="V203" i="43"/>
  <c r="I204" i="43"/>
  <c r="V204" i="43"/>
  <c r="I205" i="43"/>
  <c r="V205" i="43"/>
  <c r="I206" i="43"/>
  <c r="V206" i="43"/>
  <c r="I207" i="43"/>
  <c r="V207" i="43"/>
  <c r="I208" i="43"/>
  <c r="V208" i="43"/>
  <c r="I209" i="43"/>
  <c r="V209" i="43"/>
  <c r="I210" i="43"/>
  <c r="V210" i="43"/>
  <c r="I211" i="43"/>
  <c r="V211" i="43"/>
  <c r="I212" i="43"/>
  <c r="V212" i="43"/>
  <c r="I213" i="43"/>
  <c r="V213" i="43"/>
  <c r="I214" i="43"/>
  <c r="V214" i="43"/>
  <c r="I215" i="43"/>
  <c r="V215" i="43"/>
  <c r="I216" i="43"/>
  <c r="V216" i="43"/>
  <c r="I217" i="43"/>
  <c r="V217" i="43"/>
  <c r="I218" i="43"/>
  <c r="V218" i="43"/>
  <c r="I219" i="43"/>
  <c r="V219" i="43"/>
  <c r="I220" i="43"/>
  <c r="V220" i="43"/>
  <c r="I221" i="43"/>
  <c r="V221" i="43"/>
  <c r="I222" i="43"/>
  <c r="V222" i="43"/>
  <c r="I223" i="43"/>
  <c r="V223" i="43"/>
  <c r="I224" i="43"/>
  <c r="V224" i="43"/>
  <c r="I225" i="43"/>
  <c r="V225" i="43"/>
  <c r="I226" i="43"/>
  <c r="V226" i="43"/>
  <c r="I227" i="43"/>
  <c r="V227" i="43"/>
  <c r="I228" i="43"/>
  <c r="V228" i="43"/>
  <c r="I229" i="43"/>
  <c r="V229" i="43"/>
  <c r="I230" i="43"/>
  <c r="V230" i="43"/>
  <c r="I231" i="43"/>
  <c r="V231" i="43"/>
  <c r="I232" i="43"/>
  <c r="V232" i="43"/>
  <c r="I233" i="43"/>
  <c r="V233" i="43"/>
  <c r="I234" i="43"/>
  <c r="V234" i="43"/>
  <c r="I235" i="43"/>
  <c r="V235" i="43"/>
  <c r="I236" i="43"/>
  <c r="V236" i="43"/>
  <c r="I237" i="43"/>
  <c r="V237" i="43"/>
  <c r="I238" i="43"/>
  <c r="V238" i="43"/>
  <c r="I239" i="43"/>
  <c r="V239" i="43"/>
  <c r="I240" i="43"/>
  <c r="V240" i="43"/>
  <c r="I241" i="43"/>
  <c r="V241" i="43"/>
  <c r="I242" i="43"/>
  <c r="V242" i="43"/>
  <c r="I243" i="43"/>
  <c r="V243" i="43"/>
  <c r="I244" i="43"/>
  <c r="V244" i="43"/>
  <c r="I245" i="43"/>
  <c r="V245" i="43"/>
  <c r="I246" i="43"/>
  <c r="V246" i="43"/>
  <c r="I247" i="43"/>
  <c r="V247" i="43"/>
  <c r="I248" i="43"/>
  <c r="V248" i="43"/>
  <c r="I249" i="43"/>
  <c r="V249" i="43"/>
  <c r="I250" i="43"/>
  <c r="V250" i="43"/>
  <c r="I251" i="43"/>
  <c r="V251" i="43"/>
  <c r="I252" i="43"/>
  <c r="V252" i="43"/>
  <c r="I253" i="43"/>
  <c r="V253" i="43"/>
  <c r="I254" i="43"/>
  <c r="V254" i="43"/>
  <c r="I255" i="43"/>
  <c r="V255" i="43"/>
  <c r="I256" i="43"/>
  <c r="V256" i="43"/>
  <c r="I257" i="43"/>
  <c r="V257" i="43"/>
  <c r="I258" i="43"/>
  <c r="V258" i="43"/>
  <c r="I259" i="43"/>
  <c r="V259" i="43"/>
  <c r="I260" i="43"/>
  <c r="V260" i="43"/>
  <c r="I261" i="43"/>
  <c r="V261" i="43"/>
  <c r="I262" i="43"/>
  <c r="V262" i="43"/>
  <c r="I263" i="43"/>
  <c r="V263" i="43"/>
  <c r="I264" i="43"/>
  <c r="V264" i="43"/>
  <c r="I265" i="43"/>
  <c r="V265" i="43"/>
  <c r="I266" i="43"/>
  <c r="V266" i="43"/>
  <c r="I267" i="43"/>
  <c r="V267" i="43"/>
  <c r="I268" i="43"/>
  <c r="V268" i="43"/>
  <c r="I269" i="43"/>
  <c r="V269" i="43"/>
  <c r="I270" i="43"/>
  <c r="V270" i="43"/>
  <c r="I271" i="43"/>
  <c r="V271" i="43"/>
  <c r="I272" i="43"/>
  <c r="V272" i="43"/>
  <c r="I273" i="43"/>
  <c r="V273" i="43"/>
  <c r="I274" i="43"/>
  <c r="V274" i="43"/>
  <c r="I275" i="43"/>
  <c r="V275" i="43"/>
  <c r="I276" i="43"/>
  <c r="V276" i="43"/>
  <c r="I277" i="43"/>
  <c r="V277" i="43"/>
  <c r="I278" i="43"/>
  <c r="V278" i="43"/>
  <c r="I279" i="43"/>
  <c r="V279" i="43"/>
  <c r="I280" i="43"/>
  <c r="V280" i="43"/>
  <c r="I281" i="43"/>
  <c r="V281" i="43"/>
  <c r="I282" i="43"/>
  <c r="V282" i="43"/>
  <c r="I283" i="43"/>
  <c r="V283" i="43"/>
  <c r="I284" i="43"/>
  <c r="V284" i="43"/>
  <c r="I285" i="43"/>
  <c r="V285" i="43"/>
  <c r="I286" i="43"/>
  <c r="V286" i="43"/>
  <c r="I287" i="43"/>
  <c r="V287" i="43"/>
  <c r="I288" i="43"/>
  <c r="V288" i="43"/>
  <c r="I289" i="43"/>
  <c r="V289" i="43"/>
  <c r="I290" i="43"/>
  <c r="V290" i="43"/>
  <c r="I291" i="43"/>
  <c r="V291" i="43"/>
  <c r="I292" i="43"/>
  <c r="V292" i="43"/>
  <c r="I293" i="43"/>
  <c r="V293" i="43"/>
  <c r="I294" i="43"/>
  <c r="V294" i="43"/>
  <c r="I295" i="43"/>
  <c r="V295" i="43"/>
  <c r="I296" i="43"/>
  <c r="V296" i="43"/>
  <c r="I297" i="43"/>
  <c r="V297" i="43"/>
  <c r="I298" i="43"/>
  <c r="V298" i="43"/>
  <c r="I299" i="43"/>
  <c r="V299" i="43"/>
  <c r="I300" i="43"/>
  <c r="V300" i="43"/>
  <c r="I301" i="43"/>
  <c r="V301" i="43"/>
  <c r="I302" i="43"/>
  <c r="V302" i="43"/>
  <c r="I303" i="43"/>
  <c r="V303" i="43"/>
  <c r="I304" i="43"/>
  <c r="V304" i="43"/>
  <c r="I305" i="43"/>
  <c r="V305" i="43"/>
  <c r="I306" i="43"/>
  <c r="V306" i="43"/>
  <c r="I307" i="43"/>
  <c r="V307" i="43"/>
  <c r="I308" i="43"/>
  <c r="V308" i="43"/>
  <c r="I309" i="43"/>
  <c r="V309" i="43"/>
  <c r="I310" i="43"/>
  <c r="V310" i="43"/>
  <c r="I311" i="43"/>
  <c r="V311" i="43"/>
  <c r="I312" i="43"/>
  <c r="J312" i="43"/>
  <c r="V312" i="43"/>
  <c r="I313" i="43"/>
  <c r="V313" i="43"/>
  <c r="I314" i="43"/>
  <c r="V314" i="43"/>
  <c r="I315" i="43"/>
  <c r="V315" i="43"/>
  <c r="I316" i="43"/>
  <c r="V316" i="43"/>
  <c r="I317" i="43"/>
  <c r="V317" i="43"/>
  <c r="I318" i="43"/>
  <c r="V318" i="43"/>
  <c r="I319" i="43"/>
  <c r="V319" i="43"/>
  <c r="I320" i="43"/>
  <c r="V320" i="43"/>
  <c r="I321" i="43"/>
  <c r="V321" i="43"/>
  <c r="I322" i="43"/>
  <c r="V322" i="43"/>
  <c r="I323" i="43"/>
  <c r="V323" i="43"/>
  <c r="I324" i="43"/>
  <c r="V324" i="43"/>
  <c r="I325" i="43"/>
  <c r="V325" i="43"/>
  <c r="I326" i="43"/>
  <c r="V326" i="43"/>
  <c r="I327" i="43"/>
  <c r="V327" i="43"/>
  <c r="I328" i="43"/>
  <c r="V328" i="43"/>
  <c r="I329" i="43"/>
  <c r="V329" i="43"/>
  <c r="I330" i="43"/>
  <c r="V330" i="43"/>
  <c r="I331" i="43"/>
  <c r="V331" i="43"/>
  <c r="I332" i="43"/>
  <c r="V332" i="43"/>
  <c r="I333" i="43"/>
  <c r="V333" i="43"/>
  <c r="I334" i="43"/>
  <c r="V334" i="43"/>
  <c r="I335" i="43"/>
  <c r="V335" i="43"/>
  <c r="I336" i="43"/>
  <c r="V336" i="43"/>
  <c r="I337" i="43"/>
  <c r="V337" i="43"/>
  <c r="I338" i="43"/>
  <c r="V338" i="43"/>
  <c r="I339" i="43"/>
  <c r="V339" i="43"/>
  <c r="I340" i="43"/>
  <c r="V340" i="43"/>
  <c r="I341" i="43"/>
  <c r="V341" i="43"/>
  <c r="I342" i="43"/>
  <c r="V342" i="43"/>
  <c r="I343" i="43"/>
  <c r="V343" i="43"/>
  <c r="I344" i="43"/>
  <c r="V344" i="43"/>
  <c r="I345" i="43"/>
  <c r="V345" i="43"/>
  <c r="I346" i="43"/>
  <c r="V346" i="43"/>
  <c r="I347" i="43"/>
  <c r="V347" i="43"/>
  <c r="I348" i="43"/>
  <c r="V348" i="43"/>
  <c r="I349" i="43"/>
  <c r="V349" i="43"/>
  <c r="I350" i="43"/>
  <c r="V350" i="43"/>
  <c r="I351" i="43"/>
  <c r="V351" i="43"/>
  <c r="I352" i="43"/>
  <c r="V352" i="43"/>
  <c r="I353" i="43"/>
  <c r="V353" i="43"/>
  <c r="I354" i="43"/>
  <c r="V354" i="43"/>
  <c r="I355" i="43"/>
  <c r="V355" i="43"/>
  <c r="I356" i="43"/>
  <c r="V356" i="43"/>
  <c r="I357" i="43"/>
  <c r="V357" i="43"/>
  <c r="I358" i="43"/>
  <c r="V358" i="43"/>
  <c r="I359" i="43"/>
  <c r="V359" i="43"/>
  <c r="I360" i="43"/>
  <c r="V360" i="43"/>
  <c r="I361" i="43"/>
  <c r="V361" i="43"/>
  <c r="I362" i="43"/>
  <c r="V362" i="43"/>
  <c r="I363" i="43"/>
  <c r="V363" i="43"/>
  <c r="I364" i="43"/>
  <c r="V364" i="43"/>
  <c r="I365" i="43"/>
  <c r="V365" i="43"/>
  <c r="I366" i="43"/>
  <c r="V366" i="43"/>
  <c r="I367" i="43"/>
  <c r="V367" i="43"/>
  <c r="I368" i="43"/>
  <c r="V368" i="43"/>
  <c r="I369" i="43"/>
  <c r="V369" i="43"/>
  <c r="I370" i="43"/>
  <c r="V370" i="43"/>
  <c r="I371" i="43"/>
  <c r="V371" i="43"/>
  <c r="I372" i="43"/>
  <c r="V372" i="43"/>
  <c r="I373" i="43"/>
  <c r="V373" i="43"/>
  <c r="I374" i="43"/>
  <c r="V374" i="43"/>
  <c r="I375" i="43"/>
  <c r="V375" i="43"/>
  <c r="I376" i="43"/>
  <c r="V376" i="43"/>
  <c r="I377" i="43"/>
  <c r="V377" i="43"/>
  <c r="I378" i="43"/>
  <c r="V378" i="43"/>
  <c r="I379" i="43"/>
  <c r="V379" i="43"/>
  <c r="I380" i="43"/>
  <c r="V380" i="43"/>
  <c r="I381" i="43"/>
  <c r="V381" i="43"/>
  <c r="I382" i="43"/>
  <c r="V382" i="43"/>
  <c r="I383" i="43"/>
  <c r="I384" i="43"/>
  <c r="V384" i="43"/>
  <c r="I385" i="43"/>
  <c r="V385" i="43"/>
  <c r="I386" i="43"/>
  <c r="V386" i="43"/>
  <c r="I387" i="43"/>
  <c r="V387" i="43"/>
  <c r="I388" i="43"/>
  <c r="V388" i="43"/>
  <c r="I389" i="43"/>
  <c r="V389" i="43"/>
  <c r="I390" i="43"/>
  <c r="V390" i="43"/>
  <c r="I391" i="43"/>
  <c r="V391" i="43"/>
  <c r="I392" i="43"/>
  <c r="V392" i="43"/>
  <c r="I393" i="43"/>
  <c r="V393" i="43"/>
  <c r="I394" i="43"/>
  <c r="V394" i="43"/>
  <c r="I395" i="43"/>
  <c r="V395" i="43"/>
  <c r="I396" i="43"/>
  <c r="V396" i="43"/>
  <c r="I397" i="43"/>
  <c r="V397" i="43"/>
  <c r="I398" i="43"/>
  <c r="V398" i="43"/>
  <c r="I399" i="43"/>
  <c r="V399" i="43"/>
  <c r="I400" i="43"/>
  <c r="V400" i="43"/>
  <c r="I401" i="43"/>
  <c r="V401" i="43"/>
  <c r="I402" i="43"/>
  <c r="V402" i="43"/>
  <c r="I403" i="43"/>
  <c r="V403" i="43"/>
  <c r="I404" i="43"/>
  <c r="V404" i="43"/>
  <c r="I405" i="43"/>
  <c r="V405" i="43"/>
  <c r="I406" i="43"/>
  <c r="V406" i="43"/>
  <c r="I407" i="43"/>
  <c r="V407" i="43"/>
  <c r="I408" i="43"/>
  <c r="V408" i="43"/>
  <c r="I409" i="43"/>
  <c r="V409" i="43"/>
  <c r="I410" i="43"/>
  <c r="V410" i="43"/>
  <c r="I411" i="43"/>
  <c r="V411" i="43"/>
  <c r="I412" i="43"/>
  <c r="V412" i="43"/>
  <c r="I413" i="43"/>
  <c r="V413" i="43"/>
  <c r="I414" i="43"/>
  <c r="V414" i="43"/>
  <c r="I415" i="43"/>
  <c r="V415" i="43"/>
  <c r="I416" i="43"/>
  <c r="V416" i="43"/>
  <c r="I417" i="43"/>
  <c r="V417" i="43"/>
  <c r="I418" i="43"/>
  <c r="V418" i="43"/>
  <c r="I419" i="43"/>
  <c r="V419" i="43"/>
  <c r="I420" i="43"/>
  <c r="V420" i="43"/>
  <c r="I421" i="43"/>
  <c r="V421" i="43"/>
  <c r="I422" i="43"/>
  <c r="V422" i="43"/>
  <c r="I423" i="43"/>
  <c r="V423" i="43"/>
  <c r="I424" i="43"/>
  <c r="V424" i="43"/>
  <c r="I425" i="43"/>
  <c r="V425" i="43"/>
  <c r="I426" i="43"/>
  <c r="V426" i="43"/>
  <c r="I427" i="43"/>
  <c r="V427" i="43"/>
  <c r="I428" i="43"/>
  <c r="V428" i="43"/>
  <c r="I429" i="43"/>
  <c r="V429" i="43"/>
  <c r="I430" i="43"/>
  <c r="V430" i="43"/>
  <c r="I431" i="43"/>
  <c r="U431" i="43"/>
  <c r="V431" i="43"/>
  <c r="I432" i="43"/>
  <c r="V432" i="43"/>
  <c r="I433" i="43"/>
  <c r="V433" i="43"/>
  <c r="I434" i="43"/>
  <c r="V434" i="43"/>
  <c r="I435" i="43"/>
  <c r="V435" i="43"/>
  <c r="I436" i="43"/>
  <c r="V436" i="43"/>
  <c r="I437" i="43"/>
  <c r="V437" i="43"/>
  <c r="I438" i="43"/>
  <c r="V438" i="43"/>
  <c r="I439" i="43"/>
  <c r="V439" i="43"/>
  <c r="I440" i="43"/>
  <c r="V440" i="43"/>
  <c r="I441" i="43"/>
  <c r="V441" i="43"/>
  <c r="I442" i="43"/>
  <c r="V442" i="43"/>
  <c r="I443" i="43"/>
  <c r="V443" i="43"/>
  <c r="I444" i="43"/>
  <c r="V444" i="43"/>
  <c r="I445" i="43"/>
  <c r="V445" i="43"/>
  <c r="I446" i="43"/>
  <c r="V446" i="43"/>
  <c r="I447" i="43"/>
  <c r="V447" i="43"/>
  <c r="I448" i="43"/>
  <c r="V448" i="43"/>
  <c r="I449" i="43"/>
  <c r="V449" i="43"/>
  <c r="I450" i="43"/>
  <c r="V450" i="43"/>
  <c r="I451" i="43"/>
  <c r="V451" i="43"/>
  <c r="I452" i="43"/>
  <c r="V452" i="43"/>
  <c r="I453" i="43"/>
  <c r="V453" i="43"/>
  <c r="I454" i="43"/>
  <c r="V454" i="43"/>
  <c r="I455" i="43"/>
  <c r="V455" i="43"/>
  <c r="I456" i="43"/>
  <c r="V456" i="43"/>
  <c r="I457" i="43"/>
  <c r="V457" i="43"/>
  <c r="I458" i="43"/>
  <c r="V458" i="43"/>
  <c r="I459" i="43"/>
  <c r="V459" i="43"/>
  <c r="I460" i="43"/>
  <c r="V460" i="43"/>
  <c r="I461" i="43"/>
  <c r="V461" i="43"/>
  <c r="I462" i="43"/>
  <c r="V462" i="43"/>
  <c r="I463" i="43"/>
  <c r="V463" i="43"/>
  <c r="I464" i="43"/>
  <c r="V464" i="43"/>
  <c r="I465" i="43"/>
  <c r="V465" i="43"/>
  <c r="I466" i="43"/>
  <c r="V466" i="43"/>
  <c r="I467" i="43"/>
  <c r="V467" i="43"/>
  <c r="I468" i="43"/>
  <c r="V468" i="43"/>
  <c r="I469" i="43"/>
  <c r="V469" i="43"/>
  <c r="I470" i="43"/>
  <c r="V470" i="43"/>
  <c r="I471" i="43"/>
  <c r="V471" i="43"/>
  <c r="I472" i="43"/>
  <c r="V472" i="43"/>
  <c r="I473" i="43"/>
  <c r="V473" i="43"/>
  <c r="I474" i="43"/>
  <c r="V474" i="43"/>
  <c r="I475" i="43"/>
  <c r="V475" i="43"/>
  <c r="I476" i="43"/>
  <c r="V476" i="43"/>
  <c r="I477" i="43"/>
  <c r="V477" i="43"/>
  <c r="I478" i="43"/>
  <c r="V478" i="43"/>
  <c r="I479" i="43"/>
  <c r="V479" i="43"/>
  <c r="I480" i="43"/>
  <c r="V480" i="43"/>
  <c r="I481" i="43"/>
  <c r="V481" i="43"/>
  <c r="I482" i="43"/>
  <c r="V482" i="43"/>
  <c r="I483" i="43"/>
  <c r="V483" i="43"/>
  <c r="I484" i="43"/>
  <c r="V484" i="43"/>
  <c r="I485" i="43"/>
  <c r="V485" i="43"/>
  <c r="I486" i="43"/>
  <c r="V486" i="43"/>
  <c r="I487" i="43"/>
  <c r="V487" i="43"/>
  <c r="I488" i="43"/>
  <c r="V488" i="43"/>
  <c r="I489" i="43"/>
  <c r="V489" i="43"/>
  <c r="I490" i="43"/>
  <c r="V490" i="43"/>
  <c r="I491" i="43"/>
  <c r="V491" i="43"/>
  <c r="I492" i="43"/>
  <c r="V492" i="43"/>
  <c r="I493" i="43"/>
  <c r="V493" i="43"/>
  <c r="I494" i="43"/>
  <c r="V494" i="43"/>
  <c r="I495" i="43"/>
  <c r="V495" i="43"/>
  <c r="I496" i="43"/>
  <c r="V496" i="43"/>
  <c r="I497" i="43"/>
  <c r="V497" i="43"/>
  <c r="I498" i="43"/>
  <c r="V498" i="43"/>
  <c r="I499" i="43"/>
  <c r="V499" i="43"/>
  <c r="I500" i="43"/>
  <c r="V500" i="43"/>
  <c r="I501" i="43"/>
  <c r="V501" i="43"/>
  <c r="I502" i="43"/>
  <c r="V502" i="43"/>
  <c r="I503" i="43"/>
  <c r="V503" i="43"/>
  <c r="I504" i="43"/>
  <c r="V504" i="43"/>
  <c r="I505" i="43"/>
  <c r="V505" i="43"/>
  <c r="I506" i="43"/>
  <c r="V506" i="43"/>
  <c r="I507" i="43"/>
  <c r="V507" i="43"/>
  <c r="I508" i="43"/>
  <c r="V508" i="43"/>
  <c r="I509" i="43"/>
  <c r="V509" i="43"/>
  <c r="I510" i="43"/>
  <c r="V510" i="43"/>
  <c r="I511" i="43"/>
  <c r="V511" i="43"/>
  <c r="I512" i="43"/>
  <c r="V512" i="43"/>
  <c r="I513" i="43"/>
  <c r="V513" i="43"/>
  <c r="I514" i="43"/>
  <c r="V514" i="43"/>
  <c r="I515" i="43"/>
  <c r="V515" i="43"/>
  <c r="I516" i="43"/>
  <c r="V516" i="43"/>
  <c r="I517" i="43"/>
  <c r="V517" i="43"/>
  <c r="I518" i="43"/>
  <c r="V518" i="43"/>
  <c r="I519" i="43"/>
  <c r="V519" i="43"/>
  <c r="I520" i="43"/>
  <c r="V520" i="43"/>
  <c r="I521" i="43"/>
  <c r="V521" i="43"/>
  <c r="I522" i="43"/>
  <c r="V522" i="43"/>
  <c r="I523" i="43"/>
  <c r="V523" i="43"/>
  <c r="I524" i="43"/>
  <c r="V524" i="43"/>
  <c r="I525" i="43"/>
  <c r="V525" i="43"/>
  <c r="I526" i="43"/>
  <c r="V526" i="43"/>
  <c r="I527" i="43"/>
  <c r="V527" i="43"/>
  <c r="I3" i="43"/>
  <c r="V3" i="43"/>
  <c r="I528" i="43"/>
  <c r="V528" i="43"/>
  <c r="I529" i="43"/>
  <c r="V529" i="43"/>
  <c r="I530" i="43"/>
  <c r="V530" i="43"/>
  <c r="I531" i="43"/>
  <c r="V531" i="43"/>
  <c r="I532" i="43"/>
  <c r="V532" i="43"/>
  <c r="I533" i="43"/>
  <c r="V533" i="43"/>
  <c r="I534" i="43"/>
  <c r="V534" i="43"/>
  <c r="I535" i="43"/>
  <c r="V535" i="43"/>
  <c r="I536" i="43"/>
  <c r="V536" i="43"/>
  <c r="I537" i="43"/>
  <c r="V537" i="43"/>
  <c r="I538" i="43"/>
  <c r="V538" i="43"/>
  <c r="I539" i="43"/>
  <c r="V539" i="43"/>
  <c r="V540" i="43"/>
  <c r="I541" i="43"/>
  <c r="V541" i="43"/>
  <c r="I542" i="43"/>
  <c r="V542" i="43"/>
  <c r="I543" i="43"/>
  <c r="V543" i="43"/>
  <c r="I544" i="43"/>
  <c r="V544" i="43"/>
  <c r="I545" i="43"/>
  <c r="V545" i="43"/>
  <c r="I546" i="43"/>
  <c r="V546" i="43"/>
  <c r="I547" i="43"/>
  <c r="V547" i="43"/>
  <c r="I548" i="43"/>
  <c r="V548" i="43"/>
  <c r="I549" i="43"/>
  <c r="V549" i="43"/>
  <c r="I550" i="43"/>
  <c r="V550" i="43"/>
  <c r="I551" i="43"/>
  <c r="V551" i="43"/>
  <c r="I552" i="43"/>
  <c r="V552" i="43"/>
  <c r="I553" i="43"/>
  <c r="V553" i="43"/>
  <c r="I554" i="43"/>
  <c r="V554" i="43"/>
  <c r="I555" i="43"/>
  <c r="V555" i="43"/>
  <c r="I556" i="43"/>
  <c r="V556" i="43"/>
  <c r="I557" i="43"/>
  <c r="V557" i="43"/>
  <c r="I558" i="43"/>
  <c r="V558" i="43"/>
  <c r="I559" i="43"/>
  <c r="V559" i="43"/>
  <c r="I560" i="43"/>
  <c r="V560" i="43"/>
  <c r="I561" i="43"/>
  <c r="V561" i="43"/>
  <c r="I562" i="43"/>
  <c r="V562" i="43"/>
  <c r="I563" i="43"/>
  <c r="V563" i="43"/>
  <c r="I564" i="43"/>
  <c r="V564" i="43"/>
  <c r="I565" i="43"/>
  <c r="V565" i="43"/>
  <c r="I566" i="43"/>
  <c r="V566" i="43"/>
  <c r="I567" i="43"/>
  <c r="V567" i="43"/>
  <c r="I568" i="43"/>
  <c r="V568" i="43"/>
  <c r="I569" i="43"/>
  <c r="V569" i="43"/>
  <c r="I570" i="43"/>
  <c r="V570" i="43"/>
  <c r="I571" i="43"/>
  <c r="V571" i="43"/>
  <c r="I572" i="43"/>
  <c r="V572" i="43"/>
  <c r="I573" i="43"/>
  <c r="V573" i="43"/>
  <c r="I574" i="43"/>
  <c r="V574" i="43"/>
  <c r="I575" i="43"/>
  <c r="V575" i="43"/>
  <c r="I576" i="43"/>
  <c r="V576" i="43"/>
  <c r="I577" i="43"/>
  <c r="V577" i="43"/>
  <c r="I578" i="43"/>
  <c r="V578" i="43"/>
  <c r="I579" i="43"/>
  <c r="V579" i="43"/>
  <c r="I580" i="43"/>
  <c r="V580" i="43"/>
  <c r="I581" i="43"/>
  <c r="V581" i="43"/>
  <c r="I582" i="43"/>
  <c r="V582" i="43"/>
  <c r="I583" i="43"/>
  <c r="V583" i="43"/>
  <c r="I584" i="43"/>
  <c r="V584" i="43"/>
  <c r="I585" i="43"/>
  <c r="V585" i="43"/>
  <c r="I586" i="43"/>
  <c r="V586" i="43"/>
  <c r="I587" i="43"/>
  <c r="V587" i="43"/>
  <c r="I588" i="43"/>
  <c r="V588" i="43"/>
  <c r="I589" i="43"/>
  <c r="V589" i="43"/>
  <c r="I590" i="43"/>
  <c r="V590" i="43"/>
  <c r="I591" i="43"/>
  <c r="V591" i="43"/>
  <c r="I592" i="43"/>
  <c r="V592" i="43"/>
  <c r="I593" i="43"/>
  <c r="V593" i="43"/>
  <c r="I594" i="43"/>
  <c r="V594" i="43"/>
  <c r="I595" i="43"/>
  <c r="V595" i="43"/>
  <c r="I596" i="43"/>
  <c r="V596" i="43"/>
  <c r="I597" i="43"/>
  <c r="V597" i="43"/>
  <c r="I598" i="43"/>
  <c r="V598" i="43"/>
  <c r="I599" i="43"/>
  <c r="V599" i="43"/>
  <c r="I600" i="43"/>
  <c r="V600" i="43"/>
  <c r="I601" i="43"/>
  <c r="V601" i="43"/>
  <c r="I602" i="43"/>
  <c r="V602" i="43"/>
  <c r="I603" i="43"/>
  <c r="V603" i="43"/>
  <c r="I604" i="43"/>
  <c r="V604" i="43"/>
  <c r="I605" i="43"/>
  <c r="V605" i="43"/>
  <c r="I606" i="43"/>
  <c r="V606" i="43"/>
  <c r="I607" i="43"/>
  <c r="V607" i="43"/>
  <c r="I608" i="43"/>
  <c r="V608" i="43"/>
  <c r="I609" i="43"/>
  <c r="V609" i="43"/>
  <c r="I610" i="43"/>
  <c r="V610" i="43"/>
  <c r="I611" i="43"/>
  <c r="V611" i="43"/>
  <c r="I612" i="43"/>
  <c r="V612" i="43"/>
  <c r="I613" i="43"/>
  <c r="V613" i="43"/>
  <c r="I614" i="43"/>
  <c r="V614" i="43"/>
  <c r="I615" i="43"/>
  <c r="V615" i="43"/>
  <c r="I616" i="43"/>
  <c r="V616" i="43"/>
  <c r="I617" i="43"/>
  <c r="V617" i="43"/>
  <c r="I618" i="43"/>
  <c r="V618" i="43"/>
  <c r="I619" i="43"/>
  <c r="V619" i="43"/>
  <c r="I620" i="43"/>
  <c r="V620" i="43"/>
  <c r="I621" i="43"/>
  <c r="V621" i="43"/>
  <c r="I622" i="43"/>
  <c r="V622" i="43"/>
  <c r="I623" i="43"/>
  <c r="V623" i="43"/>
  <c r="I624" i="43"/>
  <c r="V624" i="43"/>
  <c r="I625" i="43"/>
  <c r="V625" i="43"/>
  <c r="I626" i="43"/>
  <c r="V626" i="43"/>
  <c r="I627" i="43"/>
  <c r="V627" i="43"/>
  <c r="I628" i="43"/>
  <c r="V628" i="43"/>
  <c r="I629" i="43"/>
  <c r="V629" i="43"/>
  <c r="I630" i="43"/>
  <c r="V630" i="43"/>
  <c r="I631" i="43"/>
  <c r="V631" i="43"/>
  <c r="I632" i="43"/>
  <c r="V632" i="43"/>
  <c r="I633" i="43"/>
  <c r="V633" i="43"/>
  <c r="I634" i="43"/>
  <c r="V634" i="43"/>
  <c r="I635" i="43"/>
  <c r="V635" i="43"/>
  <c r="I636" i="43"/>
  <c r="V636" i="43"/>
  <c r="I637" i="43"/>
  <c r="V637" i="43"/>
  <c r="I638" i="43"/>
  <c r="V638" i="43"/>
  <c r="I639" i="43"/>
  <c r="V639" i="43"/>
  <c r="I640" i="43"/>
  <c r="V640" i="43"/>
  <c r="I641" i="43"/>
  <c r="V641" i="43"/>
  <c r="I642" i="43"/>
  <c r="V642" i="43"/>
  <c r="I643" i="43"/>
  <c r="V643" i="43"/>
  <c r="I644" i="43"/>
  <c r="V644" i="43"/>
  <c r="I645" i="43"/>
  <c r="V645" i="43"/>
  <c r="I646" i="43"/>
  <c r="V646" i="43"/>
  <c r="I647" i="43"/>
  <c r="V647" i="43"/>
  <c r="I648" i="43"/>
  <c r="V648" i="43"/>
  <c r="I649" i="43"/>
  <c r="V649" i="43"/>
  <c r="I650" i="43"/>
  <c r="V650" i="43"/>
  <c r="I651" i="43"/>
  <c r="V651" i="43"/>
  <c r="I652" i="43"/>
  <c r="V652" i="43"/>
  <c r="I653" i="43"/>
  <c r="V653" i="43"/>
  <c r="I654" i="43"/>
  <c r="V654" i="43"/>
  <c r="I655" i="43"/>
  <c r="V655" i="43"/>
  <c r="I656" i="43"/>
  <c r="V656" i="43"/>
  <c r="I657" i="43"/>
  <c r="V657" i="43"/>
  <c r="I658" i="43"/>
  <c r="V658" i="43"/>
  <c r="I659" i="43"/>
  <c r="V659" i="43"/>
  <c r="I660" i="43"/>
  <c r="V660" i="43"/>
  <c r="I661" i="43"/>
  <c r="V661" i="43"/>
  <c r="I662" i="43"/>
  <c r="V662" i="43"/>
  <c r="I663" i="43"/>
  <c r="V663" i="43"/>
  <c r="I664" i="43"/>
  <c r="V664" i="43"/>
  <c r="I665" i="43"/>
  <c r="V665" i="43"/>
  <c r="I666" i="43"/>
  <c r="V666" i="43"/>
  <c r="I667" i="43"/>
  <c r="V667" i="43"/>
  <c r="I668" i="43"/>
  <c r="V668" i="43"/>
  <c r="I669" i="43"/>
  <c r="V669" i="43"/>
  <c r="I670" i="43"/>
  <c r="V670" i="43"/>
  <c r="I671" i="43"/>
  <c r="V671" i="43"/>
  <c r="I672" i="43"/>
  <c r="V672" i="43"/>
  <c r="I673" i="43"/>
  <c r="V673" i="43"/>
  <c r="I674" i="43"/>
  <c r="V674" i="43"/>
  <c r="I675" i="43"/>
  <c r="V675" i="43"/>
  <c r="I676" i="43"/>
  <c r="V676" i="43"/>
  <c r="I677" i="43"/>
  <c r="V677" i="43"/>
  <c r="I678" i="43"/>
  <c r="V678" i="43"/>
  <c r="I679" i="43"/>
  <c r="V679" i="43"/>
  <c r="I680" i="43"/>
  <c r="V680" i="43"/>
  <c r="I681" i="43"/>
  <c r="V681" i="43"/>
  <c r="I682" i="43"/>
  <c r="V682" i="43"/>
  <c r="I683" i="43"/>
  <c r="V683" i="43"/>
  <c r="I684" i="43"/>
  <c r="V684" i="43"/>
  <c r="I685" i="43"/>
  <c r="V685" i="43"/>
  <c r="I686" i="43"/>
  <c r="V686" i="43"/>
  <c r="I687" i="43"/>
  <c r="V687" i="43"/>
  <c r="I688" i="43"/>
  <c r="V688" i="43"/>
  <c r="I689" i="43"/>
  <c r="V689" i="43"/>
  <c r="I690" i="43"/>
  <c r="V690" i="43"/>
  <c r="I691" i="43"/>
  <c r="V691" i="43"/>
  <c r="I692" i="43"/>
  <c r="V692" i="43"/>
  <c r="I693" i="43"/>
  <c r="V693" i="43"/>
  <c r="I694" i="43"/>
  <c r="V694" i="43"/>
  <c r="I695" i="43"/>
  <c r="V695" i="43"/>
  <c r="I696" i="43"/>
  <c r="V696" i="43"/>
  <c r="I697" i="43"/>
  <c r="V697" i="43"/>
  <c r="I698" i="43"/>
  <c r="V698" i="43"/>
  <c r="I699" i="43"/>
  <c r="V699" i="43"/>
  <c r="I700" i="43"/>
  <c r="V700" i="43"/>
  <c r="I701" i="43"/>
  <c r="V701" i="43"/>
  <c r="I702" i="43"/>
  <c r="V702" i="43"/>
  <c r="I703" i="43"/>
  <c r="V703" i="43"/>
  <c r="I704" i="43"/>
  <c r="V704" i="43"/>
  <c r="I705" i="43"/>
  <c r="V705" i="43"/>
  <c r="I706" i="43"/>
  <c r="V706" i="43"/>
  <c r="I707" i="43"/>
  <c r="V707" i="43"/>
  <c r="I708" i="43"/>
  <c r="V708" i="43"/>
  <c r="I709" i="43"/>
  <c r="V709" i="43"/>
  <c r="I710" i="43"/>
  <c r="V710" i="43"/>
  <c r="I711" i="43"/>
  <c r="V711" i="43"/>
  <c r="I712" i="43"/>
  <c r="V712" i="43"/>
  <c r="I713" i="43"/>
  <c r="V713" i="43"/>
  <c r="I714" i="43"/>
  <c r="V714" i="43"/>
  <c r="I715" i="43"/>
  <c r="V715" i="43"/>
  <c r="I716" i="43"/>
  <c r="V716" i="43"/>
  <c r="I717" i="43"/>
  <c r="V717" i="43"/>
  <c r="I718" i="43"/>
  <c r="V718" i="43"/>
  <c r="I719" i="43"/>
  <c r="V719" i="43"/>
  <c r="I720" i="43"/>
  <c r="V720" i="43"/>
  <c r="I721" i="43"/>
  <c r="V721" i="43"/>
  <c r="I722" i="43"/>
  <c r="V722" i="43"/>
  <c r="I723" i="43"/>
  <c r="V723" i="43"/>
  <c r="I724" i="43"/>
  <c r="V724" i="43"/>
  <c r="I725" i="43"/>
  <c r="V725" i="43"/>
  <c r="I726" i="43"/>
  <c r="V726" i="43"/>
  <c r="I727" i="43"/>
  <c r="V727" i="43"/>
  <c r="I728" i="43"/>
  <c r="V728" i="43"/>
  <c r="I729" i="43"/>
  <c r="V729" i="43"/>
  <c r="I730" i="43"/>
  <c r="V730" i="43"/>
  <c r="I731" i="43"/>
  <c r="V731" i="43"/>
  <c r="I732" i="43"/>
  <c r="V732" i="43"/>
  <c r="I733" i="43"/>
  <c r="V733" i="43"/>
  <c r="I734" i="43"/>
  <c r="V734" i="43"/>
  <c r="I735" i="43"/>
  <c r="V735" i="43"/>
  <c r="I736" i="43"/>
  <c r="V736" i="43"/>
  <c r="I737" i="43"/>
  <c r="V737" i="43"/>
  <c r="I738" i="43"/>
  <c r="V738" i="43"/>
  <c r="I739" i="43"/>
  <c r="V739" i="43"/>
  <c r="I740" i="43"/>
  <c r="V740" i="43"/>
  <c r="I741" i="43"/>
  <c r="V741" i="43"/>
  <c r="I742" i="43"/>
  <c r="V742" i="43"/>
  <c r="I743" i="43"/>
  <c r="V743" i="43"/>
  <c r="I744" i="43"/>
  <c r="V744" i="43"/>
  <c r="I745" i="43"/>
  <c r="V745" i="43"/>
  <c r="I746" i="43"/>
  <c r="V746" i="43"/>
  <c r="I747" i="43"/>
  <c r="V747" i="43"/>
  <c r="I748" i="43"/>
  <c r="V748" i="43"/>
  <c r="I749" i="43"/>
  <c r="V749" i="43"/>
  <c r="I750" i="43"/>
  <c r="V750" i="43"/>
  <c r="I751" i="43"/>
  <c r="V751" i="43"/>
  <c r="I752" i="43"/>
  <c r="V752" i="43"/>
  <c r="I753" i="43"/>
  <c r="V753" i="43"/>
  <c r="I754" i="43"/>
  <c r="V754" i="43"/>
  <c r="I755" i="43"/>
  <c r="V755" i="43"/>
  <c r="I756" i="43"/>
  <c r="V756" i="43"/>
  <c r="I757" i="43"/>
  <c r="V757" i="43"/>
  <c r="I758" i="43"/>
  <c r="V758" i="43"/>
  <c r="I759" i="43"/>
  <c r="V759" i="43"/>
  <c r="I760" i="43"/>
  <c r="V760" i="43"/>
  <c r="I761" i="43"/>
  <c r="V761" i="43"/>
  <c r="I762" i="43"/>
  <c r="V762" i="43"/>
  <c r="I763" i="43"/>
  <c r="V763" i="43"/>
  <c r="I764" i="43"/>
  <c r="V764" i="43"/>
  <c r="I765" i="43"/>
  <c r="V765" i="43"/>
  <c r="I766" i="43"/>
  <c r="V766" i="43"/>
  <c r="I767" i="43"/>
  <c r="V767" i="43"/>
  <c r="I768" i="43"/>
  <c r="V768" i="43"/>
  <c r="I769" i="43"/>
  <c r="V769" i="43"/>
  <c r="I770" i="43"/>
  <c r="V770" i="43"/>
  <c r="I771" i="43"/>
  <c r="V771" i="43"/>
  <c r="I772" i="43"/>
  <c r="V772" i="43"/>
  <c r="I773" i="43"/>
  <c r="V773" i="43"/>
  <c r="I774" i="43"/>
  <c r="V774" i="43"/>
  <c r="I775" i="43"/>
  <c r="V775" i="43"/>
  <c r="I776" i="43"/>
  <c r="V776" i="43"/>
  <c r="I777" i="43"/>
  <c r="V777" i="43"/>
  <c r="I778" i="43"/>
  <c r="V778" i="43"/>
  <c r="I779" i="43"/>
  <c r="V779" i="43"/>
  <c r="I780" i="43"/>
  <c r="V780" i="43"/>
  <c r="I781" i="43"/>
  <c r="V781" i="43"/>
  <c r="I782" i="43"/>
  <c r="V782" i="43"/>
  <c r="I783" i="43"/>
  <c r="V783" i="43"/>
  <c r="I784" i="43"/>
  <c r="V784" i="43"/>
  <c r="I785" i="43"/>
  <c r="V785" i="43"/>
  <c r="I786" i="43"/>
  <c r="V786" i="43"/>
  <c r="I787" i="43"/>
  <c r="V787" i="43"/>
  <c r="I788" i="43"/>
  <c r="V788" i="43"/>
  <c r="I789" i="43"/>
  <c r="V789" i="43"/>
  <c r="I790" i="43"/>
  <c r="V790" i="43"/>
  <c r="I791" i="43"/>
  <c r="V791" i="43"/>
  <c r="I792" i="43"/>
  <c r="V792" i="43"/>
  <c r="I793" i="43"/>
  <c r="V793" i="43"/>
  <c r="I794" i="43"/>
  <c r="V794" i="43"/>
  <c r="I795" i="43"/>
  <c r="V795" i="43"/>
  <c r="I796" i="43"/>
  <c r="V796" i="43"/>
  <c r="I797" i="43"/>
  <c r="V797" i="43"/>
  <c r="I798" i="43"/>
  <c r="V798" i="43"/>
  <c r="I799" i="43"/>
  <c r="V799" i="43"/>
  <c r="I800" i="43"/>
  <c r="V800" i="43"/>
  <c r="I801" i="43"/>
  <c r="V801" i="43"/>
  <c r="I802" i="43"/>
  <c r="V802" i="43"/>
  <c r="I803" i="43"/>
  <c r="V803" i="43"/>
  <c r="I804" i="43"/>
  <c r="V804" i="43"/>
  <c r="I805" i="43"/>
  <c r="V805" i="43"/>
  <c r="I806" i="43"/>
  <c r="V806" i="43"/>
  <c r="I807" i="43"/>
  <c r="V807" i="43"/>
  <c r="I808" i="43"/>
  <c r="V808" i="43"/>
  <c r="I809" i="43"/>
  <c r="V809" i="43"/>
  <c r="I810" i="43"/>
  <c r="V810" i="43"/>
  <c r="I811" i="43"/>
  <c r="V811" i="43"/>
  <c r="I812" i="43"/>
  <c r="V812" i="43"/>
  <c r="I813" i="43"/>
  <c r="V813" i="43"/>
  <c r="I814" i="43"/>
  <c r="V814" i="43"/>
  <c r="I815" i="43"/>
  <c r="V815" i="43"/>
  <c r="I816" i="43"/>
  <c r="V816" i="43"/>
  <c r="I817" i="43"/>
  <c r="V817" i="43"/>
  <c r="I818" i="43"/>
  <c r="V818" i="43"/>
  <c r="I819" i="43"/>
  <c r="V819" i="43"/>
  <c r="I820" i="43"/>
  <c r="V820" i="43"/>
  <c r="I821" i="43"/>
  <c r="V821" i="43"/>
  <c r="I822" i="43"/>
  <c r="V822" i="43"/>
  <c r="I823" i="43"/>
  <c r="V823" i="43"/>
  <c r="I824" i="43"/>
  <c r="V824" i="43"/>
  <c r="I825" i="43"/>
  <c r="V825" i="43"/>
  <c r="I826" i="43"/>
  <c r="V826" i="43"/>
  <c r="I827" i="43"/>
  <c r="V827" i="43"/>
  <c r="I828" i="43"/>
  <c r="V828" i="43"/>
  <c r="I829" i="43"/>
  <c r="V829" i="43"/>
  <c r="I830" i="43"/>
  <c r="V830" i="43"/>
  <c r="I831" i="43"/>
  <c r="V831" i="43"/>
  <c r="I832" i="43"/>
  <c r="V832" i="43"/>
  <c r="I833" i="43"/>
  <c r="V833" i="43"/>
  <c r="I834" i="43"/>
  <c r="V834" i="43"/>
  <c r="I835" i="43"/>
  <c r="V835" i="43"/>
  <c r="AC115" i="50" l="1"/>
  <c r="AC4" i="50"/>
  <c r="AC193" i="50"/>
  <c r="AC111" i="50"/>
  <c r="AC93" i="50"/>
  <c r="AC90" i="50"/>
  <c r="AC91" i="50"/>
  <c r="AC89" i="50"/>
  <c r="AC237" i="50"/>
  <c r="AC234" i="50"/>
  <c r="AC236" i="50"/>
  <c r="AC233" i="50"/>
  <c r="AC249" i="50"/>
  <c r="AC235" i="50"/>
  <c r="AC232" i="50"/>
  <c r="AC250" i="50"/>
  <c r="AC5" i="50"/>
  <c r="AC3" i="50"/>
  <c r="AC166" i="50"/>
  <c r="AC165" i="50"/>
  <c r="AC70" i="50"/>
  <c r="N312" i="43"/>
  <c r="R312" i="43"/>
  <c r="K312" i="43"/>
  <c r="O312" i="43"/>
  <c r="L312" i="43"/>
  <c r="P312" i="43"/>
  <c r="M312" i="43"/>
  <c r="Q312" i="43"/>
  <c r="N73" i="43"/>
  <c r="R73" i="43"/>
  <c r="K73" i="43"/>
  <c r="O73" i="43"/>
  <c r="L73" i="43"/>
  <c r="P73" i="43"/>
  <c r="M73" i="43"/>
  <c r="Q73" i="43"/>
  <c r="AC163" i="50"/>
  <c r="AC184" i="50"/>
  <c r="AC192" i="50"/>
  <c r="AC200" i="50"/>
  <c r="AC185" i="50"/>
  <c r="AC201" i="50"/>
  <c r="AC178" i="50"/>
  <c r="AC186" i="50"/>
  <c r="AC179" i="50"/>
  <c r="AC187" i="50"/>
  <c r="AC195" i="50"/>
  <c r="AC180" i="50"/>
  <c r="AC188" i="50"/>
  <c r="AC191" i="50"/>
  <c r="AC181" i="50"/>
  <c r="AC189" i="50"/>
  <c r="AC197" i="50"/>
  <c r="AC199" i="50"/>
  <c r="AC182" i="50"/>
  <c r="AC190" i="50"/>
  <c r="AC198" i="50"/>
  <c r="AC183" i="50"/>
  <c r="AC202" i="50"/>
  <c r="AC220" i="50"/>
  <c r="AC208" i="50"/>
  <c r="AC207" i="50"/>
  <c r="AC203" i="50"/>
  <c r="AC206" i="50"/>
  <c r="AC204" i="50"/>
  <c r="AC205" i="50"/>
  <c r="AC221" i="50"/>
  <c r="AC141" i="50"/>
  <c r="AC142" i="50"/>
  <c r="AC143" i="50"/>
  <c r="AC10" i="50"/>
  <c r="AC8" i="50"/>
  <c r="AC11" i="50"/>
  <c r="AC6" i="50"/>
  <c r="AC7" i="50"/>
  <c r="AC9" i="50"/>
  <c r="AC117" i="50"/>
  <c r="AC119" i="50"/>
  <c r="AC120" i="50"/>
  <c r="AC164" i="50"/>
  <c r="AC124" i="50"/>
  <c r="AC121" i="50"/>
  <c r="AC122" i="50"/>
  <c r="AC123" i="50"/>
  <c r="AC19" i="50"/>
  <c r="AC45" i="50"/>
  <c r="AC49" i="50"/>
  <c r="AC53" i="50"/>
  <c r="AC58" i="50"/>
  <c r="AC62" i="50"/>
  <c r="AC66" i="50"/>
  <c r="AC74" i="50"/>
  <c r="AC78" i="50"/>
  <c r="AC82" i="50"/>
  <c r="AC86" i="50"/>
  <c r="AC103" i="50"/>
  <c r="AC107" i="50"/>
  <c r="AC127" i="50"/>
  <c r="AC131" i="50"/>
  <c r="AC135" i="50"/>
  <c r="AC147" i="50"/>
  <c r="AC151" i="50"/>
  <c r="AC155" i="50"/>
  <c r="AC167" i="50"/>
  <c r="AC171" i="50"/>
  <c r="AC40" i="50"/>
  <c r="AC36" i="50"/>
  <c r="AC32" i="50"/>
  <c r="AC28" i="50"/>
  <c r="AC24" i="50"/>
  <c r="AC20" i="50"/>
  <c r="AC16" i="50"/>
  <c r="AC42" i="50"/>
  <c r="AC46" i="50"/>
  <c r="AC50" i="50"/>
  <c r="AC54" i="50"/>
  <c r="AC59" i="50"/>
  <c r="AC63" i="50"/>
  <c r="AC67" i="50"/>
  <c r="AC71" i="50"/>
  <c r="AC75" i="50"/>
  <c r="AC79" i="50"/>
  <c r="AC83" i="50"/>
  <c r="AC87" i="50"/>
  <c r="AC104" i="50"/>
  <c r="AC108" i="50"/>
  <c r="AC128" i="50"/>
  <c r="AC132" i="50"/>
  <c r="AC136" i="50"/>
  <c r="AC140" i="50"/>
  <c r="AC144" i="50"/>
  <c r="AC148" i="50"/>
  <c r="AC152" i="50"/>
  <c r="AC156" i="50"/>
  <c r="AC168" i="50"/>
  <c r="AC172" i="50"/>
  <c r="AC39" i="50"/>
  <c r="AC35" i="50"/>
  <c r="AC31" i="50"/>
  <c r="AC27" i="50"/>
  <c r="AC23" i="50"/>
  <c r="AC15" i="50"/>
  <c r="AC43" i="50"/>
  <c r="AC47" i="50"/>
  <c r="AC51" i="50"/>
  <c r="AC56" i="50"/>
  <c r="AC60" i="50"/>
  <c r="AC64" i="50"/>
  <c r="AC68" i="50"/>
  <c r="AC72" i="50"/>
  <c r="AC76" i="50"/>
  <c r="AC80" i="50"/>
  <c r="AC84" i="50"/>
  <c r="AC105" i="50"/>
  <c r="AC109" i="50"/>
  <c r="AC125" i="50"/>
  <c r="AC129" i="50"/>
  <c r="AC133" i="50"/>
  <c r="AC145" i="50"/>
  <c r="AC149" i="50"/>
  <c r="AC153" i="50"/>
  <c r="AC157" i="50"/>
  <c r="AC169" i="50"/>
  <c r="AC173" i="50"/>
  <c r="AC38" i="50"/>
  <c r="AC34" i="50"/>
  <c r="AC30" i="50"/>
  <c r="AC26" i="50"/>
  <c r="AC22" i="50"/>
  <c r="AC18" i="50"/>
  <c r="AC14" i="50"/>
  <c r="AC44" i="50"/>
  <c r="AC48" i="50"/>
  <c r="AC52" i="50"/>
  <c r="AC57" i="50"/>
  <c r="AC61" i="50"/>
  <c r="AC65" i="50"/>
  <c r="AC69" i="50"/>
  <c r="AC73" i="50"/>
  <c r="AC77" i="50"/>
  <c r="AC81" i="50"/>
  <c r="AC85" i="50"/>
  <c r="AC106" i="50"/>
  <c r="AC110" i="50"/>
  <c r="AC126" i="50"/>
  <c r="AC130" i="50"/>
  <c r="AC134" i="50"/>
  <c r="AC146" i="50"/>
  <c r="AC150" i="50"/>
  <c r="AC154" i="50"/>
  <c r="AC158" i="50"/>
  <c r="AC170" i="50"/>
  <c r="AC174" i="50"/>
  <c r="AC251" i="50"/>
  <c r="AC41" i="50"/>
  <c r="AC37" i="50"/>
  <c r="AC33" i="50"/>
  <c r="AC29" i="50"/>
  <c r="AC25" i="50"/>
  <c r="AC21" i="50"/>
  <c r="AC17" i="50"/>
  <c r="AC13" i="50"/>
  <c r="AC55" i="50"/>
  <c r="AC88" i="50"/>
  <c r="AC252" i="50"/>
  <c r="G404" i="17"/>
  <c r="G422" i="17" s="1"/>
  <c r="G26" i="16" l="1"/>
  <c r="I26" i="16"/>
  <c r="B18" i="16"/>
  <c r="B16" i="16"/>
  <c r="Q12" i="16"/>
  <c r="Q18" i="16"/>
  <c r="Q13" i="16"/>
  <c r="Q17" i="16"/>
  <c r="B17" i="16"/>
  <c r="S73" i="43"/>
  <c r="H84" i="11" s="1"/>
  <c r="I84" i="11" s="1"/>
  <c r="S312" i="43"/>
  <c r="H68" i="11" s="1"/>
  <c r="I68" i="11" s="1"/>
  <c r="G34" i="17" l="1"/>
  <c r="H34" i="17"/>
  <c r="Q16" i="16" l="1"/>
  <c r="Q11" i="16"/>
  <c r="Q9" i="16"/>
  <c r="Q8" i="16"/>
  <c r="Q14" i="16"/>
  <c r="Q7" i="16"/>
  <c r="Q10" i="16"/>
  <c r="Q15" i="16"/>
  <c r="R7" i="16" l="1"/>
  <c r="Q19" i="16"/>
  <c r="A195" i="17"/>
  <c r="B195" i="17"/>
  <c r="C195" i="17"/>
  <c r="D195" i="17"/>
  <c r="E195" i="17"/>
  <c r="F195" i="17"/>
  <c r="G195" i="17"/>
  <c r="H195" i="17"/>
  <c r="A180" i="17"/>
  <c r="B180" i="17"/>
  <c r="C180" i="17"/>
  <c r="D180" i="17"/>
  <c r="E180" i="17"/>
  <c r="F180" i="17"/>
  <c r="G180" i="17"/>
  <c r="H180" i="17"/>
  <c r="B166" i="17"/>
  <c r="C166" i="17"/>
  <c r="D166" i="17"/>
  <c r="E166" i="17"/>
  <c r="F166" i="17"/>
  <c r="G166" i="17"/>
  <c r="H166" i="17"/>
  <c r="AF10" i="11" l="1"/>
  <c r="AG10" i="11" s="1"/>
  <c r="AF9" i="11"/>
  <c r="AG9" i="11" s="1"/>
  <c r="AF8" i="11"/>
  <c r="AG8" i="11" s="1"/>
  <c r="AF7" i="11"/>
  <c r="AG7" i="11" s="1"/>
  <c r="AF6" i="11"/>
  <c r="AG6" i="11" s="1"/>
  <c r="AF5" i="11"/>
  <c r="AG5" i="11" s="1"/>
  <c r="F226" i="17"/>
  <c r="E226" i="17"/>
  <c r="E247" i="17" s="1"/>
  <c r="G3" i="49" l="1"/>
  <c r="G28" i="49" l="1"/>
  <c r="G10" i="49"/>
  <c r="G9" i="49"/>
  <c r="G8" i="49"/>
  <c r="G26" i="49" l="1"/>
  <c r="G7" i="49" s="1"/>
  <c r="G140" i="17" l="1"/>
  <c r="H140" i="17"/>
  <c r="H226" i="17" l="1"/>
  <c r="F270" i="17"/>
  <c r="E270" i="17"/>
  <c r="E294" i="17" s="1"/>
  <c r="H253" i="17"/>
  <c r="G253" i="17"/>
  <c r="F123" i="17"/>
  <c r="E123" i="17"/>
  <c r="G51" i="17" l="1"/>
  <c r="H51" i="17"/>
  <c r="H209" i="17" l="1"/>
  <c r="G209" i="17"/>
  <c r="G245" i="17" s="1"/>
  <c r="AE11" i="11" l="1"/>
  <c r="AE10" i="11"/>
  <c r="AE9" i="11"/>
  <c r="AE8" i="11"/>
  <c r="AE7" i="11"/>
  <c r="AE6" i="11"/>
  <c r="AE5" i="11"/>
  <c r="AE16" i="11" l="1"/>
  <c r="X11" i="48"/>
  <c r="X8" i="48"/>
  <c r="X5" i="48"/>
  <c r="X2" i="48"/>
  <c r="O12" i="48"/>
  <c r="U2" i="48" l="1"/>
  <c r="R6" i="48"/>
  <c r="R2" i="48"/>
  <c r="B29" i="48" l="1"/>
  <c r="I24" i="48" l="1"/>
  <c r="H24" i="48"/>
  <c r="G24" i="48"/>
  <c r="F24" i="48"/>
  <c r="E24" i="48"/>
  <c r="D24" i="48"/>
  <c r="C24" i="48"/>
  <c r="B24" i="48"/>
  <c r="J29" i="48" l="1"/>
  <c r="J28" i="48"/>
  <c r="J24" i="48"/>
  <c r="K24" i="48" s="1"/>
  <c r="I7" i="48"/>
  <c r="H7" i="48"/>
  <c r="G7" i="48"/>
  <c r="F7" i="48"/>
  <c r="E7" i="48"/>
  <c r="D7" i="48"/>
  <c r="C7" i="48"/>
  <c r="B7" i="48"/>
  <c r="K28" i="48" l="1"/>
  <c r="K29" i="48" s="1"/>
  <c r="J7" i="48"/>
  <c r="J9" i="48"/>
  <c r="J10" i="48"/>
  <c r="K9" i="48" l="1"/>
  <c r="K10" i="48" s="1"/>
  <c r="H458" i="17" l="1"/>
  <c r="G458" i="17"/>
  <c r="F458" i="17"/>
  <c r="E458" i="17"/>
  <c r="D458" i="17"/>
  <c r="C458" i="17"/>
  <c r="B458" i="17"/>
  <c r="A458" i="17"/>
  <c r="H376" i="17"/>
  <c r="G376" i="17"/>
  <c r="F376" i="17"/>
  <c r="E376" i="17"/>
  <c r="D376" i="17"/>
  <c r="C376" i="17"/>
  <c r="B376" i="17"/>
  <c r="A376" i="17"/>
  <c r="H290" i="17"/>
  <c r="G290" i="17"/>
  <c r="F290" i="17"/>
  <c r="E290" i="17"/>
  <c r="D290" i="17"/>
  <c r="C290" i="17"/>
  <c r="B290" i="17"/>
  <c r="A290" i="17"/>
  <c r="H243" i="17"/>
  <c r="G243" i="17"/>
  <c r="F243" i="17"/>
  <c r="E243" i="17"/>
  <c r="D243" i="17"/>
  <c r="C243" i="17"/>
  <c r="B243" i="17"/>
  <c r="A243" i="17"/>
  <c r="H199" i="17"/>
  <c r="G199" i="17"/>
  <c r="F199" i="17"/>
  <c r="E199" i="17"/>
  <c r="D199" i="17"/>
  <c r="C199" i="17"/>
  <c r="B199" i="17"/>
  <c r="A199" i="17"/>
  <c r="H156" i="17"/>
  <c r="G156" i="17"/>
  <c r="E156" i="17"/>
  <c r="D156" i="17"/>
  <c r="C156" i="17"/>
  <c r="B156" i="17"/>
  <c r="A156" i="17"/>
  <c r="H113" i="17"/>
  <c r="G113" i="17"/>
  <c r="F113" i="17"/>
  <c r="E113" i="17"/>
  <c r="D113" i="17"/>
  <c r="C113" i="17"/>
  <c r="B113" i="17"/>
  <c r="A113" i="17"/>
  <c r="H70" i="17"/>
  <c r="G70" i="17"/>
  <c r="F70" i="17"/>
  <c r="E70" i="17"/>
  <c r="D70" i="17"/>
  <c r="C70" i="17"/>
  <c r="B70" i="17"/>
  <c r="A70" i="17"/>
  <c r="H404" i="17"/>
  <c r="D404" i="17"/>
  <c r="B404" i="17"/>
  <c r="A404" i="17"/>
  <c r="A422" i="17" s="1"/>
  <c r="A420" i="17"/>
  <c r="D387" i="17"/>
  <c r="C387" i="17"/>
  <c r="C420" i="17" s="1"/>
  <c r="F361" i="17"/>
  <c r="E361" i="17"/>
  <c r="E380" i="17" s="1"/>
  <c r="D361" i="17"/>
  <c r="C361" i="17"/>
  <c r="C380" i="17" s="1"/>
  <c r="F344" i="17"/>
  <c r="E344" i="17"/>
  <c r="E378" i="17" s="1"/>
  <c r="D344" i="17"/>
  <c r="A344" i="17"/>
  <c r="A378" i="17" s="1"/>
  <c r="E317" i="17"/>
  <c r="E338" i="17" s="1"/>
  <c r="B300" i="17"/>
  <c r="A300" i="17"/>
  <c r="A336" i="17" s="1"/>
  <c r="D270" i="17"/>
  <c r="C270" i="17"/>
  <c r="C294" i="17" s="1"/>
  <c r="B270" i="17"/>
  <c r="A270" i="17"/>
  <c r="A294" i="17" s="1"/>
  <c r="H267" i="17"/>
  <c r="G267" i="17"/>
  <c r="G292" i="17" s="1"/>
  <c r="F267" i="17"/>
  <c r="E267" i="17"/>
  <c r="D267" i="17"/>
  <c r="C267" i="17"/>
  <c r="B267" i="17"/>
  <c r="A267" i="17"/>
  <c r="F253" i="17"/>
  <c r="E253" i="17"/>
  <c r="D253" i="17"/>
  <c r="C253" i="17"/>
  <c r="B253" i="17"/>
  <c r="A253" i="17"/>
  <c r="C226" i="17"/>
  <c r="C247" i="17" s="1"/>
  <c r="B226" i="17"/>
  <c r="A226" i="17"/>
  <c r="F209" i="17"/>
  <c r="E209" i="17"/>
  <c r="E245" i="17" s="1"/>
  <c r="B209" i="17"/>
  <c r="A209" i="17"/>
  <c r="H183" i="17"/>
  <c r="G183" i="17"/>
  <c r="F183" i="17"/>
  <c r="E183" i="17"/>
  <c r="D183" i="17"/>
  <c r="C183" i="17"/>
  <c r="B183" i="17"/>
  <c r="A183" i="17"/>
  <c r="A166" i="17"/>
  <c r="H152" i="17"/>
  <c r="G152" i="17"/>
  <c r="F152" i="17"/>
  <c r="E152" i="17"/>
  <c r="D152" i="17"/>
  <c r="C152" i="17"/>
  <c r="B152" i="17"/>
  <c r="F140" i="17"/>
  <c r="E140" i="17"/>
  <c r="D140" i="17"/>
  <c r="C140" i="17"/>
  <c r="B140" i="17"/>
  <c r="A140" i="17"/>
  <c r="H137" i="17"/>
  <c r="G137" i="17"/>
  <c r="F137" i="17"/>
  <c r="E137" i="17"/>
  <c r="B137" i="17"/>
  <c r="A137" i="17"/>
  <c r="H123" i="17"/>
  <c r="G123" i="17"/>
  <c r="B123" i="17"/>
  <c r="A123" i="17"/>
  <c r="H94" i="17"/>
  <c r="G94" i="17"/>
  <c r="B94" i="17"/>
  <c r="A94" i="17"/>
  <c r="D51" i="17"/>
  <c r="C51" i="17"/>
  <c r="B51" i="17"/>
  <c r="A51" i="17"/>
  <c r="H48" i="17"/>
  <c r="G48" i="17"/>
  <c r="F48" i="17"/>
  <c r="E48" i="17"/>
  <c r="D48" i="17"/>
  <c r="C48" i="17"/>
  <c r="B48" i="17"/>
  <c r="A48" i="17"/>
  <c r="H47" i="17"/>
  <c r="G47" i="17"/>
  <c r="F47" i="17"/>
  <c r="E47" i="17"/>
  <c r="D47" i="17"/>
  <c r="C47" i="17"/>
  <c r="B47" i="17"/>
  <c r="A47" i="17"/>
  <c r="F34" i="17"/>
  <c r="E34" i="17"/>
  <c r="D34" i="17"/>
  <c r="C34" i="17"/>
  <c r="B34" i="17"/>
  <c r="A292" i="17" l="1"/>
  <c r="E292" i="17"/>
  <c r="C292" i="17"/>
  <c r="E72" i="17"/>
  <c r="J420" i="17"/>
  <c r="U192" i="50" s="1"/>
  <c r="E10" i="6"/>
  <c r="F10" i="6"/>
  <c r="J13" i="6"/>
  <c r="I13" i="6" s="1"/>
  <c r="W13" i="11" s="1"/>
  <c r="AH31" i="11" s="1"/>
  <c r="D13" i="6"/>
  <c r="J12" i="6"/>
  <c r="J11" i="6"/>
  <c r="J10" i="6"/>
  <c r="J9" i="6"/>
  <c r="X9" i="11" s="1"/>
  <c r="J6" i="6"/>
  <c r="J5" i="6"/>
  <c r="C12" i="6" l="1"/>
  <c r="G12" i="6"/>
  <c r="J379" i="17"/>
  <c r="J116" i="17"/>
  <c r="F13" i="6"/>
  <c r="E13" i="6"/>
  <c r="G13" i="6"/>
  <c r="H7" i="6"/>
  <c r="D9" i="6"/>
  <c r="I6" i="6"/>
  <c r="W6" i="11" s="1"/>
  <c r="G10" i="6"/>
  <c r="F12" i="6"/>
  <c r="H9" i="6"/>
  <c r="H13" i="6"/>
  <c r="H8" i="6"/>
  <c r="C9" i="6"/>
  <c r="Q9" i="11" s="1"/>
  <c r="G8" i="6"/>
  <c r="G9" i="6"/>
  <c r="D7" i="6"/>
  <c r="H10" i="6"/>
  <c r="J337" i="17"/>
  <c r="I10" i="6"/>
  <c r="G11" i="6"/>
  <c r="G14" i="48" s="1"/>
  <c r="G15" i="48" s="1"/>
  <c r="H11" i="6"/>
  <c r="I12" i="6"/>
  <c r="E7" i="6"/>
  <c r="G7" i="6"/>
  <c r="D11" i="6"/>
  <c r="D14" i="48" s="1"/>
  <c r="D15" i="48" s="1"/>
  <c r="C8" i="6"/>
  <c r="D8" i="6"/>
  <c r="E6" i="6"/>
  <c r="D10" i="6"/>
  <c r="F7" i="6"/>
  <c r="C10" i="6"/>
  <c r="F9" i="6"/>
  <c r="B9" i="6"/>
  <c r="B8" i="6"/>
  <c r="D5" i="6"/>
  <c r="B7" i="6"/>
  <c r="J73" i="17"/>
  <c r="B5" i="6"/>
  <c r="B13" i="6"/>
  <c r="E5" i="6"/>
  <c r="B12" i="6"/>
  <c r="P12" i="11" s="1"/>
  <c r="F15" i="16" s="1"/>
  <c r="C5" i="6"/>
  <c r="F5" i="6"/>
  <c r="G5" i="6"/>
  <c r="B6" i="6"/>
  <c r="H5" i="6"/>
  <c r="I11" i="6"/>
  <c r="I14" i="48" s="1"/>
  <c r="I15" i="48" s="1"/>
  <c r="J202" i="17"/>
  <c r="E8" i="6"/>
  <c r="G6" i="6"/>
  <c r="F6" i="6"/>
  <c r="H6" i="6"/>
  <c r="D12" i="6"/>
  <c r="B10" i="6"/>
  <c r="J293" i="17"/>
  <c r="E11" i="6"/>
  <c r="E14" i="48" s="1"/>
  <c r="E15" i="48" s="1"/>
  <c r="H12" i="6"/>
  <c r="F11" i="6"/>
  <c r="C6" i="6"/>
  <c r="E12" i="6"/>
  <c r="B11" i="6"/>
  <c r="P11" i="11" s="1"/>
  <c r="C11" i="6"/>
  <c r="I5" i="6"/>
  <c r="X5" i="11"/>
  <c r="E9" i="6"/>
  <c r="J246" i="17"/>
  <c r="D6" i="6"/>
  <c r="I9" i="6"/>
  <c r="F8" i="6"/>
  <c r="J7" i="6"/>
  <c r="J8" i="6"/>
  <c r="F14" i="16" l="1"/>
  <c r="AA29" i="11"/>
  <c r="J16" i="6"/>
  <c r="AL15" i="11" s="1"/>
  <c r="R5" i="11"/>
  <c r="D16" i="6"/>
  <c r="AK15" i="11" s="1"/>
  <c r="S5" i="11"/>
  <c r="E16" i="6"/>
  <c r="V5" i="11"/>
  <c r="H16" i="6"/>
  <c r="Q5" i="11"/>
  <c r="W5" i="11"/>
  <c r="B16" i="6"/>
  <c r="U5" i="11"/>
  <c r="G16" i="6"/>
  <c r="F16" i="6"/>
  <c r="C14" i="48"/>
  <c r="C15" i="48" s="1"/>
  <c r="H14" i="48"/>
  <c r="H15" i="48" s="1"/>
  <c r="T5" i="11"/>
  <c r="P5" i="11"/>
  <c r="N8" i="16"/>
  <c r="AL5" i="11"/>
  <c r="J159" i="17"/>
  <c r="J511" i="17" s="1"/>
  <c r="C7" i="6"/>
  <c r="K7" i="6" s="1"/>
  <c r="K11" i="6"/>
  <c r="K8" i="6"/>
  <c r="K9" i="6"/>
  <c r="K13" i="6"/>
  <c r="K12" i="6"/>
  <c r="K10" i="6"/>
  <c r="K6" i="6"/>
  <c r="I8" i="6"/>
  <c r="I7" i="6"/>
  <c r="B14" i="48"/>
  <c r="B15" i="48" s="1"/>
  <c r="K5" i="6"/>
  <c r="F14" i="48"/>
  <c r="F15" i="48" s="1"/>
  <c r="J18" i="48" s="1"/>
  <c r="M8" i="16" l="1"/>
  <c r="G8" i="16"/>
  <c r="H8" i="16"/>
  <c r="K8" i="16"/>
  <c r="L8" i="16"/>
  <c r="I8" i="16"/>
  <c r="AI15" i="11"/>
  <c r="I16" i="6"/>
  <c r="C16" i="6"/>
  <c r="AJ15" i="11" s="1"/>
  <c r="J8" i="16"/>
  <c r="Y5" i="11"/>
  <c r="R8" i="16"/>
  <c r="J17" i="48"/>
  <c r="K17" i="48" s="1"/>
  <c r="K18" i="48" s="1"/>
  <c r="F8" i="16"/>
  <c r="AD26" i="43"/>
  <c r="H29" i="11"/>
  <c r="I29" i="11" s="1"/>
  <c r="J15" i="48"/>
  <c r="K15" i="48" s="1"/>
  <c r="AM15" i="11" l="1"/>
  <c r="AN15" i="11" s="1"/>
  <c r="Y15" i="11"/>
  <c r="O8" i="16"/>
  <c r="K16" i="6"/>
  <c r="H3" i="11"/>
  <c r="T22" i="11" s="1"/>
  <c r="H4" i="11"/>
  <c r="H5" i="11"/>
  <c r="H6" i="11"/>
  <c r="H7" i="11"/>
  <c r="H8" i="11"/>
  <c r="H9" i="11"/>
  <c r="H10" i="11"/>
  <c r="H11" i="11"/>
  <c r="H12" i="11"/>
  <c r="H13" i="11"/>
  <c r="H15" i="11"/>
  <c r="H16" i="11"/>
  <c r="H17" i="11"/>
  <c r="S17" i="11" s="1"/>
  <c r="H18" i="11"/>
  <c r="W22" i="11" s="1"/>
  <c r="V24" i="11"/>
  <c r="V25" i="11"/>
  <c r="W25" i="11"/>
  <c r="AH22" i="11" l="1"/>
  <c r="AE22" i="11"/>
  <c r="V22" i="11"/>
  <c r="P22" i="11"/>
  <c r="U22" i="11"/>
  <c r="S22" i="11"/>
  <c r="AD22" i="11" s="1"/>
  <c r="X22" i="11"/>
  <c r="R22" i="11"/>
  <c r="Q22" i="11"/>
  <c r="Q30" i="11"/>
  <c r="Q31" i="11"/>
  <c r="AI22" i="11" l="1"/>
  <c r="AG22" i="11"/>
  <c r="AF22" i="11"/>
  <c r="AA22" i="11"/>
  <c r="AB22" i="11"/>
  <c r="AC22" i="11"/>
  <c r="B250" i="17"/>
  <c r="A1047" i="42" l="1" a="1"/>
  <c r="A1047" i="42" s="1"/>
  <c r="A1035" i="42" a="1"/>
  <c r="A1035" i="42" s="1"/>
  <c r="A1027" i="42" a="1"/>
  <c r="A1027" i="42" s="1"/>
  <c r="A1016" i="42" a="1"/>
  <c r="A1016" i="42" s="1"/>
  <c r="A1009" i="42" a="1"/>
  <c r="A1009" i="42" s="1"/>
  <c r="A1002" i="42" a="1"/>
  <c r="A1002" i="42" s="1"/>
  <c r="A995" i="42" a="1"/>
  <c r="A995" i="42" s="1"/>
  <c r="A987" i="42" a="1"/>
  <c r="A987" i="42" s="1"/>
  <c r="A976" i="42" a="1"/>
  <c r="A976" i="42" s="1"/>
  <c r="A965" i="42" a="1"/>
  <c r="A965" i="42" s="1"/>
  <c r="A951" i="42" a="1"/>
  <c r="A951" i="42" s="1"/>
  <c r="A941" i="42" a="1"/>
  <c r="A941" i="42" s="1"/>
  <c r="A925" i="42" a="1"/>
  <c r="A925" i="42" s="1"/>
  <c r="A913" i="42" a="1"/>
  <c r="A913" i="42" s="1"/>
  <c r="A900" i="42" a="1"/>
  <c r="A900" i="42" s="1"/>
  <c r="A894" i="42" a="1"/>
  <c r="A894" i="42" s="1"/>
  <c r="A877" i="42" a="1"/>
  <c r="A877" i="42" s="1"/>
  <c r="A860" i="42" a="1"/>
  <c r="A860" i="42" s="1"/>
  <c r="A843" i="42" a="1"/>
  <c r="A843" i="42" s="1"/>
  <c r="A826" i="42" a="1"/>
  <c r="A826" i="42" s="1"/>
  <c r="A815" i="42" a="1"/>
  <c r="A815" i="42" s="1"/>
  <c r="A803" i="42" a="1"/>
  <c r="A803" i="42" s="1"/>
  <c r="A790" i="42" a="1"/>
  <c r="A790" i="42" s="1"/>
  <c r="A760" i="42" a="1"/>
  <c r="A760" i="42" s="1"/>
  <c r="A747" i="42" a="1"/>
  <c r="A747" i="42" s="1"/>
  <c r="A732" i="42" a="1"/>
  <c r="A732" i="42" s="1"/>
  <c r="A716" i="42" a="1"/>
  <c r="A716" i="42" s="1"/>
  <c r="A699" i="42" a="1"/>
  <c r="A699" i="42" s="1"/>
  <c r="A686" i="42" a="1"/>
  <c r="A686" i="42" s="1"/>
  <c r="A671" i="42" a="1"/>
  <c r="A671" i="42" s="1"/>
  <c r="A653" i="42" a="1"/>
  <c r="A653" i="42" s="1"/>
  <c r="A638" i="42" a="1"/>
  <c r="A638" i="42" s="1"/>
  <c r="A623" i="42" a="1"/>
  <c r="A623" i="42" s="1"/>
  <c r="A607" i="42" a="1"/>
  <c r="A607" i="42" s="1"/>
  <c r="A593" i="42" a="1"/>
  <c r="A593" i="42" s="1"/>
  <c r="A574" i="42" a="1"/>
  <c r="A574" i="42" s="1"/>
  <c r="A558" i="42" a="1"/>
  <c r="A558" i="42" s="1"/>
  <c r="A541" i="42" a="1"/>
  <c r="A541" i="42" s="1"/>
  <c r="A522" i="42" a="1"/>
  <c r="A522" i="42" s="1"/>
  <c r="A506" i="42" a="1"/>
  <c r="A506" i="42" s="1"/>
  <c r="A492" i="42" a="1"/>
  <c r="A492" i="42" s="1"/>
  <c r="A476" i="42" a="1"/>
  <c r="A476" i="42" s="1"/>
  <c r="A462" i="42" a="1"/>
  <c r="A462" i="42" s="1"/>
  <c r="A448" i="42" a="1"/>
  <c r="A448" i="42" s="1"/>
  <c r="A434" i="42" a="1"/>
  <c r="A434" i="42" s="1"/>
  <c r="A419" i="42" a="1"/>
  <c r="A419" i="42" s="1"/>
  <c r="A407" i="42" a="1"/>
  <c r="A407" i="42" s="1"/>
  <c r="A392" i="42" a="1"/>
  <c r="A392" i="42" s="1"/>
  <c r="A377" i="42" a="1"/>
  <c r="A377" i="42" s="1"/>
  <c r="A360" i="42" a="1"/>
  <c r="A360" i="42" s="1"/>
  <c r="A342" i="42" a="1"/>
  <c r="A342" i="42" s="1"/>
  <c r="A324" i="42" a="1"/>
  <c r="A324" i="42" s="1"/>
  <c r="A306" i="42" a="1"/>
  <c r="A306" i="42" s="1"/>
  <c r="A289" i="42" a="1"/>
  <c r="A289" i="42" s="1"/>
  <c r="A271" i="42" a="1"/>
  <c r="A271" i="42" s="1"/>
  <c r="A255" i="42" a="1"/>
  <c r="A255" i="42" s="1"/>
  <c r="A237" i="42" a="1"/>
  <c r="A237" i="42" s="1"/>
  <c r="A218" i="42" a="1"/>
  <c r="A218" i="42" s="1"/>
  <c r="A202" i="42" a="1"/>
  <c r="A202" i="42" s="1"/>
  <c r="A186" i="42" a="1"/>
  <c r="A186" i="42" s="1"/>
  <c r="A170" i="42" a="1"/>
  <c r="A170" i="42" s="1"/>
  <c r="A154" i="42" a="1"/>
  <c r="A154" i="42" s="1"/>
  <c r="A139" i="42" a="1"/>
  <c r="A139" i="42" s="1"/>
  <c r="A122" i="42" a="1"/>
  <c r="A122" i="42" s="1"/>
  <c r="A105" i="42" a="1"/>
  <c r="A105" i="42" s="1"/>
  <c r="A88" i="42" a="1"/>
  <c r="A88" i="42" s="1"/>
  <c r="A71" i="42" a="1"/>
  <c r="A71" i="42" s="1"/>
  <c r="A54" i="42" a="1"/>
  <c r="A54" i="42" s="1"/>
  <c r="A37" i="42" a="1"/>
  <c r="A37" i="42" s="1"/>
  <c r="A20" i="42" a="1"/>
  <c r="A20" i="42" s="1"/>
  <c r="A3" i="42" a="1"/>
  <c r="A3" i="42" s="1"/>
  <c r="A201" i="17" l="1"/>
  <c r="X46" i="11" l="1"/>
  <c r="R47" i="11"/>
  <c r="P47" i="11"/>
  <c r="B29" i="6" s="1"/>
  <c r="Q47" i="11"/>
  <c r="P81" i="6"/>
  <c r="M81" i="6"/>
  <c r="P80" i="6"/>
  <c r="M80" i="6"/>
  <c r="P79" i="6"/>
  <c r="M79" i="6"/>
  <c r="P78" i="6"/>
  <c r="M78" i="6"/>
  <c r="P77" i="6"/>
  <c r="M77" i="6"/>
  <c r="P76" i="6"/>
  <c r="M76" i="6"/>
  <c r="P75" i="6"/>
  <c r="M75" i="6"/>
  <c r="P74" i="6"/>
  <c r="M74" i="6"/>
  <c r="P73" i="6"/>
  <c r="M73" i="6"/>
  <c r="AB31" i="11"/>
  <c r="Q12" i="11"/>
  <c r="AB30" i="11" s="1"/>
  <c r="G19" i="11"/>
  <c r="G18" i="11"/>
  <c r="G17" i="11"/>
  <c r="G15" i="11"/>
  <c r="G13" i="11"/>
  <c r="G12" i="11"/>
  <c r="G9" i="11"/>
  <c r="G8" i="11"/>
  <c r="G7" i="11"/>
  <c r="G6" i="11"/>
  <c r="G5" i="11"/>
  <c r="G4" i="11"/>
  <c r="G3" i="11"/>
  <c r="G2" i="11"/>
  <c r="Q98" i="6"/>
  <c r="P98" i="6"/>
  <c r="O98" i="6"/>
  <c r="N98" i="6"/>
  <c r="Q97" i="6"/>
  <c r="P97" i="6"/>
  <c r="O97" i="6"/>
  <c r="N97" i="6"/>
  <c r="Q96" i="6"/>
  <c r="P96" i="6"/>
  <c r="O96" i="6"/>
  <c r="N96" i="6"/>
  <c r="Q95" i="6"/>
  <c r="P95" i="6"/>
  <c r="O95" i="6"/>
  <c r="N95" i="6"/>
  <c r="Q94" i="6"/>
  <c r="P94" i="6"/>
  <c r="O94" i="6"/>
  <c r="N94" i="6"/>
  <c r="Q93" i="6"/>
  <c r="P93" i="6"/>
  <c r="O93" i="6"/>
  <c r="N93" i="6"/>
  <c r="Q92" i="6"/>
  <c r="P92" i="6"/>
  <c r="O92" i="6"/>
  <c r="N92" i="6"/>
  <c r="Q91" i="6"/>
  <c r="P91" i="6"/>
  <c r="O91" i="6"/>
  <c r="N91" i="6"/>
  <c r="Q90" i="6"/>
  <c r="P90" i="6"/>
  <c r="O90" i="6"/>
  <c r="N90" i="6"/>
  <c r="N101" i="6" l="1"/>
  <c r="Q101" i="6"/>
  <c r="O101" i="6"/>
  <c r="P101" i="6"/>
  <c r="M84" i="6"/>
  <c r="P84" i="6"/>
  <c r="C13" i="49"/>
  <c r="AJ13" i="11"/>
  <c r="G15" i="16"/>
  <c r="AJ12" i="11"/>
  <c r="G117" i="17"/>
  <c r="A380" i="17"/>
  <c r="C117" i="17"/>
  <c r="E160" i="17"/>
  <c r="A247" i="17"/>
  <c r="A117" i="17"/>
  <c r="E117" i="17"/>
  <c r="G160" i="17"/>
  <c r="A160" i="17"/>
  <c r="C160" i="17"/>
  <c r="C203" i="17"/>
  <c r="U48" i="11"/>
  <c r="G30" i="6" s="1"/>
  <c r="C115" i="17"/>
  <c r="E201" i="17"/>
  <c r="E203" i="17"/>
  <c r="C158" i="17"/>
  <c r="C201" i="17"/>
  <c r="A115" i="17"/>
  <c r="X30" i="11"/>
  <c r="C72" i="17"/>
  <c r="A245" i="17"/>
  <c r="E115" i="17"/>
  <c r="G203" i="17"/>
  <c r="A158" i="17"/>
  <c r="A74" i="17"/>
  <c r="G115" i="17"/>
  <c r="C74" i="17"/>
  <c r="G74" i="17"/>
  <c r="E74" i="17"/>
  <c r="A203" i="17"/>
  <c r="X31" i="11"/>
  <c r="G158" i="17"/>
  <c r="R31" i="11"/>
  <c r="I2" i="11"/>
  <c r="I15" i="11"/>
  <c r="W8" i="11"/>
  <c r="M11" i="16" s="1"/>
  <c r="R30" i="11"/>
  <c r="A72" i="17"/>
  <c r="E158" i="17"/>
  <c r="G201" i="17"/>
  <c r="I9" i="11"/>
  <c r="I12" i="11"/>
  <c r="P48" i="11"/>
  <c r="B30" i="6" s="1"/>
  <c r="W11" i="11"/>
  <c r="G72" i="17"/>
  <c r="I6" i="11"/>
  <c r="U31" i="11"/>
  <c r="T31" i="11"/>
  <c r="I17" i="11"/>
  <c r="P12" i="6"/>
  <c r="X12" i="11"/>
  <c r="Q7" i="11"/>
  <c r="M16" i="16"/>
  <c r="AJ5" i="11"/>
  <c r="R7" i="11"/>
  <c r="W12" i="11"/>
  <c r="AH30" i="11" s="1"/>
  <c r="R6" i="11"/>
  <c r="Q10" i="11"/>
  <c r="AK5" i="11"/>
  <c r="R9" i="11"/>
  <c r="R8" i="11"/>
  <c r="R11" i="11"/>
  <c r="R13" i="11"/>
  <c r="R10" i="11"/>
  <c r="Q8" i="11"/>
  <c r="Q11" i="11"/>
  <c r="Q6" i="11"/>
  <c r="R12" i="11"/>
  <c r="X29" i="11"/>
  <c r="X28" i="11"/>
  <c r="I7" i="11"/>
  <c r="I8" i="11"/>
  <c r="I3" i="11"/>
  <c r="I18" i="11"/>
  <c r="AC30" i="11" l="1"/>
  <c r="J460" i="17"/>
  <c r="U221" i="50" s="1"/>
  <c r="Q16" i="11"/>
  <c r="R16" i="11"/>
  <c r="AI30" i="11"/>
  <c r="M14" i="16"/>
  <c r="AH29" i="11"/>
  <c r="AC31" i="11"/>
  <c r="M15" i="16"/>
  <c r="V39" i="11"/>
  <c r="W39" i="11"/>
  <c r="R39" i="11"/>
  <c r="P39" i="11"/>
  <c r="J378" i="17"/>
  <c r="N15" i="16"/>
  <c r="R15" i="16" s="1"/>
  <c r="AL12" i="11"/>
  <c r="H15" i="16"/>
  <c r="AK12" i="11"/>
  <c r="H16" i="16"/>
  <c r="AK13" i="11"/>
  <c r="J336" i="17"/>
  <c r="U158" i="50" s="1"/>
  <c r="AK11" i="11"/>
  <c r="H14" i="16"/>
  <c r="AK8" i="11"/>
  <c r="H11" i="16"/>
  <c r="AK10" i="11"/>
  <c r="H13" i="16"/>
  <c r="AJ8" i="11"/>
  <c r="G11" i="16"/>
  <c r="AK9" i="11"/>
  <c r="H12" i="16"/>
  <c r="AJ9" i="11"/>
  <c r="G12" i="16"/>
  <c r="AJ7" i="11"/>
  <c r="G10" i="16"/>
  <c r="AK7" i="11"/>
  <c r="H10" i="16"/>
  <c r="AJ10" i="11"/>
  <c r="G13" i="16"/>
  <c r="AJ6" i="11"/>
  <c r="G9" i="16"/>
  <c r="AK6" i="11"/>
  <c r="H9" i="16"/>
  <c r="AJ11" i="11"/>
  <c r="G14" i="16"/>
  <c r="J201" i="17"/>
  <c r="U88" i="50" s="1"/>
  <c r="W7" i="11"/>
  <c r="J158" i="17"/>
  <c r="U69" i="50" s="1"/>
  <c r="J245" i="17"/>
  <c r="U110" i="50" s="1"/>
  <c r="R48" i="11"/>
  <c r="D30" i="6" s="1"/>
  <c r="J28" i="6"/>
  <c r="P28" i="6" s="1"/>
  <c r="W10" i="11"/>
  <c r="T48" i="11"/>
  <c r="F30" i="6" s="1"/>
  <c r="X45" i="11"/>
  <c r="J27" i="6" s="1"/>
  <c r="P27" i="6" s="1"/>
  <c r="J115" i="17"/>
  <c r="U50" i="50" s="1"/>
  <c r="X48" i="11"/>
  <c r="J30" i="6" s="1"/>
  <c r="Q48" i="11"/>
  <c r="C30" i="6" s="1"/>
  <c r="J292" i="17"/>
  <c r="U136" i="50" s="1"/>
  <c r="J72" i="17"/>
  <c r="U31" i="50" s="1"/>
  <c r="D29" i="6"/>
  <c r="C29" i="6"/>
  <c r="X47" i="11"/>
  <c r="J29" i="6" s="1"/>
  <c r="P29" i="6" s="1"/>
  <c r="O12" i="6"/>
  <c r="V12" i="11"/>
  <c r="L15" i="16" s="1"/>
  <c r="T11" i="11"/>
  <c r="U10" i="11"/>
  <c r="K13" i="16" s="1"/>
  <c r="V10" i="11"/>
  <c r="AG28" i="11" s="1"/>
  <c r="U9" i="11"/>
  <c r="K12" i="16" s="1"/>
  <c r="N10" i="6"/>
  <c r="S10" i="11"/>
  <c r="N8" i="6"/>
  <c r="S8" i="11"/>
  <c r="I11" i="16" s="1"/>
  <c r="N9" i="6"/>
  <c r="S9" i="11"/>
  <c r="N7" i="6"/>
  <c r="S7" i="11"/>
  <c r="N11" i="6"/>
  <c r="S11" i="11"/>
  <c r="V7" i="11"/>
  <c r="AG25" i="11" s="1"/>
  <c r="O11" i="6"/>
  <c r="V11" i="11"/>
  <c r="O8" i="6"/>
  <c r="V8" i="11"/>
  <c r="L11" i="16" s="1"/>
  <c r="M5" i="6"/>
  <c r="AI5" i="11"/>
  <c r="U7" i="11"/>
  <c r="K10" i="16" s="1"/>
  <c r="N12" i="6"/>
  <c r="S12" i="11"/>
  <c r="M11" i="6"/>
  <c r="U11" i="11"/>
  <c r="T10" i="11"/>
  <c r="N5" i="6"/>
  <c r="V6" i="11"/>
  <c r="V9" i="11"/>
  <c r="P13" i="6"/>
  <c r="X13" i="11"/>
  <c r="AL13" i="11" s="1"/>
  <c r="N13" i="6"/>
  <c r="S13" i="11"/>
  <c r="M6" i="6"/>
  <c r="P6" i="11"/>
  <c r="U6" i="11"/>
  <c r="M8" i="6"/>
  <c r="P8" i="11"/>
  <c r="M10" i="6"/>
  <c r="P10" i="11"/>
  <c r="U8" i="11"/>
  <c r="N6" i="6"/>
  <c r="S6" i="11"/>
  <c r="P8" i="6"/>
  <c r="X8" i="11"/>
  <c r="T9" i="11"/>
  <c r="M12" i="6"/>
  <c r="T8" i="11"/>
  <c r="T13" i="11"/>
  <c r="AE31" i="11" s="1"/>
  <c r="X6" i="11"/>
  <c r="T12" i="11"/>
  <c r="M13" i="6"/>
  <c r="P13" i="11"/>
  <c r="AA31" i="11" s="1"/>
  <c r="O13" i="6"/>
  <c r="V13" i="11"/>
  <c r="U13" i="11"/>
  <c r="T6" i="11"/>
  <c r="M7" i="6"/>
  <c r="P7" i="11"/>
  <c r="P11" i="6"/>
  <c r="X11" i="11"/>
  <c r="AI29" i="11" s="1"/>
  <c r="T7" i="11"/>
  <c r="J10" i="16" s="1"/>
  <c r="U12" i="11"/>
  <c r="K15" i="16" s="1"/>
  <c r="M9" i="6"/>
  <c r="P9" i="11"/>
  <c r="AF31" i="11" l="1"/>
  <c r="K16" i="16"/>
  <c r="G19" i="16"/>
  <c r="H19" i="16"/>
  <c r="V16" i="11"/>
  <c r="AK16" i="11"/>
  <c r="AJ16" i="11"/>
  <c r="T16" i="11"/>
  <c r="S16" i="11"/>
  <c r="U16" i="11"/>
  <c r="P16" i="11"/>
  <c r="U174" i="50"/>
  <c r="U252" i="50" s="1"/>
  <c r="N16" i="6"/>
  <c r="M16" i="6"/>
  <c r="D21" i="6"/>
  <c r="I21" i="6"/>
  <c r="H21" i="6"/>
  <c r="Y11" i="11"/>
  <c r="B21" i="6"/>
  <c r="AH25" i="11"/>
  <c r="AA30" i="11"/>
  <c r="Y12" i="11"/>
  <c r="AI13" i="11"/>
  <c r="AM13" i="11" s="1"/>
  <c r="AN13" i="11" s="1"/>
  <c r="Y13" i="11"/>
  <c r="Y8" i="11"/>
  <c r="AG24" i="11"/>
  <c r="Y6" i="11"/>
  <c r="I16" i="16"/>
  <c r="K11" i="16"/>
  <c r="N14" i="16"/>
  <c r="R14" i="16" s="1"/>
  <c r="I12" i="16"/>
  <c r="J12" i="16"/>
  <c r="AI12" i="11"/>
  <c r="AM12" i="11" s="1"/>
  <c r="AN12" i="11" s="1"/>
  <c r="L13" i="16"/>
  <c r="M13" i="16"/>
  <c r="J15" i="16"/>
  <c r="J13" i="16"/>
  <c r="P30" i="6"/>
  <c r="I10" i="16"/>
  <c r="L14" i="16"/>
  <c r="L10" i="16"/>
  <c r="I14" i="16"/>
  <c r="I13" i="16"/>
  <c r="L9" i="16"/>
  <c r="N9" i="16"/>
  <c r="I9" i="16"/>
  <c r="J9" i="16"/>
  <c r="K9" i="16"/>
  <c r="K14" i="16"/>
  <c r="L16" i="16"/>
  <c r="I15" i="16"/>
  <c r="J11" i="16"/>
  <c r="M10" i="16"/>
  <c r="L12" i="16"/>
  <c r="J14" i="16"/>
  <c r="J510" i="17"/>
  <c r="F16" i="16"/>
  <c r="AI9" i="11"/>
  <c r="F12" i="16"/>
  <c r="AI7" i="11"/>
  <c r="F10" i="16"/>
  <c r="AI8" i="11"/>
  <c r="F11" i="16"/>
  <c r="J16" i="16"/>
  <c r="AI6" i="11"/>
  <c r="F9" i="16"/>
  <c r="AI10" i="11"/>
  <c r="F13" i="16"/>
  <c r="AI11" i="11"/>
  <c r="AI31" i="11"/>
  <c r="N16" i="16"/>
  <c r="AL8" i="11"/>
  <c r="N11" i="16"/>
  <c r="R11" i="16" s="1"/>
  <c r="V31" i="11"/>
  <c r="AG31" i="11" s="1"/>
  <c r="W9" i="11"/>
  <c r="V27" i="11"/>
  <c r="AG27" i="11" s="1"/>
  <c r="AL11" i="11"/>
  <c r="V29" i="11"/>
  <c r="AG29" i="11" s="1"/>
  <c r="O9" i="6"/>
  <c r="W28" i="11"/>
  <c r="AH28" i="11" s="1"/>
  <c r="S31" i="11"/>
  <c r="AD31" i="11" s="1"/>
  <c r="P9" i="6"/>
  <c r="X10" i="11"/>
  <c r="AI28" i="11" s="1"/>
  <c r="X7" i="11"/>
  <c r="N10" i="16" s="1"/>
  <c r="R10" i="16" s="1"/>
  <c r="O10" i="6"/>
  <c r="P7" i="6"/>
  <c r="O7" i="6"/>
  <c r="P5" i="6"/>
  <c r="O5" i="6"/>
  <c r="P10" i="6"/>
  <c r="M30" i="6"/>
  <c r="M29" i="6"/>
  <c r="L13" i="6"/>
  <c r="P6" i="6"/>
  <c r="L11" i="6"/>
  <c r="I5" i="11"/>
  <c r="T47" i="11"/>
  <c r="L12" i="6"/>
  <c r="L8" i="6"/>
  <c r="K19" i="16" l="1"/>
  <c r="B15" i="16" s="1"/>
  <c r="L19" i="16"/>
  <c r="W16" i="11"/>
  <c r="M12" i="16"/>
  <c r="F19" i="16"/>
  <c r="I19" i="16"/>
  <c r="J19" i="16"/>
  <c r="K26" i="16" s="1"/>
  <c r="AI16" i="11"/>
  <c r="X16" i="11"/>
  <c r="O21" i="6"/>
  <c r="P16" i="6"/>
  <c r="Y9" i="11"/>
  <c r="Y7" i="11"/>
  <c r="O14" i="16"/>
  <c r="Y10" i="11"/>
  <c r="O15" i="16"/>
  <c r="O16" i="16"/>
  <c r="O11" i="16"/>
  <c r="O10" i="16"/>
  <c r="R16" i="16"/>
  <c r="R9" i="16"/>
  <c r="N13" i="16"/>
  <c r="R13" i="16" s="1"/>
  <c r="R17" i="16"/>
  <c r="AM8" i="11"/>
  <c r="AN8" i="11" s="1"/>
  <c r="L9" i="6"/>
  <c r="AM11" i="11"/>
  <c r="AN11" i="11" s="1"/>
  <c r="AL9" i="11"/>
  <c r="AM9" i="11" s="1"/>
  <c r="AN9" i="11" s="1"/>
  <c r="N12" i="16"/>
  <c r="AL10" i="11"/>
  <c r="AM10" i="11" s="1"/>
  <c r="AN10" i="11" s="1"/>
  <c r="V23" i="11"/>
  <c r="AM5" i="11"/>
  <c r="AL7" i="11"/>
  <c r="AM7" i="11" s="1"/>
  <c r="AN7" i="11" s="1"/>
  <c r="AL6" i="11"/>
  <c r="W24" i="11"/>
  <c r="AH24" i="11" s="1"/>
  <c r="W27" i="11"/>
  <c r="AH27" i="11" s="1"/>
  <c r="X27" i="11"/>
  <c r="AI27" i="11" s="1"/>
  <c r="P46" i="11"/>
  <c r="R46" i="11"/>
  <c r="L7" i="6"/>
  <c r="L10" i="6"/>
  <c r="L5" i="6"/>
  <c r="W47" i="11"/>
  <c r="V44" i="11"/>
  <c r="W45" i="11"/>
  <c r="V42" i="11"/>
  <c r="U46" i="11"/>
  <c r="S48" i="11"/>
  <c r="V46" i="11"/>
  <c r="I10" i="11"/>
  <c r="U23" i="11"/>
  <c r="I13" i="11"/>
  <c r="Q39" i="11" s="1"/>
  <c r="O6" i="6"/>
  <c r="O16" i="6" s="1"/>
  <c r="T30" i="11"/>
  <c r="AE30" i="11" s="1"/>
  <c r="F29" i="6"/>
  <c r="U47" i="11"/>
  <c r="G29" i="6" s="1"/>
  <c r="U30" i="11"/>
  <c r="AF30" i="11" s="1"/>
  <c r="I11" i="11"/>
  <c r="B5" i="16" l="1"/>
  <c r="J26" i="16"/>
  <c r="L26" i="16"/>
  <c r="N19" i="16"/>
  <c r="B4" i="16"/>
  <c r="AN5" i="11"/>
  <c r="AM6" i="11"/>
  <c r="AN6" i="11" s="1"/>
  <c r="AL16" i="11"/>
  <c r="O18" i="16"/>
  <c r="R18" i="16"/>
  <c r="B13" i="16"/>
  <c r="O12" i="16"/>
  <c r="C21" i="6"/>
  <c r="O13" i="16"/>
  <c r="R12" i="16"/>
  <c r="T17" i="11"/>
  <c r="X39" i="11"/>
  <c r="AF23" i="11"/>
  <c r="V48" i="11"/>
  <c r="H30" i="6" s="1"/>
  <c r="V47" i="11"/>
  <c r="H29" i="6" s="1"/>
  <c r="V30" i="11"/>
  <c r="AG30" i="11" s="1"/>
  <c r="V45" i="11"/>
  <c r="H27" i="6" s="1"/>
  <c r="V43" i="11"/>
  <c r="H25" i="6" s="1"/>
  <c r="V26" i="11"/>
  <c r="AG26" i="11" s="1"/>
  <c r="W42" i="11"/>
  <c r="I24" i="6" s="1"/>
  <c r="S46" i="11"/>
  <c r="E28" i="6" s="1"/>
  <c r="S29" i="11"/>
  <c r="AD29" i="11" s="1"/>
  <c r="S23" i="11"/>
  <c r="W40" i="11"/>
  <c r="W23" i="11"/>
  <c r="W43" i="11"/>
  <c r="I25" i="6" s="1"/>
  <c r="W26" i="11"/>
  <c r="AH26" i="11" s="1"/>
  <c r="S47" i="11"/>
  <c r="E29" i="6" s="1"/>
  <c r="S30" i="11"/>
  <c r="AD30" i="11" s="1"/>
  <c r="S42" i="11"/>
  <c r="E24" i="6" s="1"/>
  <c r="S25" i="11"/>
  <c r="AD25" i="11" s="1"/>
  <c r="S43" i="11"/>
  <c r="E25" i="6" s="1"/>
  <c r="S26" i="11"/>
  <c r="AD26" i="11" s="1"/>
  <c r="S44" i="11"/>
  <c r="E26" i="6" s="1"/>
  <c r="S27" i="11"/>
  <c r="AD27" i="11" s="1"/>
  <c r="S24" i="11"/>
  <c r="AD24" i="11" s="1"/>
  <c r="W46" i="11"/>
  <c r="I28" i="6" s="1"/>
  <c r="S45" i="11"/>
  <c r="E27" i="6" s="1"/>
  <c r="S28" i="11"/>
  <c r="AD28" i="11" s="1"/>
  <c r="W41" i="11"/>
  <c r="I23" i="6" s="1"/>
  <c r="AG23" i="11"/>
  <c r="I30" i="6"/>
  <c r="I29" i="6"/>
  <c r="X43" i="11"/>
  <c r="J25" i="6" s="1"/>
  <c r="X26" i="11"/>
  <c r="AI26" i="11" s="1"/>
  <c r="X23" i="11"/>
  <c r="T45" i="11"/>
  <c r="F27" i="6" s="1"/>
  <c r="T28" i="11"/>
  <c r="AE28" i="11" s="1"/>
  <c r="T44" i="11"/>
  <c r="F26" i="6" s="1"/>
  <c r="T27" i="11"/>
  <c r="AE27" i="11" s="1"/>
  <c r="Q17" i="11"/>
  <c r="Q42" i="11"/>
  <c r="C24" i="6" s="1"/>
  <c r="Q25" i="11"/>
  <c r="AB25" i="11" s="1"/>
  <c r="Q45" i="11"/>
  <c r="C27" i="6" s="1"/>
  <c r="Q28" i="11"/>
  <c r="AB28" i="11" s="1"/>
  <c r="Q43" i="11"/>
  <c r="C25" i="6" s="1"/>
  <c r="Q26" i="11"/>
  <c r="AB26" i="11" s="1"/>
  <c r="Q44" i="11"/>
  <c r="C26" i="6" s="1"/>
  <c r="Q27" i="11"/>
  <c r="AB27" i="11" s="1"/>
  <c r="Q24" i="11"/>
  <c r="AB24" i="11" s="1"/>
  <c r="Q46" i="11"/>
  <c r="Q29" i="11"/>
  <c r="AB29" i="11" s="1"/>
  <c r="R17" i="11"/>
  <c r="Y16" i="11"/>
  <c r="M9" i="16"/>
  <c r="M19" i="16" s="1"/>
  <c r="F21" i="16" s="1"/>
  <c r="X44" i="11"/>
  <c r="J26" i="6" s="1"/>
  <c r="P44" i="11"/>
  <c r="B26" i="6" s="1"/>
  <c r="U44" i="11"/>
  <c r="G26" i="6" s="1"/>
  <c r="P25" i="11"/>
  <c r="AA25" i="11" s="1"/>
  <c r="R23" i="11"/>
  <c r="T29" i="11"/>
  <c r="AE29" i="11" s="1"/>
  <c r="U28" i="11"/>
  <c r="AF28" i="11" s="1"/>
  <c r="P40" i="11"/>
  <c r="P23" i="11"/>
  <c r="V40" i="11"/>
  <c r="B28" i="6"/>
  <c r="U45" i="11"/>
  <c r="G27" i="6" s="1"/>
  <c r="U40" i="11"/>
  <c r="G22" i="6" s="1"/>
  <c r="H24" i="6"/>
  <c r="T25" i="11"/>
  <c r="AE25" i="11" s="1"/>
  <c r="T42" i="11"/>
  <c r="F24" i="6" s="1"/>
  <c r="R43" i="11"/>
  <c r="D25" i="6" s="1"/>
  <c r="R26" i="11"/>
  <c r="AC26" i="11" s="1"/>
  <c r="P28" i="11"/>
  <c r="AA28" i="11" s="1"/>
  <c r="P45" i="11"/>
  <c r="B27" i="6" s="1"/>
  <c r="P24" i="11"/>
  <c r="AA24" i="11" s="1"/>
  <c r="P41" i="11"/>
  <c r="B23" i="6" s="1"/>
  <c r="U41" i="11"/>
  <c r="G23" i="6" s="1"/>
  <c r="D28" i="6"/>
  <c r="R29" i="11"/>
  <c r="AC29" i="11" s="1"/>
  <c r="T23" i="11"/>
  <c r="AE23" i="11" s="1"/>
  <c r="I19" i="11"/>
  <c r="T39" i="11" s="1"/>
  <c r="H28" i="6"/>
  <c r="T24" i="11"/>
  <c r="AE24" i="11" s="1"/>
  <c r="T41" i="11"/>
  <c r="F23" i="6" s="1"/>
  <c r="P42" i="11"/>
  <c r="B24" i="6" s="1"/>
  <c r="P27" i="11"/>
  <c r="AA27" i="11" s="1"/>
  <c r="U24" i="11"/>
  <c r="AF24" i="11" s="1"/>
  <c r="X42" i="11"/>
  <c r="J24" i="6" s="1"/>
  <c r="X25" i="11"/>
  <c r="AI25" i="11" s="1"/>
  <c r="R41" i="11"/>
  <c r="D23" i="6" s="1"/>
  <c r="R24" i="11"/>
  <c r="AC24" i="11" s="1"/>
  <c r="P26" i="11"/>
  <c r="AA26" i="11" s="1"/>
  <c r="P43" i="11"/>
  <c r="B25" i="6" s="1"/>
  <c r="E30" i="6"/>
  <c r="Q41" i="11"/>
  <c r="C23" i="6" s="1"/>
  <c r="U27" i="11"/>
  <c r="AF27" i="11" s="1"/>
  <c r="L6" i="6"/>
  <c r="L16" i="6" s="1"/>
  <c r="X24" i="11"/>
  <c r="AI24" i="11" s="1"/>
  <c r="X41" i="11"/>
  <c r="J23" i="6" s="1"/>
  <c r="I16" i="11"/>
  <c r="S39" i="11" s="1"/>
  <c r="V41" i="11"/>
  <c r="U25" i="11"/>
  <c r="AF25" i="11" s="1"/>
  <c r="U42" i="11"/>
  <c r="G24" i="6" s="1"/>
  <c r="H26" i="6"/>
  <c r="R44" i="11"/>
  <c r="D26" i="6" s="1"/>
  <c r="R27" i="11"/>
  <c r="AC27" i="11" s="1"/>
  <c r="R42" i="11"/>
  <c r="D24" i="6" s="1"/>
  <c r="R25" i="11"/>
  <c r="AC25" i="11" s="1"/>
  <c r="R28" i="11"/>
  <c r="AC28" i="11" s="1"/>
  <c r="R45" i="11"/>
  <c r="D27" i="6" s="1"/>
  <c r="X17" i="11"/>
  <c r="U26" i="11"/>
  <c r="AF26" i="11" s="1"/>
  <c r="U43" i="11"/>
  <c r="G25" i="6" s="1"/>
  <c r="T43" i="11"/>
  <c r="F25" i="6" s="1"/>
  <c r="T26" i="11"/>
  <c r="AE26" i="11" s="1"/>
  <c r="I27" i="6"/>
  <c r="I4" i="11"/>
  <c r="U39" i="11" s="1"/>
  <c r="G28" i="6"/>
  <c r="U29" i="11"/>
  <c r="AF29" i="11" s="1"/>
  <c r="Q23" i="11"/>
  <c r="R19" i="16" l="1"/>
  <c r="W34" i="11"/>
  <c r="P51" i="11"/>
  <c r="U51" i="11"/>
  <c r="V51" i="11"/>
  <c r="AM16" i="11"/>
  <c r="AN16" i="11"/>
  <c r="AE34" i="11"/>
  <c r="AI23" i="11"/>
  <c r="AI34" i="11" s="1"/>
  <c r="X34" i="11"/>
  <c r="AD23" i="11"/>
  <c r="AD34" i="11" s="1"/>
  <c r="S34" i="11"/>
  <c r="M21" i="6"/>
  <c r="AB23" i="11"/>
  <c r="AB34" i="11" s="1"/>
  <c r="Q34" i="11"/>
  <c r="T34" i="11"/>
  <c r="AA23" i="11"/>
  <c r="AA34" i="11" s="1"/>
  <c r="P34" i="11"/>
  <c r="R34" i="11"/>
  <c r="AH23" i="11"/>
  <c r="AH34" i="11" s="1"/>
  <c r="V34" i="11"/>
  <c r="U34" i="11"/>
  <c r="F21" i="6"/>
  <c r="J21" i="6"/>
  <c r="B22" i="6"/>
  <c r="G21" i="6"/>
  <c r="E21" i="6"/>
  <c r="O9" i="16"/>
  <c r="O19" i="16" s="1"/>
  <c r="B19" i="16" s="1"/>
  <c r="AG34" i="11"/>
  <c r="AF34" i="11"/>
  <c r="AC23" i="11"/>
  <c r="O29" i="6"/>
  <c r="O30" i="6"/>
  <c r="O25" i="6"/>
  <c r="O24" i="6"/>
  <c r="S40" i="11"/>
  <c r="E22" i="6" s="1"/>
  <c r="S41" i="11"/>
  <c r="E23" i="6" s="1"/>
  <c r="N23" i="6" s="1"/>
  <c r="W44" i="11"/>
  <c r="I26" i="6" s="1"/>
  <c r="O26" i="6" s="1"/>
  <c r="H23" i="6"/>
  <c r="O23" i="6" s="1"/>
  <c r="H22" i="6"/>
  <c r="I22" i="6"/>
  <c r="X40" i="11"/>
  <c r="J22" i="6" s="1"/>
  <c r="P22" i="6" s="1"/>
  <c r="T46" i="11"/>
  <c r="F28" i="6" s="1"/>
  <c r="N28" i="6" s="1"/>
  <c r="C28" i="6"/>
  <c r="M28" i="6" s="1"/>
  <c r="Q40" i="11"/>
  <c r="Q51" i="11" s="1"/>
  <c r="R40" i="11"/>
  <c r="R51" i="11" s="1"/>
  <c r="T40" i="11"/>
  <c r="F22" i="6" s="1"/>
  <c r="M27" i="6"/>
  <c r="P23" i="6"/>
  <c r="N26" i="6"/>
  <c r="P25" i="6"/>
  <c r="M25" i="6"/>
  <c r="N24" i="6"/>
  <c r="O28" i="6"/>
  <c r="M23" i="6"/>
  <c r="M26" i="6"/>
  <c r="P24" i="6"/>
  <c r="N29" i="6"/>
  <c r="N30" i="6"/>
  <c r="N27" i="6"/>
  <c r="O27" i="6"/>
  <c r="P26" i="6"/>
  <c r="N25" i="6"/>
  <c r="M24" i="6"/>
  <c r="Y34" i="11" l="1"/>
  <c r="W51" i="11"/>
  <c r="S51" i="11"/>
  <c r="T51" i="11"/>
  <c r="X51" i="11"/>
  <c r="H33" i="6"/>
  <c r="G33" i="6"/>
  <c r="B33" i="6"/>
  <c r="P21" i="6"/>
  <c r="P26" i="16"/>
  <c r="N21" i="6"/>
  <c r="AC34" i="11"/>
  <c r="AJ34" i="11" s="1"/>
  <c r="D22" i="6"/>
  <c r="C22" i="6"/>
  <c r="F33" i="6"/>
  <c r="V12" i="6"/>
  <c r="N22" i="6"/>
  <c r="O22" i="6"/>
  <c r="S13" i="6"/>
  <c r="S6" i="6"/>
  <c r="Q6" i="6" s="1"/>
  <c r="S10" i="6"/>
  <c r="Q10" i="6" s="1"/>
  <c r="S11" i="6"/>
  <c r="V6" i="6"/>
  <c r="V7" i="6"/>
  <c r="V10" i="6"/>
  <c r="L23" i="6"/>
  <c r="S8" i="6"/>
  <c r="Q8" i="6" s="1"/>
  <c r="L25" i="6"/>
  <c r="L27" i="6"/>
  <c r="L28" i="6"/>
  <c r="V11" i="6"/>
  <c r="V9" i="6"/>
  <c r="L30" i="6"/>
  <c r="V13" i="6"/>
  <c r="L26" i="6"/>
  <c r="S9" i="6"/>
  <c r="V8" i="6"/>
  <c r="L24" i="6"/>
  <c r="S7" i="6"/>
  <c r="L29" i="6"/>
  <c r="S12" i="6"/>
  <c r="I33" i="6" l="1"/>
  <c r="C33" i="6"/>
  <c r="D33" i="6"/>
  <c r="L21" i="6"/>
  <c r="N33" i="6"/>
  <c r="J33" i="6"/>
  <c r="P33" i="6"/>
  <c r="E33" i="6"/>
  <c r="O33" i="6"/>
  <c r="S4" i="6"/>
  <c r="X4" i="6" s="1"/>
  <c r="P48" i="6"/>
  <c r="V4" i="6"/>
  <c r="M22" i="6"/>
  <c r="M33" i="6" s="1"/>
  <c r="Q13" i="6"/>
  <c r="C47" i="6"/>
  <c r="Q11" i="6"/>
  <c r="B45" i="6"/>
  <c r="Y50" i="11"/>
  <c r="Q9" i="6"/>
  <c r="X12" i="6"/>
  <c r="Q12" i="6"/>
  <c r="Q7" i="6"/>
  <c r="X6" i="6"/>
  <c r="X10" i="6"/>
  <c r="J44" i="6"/>
  <c r="P44" i="6" s="1"/>
  <c r="G44" i="6"/>
  <c r="G61" i="6" s="1"/>
  <c r="G78" i="6" s="1"/>
  <c r="G95" i="6" s="1"/>
  <c r="F44" i="6"/>
  <c r="F61" i="6" s="1"/>
  <c r="F78" i="6" s="1"/>
  <c r="F95" i="6" s="1"/>
  <c r="E44" i="6"/>
  <c r="I44" i="6"/>
  <c r="I61" i="6" s="1"/>
  <c r="C44" i="6"/>
  <c r="H44" i="6"/>
  <c r="B44" i="6"/>
  <c r="D44" i="6"/>
  <c r="D61" i="6" s="1"/>
  <c r="X11" i="6"/>
  <c r="J45" i="6"/>
  <c r="P45" i="6" s="1"/>
  <c r="E45" i="6"/>
  <c r="G45" i="6"/>
  <c r="G62" i="6" s="1"/>
  <c r="G79" i="6" s="1"/>
  <c r="G96" i="6" s="1"/>
  <c r="D45" i="6"/>
  <c r="D62" i="6" s="1"/>
  <c r="I45" i="6"/>
  <c r="I62" i="6" s="1"/>
  <c r="H45" i="6"/>
  <c r="C45" i="6"/>
  <c r="F45" i="6"/>
  <c r="F62" i="6" s="1"/>
  <c r="F79" i="6" s="1"/>
  <c r="F96" i="6" s="1"/>
  <c r="X7" i="6"/>
  <c r="I41" i="6"/>
  <c r="I58" i="6" s="1"/>
  <c r="H41" i="6"/>
  <c r="F41" i="6"/>
  <c r="F58" i="6" s="1"/>
  <c r="F75" i="6" s="1"/>
  <c r="F92" i="6" s="1"/>
  <c r="C41" i="6"/>
  <c r="D41" i="6"/>
  <c r="D58" i="6" s="1"/>
  <c r="B41" i="6"/>
  <c r="G41" i="6"/>
  <c r="G58" i="6" s="1"/>
  <c r="G75" i="6" s="1"/>
  <c r="G92" i="6" s="1"/>
  <c r="E41" i="6"/>
  <c r="J41" i="6"/>
  <c r="P41" i="6" s="1"/>
  <c r="X8" i="6"/>
  <c r="H42" i="6"/>
  <c r="I42" i="6"/>
  <c r="I59" i="6" s="1"/>
  <c r="F42" i="6"/>
  <c r="F59" i="6" s="1"/>
  <c r="F76" i="6" s="1"/>
  <c r="F93" i="6" s="1"/>
  <c r="C42" i="6"/>
  <c r="E42" i="6"/>
  <c r="B42" i="6"/>
  <c r="G42" i="6"/>
  <c r="G59" i="6" s="1"/>
  <c r="G76" i="6" s="1"/>
  <c r="G93" i="6" s="1"/>
  <c r="D42" i="6"/>
  <c r="D59" i="6" s="1"/>
  <c r="J42" i="6"/>
  <c r="P42" i="6" s="1"/>
  <c r="X13" i="6"/>
  <c r="G47" i="6"/>
  <c r="G64" i="6" s="1"/>
  <c r="G81" i="6" s="1"/>
  <c r="G98" i="6" s="1"/>
  <c r="F47" i="6"/>
  <c r="F64" i="6" s="1"/>
  <c r="F81" i="6" s="1"/>
  <c r="F98" i="6" s="1"/>
  <c r="I47" i="6"/>
  <c r="I64" i="6" s="1"/>
  <c r="B47" i="6"/>
  <c r="J47" i="6"/>
  <c r="P47" i="6" s="1"/>
  <c r="D47" i="6"/>
  <c r="D64" i="6" s="1"/>
  <c r="H47" i="6"/>
  <c r="E47" i="6"/>
  <c r="C46" i="6"/>
  <c r="J46" i="6"/>
  <c r="P46" i="6" s="1"/>
  <c r="D46" i="6"/>
  <c r="D63" i="6" s="1"/>
  <c r="B46" i="6"/>
  <c r="I46" i="6"/>
  <c r="I63" i="6" s="1"/>
  <c r="F46" i="6"/>
  <c r="F63" i="6" s="1"/>
  <c r="F80" i="6" s="1"/>
  <c r="F97" i="6" s="1"/>
  <c r="H46" i="6"/>
  <c r="G46" i="6"/>
  <c r="G63" i="6" s="1"/>
  <c r="G80" i="6" s="1"/>
  <c r="G97" i="6" s="1"/>
  <c r="E46" i="6"/>
  <c r="X9" i="6"/>
  <c r="B43" i="6"/>
  <c r="D43" i="6"/>
  <c r="D60" i="6" s="1"/>
  <c r="G43" i="6"/>
  <c r="G60" i="6" s="1"/>
  <c r="G77" i="6" s="1"/>
  <c r="G94" i="6" s="1"/>
  <c r="I43" i="6"/>
  <c r="I60" i="6" s="1"/>
  <c r="E43" i="6"/>
  <c r="H43" i="6"/>
  <c r="F43" i="6"/>
  <c r="F60" i="6" s="1"/>
  <c r="F77" i="6" s="1"/>
  <c r="F94" i="6" s="1"/>
  <c r="J43" i="6"/>
  <c r="P43" i="6" s="1"/>
  <c r="C43" i="6"/>
  <c r="D40" i="6"/>
  <c r="D57" i="6" s="1"/>
  <c r="B40" i="6"/>
  <c r="J40" i="6"/>
  <c r="P40" i="6" s="1"/>
  <c r="E40" i="6"/>
  <c r="C40" i="6"/>
  <c r="H40" i="6"/>
  <c r="F40" i="6"/>
  <c r="F57" i="6" s="1"/>
  <c r="F74" i="6" s="1"/>
  <c r="F91" i="6" s="1"/>
  <c r="G40" i="6"/>
  <c r="G57" i="6" s="1"/>
  <c r="G74" i="6" s="1"/>
  <c r="G91" i="6" s="1"/>
  <c r="I40" i="6"/>
  <c r="I57" i="6" s="1"/>
  <c r="S15" i="6" l="1"/>
  <c r="V15" i="6"/>
  <c r="O48" i="6"/>
  <c r="J38" i="6"/>
  <c r="B38" i="6"/>
  <c r="M48" i="6"/>
  <c r="I38" i="6"/>
  <c r="V16" i="6"/>
  <c r="G38" i="6"/>
  <c r="F38" i="6"/>
  <c r="H38" i="6"/>
  <c r="S5" i="6"/>
  <c r="E39" i="6" s="1"/>
  <c r="L22" i="6"/>
  <c r="L33" i="6" s="1"/>
  <c r="N48" i="6"/>
  <c r="S16" i="6"/>
  <c r="Q16" i="6" s="1"/>
  <c r="C38" i="6"/>
  <c r="Q4" i="6"/>
  <c r="V5" i="6"/>
  <c r="E38" i="6"/>
  <c r="D38" i="6"/>
  <c r="C64" i="6"/>
  <c r="C62" i="6"/>
  <c r="C58" i="6"/>
  <c r="C61" i="6"/>
  <c r="C59" i="6"/>
  <c r="N40" i="6"/>
  <c r="E57" i="6"/>
  <c r="C60" i="6"/>
  <c r="M43" i="6"/>
  <c r="B60" i="6"/>
  <c r="B63" i="6"/>
  <c r="M46" i="6"/>
  <c r="O47" i="6"/>
  <c r="H64" i="6"/>
  <c r="N42" i="6"/>
  <c r="E59" i="6"/>
  <c r="N44" i="6"/>
  <c r="E61" i="6"/>
  <c r="O41" i="6"/>
  <c r="H58" i="6"/>
  <c r="O45" i="6"/>
  <c r="H62" i="6"/>
  <c r="B57" i="6"/>
  <c r="M40" i="6"/>
  <c r="O43" i="6"/>
  <c r="H60" i="6"/>
  <c r="E63" i="6"/>
  <c r="N46" i="6"/>
  <c r="C63" i="6"/>
  <c r="E60" i="6"/>
  <c r="N43" i="6"/>
  <c r="M47" i="6"/>
  <c r="B64" i="6"/>
  <c r="H59" i="6"/>
  <c r="O42" i="6"/>
  <c r="E58" i="6"/>
  <c r="N41" i="6"/>
  <c r="H63" i="6"/>
  <c r="O46" i="6"/>
  <c r="B61" i="6"/>
  <c r="M44" i="6"/>
  <c r="B58" i="6"/>
  <c r="M41" i="6"/>
  <c r="E62" i="6"/>
  <c r="N45" i="6"/>
  <c r="H61" i="6"/>
  <c r="O44" i="6"/>
  <c r="H57" i="6"/>
  <c r="O40" i="6"/>
  <c r="C57" i="6"/>
  <c r="E64" i="6"/>
  <c r="N47" i="6"/>
  <c r="B59" i="6"/>
  <c r="M42" i="6"/>
  <c r="B62" i="6"/>
  <c r="M45" i="6"/>
  <c r="E49" i="6" l="1"/>
  <c r="E66" i="6" s="1"/>
  <c r="E83" i="6" s="1"/>
  <c r="E100" i="6" s="1"/>
  <c r="C49" i="6"/>
  <c r="G49" i="6"/>
  <c r="G66" i="6" s="1"/>
  <c r="G83" i="6" s="1"/>
  <c r="F49" i="6"/>
  <c r="F66" i="6" s="1"/>
  <c r="F83" i="6" s="1"/>
  <c r="F100" i="6" s="1"/>
  <c r="B49" i="6"/>
  <c r="B66" i="6" s="1"/>
  <c r="D49" i="6"/>
  <c r="D66" i="6" s="1"/>
  <c r="H49" i="6"/>
  <c r="H66" i="6" s="1"/>
  <c r="H83" i="6" s="1"/>
  <c r="J49" i="6"/>
  <c r="P49" i="6" s="1"/>
  <c r="I49" i="6"/>
  <c r="Q15" i="6"/>
  <c r="X15" i="6"/>
  <c r="F55" i="6"/>
  <c r="C55" i="6"/>
  <c r="I55" i="6"/>
  <c r="G55" i="6"/>
  <c r="B55" i="6"/>
  <c r="D55" i="6"/>
  <c r="P38" i="6"/>
  <c r="E55" i="6"/>
  <c r="H55" i="6"/>
  <c r="W14" i="6"/>
  <c r="L48" i="6"/>
  <c r="J39" i="6"/>
  <c r="P39" i="6" s="1"/>
  <c r="C39" i="6"/>
  <c r="F39" i="6"/>
  <c r="F56" i="6" s="1"/>
  <c r="F73" i="6" s="1"/>
  <c r="F90" i="6" s="1"/>
  <c r="B39" i="6"/>
  <c r="D39" i="6"/>
  <c r="D56" i="6" s="1"/>
  <c r="H39" i="6"/>
  <c r="O38" i="6"/>
  <c r="G39" i="6"/>
  <c r="G56" i="6" s="1"/>
  <c r="G73" i="6" s="1"/>
  <c r="G90" i="6" s="1"/>
  <c r="Q5" i="6"/>
  <c r="X5" i="6"/>
  <c r="I39" i="6"/>
  <c r="I56" i="6" s="1"/>
  <c r="N38" i="6"/>
  <c r="M38" i="6"/>
  <c r="W10" i="6"/>
  <c r="W7" i="6"/>
  <c r="W9" i="6"/>
  <c r="W11" i="6"/>
  <c r="W6" i="6"/>
  <c r="X16" i="6"/>
  <c r="W8" i="6"/>
  <c r="E56" i="6"/>
  <c r="W12" i="6"/>
  <c r="W13" i="6"/>
  <c r="M64" i="6"/>
  <c r="M59" i="6"/>
  <c r="M62" i="6"/>
  <c r="M61" i="6"/>
  <c r="M58" i="6"/>
  <c r="M60" i="6"/>
  <c r="H76" i="6"/>
  <c r="O59" i="6"/>
  <c r="H79" i="6"/>
  <c r="O62" i="6"/>
  <c r="L46" i="6"/>
  <c r="H78" i="6"/>
  <c r="O61" i="6"/>
  <c r="O58" i="6"/>
  <c r="H75" i="6"/>
  <c r="E76" i="6"/>
  <c r="N59" i="6"/>
  <c r="M63" i="6"/>
  <c r="L45" i="6"/>
  <c r="E80" i="6"/>
  <c r="N63" i="6"/>
  <c r="L42" i="6"/>
  <c r="N62" i="6"/>
  <c r="E79" i="6"/>
  <c r="O63" i="6"/>
  <c r="H80" i="6"/>
  <c r="L47" i="6"/>
  <c r="O60" i="6"/>
  <c r="H77" i="6"/>
  <c r="L43" i="6"/>
  <c r="H74" i="6"/>
  <c r="O57" i="6"/>
  <c r="L41" i="6"/>
  <c r="N58" i="6"/>
  <c r="E75" i="6"/>
  <c r="N60" i="6"/>
  <c r="E77" i="6"/>
  <c r="L40" i="6"/>
  <c r="E78" i="6"/>
  <c r="N61" i="6"/>
  <c r="E74" i="6"/>
  <c r="N57" i="6"/>
  <c r="E81" i="6"/>
  <c r="N64" i="6"/>
  <c r="L44" i="6"/>
  <c r="M57" i="6"/>
  <c r="O64" i="6"/>
  <c r="H81" i="6"/>
  <c r="O83" i="6" l="1"/>
  <c r="H100" i="6"/>
  <c r="C50" i="6"/>
  <c r="H50" i="6"/>
  <c r="N83" i="6"/>
  <c r="D67" i="6"/>
  <c r="B50" i="6"/>
  <c r="E72" i="6"/>
  <c r="E67" i="6"/>
  <c r="G72" i="6"/>
  <c r="G84" i="6" s="1"/>
  <c r="G67" i="6"/>
  <c r="F72" i="6"/>
  <c r="F89" i="6" s="1"/>
  <c r="F101" i="6" s="1"/>
  <c r="F67" i="6"/>
  <c r="C66" i="6"/>
  <c r="M66" i="6" s="1"/>
  <c r="H72" i="6"/>
  <c r="I50" i="6"/>
  <c r="I66" i="6"/>
  <c r="I67" i="6" s="1"/>
  <c r="N66" i="6"/>
  <c r="N49" i="6"/>
  <c r="M49" i="6"/>
  <c r="J50" i="6"/>
  <c r="P50" i="6"/>
  <c r="F50" i="6"/>
  <c r="O49" i="6"/>
  <c r="D50" i="6"/>
  <c r="E50" i="6"/>
  <c r="G50" i="6"/>
  <c r="M55" i="6"/>
  <c r="O55" i="6"/>
  <c r="G89" i="6"/>
  <c r="G101" i="6" s="1"/>
  <c r="N55" i="6"/>
  <c r="C56" i="6"/>
  <c r="H56" i="6"/>
  <c r="H67" i="6" s="1"/>
  <c r="L38" i="6"/>
  <c r="M39" i="6"/>
  <c r="O39" i="6"/>
  <c r="B56" i="6"/>
  <c r="B67" i="6" s="1"/>
  <c r="N39" i="6"/>
  <c r="N56" i="6"/>
  <c r="W4" i="6"/>
  <c r="H89" i="6"/>
  <c r="E89" i="6"/>
  <c r="E73" i="6"/>
  <c r="E90" i="6" s="1"/>
  <c r="O74" i="6"/>
  <c r="H91" i="6"/>
  <c r="O76" i="6"/>
  <c r="H93" i="6"/>
  <c r="N80" i="6"/>
  <c r="E97" i="6"/>
  <c r="O77" i="6"/>
  <c r="H94" i="6"/>
  <c r="O78" i="6"/>
  <c r="H95" i="6"/>
  <c r="N81" i="6"/>
  <c r="E98" i="6"/>
  <c r="L60" i="6"/>
  <c r="L61" i="6"/>
  <c r="L59" i="6"/>
  <c r="L62" i="6"/>
  <c r="L64" i="6"/>
  <c r="L58" i="6"/>
  <c r="L57" i="6"/>
  <c r="O75" i="6"/>
  <c r="H92" i="6"/>
  <c r="O79" i="6"/>
  <c r="H96" i="6"/>
  <c r="O80" i="6"/>
  <c r="H97" i="6"/>
  <c r="N78" i="6"/>
  <c r="E95" i="6"/>
  <c r="L63" i="6"/>
  <c r="N75" i="6"/>
  <c r="E92" i="6"/>
  <c r="O81" i="6"/>
  <c r="H98" i="6"/>
  <c r="N74" i="6"/>
  <c r="E91" i="6"/>
  <c r="N77" i="6"/>
  <c r="E94" i="6"/>
  <c r="N79" i="6"/>
  <c r="E96" i="6"/>
  <c r="N76" i="6"/>
  <c r="E93" i="6"/>
  <c r="L83" i="6" l="1"/>
  <c r="E101" i="6"/>
  <c r="C67" i="6"/>
  <c r="N72" i="6"/>
  <c r="F84" i="6"/>
  <c r="E84" i="6"/>
  <c r="O72" i="6"/>
  <c r="M50" i="6"/>
  <c r="O50" i="6"/>
  <c r="N50" i="6"/>
  <c r="N67" i="6"/>
  <c r="O66" i="6"/>
  <c r="L66" i="6" s="1"/>
  <c r="L49" i="6"/>
  <c r="L55" i="6"/>
  <c r="O56" i="6"/>
  <c r="M56" i="6"/>
  <c r="M67" i="6" s="1"/>
  <c r="H73" i="6"/>
  <c r="H84" i="6" s="1"/>
  <c r="W5" i="6"/>
  <c r="L39" i="6"/>
  <c r="H90" i="6"/>
  <c r="H101" i="6" s="1"/>
  <c r="N73" i="6"/>
  <c r="L74" i="6"/>
  <c r="L76" i="6"/>
  <c r="L80" i="6"/>
  <c r="L77" i="6"/>
  <c r="L78" i="6"/>
  <c r="L81" i="6"/>
  <c r="L75" i="6"/>
  <c r="L79" i="6"/>
  <c r="L50" i="6" l="1"/>
  <c r="W16" i="6"/>
  <c r="O67" i="6"/>
  <c r="W18" i="6"/>
  <c r="O26" i="16" s="1" a="1"/>
  <c r="W15" i="6"/>
  <c r="N84" i="6"/>
  <c r="L72" i="6"/>
  <c r="O73" i="6"/>
  <c r="O84" i="6" s="1"/>
  <c r="L56" i="6"/>
  <c r="L67" i="6" s="1"/>
  <c r="O26" i="16" l="1"/>
  <c r="L73" i="6"/>
  <c r="L84" i="6" s="1"/>
  <c r="A776" i="42" a="1"/>
  <c r="A776" i="42" s="1"/>
  <c r="C25" i="48" l="1"/>
  <c r="C26" i="48" s="1"/>
  <c r="D25" i="48"/>
  <c r="D26" i="48" s="1"/>
  <c r="H25" i="48"/>
  <c r="H26" i="48" s="1"/>
  <c r="E25" i="48"/>
  <c r="E26" i="48" s="1"/>
  <c r="F25" i="48"/>
  <c r="F26" i="48" s="1"/>
  <c r="I25" i="48"/>
  <c r="I26" i="48" s="1"/>
  <c r="B25" i="48"/>
  <c r="B26" i="48" s="1"/>
  <c r="G25" i="48"/>
  <c r="G26" i="48" s="1"/>
  <c r="O28" i="16" l="1"/>
  <c r="O27"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T1" authorId="0" shapeId="0" xr:uid="{00000000-0006-0000-0400-000001000000}">
      <text>
        <r>
          <rPr>
            <b/>
            <sz val="9"/>
            <color indexed="81"/>
            <rFont val="Tahoma"/>
            <family val="2"/>
          </rPr>
          <t>Author:</t>
        </r>
        <r>
          <rPr>
            <sz val="9"/>
            <color indexed="81"/>
            <rFont val="Tahoma"/>
            <family val="2"/>
          </rPr>
          <t xml:space="preserve">
L = TOPSLICE,WINZESTOPE, SLOT STOPE
S= SILL, SHRINKAGE STOPE
</t>
        </r>
      </text>
    </comment>
    <comment ref="W1" authorId="0" shapeId="0" xr:uid="{00000000-0006-0000-0400-000002000000}">
      <text>
        <r>
          <rPr>
            <b/>
            <sz val="12"/>
            <color indexed="81"/>
            <rFont val="Tahoma"/>
            <family val="2"/>
          </rPr>
          <t>Author:</t>
        </r>
        <r>
          <rPr>
            <sz val="12"/>
            <color indexed="81"/>
            <rFont val="Tahoma"/>
            <family val="2"/>
          </rPr>
          <t xml:space="preserve">
ayaw KALIMOT!!!</t>
        </r>
        <r>
          <rPr>
            <sz val="9"/>
            <color indexed="81"/>
            <rFont val="Tahoma"/>
            <family val="2"/>
          </rPr>
          <t xml:space="preserve">
CODE:
</t>
        </r>
        <r>
          <rPr>
            <b/>
            <sz val="9"/>
            <color indexed="81"/>
            <rFont val="Tahoma"/>
            <family val="2"/>
          </rPr>
          <t>D-2-</t>
        </r>
        <r>
          <rPr>
            <sz val="9"/>
            <color indexed="81"/>
            <rFont val="Tahoma"/>
            <family val="2"/>
          </rPr>
          <t xml:space="preserve"> DRIFT (Level 2-8)
</t>
        </r>
        <r>
          <rPr>
            <b/>
            <sz val="9"/>
            <color indexed="81"/>
            <rFont val="Tahoma"/>
            <family val="2"/>
          </rPr>
          <t>D-3</t>
        </r>
        <r>
          <rPr>
            <sz val="9"/>
            <color indexed="81"/>
            <rFont val="Tahoma"/>
            <family val="2"/>
          </rPr>
          <t xml:space="preserve">- DRIFT (Level 9-12)
</t>
        </r>
        <r>
          <rPr>
            <b/>
            <sz val="9"/>
            <color indexed="81"/>
            <rFont val="Tahoma"/>
            <family val="2"/>
          </rPr>
          <t>X-2-</t>
        </r>
        <r>
          <rPr>
            <sz val="9"/>
            <color indexed="81"/>
            <rFont val="Tahoma"/>
            <family val="2"/>
          </rPr>
          <t xml:space="preserve">CROSSCUT (Level 2-8)
</t>
        </r>
        <r>
          <rPr>
            <b/>
            <sz val="9"/>
            <color indexed="81"/>
            <rFont val="Tahoma"/>
            <family val="2"/>
          </rPr>
          <t>X-3-</t>
        </r>
        <r>
          <rPr>
            <sz val="9"/>
            <color indexed="81"/>
            <rFont val="Tahoma"/>
            <family val="2"/>
          </rPr>
          <t xml:space="preserve">CROSSCUT (Level 9-12)
</t>
        </r>
        <r>
          <rPr>
            <b/>
            <sz val="9"/>
            <color indexed="81"/>
            <rFont val="Tahoma"/>
            <family val="2"/>
          </rPr>
          <t>ISL</t>
        </r>
        <r>
          <rPr>
            <sz val="9"/>
            <color indexed="81"/>
            <rFont val="Tahoma"/>
            <family val="2"/>
          </rPr>
          <t xml:space="preserve">-INTERMEDIATE SL
</t>
        </r>
        <r>
          <rPr>
            <b/>
            <sz val="9"/>
            <color indexed="81"/>
            <rFont val="Tahoma"/>
            <family val="2"/>
          </rPr>
          <t>NR</t>
        </r>
        <r>
          <rPr>
            <sz val="9"/>
            <color indexed="81"/>
            <rFont val="Tahoma"/>
            <family val="2"/>
          </rPr>
          <t xml:space="preserve">- NORMAL RAISE
</t>
        </r>
        <r>
          <rPr>
            <b/>
            <sz val="9"/>
            <color indexed="81"/>
            <rFont val="Tahoma"/>
            <family val="2"/>
          </rPr>
          <t>INC-</t>
        </r>
        <r>
          <rPr>
            <sz val="9"/>
            <color indexed="81"/>
            <rFont val="Tahoma"/>
            <family val="2"/>
          </rPr>
          <t xml:space="preserve"> INCLINED RAISE
</t>
        </r>
        <r>
          <rPr>
            <b/>
            <sz val="9"/>
            <color indexed="81"/>
            <rFont val="Tahoma"/>
            <family val="2"/>
          </rPr>
          <t>NW</t>
        </r>
        <r>
          <rPr>
            <sz val="9"/>
            <color indexed="81"/>
            <rFont val="Tahoma"/>
            <family val="2"/>
          </rPr>
          <t xml:space="preserve">- NORMAL WINZE
</t>
        </r>
        <r>
          <rPr>
            <b/>
            <sz val="9"/>
            <color indexed="81"/>
            <rFont val="Tahoma"/>
            <family val="2"/>
          </rPr>
          <t>FW-</t>
        </r>
        <r>
          <rPr>
            <sz val="9"/>
            <color indexed="81"/>
            <rFont val="Tahoma"/>
            <family val="2"/>
          </rPr>
          <t xml:space="preserve"> FILLWINZE
</t>
        </r>
        <r>
          <rPr>
            <b/>
            <sz val="9"/>
            <color indexed="81"/>
            <rFont val="Tahoma"/>
            <family val="2"/>
          </rPr>
          <t>PREP-</t>
        </r>
        <r>
          <rPr>
            <sz val="9"/>
            <color indexed="81"/>
            <rFont val="Tahoma"/>
            <family val="2"/>
          </rPr>
          <t xml:space="preserve"> STOPE PREP
</t>
        </r>
        <r>
          <rPr>
            <b/>
            <sz val="9"/>
            <color indexed="81"/>
            <rFont val="Tahoma"/>
            <family val="2"/>
          </rPr>
          <t>WPREP</t>
        </r>
        <r>
          <rPr>
            <sz val="9"/>
            <color indexed="81"/>
            <rFont val="Tahoma"/>
            <family val="2"/>
          </rPr>
          <t xml:space="preserve">-WINZE STOPE PREP
</t>
        </r>
        <r>
          <rPr>
            <b/>
            <sz val="9"/>
            <color indexed="81"/>
            <rFont val="Tahoma"/>
            <family val="2"/>
          </rPr>
          <t>BRK</t>
        </r>
        <r>
          <rPr>
            <sz val="9"/>
            <color indexed="81"/>
            <rFont val="Tahoma"/>
            <family val="2"/>
          </rPr>
          <t xml:space="preserve">- STOPE BREAKING -NORMAL
</t>
        </r>
        <r>
          <rPr>
            <b/>
            <sz val="9"/>
            <color indexed="81"/>
            <rFont val="Tahoma"/>
            <family val="2"/>
          </rPr>
          <t>WBRK</t>
        </r>
        <r>
          <rPr>
            <sz val="9"/>
            <color indexed="81"/>
            <rFont val="Tahoma"/>
            <family val="2"/>
          </rPr>
          <t xml:space="preserve">- WINZE STOPE BREAKING
</t>
        </r>
        <r>
          <rPr>
            <b/>
            <sz val="9"/>
            <color indexed="81"/>
            <rFont val="Tahoma"/>
            <family val="2"/>
          </rPr>
          <t>SBRK-</t>
        </r>
        <r>
          <rPr>
            <sz val="9"/>
            <color indexed="81"/>
            <rFont val="Tahoma"/>
            <family val="2"/>
          </rPr>
          <t xml:space="preserve"> SHORT STOPE BREAKING
</t>
        </r>
        <r>
          <rPr>
            <b/>
            <sz val="9"/>
            <color indexed="81"/>
            <rFont val="Tahoma"/>
            <family val="2"/>
          </rPr>
          <t>PO-</t>
        </r>
        <r>
          <rPr>
            <sz val="9"/>
            <color indexed="81"/>
            <rFont val="Tahoma"/>
            <family val="2"/>
          </rPr>
          <t xml:space="preserve"> PULL OUT STOPE NORMAL
</t>
        </r>
        <r>
          <rPr>
            <b/>
            <sz val="9"/>
            <color indexed="81"/>
            <rFont val="Tahoma"/>
            <family val="2"/>
          </rPr>
          <t>WPO</t>
        </r>
        <r>
          <rPr>
            <sz val="9"/>
            <color indexed="81"/>
            <rFont val="Tahoma"/>
            <family val="2"/>
          </rPr>
          <t xml:space="preserve">- WINZE STOPE PULL OUT
</t>
        </r>
        <r>
          <rPr>
            <b/>
            <sz val="9"/>
            <color indexed="81"/>
            <rFont val="Tahoma"/>
            <family val="2"/>
          </rPr>
          <t>SILL-</t>
        </r>
        <r>
          <rPr>
            <sz val="9"/>
            <color indexed="81"/>
            <rFont val="Tahoma"/>
            <family val="2"/>
          </rPr>
          <t xml:space="preserve"> SILL PILLAR ROBBING
</t>
        </r>
        <r>
          <rPr>
            <b/>
            <sz val="9"/>
            <color indexed="81"/>
            <rFont val="Tahoma"/>
            <family val="2"/>
          </rPr>
          <t>TOP</t>
        </r>
        <r>
          <rPr>
            <sz val="9"/>
            <color indexed="81"/>
            <rFont val="Tahoma"/>
            <family val="2"/>
          </rPr>
          <t xml:space="preserve">- CROWN PILLAR ROBBING
</t>
        </r>
        <r>
          <rPr>
            <b/>
            <sz val="9"/>
            <color indexed="81"/>
            <rFont val="Tahoma"/>
            <family val="2"/>
          </rPr>
          <t>SP</t>
        </r>
        <r>
          <rPr>
            <sz val="9"/>
            <color indexed="81"/>
            <rFont val="Tahoma"/>
            <family val="2"/>
          </rPr>
          <t xml:space="preserve">- SPECIAL PROJECT
</t>
        </r>
      </text>
    </comment>
    <comment ref="X1" authorId="0" shapeId="0" xr:uid="{00000000-0006-0000-0400-000003000000}">
      <text>
        <r>
          <rPr>
            <b/>
            <sz val="9"/>
            <color indexed="81"/>
            <rFont val="Tahoma"/>
            <family val="2"/>
          </rPr>
          <t>Author:</t>
        </r>
        <r>
          <rPr>
            <sz val="9"/>
            <color indexed="81"/>
            <rFont val="Tahoma"/>
            <family val="2"/>
          </rPr>
          <t xml:space="preserve">
Author:
ayaw KALIMOT!!!
CODE:
</t>
        </r>
        <r>
          <rPr>
            <b/>
            <sz val="9"/>
            <color indexed="81"/>
            <rFont val="Tahoma"/>
            <family val="2"/>
          </rPr>
          <t>D-2-</t>
        </r>
        <r>
          <rPr>
            <sz val="9"/>
            <color indexed="81"/>
            <rFont val="Tahoma"/>
            <family val="2"/>
          </rPr>
          <t xml:space="preserve"> DRIFT (Level 2-8)
</t>
        </r>
        <r>
          <rPr>
            <b/>
            <sz val="9"/>
            <color indexed="81"/>
            <rFont val="Tahoma"/>
            <family val="2"/>
          </rPr>
          <t xml:space="preserve">D-3- </t>
        </r>
        <r>
          <rPr>
            <sz val="9"/>
            <color indexed="81"/>
            <rFont val="Tahoma"/>
            <family val="2"/>
          </rPr>
          <t xml:space="preserve">DRIFT (Level 9-12)
</t>
        </r>
        <r>
          <rPr>
            <b/>
            <sz val="9"/>
            <color indexed="81"/>
            <rFont val="Tahoma"/>
            <family val="2"/>
          </rPr>
          <t>X-2-</t>
        </r>
        <r>
          <rPr>
            <sz val="9"/>
            <color indexed="81"/>
            <rFont val="Tahoma"/>
            <family val="2"/>
          </rPr>
          <t xml:space="preserve">CROSSCUT (Level 2-8)
</t>
        </r>
        <r>
          <rPr>
            <b/>
            <sz val="9"/>
            <color indexed="81"/>
            <rFont val="Tahoma"/>
            <family val="2"/>
          </rPr>
          <t>X-3-</t>
        </r>
        <r>
          <rPr>
            <sz val="9"/>
            <color indexed="81"/>
            <rFont val="Tahoma"/>
            <family val="2"/>
          </rPr>
          <t xml:space="preserve">CROSSCUT (Level 9-12)
</t>
        </r>
        <r>
          <rPr>
            <b/>
            <sz val="9"/>
            <color indexed="81"/>
            <rFont val="Tahoma"/>
            <family val="2"/>
          </rPr>
          <t>ISL</t>
        </r>
        <r>
          <rPr>
            <sz val="9"/>
            <color indexed="81"/>
            <rFont val="Tahoma"/>
            <family val="2"/>
          </rPr>
          <t xml:space="preserve">-INTERMEDIATE SL
</t>
        </r>
        <r>
          <rPr>
            <b/>
            <sz val="9"/>
            <color indexed="81"/>
            <rFont val="Tahoma"/>
            <family val="2"/>
          </rPr>
          <t xml:space="preserve">NR- </t>
        </r>
        <r>
          <rPr>
            <sz val="9"/>
            <color indexed="81"/>
            <rFont val="Tahoma"/>
            <family val="2"/>
          </rPr>
          <t xml:space="preserve">NORMAL RAISE
</t>
        </r>
        <r>
          <rPr>
            <b/>
            <sz val="9"/>
            <color indexed="81"/>
            <rFont val="Tahoma"/>
            <family val="2"/>
          </rPr>
          <t xml:space="preserve">NW- </t>
        </r>
        <r>
          <rPr>
            <sz val="9"/>
            <color indexed="81"/>
            <rFont val="Tahoma"/>
            <family val="2"/>
          </rPr>
          <t xml:space="preserve">NORMAL WINZE
</t>
        </r>
        <r>
          <rPr>
            <b/>
            <sz val="9"/>
            <color indexed="81"/>
            <rFont val="Tahoma"/>
            <family val="2"/>
          </rPr>
          <t>FW-</t>
        </r>
        <r>
          <rPr>
            <sz val="9"/>
            <color indexed="81"/>
            <rFont val="Tahoma"/>
            <family val="2"/>
          </rPr>
          <t xml:space="preserve"> FILLWINZE
</t>
        </r>
        <r>
          <rPr>
            <b/>
            <sz val="9"/>
            <color indexed="81"/>
            <rFont val="Tahoma"/>
            <family val="2"/>
          </rPr>
          <t>PREP-</t>
        </r>
        <r>
          <rPr>
            <sz val="9"/>
            <color indexed="81"/>
            <rFont val="Tahoma"/>
            <family val="2"/>
          </rPr>
          <t xml:space="preserve"> STOPE PREP
</t>
        </r>
        <r>
          <rPr>
            <b/>
            <sz val="9"/>
            <color indexed="81"/>
            <rFont val="Tahoma"/>
            <family val="2"/>
          </rPr>
          <t>WPREP-</t>
        </r>
        <r>
          <rPr>
            <sz val="9"/>
            <color indexed="81"/>
            <rFont val="Tahoma"/>
            <family val="2"/>
          </rPr>
          <t xml:space="preserve">WINZE STOPE PREP
</t>
        </r>
        <r>
          <rPr>
            <b/>
            <sz val="9"/>
            <color indexed="81"/>
            <rFont val="Tahoma"/>
            <family val="2"/>
          </rPr>
          <t>BRK-</t>
        </r>
        <r>
          <rPr>
            <sz val="9"/>
            <color indexed="81"/>
            <rFont val="Tahoma"/>
            <family val="2"/>
          </rPr>
          <t xml:space="preserve"> STOPE BREAKING -NORMAL
</t>
        </r>
        <r>
          <rPr>
            <b/>
            <sz val="9"/>
            <color indexed="81"/>
            <rFont val="Tahoma"/>
            <family val="2"/>
          </rPr>
          <t xml:space="preserve">WBRK- </t>
        </r>
        <r>
          <rPr>
            <sz val="9"/>
            <color indexed="81"/>
            <rFont val="Tahoma"/>
            <family val="2"/>
          </rPr>
          <t xml:space="preserve">WINZE STOPE BREAKING
</t>
        </r>
        <r>
          <rPr>
            <b/>
            <sz val="9"/>
            <color indexed="81"/>
            <rFont val="Tahoma"/>
            <family val="2"/>
          </rPr>
          <t xml:space="preserve">SBRK- </t>
        </r>
        <r>
          <rPr>
            <sz val="9"/>
            <color indexed="81"/>
            <rFont val="Tahoma"/>
            <family val="2"/>
          </rPr>
          <t xml:space="preserve">SHORT STOPE BREAKING
</t>
        </r>
        <r>
          <rPr>
            <b/>
            <sz val="9"/>
            <color indexed="81"/>
            <rFont val="Tahoma"/>
            <family val="2"/>
          </rPr>
          <t>PO-</t>
        </r>
        <r>
          <rPr>
            <sz val="9"/>
            <color indexed="81"/>
            <rFont val="Tahoma"/>
            <family val="2"/>
          </rPr>
          <t xml:space="preserve"> PULL OUT STOPE NORMAL
</t>
        </r>
        <r>
          <rPr>
            <b/>
            <sz val="9"/>
            <color indexed="81"/>
            <rFont val="Tahoma"/>
            <family val="2"/>
          </rPr>
          <t>WPO</t>
        </r>
        <r>
          <rPr>
            <sz val="9"/>
            <color indexed="81"/>
            <rFont val="Tahoma"/>
            <family val="2"/>
          </rPr>
          <t xml:space="preserve">- WINZE STOPE PULL OUT
</t>
        </r>
        <r>
          <rPr>
            <b/>
            <sz val="9"/>
            <color indexed="81"/>
            <rFont val="Tahoma"/>
            <family val="2"/>
          </rPr>
          <t>SILL</t>
        </r>
        <r>
          <rPr>
            <sz val="9"/>
            <color indexed="81"/>
            <rFont val="Tahoma"/>
            <family val="2"/>
          </rPr>
          <t xml:space="preserve">- SILL PILLAR ROBBING
</t>
        </r>
        <r>
          <rPr>
            <b/>
            <sz val="9"/>
            <color indexed="81"/>
            <rFont val="Tahoma"/>
            <family val="2"/>
          </rPr>
          <t>TOP-</t>
        </r>
        <r>
          <rPr>
            <sz val="9"/>
            <color indexed="81"/>
            <rFont val="Tahoma"/>
            <family val="2"/>
          </rPr>
          <t xml:space="preserve"> CROWN PILLAR ROBBING
</t>
        </r>
        <r>
          <rPr>
            <b/>
            <sz val="9"/>
            <color indexed="81"/>
            <rFont val="Tahoma"/>
            <family val="2"/>
          </rPr>
          <t xml:space="preserve">SP- </t>
        </r>
        <r>
          <rPr>
            <sz val="9"/>
            <color indexed="81"/>
            <rFont val="Tahoma"/>
            <family val="2"/>
          </rPr>
          <t xml:space="preserve">SPECIAL PROJECT
</t>
        </r>
      </text>
    </comment>
    <comment ref="W1712" authorId="0" shapeId="0" xr:uid="{00000000-0006-0000-0400-000004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SPECIAL PROJECT WINZE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00000000-0006-0000-0500-000001000000}">
      <text>
        <r>
          <rPr>
            <b/>
            <sz val="9"/>
            <color indexed="81"/>
            <rFont val="Tahoma"/>
            <family val="2"/>
          </rPr>
          <t>Author:</t>
        </r>
        <r>
          <rPr>
            <sz val="9"/>
            <color indexed="81"/>
            <rFont val="Tahoma"/>
            <family val="2"/>
          </rPr>
          <t xml:space="preserve">
NEW STOPE PREP</t>
        </r>
      </text>
    </comment>
    <comment ref="F1" authorId="0" shapeId="0" xr:uid="{00000000-0006-0000-0500-000002000000}">
      <text>
        <r>
          <rPr>
            <b/>
            <sz val="9"/>
            <color indexed="81"/>
            <rFont val="Tahoma"/>
            <family val="2"/>
          </rPr>
          <t>Author:</t>
        </r>
        <r>
          <rPr>
            <sz val="9"/>
            <color indexed="81"/>
            <rFont val="Tahoma"/>
            <family val="2"/>
          </rPr>
          <t xml:space="preserve">
RAISE</t>
        </r>
      </text>
    </comment>
    <comment ref="G1" authorId="0" shapeId="0" xr:uid="{00000000-0006-0000-0500-000003000000}">
      <text>
        <r>
          <rPr>
            <b/>
            <sz val="9"/>
            <color indexed="81"/>
            <rFont val="Tahoma"/>
            <family val="2"/>
          </rPr>
          <t>Author:</t>
        </r>
        <r>
          <rPr>
            <sz val="9"/>
            <color indexed="81"/>
            <rFont val="Tahoma"/>
            <family val="2"/>
          </rPr>
          <t xml:space="preserve">
WINZE</t>
        </r>
      </text>
    </comment>
    <comment ref="H1" authorId="0" shapeId="0" xr:uid="{00000000-0006-0000-0500-000004000000}">
      <text>
        <r>
          <rPr>
            <b/>
            <sz val="9"/>
            <color indexed="81"/>
            <rFont val="Tahoma"/>
            <family val="2"/>
          </rPr>
          <t>Author:</t>
        </r>
        <r>
          <rPr>
            <sz val="9"/>
            <color indexed="81"/>
            <rFont val="Tahoma"/>
            <family val="2"/>
          </rPr>
          <t xml:space="preserve">
TURN OUT DE,DW,XCN,XCS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R5" authorId="0" shapeId="0" xr:uid="{00000000-0006-0000-0700-000001000000}">
      <text>
        <r>
          <rPr>
            <b/>
            <sz val="9"/>
            <color indexed="81"/>
            <rFont val="Tahoma"/>
            <family val="2"/>
          </rPr>
          <t>Author:</t>
        </r>
        <r>
          <rPr>
            <sz val="9"/>
            <color indexed="81"/>
            <rFont val="Tahoma"/>
            <family val="2"/>
          </rPr>
          <t xml:space="preserve">
OP - 150MC</t>
        </r>
      </text>
    </comment>
    <comment ref="R12" authorId="0" shapeId="0" xr:uid="{00000000-0006-0000-0700-000002000000}">
      <text>
        <r>
          <rPr>
            <b/>
            <sz val="9"/>
            <color indexed="81"/>
            <rFont val="Tahoma"/>
            <family val="2"/>
          </rPr>
          <t>Author:</t>
        </r>
        <r>
          <rPr>
            <sz val="9"/>
            <color indexed="81"/>
            <rFont val="Tahoma"/>
            <family val="2"/>
          </rPr>
          <t xml:space="preserve">
43E SHAFT - 250MC
DSP26 - 400MC</t>
        </r>
      </text>
    </comment>
    <comment ref="R13" authorId="0" shapeId="0" xr:uid="{00000000-0006-0000-0700-000003000000}">
      <text>
        <r>
          <rPr>
            <b/>
            <sz val="9"/>
            <color indexed="81"/>
            <rFont val="Tahoma"/>
            <family val="2"/>
          </rPr>
          <t>Author:</t>
        </r>
        <r>
          <rPr>
            <sz val="9"/>
            <color indexed="81"/>
            <rFont val="Tahoma"/>
            <family val="2"/>
          </rPr>
          <t xml:space="preserve">
43E SHAFT - 150MC
DSP29 - 700MC</t>
        </r>
      </text>
    </comment>
    <comment ref="C54" authorId="0" shapeId="0" xr:uid="{00000000-0006-0000-0700-000004000000}">
      <text>
        <r>
          <rPr>
            <b/>
            <sz val="9"/>
            <color indexed="81"/>
            <rFont val="Tahoma"/>
            <family val="2"/>
          </rPr>
          <t>Author:</t>
        </r>
        <r>
          <rPr>
            <sz val="9"/>
            <color indexed="81"/>
            <rFont val="Tahoma"/>
            <family val="2"/>
          </rPr>
          <t xml:space="preserve">
W/ ROBBING DATA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17" authorId="0" shapeId="0" xr:uid="{00000000-0006-0000-0800-000001000000}">
      <text>
        <r>
          <rPr>
            <b/>
            <sz val="9"/>
            <color indexed="81"/>
            <rFont val="Tahoma"/>
            <family val="2"/>
          </rPr>
          <t>Author:</t>
        </r>
        <r>
          <rPr>
            <sz val="9"/>
            <color indexed="81"/>
            <rFont val="Tahoma"/>
            <family val="2"/>
          </rPr>
          <t xml:space="preserve">
WINZE STOPE BREAKING</t>
        </r>
      </text>
    </comment>
    <comment ref="R17" authorId="0" shapeId="0" xr:uid="{00000000-0006-0000-0800-000002000000}">
      <text>
        <r>
          <rPr>
            <b/>
            <sz val="9"/>
            <color indexed="81"/>
            <rFont val="Tahoma"/>
            <family val="2"/>
          </rPr>
          <t>Author:</t>
        </r>
        <r>
          <rPr>
            <sz val="9"/>
            <color indexed="81"/>
            <rFont val="Tahoma"/>
            <family val="2"/>
          </rPr>
          <t xml:space="preserve">
WINZE STOPE PULL OUT
</t>
        </r>
      </text>
    </comment>
    <comment ref="S17" authorId="0" shapeId="0" xr:uid="{00000000-0006-0000-0800-000003000000}">
      <text>
        <r>
          <rPr>
            <b/>
            <sz val="9"/>
            <color indexed="81"/>
            <rFont val="Tahoma"/>
            <family val="2"/>
          </rPr>
          <t>Author:</t>
        </r>
        <r>
          <rPr>
            <sz val="9"/>
            <color indexed="81"/>
            <rFont val="Tahoma"/>
            <family val="2"/>
          </rPr>
          <t xml:space="preserve">
INTERMEDIATE SUBLEVEL</t>
        </r>
      </text>
    </comment>
    <comment ref="T17" authorId="0" shapeId="0" xr:uid="{00000000-0006-0000-0800-000004000000}">
      <text>
        <r>
          <rPr>
            <b/>
            <sz val="9"/>
            <color indexed="81"/>
            <rFont val="Tahoma"/>
            <family val="2"/>
          </rPr>
          <t>Author:</t>
        </r>
        <r>
          <rPr>
            <sz val="9"/>
            <color indexed="81"/>
            <rFont val="Tahoma"/>
            <family val="2"/>
          </rPr>
          <t xml:space="preserve">
INCLINED RAISE
</t>
        </r>
      </text>
    </comment>
    <comment ref="X17" authorId="0" shapeId="0" xr:uid="{00000000-0006-0000-0800-000005000000}">
      <text>
        <r>
          <rPr>
            <b/>
            <sz val="9"/>
            <color indexed="81"/>
            <rFont val="Tahoma"/>
            <family val="2"/>
          </rPr>
          <t>Author:</t>
        </r>
        <r>
          <rPr>
            <sz val="9"/>
            <color indexed="81"/>
            <rFont val="Tahoma"/>
            <family val="2"/>
          </rPr>
          <t xml:space="preserve">
TOPSLICE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0A00-000001000000}">
      <text>
        <r>
          <rPr>
            <b/>
            <sz val="9"/>
            <color indexed="81"/>
            <rFont val="Tahoma"/>
            <family val="2"/>
          </rPr>
          <t>stopped</t>
        </r>
      </text>
    </comment>
    <comment ref="A4" authorId="0" shapeId="0" xr:uid="{00000000-0006-0000-0A00-000002000000}">
      <text>
        <r>
          <rPr>
            <b/>
            <sz val="9"/>
            <color indexed="81"/>
            <rFont val="Tahoma"/>
            <family val="2"/>
          </rPr>
          <t>temporary stopped</t>
        </r>
      </text>
    </comment>
  </commentList>
</comments>
</file>

<file path=xl/sharedStrings.xml><?xml version="1.0" encoding="utf-8"?>
<sst xmlns="http://schemas.openxmlformats.org/spreadsheetml/2006/main" count="55756" uniqueCount="15425">
  <si>
    <t>STOPES</t>
  </si>
  <si>
    <t>PULL OUT</t>
  </si>
  <si>
    <t>CABONITA</t>
  </si>
  <si>
    <t>SUBTOTAL</t>
  </si>
  <si>
    <t>MONTEBON</t>
  </si>
  <si>
    <t>BELICAN</t>
  </si>
  <si>
    <t>LEVEL 4</t>
  </si>
  <si>
    <t>PARAGUYA</t>
  </si>
  <si>
    <t>LEVEL 5</t>
  </si>
  <si>
    <t>BIHAY</t>
  </si>
  <si>
    <t>LEVEL 6</t>
  </si>
  <si>
    <t>QUIJANO</t>
  </si>
  <si>
    <t>LEVEL 7</t>
  </si>
  <si>
    <t>LEVEL 8</t>
  </si>
  <si>
    <t>TOTAL</t>
  </si>
  <si>
    <t>REMARKS</t>
  </si>
  <si>
    <t>HORIZONTAL/VERTICAL</t>
  </si>
  <si>
    <t>TAÑEZA</t>
  </si>
  <si>
    <t>DRIFT</t>
  </si>
  <si>
    <t>RAISE</t>
  </si>
  <si>
    <t>WINZE</t>
  </si>
  <si>
    <t>CROSSCUT</t>
  </si>
  <si>
    <t>SPECIAL PROJECT</t>
  </si>
  <si>
    <t>BREAKING</t>
  </si>
  <si>
    <t xml:space="preserve"> MINE CAR QUOTA BASED ON WORK PLACES</t>
  </si>
  <si>
    <t>% S.C. FACTOR</t>
  </si>
  <si>
    <t>STOPE ORE</t>
  </si>
  <si>
    <t>DEV'T ORE</t>
  </si>
  <si>
    <t>WASTE</t>
  </si>
  <si>
    <t>SHAFT CAP</t>
  </si>
  <si>
    <t>AS REQUIRED</t>
  </si>
  <si>
    <t>STOPE ORE RATIO</t>
  </si>
  <si>
    <t>AVERAGE DEVELOPMENT METERAGE PER WORK PLACE</t>
  </si>
  <si>
    <t xml:space="preserve"> MINE CAR QUOTA BASED ON SHAFT CAPACITY (YELLOW BAR TARGET ON PRODUCTION PRESENTATION)</t>
  </si>
  <si>
    <t>DMT QUOTA BASED ON SHAFT CAPACITY (YELLOW BAR TARGET ON PRODUCTION PRESENTATION)</t>
  </si>
  <si>
    <t>DEVELOPMENT METERAGE QUOTA BASED ON SHAFT CAPACITY (YELLOW BAR TARGET ON PRODUCTION PRESENTATION)</t>
  </si>
  <si>
    <t>STOPE</t>
  </si>
  <si>
    <t>XCN</t>
  </si>
  <si>
    <t>GHV</t>
  </si>
  <si>
    <t>JVHW</t>
  </si>
  <si>
    <t xml:space="preserve">  </t>
  </si>
  <si>
    <t>CTV</t>
  </si>
  <si>
    <t>JV</t>
  </si>
  <si>
    <t>GHVSPLIT</t>
  </si>
  <si>
    <t>CV</t>
  </si>
  <si>
    <t>DPVE</t>
  </si>
  <si>
    <t>DPVE2</t>
  </si>
  <si>
    <t xml:space="preserve"> </t>
  </si>
  <si>
    <t>L</t>
  </si>
  <si>
    <t>PULLOUT MATCH</t>
  </si>
  <si>
    <t>DRIFT MATCH</t>
  </si>
  <si>
    <t>RAISE MATCH</t>
  </si>
  <si>
    <t>WINZE MATCH</t>
  </si>
  <si>
    <t>XCUT MATCH</t>
  </si>
  <si>
    <t>SP MATCH</t>
  </si>
  <si>
    <t>JVFW</t>
  </si>
  <si>
    <t>GHVFW</t>
  </si>
  <si>
    <t>JVSPLIT</t>
  </si>
  <si>
    <t>EDV</t>
  </si>
  <si>
    <t>GHVHW</t>
  </si>
  <si>
    <t>DE</t>
  </si>
  <si>
    <t>DW</t>
  </si>
  <si>
    <t>ROBBING</t>
  </si>
  <si>
    <t>XCS</t>
  </si>
  <si>
    <t>CHECK NON</t>
  </si>
  <si>
    <t>LEVEL 9</t>
  </si>
  <si>
    <t>CONTRACTOR 2</t>
  </si>
  <si>
    <t>MINE CODE</t>
  </si>
  <si>
    <t>S</t>
  </si>
  <si>
    <t>.S OR L</t>
  </si>
  <si>
    <t>SUMP</t>
  </si>
  <si>
    <t>SHAFT</t>
  </si>
  <si>
    <t>CHAMBER</t>
  </si>
  <si>
    <t>PROJECT</t>
  </si>
  <si>
    <t>INFRA</t>
  </si>
  <si>
    <t>BABOR</t>
  </si>
  <si>
    <t>WORKING PLACES COUNT</t>
  </si>
  <si>
    <t>PINO, POLICARPIO</t>
  </si>
  <si>
    <t>ROXAS, ELSAR</t>
  </si>
  <si>
    <t>AGUSILA, RICHARD</t>
  </si>
  <si>
    <t>AGLOLO, MIGUEL</t>
  </si>
  <si>
    <t>BENONGUIL, ALBERTO</t>
  </si>
  <si>
    <t>BORERO, ARMAN</t>
  </si>
  <si>
    <t>CAPPUYO, EFREN</t>
  </si>
  <si>
    <t>DAVOCOL, ROSELIO</t>
  </si>
  <si>
    <t>QUIJANO, ANGELITO</t>
  </si>
  <si>
    <t>TAÑEZA SR., FRUCTOSO</t>
  </si>
  <si>
    <t>NONE</t>
  </si>
  <si>
    <t>PULL_OUT</t>
  </si>
  <si>
    <t>DEVELOPMENT_(HORIZONTAL/VERTICAL)</t>
  </si>
  <si>
    <t>L02</t>
  </si>
  <si>
    <t>L04</t>
  </si>
  <si>
    <t>L05</t>
  </si>
  <si>
    <t>L06</t>
  </si>
  <si>
    <t>L07</t>
  </si>
  <si>
    <t>L08</t>
  </si>
  <si>
    <t>L09</t>
  </si>
  <si>
    <t>012W</t>
  </si>
  <si>
    <t>014W</t>
  </si>
  <si>
    <t>028W</t>
  </si>
  <si>
    <t>020W</t>
  </si>
  <si>
    <t>023W</t>
  </si>
  <si>
    <t>034W</t>
  </si>
  <si>
    <t>005E</t>
  </si>
  <si>
    <t>029W</t>
  </si>
  <si>
    <t>055W</t>
  </si>
  <si>
    <t>033W</t>
  </si>
  <si>
    <t>032W</t>
  </si>
  <si>
    <t>007W</t>
  </si>
  <si>
    <t>002W</t>
  </si>
  <si>
    <t>004E</t>
  </si>
  <si>
    <t>004W</t>
  </si>
  <si>
    <t>018E</t>
  </si>
  <si>
    <t>001W</t>
  </si>
  <si>
    <t>025W</t>
  </si>
  <si>
    <t>019W</t>
  </si>
  <si>
    <t>021W</t>
  </si>
  <si>
    <t>006W</t>
  </si>
  <si>
    <t>014E</t>
  </si>
  <si>
    <t>012E</t>
  </si>
  <si>
    <t>015E</t>
  </si>
  <si>
    <t>022E</t>
  </si>
  <si>
    <t>025E</t>
  </si>
  <si>
    <t>031E</t>
  </si>
  <si>
    <t>L04_CTV5_016E_STOPE</t>
  </si>
  <si>
    <t>L04_JV_047W_STOPE</t>
  </si>
  <si>
    <t>L04_NONE_029W_XCN</t>
  </si>
  <si>
    <t>L04_NONE_042W_XCN</t>
  </si>
  <si>
    <t>027E</t>
  </si>
  <si>
    <t>010E</t>
  </si>
  <si>
    <t>036E</t>
  </si>
  <si>
    <t>011E</t>
  </si>
  <si>
    <t>033E</t>
  </si>
  <si>
    <t>037E</t>
  </si>
  <si>
    <t>016W</t>
  </si>
  <si>
    <t>034E</t>
  </si>
  <si>
    <t>L05_GHVSPLIT_033W_DE</t>
  </si>
  <si>
    <t>L05_CV_021W_DW</t>
  </si>
  <si>
    <t>L05_GHVSPLIT_030W_RAISE</t>
  </si>
  <si>
    <t>L05_JVFW_012W_RAISE</t>
  </si>
  <si>
    <t>005W</t>
  </si>
  <si>
    <t>029E</t>
  </si>
  <si>
    <t>038E</t>
  </si>
  <si>
    <t>032E</t>
  </si>
  <si>
    <t>043E</t>
  </si>
  <si>
    <t>009E</t>
  </si>
  <si>
    <t>030E</t>
  </si>
  <si>
    <t>024E</t>
  </si>
  <si>
    <t>039E</t>
  </si>
  <si>
    <t>021E</t>
  </si>
  <si>
    <t>L06_GHVFW_029W_DE</t>
  </si>
  <si>
    <t>L06_CV_003W_RAISE</t>
  </si>
  <si>
    <t>L06_CV_006W_RAISE</t>
  </si>
  <si>
    <t>L06_CV_007W_RAISE</t>
  </si>
  <si>
    <t>L06_JV_002W_RAISE</t>
  </si>
  <si>
    <t>L06_JVFW_003E_RAISE</t>
  </si>
  <si>
    <t>L06_CV_001W_STOPE</t>
  </si>
  <si>
    <t>L06_DPVE_024E_STOPE</t>
  </si>
  <si>
    <t>L06_JVFW_037E_STOPE</t>
  </si>
  <si>
    <t>023E</t>
  </si>
  <si>
    <t>042E</t>
  </si>
  <si>
    <t>044E</t>
  </si>
  <si>
    <t>008E</t>
  </si>
  <si>
    <t>L07_JVFW_037E_RAISE</t>
  </si>
  <si>
    <t>064E</t>
  </si>
  <si>
    <t>056E</t>
  </si>
  <si>
    <t>068E</t>
  </si>
  <si>
    <t>058E</t>
  </si>
  <si>
    <t>047E</t>
  </si>
  <si>
    <t>065E</t>
  </si>
  <si>
    <t>071E</t>
  </si>
  <si>
    <t>015W</t>
  </si>
  <si>
    <t>045E</t>
  </si>
  <si>
    <t>049E</t>
  </si>
  <si>
    <t>052E</t>
  </si>
  <si>
    <t>060E</t>
  </si>
  <si>
    <t>057E</t>
  </si>
  <si>
    <t>054E</t>
  </si>
  <si>
    <t>048E</t>
  </si>
  <si>
    <t>050E</t>
  </si>
  <si>
    <t>041E</t>
  </si>
  <si>
    <t>L08_DPVE_068E_RAISE</t>
  </si>
  <si>
    <t>L08_DPVE_071E_RAISE</t>
  </si>
  <si>
    <t>L08_GHV_052E_RAISE</t>
  </si>
  <si>
    <t>L08_GHV_055E_RAISE</t>
  </si>
  <si>
    <t>L08_JV_035E_RAISE</t>
  </si>
  <si>
    <t>L08_GHV_048E_STOPE</t>
  </si>
  <si>
    <t>L08_NONE_064E_XCN</t>
  </si>
  <si>
    <t>L09_GHV_004W_DE</t>
  </si>
  <si>
    <t>L09_NONE_030E_XCW</t>
  </si>
  <si>
    <t>L08_GHV_048E_RAISE</t>
  </si>
  <si>
    <t>L07_GHV_023E_RAISE</t>
  </si>
  <si>
    <t>L06_CTV_024E_STOPE</t>
  </si>
  <si>
    <t>L04_JV_049W_RAISE</t>
  </si>
  <si>
    <t>L09_GHV_004W_STOPE</t>
  </si>
  <si>
    <t>008W</t>
  </si>
  <si>
    <t>L06_CV_006W_STOPE</t>
  </si>
  <si>
    <t>070E</t>
  </si>
  <si>
    <t>069E</t>
  </si>
  <si>
    <t>L09_NONE_031E_XCE</t>
  </si>
  <si>
    <t>L08_GHV_037E_STOPE</t>
  </si>
  <si>
    <t>067E</t>
  </si>
  <si>
    <t>L07_JVFW_043E_DE</t>
  </si>
  <si>
    <t>L04_GHV_041W_RAISE</t>
  </si>
  <si>
    <t>L07_DPVE_029E_STOPE</t>
  </si>
  <si>
    <t>066E</t>
  </si>
  <si>
    <t>L08_GHV_023E_WINZE</t>
  </si>
  <si>
    <t>L08_GHV_060E_WINZE</t>
  </si>
  <si>
    <t>L06_GHVFW_030W_STOPE</t>
  </si>
  <si>
    <t>L09_NONE_035E_XCS</t>
  </si>
  <si>
    <t>L06_JV_001W_RAISE</t>
  </si>
  <si>
    <t>STOPE PREP</t>
  </si>
  <si>
    <t>L05_GHV_010W_ROBBING</t>
  </si>
  <si>
    <t>L08_GHV_005E_STOPE</t>
  </si>
  <si>
    <t>DULNUAN SR., ROGELIO</t>
  </si>
  <si>
    <t>L08_GHV_003E_ROBBING</t>
  </si>
  <si>
    <t>BREAKING MATCH</t>
  </si>
  <si>
    <t>L04_GHV_045W_WINZE</t>
  </si>
  <si>
    <t>062E</t>
  </si>
  <si>
    <t>L05_CV_003W_WINZE</t>
  </si>
  <si>
    <t>L07_DPVE_043E_RAISE</t>
  </si>
  <si>
    <t>WINZE STOPE</t>
  </si>
  <si>
    <t>L06_CV_005E_DE</t>
  </si>
  <si>
    <t>L04_CTV5_014E_RAISE</t>
  </si>
  <si>
    <t>L05_CV_006W_RAISE</t>
  </si>
  <si>
    <t>L09_NONE_023E_SUMP</t>
  </si>
  <si>
    <t>074E</t>
  </si>
  <si>
    <t>L05_CV_004W_STOPE PREP</t>
  </si>
  <si>
    <t>FERNANDEZ, REX</t>
  </si>
  <si>
    <t>L06_CV_002E_STOPE PREP</t>
  </si>
  <si>
    <t>L04_JV_040W_WINZE</t>
  </si>
  <si>
    <t>L09_NONE_029E_XCS</t>
  </si>
  <si>
    <t>PRIORITY DRIFT</t>
  </si>
  <si>
    <t>PRIORITY RAISE</t>
  </si>
  <si>
    <t>PRIORITY WINZE</t>
  </si>
  <si>
    <t>PRIORITY XC</t>
  </si>
  <si>
    <t>TOP</t>
  </si>
  <si>
    <t>QUOTA PER PRIORITY - DRIFT</t>
  </si>
  <si>
    <t>P2,P3</t>
  </si>
  <si>
    <t>L09_NONE_012E_CHAMBER</t>
  </si>
  <si>
    <t>L09_NONE_027E_CHAMBER</t>
  </si>
  <si>
    <t>L05_CV_004W_STOPE</t>
  </si>
  <si>
    <t>L08_NONE_043E_SHAFT</t>
  </si>
  <si>
    <t>L08_DPVE_067E_DW</t>
  </si>
  <si>
    <t>L05_CTV3_051W_STOPE</t>
  </si>
  <si>
    <t>L09_NONE_042E_CHAMBER</t>
  </si>
  <si>
    <t>L08_NONE_048E_SHAFT</t>
  </si>
  <si>
    <t>080E</t>
  </si>
  <si>
    <t>L06_CV_002E_STOPE</t>
  </si>
  <si>
    <t>L08_DPVE_077E_RAISE</t>
  </si>
  <si>
    <t>STOPE BREAKING</t>
  </si>
  <si>
    <t>STOPE PULL-OUT</t>
  </si>
  <si>
    <t>L08_JVFW_055E_RAISE</t>
  </si>
  <si>
    <t>L08_NONE_047E_XCN</t>
  </si>
  <si>
    <t>L07_JV_052E_DE</t>
  </si>
  <si>
    <t>L06_GHV_041W_RAISE</t>
  </si>
  <si>
    <t>L08_GHV_005E_STOPE PREP</t>
  </si>
  <si>
    <t>LEVEL 10</t>
  </si>
  <si>
    <t>L10</t>
  </si>
  <si>
    <t>L06_CV_004E_DW</t>
  </si>
  <si>
    <t>L08_JVFW_063E_STOPE PREP</t>
  </si>
  <si>
    <t>L05_JVFW_012W_STOPE PREP</t>
  </si>
  <si>
    <t>L07_JV_050E_DW</t>
  </si>
  <si>
    <t>L05_JVFW_012W_STOPE</t>
  </si>
  <si>
    <t>L07_DPVE_043E_DW</t>
  </si>
  <si>
    <t>L06_CTV_037E_RAISE</t>
  </si>
  <si>
    <t>L08_JVFW_063E_STOPE</t>
  </si>
  <si>
    <t>L04_JV_012W_ROBBING</t>
  </si>
  <si>
    <t>L07_JV_050E_RAISE</t>
  </si>
  <si>
    <t>L08_NONE_035E_SHAFT</t>
  </si>
  <si>
    <t>L07_JVHW_053E_DE</t>
  </si>
  <si>
    <t>L07_DPVE_044E_DW</t>
  </si>
  <si>
    <t>MAPAYO, NOEL</t>
  </si>
  <si>
    <t>L09_DPVE_066E_WINZE</t>
  </si>
  <si>
    <t>PMC MINERS 2</t>
  </si>
  <si>
    <t>L06_JV_048E_RAISE</t>
  </si>
  <si>
    <t>L06_CTV_015E_WINZE</t>
  </si>
  <si>
    <t>L09_DPVE_036E_DW</t>
  </si>
  <si>
    <t>L07_GHVHW_057E_RAISE</t>
  </si>
  <si>
    <t>L06_JVFW_014W_DW</t>
  </si>
  <si>
    <t>s</t>
  </si>
  <si>
    <t>L09_NONE_016E_XCN</t>
  </si>
  <si>
    <t>L09_DPVE_036E_RAISE</t>
  </si>
  <si>
    <t>L08_JVFW_056E_RAISE</t>
  </si>
  <si>
    <t>061E</t>
  </si>
  <si>
    <t>L09_GHV_061E_DE</t>
  </si>
  <si>
    <t>L07_DPVE_044E_RAISE</t>
  </si>
  <si>
    <t>ROBBING PILLARS</t>
  </si>
  <si>
    <t>L09_GHV_017E_WINZE</t>
  </si>
  <si>
    <t>059E</t>
  </si>
  <si>
    <t>L07_DPVE_046E_RAISE</t>
  </si>
  <si>
    <t>L06_JV_014W_RAISE</t>
  </si>
  <si>
    <t>L07_DPVE_045E_DW</t>
  </si>
  <si>
    <t>L08_JVFW_062E_STOPE</t>
  </si>
  <si>
    <t>L07_CTV_012E_RAISE</t>
  </si>
  <si>
    <t>DAGAMAC 2</t>
  </si>
  <si>
    <t>MONTEBON 2</t>
  </si>
  <si>
    <t>MONTEBON 3</t>
  </si>
  <si>
    <t>NOCOS 1</t>
  </si>
  <si>
    <t>NOCOS 2</t>
  </si>
  <si>
    <t>NOCOS 3</t>
  </si>
  <si>
    <t>RIPARIP 1</t>
  </si>
  <si>
    <t>RIPARIP 2</t>
  </si>
  <si>
    <t>BELICAN 1</t>
  </si>
  <si>
    <t>BELICAN 4</t>
  </si>
  <si>
    <t>CABONITA 1</t>
  </si>
  <si>
    <t>CABONITA 2</t>
  </si>
  <si>
    <t>DUHIG 1</t>
  </si>
  <si>
    <t>DUHIG 2</t>
  </si>
  <si>
    <t>DUHIG 3</t>
  </si>
  <si>
    <t>MARTINEZ DN 1</t>
  </si>
  <si>
    <t>MARTINEZ DN 2</t>
  </si>
  <si>
    <t>MARTINEZ DN 3</t>
  </si>
  <si>
    <t>MARTINEZ RON. 1</t>
  </si>
  <si>
    <t>MARTINEZ RON. 2</t>
  </si>
  <si>
    <t>NACARIO 1</t>
  </si>
  <si>
    <t>PARAGUYA 1</t>
  </si>
  <si>
    <t>PARAGUYA 2</t>
  </si>
  <si>
    <t>PARAGUYA 3</t>
  </si>
  <si>
    <t>PARAGUYA 4</t>
  </si>
  <si>
    <t>BADBADON L. 1</t>
  </si>
  <si>
    <t>BADBADON L. 3</t>
  </si>
  <si>
    <t>BIHAY 1</t>
  </si>
  <si>
    <t>BIHAY 2</t>
  </si>
  <si>
    <t>CAYABAS 1</t>
  </si>
  <si>
    <t>CAYABAS 2</t>
  </si>
  <si>
    <t>FERNANDEZ RX 3</t>
  </si>
  <si>
    <t>FERNANDEZ RX 4</t>
  </si>
  <si>
    <t>FERNANDEZ RX 5</t>
  </si>
  <si>
    <t>OY-YOY 1</t>
  </si>
  <si>
    <t>PANCIT 2</t>
  </si>
  <si>
    <t>PANCIT 3</t>
  </si>
  <si>
    <t>PANCIT 4</t>
  </si>
  <si>
    <t>PANCIT 5</t>
  </si>
  <si>
    <t>PANCIT 6</t>
  </si>
  <si>
    <t>PANCIT 8</t>
  </si>
  <si>
    <t>BALANGHIG 1</t>
  </si>
  <si>
    <t>BALANGHIG 2</t>
  </si>
  <si>
    <t>DEMALATA 1</t>
  </si>
  <si>
    <t>DEMALATA 2</t>
  </si>
  <si>
    <t>COMAINGKING</t>
  </si>
  <si>
    <t>BADBADON 1</t>
  </si>
  <si>
    <t>BADBADON 2</t>
  </si>
  <si>
    <t>BAKAKON 1</t>
  </si>
  <si>
    <t>UDLOS 1</t>
  </si>
  <si>
    <t>PANSIT 1</t>
  </si>
  <si>
    <t>PANSIT 2</t>
  </si>
  <si>
    <t>PANSIT 3</t>
  </si>
  <si>
    <t>QUIJANO 3</t>
  </si>
  <si>
    <t>QUIJANO 2</t>
  </si>
  <si>
    <t>QUIJANO 1</t>
  </si>
  <si>
    <t>GONZALES 1</t>
  </si>
  <si>
    <t>BAÑEZ 5</t>
  </si>
  <si>
    <t>BAÑEZ 4</t>
  </si>
  <si>
    <t>BAÑEZ 3</t>
  </si>
  <si>
    <t>BAÑEZ 2</t>
  </si>
  <si>
    <t>BAÑEZ 1</t>
  </si>
  <si>
    <t>ALEÑAR 3</t>
  </si>
  <si>
    <t>ALEÑAR 1</t>
  </si>
  <si>
    <t>ALEÑAR 2</t>
  </si>
  <si>
    <t>ALMASA 1</t>
  </si>
  <si>
    <t>ALMASA 2</t>
  </si>
  <si>
    <t>BABOR 1</t>
  </si>
  <si>
    <t>BABOR 2</t>
  </si>
  <si>
    <t>BABOR 3</t>
  </si>
  <si>
    <t>BABOR 5</t>
  </si>
  <si>
    <t>BABOR 6</t>
  </si>
  <si>
    <t>LERIO 1</t>
  </si>
  <si>
    <t>LERIO 2</t>
  </si>
  <si>
    <t>TAÑEZA 1</t>
  </si>
  <si>
    <t>TAÑEZA 2</t>
  </si>
  <si>
    <t>TAÑEZA 3</t>
  </si>
  <si>
    <t>TAÑEZA 4</t>
  </si>
  <si>
    <t>TAÑEZA 5</t>
  </si>
  <si>
    <t>TAÑEZA 6</t>
  </si>
  <si>
    <t>TAÑEZA 7</t>
  </si>
  <si>
    <t>BORERO 2</t>
  </si>
  <si>
    <t>DELOS REYES 1</t>
  </si>
  <si>
    <t>GUNAY 1</t>
  </si>
  <si>
    <t>GUNAY 3</t>
  </si>
  <si>
    <t>AGLOLO 1</t>
  </si>
  <si>
    <t>AMAC 2</t>
  </si>
  <si>
    <t>HANGDAAN 1</t>
  </si>
  <si>
    <t>BENONGUIL 1</t>
  </si>
  <si>
    <t>BENONGUIL 2</t>
  </si>
  <si>
    <t>SILVOZA 1</t>
  </si>
  <si>
    <t>REVITA 1</t>
  </si>
  <si>
    <t>MAPAYO 1</t>
  </si>
  <si>
    <t>PINO P. 1</t>
  </si>
  <si>
    <t>CAPPUYO 1</t>
  </si>
  <si>
    <t>CAPPUYO 2</t>
  </si>
  <si>
    <t>DELOS REYES V. 2</t>
  </si>
  <si>
    <t>ROXAS 2</t>
  </si>
  <si>
    <t>L06_DPVE_024E_WINZE</t>
  </si>
  <si>
    <t>ANDILAB 1</t>
  </si>
  <si>
    <t>L06_DPVE_024E_ROBBING</t>
  </si>
  <si>
    <t xml:space="preserve">   </t>
  </si>
  <si>
    <t>L08_GHV_038W_RAISE</t>
  </si>
  <si>
    <t>L04_NONE_025W_XCN</t>
  </si>
  <si>
    <t>L04_NONE_015W_XCN</t>
  </si>
  <si>
    <t>L07_GHVHW_028E_WINZE</t>
  </si>
  <si>
    <t>MAPAYO 2</t>
  </si>
  <si>
    <t>L09_NONE_030E_XCS</t>
  </si>
  <si>
    <t>L06_JVFW_014W_RAISE</t>
  </si>
  <si>
    <t>L06_CTV_028E_ROBBING</t>
  </si>
  <si>
    <t>L09_GHVFW_025E_RAISE</t>
  </si>
  <si>
    <t>L09_GHVFW_023E_RAISE</t>
  </si>
  <si>
    <t>L07_DPVE_066E_RAISE</t>
  </si>
  <si>
    <t>L09_DPVE_043E_RAISE</t>
  </si>
  <si>
    <t>L06_CTV_012E_ROBBING</t>
  </si>
  <si>
    <t>L09_GHVFW_027E_RAISE</t>
  </si>
  <si>
    <t>L09_GHV_038E_DE</t>
  </si>
  <si>
    <t>L04_JV_025W_DW</t>
  </si>
  <si>
    <t>L09_GHVFW_028E_RAISE</t>
  </si>
  <si>
    <t>L04_NONE_028W_XCS</t>
  </si>
  <si>
    <t>L08_DPVE_032E_RAISE</t>
  </si>
  <si>
    <t>L07_EDV_005E_RAISE</t>
  </si>
  <si>
    <t>L04_CTV_018W_DW</t>
  </si>
  <si>
    <t>ANDILAB 2</t>
  </si>
  <si>
    <t>L07_CTV_004E_DE</t>
  </si>
  <si>
    <t>CONTRACTOR 1</t>
  </si>
  <si>
    <t>L07_CTV_047E_RAISE</t>
  </si>
  <si>
    <t>L10_NONE_014E_XCN</t>
  </si>
  <si>
    <t>L04_CTV_016W_RAISE</t>
  </si>
  <si>
    <t>L10_NONE_018E_XCS</t>
  </si>
  <si>
    <t>L07_GHVHW_035E_ROBBING</t>
  </si>
  <si>
    <t>L07_DPVE_043E_STOPE</t>
  </si>
  <si>
    <t>L07_CV_004W_DW</t>
  </si>
  <si>
    <t>TEAMLEADER</t>
  </si>
  <si>
    <t>L09_GHVFW_026E_STOPE PREP</t>
  </si>
  <si>
    <t>L09_GHV_027E_DW</t>
  </si>
  <si>
    <t>L09_JV_042E_WINZE</t>
  </si>
  <si>
    <t>L07_DPVE_026E_RAISE</t>
  </si>
  <si>
    <t>L08_GHVSPLIT_028E_DE</t>
  </si>
  <si>
    <t>DELOS REYES V. 1</t>
  </si>
  <si>
    <t>L07_GHVHW_034E_WINZE</t>
  </si>
  <si>
    <t>L09_NONE_017E_XCS*</t>
  </si>
  <si>
    <t>L07_CTV_005E_RAISE</t>
  </si>
  <si>
    <t>PULL-OUT</t>
  </si>
  <si>
    <t>SUM</t>
  </si>
  <si>
    <t>LEVEL</t>
  </si>
  <si>
    <t>WINZE STOPE PREP</t>
  </si>
  <si>
    <t>L05_GHV_030W_ROBBING</t>
  </si>
  <si>
    <t>L06_JV_046E_RAISE</t>
  </si>
  <si>
    <t>L09_NONE_045E_XCN</t>
  </si>
  <si>
    <t>ALMEDORA 1</t>
  </si>
  <si>
    <t>BALURAN 1</t>
  </si>
  <si>
    <t>COMAINGKING 1</t>
  </si>
  <si>
    <t>COMAINGKING 2</t>
  </si>
  <si>
    <t>L08_JVFW_058E_RAISE</t>
  </si>
  <si>
    <t>BAYOBAY 1</t>
  </si>
  <si>
    <t>BELICAN 2</t>
  </si>
  <si>
    <t>BAÑEZ 6</t>
  </si>
  <si>
    <t>BAÑEZ 7</t>
  </si>
  <si>
    <t>BAÑEZ 8</t>
  </si>
  <si>
    <t>BABOR 4</t>
  </si>
  <si>
    <t>BORERO 1</t>
  </si>
  <si>
    <t>DOLARIZA 1</t>
  </si>
  <si>
    <t>DAVOCOL, ROSELIO 1</t>
  </si>
  <si>
    <t>DELOS REYES V. 5</t>
  </si>
  <si>
    <t>PANSIT 5</t>
  </si>
  <si>
    <t>PANSIT 4</t>
  </si>
  <si>
    <t>QUIJANO 4</t>
  </si>
  <si>
    <t>L09_GHV_001E_WINZE</t>
  </si>
  <si>
    <t>COMAINGKING 3</t>
  </si>
  <si>
    <t>CABCAD 1</t>
  </si>
  <si>
    <t>CABONITA 3</t>
  </si>
  <si>
    <t>AGLOLO 2</t>
  </si>
  <si>
    <t>BENONGUIL 3</t>
  </si>
  <si>
    <t>BENONGUIL 4</t>
  </si>
  <si>
    <t>HUMIDING 1</t>
  </si>
  <si>
    <t>HUMIDING 2</t>
  </si>
  <si>
    <t>LERIO 3</t>
  </si>
  <si>
    <t>SILVOZA 2</t>
  </si>
  <si>
    <t>TORMIS 1</t>
  </si>
  <si>
    <t>TORMIS 2</t>
  </si>
  <si>
    <t>VERSOZA 1</t>
  </si>
  <si>
    <t>VERSOZA 2</t>
  </si>
  <si>
    <t>L09_NONE_048E_XCS</t>
  </si>
  <si>
    <t>DELOS REYES V. 6</t>
  </si>
  <si>
    <t>FERNANDEZ RX 6</t>
  </si>
  <si>
    <t>DUHIG 4</t>
  </si>
  <si>
    <t>BAKAKON 2</t>
  </si>
  <si>
    <t>GONZALES 2</t>
  </si>
  <si>
    <t>COMAINGKING 4</t>
  </si>
  <si>
    <t>BALANGHIG 3</t>
  </si>
  <si>
    <t>L07_CTV_008E_RAISE</t>
  </si>
  <si>
    <t>PANCIT 9</t>
  </si>
  <si>
    <t>BAÑEZ 9</t>
  </si>
  <si>
    <t>L07_DPVE_028E_STOPE PREP</t>
  </si>
  <si>
    <t>L09_DPVE_045E_DE</t>
  </si>
  <si>
    <t>REVITA 2</t>
  </si>
  <si>
    <t>L09_NONE_030E_XCN</t>
  </si>
  <si>
    <t>L10_GHV_017E_DE</t>
  </si>
  <si>
    <t>L09_NONE_031E_XCN</t>
  </si>
  <si>
    <t>DELOS REYES V. 8</t>
  </si>
  <si>
    <t>DEMALATA 3</t>
  </si>
  <si>
    <t>L04_CTV_018W_WINZE STOPE PREP</t>
  </si>
  <si>
    <t>L05_DPVE_020E_RAISE</t>
  </si>
  <si>
    <t>L07_DPVE_028E_STOPE</t>
  </si>
  <si>
    <t>L06_DPVE_027E_DE</t>
  </si>
  <si>
    <t>Stope Ore Ratio</t>
  </si>
  <si>
    <t>Level 4</t>
  </si>
  <si>
    <t>Level 5</t>
  </si>
  <si>
    <t>Level 6</t>
  </si>
  <si>
    <t>Level 7</t>
  </si>
  <si>
    <t>Level 8</t>
  </si>
  <si>
    <t>Level 9</t>
  </si>
  <si>
    <t>Level 10</t>
  </si>
  <si>
    <t>Total</t>
  </si>
  <si>
    <t>Shaft Capacity</t>
  </si>
  <si>
    <t>PMC MINERS 1</t>
  </si>
  <si>
    <t>L10_GHV_016E_DW</t>
  </si>
  <si>
    <t>L09_NONE_013E_CHAMBER</t>
  </si>
  <si>
    <t>ALMEDORA 2</t>
  </si>
  <si>
    <t>BADBADON L 2</t>
  </si>
  <si>
    <t>BADBADON R. 5</t>
  </si>
  <si>
    <t>BADBADON R. 4</t>
  </si>
  <si>
    <t>BADBADON R. 2</t>
  </si>
  <si>
    <t>BADBADON R. 1</t>
  </si>
  <si>
    <t>BORERO 3</t>
  </si>
  <si>
    <t>LERIO 4</t>
  </si>
  <si>
    <t>CAPPUYO 3</t>
  </si>
  <si>
    <t>DAVOCOL, ROSELIO 3</t>
  </si>
  <si>
    <t>WORKPLACE</t>
  </si>
  <si>
    <t>TEAM LEADER</t>
  </si>
  <si>
    <t>CARIKITAN 2</t>
  </si>
  <si>
    <t>VERSOZA 4</t>
  </si>
  <si>
    <t>L10_GHVFW_019E_DE</t>
  </si>
  <si>
    <t>CABBIGAT, JOSEPH</t>
  </si>
  <si>
    <t>LERIO 5</t>
  </si>
  <si>
    <t>PMC MINERS 4</t>
  </si>
  <si>
    <t>PMC MINERS 3</t>
  </si>
  <si>
    <t>L06_CTV_024E_WINZE</t>
  </si>
  <si>
    <t>L04_GHV_043W_RAISE</t>
  </si>
  <si>
    <t>L09_GHV_046E_WINZE</t>
  </si>
  <si>
    <t>L07_CTV_010E_DE</t>
  </si>
  <si>
    <r>
      <rPr>
        <sz val="11"/>
        <rFont val="Cooper Black"/>
        <family val="1"/>
      </rPr>
      <t>REMINDER:</t>
    </r>
    <r>
      <rPr>
        <i/>
        <sz val="11"/>
        <rFont val="Candara"/>
        <family val="2"/>
      </rPr>
      <t xml:space="preserve"> PLEASE SA PAG ENCODE DINHI, COPY-PASTE VALUES LANG JUD FROM </t>
    </r>
    <r>
      <rPr>
        <b/>
        <i/>
        <sz val="11"/>
        <color rgb="FFFF0000"/>
        <rFont val="Candara"/>
        <family val="2"/>
      </rPr>
      <t>COLUMN I TO COLUMN J.</t>
    </r>
  </si>
  <si>
    <t>PANCIT, NOEL 4</t>
  </si>
  <si>
    <t>L09_NONE_047E_XCN</t>
  </si>
  <si>
    <t>L04_JV_024W_STOPE PREP</t>
  </si>
  <si>
    <t>L09_GHV_012W_DW</t>
  </si>
  <si>
    <t>L07_GHVFW_005W_RAISE</t>
  </si>
  <si>
    <t>L10_NONE_014E_WINZE</t>
  </si>
  <si>
    <t>DELOS REYES 4</t>
  </si>
  <si>
    <t>L08_DPVE_066E_RAISE</t>
  </si>
  <si>
    <t>L07_NONE_059E_XCN</t>
  </si>
  <si>
    <t>CAPOY 2</t>
  </si>
  <si>
    <t>PANCIT, NOEL 8</t>
  </si>
  <si>
    <t>L04_CTV_018W_WINZE STOPE</t>
  </si>
  <si>
    <t>L06_JV_045E_RAISE</t>
  </si>
  <si>
    <t>PANCIT, NOEL 3</t>
  </si>
  <si>
    <t>DAVOCOL ROW 1</t>
  </si>
  <si>
    <t>L07_CTV_009E_RAISE</t>
  </si>
  <si>
    <t>PANCIT, NOEL 1</t>
  </si>
  <si>
    <t>L09_JV_031E_STOPE PREP*</t>
  </si>
  <si>
    <t>L09_GHV_027E_RAISE</t>
  </si>
  <si>
    <t>L08_DPVE_067E_RAISE</t>
  </si>
  <si>
    <t>L09_GHVFW_040E_RAISE</t>
  </si>
  <si>
    <t>L07_JV_030E_RAISE</t>
  </si>
  <si>
    <t>CAPOY 1</t>
  </si>
  <si>
    <t>GEMENTIZA 1</t>
  </si>
  <si>
    <t>ALMEDORA 3</t>
  </si>
  <si>
    <t>EXPLOSIVE</t>
  </si>
  <si>
    <t>FL WITH REMARKS</t>
  </si>
  <si>
    <t>L04_JV_024W_STOPE</t>
  </si>
  <si>
    <t>L07_GHV_024E_RAISE</t>
  </si>
  <si>
    <t>L09_GHV_047E_RAISE</t>
  </si>
  <si>
    <t>L07_CTV_010E_RAISE</t>
  </si>
  <si>
    <t>BAÑEZ 10</t>
  </si>
  <si>
    <t>L09_JVFW_050E_DE</t>
  </si>
  <si>
    <t>FINAL TEAM LEADER</t>
  </si>
  <si>
    <t>L08_DPVE_061E_STOPE</t>
  </si>
  <si>
    <t>L09_JV_046E_DW</t>
  </si>
  <si>
    <t>TORMIS 3</t>
  </si>
  <si>
    <t>L09_JV_043E_STOPE PREP</t>
  </si>
  <si>
    <t>L06_JV_052E_RAISE</t>
  </si>
  <si>
    <t>CARIKITAN 1</t>
  </si>
  <si>
    <t>L05_GHV_038W_DW</t>
  </si>
  <si>
    <t>L10_NONE_015E_XCS</t>
  </si>
  <si>
    <t>L05_GHVSPLIT_032W_WINZE</t>
  </si>
  <si>
    <t>L09_DPVE_024E_RAISE</t>
  </si>
  <si>
    <t>L04_JV_016W_RAISE</t>
  </si>
  <si>
    <t>VILLARANTE 1</t>
  </si>
  <si>
    <t>VILLARANTE 2</t>
  </si>
  <si>
    <t>ESPADA 1</t>
  </si>
  <si>
    <t>L05_JV_009W_ROBBING</t>
  </si>
  <si>
    <t>BALDO 1</t>
  </si>
  <si>
    <t>L05_JV_018E_DW</t>
  </si>
  <si>
    <t>L10_NONE_018E_SUMP</t>
  </si>
  <si>
    <t>SHEPHERD H</t>
  </si>
  <si>
    <t>L09_NONE_051E_XCN</t>
  </si>
  <si>
    <t>L07_NONE_060E_XCN</t>
  </si>
  <si>
    <t>L09_DPVE_019E_RAISE</t>
  </si>
  <si>
    <t>L09_GHV_032E_WINZE</t>
  </si>
  <si>
    <t>072E</t>
  </si>
  <si>
    <t>BALDO 2</t>
  </si>
  <si>
    <t>PANCIT, NOEL 6</t>
  </si>
  <si>
    <t>L05_JV_018E_RAISE</t>
  </si>
  <si>
    <t>L09_GHV_061E_RAISE</t>
  </si>
  <si>
    <t>L07_DPVE_035E_RAISE</t>
  </si>
  <si>
    <t>L08_DPVE_054E_STOPE PREP</t>
  </si>
  <si>
    <t>CABCAD 2</t>
  </si>
  <si>
    <t>BORERO 4</t>
  </si>
  <si>
    <t>CARIKITAN 3</t>
  </si>
  <si>
    <t>L07_JVHW_065E_RAISE</t>
  </si>
  <si>
    <t>L07_GHV_019E_DE</t>
  </si>
  <si>
    <t>L05_CV_023W_ROBBING</t>
  </si>
  <si>
    <t>L06_GHVFW_025W_RAISE</t>
  </si>
  <si>
    <t>L06_GHV_035W_DE</t>
  </si>
  <si>
    <t>L10_GHVFW_021E_DE</t>
  </si>
  <si>
    <t>DOLARIZA 2</t>
  </si>
  <si>
    <t>L09_GHV_014W_STOPE</t>
  </si>
  <si>
    <t>L09_JVFW_054E_WINZE</t>
  </si>
  <si>
    <t>L05_CV_009E_STOPE PREP</t>
  </si>
  <si>
    <t>L05_CV_010E_DW</t>
  </si>
  <si>
    <t>L06_JV_052E_STOPE PREP</t>
  </si>
  <si>
    <t>HANGDAAN 2</t>
  </si>
  <si>
    <t>L07_JV_059E_STOPE</t>
  </si>
  <si>
    <t>L10_NONE_048E_XCN</t>
  </si>
  <si>
    <t>L05_GHV_039W_ROBBING</t>
  </si>
  <si>
    <t>L04_JVHW_026W_STOPE</t>
  </si>
  <si>
    <t>L05_CV_009E_STOPE</t>
  </si>
  <si>
    <t>L07_JVHW_066E_RAISE</t>
  </si>
  <si>
    <t>L07_CTV_058E_RAISE</t>
  </si>
  <si>
    <t>VILLARANTE 3</t>
  </si>
  <si>
    <t>Ore Shaft Capacity</t>
  </si>
  <si>
    <t>L08_DPVE_054E_STOPE</t>
  </si>
  <si>
    <t>L10_NONE_025E_CHAMBER</t>
  </si>
  <si>
    <t>L09_NONE_049E_XCS</t>
  </si>
  <si>
    <t>SHEPHERD L</t>
  </si>
  <si>
    <t>SHEPHERD P</t>
  </si>
  <si>
    <t>SHEPHERD O</t>
  </si>
  <si>
    <t>L10_NONE_022E_XCS</t>
  </si>
  <si>
    <t>L10_GHV_045E_DE</t>
  </si>
  <si>
    <t>SHEPHERD H2</t>
  </si>
  <si>
    <t>PANCIT, NOEL 5</t>
  </si>
  <si>
    <t>L08_GHVFW_026E_RAISE</t>
  </si>
  <si>
    <t>L04_CV_008W_DE</t>
  </si>
  <si>
    <t>L10_GHVHW_019E_DW</t>
  </si>
  <si>
    <t>L10_GHV_023E_RAISE</t>
  </si>
  <si>
    <t>L08_GHVFW_003E_RAISE</t>
  </si>
  <si>
    <t>L06_DPVE_030E_RAISE</t>
  </si>
  <si>
    <t>L09_JVFW_057E_STOPE PREP</t>
  </si>
  <si>
    <t>L06_JV_052E_STOPE</t>
  </si>
  <si>
    <t>L08_GHVFW_027E_RAISE</t>
  </si>
  <si>
    <t>L09_GHV_052E_DW</t>
  </si>
  <si>
    <t>L06_GHVFW_025W_STOPE PREP</t>
  </si>
  <si>
    <t>SHEPHERD Q</t>
  </si>
  <si>
    <t>L06_JVHW_024E_RAISE</t>
  </si>
  <si>
    <t>L09_JVFW_056E_RAISE</t>
  </si>
  <si>
    <t>L04_JV_017W_ROBBING</t>
  </si>
  <si>
    <t>L06_GHVFW_028W_RAISE</t>
  </si>
  <si>
    <t>L07_JV_042E_RAISE</t>
  </si>
  <si>
    <t>L09_GHV_054E_RAISE</t>
  </si>
  <si>
    <t>MAPAYO 3</t>
  </si>
  <si>
    <t>L10_DPVE_049E_DE</t>
  </si>
  <si>
    <t>L10_DPVE_047E_DW</t>
  </si>
  <si>
    <t>AGLOLO 4</t>
  </si>
  <si>
    <t>BADBADON L. 2</t>
  </si>
  <si>
    <t>L09_DPVE_042E_STOPE</t>
  </si>
  <si>
    <t>L04_JV_053W_RAISE</t>
  </si>
  <si>
    <t>L10_GHV_024E_DE</t>
  </si>
  <si>
    <t>L04_JV_002E_DW</t>
  </si>
  <si>
    <t>L06_GHVFW_025W_STOPE</t>
  </si>
  <si>
    <t>L09_GHVFW_039E_STOPE</t>
  </si>
  <si>
    <t>L04_JV_003E_DE</t>
  </si>
  <si>
    <t>L08_GHVFW_026E_STOPE PREP</t>
  </si>
  <si>
    <t>L09_NONE_052E_XCN</t>
  </si>
  <si>
    <t>BADBADON R.4</t>
  </si>
  <si>
    <t>L06_DPVE_025E_RAISE</t>
  </si>
  <si>
    <t>L04_CV_008W_RAISE</t>
  </si>
  <si>
    <t>L09_NONE_061E_XCN</t>
  </si>
  <si>
    <t>L09_DPVE_017E_RAISE</t>
  </si>
  <si>
    <t>L06_CTV_026E_DW</t>
  </si>
  <si>
    <t>L10_NONE_050E_CHAMBER</t>
  </si>
  <si>
    <t>OY-YOY 2</t>
  </si>
  <si>
    <t>PANSIT 6</t>
  </si>
  <si>
    <t>TAÑEZA 8</t>
  </si>
  <si>
    <t>TAÑEZA 9</t>
  </si>
  <si>
    <t>L05_CV_002W_WINZE</t>
  </si>
  <si>
    <t>L06_JVFW_007E_WINZE</t>
  </si>
  <si>
    <t>L07_JV_067E_STOPE</t>
  </si>
  <si>
    <t>L09_GHV_060E_STOPE PREP</t>
  </si>
  <si>
    <t>ESPADA 2</t>
  </si>
  <si>
    <t>L09_DPVE_022E_DW</t>
  </si>
  <si>
    <t>L06_JVFW_006E_STOPE</t>
  </si>
  <si>
    <t>L08_GHV_004W_ROBBING</t>
  </si>
  <si>
    <t>L08_GHV_003W_ROBBING</t>
  </si>
  <si>
    <t>L08_GHVFW_026E_STOPE</t>
  </si>
  <si>
    <t>L08_GHVFW_001E_STOPE</t>
  </si>
  <si>
    <t>L07_GHVHW_056E_ROBBING</t>
  </si>
  <si>
    <t>L08_GHV_030W_RAISE</t>
  </si>
  <si>
    <t>L07_DPVE_039E_RAISE</t>
  </si>
  <si>
    <t>L08_DPVE_060E_STOPE PREP</t>
  </si>
  <si>
    <t>L08_GHVHW_034E_STOPE</t>
  </si>
  <si>
    <t>L06_GHVFW_029W_STOPE PREP</t>
  </si>
  <si>
    <t>L06_GHVFW_031W_RAISE</t>
  </si>
  <si>
    <t>L10_GHV_020E_DE</t>
  </si>
  <si>
    <t>L04_JV_002E_RAISE</t>
  </si>
  <si>
    <t>L10_NONE_051E_XCS</t>
  </si>
  <si>
    <t>L05_CTV_009E_ROBBING</t>
  </si>
  <si>
    <t>L05_CV_001E_WINZE</t>
  </si>
  <si>
    <t>L08_GHV_004W_WINZE</t>
  </si>
  <si>
    <t>L08_GHV_036E_STOPE PREP</t>
  </si>
  <si>
    <t>L09_GHV_015W_STOPE</t>
  </si>
  <si>
    <t>L06_JV_055E_ROBBING</t>
  </si>
  <si>
    <t>L05_GHV_022W_ROBBING</t>
  </si>
  <si>
    <t>L05_JV_014W_ROBBING</t>
  </si>
  <si>
    <t>L09_GHV_031E_STOPE</t>
  </si>
  <si>
    <t>L04_JV_042W_STOPE</t>
  </si>
  <si>
    <t>L07_JVHW_071E_DW</t>
  </si>
  <si>
    <t>L05_GHV_024W_WINZE STOPE</t>
  </si>
  <si>
    <t>L05_GHV_030W_WINZE STOPE</t>
  </si>
  <si>
    <t>L06_NV_010E_DE</t>
  </si>
  <si>
    <t>L06_CTV_032E_WINZE STOPE</t>
  </si>
  <si>
    <t>L07_DPVE_038E_RAISE</t>
  </si>
  <si>
    <t>L08_GHVFW_038E_DW</t>
  </si>
  <si>
    <t>L05_CV_023W_STOPE</t>
  </si>
  <si>
    <t>L07_GHVHW_056E_WINZE</t>
  </si>
  <si>
    <t>L10_NONE_043E_SUMP</t>
  </si>
  <si>
    <t>L10_NONE_054E_XCS</t>
  </si>
  <si>
    <t>L06_CTV_026E_WINZE STOPE</t>
  </si>
  <si>
    <t>L07_CTV_060E_STOPE</t>
  </si>
  <si>
    <t>L06_GHVFW_033W_RAISE</t>
  </si>
  <si>
    <t>TAÑEZA 11</t>
  </si>
  <si>
    <t>L04_CTV5_017E_DE</t>
  </si>
  <si>
    <t>L09_DPVE_028E_RAISE</t>
  </si>
  <si>
    <t>L06_GHVFW_029W_STOPE</t>
  </si>
  <si>
    <t>L09_JVFW_057E_STOPE</t>
  </si>
  <si>
    <t>L09_NONE_003E_XCS</t>
  </si>
  <si>
    <t>L06_JVFW_053E_ROBBING</t>
  </si>
  <si>
    <t>L07_DPVE_029E_RAISE</t>
  </si>
  <si>
    <t>L08_GHV_001E_ROBBING</t>
  </si>
  <si>
    <t>L10_NONE_032E_XCS</t>
  </si>
  <si>
    <t>L09_NONE_039E_XCS</t>
  </si>
  <si>
    <t>L10_GHVFW_022E_RAISE</t>
  </si>
  <si>
    <t>L10_NONE_024E_XCN</t>
  </si>
  <si>
    <t>L10_GHV_032E_DE</t>
  </si>
  <si>
    <t>STATUS</t>
  </si>
  <si>
    <t>MANZANO 1</t>
  </si>
  <si>
    <t>BUGAWAN 2</t>
  </si>
  <si>
    <t>REBOTE 2</t>
  </si>
  <si>
    <t>MANZANO 2</t>
  </si>
  <si>
    <t>CANOY 3</t>
  </si>
  <si>
    <t>CANOY 2</t>
  </si>
  <si>
    <t>CANOY 1</t>
  </si>
  <si>
    <t>REBOTE</t>
  </si>
  <si>
    <t>L08_GHVFW_027E_DW</t>
  </si>
  <si>
    <t>VILLARANTE 4</t>
  </si>
  <si>
    <t>SHEPHERD S</t>
  </si>
  <si>
    <t>L08_GHVFW_028E_STOPE</t>
  </si>
  <si>
    <t>L08_GHV_036E_STOPE</t>
  </si>
  <si>
    <t>L09_GHV_060E_STOPE</t>
  </si>
  <si>
    <t>L10_DPVE_054E_DW</t>
  </si>
  <si>
    <t>L05_JV_052E_ROBBING</t>
  </si>
  <si>
    <t>L05_CV_011W_ROBBING</t>
  </si>
  <si>
    <t>L04_NONE_016W_XCN</t>
  </si>
  <si>
    <t>BADBADON R.2</t>
  </si>
  <si>
    <t>L09_GHV_067E_DE</t>
  </si>
  <si>
    <t>L09_JVFW_032E_RAISE</t>
  </si>
  <si>
    <t>L07_GHV_029E_ROBBING</t>
  </si>
  <si>
    <t>L07_DPVE_042E_DW</t>
  </si>
  <si>
    <t>L09_NONE_060E_CHAMBER</t>
  </si>
  <si>
    <t>L10_NONE_053E_XCN</t>
  </si>
  <si>
    <t>LEON 1</t>
  </si>
  <si>
    <t>L09_GHVFW_022E_RAISE</t>
  </si>
  <si>
    <t>L04_RYV_007W_DW</t>
  </si>
  <si>
    <t>L04_GHVFW_015E_DE</t>
  </si>
  <si>
    <t>L06_GHVFW_031W_STOPE PREP</t>
  </si>
  <si>
    <t>L10_NONE_022E_CHAMBER</t>
  </si>
  <si>
    <t>L10_GHV_007E_RAISE</t>
  </si>
  <si>
    <t>L10_GHV_025E_RAISE</t>
  </si>
  <si>
    <t>L06_DPVE_022E_STOPE PREP</t>
  </si>
  <si>
    <t>L05_GHV_023W_WINZE</t>
  </si>
  <si>
    <t>L06_GHVFW_002W_DE</t>
  </si>
  <si>
    <t>L10_GHV_026E_RAISE</t>
  </si>
  <si>
    <t>L07_DPVE_063E_DE</t>
  </si>
  <si>
    <t>L05_JV_016W_ROBBING</t>
  </si>
  <si>
    <t>L08_DPVE_069E_RAISE</t>
  </si>
  <si>
    <t>L06_DPVE_022E_STOPE</t>
  </si>
  <si>
    <t>L08_DPVE_066E_DW</t>
  </si>
  <si>
    <t>L08_JV_029E_STOPE</t>
  </si>
  <si>
    <t>L04_JV_023W_WINZE</t>
  </si>
  <si>
    <t>L08_JV_055E_DE</t>
  </si>
  <si>
    <t>L06_GHVFW_027W_STOPE PREP</t>
  </si>
  <si>
    <t>L04_GHVFW_014E_RAISE</t>
  </si>
  <si>
    <t>L06_GHVFW_006W_DW</t>
  </si>
  <si>
    <t>L07_DPVE_029E_STOPE PREP</t>
  </si>
  <si>
    <t>L04_JVSPLIT_010W_STOPE</t>
  </si>
  <si>
    <t>L04_JV_002E_STOPE</t>
  </si>
  <si>
    <t>L09_JV_058E_STOPE PREP</t>
  </si>
  <si>
    <t>L09_GHVHW_029E_RAISE</t>
  </si>
  <si>
    <t>L09_DPVE_048E_RAISE</t>
  </si>
  <si>
    <t>L05_JVFW_046E_WINZE</t>
  </si>
  <si>
    <t>L09_DPVE_015E_RAISE</t>
  </si>
  <si>
    <t>L06_NONE_051E_WINZE</t>
  </si>
  <si>
    <t>L06_GHVFW_008W_RAISE</t>
  </si>
  <si>
    <t>L06_GHVFW_004W_DW</t>
  </si>
  <si>
    <t>L09_GHVFW_040E_DE</t>
  </si>
  <si>
    <t>L07_NONE_021E_CHAMBER</t>
  </si>
  <si>
    <t>L07_DPVE_039E_STOPE</t>
  </si>
  <si>
    <t>STOPPED</t>
  </si>
  <si>
    <t>DAVOCOL, ROSELIO 4</t>
  </si>
  <si>
    <t>L10_JVFW_018E_DE</t>
  </si>
  <si>
    <t>SHEPHERD S2</t>
  </si>
  <si>
    <t>L09_JVFW_061E_RAISE</t>
  </si>
  <si>
    <t>L09_GHVFW_034E_STOPE PREP</t>
  </si>
  <si>
    <t>L07_JV_057E_STOPE PREP</t>
  </si>
  <si>
    <t>L05_JVHW_007E_RAISE</t>
  </si>
  <si>
    <t>L06_GHVFW_031W_STOPE</t>
  </si>
  <si>
    <t>L08_GHVHW_030E_DW</t>
  </si>
  <si>
    <t>L09_JVFW_055E_RAISE</t>
  </si>
  <si>
    <t>L06_GHVFW_027W_STOPE</t>
  </si>
  <si>
    <t>L08_NONE_037E_XCS</t>
  </si>
  <si>
    <t>L07_GHV_013E_ROBBING</t>
  </si>
  <si>
    <t>L08_JV_015E_DE</t>
  </si>
  <si>
    <t>L05_CTV_008W_STOPE PREP</t>
  </si>
  <si>
    <t>L06_GHVFW_010E_RAISE</t>
  </si>
  <si>
    <t>L07_JVHW_064E_RAISE</t>
  </si>
  <si>
    <t>L07_GHVHW_056E_DE</t>
  </si>
  <si>
    <t>L06_JV_003E_DE</t>
  </si>
  <si>
    <t>L05_NONE_008E_XCN</t>
  </si>
  <si>
    <t>L08_GHVHW_031E_STOPE PREP</t>
  </si>
  <si>
    <t>L04_NV_012W_RAISE</t>
  </si>
  <si>
    <t>L05_GHVSPLIT_030E_DW</t>
  </si>
  <si>
    <t>L10_GHV_033E_DE</t>
  </si>
  <si>
    <t>L07_DPVE_042E_RAISE</t>
  </si>
  <si>
    <t>L06_GHVFW_003E_RAISE</t>
  </si>
  <si>
    <t>L06_GHVFW_001E_RAISE</t>
  </si>
  <si>
    <t>L04_GHVFW_017E_RAISE</t>
  </si>
  <si>
    <t>L04_JV_049W_DW</t>
  </si>
  <si>
    <t>L04_CTV5_016E_STOPE PREP</t>
  </si>
  <si>
    <t>L06_JV_027E_RAISE</t>
  </si>
  <si>
    <t>L10_GHVSPLIT_019E_DE</t>
  </si>
  <si>
    <t>L05_JV_018E_STOPE</t>
  </si>
  <si>
    <t>L07_JV_053E_RAISE</t>
  </si>
  <si>
    <t>L05_NONE_027W_XCN</t>
  </si>
  <si>
    <t>L08_NONE_059E_XCS</t>
  </si>
  <si>
    <t>L08_DPVE_048E_DW</t>
  </si>
  <si>
    <t>L05_CV_004W_WINZE</t>
  </si>
  <si>
    <t>L08_GHVHW_011E_DW</t>
  </si>
  <si>
    <t>L04_CV_005W_WINZE</t>
  </si>
  <si>
    <t>L06_CV_002W_STOPE PREP</t>
  </si>
  <si>
    <t>L06_CV_018E_WINZE</t>
  </si>
  <si>
    <t>L10_NONE_053E_SUMP</t>
  </si>
  <si>
    <t>L08_JVSPLIT_024E_DW</t>
  </si>
  <si>
    <t>L08_JVSPLIT_025E_DE</t>
  </si>
  <si>
    <t>L08_GHVFW_008E_STOPE PREP</t>
  </si>
  <si>
    <t>L06_DPVE_026E_ROBBING</t>
  </si>
  <si>
    <t>L05_NV_011E_DW</t>
  </si>
  <si>
    <t>L05_GHV_032W_RAISE</t>
  </si>
  <si>
    <t>L06_JV_056E_ROBBING</t>
  </si>
  <si>
    <t>L05_GHVSPLIT_030E_RAISE</t>
  </si>
  <si>
    <t>L04_JVSPLIT_011W_RAISE</t>
  </si>
  <si>
    <t>L08_GHVHW_031E_STOPE</t>
  </si>
  <si>
    <t>L07_DPVE_060E_DW</t>
  </si>
  <si>
    <t>L07_GHVFW_001E_WINZE</t>
  </si>
  <si>
    <t>L08_DPVE_068E_DE</t>
  </si>
  <si>
    <t>L07_NONE_020W_XCS</t>
  </si>
  <si>
    <t>L09_NONE_070E_XCN</t>
  </si>
  <si>
    <t>L09_GHV_063E_WINZE</t>
  </si>
  <si>
    <t>REBOTE 1</t>
  </si>
  <si>
    <t>L06_NONE_028E_XCN</t>
  </si>
  <si>
    <t>L09_JV_058E_STOPE</t>
  </si>
  <si>
    <t>L09_GHVFW_028E_STOPE PREP</t>
  </si>
  <si>
    <t>L07_DPVE_026E_STOPE PREP</t>
  </si>
  <si>
    <t>L06_CTV_017E_DW</t>
  </si>
  <si>
    <t>L06_JV_067E_WINZE</t>
  </si>
  <si>
    <t>L07_JVHW_073E_DE</t>
  </si>
  <si>
    <t>073E</t>
  </si>
  <si>
    <t>L05_CV_005W_WINZE</t>
  </si>
  <si>
    <t>L07_DPVE_065E_RAISE</t>
  </si>
  <si>
    <t>L07_DPVE_063E_DW</t>
  </si>
  <si>
    <t>L06_GHVFW_007W_STOPE PREP</t>
  </si>
  <si>
    <t>L06_GHV_014W_DW</t>
  </si>
  <si>
    <t>L09_GHV_004W_RAISE</t>
  </si>
  <si>
    <t>L04_RYV_010E_RAISE</t>
  </si>
  <si>
    <t>L07_CTV_061E_STOPE PREP</t>
  </si>
  <si>
    <t>L05_GHV_037W_DE</t>
  </si>
  <si>
    <t>L10_JVFW_055E_DE</t>
  </si>
  <si>
    <t>L10_GHVHW_034E_DE</t>
  </si>
  <si>
    <t>L09_NONE_017W_CHAMBER</t>
  </si>
  <si>
    <t>L09_GHV_017W_STOPE PREP</t>
  </si>
  <si>
    <t>L09_JVHW_053E_DE</t>
  </si>
  <si>
    <t>L09_GHVHW_049E_DE</t>
  </si>
  <si>
    <t>L09_GHVHW_027E_DW</t>
  </si>
  <si>
    <t>L10_GHVFW_028E_RAISE</t>
  </si>
  <si>
    <t>L08_JVSPLIT_017E_DE</t>
  </si>
  <si>
    <t>L09_JV_050E_DE</t>
  </si>
  <si>
    <t>L09_JVHW_065E_RAISE</t>
  </si>
  <si>
    <t>L09_DPVE_051E_RAISE</t>
  </si>
  <si>
    <t>L05_CV_010E_WINZE</t>
  </si>
  <si>
    <t>L05_GHVSPLIT_030E_ROBBING</t>
  </si>
  <si>
    <t>L05_NV_005W_RAISE</t>
  </si>
  <si>
    <t>L05_CV_003W_RAISE</t>
  </si>
  <si>
    <t>L09_NONE_054E_XCS</t>
  </si>
  <si>
    <t>L06_DPVE_035E_DE</t>
  </si>
  <si>
    <t>L07_JVHW_064E_STOPE PREP</t>
  </si>
  <si>
    <t>L07_GHVHW_056E_WINZE STOPE PREP</t>
  </si>
  <si>
    <t>L07_JVHW_072E_STOPE</t>
  </si>
  <si>
    <t>L06_JV_021E_RAISE</t>
  </si>
  <si>
    <t>L06_GHVFW_003E_STOPE PREP</t>
  </si>
  <si>
    <t>L08_NONE_016W_XCN</t>
  </si>
  <si>
    <t>BADBADON L.4</t>
  </si>
  <si>
    <t>L06_GHVFW_001W_RAISE</t>
  </si>
  <si>
    <t>L06_GHVFW_028W_DE</t>
  </si>
  <si>
    <t>L07_DPVE_060E_DE</t>
  </si>
  <si>
    <t>L06_JV_016E_RAISE</t>
  </si>
  <si>
    <t>L06_JVFW_004E_RAISE</t>
  </si>
  <si>
    <t>L05_JVSPLIT_006E_RAISE</t>
  </si>
  <si>
    <t>L05_GHV_040W_WINZE STOPE PREP</t>
  </si>
  <si>
    <t>L05_CTV_008W_STOPE</t>
  </si>
  <si>
    <t>L04_NV_011W_STOPE</t>
  </si>
  <si>
    <t>L07_JVHW_063E_RAISE</t>
  </si>
  <si>
    <t>L10_GHV_019E_RAISE</t>
  </si>
  <si>
    <t>SHEPHERD W1</t>
  </si>
  <si>
    <t>SHEPHERD W4</t>
  </si>
  <si>
    <t>SHEPHERD W3</t>
  </si>
  <si>
    <t>L04_CV_012W_ROBBING</t>
  </si>
  <si>
    <t>L06_NONE_002W_XCN</t>
  </si>
  <si>
    <t>L06_NONE_021E_XCN</t>
  </si>
  <si>
    <t>L10_JV_059E_DE</t>
  </si>
  <si>
    <t>L10_JVSPLIT_057E_DE</t>
  </si>
  <si>
    <t>L08_JV_020E_RAISE</t>
  </si>
  <si>
    <t>L08_DPVE_066E_DE</t>
  </si>
  <si>
    <t>L04_GHVFW_014E_STOPE PREP</t>
  </si>
  <si>
    <t>SHEPHERD V</t>
  </si>
  <si>
    <t>L04_GHVFW_018E_WINZE</t>
  </si>
  <si>
    <t>L07_JVHW_071E_RAISE</t>
  </si>
  <si>
    <t>L07_JV_057E_STOPE</t>
  </si>
  <si>
    <t>L07_DPVE_026E_STOPE</t>
  </si>
  <si>
    <t>L07_DPVE_058E_DE</t>
  </si>
  <si>
    <t>L09_GHVSPLIT_048E_DW</t>
  </si>
  <si>
    <t>L06_GHVFW_007W_STOPE</t>
  </si>
  <si>
    <t>L06_JV_067E_ROBBING</t>
  </si>
  <si>
    <t>GUNAY 2</t>
  </si>
  <si>
    <t>L08_GHVSPLIT_006W_STOPE PREP</t>
  </si>
  <si>
    <t>LERIO 6</t>
  </si>
  <si>
    <t>OY-YOY 3</t>
  </si>
  <si>
    <t>SHEPHERD P 1</t>
  </si>
  <si>
    <t>GONZALES 3</t>
  </si>
  <si>
    <t>AGLOLO 3</t>
  </si>
  <si>
    <t>L04_JVSPLIT_012W_DE</t>
  </si>
  <si>
    <t>L08_GHVFW_008E_STOPE</t>
  </si>
  <si>
    <t>SHEPHERD R 1</t>
  </si>
  <si>
    <t>SHEPHERD S 3</t>
  </si>
  <si>
    <t>L06_CTV_023W_RAISE</t>
  </si>
  <si>
    <t>L04_GHVFW_019E_RAISE</t>
  </si>
  <si>
    <t>L05_GHVSPLIT_030W_DE</t>
  </si>
  <si>
    <t>L07_JVHW_070E_RAISE</t>
  </si>
  <si>
    <t>L06_CTV_019E_ROBBING</t>
  </si>
  <si>
    <t>L07_NONE_074E_XCS</t>
  </si>
  <si>
    <t>L09_GHV_064E_STOPE PREP</t>
  </si>
  <si>
    <t>L09_GHVFW_028E_STOPE</t>
  </si>
  <si>
    <t>L07_CTV_061E_STOPE</t>
  </si>
  <si>
    <t>L08_GHV_036E_DE</t>
  </si>
  <si>
    <t>L04_CV_006W_WINZE</t>
  </si>
  <si>
    <t>L10_GHV_004E_STOPE PREP</t>
  </si>
  <si>
    <t>L10_GHV_030E_DW</t>
  </si>
  <si>
    <t>L09_DPVE_016E_STOPE PREP</t>
  </si>
  <si>
    <t>L09_GHVFW_054E_DE</t>
  </si>
  <si>
    <t>L09_GHVHW_002W_RAISE</t>
  </si>
  <si>
    <t>L09_JV_053E_RAISE</t>
  </si>
  <si>
    <t>L04_JV_058W_RAISE</t>
  </si>
  <si>
    <t>DUHIG</t>
  </si>
  <si>
    <t>L04_RYV_012E_WINZE</t>
  </si>
  <si>
    <t>L09_JVHW_071E_DE</t>
  </si>
  <si>
    <t>L07_JVHW_068E_RAISE</t>
  </si>
  <si>
    <t>L07_DPVE_059E_RAISE</t>
  </si>
  <si>
    <t>L06_JV_059E_WINZE</t>
  </si>
  <si>
    <t>L09_JVFW_065E_STOPE PREP</t>
  </si>
  <si>
    <t>L04_GHVFW_014E_STOPE</t>
  </si>
  <si>
    <t>L07_GHV_051E_RAISE</t>
  </si>
  <si>
    <t>L07_GHV_036E_WINZE</t>
  </si>
  <si>
    <t>L07_GHV_037E_DE</t>
  </si>
  <si>
    <t>L05_GHVHW_042W_DE</t>
  </si>
  <si>
    <t>L06_NONE_027W_XCS</t>
  </si>
  <si>
    <t>L06_NONE_036E_XCN</t>
  </si>
  <si>
    <t>L05_NV_010E_DW</t>
  </si>
  <si>
    <t>L05_CV_004W_RAISE</t>
  </si>
  <si>
    <t>L06_CTV_025E_WINZE STOPE PREP</t>
  </si>
  <si>
    <t>L06_JV_036E_WINZE</t>
  </si>
  <si>
    <t>L06_CV_005E_WINZE STOPE PREP</t>
  </si>
  <si>
    <t>L08_JVFW_057E_RAISE</t>
  </si>
  <si>
    <t>L05_GHV_025W_RAISE</t>
  </si>
  <si>
    <t>L05_GHVSPLIT_029W_DW</t>
  </si>
  <si>
    <t>L07_GHVHW_056E_WINZE STOPE</t>
  </si>
  <si>
    <t>L09_GHVFW_034E_STOPE</t>
  </si>
  <si>
    <t>L07_GHV_030E_DE</t>
  </si>
  <si>
    <t>L05_CV_007W_DW</t>
  </si>
  <si>
    <t>L05_CTV_007W_RAISE</t>
  </si>
  <si>
    <t>L07_DPVE_067E_RAISE</t>
  </si>
  <si>
    <t>L06_JVHW_021E_DE</t>
  </si>
  <si>
    <t>L07_JVHW_074E_DE</t>
  </si>
  <si>
    <t>L05_GHV_012W_ROBBING</t>
  </si>
  <si>
    <t>L06_DPVE_020E_DW</t>
  </si>
  <si>
    <t>L09_GHVSPLIT_048E_STOPE PREP</t>
  </si>
  <si>
    <t>L04_CV_006W_ROBBING</t>
  </si>
  <si>
    <t>L05_JVFW_006E_DE</t>
  </si>
  <si>
    <t>L06_GHVFW_003E_STOPE</t>
  </si>
  <si>
    <t>L10_JVSPLIT_056E_DW</t>
  </si>
  <si>
    <t>L07_NONE_019E_CHAMBER</t>
  </si>
  <si>
    <t>BAYOBAY 2</t>
  </si>
  <si>
    <t>L08_JVSPLIT_018E_DW</t>
  </si>
  <si>
    <t>L04_GHVFW_013E_DW</t>
  </si>
  <si>
    <t>L07_JV_025E_DW</t>
  </si>
  <si>
    <t>L06_DPV_022E_RAISE</t>
  </si>
  <si>
    <t>L09_GHV_052E_STOPE PREP</t>
  </si>
  <si>
    <t>L10_GHV_046E_DW</t>
  </si>
  <si>
    <t>L04_GHVFW_007E_DE</t>
  </si>
  <si>
    <t>L05_GHVHW_051W_DE</t>
  </si>
  <si>
    <t>L06_GHVFW_024W_DE</t>
  </si>
  <si>
    <t>L07_DPVE_063E_RAISE</t>
  </si>
  <si>
    <t>L04_RYV_010E_STOPE PREP</t>
  </si>
  <si>
    <t>L05_GHV_032W_STOPE PREP</t>
  </si>
  <si>
    <t>L05_NV_008E_RAISE</t>
  </si>
  <si>
    <t>L09_GHV_004W_STOPE PREP</t>
  </si>
  <si>
    <t>L09_JVFW_055E_STOPE PREP</t>
  </si>
  <si>
    <t>L04_GHVFW_015E_STOPE PREP</t>
  </si>
  <si>
    <t>L06_JV_001E_STOPE PREP</t>
  </si>
  <si>
    <t>L06_JVFW_004E_STOPE</t>
  </si>
  <si>
    <t>L06_GHVFW_026W_DW</t>
  </si>
  <si>
    <t>HUMIDING</t>
  </si>
  <si>
    <t>SHEPHERD X 1</t>
  </si>
  <si>
    <t>SHEPHERD X 2</t>
  </si>
  <si>
    <t>L08_GHV_044E_RAISE</t>
  </si>
  <si>
    <t>L08_JV_016E_STOPE PREP</t>
  </si>
  <si>
    <t>L05_GHV_040W_WINZE STOPE</t>
  </si>
  <si>
    <t>L07_JVHW_064E_STOPE</t>
  </si>
  <si>
    <t>L04_GHVFW_013E_STOPE PREP</t>
  </si>
  <si>
    <t>L08_JVFW_055E_DW</t>
  </si>
  <si>
    <t>L08_CTV_007E_RAISE</t>
  </si>
  <si>
    <t>L08_CTV_009E_RAISE</t>
  </si>
  <si>
    <t>L08_JV_060E_STOPE</t>
  </si>
  <si>
    <t>L04_JV_014E_WINZE</t>
  </si>
  <si>
    <t>L08_JV_062E_RAISE</t>
  </si>
  <si>
    <t>L08_JVFW_059E_DE</t>
  </si>
  <si>
    <t>L06_GHVFW_031W_WINZE</t>
  </si>
  <si>
    <t>L06_GHVFW_030W_STOPE PREP</t>
  </si>
  <si>
    <t>L05_CV_003W_STOPE PREP</t>
  </si>
  <si>
    <t>L05_JVFW_045E_ROBBING</t>
  </si>
  <si>
    <t>L09_JVFW_062E_DW</t>
  </si>
  <si>
    <t>L06_CTV_024E_STOPE PREP</t>
  </si>
  <si>
    <t>L05_GHV_023W_DE</t>
  </si>
  <si>
    <t>L09_GHV_017W_STOPE</t>
  </si>
  <si>
    <t>L09_DPVE_016E_STOPE</t>
  </si>
  <si>
    <t>L04_GHVFW_008E_WINZE STOPE PREP</t>
  </si>
  <si>
    <t>L07_CTV_009E_ROBBING</t>
  </si>
  <si>
    <t>L04_NV_017W_DW</t>
  </si>
  <si>
    <t>L10_GHV_004E_STOPE</t>
  </si>
  <si>
    <t>L08_NONE_008E_CHAMBER</t>
  </si>
  <si>
    <t>DAVOCOL ROW 2</t>
  </si>
  <si>
    <t>L04_CV_011W_RAISE</t>
  </si>
  <si>
    <t>L09_GHVFW_040E_DW</t>
  </si>
  <si>
    <t>L08_NONE_013E_XCS</t>
  </si>
  <si>
    <t>L06_JVFW_002E_STOPE PREP</t>
  </si>
  <si>
    <t>L05_GHV_032W_STOPE</t>
  </si>
  <si>
    <t>L05_JVSPLIT_005E_DW</t>
  </si>
  <si>
    <t>L05_CV_001W_ROBBING</t>
  </si>
  <si>
    <t>L08_GHVSPLIT_006W_STOPE</t>
  </si>
  <si>
    <t>L10_GHV_030E_RAISE</t>
  </si>
  <si>
    <t>L06_JVFW_002E_STOPE</t>
  </si>
  <si>
    <t>L09_GHV_064E_STOPE</t>
  </si>
  <si>
    <t>L06_DPVE_020E_RAISE</t>
  </si>
  <si>
    <t>L05_CTV_009W_RAISE</t>
  </si>
  <si>
    <t>L05_RYV_025E_RAISE</t>
  </si>
  <si>
    <t>L05_GHVFW_029W_WINZE</t>
  </si>
  <si>
    <t>L05_JVFW_005E_WINZE STOPE</t>
  </si>
  <si>
    <t>L05_GHV_031W_DE</t>
  </si>
  <si>
    <t>L04_GHVSPLIT_055W_DW</t>
  </si>
  <si>
    <t>L04_JV_054W_DW</t>
  </si>
  <si>
    <t>L05_CV_004W_DW</t>
  </si>
  <si>
    <t>L06_JV_001E_STOPE</t>
  </si>
  <si>
    <t>L10_DPVE_043E_DW</t>
  </si>
  <si>
    <t>L10_GHV_036E_RAISE</t>
  </si>
  <si>
    <t>L10_GHV_029E_DW</t>
  </si>
  <si>
    <t>L06_JVHW_020E_DW</t>
  </si>
  <si>
    <t>L05_JVFW_006E_ROBBING</t>
  </si>
  <si>
    <t>L07_JV_026E_RAISE</t>
  </si>
  <si>
    <t>L07_GHV_029E_RAISE</t>
  </si>
  <si>
    <t>L06_JVHW_023E_RAISE</t>
  </si>
  <si>
    <t>L08_JV_012W_DE</t>
  </si>
  <si>
    <t>L05_GHV_019W_DE</t>
  </si>
  <si>
    <t>L09_JVFW_059E_DE</t>
  </si>
  <si>
    <t>SHEPHERD Y</t>
  </si>
  <si>
    <t>L08_NONE_070E_XCS</t>
  </si>
  <si>
    <t>L08_JV_065E_STOPE PREP</t>
  </si>
  <si>
    <t>L07_CTV_011E_DW</t>
  </si>
  <si>
    <t>L08_JVSPLIT_019E_DE</t>
  </si>
  <si>
    <t>L05_NV_007E_RAISE</t>
  </si>
  <si>
    <t>L07_GHV_035E_RAISE</t>
  </si>
  <si>
    <t>L05_GHVHW_050W_RAISE</t>
  </si>
  <si>
    <t>SHEPHERD R2</t>
  </si>
  <si>
    <t>L05_GHVSPLIT_026W_RAISE</t>
  </si>
  <si>
    <t>SHEPHERD R1</t>
  </si>
  <si>
    <t>L08_JVSPLIT_051E_DW</t>
  </si>
  <si>
    <t>L08_DPVE_046E_DE</t>
  </si>
  <si>
    <t>L10_DPVE_063E_RAISE</t>
  </si>
  <si>
    <t>L09_GHVHW_027E_STOPE PREP</t>
  </si>
  <si>
    <t>L06_JV_036E_DW</t>
  </si>
  <si>
    <t>L07_JV_012W_WINZE</t>
  </si>
  <si>
    <t>L07_GHV_037E_ROBBING</t>
  </si>
  <si>
    <t>L09_JVFW_035E_DE</t>
  </si>
  <si>
    <t>L04_JV_016W_WINZE</t>
  </si>
  <si>
    <t>L04_GHVFW_007E_DW</t>
  </si>
  <si>
    <t>L04_GHVFW_015E_STOPE</t>
  </si>
  <si>
    <t>L04_GHVFW_008E_WINZE STOPE</t>
  </si>
  <si>
    <t>L08_JV_016E_STOPE</t>
  </si>
  <si>
    <t>L08_CTV_008E_STOPE PREP</t>
  </si>
  <si>
    <t>L06_CV_005E_WINZE STOPE</t>
  </si>
  <si>
    <t>L10_GHVHW_026E_RAISE</t>
  </si>
  <si>
    <t>L04_JV_039W_ROBBING</t>
  </si>
  <si>
    <t>L04_JV_020E_WINZE</t>
  </si>
  <si>
    <t>L04_JV_007W_WINZE</t>
  </si>
  <si>
    <t>L05_NV_012E_DE</t>
  </si>
  <si>
    <t>L08_NONE_050E_XCN</t>
  </si>
  <si>
    <t>L05_EDV_001E_ROBBING</t>
  </si>
  <si>
    <t>L06_DPVE_038E_DE</t>
  </si>
  <si>
    <t>L05_NONE_006E_XCS</t>
  </si>
  <si>
    <t>L08_DPVE_013E_DE</t>
  </si>
  <si>
    <t>L09_GHVSPLIT_048E_STOPE</t>
  </si>
  <si>
    <t>L05_JV_007E_ROBBING</t>
  </si>
  <si>
    <t>L06_CTV_016E_DE</t>
  </si>
  <si>
    <t>L08_JVSPLIT_019E_RAISE</t>
  </si>
  <si>
    <t>L04_JV_019W_ROBBING</t>
  </si>
  <si>
    <t>L08_JV_065E_STOPE</t>
  </si>
  <si>
    <t>L07_JV_001E_DE</t>
  </si>
  <si>
    <t>L06_GHVFW_029W_DW</t>
  </si>
  <si>
    <t>L09_GHV_030W_RAISE</t>
  </si>
  <si>
    <t>L04_RYV_010E_STOPE</t>
  </si>
  <si>
    <t>L06_CTV_025E_WINZE STOPE</t>
  </si>
  <si>
    <t>L06_DPVE_036E_DE</t>
  </si>
  <si>
    <t>L10_NONE_032E_XCN</t>
  </si>
  <si>
    <t>L08_DPVE_070E_DE</t>
  </si>
  <si>
    <t>L09_GHVHW_049E_RAISE</t>
  </si>
  <si>
    <t>L06_CV_002W_STOPE</t>
  </si>
  <si>
    <t>L05_GHV_019W_DW</t>
  </si>
  <si>
    <t>L05_GHV_023W_DW</t>
  </si>
  <si>
    <t>L08_GHV_036E_RAISE</t>
  </si>
  <si>
    <t>L06_JVHW_026E_DE</t>
  </si>
  <si>
    <t>L06_GHVFW_022W_DW</t>
  </si>
  <si>
    <t>L06_JVHW_018E_DE</t>
  </si>
  <si>
    <t>L08_GHV_038E_RAISE</t>
  </si>
  <si>
    <t>L07_DPVE_067E_STOPE PREP</t>
  </si>
  <si>
    <t>L05_NONE_030W_XCN</t>
  </si>
  <si>
    <t>L06_JVHW_020E_RAISE</t>
  </si>
  <si>
    <t>PANSIT 7</t>
  </si>
  <si>
    <t>L06_GHVFW_022W_RAISE</t>
  </si>
  <si>
    <t>L06_JVFW_006E_ROBBING</t>
  </si>
  <si>
    <t>L04_NV_020W_RAISE</t>
  </si>
  <si>
    <t>L04_CTV5_016E_WINZE</t>
  </si>
  <si>
    <t>LEVEL 11</t>
  </si>
  <si>
    <t>LEVEL 12</t>
  </si>
  <si>
    <t>L07_GHVHW_045E_ROBBING</t>
  </si>
  <si>
    <t>Level 11</t>
  </si>
  <si>
    <t>Level 12</t>
  </si>
  <si>
    <t>L10_GHV_037E_WINZE</t>
  </si>
  <si>
    <t>L08_JVSPLIT_050E_DE</t>
  </si>
  <si>
    <t>L08_JVSPLIT_052E_DW</t>
  </si>
  <si>
    <t>L06_NONE_038E_XCN</t>
  </si>
  <si>
    <t>I</t>
  </si>
  <si>
    <t>MC</t>
  </si>
  <si>
    <t>CODE 1</t>
  </si>
  <si>
    <t>CODE 2</t>
  </si>
  <si>
    <t>CODE 3</t>
  </si>
  <si>
    <t>L11</t>
  </si>
  <si>
    <t>L12</t>
  </si>
  <si>
    <t>COUNT</t>
  </si>
  <si>
    <t>MC TOTAL</t>
  </si>
  <si>
    <t>L09_JVFW_020E_DW</t>
  </si>
  <si>
    <t>L04_NONE_031W_XCS</t>
  </si>
  <si>
    <t>L09_JVHW_070E_DW</t>
  </si>
  <si>
    <t>DELOS REYES V.6</t>
  </si>
  <si>
    <t>L07_DPVE_059E_STOPE PREP</t>
  </si>
  <si>
    <t>L05_GHVSPLIT_033W_WINZE</t>
  </si>
  <si>
    <t>L08_DPVE_049E_RAISE</t>
  </si>
  <si>
    <t>L08_GHVSPLIT_031E_DE</t>
  </si>
  <si>
    <t>WORKPLACE QUOTA</t>
  </si>
  <si>
    <t>INTERMEDIATE</t>
  </si>
  <si>
    <t>INCLINED RAISE</t>
  </si>
  <si>
    <t>ALIMAK RAISE</t>
  </si>
  <si>
    <t>WINZE STOPE BREAKING</t>
  </si>
  <si>
    <t>WINZE STOPE PULL OUT</t>
  </si>
  <si>
    <t>STOPE PULL OUT</t>
  </si>
  <si>
    <t>SILL PILLAR ROBBING</t>
  </si>
  <si>
    <t>CROWN PILLAR ROBBING</t>
  </si>
  <si>
    <t>SUMP/CHAMBER</t>
  </si>
  <si>
    <t>LIFT 2</t>
  </si>
  <si>
    <t>LIFT 3</t>
  </si>
  <si>
    <t>L08_DPVE_014E_RAISE</t>
  </si>
  <si>
    <t>L05_GHV_034W_STOPE PREP</t>
  </si>
  <si>
    <t>L08_DPVE_013E_RAISE</t>
  </si>
  <si>
    <t>L08_GHVSPLIT_017W_DW</t>
  </si>
  <si>
    <t>L07_JV_002E_RAISE</t>
  </si>
  <si>
    <t>L08_GHV_004E_WINZE</t>
  </si>
  <si>
    <t>L05_GHVSPLIT_025W_RAISE</t>
  </si>
  <si>
    <t>L06_DPVE_039E_WINZE STOPE PREP</t>
  </si>
  <si>
    <t>L08_JVSPLIT_053E_DE</t>
  </si>
  <si>
    <t>L05_NV_008E_STOPE PREP</t>
  </si>
  <si>
    <t>L09_JVFW_055E_STOPE</t>
  </si>
  <si>
    <t>L06_GHVFW_032W_RAISE</t>
  </si>
  <si>
    <t>L10_NONE_011E_CHAMBER</t>
  </si>
  <si>
    <t>L08_NONE_003W_XCN</t>
  </si>
  <si>
    <t>L04_GHVFW_005E_WINZE STOPE PREP</t>
  </si>
  <si>
    <t>L05_CV_014E_DE</t>
  </si>
  <si>
    <t>L08_GHV_030W_STOPE PREP</t>
  </si>
  <si>
    <t>L07_JV_039E_RAISE</t>
  </si>
  <si>
    <t>SHEPHERD H 2</t>
  </si>
  <si>
    <t>L08_DPVE_045E_DE</t>
  </si>
  <si>
    <t>L07_EDV_007E_DE</t>
  </si>
  <si>
    <t>L10_DPVE_060E_RAISE</t>
  </si>
  <si>
    <t>L05_NONE_028W_RAISE</t>
  </si>
  <si>
    <t>L06_GHVFW_027W_WINZE</t>
  </si>
  <si>
    <t>L06_JV_008E_DW</t>
  </si>
  <si>
    <t>L09_GHVHW_053E_RAISE</t>
  </si>
  <si>
    <t>L10_GHV_032E_DW</t>
  </si>
  <si>
    <t>L05_JV_015E_DE</t>
  </si>
  <si>
    <t>L08_CTV_008E_STOPE</t>
  </si>
  <si>
    <t>L09_GHVFW_045E_DW</t>
  </si>
  <si>
    <t>L09_GHVFW_044E_RAISE</t>
  </si>
  <si>
    <t>L09_GHVFW_061E_RAISE</t>
  </si>
  <si>
    <t>L05_NV_002E_ROBBING</t>
  </si>
  <si>
    <t>L06_JV_015E_DE</t>
  </si>
  <si>
    <t>L06_JVHW_026E_DW</t>
  </si>
  <si>
    <t>FINAL LIST COUNTER</t>
  </si>
  <si>
    <t>LIST2 CHECKER</t>
  </si>
  <si>
    <t>L07_GHVHW_061E_DE</t>
  </si>
  <si>
    <t>L06_NONE_032W_XCS</t>
  </si>
  <si>
    <t>L07_CTV_006E_RAISE</t>
  </si>
  <si>
    <t>075E</t>
  </si>
  <si>
    <t>L08_DPVE_075E_RAISE</t>
  </si>
  <si>
    <t>L10_NONE_047E_XCN</t>
  </si>
  <si>
    <t>L10_NONE_043E_XCS</t>
  </si>
  <si>
    <t>L09_GHVHW_014E_DW</t>
  </si>
  <si>
    <t>L09_NONE_037E_XCS</t>
  </si>
  <si>
    <t>L08_NONE_008E_XCN</t>
  </si>
  <si>
    <t>L10_GHVFW_028E_STOPE PREP</t>
  </si>
  <si>
    <t>L06_GHVFW_028W_STOPE PREP</t>
  </si>
  <si>
    <t>L04_CTV_010W_DW</t>
  </si>
  <si>
    <t>L05_GHVSPLIT_005W_DE</t>
  </si>
  <si>
    <t>L07_DPVE_067E_STOPE</t>
  </si>
  <si>
    <t>L07_NONE_031E_XCS</t>
  </si>
  <si>
    <t>L08_NONE_032E_RAISE</t>
  </si>
  <si>
    <t>L08_JVSPLIT_052E_DE</t>
  </si>
  <si>
    <t>L04_GHVFW_024E_RAISE</t>
  </si>
  <si>
    <t>SHEPHERD X2</t>
  </si>
  <si>
    <t>L05_CV_006W_ROBBING</t>
  </si>
  <si>
    <t>L04_JVHW_014E_DE</t>
  </si>
  <si>
    <t>L09_GHVFW_062E_RAISE</t>
  </si>
  <si>
    <t>L07_CTV_006E_STOPE PREP</t>
  </si>
  <si>
    <t>L08_NONE_061E_XCN</t>
  </si>
  <si>
    <t>L08_GHV_044E_STOPE</t>
  </si>
  <si>
    <t>L10_NONE_042E_XCS</t>
  </si>
  <si>
    <t>L06_JVHW_027E_DE</t>
  </si>
  <si>
    <t>L09_JVSPLIT_074E_RAISE</t>
  </si>
  <si>
    <t>L04_NONE_027W_XCS</t>
  </si>
  <si>
    <t>CAPOY 3</t>
  </si>
  <si>
    <t>L09_GHVHW_027E_STOPE</t>
  </si>
  <si>
    <t>L04_CTV_033W_ROBBING</t>
  </si>
  <si>
    <t>DELOS REYES 5</t>
  </si>
  <si>
    <t>SHEPHERD Z</t>
  </si>
  <si>
    <t>L06_JVHW_018E_DW</t>
  </si>
  <si>
    <t>L07_JVHW_001W_DW</t>
  </si>
  <si>
    <t>L05_NONE_028E_XCS</t>
  </si>
  <si>
    <t>L04_GHV_042W_DW</t>
  </si>
  <si>
    <t>L09_JVSPLIT_065E_STOPE</t>
  </si>
  <si>
    <t>L05_JV_033E_DE</t>
  </si>
  <si>
    <t>CAYABAS1</t>
  </si>
  <si>
    <t>L05_CV_003E_ROBBING</t>
  </si>
  <si>
    <t>L09_NONE_029E_XCN</t>
  </si>
  <si>
    <t>L09_JVSPLIT_073E_RAISE</t>
  </si>
  <si>
    <t>L09_DPVE3_051E_DE</t>
  </si>
  <si>
    <t>L09_DPVE3_050E_RAISE</t>
  </si>
  <si>
    <t>L06_GHVFW_004E_WINZE</t>
  </si>
  <si>
    <t>L07_CTV_018E_WINZE</t>
  </si>
  <si>
    <t>L04_GHVFW_017E_STOPE PREP</t>
  </si>
  <si>
    <t>L09_JVSPLIT_057E_RAISE</t>
  </si>
  <si>
    <t>L08_NONE_004W_CHAMBER</t>
  </si>
  <si>
    <t>L06_JV_008E_DE</t>
  </si>
  <si>
    <t>L04_CV_009W_RAISE</t>
  </si>
  <si>
    <t>L06_GHVFW_033W_DW</t>
  </si>
  <si>
    <t>L07_NONE_019E_XCS</t>
  </si>
  <si>
    <t>L07_GHVFW_022W_DW</t>
  </si>
  <si>
    <t>REPLACEMENT OF L07 DPVE 059E RAISE. APPROVED ON MAY 8, 2019. STOPPED CONVERT TO ACTIVE BREAKING ON JUNE 11, 2019.</t>
  </si>
  <si>
    <t>L05_GHVSPLIT_007W_RAISE</t>
  </si>
  <si>
    <t>L05_CTV_038W_ROBBING</t>
  </si>
  <si>
    <t>L05_JV_025W_DW</t>
  </si>
  <si>
    <t>L07_GHVFW_021W_DE</t>
  </si>
  <si>
    <t>L06_DPVE_039E_WINZE STOPE</t>
  </si>
  <si>
    <t>L07_JVHW_003W_DW</t>
  </si>
  <si>
    <t>L09_GHV_046E_RAISE</t>
  </si>
  <si>
    <t>SHEPHERD W6</t>
  </si>
  <si>
    <t>L07_DPVE_027E_ROBBING</t>
  </si>
  <si>
    <t>L07_DPV_028E_RAISE</t>
  </si>
  <si>
    <t>L07_JVHW_063E_STOPE</t>
  </si>
  <si>
    <t>L06_GHVFW_028W_STOPE</t>
  </si>
  <si>
    <t>L06_JV_017E_RAISE</t>
  </si>
  <si>
    <t>L06_JVHW_018E_RAISE</t>
  </si>
  <si>
    <t>L06_NONE_058E_XCN</t>
  </si>
  <si>
    <t>BADBADON R</t>
  </si>
  <si>
    <t>L04_JV_002E_WINZE</t>
  </si>
  <si>
    <t>L04_GHVFW_005E_WINZE STOPE</t>
  </si>
  <si>
    <t>L07_JV_040E_STOPE PREP</t>
  </si>
  <si>
    <t>L07_DPVE_045E_RAISE</t>
  </si>
  <si>
    <t>L09_DPVE3_059E_RAISE</t>
  </si>
  <si>
    <t>L09_GHV_066E_DE</t>
  </si>
  <si>
    <t>L08_JV_064E_DE</t>
  </si>
  <si>
    <t>L06_GHVFW_034W_DW</t>
  </si>
  <si>
    <t>L09_GHVFW_035E_DW</t>
  </si>
  <si>
    <t>L05_CTV_043W_WINZE</t>
  </si>
  <si>
    <t>L07_JVHW_068E_STOPE</t>
  </si>
  <si>
    <t>L06_CTV_038E_ROBBING</t>
  </si>
  <si>
    <t>L06_JVHW_020E_STOPE PREP</t>
  </si>
  <si>
    <t>L04_CTV5_022E_DE</t>
  </si>
  <si>
    <t>L05_NV_009E_STOPE</t>
  </si>
  <si>
    <t>L05_GHV_027W_WINZE</t>
  </si>
  <si>
    <t>L10_GHVFW_038E_RAISE</t>
  </si>
  <si>
    <t>L07_JVHW_001E_DE</t>
  </si>
  <si>
    <t>L10_NONE_040E_XCN</t>
  </si>
  <si>
    <t>L08_NONE_073E_XCS</t>
  </si>
  <si>
    <t>L08_GHVSPLIT_016W_DE</t>
  </si>
  <si>
    <t>L06_JVHW_027E_RAISE</t>
  </si>
  <si>
    <t>L10_DPVE_054E_DE</t>
  </si>
  <si>
    <t>L10_DPVE_042E_RAISE</t>
  </si>
  <si>
    <t>L09_DPVE3_068E_DE</t>
  </si>
  <si>
    <t>L07_GHVFW_023W_DW</t>
  </si>
  <si>
    <t>L10_JVFW_053E_DE</t>
  </si>
  <si>
    <t>L08_DPVE_012E_RAISE</t>
  </si>
  <si>
    <t>L08_GHVSPLIT_031E_WINZE</t>
  </si>
  <si>
    <t>L10_NONE_030E_XCN</t>
  </si>
  <si>
    <t>SHEPHERD P2</t>
  </si>
  <si>
    <t>L05_EDV_008W_ROBBING</t>
  </si>
  <si>
    <t>L06_GHVFW_032W_DE</t>
  </si>
  <si>
    <t>L05_CTV_011W_WINZE</t>
  </si>
  <si>
    <t>L05_GHV_034W_STOPE</t>
  </si>
  <si>
    <t>L07_JVSPLIT_001W_DE</t>
  </si>
  <si>
    <t>L06_GHVFW_022W_STOPE PREP</t>
  </si>
  <si>
    <t>L07_CTV_008E_STOPE PREP</t>
  </si>
  <si>
    <t>L07_JV_040E_DE</t>
  </si>
  <si>
    <t>L09_GHVHW_057E_DE</t>
  </si>
  <si>
    <t>L06_JV_010E_RAISE</t>
  </si>
  <si>
    <t>L09_GHVHW_058E_RAISE</t>
  </si>
  <si>
    <t>L08_DPVE_045E_DW</t>
  </si>
  <si>
    <t>L05_JV_033E_RAISE</t>
  </si>
  <si>
    <t>L05_GHV_046W_WINZE</t>
  </si>
  <si>
    <t>L05_CTV_007E_DE</t>
  </si>
  <si>
    <t>L07_DPVE_025E_ROBBING</t>
  </si>
  <si>
    <t>L07_JVHW_029E_ROBBING</t>
  </si>
  <si>
    <t>BELICAN2</t>
  </si>
  <si>
    <t>L08_DPVE_011E_DW</t>
  </si>
  <si>
    <t>L10_GHV_052E_DW</t>
  </si>
  <si>
    <t>L10_JV_028E_DW</t>
  </si>
  <si>
    <t>L10_JV_052E_DE</t>
  </si>
  <si>
    <t>NOCOS</t>
  </si>
  <si>
    <t>BORERO</t>
  </si>
  <si>
    <t>REPLACEMENT OF L04 GHVFW 007E DW. APPROVED ON MAY 17, 2019. MZC. CONVERT TO STOPE BREAKING ON JUNE 13, 2019.</t>
  </si>
  <si>
    <t>REPLACEMENT OF L04 GHVFW 007E DE. APPROVED ON MARCH 16, 2019. TEMP. STOPPED TO PRIORITIZE 15E STOPE PREP.RESUMED ON MAY 3,2019-MZC,SDNC/ SAME TIME TRANSFERRED TO CABONITA 1 FROM COMAINGKING. TEMP. STOPPED ON MAY 9, 2019 TO CONDUCT INCLINED RAISE BEFORE PROCEEDING TO STOPE PREP</t>
  </si>
  <si>
    <t>REPLACEMENT OF L04 RYV 010E STOPE PREP. APPROVED ON APRIL 15, 2019.STOPPED BREAKING/CONVERTED TO PULL-OUT ON 5/30/19-LOC.</t>
  </si>
  <si>
    <t>REPLACEMENT OF L04 GHVFW 014E STOPE PREP. APPROVED ON FEB. 13, 2019. RECOMMEND TO IPR STARTING AT 8METERS FROM 14E RAISE. STOPPED BREAKING AND CONVERTED TO STOPE PULL-OUT ON MARCH 19, 2019 TRANSFERRED TO CABONITA DUE TO PARAGUYA'S GROUP HAS BEEN TRANSFERRED TO LEVEL 10. STOPPED ON MARCH 31, 2019 DUE TO LOW CONSECUTIVE ASSAY GRADE.</t>
  </si>
  <si>
    <t>L04_NONE_055W_XCS</t>
  </si>
  <si>
    <t>REPLACEMENT OF L04 JV 047W STOPE. APPROVED ON MARCH 1, 2019. STOPPED ON MARCH 27, 2019 BECAUSE IT ALREADY HIT THE TARGET VEIN.</t>
  </si>
  <si>
    <t>ADDITIONAL VERTICAL DEVELOPMENT APPOROVED ON DECEMBER 19,2018.STOPPED ON JANUARY 31, 2019 DUE TO BREAKTHROUGH.</t>
  </si>
  <si>
    <t>ADDITIONAL PRODUCTION. APPROVED ON FEB. 1, 2019. MZC. STOPPED ON FEB 23, 2019. CONVERT TO BREAKING,</t>
  </si>
  <si>
    <t>L04_NV_011W_STOPE PREP</t>
  </si>
  <si>
    <t>REPLACEMENT OF L04 NV 011E RAISE. APPROVED ON DECEMBER 15, 2018. ON WEST POSITION. STOPPED ON JANUARY 16, 2019.</t>
  </si>
  <si>
    <t>REPLACEMENT OF L04 JVSPLIT 058W RAISE. APPROVED ON MARCH 28, 2019/ STOPPED ON MAY 29, 2019 DUE TO CONSECUTIVE LOW GRADE CUT SAMPLES</t>
  </si>
  <si>
    <t>REPLACEMENT OF L04 NONE 007W XCS.APPROVED ON OCTOBER 24, 2018. STOPPED ON JAN 8. 2019 DUE TO CONSECUTIVE LOW ASSAY GRADE.</t>
  </si>
  <si>
    <t>REPLACEMENT OF L04 JV 033E DE. APPROVED ON SEPT. 4, 2018. TEMP. STOPPED ON DECEMBER 19, 2018 DUE TO ABSENTEEISM OF MEN RESULTING TO ADANDONMENT OF WORKPLACE. RESUMED ON JANUARY 10, 2019 AS PER RAESPENIDO. STOPPED ON MARCH 4, 2019, FINISHED ROBBING SILL PILLAR.</t>
  </si>
  <si>
    <t>TORMIS</t>
  </si>
  <si>
    <t>OY-YOY</t>
  </si>
  <si>
    <t>WASTEPASS, APPROVED ON 4/10/19-SDNC.ALREADY BREAKTHROUGH STOPPED ON APRIL 15, 2019</t>
  </si>
  <si>
    <t>FILL WINZE FOR WASTE PASS. APPROVED ON APRIL 8, 2019.RENAMED TO 20E FROM 17E ON 4/10/19-LTS. STOPPED ON APRIL 15, 2019 BECAUSE THIS WAS ALREADY BREAKTHROUGH.</t>
  </si>
  <si>
    <t>REPLACEMENT OF L04 JVSPLIT 010W STOPE PREP. APPROVED ON NOVEMBER 12, 2018. MZC. TEMPORARY STOPPED ON JANUARY 11, 2019 TO CONTINUE RAISING ON THE EAST MANWAY. STOPPED BREAKING ALREADY FINISHED DRIVING FILL RAISE ON JANUARY 19, 2019.</t>
  </si>
  <si>
    <t>REPLACEMENT OF L04 JV 002E STOPE PREP. APPROVED ON NOVEMBER 12, 2018. MZC. STOPPED BREAKING ON JANUARY 16, 2018 DUE TO PINCHED-OUT OF VEIN. COVERTED TO PULL-OUT.</t>
  </si>
  <si>
    <t>L04_CTV_025E_DW</t>
  </si>
  <si>
    <t>LERIO</t>
  </si>
  <si>
    <t>REPLACEMENT OF L04 CTV5 016E RAISE. APPROVED ON DECEMBER 10, 2018. MZC. STOPPED ON JANUARY 24, 2019. CONVERTED TO STOPE BREAKING.</t>
  </si>
  <si>
    <t>REPLACEMENT OF L04 GHVFW 014E RAISE. APPROVED ON JANUARY 31, 2019. MZC. STOPPED ON FEB 18, 2019. CONVERTED TO ACTIVE BREAKING.</t>
  </si>
  <si>
    <t>REPLACEMENT OF L04 JV 047W STOPE PREP APPROVED ON AUGUST 14, 2018. STOPPED ON NOV 23, 2018. CONVERTED TO STOPE PULL-OUT ON NOVEMBER 23, 2018. RESUMED BREAKING 12/12/ 2018. CONVERTED TO STOPE PULL-OUT 2/1/2019.MINED OUT ON MARCH 19, 2019</t>
  </si>
  <si>
    <t>REPLACEMENT OF L04 JV 002E STOPE PREP. APPROVED ON NOVEMBER 12, 2018. MZC. STOPPED BREAKING ON JANUARY 16, 2018. COVERTED TO PULL-OUT ON JANUARY 16, 2019. MINED-OUT ON 3/20/2019 WITH 78% PULL-OUT CLEANING.</t>
  </si>
  <si>
    <t>REPLACEMENT OF L04 NV 011E RAISE. APPROVED ON DECEMBER 15, 2018. ON WEST POSITION. CONVERTED TO BREAKING ON JANUARY 21, 2019. CONVERTED STOPE PULL-OUT JAN 28, 2019. DECLARED MINED-OUT MARCH 15, 2019.</t>
  </si>
  <si>
    <t>REPLACEMENT OF L04 JV 049W RAISE. APPROVED ON DECEMBER 10, 2018. STOPPED ON JANUARY 11, 2019 ALREADY REACHED THE DESIRED STRIKE LENGTH.</t>
  </si>
  <si>
    <t>REPLACEMENT OF L04_RYV_011E_DE. APPROVED ON FEB. 6, 2019. STOPPED ON FEB 25, 2019 ALREADY BREAKTHROUGH.</t>
  </si>
  <si>
    <t>REPLACEMENT OF L04 NONE 055W XCS. APPROVED ON MARCH 27, 2019.STOP ON 4/9/19-SDNC, PINCHED-OUT VEIN.</t>
  </si>
  <si>
    <t>ADDITIONAL HORIZONTAL DEVELOPMENT. APPROVED ON MARCH 21, 2019.STOPPED ON APRIL 23, 2019 ALREADY BREAKTHROUGH.</t>
  </si>
  <si>
    <t>ADDITIONAL HORIZONTAL DEVELOPMENT. APPROVED ON MARCH 20, 2019. STOPPED ON MAY 2, 2019 DUE TO PINCHED OUT OF VEIN.</t>
  </si>
  <si>
    <t>ADDITIONAL VERTICAL DEVELOPMENT. APPROVED ON JANUARY 11, 2019. MZC. STOPPED ON JANUARY 19, 2019 ALREADY FINISHED FILL RAISE.</t>
  </si>
  <si>
    <t>ADDITIONAL VERTICAL DEVELOPMENT. APPROVED ON DECEMBER 4, 2018. MZC. STOPPED ON JANUARY 29, 2019 ALREADY BREAKTHROUGH TO OLD STOPE.</t>
  </si>
  <si>
    <t>REPLACEMENT OF L04 JV 009W ROBBING. APPROVED ON NOVEMBER 15, 2018. MZC. STOPPED ON JANUARY 31, 2019.</t>
  </si>
  <si>
    <t>REPLACEMENT OF L04 JV 002E DW. APPROVED ON SEPT 1, 2018. STOPPED OCTOBER 12,2018. RESUMED ON JANUARY 16, 2019. STOPPED ON FEB 7, 2019  DUE TO OFF-VEIN.</t>
  </si>
  <si>
    <t>ADDITIONAL VERTICAL DEVELOPMENT. APPROVED ON 2/14/19. TRANSFER FROM DUHIG TO SHEPHERD X 2 (CAPUYAN) STARTING ON MARCH 13, 2019.STOP ON APR 4, 2019-LTS.</t>
  </si>
  <si>
    <t>REPLACEMENT OF L04 NV 017W DW, APPROVED ON 5/3/19-SDNC.STOPPED ON JUNE 13, 2019 DUE TO CONSECTUVIE LOW ASSAY GRADE.</t>
  </si>
  <si>
    <t>REPLACEMENT OF L04 CV 008W DE. APPROVED ON JUNE 10, 2019.STOPPED DUE TO PINCHED OUT VIEN ON JULY 3, 2019</t>
  </si>
  <si>
    <t>REPLACEMENT OF L05 GHV 040W WINZE STOPE PREP. APPROVED ON MARCH 14,2019.ALREADY REACHED THE DESIGNED PILLAR. CONVERT TO PULL OUT CLEANING ON MAY 30, 2019. STOPPED ON JULY 4, 2019 DUE TO CONSECUTIVE LOW ASAY GRADES ON CUT/SAMPLE BULK SAMPLE.</t>
  </si>
  <si>
    <t>REPLACEMENT OF L05 CV 4W RAISE,APPROVED ON 4/10/19-LTS.STOPPED RECOMMENDED FOR ACTIVE STOPE BREAKING ON MAY 30, 2019</t>
  </si>
  <si>
    <t>REPLACEMENT OF L05 GHV 030W WINZE STOPE PREP. APRROVED ON SEPTEMBER 14, 2018. CONVERTED TO STOPE PULL-OUT ON MARCH 13, 2019. STOPPED ON JUNE 14, 2019 ALREADY FINISHED.</t>
  </si>
  <si>
    <t xml:space="preserve"> REPLACEMENT OF L05 EDV 001E ROBBING ON APPROVED ON JUNE 11, 2019. STOPPED ON JUNE 27, 2019 DUE TO CONSECUTIVE LOW ASSAY GRADES ON CUT SAMPLES/BULK SAMPLES.</t>
  </si>
  <si>
    <t>TO INTERSECT 025W MAINLINE. APPROVED ON 12/15/18. STOPPED ON 2/20/2019 ALREADY BREAKTHROUGH AS PER CNASIRIT.</t>
  </si>
  <si>
    <t>REPLACEMENT OF L05 JVFW 012W RAISE.APRROVED ON MARCH 18,2019. STOPPED ON MAY 7, 2019 CONVERT TO STOPE PREPARATION.</t>
  </si>
  <si>
    <t>REPLACEMENT OF L05 NONE 006E XCS APROVED ON MAY 21, 2019. STOPPED DUO TO CONSEACTIVE LOW ASSAY &amp; PICHED OUT OF VEIN ON JUNE 8, 2019.</t>
  </si>
  <si>
    <t>REPLACEMENT OF L05 CV 004W STOPE PREP.APPROVED ON MAY 30, 2019. STOPPED ON JUNE 21, 2019 DUE TO CONSECUTIVE LOW ASSAY CUT/BULK SAMPLE.</t>
  </si>
  <si>
    <t>REPLACEMENT OF L05 CTV 007W STOPE PREP. APPROVED ON MARCH 26, 2019. INCLINED RAISE.STOP ON 4/11/19-LTS, LOW ASSAY GRADE RESULT.</t>
  </si>
  <si>
    <t>REPLACEMENT OF L05 CV 009E RAISE. APPROVED ON JANUARY 11, 2019. MZC. STOPPED ON JANUARY 17, 2019.</t>
  </si>
  <si>
    <t>REPLACEMENT OF L05 GHV 040W WINZE STOPE PREP. APPROVED ON MARCH 14,2019.ALREADY REACHED THE DESIGNED PILLAR. CONVERT TO PULL OUT CLEANING ON MAY 30, 2019.</t>
  </si>
  <si>
    <t>ADDITIONAL HORIZONTAL DEVELOPMENT.APPROVED ON FEBRUARY 5, 2019. STOPPED ON FEB 22, 2019 DUE TO PINCHED-OUT OF VEIN.</t>
  </si>
  <si>
    <t>REPLACEMENT OF L05 CV 003W STOPE PREP. APPROVED ON MARCH 26, 2019.STOP ON 4/9/19-LTS, VEIN PINCH OUT.</t>
  </si>
  <si>
    <t>ADDITIONAL VERTICAL DEVELOPMENT. INCLINED RAISE. APPROVED ON FEB 21, 2019. MZC. TEMP. STOPPED ON MARCH 8, 2019 DUE TO HIT AN OLD ROCKBOLT THAT COMES FROM OLD DRILLING CHAMBER AND TO RESURVEY THE RAISE IN ORDER TO KNOW THE ELEVATION AND PILLAR FROM OLD DRILLING CHAMBER.</t>
  </si>
  <si>
    <t>REPLACEMENT OF L05 NONE 026E XCN. APPROVED ON DECEMBER 4, 2018. STOPPED ON JAN 9, 2019</t>
  </si>
  <si>
    <t>REPLACEMENT OF L05 JVHW 007E DE. APPROVED ON NOVEMBER 26,2018. STOPPED ON JANUARY 25, 2019 DUE TO VEIN PINCHED OUT.</t>
  </si>
  <si>
    <t>PANCIT</t>
  </si>
  <si>
    <t>REPLACEMENT OF L05 GHVSPLIT 033W STOPE. APPROVED ON MARCH 3, 2018.STOP ON MAY 11, 2018/GEO MEMO.</t>
  </si>
  <si>
    <t>L05_GHV_046W_DW</t>
  </si>
  <si>
    <t>REPLACEMENT OF L05 GHVFW 004W DE. APPROVED ON DEC 1, 2018. RENAMED FROM L05 NONE 008E XCS TO L05 NONE 008E XCN DUE TO WRONG FOLLOW OF TARGET AS IT WAS NOT PROPERLY TURN-OVER BY MINER. TEMPORARY STOPPED ON JANUARY 18,2019 FOR EVALUATION.</t>
  </si>
  <si>
    <t>REPLACEMENT OF L05 JVFW 006E ROBBING. APPROVED ON APRIL 18,2019.STOPPED ALREADY HIT THE TARGET ON MAY 21, 2019</t>
  </si>
  <si>
    <t>L05_NONE_033E_XCS</t>
  </si>
  <si>
    <t>REPLACEMENT OF L05 CV 006W RAISE. APPROVED ON MAY 7, 2019. STOPPED ON JUNE 6, 2019 CONVERT ON VEIN.</t>
  </si>
  <si>
    <t>REPLACEMENT OF L05 GHV 022W ROBBING. APPROVED ON FEB 26, 20189.PURPOSE FOR ACCESS.STOPPED ON APR 3, 2019.</t>
  </si>
  <si>
    <t>REPLACEMENT OF L05 CV 005W WINZE. APPROVED ON MAR 27, 2019.STOPPED ON JUNE 4, 2019</t>
  </si>
  <si>
    <t>REPLACEMENT OF L05 JVFW 045E STOPE.APPROVED OCTOBER 16, 2018. STOPPED BREAKIING CROWN PILLAR, START BREAKING SILL PILLAR ON JANUARY 8, 2019. ALREADY FINISHED N JANUARY 25, 2019.</t>
  </si>
  <si>
    <t>L05_GHVSPLIT_031W_ROBBING</t>
  </si>
  <si>
    <t>REPLACEMENT OF L05 JV 018E STOPE.APPROVED MARCH 18, 2019.STOP ON 4/5/19-LTS, DUE TO CONS. LOW ASSAY GRADE.</t>
  </si>
  <si>
    <t>ADDITIONAL PRODUCTION TONNAGE. APPROVED ON 3/25/19. STOPPED ON 5/27/19-LOC, ALREADY FINISHED.</t>
  </si>
  <si>
    <t>REPLACEMENT OF L05_CV_001W_ROBBING ON JUNE 7, 2019. STOPPED BREAKING THE CROWN PILLAR ANG HAULING OF BROKEN MATERIALS ON JUNE 29, 2019.</t>
  </si>
  <si>
    <t>REPLACE OF L05 NV 007E RAISE ON MAY 22, 2019.CONVERT TO SILL PILLAR ON JUNE 10, 2019. STOPPED ON JUNE 27, 2019 DUE TO ALREADY MINE OUT.</t>
  </si>
  <si>
    <t>REPLACEMENT OF L05 GHV 030W WINZE STOPE PREP. APRROVED ON SEPTEMBER 14, 2018. STOPPED BREAKING AND CONVERT TO STOPE CLEANING.</t>
  </si>
  <si>
    <t>REPLACEMENT OF L05 CTV 008W RAISE. APPROVED ON NOVEMBER 29,2018. CONVERTED TO BREAKING ON JANUARY 25, 2019.</t>
  </si>
  <si>
    <t>L05_JVFW_005E_WINZE STOPE PREP</t>
  </si>
  <si>
    <t>REPLACEMENT OF L05 CTV 008W RAISE. APPROVED ON NOVEMBER 29,2018. CONVERTED TO BREAKING ON JANUARY 25, 2019.CONVERTED TO PULL-OUT ON 4/9/19-LTS.</t>
  </si>
  <si>
    <t>REPLACEMENT OF L05 NV 008E RAISE. APPROVED ON MAY 15,2019.STOPPED CONVERT TO ACTIVE BREAKING ON JUNE 6, 2019.</t>
  </si>
  <si>
    <t>CONVERTED ON 10/31/18 TO PULL-OUT. LA VIRAY. CONTROL PULL-OUT HAVING 12 MC PER DAY DUE TO ERRATIC VEIN GRADE EFFECTIVE ON DECEMBER 2, 2018.STOPPRD DECLARED MINED OUT ON JANUARY 8, 2019</t>
  </si>
  <si>
    <t>L05_CTV_043W_DW</t>
  </si>
  <si>
    <t>REPLACEMENT OF L05 GHV 038W DW. APPROVED ON JANUARY 20,2019. STOPPED ON JANUARY 30, 2019 DUE TO PINCHED OUT OF VEIN.</t>
  </si>
  <si>
    <t>REPLACEMENT OF L05 CV 21W ROBBING .SERVES AS BYPASS TO ACCESS THE L05 CV 023W ROBBING. APPROVED ON MAR 21, 2019. STOPPED ON MAR 28, 2019.</t>
  </si>
  <si>
    <t>REPLACEMENT OF L05 GHV 19W WINZE APPROVED ON APR 3 2018/LTS.STOP ON 4/26/19-LOC.</t>
  </si>
  <si>
    <t>REPLACEMENT OF L05 CV 004W WINZE . APPROVED ON MAR 28, 2019.TEMPORARY STOPPED ON JUNE 4, 2019.STOPPED ALREADY CONVERTED TO L05_CV_5W_WINZE STOPE PREP ON JUNE 4, 2019</t>
  </si>
  <si>
    <t>REPLACEMENT OF L05 GHV 019W DE, APPROVED ON 4/26/19-LOC.STOPPED ON JUNE 4, 2019 BREAK THOUGH AT OLD RAISE</t>
  </si>
  <si>
    <t>REPLACEMENT OF L05_NV_002E_ROBBING ON JULY 2, 2019.STOPPED DUE TO BREAK THOUGH ON JULY 3, 2019</t>
  </si>
  <si>
    <t>REPLACEMENT OF L05_GHVSPLIT_030E_DW. APPROVED ON JAN 10, 2019.STOPPED CONNECTED TO OLD STOPE ON JANUARY 23, 2019</t>
  </si>
  <si>
    <t>REPLACEMENT OF L05 NONE 027W XCN. APPROVED ON FEB 22, 2019. MZC.STOPPED ON FEB 27,2019. BREAKTHROUGH TO GHV 21W STOPE</t>
  </si>
  <si>
    <t>REPLACEMENT OF L05 CV 002E STOPE.APPROVED ON JANUARY 23, 2019. RENAMED FROM L05 CV 003E RAISE. STOPPED ON MARCH 8, 2019 ALREADY CONNECTED TO THE OLD RAISE.</t>
  </si>
  <si>
    <t>REPLACEMENT OF L05 JV 016W ROBBING.APPROVED ON JANUARY 17, 2019.STOPPED CONVERT TO STOPE PREP ON MARCH 18, 2019</t>
  </si>
  <si>
    <t>ADDITIONAL VERTICAL DEVELOPMENT.APPROVED ON MARCH 30, 2019.STOPPED PINCHED OUT VIEN ON APRIL22, 2019</t>
  </si>
  <si>
    <t>ADDITIONAL VERTICAL DEVELOPMENT. APPROVED ON 4/9/19-LOC.STOPPED ON JUN 3, 2019 DUE TO VEIN PINCHED OUT</t>
  </si>
  <si>
    <t>REPLACEMENT OF L06 CTV 024E STOPE PREP.APPROVED ON APRIL 1 , 2019. CONVERT TO PULL-OUT CLEANING ON JUNE 28, 2019</t>
  </si>
  <si>
    <t>REPLACEMENT OF L06 GHVFW 28W RAISE, APPROVED ON 5/27/19-SDNC. STOPPED ON JUNE 15, 2019, CONVERT TO BREAKING.</t>
  </si>
  <si>
    <t>REPLACEMENT TO L06_JVHW_026E_DW ON JUNE 4, 2019. STOPPED ON JUNE 23, 2019 ALREADY BREAKTHROUGH.</t>
  </si>
  <si>
    <t>REPLACEMENT OF L06 CV 5E WINZE STOPE PREP,APPROVED ON 4/11/19-LTS.STOPPED BREAKING CONVERT TO PULL-OUT CLEANING DUE TO BREAK THROUGH ON JUNE 12, 2019.</t>
  </si>
  <si>
    <t>REPLACEMENT OF L06 CV 005E DE. APPROVED ON FEB 22, 2019. MZC.CONVERTED TO BREAKING ON 4/11/19-LTS.</t>
  </si>
  <si>
    <t xml:space="preserve">L06_DPVE_022E_STOPE </t>
  </si>
  <si>
    <t>REPLACEMENT OF L06 CTV 023E RAISE.APPROVED ON MARCH 19, 2019. STOPPED ON APRIL 1, 2019</t>
  </si>
  <si>
    <t>REPLACEMENT OF L06 GHVFW 025W RAISE. APPROVED ON MAY 15, 2019. STOPPED DUE TO BREAKTHROUGH AT L06_GHVFW_030W_STOPE ON JUNE 7, 2019 -LTS</t>
  </si>
  <si>
    <t>L06_JVFW_004E_STOPE PREP</t>
  </si>
  <si>
    <t>REPLACEMENT OF L06 006E STOPE PREP APPROVED ON AUGUST 18, 2018. CONVERT TO PULL-OUT CLEANING ON FEB. 22, 2019. DECLARED MINED-OUT ON MARCH 20, 2019 WITH 89% PULL-OUT MINE CARS.</t>
  </si>
  <si>
    <t>ADDITIONAL VERTICAL DEVELOPMENT . EXPLORE WESTERN SIDE OF THE STOPE OF L06 GHVFW 007W STOPE 3/13/19. STOPPED VEIN PINCHED OUT ON MARCH 18, 2019</t>
  </si>
  <si>
    <t>SILVOZA</t>
  </si>
  <si>
    <t>GONZALES</t>
  </si>
  <si>
    <t>UDLOS</t>
  </si>
  <si>
    <t>DAVOCOL</t>
  </si>
  <si>
    <t>REPLACEMENT OF L06 CTV 011E ROBBING. APPROVED ON SEPTEMBER 11, 2018.STOPPED ON JAN 9, 2019</t>
  </si>
  <si>
    <t>REPLACEMENT OF L06 JV 055E ROBBING. APPROVED ON JANUARY 8, 2019.STOPPED ON MARCH 11, 2019</t>
  </si>
  <si>
    <t>REPLACEMENT OF L06 GHVFW 029W STOPE PREP.APPROVED ON SEPTEMBER 25, 2018. STOPPED BREAKING AND CONVERTED TO PULL OUT ON JAN 8, 2019.</t>
  </si>
  <si>
    <t>REPLACEMENT OF L06_JVFW_037E_STOPE PREP.APPROVED ON 10/14/18. STOPPED BREAKING AT THE SAME TIME CONVERTED TO PULL OUT ON JAN 9, 2019.</t>
  </si>
  <si>
    <t>REPLACEMENT OF L06 006E STOPE PREP APPROVED ON AUGUST 18, 2018. STOPPED BREAKING ON 2/22/2019 ALREADY REACHED THE RECOMMENDED CORWN PILLAR. CONVERT TO PULL-OUT.</t>
  </si>
  <si>
    <t>L06_DPVE_024E_RAISE</t>
  </si>
  <si>
    <t>L06_JV_009E_RAISE</t>
  </si>
  <si>
    <t>REPLACEMENT OF L06 GHVFW 008W RAISE. APPROVED ON JAN 17, 2019.STOPPED CONVERT TO STOPE BREAKING ON FEBRUARY 4, 2019</t>
  </si>
  <si>
    <t>REPLACEMENT OF L06 GHVFW 003E RAISE. APPROVED ON JAN 26, 2019. STOPPED AND CONVERT TO BREAKING ON MARCH 1, 2019.</t>
  </si>
  <si>
    <t>REPLACEMENT OF L06 JV 001W RAISE. APPROVED ON MARCH 13,2019.STOPPED ON APRIL 2, 2019</t>
  </si>
  <si>
    <t>REPLACEMENT OF L06 GHVFW 029W STOPE PREP.APPROVED ON SEPTEMBER 25, 2018. STOPPED BREAKING AND CONVERTED TO PULL OUT ON JAN 8, 2019.STOPPED ON JAN 9, 2019 ALREADY MINED OUT</t>
  </si>
  <si>
    <t>L06_DPVE_023E_WINZE STOPE</t>
  </si>
  <si>
    <t>REPLACEMENT OF L06_JVFW_037E_STOPE PREP.APPROVED ON 10/14/18. STOPPED BREAKING AT THE SAME TIME CONVERTED TO PULL OUT ON JAN 9, 2019. MINE-OUT ON JANUARY 22, 2019 AS PER DOLACO.</t>
  </si>
  <si>
    <t>REPLACEMENT OF L06 GHVFW 001E RAISE. APPROVED ON JANUARY 19, 2019.STOPPED TO AVOID DAMAGE OF MECHANICAL EQUIPMENT ON FEBRUARY 5, 2019</t>
  </si>
  <si>
    <t>REPLACEMENT OF L06 NV 009E DW. APPROVED ON SEPTEMBER 14, 2018. TEMPORARY STOPPED ON  10/1/18 TO PRIORITIZE L06 NV 009E RAISE. STOPPED BY COORDINATION MEETING ON OCTOBER 4, 2018.</t>
  </si>
  <si>
    <t>L06_JVFW_007E_DW</t>
  </si>
  <si>
    <t>ADDITIONAL HORIZONTAL DEVELOPMENT. APPROVED ON 2/9/19. RENAMED FROM L06 JVFW 066E DW TO L06 JVFW 007E DW TO AVOID MISCHARGING TO L06 JVFW 006E STOPE.STOOPED DUE TO CONSECUTIVE LOW ASSAY GRADE AND VEIN PINCHED OUT ON FEBRUARY 12, 2019</t>
  </si>
  <si>
    <t>REPLACEMENT OF L06 JV 36E WINZE, APPROVED ON 4/10/19-LTS. STOPPED ON APRIL 23, 2019 ALREADY BREAKTHROUGH.</t>
  </si>
  <si>
    <t>L06_GHV_014W_RAISE</t>
  </si>
  <si>
    <t>REPLACEMENT OF L06 JVHW 021E DE.APPROVED ON APRIL 1, 2019. STOPPED ON APRIL 26, 2019 TO PREVENT THE 6M REMAINING BALNCE TO BREAKTHROUGH AT ACTIVE MAINLINE.</t>
  </si>
  <si>
    <t>QUIJANO 5</t>
  </si>
  <si>
    <t>REPLACEMENT OF L06 JVHW 026E DE ON MAY 22, 2019.STOPPED DUE TO PINCHED OUT VIEN ON JUNE 4, 2019</t>
  </si>
  <si>
    <t xml:space="preserve">ADDITIONAL HORIZONTAL DEVELOPMENT.APPROVED ON MAY 21, 2019. STOPPED ON JUNE 13, 2019. ALREADY REACHED DESIGNED HEIGHT. </t>
  </si>
  <si>
    <t>REPLACEMENT OF L06 CTV 017E DW. APPROVED ON 2/6/19.STOPPED CONVERTED TO STOPE PREP ON MARCH 19, 2019</t>
  </si>
  <si>
    <t>L06_DPV_020E_RAISE</t>
  </si>
  <si>
    <t>REPLACEMENT OF L06 JV 008E DW. APPROVED ON JUNE 9,2019. STOPPED ON JULY 2, 2019 DUE TO VEIN PINCHED OUT.</t>
  </si>
  <si>
    <t>REPLACMENT OF L06_JVFW_004E_STOPE.APPROVED ON APRIL 2, 2019.STOP ON 5/3/19-SDNC, PINCHED OUT VEIN.</t>
  </si>
  <si>
    <t>REPLACEMENT OF L06 GHVFW 022W DW.STOPPED ON JUNE 29, 2019.</t>
  </si>
  <si>
    <t xml:space="preserve">L07_DPVE_059E_STOPE </t>
  </si>
  <si>
    <t>REPLACEMENT OF L07 DPVE 059E RAISE. APPROVED ON MAY 8, 2019. STOPPED CONVERT TO ACTIVE BREAKING ON JUNE 11, 2019. STOPPED ON JUNE 28, 2019 CONVERT TO PULL-OUT.</t>
  </si>
  <si>
    <t>L07_JVHW_063E_STOPE PREP</t>
  </si>
  <si>
    <t>REPLACEMENT  OF L07 JVHW 068E STOPE PREP. APPROVED ON MAY 22, 2019. CONVERT TO PULL-OUT CLEANING ON JUNE 20, 2019.</t>
  </si>
  <si>
    <t>TARGETING MD 295. APPROVED ON JUNE 10, 2019. STOPPED ON JUNE 15, 2019 DUE TO UNSAFE CONDITION. STOPPED ON JUNE 15, 2019 DUE TO EVALUATING THE DRIVE TO OLD ROBBING.</t>
  </si>
  <si>
    <t>REPLACEMENT  OF L07 JVHW 068E STOPE PREP. APPROVED ON MAY 22, 2019. CONVERT TO PULL-OUT CLEANING ON JUNE 20, 2019. STOPPED ON JUNE 27, 2019 DUE TOCONSECUTIVE LOW ASSAY GRADE ON CUT SAMPLES/BULK SAMPLES.</t>
  </si>
  <si>
    <t>REPLACEMENT OF L07 JV 057E STOPE PREP.APPROVED ON FEBRUARY 4, 2019. DUE TO 2 CONSECUTIVE LOW ASSAY GRADE, LEVEL GEO SUGGEST TO INSTALL IPR ALONG FIRST, SECOND AND THIRD CHUTES.STOP BREAKING CONVERT TO PULL-OUT ON APR 4, 2019/LTS-DUE TO CONS. LOW ASSAY GRADE RESULT.</t>
  </si>
  <si>
    <t>REPLACEMENT OF L07 GHVHW 057E RAISE. APPROVED ON JANUARY 25, 2019. MZC. STOPPED AND CONVERT TO STOPE BREAKING.</t>
  </si>
  <si>
    <t>ADDITIONAL SOURCE OF GOOD ORE. APPROVED ON MAY 4, 2019. TOPSLICE.TEMP.STOPPED TO PRIORITIZE L07 JVHW 001W_DW ON JUNE 4, 2019</t>
  </si>
  <si>
    <t>REPLACEMENT OF L07 JV 057E STOPE PREP.APPROVED ON FEBRUARY 4, 2019. DUE TO 2 CONSECUTIVE LOW ASSAY GRADE, LEVEL GEO SUGGEST TO INSTALL IPR ALONG FIRST, SECOND AND THIRD CHUTES.STOP BREAKING CONVERT TO PULL-OUT ON APR 4, 2019/LTS-DUE TO CONS. LOW ASSAY GRADE RESULT.STOP PULL-OUT DUE TO CONS. LOW ASSAY GRADE ON 4/5/19-LTS.</t>
  </si>
  <si>
    <t>REPLACEMENT OF L07_JVHW_001W_DW ON JUNE 21, 2019. STOPPED ON JUNE 24, 2019 DUE TO THE VEIN DRIVES WILLL MERGE.</t>
  </si>
  <si>
    <t>L07_DPVE_023E_DW</t>
  </si>
  <si>
    <t>REPLACEMENT OF L07_NONE_019E_XCS.APPROVED ON JUNE 19, 2019. STOPPED ON JUNE 21, 2019 DUE TO VEIN BEING FOLLOWED MERGED TO THE VEIN AT TE MAINLINE OF THE DRIVE.</t>
  </si>
  <si>
    <t>REPLACEMENT OF L07 JVHW 072E RAISE. APPROVED ON NOVEMBER 30, 2018.MZC. STOPPED ON JANUARY 25, 2019 ALREADY BREAKTHROUGH.</t>
  </si>
  <si>
    <t>ADDITIONAL HORIZONTAL DEVELOPMENT ON JUNE 5, 2019. STOPPED ON JUNE 20, 2019 DUE TO BREAK TROUGH TO OLD MAINLINE</t>
  </si>
  <si>
    <t>L07_GHV_034E_DE</t>
  </si>
  <si>
    <t>REPLACEMENT OF L07 GHV 037E DE. APPROVED ON MARCH 14,2019.STOP ON 4/5/19-LTS DUE TO LOW GRADE &amp; VEIN PINCH OUT.</t>
  </si>
  <si>
    <t>REPLACEMENT OF L07 GHVHW 056E WINZE STOPE.APPROVED ON MARC H 23, 2019.STOP ON 4/5/19-LTS, ALREADY CONNECTED TO L7 MAINLINE.</t>
  </si>
  <si>
    <t xml:space="preserve">REPLACEMENT OF L07 GHV 037E DE. APPROVED ON FEBRUARY 18,2019. </t>
  </si>
  <si>
    <t>GUNAY</t>
  </si>
  <si>
    <t>FERNANDEZ 1</t>
  </si>
  <si>
    <t>SERVE AS OFFICE CHAMBER. APPROVED ON FEB 5, 2019. PALT.STOP ON 4/6/19-LTS, ALREADY FINICHED.</t>
  </si>
  <si>
    <t>REPLACEMENT OF L07 JV 57E STOPE, APPROVED ON 4/10/19-LTS. STOPPED DUE TO ALREADY FINISHED BREAKING THE CROWN PILLAR ON JUNE 6, 2019.</t>
  </si>
  <si>
    <t>DELOS REYES</t>
  </si>
  <si>
    <t>L07_DPVE_033E_RAISE</t>
  </si>
  <si>
    <t>REPLACEMENT  OF L07 DPVE 029E STOPE PREP ON DECEMBER 3, 2018.STOPPED BREAKING CONVERT TO PULL OUT CLEANING ON FEBRUARY 7, 2019</t>
  </si>
  <si>
    <t>L07_JVHW_068E_STOPE PREP</t>
  </si>
  <si>
    <t>REPLACEMENT OF L07 JVHW 063E STOPE PREP. APPROVED ON JUNE 15,2019. STOPPED BREAKING AND CONVERT TO PULL-OUT CLEANING STOPE ON JUNE 27, 2019.</t>
  </si>
  <si>
    <t>REPLACEMENT OF L07 CTV 006E RAISE APPROVED ON JUNE 4, 2019.TEMPORARY STOPPED EXPLORE THE RAISE ON JUNE 8, 2019</t>
  </si>
  <si>
    <t>REPLACEMENT OF L07 JVHW 070E DW.APPROVED ON FEBRUARY 4, 2019.STOP FEB 22, 2019 ALREADY BREAKTHROUGH.</t>
  </si>
  <si>
    <t>REPLACEMENT OF L07 GHV 019E DE. APPROVED ON FEB 18, 2019.STOPPED DUE TO CONSECUTIVE LOW ASSAY GRADE ON MARCH 19, 2019</t>
  </si>
  <si>
    <t>REPLACEMENT OF L07 GHV 013E ROBBING, APPROVED ON FEBRUARY 25, 2019.STOP APRIL 2,2019-LTS.</t>
  </si>
  <si>
    <t>REPLACEMENT OF L07 DPVE 063E DW. APPROVED ON FEBRUARY 16,2019.STOPPED ON MARCH 25, 2019 DUE LOW CONSECUTIVE ASSAY GRADE.</t>
  </si>
  <si>
    <t>REPLACEMENT OF L07 CTV 061E STOPE. APPROVED ON MARCH 8, 2019.STOP ON APR 4, 2019 DUE TO CONT. LOW GRADE RESULT AND PINCHED OUT VEIN/LTS.</t>
  </si>
  <si>
    <t>L07_GHV_036E_RAISE</t>
  </si>
  <si>
    <t>REPLACEMENT OF L07 GHV 029E RAISE.APPROVED ON MAY 18, 2019.TEMP.STOP ON 5/25/19-LOC, INSUFFICIENT MANPOWER.</t>
  </si>
  <si>
    <t>REPLACEMENT OF L07 DPVE 63E RAISE, APPROVED ON 4/5/19-LTS.STOPPED ON JUNE 3, 2019 DUE TO CONSECUTIVE LOW ASSAY GRADE.</t>
  </si>
  <si>
    <t>ADDITIONAL VERTICAL DEVELOPMENT. APPROVED ON MAY 18, 2019. STOPPED ON JUNE 13, 2019 ALREADY REACHED THE PROJECTED STRIKE LENGTH.</t>
  </si>
  <si>
    <t>ADDITIONAL VERTICAL DEVELOPMENT APPROVED ON MAY 8, 2019.TRANSFERRED TO SHEPHERD Z FROM BABOR Z ON JUNE 5, 2019, STOPPED ON JUNE 21, 2019 DUE TO PINCH OUT VEIN.</t>
  </si>
  <si>
    <t>REPLACEMENT OF L08 GHVFW 027E RAISE.APPROVED MAY 17, 2019. STOPPED ON JUNE 08, 2019 DUE TO CONVERT TO ACTIVE BREAKING.</t>
  </si>
  <si>
    <t>FILL WINZE TO BE CONNECTED TO OLD STOPE. APPROVED ON MAY 12,2019.STOPPED ALREADY BREAKTHOUGH ON MAY 21, 2019</t>
  </si>
  <si>
    <t>REPLACEMENT OF L08 GHV 044E RAISE. APPROVED ON APRIL 23, 2019.CHANGE STATUS RECOMMENDED FOR ACTIVE STOPE BRAKING ON JUNE 4, 2019</t>
  </si>
  <si>
    <t>REPLACEMENT OF L08 JVSPLIT 053E DE.APPROVED ON MAY 16, 2019. CHANGE HEADING FROM L08_NONE_064E_XCN TO L08_JV_064E_DE ON JUNE 18, 2019.</t>
  </si>
  <si>
    <t>REPLACEMENT OF L08 GHVFW 001E STOPE PREP. APPROVED ON AUGUST 23,2018. STOPPED BREAKING ON JAN 8,2019 AT THE SAME TIME CONVERTED TO PULL OUT.</t>
  </si>
  <si>
    <t>REPLACEMENT OF L08 GHVFW 001E STOPE PREP. APPROVED ON AUGUST 23,2018. STOPPED BREAKING ON JAN 8,2019 AT THE SAME TIME CONVERTED TO PULL OUT. MINED-OUT ON FEB 13, 2019 AS PER EEL WITH 101% PULL-OUT.</t>
  </si>
  <si>
    <t>REPLACEMENT OF L08_GHVFW_027E DW. APRROVED ON FEBRUAY 8, 2019.STOP ON 4/9/19-LTS, CONSECUTIVE LOW GRADE.</t>
  </si>
  <si>
    <t>AGLOLO</t>
  </si>
  <si>
    <t>REPLACEMENT OF L08 GHVFW 028E STOPE. APPROVED ON FEB 22, 2019. MZC.STOP ON 4/9/19-LTS, VEIN PINCH OUT.</t>
  </si>
  <si>
    <t>L08_GHV_028W_RAISE</t>
  </si>
  <si>
    <t>ADDITIONAL SOURCE OF GOOD ORE.APPROVED ON SEPTEMBER 28, 2018. STOPPED ON OCTOBER 12,2018.</t>
  </si>
  <si>
    <t>LARIO 1</t>
  </si>
  <si>
    <t>ADDITIONAL BATTERY CHAMBER. APPROVED ON JUNE 9,2019.STOPPED ON JULY 3, 2019 ALREADY FINISHED .</t>
  </si>
  <si>
    <t>REPLACEMENT OF L08 GHV 036E STOPE PREP. APPROVED ON OCTOBER 2,2018.STOPPED BREAKING AT THE SAME TIME CONVERTED TO PULL OUT STAGE ON JAN 21, 2019.</t>
  </si>
  <si>
    <t>REPLACEMENT OF L08 GHVFW 007E RAISE. APPROVED ON 1/8/19.STOPPED ON FEBRUARY 6, 2019 CONVERT TO ACTIVE BREAKING.</t>
  </si>
  <si>
    <t>REPLACEMENT OF L08 JV 015E RAISE. APPROVED ON MARCH 14,2019.CONVERTED TO BREAKING ON 4/11/19-LTS.</t>
  </si>
  <si>
    <t>REPLACEMENT OF L08 CTV 9E RAISE,APPROVED ON 4/11/19-LTS.STOPPED CONVERT TO ACTIVE BREAKING ON MAY 21, 2019</t>
  </si>
  <si>
    <t>L08_GHV_044E_STOPE PREP</t>
  </si>
  <si>
    <t>L08_GHV_025W_DW</t>
  </si>
  <si>
    <t>REPLACEMENT OF L08 DPVE 054E STOPE PREP. APPROVED ON FEBRUARY 18,2019. CONVERTED TO PULL-OUT CLEANING ON MARCH 12, 2019.TEMP.STOPPED ON APR 3, 2019/LTS-UNSAFE CONDITION, 35% PULL-OUT WITH 513 REMAINING MINECARS FOR EVALUATION UG.</t>
  </si>
  <si>
    <t>REPLACEMENT OF L08 NONE 015E XCN. APPROVED ON NOV 19, 2018.CHANGED FROM GHVFW TO JV ON NOV 29, 2018/LTS.STOPPED DUE TO PINCHED OUT OF VIEN ON JANUARY 18, 2019</t>
  </si>
  <si>
    <t>L08_JV_016W_DW</t>
  </si>
  <si>
    <t>REPLACEMENT OF L08 NONE 016W XCS.APPROVED ON MARCH 8, 2019.STOPPED ON APR 3, 2019 DUE TO PINCHED OUT VEIN/LTS.</t>
  </si>
  <si>
    <t>REPLACEMENT OF L08 DPVE 035E DW.APPROVED ON DECEMBER 18, 2018.STOP ON 4/9/19-LTS, VEIN PINCH OUT.</t>
  </si>
  <si>
    <t>REPLACEMENT OF L08 JVFW 57E RAISE, APPROVED ON 4/9/19-LTS. TEMP. STOPPED ON APRIL 23, 2019 DUE TO MANPOWER ISSUE.REPLACEMENT OF L08 JVFW 056E RAISE. APPROVED ON MAY 6,2019/ STOPPED ON MAY 29, 2019. DUE TO OFF VEIN</t>
  </si>
  <si>
    <t>REPLACEMENT OF L08 DPVE 046E DE.APPROVED ON MAY 18, 2019.STOPPED DUE TO UNSAFE CONDITION ON MAY 21, 2019</t>
  </si>
  <si>
    <t>REPLACEMENT OF L08 JVSPLIT 052E DW. APPROVED ON MAY 29 2019. STOPPED ON JUNE 20, 2019 DUE TO CONSECUTIVE LOW ASSAY GRADES ON CUT SAMPLES/BULK SAMPLES.</t>
  </si>
  <si>
    <t>ADDITIONAL HORIZONTAL DEVELOPMENT.APPROVED ON JUNE 5, 2019. STOPPED ON JULY 2, 2019 DUE TO PINCHED OUT VEIN.</t>
  </si>
  <si>
    <t>REPLACEMENT OF L08 GHVFW 046E RAISE. APPROVED ON MARCH 13,2019.STOPPED ON 4/16-19-LOC, CONNECTED TO OLD STOPE.</t>
  </si>
  <si>
    <t>ADDITIONAL VERTICAL DEVELOPMENT. APPROVED ON MARCH 15,2019.STOPPED CONVERT TO STOPE PREP ON MAY 17, 2019</t>
  </si>
  <si>
    <t>REPLACEMENT OF L08 JV 012W DE. APPROVED ON MAY 8, 2019. STOPPED ON JULY 2, 2019 DUE TO PINCHED OUT VEIN.</t>
  </si>
  <si>
    <t>REPLACEMENT OF L09 GHV 017W STOPE PREP.APPROVED ON MARCH 15, 2019.RECOMMENDING TO CONVERT PULL OUT CLEANING ON JULY 3, 2019</t>
  </si>
  <si>
    <t>ADDITIONAL APPROVED ON AUG 11,2018/LTS.STOPPED ON OCTOBER 11,2018.</t>
  </si>
  <si>
    <t>ADDITIONAL VERTICAL DEVELOPMENT. APPROVED ON APRIL 3,2018. STOPPED ON OCT. 3, 2018. REACHED TO LEVEL 10 ELEVATION. CONVERTED TO L10 GHV 032E DE. APPROVED ON 10/3/18</t>
  </si>
  <si>
    <t>REPLACEMENT OF L09 GHV 004W STOPE PREP.APPROVED ON APRIL 1, 2019.ALREADY FINISHED STOPE BACK BREAKING CONVERT TO PULL OUT CLEANING ON JUNE 4, 2019</t>
  </si>
  <si>
    <t>REPLACEMENT OF L09 GHV 31E STOPE PREP APPROVED ON 9/12/18-LTS.STOP BREAKING/CONVERTED TO PULL-OUT ON 4/1/19-LTS.</t>
  </si>
  <si>
    <t>L09_NONE_012E_SHAFT*</t>
  </si>
  <si>
    <t>ADDITIONAL VERTICAL DEVELOPMENT. APPROVED ON NOVEMBER 18,2018. TEMP. STOPPED FEB 8, 2019 DUE TO LACK OF MANPOWER.RESUMED ON MARCH 19, 2019.STOPPED ON APR 4,2019 DUE TO PINCHED OUT VEIN/SDNC.</t>
  </si>
  <si>
    <t xml:space="preserve">REPLACEMENT OF L09 DPVE 048E RAISE.APPROVED ON JANUARY 22, 2019. STOPPED ON 2/10/19 SUE TO PINCHING-OUT OF VEIN. </t>
  </si>
  <si>
    <t>BADANA, ELIZER</t>
  </si>
  <si>
    <t>SERVICE MAINLINE GOING TO L09 43E SHAFT APPROVED ON JUNE 6, 2018/BSB.TEMP.STOPPED ON JUNE 21,2018/LTS-DUE TO UNAVAILABILITY OF MUCKING MACHINE &amp; MANPOWER.RESUMED ON JULY 2,2018/LTS-TRANSFER TO PANSIT 5  FROM PMC MINERS 4. STOPPED .TRANSFERRED TO TAÑEZA 3 ON JULY 11, 2018 (MGT.)ALREADY CONNECTED TO 52E DW. APPROVED ON SEPTEMBER 11, 2018</t>
  </si>
  <si>
    <t>L09_JVFW_065E_STOPE</t>
  </si>
  <si>
    <t>REPLACEMENT OF L09 DPVE 047E DE.APPROVED ON SEPTEMBER 28, 2018. STOPPED ON NOV 21, 2018 AS PER LEVEL GEO MEMO.</t>
  </si>
  <si>
    <t>REPLACEMENT OF L09 GHV 018W RAISE.APPROVED ON JANUARY 17, 2019. STOPPED ON FEB 8, 2019 AND CONVERT TO BREAKING.</t>
  </si>
  <si>
    <t>REPLACEMENT OF L09 GHV 052E DW. APPROVED ON MARCH 6, 2019. SDNC. TEMP. STOPPED ON MARCH 16, 2019 FOR FURTHER EVALUATION.</t>
  </si>
  <si>
    <t>REPLACEMENT OF L09 JVFW 065E RAISE. APPROVED ON FEBRUARY 17,2019.STOPPED CONVERTED TO ACTIVE BREAKING.APPROVED ON MARCH 19, 2019</t>
  </si>
  <si>
    <t>REPLACEMENT OF L09 DPVE 015E RAISE. APPROVED ON FEBRUARY 12,2019.STOPPED CONVERTED TO ACTIVE BREAKING.APPROVED ON MARCH 19, 2019</t>
  </si>
  <si>
    <t>ADDITIONAL PRODUCTION. APPROVED ON FEB 8, 2019. MZC. CONVERT TO BREAKING MARCH 25, 2019.</t>
  </si>
  <si>
    <t>REPLACEMENT OF L09 GHV 004W DE. APPROVED ON MARCH 13,2019.STOPPED ON APRIL1 , 2019</t>
  </si>
  <si>
    <t>ADDITIONAL HORIZONTAL DEVELOPMENT. APPROVED ON FEBRUARY 4, 2019; STOPPED ON FEB 18, 2019 ALREADY BREAKTHROUGH TO L09 52E DW.</t>
  </si>
  <si>
    <t>REPLACEMENT OF L09 NONE 039E XCS. APPROVED ON NOV 21, 2018.STOPPED DUE TO VEIN PINCHED OUT ON MARCH 9, 2019</t>
  </si>
  <si>
    <t>PANCIT, NOEL 2</t>
  </si>
  <si>
    <t>L09_GHVFW_029E_DE</t>
  </si>
  <si>
    <t>REPLACEMENT OF L09 DPVE 022E DW. APPROVED ON JAN. 9, 2019.STOPPED ON APR 4, 2019/LTS.</t>
  </si>
  <si>
    <t>REPLACEMENT OF L09 JV 46E DW, APPROVED ON APR 4, 2019/LTS.STOPPED ON 5/24/19-LTS,DUE TO VEIN PINCH OUT.</t>
  </si>
  <si>
    <t>REPLACEMENT OF L09 NONE 054E XCS. APPROVED OF FEBRUARY 13,2019. TEMPORARY STOPPED ON 3/16/19, TO PRIORITIZE L08 GHV 045E DW. RESUMED ON MARCH 22, 2019 AND TRANSFER TO CAPPUYO, EFREN FROM BALANGHIG, MARJUN TO CONTINUE TURN-OUT PREP.STOP ON 4/7/19-UNSERVICEABLE AREA-MEMO FROM OPERATIONS,/MEMO GIVEN TO ENGINEERING APR 9,2019-LOC.RESUMED ON 4/11/19-LTS.STOPPED ON 5/24/19-LTS,DUE TO VEIN PINCH OUT.</t>
  </si>
  <si>
    <t>REPLACEMENT OF L09 GHV 054E RAISE. APPROVED ON OCTOBER 18,2018.STOPPED FEBRUARY 7, 2019 ALREADY REACHED THE LEVEL 8 ELEVATION</t>
  </si>
  <si>
    <t>L09_JVSPLIT_062E_DE</t>
  </si>
  <si>
    <t>SHEPHERD S1</t>
  </si>
  <si>
    <t>ADDITIONAL HORIZONTAL DEVELOPMENT.APPROVED ON MAY 8, 2019. STOPPED ON JUNE 20, 2019 DUE TO PINCHED OUT VEIN/CUT BY CROSS FAULT STRUCTURE.</t>
  </si>
  <si>
    <t>ADDITIONAL VERTICAL DEVELOPMENT. APPROVED ON FEB 22, 2019, GJTD.STOPPED ALREADY BREAK THOUGH ON MARCH 31, 2019</t>
  </si>
  <si>
    <t>REPLACEMENT OF L09 JV 050E DE.APPROVED ON FEBRUARY 14, 2019.STOP ON 4/5/19 DUE TO PINCHED-OUT VEIN-LTS.</t>
  </si>
  <si>
    <t>L09_DPVE3_052E_RAISE</t>
  </si>
  <si>
    <t>REPLACEMENT OF L10 GHV 009E DW.APPROVED ON FEBRUARY 11, 2019.STOPPED ON MARCH 20, 2019</t>
  </si>
  <si>
    <t>L10_GHVFW_035E_RAISE</t>
  </si>
  <si>
    <t>REPLACEMENT OF L10 GHV 029E DW. APPROVED ON APRIL 25, 2019.STOPPED CONVERT TO VEIN ON MAY 21,2019</t>
  </si>
  <si>
    <t>ADDITIONAL, APPROVED ON MAR 2, 2018 AS PER LTS.STOPPED ON APRIL 26, 2018/PALT</t>
  </si>
  <si>
    <t>REPLACEMENT OF L10 GHVFW 022E RAISE.APPROVED ON NOVEMBER 6, 2018.STOPPED DUE TO PINCHED OUT ON JANUARY 21, 2019</t>
  </si>
  <si>
    <t>ADDITIONAL VERTICAL DRIVE. APPROVED ON MARCH 29, 2019.STOP ON 4/10/19-SDNC, DUE TO UNIMPROVED TEXTURAL VEIN.</t>
  </si>
  <si>
    <t>REPLACEMENT OF L10 GHV 024E DE.APPROVED ON SEPTEMBER 28, 2018. STOPPED ON DECEMBER 4, 2018. ALREADY HIT THE TARGET VEIN.</t>
  </si>
  <si>
    <t>ADDITIONAL HORIZONTAL DRIVE. APPROVED ON MARCH 30, 2019.TRANSFERRED FROM RIPARIP 1 TO SHEPHERD Y ON APR 4, 2019 MEMO FROM SHEPHERD. STOPPED ON APRIL 25, 2019 BECAUSE IT WAS CUT BY SERIES OF NORTHWEST SOUTHWEST TREND FAULT STRUCTURES.</t>
  </si>
  <si>
    <t>L05_CTV_013E_DW</t>
  </si>
  <si>
    <t>ALMEDORA1</t>
  </si>
  <si>
    <t>L07_DPV_020E_DE</t>
  </si>
  <si>
    <t>L06_JV_060E_ROBBING</t>
  </si>
  <si>
    <t>L06_GHVFW_032W_STOPE PREP</t>
  </si>
  <si>
    <t>MANZANO1</t>
  </si>
  <si>
    <t>BADBADONR.4</t>
  </si>
  <si>
    <t>L06_CV_004W_RAISE</t>
  </si>
  <si>
    <t>L10_JVHW_043E_DW</t>
  </si>
  <si>
    <t>PMC MINERS</t>
  </si>
  <si>
    <t>L10_JVFW_041E_DE</t>
  </si>
  <si>
    <t>L07_JVHW_003W_RAISE</t>
  </si>
  <si>
    <t>L05_CV_004W_WINZE STOPE PREP</t>
  </si>
  <si>
    <t>L05_GHVFW_029W_DW</t>
  </si>
  <si>
    <t>L10_GHV_037E_DE</t>
  </si>
  <si>
    <t>L07_JV_010E_WINZE</t>
  </si>
  <si>
    <t>L10_GHV_001E_STOPE PREP</t>
  </si>
  <si>
    <t>PARAGUYA1</t>
  </si>
  <si>
    <t>BADBADON L4</t>
  </si>
  <si>
    <t>ADDITIONAL APPROVED ON APR 4, 2019/LTS. RENAMED FROM L09 GHV 059E RAISE TO L09 GHV 051E RAISE TO AVOID MISCHARGING TO L09 JVFW 059E DE APPROVED ON APRIL 11,2019.L09_GHV_061E_RAISE RENAMED TO L09 GHVFW 61E RAISE ON MAY 21, 2019. TEMPORARY STOPPED( FULLY STOPPED IF MEMO IS RELEASED BY GEO AND MINE OPS) ON 6/1/19, TO PROCEED FOR WIREFRAME AND ISSUE ON TIMBER. STOPPED ON JUNE 4, 2019 INSUFFICIENT SUPPLY OF TIMBER. RESUMED ON JUNE 14, 2019 ON THE SAME DATE TRANSFER FROM CAPPUYO 3 TO BALANGHIG 2 TO DO INCLINED RAISE. STOPPED ON JULY 9, 2019  ALREADY REACHED THE RECOMMENDED STRIKE LENGTH AND NOW PRODUCING CONSECUTIVE LOW ASSAY GRADE.</t>
  </si>
  <si>
    <t>L09_GHVFW_043E_RAISE</t>
  </si>
  <si>
    <t>REPLACEMENT OF L04 GHVFW 017E RAISE. APPROVED ON JUNE 8, 2019.RECOMMEND FOR ACTIVE BREAKING APPROVED ON JUNE 28, 2019.</t>
  </si>
  <si>
    <t>L04_GHVFW_017E_STOPE</t>
  </si>
  <si>
    <t>L06_DPVE_038E_WINZE STOPE PREP</t>
  </si>
  <si>
    <t>L09_GHV_035W_RAISE</t>
  </si>
  <si>
    <t>L07_JVHW_005W_RAISE</t>
  </si>
  <si>
    <t>L06_JVSPLIT_004E_DW</t>
  </si>
  <si>
    <t>L10_NONE_054E_XCN</t>
  </si>
  <si>
    <t>L10_GHV_056E_RAISE</t>
  </si>
  <si>
    <t>L06_JV_001E_DE</t>
  </si>
  <si>
    <t>ADDITIONAL GOOD SOURCE OF ORE APPROVED ON JUNE 27, 2019. STOPPED ON JULY 10, 2019 DUE TO CONSECUTIVE LOW ASSAY GRADE.</t>
  </si>
  <si>
    <t>REPLACEMENT OF L08 GHV 044E RAISE. APPROVED ON APRIL 23, 2019.CHANGE STATUS RECOMMENDED FOR ACTIVE STOPE BRAKING ON JUNE 4, 2019. STOPPED BREAKING ON JULY 10, 2019 DUE TO VEIN PINCHED OUT.</t>
  </si>
  <si>
    <t>REPLACEMENT OF L09 DPVE 016E STOPE PREP.APPROVED ON MARCH 17, 2019. CONVERT TO PULL OUT-CLEANING ON JULY 10, 2019</t>
  </si>
  <si>
    <t>RENAMED FROM L10 GHV 046E DW TO INTERSECT L09 26E ML  ON JUNE 4, 2019. STOPPED ON JULY 11, 2019.</t>
  </si>
  <si>
    <t>L10_GHVFW_028E_STOPE</t>
  </si>
  <si>
    <t>L06_JVHW_020E_STOPE</t>
  </si>
  <si>
    <t>ADDITIONAL SOURCE OF GOOD ORE. APPROVED ON JUNE 10, 2019. RENAMED ON JULY 5, 2019 FROM L06_JV_056E_ROBBING TO L06_JV_060E_ROBBING.TEMP STOPPED ON JULY 13, 2019 TO PRIORITIZE FILL WINZE FOR WASTE PASS AT 67E_POSITION.</t>
  </si>
  <si>
    <t>L06_NONE_065E_WINZE</t>
  </si>
  <si>
    <t>L08_GHV_005W_WINZE</t>
  </si>
  <si>
    <t>L07_GHVFW_019W_RAISE</t>
  </si>
  <si>
    <t>REPLACEMENT OF L05 CTV 009E ROBBING. APPROVED ON FEB 26, 2019. STOPED ON JULY 8, 2019 DUE TO UNSAFE CONDITION.</t>
  </si>
  <si>
    <t>REPLACEMENT OF L04_CV_009W_RAISE APPROVED ON JULY 4, 2019.STOPPED ON JULY 11, 2019 ALREADY BREAK THRU.</t>
  </si>
  <si>
    <t>L04_JV_016W_STOPE PREP</t>
  </si>
  <si>
    <t>REPLACEMENT OF L04 JVSPLIT 053W RAISE. APPROVED ON MAY 30, 2019.TEMPORARY STOPPED ON JUNE 3, 2019 ON-GOING ML CLEANING. RESUME ON JUNE 13, 2019. STOPPED INCLINED RAISE ON JULY 14, 2019.</t>
  </si>
  <si>
    <t>L04_JV_023E_DW</t>
  </si>
  <si>
    <t>L05_CTV_015E_RAISE</t>
  </si>
  <si>
    <t>SHEPHERD V2</t>
  </si>
  <si>
    <t>L07_DPVE_026E_DE</t>
  </si>
  <si>
    <t>REPLACEMENT OF L05 GHV 023W DW. APPROVED ON MAY 8, 2019. STOPPED BREAKING ON JULY 16, 2019 TO CONVERT TO INTERMEDIATE SUBLEVEL.</t>
  </si>
  <si>
    <t>L09_GHV_030W_STOPE PREP</t>
  </si>
  <si>
    <t>L04_CV_009W_DE</t>
  </si>
  <si>
    <t>L04_JV_013W_ROBBING</t>
  </si>
  <si>
    <t>REPLACEMENT OF L07_DPVE_067E_STOPE APPROVED ON JUNE 18,2019. STOPPED ON JULY 16, 2019 DUE TO PINCHED OUT VEIN.</t>
  </si>
  <si>
    <t>REPLACEMENT OF L07_GHV_037E_ROBBING ON JUNE 15, 2019. STOPPED ON JULY 16, 2019 DUE TO CONSECUTIVE LOW ASSAY GRADES ON CUT SAMPLES/BULK SAMPLES</t>
  </si>
  <si>
    <t>REPLACEMENT OF L07 JV 39E RAISE APPROVED ON JUNE 18, 2019.STOPPED ON JULY 16, 2019.</t>
  </si>
  <si>
    <t>L04_NONE_036W_CHAMBER</t>
  </si>
  <si>
    <t>L04_CTV_011W_ROBBING</t>
  </si>
  <si>
    <t>L06_GHVFW_035W_RAISE</t>
  </si>
  <si>
    <t>REPLACEMENT OF L09_GHV_012W_DW ON JUNE 7 2019. TEMPORARY STOPPED ON JULY 17, 2019 DUE TO UNSERVISABLE AREA.</t>
  </si>
  <si>
    <t>BADBADON L2</t>
  </si>
  <si>
    <t>L05_GHVSPLIT_033W_DW</t>
  </si>
  <si>
    <t>REPLACEMENT OF L06 CV 5E WINZE STOPE PREP,APPROVED ON 4/11/19-LTS.STOPPED BREAKING CONVERT TO PULL-OUT CLEANING DUE TO BREAK THROUGH ON JUNE 12, 2019. STOPPED ON JULY 18, 2019 ALREADY MINE OUT.</t>
  </si>
  <si>
    <t>L06_CV_005E_DW</t>
  </si>
  <si>
    <t>REPLACEMENT OF GHV_067E_DE ON JUNE 13, 2019/LOC.TEMP STOPPED ON JULY 18, 2019 DUE TO MANPOWER ISSUES</t>
  </si>
  <si>
    <t>DELOS REYES V2</t>
  </si>
  <si>
    <t>L09_DPVE3_033E_DE</t>
  </si>
  <si>
    <t>DELOS REYES V.2</t>
  </si>
  <si>
    <t>L07_DPVE_055E_DE</t>
  </si>
  <si>
    <t>SPECIAL PROJECT FOR VENTILATION PURPOSES ON JUNE 4, 2019. STOPPED ON JULY 15, 2019 ALREADY ATTAINED BASED ON THE PLAN.</t>
  </si>
  <si>
    <t>L09_JVFW_021E_DE</t>
  </si>
  <si>
    <t>L09_GHVSPLIT_019E_DE</t>
  </si>
  <si>
    <t>L06_JVHW_022E_RAISE</t>
  </si>
  <si>
    <t>REPLACEMENT OF L07 CTV 008E RAISE ON JULY 1, 2019. STOPPED ON JULY 19, 2019 CONVERT TO ACTIVE BREAKING.</t>
  </si>
  <si>
    <t>REPLACEMENT OF L10 GHV 020E DE ON JUNE 21. 2019. STOPPED ON JULY 19, 2019 ALREADY BREAKTHROUGH.</t>
  </si>
  <si>
    <t>REPLACEMENT OF L05 JVFW 012W STOPE PREP. APPROVED ON MAY 12,2019. STOPPED ON JULY 19, 2019 DUE TO PINCHING OUT THE VEIN CONVERT TO PULL-OUT CLEANING.</t>
  </si>
  <si>
    <t>L06_DPVE_038E_WINZE STOPE</t>
  </si>
  <si>
    <t>L07_CTV_008E_STOPE</t>
  </si>
  <si>
    <t>REPLACEMENT OF L06 NONE 038E XCN ON JUNE 13, 2019. STOPPED ON JULY 22, 2019 CONVERT TO ON VEIN DRIVE.</t>
  </si>
  <si>
    <t>L06_DPVE_058E_DW</t>
  </si>
  <si>
    <t>L09_JV_069E_RAISE</t>
  </si>
  <si>
    <t>L09_JV_066E_RAISE</t>
  </si>
  <si>
    <t>BIHAY1</t>
  </si>
  <si>
    <t>L05_CV_014E_RAISE</t>
  </si>
  <si>
    <t>OY-YOY1</t>
  </si>
  <si>
    <t>REPLACEMENT OF L08 JV 029E STOPE PREP. APPROVED ON NOVEMBER 13, 2018. STOPPED ON JULY 22, 2019 ALREADY REACHED THE RECOMMENDED STRIKE LENGTH/CROWN PILLAR ON THE SAME DAY, CONVERT TO PULL-OUT CLEANING.</t>
  </si>
  <si>
    <t>SHEPHERD X1</t>
  </si>
  <si>
    <t>L04_CV_010W_DW</t>
  </si>
  <si>
    <t>REPLACEMENT OF L09 GHVHW 54E DE,APPROVED ON 5/24/19-LTS. STOPPED ON JULY 23, 2019 DUE TO ALREADY REACHED THE RECOMMENDED STRIKE LENGTH/CROWN PILLAR.</t>
  </si>
  <si>
    <t>REPLACEMENT OF L05 NV 012E DE.APPROVED ON MAY 17, 2019. STOPPED ON JULY 22, 2019 ALREADY REACH THE RECMMENDED STRIKE LENGTH.</t>
  </si>
  <si>
    <t>REPLACEMENT OF L09 JVFW 035E DE.APPROVED ON MAY 7, 2019. STOPPED ON JULY 23, 2019 ALREADY REACHED ITS PROJECTED STRIKE LENGTH.</t>
  </si>
  <si>
    <t>L09_NONE_015E_XCN</t>
  </si>
  <si>
    <t>L05_CTV_013E_RAISE</t>
  </si>
  <si>
    <t>REPLACEMENT OF L05 NV 007E RAISE APPROVED ON JULY 5, 2019. TEMPORARY STOPPED ON JULY 9, 2019 DUE TO DEFECTIVE MUCKING MACHINE.RESUMED ON JULY 10, 2019.STOPPED ON JULY 23,2019.</t>
  </si>
  <si>
    <t>SHEPHERD H3</t>
  </si>
  <si>
    <t>L07_JV_007E_DW</t>
  </si>
  <si>
    <t>CAPOY</t>
  </si>
  <si>
    <t>REPLACEMENT OF L07_CV_004W_DE APPROVED ON JUNE 30, 2019. STOPPED ON JULY 24, 2019 ALREADY CONNECTED TO THE MAINLINE.</t>
  </si>
  <si>
    <t>L07_JVSPLIT_004E_RAISE</t>
  </si>
  <si>
    <t>REPLACEMENT OF L08 JV 16E STOPE PREP,APPROVED ON 4/11/19-LTS.STOPPED ON JULY 23, 2019 DUE TO UNSAFE CONDITION CONVERT TO PULL OUT-LTS.</t>
  </si>
  <si>
    <t>REPLACEMENT OF L08_DPVE_049E_RAISE.APPROVED ON JULY 3, 2019.STOPPED ON JULY 11, 2019 DUE TO OFF VEIN-LTS.</t>
  </si>
  <si>
    <t>ADDITIONAL HORIZONTAL DEVELOPMENT. APPROVED ON  JUNE 4, 2019.STOPPED ON JULY 11, 2019 ALREADY BREAKTHROUGH-LTS.</t>
  </si>
  <si>
    <t xml:space="preserve"> L05_GHVSPLIT_025W_DW</t>
  </si>
  <si>
    <t>REPLACEMENT OF L09 GHV 31E STOPE PREP APPROVED ON 9/12/18-LTS.STOP BREAKING/CONVERTED TO PULL-OUT ON 4/1/19-LTS.STOPPED ON JUNE 25, 2019 DUE TO ALREADY BREAK THRU-LOC.</t>
  </si>
  <si>
    <t>L07_JV_028E_RAISE</t>
  </si>
  <si>
    <t>REPLACEMENT OF L06_GHVFW_032W_DW.APPROVED ON JUNE 9, 2019. STOPPED ON JULY 26,2019 ALREADY CONNECTED TO THE OLD MAINLINE OF L06-LTS.</t>
  </si>
  <si>
    <t>L10_JVSPLIT_059E_DW</t>
  </si>
  <si>
    <t>L06_JVSPLIT_006E_RAISE</t>
  </si>
  <si>
    <t>L06_GHVFW_032W_STOPE</t>
  </si>
  <si>
    <t>L06_GHVFW_022W_STOPE</t>
  </si>
  <si>
    <t>L08_JVSPLIT_018E_RAISE</t>
  </si>
  <si>
    <t>L08_NONE_023W_XCN</t>
  </si>
  <si>
    <t>L05_CV_004W_WINZE STOPE</t>
  </si>
  <si>
    <t>L05_CV_005W_RAISE</t>
  </si>
  <si>
    <t>L10_GHV_039E_RAISE</t>
  </si>
  <si>
    <t>SHEPHERD Y2</t>
  </si>
  <si>
    <t>L09_GHV_067E_RAISE</t>
  </si>
  <si>
    <t>L07_NONE_015E_WINZE</t>
  </si>
  <si>
    <t>ADDITIONAL SOURCE OF GOOD ORE ON JULY 4, 2019.STOPPED ON JULY 24,2019.</t>
  </si>
  <si>
    <t>ADDITIONAL HORIZONTAL DEVELOPMENT. APPROVED ON JULY 23, 2019.TEMP STOPPED ON JULY 24, 2019 FOR PREPARATION OF AUXILIARY MATERIALS.RESUMED ON JULY 25, 2019. STOPPED ON JULY 29, 2019 DUE TO SUDDEN CHANGE IN VEIN TREND WHIH IN TURN WILL CAUSE BREAKTHROUGH TOWARDS THE ADJACENT MAINLINE-SDNC.</t>
  </si>
  <si>
    <t>ADDITIONAL HORIZONTAL DEVELOPMENT. APPROVED ON JULY 15, 2019.STOPPED ON JULY 29, 2019 ALREADY BROKE THROUGH ADJACENT MAINLINE-SDNC.</t>
  </si>
  <si>
    <t>LERIO2</t>
  </si>
  <si>
    <t>L07_EDV_003E_RAISE</t>
  </si>
  <si>
    <t>SHEPHERD W 1</t>
  </si>
  <si>
    <t>SHEPHERD Y 2</t>
  </si>
  <si>
    <t>SHEPHERD P 2</t>
  </si>
  <si>
    <t>L07_DPVE_041E_RAISE</t>
  </si>
  <si>
    <t>L07_CTV_029E_ROBBING</t>
  </si>
  <si>
    <t>REPLACEMENT OF L07 DPVE 045E RAISE. APPROVED ON JULY 18, 2019.TEMP.STOPPED ON JULY 27, 2019 BECAUSE NO WASTEPASS AVAILABLE.</t>
  </si>
  <si>
    <t>L08_NONE_022W_XCN</t>
  </si>
  <si>
    <t>ADDITIONAL VERTICAL DEVELOPMENT APPROVED ON JULY 5, 2019. STOPPED ON JULY 30, 2019 DUE TO CONSECUTIVE LOW ASSAY GRADE-LTS.</t>
  </si>
  <si>
    <t>REPLACEMENT OF L06 JVSPLIT 004E DW. APPROVED ON JULY 26, 2019. RENAMED FROM L06 JVSPLIT 004E RAISE TO L06 JVSPLIT 006E RAISE TO AVOID MISCHARGING ON JULY 27,2019. STOPPED ON JULY 30, 2019 DUE TO CONSECUTIVE LOW ASSAY GRADE.LTS</t>
  </si>
  <si>
    <t>L08_GHVSPLIT_016W_RAISE</t>
  </si>
  <si>
    <t>L08_JVSPLIT_075E_DE</t>
  </si>
  <si>
    <t>L04_JV_023E_RAISE</t>
  </si>
  <si>
    <t>L06_JV_017E_STOPE PREP</t>
  </si>
  <si>
    <t>L06_JVHW_019E_RAISE</t>
  </si>
  <si>
    <t>L04_JV_054W_STOPE PREP</t>
  </si>
  <si>
    <t>SHEPHERD Q1</t>
  </si>
  <si>
    <t>L08_JV_065E_RAISE</t>
  </si>
  <si>
    <t>L08_GHVFW_002E_STOPE PREP</t>
  </si>
  <si>
    <t>L08_GHVSPLIT_058E_DE</t>
  </si>
  <si>
    <t>L08_JV_070E_RAISE</t>
  </si>
  <si>
    <t>L08_DPVE_013E_STOPE PREP</t>
  </si>
  <si>
    <t>ADDITIONAL EXPLORATORY RAISE. APPROVED ON JULY 15, 2019.STOPPED ON JULY 31, 2019 DUE TO BREAKING THUGH TOWARDS LOW DIPPING OLD STOPE OF LEVEL 5 -LTS.</t>
  </si>
  <si>
    <t>L05_CTV_015E_ROBBING</t>
  </si>
  <si>
    <t>REPLACEMENT OF L05_GHVSPLIT_033W_WINZE.APPROVED ON JULY 18, 2019. STOPPED ON JULY 31, 2019 DUE TO VEIN PINCHED OUT.</t>
  </si>
  <si>
    <t>L06_CTV_032E_ROBBING</t>
  </si>
  <si>
    <t>SHEPHERD W</t>
  </si>
  <si>
    <t>L10_NONE_051E_CHAMBER</t>
  </si>
  <si>
    <t>REPLACEMENT OF L07 JVHW 003W DW. APPROVED ON JULY 6,2019. STOPPED ON AUGUST 2, 2019. DUE TO CONSEUCITVE LOW ASSAY GRADES AND PINCHED OUT VIEN.</t>
  </si>
  <si>
    <t>L05_CTV_007E_RAISE</t>
  </si>
  <si>
    <t>L05_GHV_023W_ROBBING</t>
  </si>
  <si>
    <t>L08_GHV_066E_DW</t>
  </si>
  <si>
    <t>L06_JV_006E_RAISE</t>
  </si>
  <si>
    <t>L09_GHVFW_062E_STOPE PREP</t>
  </si>
  <si>
    <t>L04_CV_011W_STOPE PREP</t>
  </si>
  <si>
    <t>REPLACEMENT OF L09 GHVHW 049E DE .APPROVED ON MAY 21, 2019.STOPPED ON AUGUST 6, 2019 DUE TO CONNECTED ALREADY IN LVL 8.</t>
  </si>
  <si>
    <t>REPLACEMENT OF L09 GHVFW 061E RAISE. APPROVED ON 6/1/19. STOPPED ON AUGUST 6, 2019 ALREADY PART OF L09_GHVFW_062E_STOPE PREP.</t>
  </si>
  <si>
    <t>REPLACEMENT OF L07 DPVE 028E RAISE. APPROVED ON JULY 16, 2019.STOPPED ON AUGUST 5, 2019 CONVERTED TO STOPE PREPARATION.</t>
  </si>
  <si>
    <t>REPLACEMENT OF L07_GHVFW_023W_DW APPROVED ON JULY 9, 2019.STOPPED ON AUGUST 7, 2019 DUE TO CONSECUTIVE LOW ASSAY GRADES ON CUT SAMPLES-GEO.</t>
  </si>
  <si>
    <t>ADDITIONAL HORIZONTAL DEVELOPMENT. APPROVED ON JUNE 17, 2019. MZC. RENAMED FROM L04 CTV5 032E DE TO L04 CTV5 022E DE FOR PROPER POSITIONING. TEMP. STOPPED ON JUNE 20, 2019 DUE TO ABSENTEESIM OF MEN RESULTING TO ABANDONMENT OF WORKPLACE AS PER TAN.</t>
  </si>
  <si>
    <t>L09_GHVFW_043E_STOPE PREP</t>
  </si>
  <si>
    <t>REPLACEMENT OF L09_GHVFW_061E_RAISE APPROVED ON JULY 9, 2019. STOPPED ON AUGUST 8, 2019 DUE TO CONVERTED TO STOPE PREP.</t>
  </si>
  <si>
    <t>L09_JVHW_054E_RAISE</t>
  </si>
  <si>
    <t>L09_GHVHW_056E_RAISE</t>
  </si>
  <si>
    <t>L10_JV_058E_RAISE</t>
  </si>
  <si>
    <t>ADDITIONAL VERTICAL DEVELOPMENT APPROVED ON JULY 8, 2019.TEMPORARY STOPPED ON AUGUST 8, 2019 DUE TO CONSECUTIVE LOW ASSAY GRADES ON CUT SAMPLES/BULK SAMPLES.</t>
  </si>
  <si>
    <t>L09_GHVHW_014E_RAISE</t>
  </si>
  <si>
    <t>L08_NONE_025W_XCS</t>
  </si>
  <si>
    <t>L04_JV_019W_WINZE</t>
  </si>
  <si>
    <t>L10_JVSPLIT_062E_DE</t>
  </si>
  <si>
    <t>REPLACEMENT OF L09 GHV 032E WINZE. APPROVED ON OCTOBER 3, 2018.STOPPED ON OCT 12,2018-BBB. REPLACEMENT OF L10GHV 032E DW ON JUNE 21, 2019. STOPPED ON AUGUST 7, 2019 ALREADY BREAK THRU.</t>
  </si>
  <si>
    <t>REPLACEMENT OF L08 NONE 061E XCN. APPROVED ON JULY 31, 2019 -LTS. STOPPED ON AUGUST 9, 2019 DUE TO MULTI-DIRECTIONAL FAULTS CAUSING THE VEIN TO DISPLACE.</t>
  </si>
  <si>
    <t>L08_GHVSPLIT_060E_DE</t>
  </si>
  <si>
    <t>REPLACEMENT OF L08 CTV 008E STOPE PREP.APPROVED ON MAY 21, 2019. TRANSFERRED TO LERIO 1 DUE TO LOW PERFORMANCE. INFORMED ON JUNE 24, 2019.STOPPED ON AUGUST 9, 2019 ALREADY PINCHED OUT AND CONVERT TO PULL OUT CLEANING.</t>
  </si>
  <si>
    <t>L07_JV_049E_RAISE</t>
  </si>
  <si>
    <t>ADDITIONAL HORIZONTAL DEVELOPMENT.APPROVED ON JULY 24,2019. STOPPED ON AUGUST 9, 2019 DUE TO ALREADY REACHED THE RECOMMENDED PILLAR.</t>
  </si>
  <si>
    <t>L07_JV_040E_STOPE</t>
  </si>
  <si>
    <t>REPLACEMENT OF L07_JV_040E_DE.APPROVED ON JULY 18, 2019. CONVERT TO STOP BREAKING ON AUGUST 9, 2019.</t>
  </si>
  <si>
    <t>L07_JV_050E_DE</t>
  </si>
  <si>
    <t>L07_GHVFW_024W_DW</t>
  </si>
  <si>
    <t>L06_GHVFW_036W_RAISE</t>
  </si>
  <si>
    <t>L04_CTV_016W_WINZE</t>
  </si>
  <si>
    <t>L04_CTV5_015E_DE</t>
  </si>
  <si>
    <t>ADDITION AL HORIZONTAL DEVELOPMENT. APPROVED ON JULY 16, 2019. RENAMED ON JULY 22, 2019 FROM L04_CTV_018_DE TO L04_CTV_018W_DW.STOPPED ON AUGUST 12, 2019 DUE TO PINCHED OUT VEIN.</t>
  </si>
  <si>
    <t>REPLACEMENT OF L08 JVSPLIT 052E DE ON JUNE 24, 2019.STOPPED ON JULY 30, 2019 ALREADY HIT THE TARGET VEIN.</t>
  </si>
  <si>
    <t>L10_JVSPLIT_057E_RAISE</t>
  </si>
  <si>
    <t>L07_GHVHW_055E_ROBBING</t>
  </si>
  <si>
    <t>L07_DPVE_027E_STOPE</t>
  </si>
  <si>
    <t>L05_JV_027W_ROBBING</t>
  </si>
  <si>
    <t>REPLACEMENT OF L07_CTV_008E STOPE PREP. APPROVED ON JULY 19, 2019. LOW CONSECUTIVE LOW ASSAY GRADE ON CUT SAMPLE/BULK SAMPLES, DRIVE INTERNAL PROBE RAISE ON AUGUST 8, 2019. STOPPED ON AUGUST 13, 2019 DUE TO CONSECUTIVE LOW ASSSAY GRADES ON CUT SAMPLES/BULK SAMPLES.</t>
  </si>
  <si>
    <t>REPLACEMENT OF L06_CV_005E_WINZE STOPE. APPROVED ON JULY 18, 2019. STOPPED ON AUGUST 13, 2019 DUE TO PINCHED OUT VEIN.</t>
  </si>
  <si>
    <t>L06_CTV_039E_WINZE</t>
  </si>
  <si>
    <t>L05_JVFW_003E_ROBBING</t>
  </si>
  <si>
    <t>REPLACEMENT OF L04_GHV_010W_ROBBING APPROVED ON JULY 30, 2019.SDNC.STOPPED ON AUGUST 14, 2019 DUE TO ALREADY PINCHED OUT VEIN.</t>
  </si>
  <si>
    <t>REPLACEMENT OF L04_CV_009W_DE.APPROVED ON AUGUST 7, 2019. STOPPED ON AUGUST 14, 2019 DUE TO CONSECUTIVE LOW ASSAY GRADE AND PINCHED OUT VEIN.</t>
  </si>
  <si>
    <t>REPLACEMENT OF L05_JV_033E_DE.APPROVED ON JULY 3, 2019. STOPPED ON AUGUST 15, 2019</t>
  </si>
  <si>
    <t>REPLACEMENT OF L05_GHV_027W_WINZE.APPROVED ON JULY 18, 2019.CHANGE NAME FROM L05_GHVSPLIT_027W_DW TO L05_GHVSPLIT_025W_DW ON JULY 25, 2019 DUE TO ALREADY EXISTING NAME HEADING IN LEVEL 5-LTS. TEMPORARY STOPPED ON AUGUST 15, 2019 DUE TO INCAPABLE TO OPERATE THE HEADING.</t>
  </si>
  <si>
    <t>FILL WINZE FOR WASTE PASS. APPROVED ON APRIL 15, 2019. STOPPED ON AUGUST 5, 2019 DUE TO BREAKING THE PILLAR.</t>
  </si>
  <si>
    <t>L04_JV_007W_DW</t>
  </si>
  <si>
    <t>L05_GHVFW_029W_WINZE STOPE PREP</t>
  </si>
  <si>
    <t>L05_JV_033E_STOPE PREP</t>
  </si>
  <si>
    <t>REPLACEMENT OF L05_GHV_034W_STOPE PREP ON JUNE 17, 2019. STOPPED ON AUGUST 15, 2019 CONVERT TO PULL-OUT CLEANING.</t>
  </si>
  <si>
    <t>BY PASS FOR BACK UP ROBBING APPROVED ON JULY 9, 2019. STOPPED ON AUGUST 14, 2019 ALREADY BREAKTHROUGH</t>
  </si>
  <si>
    <t>ADDITIONAL VERTICAL DEVELOPMENT. APPROVED ON 6/5/19/ STOPPED ON AUGUST 12, 2019 ALREADY REACHED THE LEVEL 8 ELEVATION.</t>
  </si>
  <si>
    <t>ADDITIONAL HORIZONTAL DEVELOPMENT.APPROVED ON MAY 21, 2019. STOPPED ON MAY 22, 2019.</t>
  </si>
  <si>
    <t>REPLACEMENT OF L07_JV_010E_WINZE. APPROVED ON AUGUST 9, 2019. STOPPED ON AUGUST 14, 2019 DUE TO ORE TURN TO WASTE.</t>
  </si>
  <si>
    <t>REPLACEMENT OF L06_DPVE_039E_WINZE STOPE PREP APPROVED ON JULY 9, 2019. STOPPED ON 7/19/2019 CONVERT TO ACTIVE BREAKING.STOPPED ON AUGUST 13, 2019 ALREADY FINISHED.</t>
  </si>
  <si>
    <t>PANCIT NOEL 5</t>
  </si>
  <si>
    <t>L09_JVSPLIT_065E_STOPE PREP</t>
  </si>
  <si>
    <t>L09_GHV_046E_STOPE PREP</t>
  </si>
  <si>
    <t>PANCIT NOEL 4</t>
  </si>
  <si>
    <t>L09_JVSPLIT_068E_STOPE PREP</t>
  </si>
  <si>
    <t>BLOCKING RAISE OF L06_JVHW_018E_RAISE APPROVED ON JULY 22, 2019. STOPPED ON JULY 30, 2019 DUE TO VEIN PINCHED OUT &amp; CONSECUTIVE LOW ASSAY GRADE. LTS.</t>
  </si>
  <si>
    <t>L08_DPVE_014E_STOPE PREP</t>
  </si>
  <si>
    <t>REPLACEMENT OF L07 JV 002E RAISE. APPROVED ON JULY 27, 2019. STOPPED ON AUGUST 16, 2019 DUE TO CONSECUTIVE LOW ASSAY GRADE ON CUT SAMPLES/BULK SAMPLES &amp; PINCHED OUT VEIN.</t>
  </si>
  <si>
    <t>L06_JVHW_027E_STOPE PREP</t>
  </si>
  <si>
    <t>L08_DPVE_069E_STOPE PREP</t>
  </si>
  <si>
    <t>ADDITIONAL VERTICAL DEVELOPMENT ON JUNE  14, 2019. STOPPED ON AUGUST 16, 2019 CONVERTED TO STOPE PREP.</t>
  </si>
  <si>
    <t>L06_JV_017E_STOPE</t>
  </si>
  <si>
    <t>L06_JVSPLIT_053E_RAISE</t>
  </si>
  <si>
    <t>L06_DPVE_024E_DW</t>
  </si>
  <si>
    <t>REPLACEMENT OF L09 GHV 067E DE. APPROVED ON JULY 19, 2019. STOPPED ON AUGUST 15, 2019. DUE TO ALREADY BREAK THROUGH.</t>
  </si>
  <si>
    <t>L09_GHVSPLIT_022E_RAISE</t>
  </si>
  <si>
    <t>REPLACEMENT OF L07 JVS 001W DE. APPROVED ON JULY 18, 2019. STOPPED ON AUGUST 19, 2019 DUE TO CONSECUTIVE LOW ASSAY GRADE ON CUT SAMPLE/BULK SAMPLE AND ALREADY PINCHED OUT VEIN.</t>
  </si>
  <si>
    <t>ADDITIONAL HORIZONTAL DEVELOPMENT. APPROVED ON JULY 6, 2019. STOPPED ON AUGUST 19, 2019 . DUE TO CONSECUTIVE LOW ASSAY GRADES ON CUT SAMPLES/BULK SAMPLES.</t>
  </si>
  <si>
    <t>REPLACEMENT OF L05 JVFW 012W STOPE PREP. APPROVED ON MAY 12,2019. STOPPED ON JULY 19, 2019 DUE TO PINCHING OUT THE VEIN CONVERT TO PULL-OUT CLEANING. STOPPED ON AUGUST 20, 2019 DUE TO ALREADY MINED OUT.</t>
  </si>
  <si>
    <t>TARGET RESERVE AT DPVE 055E POSITION. APPROVED ON JUNE 8, 2019.STILL ON GOING TO TARGET DPVE. RENAMED ON JULY 9, 2019 FROM L10_NONE_055E_XCN TO L10_NONE_054E_XCN/ TO AVOID MISCHARGING  TO L10_JVFW_055E_DE.CHANGE TEAM LEADER FROM TANEZA 9 TO PMC MINERS ON JULY 18, 2019. STOPPED ON AUGUST 20, 2019 DUE TO ALREADY HIT THE TARGET.</t>
  </si>
  <si>
    <t>L08_JV_022W_DW</t>
  </si>
  <si>
    <t>L08_JV_023W_DW</t>
  </si>
  <si>
    <t>REPLACEMENT OF L08_GHV_044E_STOPE. APPROVED ON JULY 30, 2019 -LTS. STOPPED ON AUGUST 20, 2019 .</t>
  </si>
  <si>
    <t>REPLACEMENT OFL08 DPVE 045E XCN, APPROVED ON JULY 29, 2019. STOPPED ON AUGUST 20, 2019.</t>
  </si>
  <si>
    <t>L07_JVHW_052E_RAISE</t>
  </si>
  <si>
    <t>L10_JVFW_040E_RAISE</t>
  </si>
  <si>
    <t>L07_JVSPLIT_004E_STOPE PREP</t>
  </si>
  <si>
    <t>L07_CTV_027E_ROBBING</t>
  </si>
  <si>
    <t>REPLACEMENT OF L07_JV_012W_WINZE. APPROVED ON AUGUST 12, 2019. STOPPED ON AUGUST 22, 2019 DUE TO UNSAFE CONDITION.</t>
  </si>
  <si>
    <t>REPLACEMENT OF L07 DPVE 043E DW. APPROVED ON JULY 19, 2019. STOPPED ON AUGUST 20 2019 DUE TO CONSECUTIVE LOW ASSAY GRADES AND ALREADY FINISHED STOPE BACK BREAKING, ON THE SAME TIME CONVERTED TO PULL-OUT CLEANING.</t>
  </si>
  <si>
    <t>REPLACEMENT OF L07 DPVE 043E DW. APPROVED ON JULY 19, 2019. STOPPED ON AUGUST 20 2019 DUE TO CONSECUTIVE LOW ASSAY GRADES AND ALREADY FINISHED STOPE BACK BREAKING, ON THE SAME TIME CONVERTED TO PULL-OUT CLEANING. STOPPED ON AUGUST 21, 2019 DUE TO UNSAFE CONDITION.</t>
  </si>
  <si>
    <t>REPLACEMENT OF L08_DPVE_012E_RAISE APPROVED ON JULY 31, 2019.-LTS. CONVERT TO STOPE BREAKING ON AUGUST 22, 2019</t>
  </si>
  <si>
    <t>L08_DPVE_013E_STOPE</t>
  </si>
  <si>
    <t>REPLACEMENT OF L05_EDV_008W_ROBBING. APPROVED ON JULY 29, 2019 -LTS. STOPPED ON AUGUST 22, 2019 DUE TO CONSECUTIVE LOW ASSAY GRADES  AND ALREADY REACHED THE RECOMMENDED STRIKE LENGTH.</t>
  </si>
  <si>
    <t>L09_JVSPLIT_065E_DW</t>
  </si>
  <si>
    <t>VILLARANTE 5</t>
  </si>
  <si>
    <t>L07_JV_035E_WINZE</t>
  </si>
  <si>
    <t>L10_NONE_052E_XCS</t>
  </si>
  <si>
    <t>REPLACEMENT OF L06 JVHW 022E RAISE APPROVED ON JULY 30, 2019.LTS. STOPPED ON AUGUST 23, 2019 RECOMMENDED NOT TO BREAK THROUGH.</t>
  </si>
  <si>
    <t>REPLACEMENT OF L04 GHVFW 008E WINZE STOPE. APPROVED ON APRIL 9, 2019-LOC.STOPPED ON JULY 9, 2019 DUE TO UNSAFE CONDITION AND CONVERT TO PULL-OUT CLEANING. STOPPED ON AUGUST 17, 2019 ALREADY FINISHED.</t>
  </si>
  <si>
    <t>L06_DPVE_038E_RAISE</t>
  </si>
  <si>
    <t>L10_GHVHW_054E_DE</t>
  </si>
  <si>
    <t>L07_GHVFW_020W_STOPE PREP</t>
  </si>
  <si>
    <t>L06_JV_016E_WINZE</t>
  </si>
  <si>
    <t>L08_NONE_075E_XCS</t>
  </si>
  <si>
    <t>L09_JVSPLIT_073E_STOPE PREP</t>
  </si>
  <si>
    <t>L09_DPVE3_062E_RAISE</t>
  </si>
  <si>
    <t>REPLACEMENT OF L08_GHVSPLIT_058E_DE. APPROVED ON AUGUST 9, 2019. STOPPED ON AUGUST 27,2019 DUE TO NO AVAILABLE DRILL TO INTERCEPT THE TARGET.</t>
  </si>
  <si>
    <t>L08_GHVSPLIT_057E_DW</t>
  </si>
  <si>
    <t>REPLACEMENT OF L08_NONE_073E_XCS. APPROVED ON JULY 30, 2019.-LTS. STOPPED ON AUGUST 27, 2019.</t>
  </si>
  <si>
    <t>L08_GHV_038E_STOPE PREP</t>
  </si>
  <si>
    <t>ADDITIONAL VERTICAL DEVELOPMENT.APPROVED ON AUGUST 27, 2019. STOPPED ON AUGUST 28, 2019 DUE TO PINCHED OUT VEIN.</t>
  </si>
  <si>
    <t>REPLACEMENT OF L07_JVHW_005W_RAISE APPROVED ON AUGUST 12, 2019. STOPPED ON AUGUST 28, 2019 DUE TO PINCHED OUT VEIN.</t>
  </si>
  <si>
    <t>REPLACEMENT OF L07_JV_040E_STOPE PREP. APPROVED ON AUGUST 9, 2019. STOPPED BREAKING ON AUGUST 28, 2019 IN THE SAME TIME CONVERT TO PULL-OUT CLEANING.</t>
  </si>
  <si>
    <t>REPLACEMENT OF L09 GHVFW 028E STOPE PREP. APPROVED ON FEB 8, 2019. MZC. CONVERTED TO PULL-OUT CLEANING ON JUNE 17, 2019, MEMO WAS GIVEN TO ENGINEERING ON JUNE 28,2019. STOPPED ON AUGUST 28, 2019 ALREADY MINE OUT.</t>
  </si>
  <si>
    <t>REPLACEMENT OF L06 GHVFW 003E STOPE PREP. APPROVED ON MARCH 1, 2019. PULL OUT CLEANING ON JUNE 18, 2019.STOPPED ON AUGUST 23, 2019 ALREADY MINE OUT.</t>
  </si>
  <si>
    <t>L10_GHV_001E_STOPE</t>
  </si>
  <si>
    <t>REPLACEMENT OF L05_GHV_034W_STOPE PREP ON JUNE 17, 2019.STOPPED ON AUGUST 15, 2019 CONVERT TO PULL-OUT CLEANING. STOPPED ON AUGUST 24, 2019 ALREADY MINE OUT.</t>
  </si>
  <si>
    <t>REPLACEMENT OF L07_DPVE_026E_STOPE PREP. APPROVED ON AUGUST 13, 2019 IN THE SAME TIME RENAMED FROM L07_DPVE_026E_STOPE TO L07_DPVE_027E_STOPE. CONVERT TO PULL-OUT ON AUGUST 29, 2019.</t>
  </si>
  <si>
    <t>ADDITIONAL FILL WINZE SERVE AS WASTE PASS. APPROVED ON AUGUST 2, 2019. STOPPED ON AUGUST 29, 2019 DUE TO REDUNDANCY OF FILL WINZE.</t>
  </si>
  <si>
    <t>REPLACEMENT OF L08 GHVFW 026E STOPE PREP ON JUNE 11, 2019. RECOMMENDED TO CONVERT THE STOPE HEADING TO PULL-OUT CLEANING ON AUGUST 29, 2019.</t>
  </si>
  <si>
    <t>L06_DPVE_056E_RAISE</t>
  </si>
  <si>
    <t>RENAMED FROM L10 GHV 002E STOPE PREP TRO L10 GHV 001E STOPE PREP ON JULY 8, 2019/ADDITIONAL SOURCEOF GOOD ORE. TRANSFERRED FROM RIPARIP 1 TO SHEPHERD V DUE TO NEGLIGENCE OF WORK ON AUGUST 26, 2019. STOPPED ON AUGUST 28, 2019.</t>
  </si>
  <si>
    <t>L10_GHV_037E_RAISE</t>
  </si>
  <si>
    <t>REPLACEMENT OF L06_NONE_058E_XCN. APPROVED ON JULY 22, 2019. TEMP. STOPPED ON AUGUST 30, 2019 TO PRIORITY RAISE.</t>
  </si>
  <si>
    <t>REPLACEMENT OF L08 CTV 008E STOPE PREP.APPROVED ON MAY 21, 2019. TRANSFERRED TO LERIO 1 DUE TO LOW PERFORMANCE. INFORMED ON JUNE 24, 2019.STOPPED ON AUGUST 9, 2019 ALREADY PINCHED OUT AND CONVERT TO PULL OUT CLEANING. STOPPED ON AUGUST 30, 2019 DUE TO CONSECUTIVE LOW ASSAY GRADE.</t>
  </si>
  <si>
    <t>REPLACEMENT OF L08 GHV 036E RAISE; APPROVED ON 7/24/2019. STOPPED ON AUGUST 28, 2019 DUE TO RECOMMENDED FOR ACTIVE BREAKING.</t>
  </si>
  <si>
    <t>L08_JVSPLIT_019E_STOPE PREP</t>
  </si>
  <si>
    <t>L08_GHVFW_002E_STOPE</t>
  </si>
  <si>
    <t>L06_JVHW_018E_STOPE PREP</t>
  </si>
  <si>
    <t>L06_GHVFW_020W_STOPE PREP</t>
  </si>
  <si>
    <t>REPLACEMENT OF L08 JVSPLIT 019E DE. APPROVED ON APRIL 23, 2019.TEMPORARY TOPPED ON JULY 31, 2019 DUE TO PRIORITIZE L08 GHVFW 002E STOPE PREP-LTS. RESUMED ON 8/1/2019. STOPPED ON AUGUST 9, 2019 DUE TO PINCHED OUT VEIN. RESUMED ON AUGUST 15, 2019 TO INCLINED AT 9TH FLOOR.STOPPED ON AUGUST 31, 2019 CONVERTED TO STOPE PREP.</t>
  </si>
  <si>
    <t>L07_JVSPLIT_028E_DW</t>
  </si>
  <si>
    <t>L07_CTV_008E_DW</t>
  </si>
  <si>
    <t>REPLACEMENT OF L06_JVFW_004E_RAISE. APPROVED ON AUGUST 17, 2019. STOPPED ON SEPTEMBER 1, 2019 DUE TO CONSECUITIVE LOW ASSAY GRADES ON CUT SAMPLES.</t>
  </si>
  <si>
    <t>EXPLORATORY WINZE FOR TOPSLICE OR WIZE STOPE APPROVED ON JUNE 27, 2019. STOPPED ON SEPTEMBER 1,2019 DUE TO CONSECUTIVE LOW ASSAY GRADES ON CUT SAMPLES/BULK SAMPLES.</t>
  </si>
  <si>
    <t>REPLACEMENT OF L07_DPVE_026E_STOPE PREP. APPROVED ON AUGUST 13, 2019 IN THE SAME TIME RENAMED FROM L07_DPVE_026E_STOPE TO L07_DPVE_027E_STOPE. CONVERT TO PULL-OUT ON AUGUST 29, 2019.STOPPED ON 9/2/19 ALREADY MINE OUT.</t>
  </si>
  <si>
    <t>L08_JV_063E_DW</t>
  </si>
  <si>
    <t>REPLACEMENT OF L06_GHVFW_034W_DW. APPROVED ON AUGUST 7, 2019.STOPPED ON 8/2/19 ALREADY BREAKTHROUGH.</t>
  </si>
  <si>
    <t>L05_CTV_009W_DE</t>
  </si>
  <si>
    <t>L11_NONE_054E_XCS</t>
  </si>
  <si>
    <t>ADDITIONAL HORIZONTAL DEVELOPMENT. APPROVED ON AUGUST 16, 2019. STOPPED ON AUGUST 22, 2019 ACTIVE TO STOPE PREP.</t>
  </si>
  <si>
    <t>L08_GHVSPLIT_024W_DE</t>
  </si>
  <si>
    <t>L09_JVFW_025E_RAISE</t>
  </si>
  <si>
    <t>L07_JV_039E_STOPE PREP</t>
  </si>
  <si>
    <t>L06_GHVFW_029W_RAISE</t>
  </si>
  <si>
    <t>L06_CV_004W_DW</t>
  </si>
  <si>
    <t>REPLACEMENT OF L06_JVHW_027E_RAISE. APPROVED ON AUGUST 16, 2019. STOPPED ON AUGUST 29,2019 ALREADY DONE STOPE PREPARATION,</t>
  </si>
  <si>
    <t>L06_JVHW_027E_STOPE</t>
  </si>
  <si>
    <t>REPLACEMENT OF L08 NONE 059E XCS. APPROVED ON MARCH 16, 2019.TEMP. STOPPED ON JULY 2, 2019 BECAUSE OF THE ON GOING FOLLOW UP OF RAISE.RESUMED ON JULY 5, 2019. STOPPED ON SEPT. 2, 2019 DUE TO LACK OF MANPOWER.</t>
  </si>
  <si>
    <t>L09_JVFW_023E_RAISE</t>
  </si>
  <si>
    <t>L06_JVFW_015E_RAISE</t>
  </si>
  <si>
    <t>REPLACEMENT OF L7 DPVE 042E DW. APPROVED ON JULY 30, 2019-LOC. STOPPED ON SEPT. 3, 2019 DUE TO CONSECUTIVE LOW ASSAY GRADES ON CUT SAMPLES.</t>
  </si>
  <si>
    <t>L09_GHV_044E_STOPE PREP</t>
  </si>
  <si>
    <t>DELOS REYES V 2</t>
  </si>
  <si>
    <t>REPLACEMENT OF L05_CTV_011W_WINZE.APPROVED ON SEPT. 2, 2019. TEMP. STOPPED ON SEPT. 3, 2019 SURRENDERED TEAM LEADER.</t>
  </si>
  <si>
    <t>L04_CV_014W_DW</t>
  </si>
  <si>
    <t>L05_CTV_002W_ROBBING</t>
  </si>
  <si>
    <t>REPLACEMENT OF L08 JVSPLIT 053E DE.APPROVED ON MAY 16, 2019. CHANGE HEADING FROM L08_NONE_064E_XCN TO L08_JV_064E_DE ON JUNE 18, 2019.TEMP. STOPPED ON JULY 31, 2019 DUE TO CAUSE DELAYED BY ON GOING FOLLOW UP OF ADJACENT-LTS.RESUMED ON AUGUST 6, 2019.STOPPED ON  9/2/19 DUE TO PINCHED OUT  VEIN.</t>
  </si>
  <si>
    <t>REPLACEMENT OF L07_CTV_005E_STOPE. APPROVED ON AUGUST 14, 2019. STOPPED ON SEPT. 4, 2019 DUE TO PINCHED OUT VEIN.</t>
  </si>
  <si>
    <t>MONTEBON 1</t>
  </si>
  <si>
    <t>REPLACEMENT OF L06 JVSPLIT 006E RAISE APPROVED ON JULY 30, 2019. STOPPED ON SEPT. 4  2019 TO BE CONVERTED STOPE PREP.</t>
  </si>
  <si>
    <t>L07_NONE_030E_RAISE</t>
  </si>
  <si>
    <t>L07_GHVHW_034E_ROBBING</t>
  </si>
  <si>
    <t>L10_NONE_020E_XCN</t>
  </si>
  <si>
    <t>L07_GHV_023W_RAISE</t>
  </si>
  <si>
    <t>REPLACEMENT OF L05 EDV 008W ROBBING APPROVED ON JULY 29, 2019-SBA. STOPPED ON SEPT 6, 2019 RECOMMENDED FOR ACTIVE STOPE BREAKING.</t>
  </si>
  <si>
    <t>REPLACEMENT OF L08_JVSPLIT_019E_RAISE.APPROVED ON AUGUST 31, 2019. STOPPED ON SEPT 6, 2019 RECOMMENDED FOR ACTIVE STOPE BREAKING.</t>
  </si>
  <si>
    <t>TO CONSTRUCT AND TRANSFER BATTERY CHAMBER FOR SAFETY PURPOSES. APPROVED ON JULY 17, 2019. STOPPED ON AUGUST 31, 2019 ALREADY FINISHED.</t>
  </si>
  <si>
    <t>REPLACEMENT OF L09_GHVFW_062E_RAISE. APPROVED ON AUGUST 5, 2019.TRANSFERED FROM CAPPUYO 3 TO BALANGHIG 1 ON AUGUST 6, 2019. STOPPED ON SEPT 3, 2019 RECOMMENDED FOR ACTIVE STOPE BREAKING.</t>
  </si>
  <si>
    <t>FILL WINZE FOR WASTE PASS. APPROVED ON JULY 29, 2019.TEMP. STOPPED ON 8/01/19. STOPPED ON AUGUST 31, 2019 TO PRIORITY ROBBING TOPSLICE.</t>
  </si>
  <si>
    <t>L08_DPVE_014E_STOPE</t>
  </si>
  <si>
    <t>L08_JVSPLIT_019E_STOPE</t>
  </si>
  <si>
    <t>L09_GHVFW_062E_STOPE</t>
  </si>
  <si>
    <t>L04_CTV_008W_DW</t>
  </si>
  <si>
    <t>L04_CV_011W_STOPE</t>
  </si>
  <si>
    <t>L07_JVSPLIT_004E_STOPE</t>
  </si>
  <si>
    <t>REPLACEMENT OF L07_JVSPLIT_004E_RAISE. APPROVED ON AUGUST 22, 2019. STOPPED AND CONVERT TO BREAKING ON SEPT 7, 2019.</t>
  </si>
  <si>
    <t>L07_JVFW_026E_RAISE</t>
  </si>
  <si>
    <t>L09_JVHW_052E_DW</t>
  </si>
  <si>
    <t>L06_GHV_026W_WINZE</t>
  </si>
  <si>
    <t>L06_JV_023W_RAISE</t>
  </si>
  <si>
    <t>L05_JV_020E_ROBBING</t>
  </si>
  <si>
    <t>L04_GHVFW_010W_ROBBING</t>
  </si>
  <si>
    <t xml:space="preserve">TO HIT A DRILI+S771:V773NG INTERCEPT.APPROVED ON FEBRUARY 7, 2019. RENAMED FROM L07 NONE 072E XCS TO L07 NONE 074E XCS TO AVOID MISCHARGING TO L07 JVHW 072E STOPE ON FEBRUARY 8,2019. TEMP STOP ON 2/26/19 TO PRIORITIZE DRIFT NEAR THE AREA AND INSUFFICIENY ALLOCATION OF WASTE PASS (WBO). </t>
  </si>
  <si>
    <t>REPLACEMENT OF L04 NV 009W DW, APPROVED ON OCTOBER 16, 2018.MZC.TEMP. STOPPED TO TRANSFER TO PRIORITY WORKING PLACE APPROVED ON OCTOBER 19, 2018. RESUMED ON JANUARY 9, 2019 AND TRANSFERRED FROM BAKAKON1 TO ANDILAB 1. TEMP. STOPPED ON MARCH 20, 2019 TO PRIORITIZE L04 NV 017W DW.</t>
  </si>
  <si>
    <t>ADDITIONAL VERTICAL DEVELOPMENT APPROVED ON NOVEMBER 13,2018. MZC. STOPPED ON 2/11/19 DUE TO PINCHING-OUT OF VEIN AND LOW QA/QC RESULTS.</t>
  </si>
  <si>
    <t>FILL WINZE FOR WASTE PASS. APPROVED ON FEB 9, 2019. MZC. ALREADY BREAKTHROUGH STOPPED ON FEB 27, 2019.</t>
  </si>
  <si>
    <t>ADDITIONAL VERTICAL CEVELOPMENT. APPROVED ON JUNE 16, 2019.TEMPORARY STOPPED ON JULY 30, 2019 DUE TO INSUFFICIENT MANPOWER.SDNC. RESUMED ON AUGUST 2, 2019. STOPPED ON AUGUST 13, 2019 DUE TO PINCHED OUT VEIN.</t>
  </si>
  <si>
    <t>REPLACEMENT OF L04 JV 023W WINZE. APPROVED ON 2/14/19. SDNC.  STOPPED TO PRIORITIZE 10E STOPE PREP MARCH 9,2019</t>
  </si>
  <si>
    <t>REPLACEMENT OF L04 CV 005W WINZE. APPROVED ON FEB 2, 2019. STOPPED ON MAY 8,2019 TO PROPOSE INTERMEDIATE SUBLEVEL.</t>
  </si>
  <si>
    <t>ADDITIONAL,APPROVED ON MARCH 16,2016.STOPPED ON  JULY 8,2016. RESUMED ON MAY 29, 2019 AT THE SAME TIME TRANSFERRED FROM ORIAS NELSON TO OY-YOY 1. STOPPED RECOMMENDS TO CONVERT THIS WORK HEADING INTO L04 JV 045W ISL DW ON JUNE 6, 2019.</t>
  </si>
  <si>
    <t>REPLACEMENT OF L04 CTV5 17E DE, APPROVED ON 5/1/19-SDNC. TEMPORARY STOPPED ON MAY 25,2019 TO PRIORITIZE L04 GHVFW 018E DE. RESUMED ON JULY 12, 2019 AS PER SCS AND AT THE SAME TIME TRANSFER FROM CABCAD TO OY-YOY. STOPPED ON AUGUST 9, 2019 BECAUSE OF ITS PROXIMITY ABOUT PILLAR 20M BALANCE TO THE E15 SHAFT.</t>
  </si>
  <si>
    <t>REPLACEMENT OF L04 JV 027W STOPE. APPROVED ON DECEMBER 7,2018. TEMP STOPPED AND TRANSFER TO TAÑEZA 6 FROM PARAGUYA 1 DUE TO GOOD PERFORMANCE OF FORMER TEAM LEADER APPROVED ON MARCH 11,2019. RESUMED ON MAY 12, 2019 AND TRANSFER FROM TANEZA 6 TO CABONITA 1. STOPPED DUE TO A FAULT STRUCTURE TRANSECTING THE MOST RECENT FACE CAUSING THE VEIN TO BE DISPLACED ON JUNE 7, 2019</t>
  </si>
  <si>
    <t>ACCESS FOR OLD MUCK IN CV 12W ROBBING. APPROVED ON MARCH 1, 2019. STOPPED ON APRIL 11,2019 ALREADY FINISHED.</t>
  </si>
  <si>
    <t>REPLACEMENT OF L04 CV 008W DE ON AUGUST 1, 2018/LTS.STOPPE ON AUGUST 28, 2018. RESUMED ON OCTOBER 18,2018 TO CONTINUE ADVANCE UNTIL IT BREAKTHROUGH AT L03 AS PER RDPARONDA.STOPPED DUE TO UNSAFE CONDITION ON OCTOBER 19, 2018</t>
  </si>
  <si>
    <t>REPLACEMENT OF L04 RYV 010E DW. APPROVED ON JANUARY 19, 2019. MZC. DRIVING INCLINED RAISE TOWARDS WEST ON FEB 25, 2019. STOPPED ON MARCH 14, 2019 DUE TO PINCHED OUT OF VEIN.</t>
  </si>
  <si>
    <t>REPLACEMENT OF L04 JV 051W RAISE. APPROVED ON NOV 20, 2018. TEMP. STOPPED ON DECEMBER 10, 2018 AS PER WANCOG. RESUMED ON JANUARY 16, 2019 TO TARGET LOW DIPPING VEIN. TEMP STOPPED AND TRANSFER TO TAÑEZA 8 FROM DUHIG 3 DUE TO GOOD PERFORMANCE OF FORMER TEAM LEADER APPROVED ON MARCH 11,2019. RESUMED ON MARCH 13, 2019 AND TRANSFER FROM TANEZA 8 TO SHEPHERD X 1 (CAPUYAN).STOPPED ON APRIL 7, 2019 ALREADY REACHED THE RECOMMENDED STRIKE LENGTH.</t>
  </si>
  <si>
    <t>REPLACEMENT OF L04 JV 22W DE, APPROVED ON MAR 5, 2018 AS PER LTS. STOPPED DUE TO LEVEL GEO MEMO ON APRIL 20, 2018. REPLACEMENT OF L04 GHVDW 015E DE ON MAY 30, 2019. STOPPED ON JUNE 10, 2019 DUE TO PINCHED OUT OF VEIN AFTER 2 BLASTS.</t>
  </si>
  <si>
    <t>REPLACEMENT OF L04 JV 010W STOPE. APPROVED ON FEB. 5, 2019. MZC. TEMPORARY STOPPED ON MARCH 1, 2019. DUE TO CONSECUTIVE LOW ASSAY GRADE. RESUMED ON 6/10/2019 TO CONDUCT INCLINED RAISE FOR EXPLORATORY PURPOSES AND TRANSFER FROM CABONITA 1 TO LERIO 5. STOPPED ON JULY 13, 2019 OFF VEIN.</t>
  </si>
  <si>
    <t>REPLACEMENT OF L04 NONE 015E XCS.APPROVED ON OCTOBER 25, 2018. TEMP. STOPPED ON DECEMBER 19, 2018 DUE TO ABSENTEEISM OF MEN RESULTING TO ABANDONMENT OF WP. RESUMED ON JANUARY 10, 2019 AS PER RAESPENIDO. TRANSFER TO TAÑEZA 10 FROM PARAGUYA 3 DUE TO GOOD PERFORMANCE OF FORMER TEAM LEADER APPROVED ON MARCH 11,2019. TEMP. STOPPED ON MARCH 11, 2019 DUE TO TRANSITION PERIOD. RESUMED ON MAY 17, 2019 AND TRANSFER FROM PARAGUYA TO LERIO 6/ TEMPORARY STOPPED ON MAY 28, 2019DUE TO CONSECUTIVE LOW GRADE CUT SAMPLES</t>
  </si>
  <si>
    <t>REPLACEMENT OF L04 JV 034E DE. APPROVED ON SEPTEMBER 26,2018. TEMPORARY STOPPED ON DECEMBER 6,2018 TO PRIORITIZED ACTIVE STOPE PREP. RESUMED ON JANUARY 28, 2019. TEMP. STOPPED ON FEB. 7, 2019 DUE TO ABSENTEEISM OF MEN RESULTING TO ABANDONMENT OF WP. RESUMED ON FEB 21, 2019; AS PER MEMO BY SCS. TEMPORARY STOPPED ON 3/6/19 DUE TO LACK OF MANPOWER.  RESUMED ON APRIL 15, 2019. STOPPED ON APRIL 30, 2019 BECAUSE THIS WAS CUT BY FAULT.</t>
  </si>
  <si>
    <t>REPLACEMENT OF L04 NONE 6W XCN. APPROVED ON JUNE 16, 2018.RENAMED FROM EDV 9W TO NV 9W ON JULY 5, 2018/LTS.TEMPORARY STOPPED DUE TO LACK OF MANPOWER.APPROVED ON SEPTEMBER 18, 2018. TEMPORARY STOPPED ON OCTOBER 10,2018 TO PRIORITIZE  L04 NONE 002E XCN. RESUMED ON NOVEMBER 17, 2018.TEMPORARY STOPPED DUE TO INSUFFICIENT MANPOWER ON FEBRUARY 5, 2019. RESUMED ON FEBRUARY 20,2019 AND AT THE SAME TIME TRANSFER FROM ASIS 1 TO CABONITA 1. STOPPED ON MARCH 12, 2019 DUE TO PINCHED OUT OF VEIN.</t>
  </si>
  <si>
    <t>REPLACEMENT OF L04 GHVFW 006E WINZE. APPROVED ON NOV 6, 2018. TRANSFER TO COMAINGKING FROM OY-YOY ON 2/5/19. RENAMED FROM L04 GHVFW 006E DE TO L04 GHVFW 007E DE TO AVOID MISCHARGING. TEMP. STOPPED ON MARCH 20, 2019 TO PRIORITIZE L04 GHVFW 008E WINZE STOPE PREP. RESUMED ON MARCH 29, 2019.STOP ON 4/10/19-LTS, TO PRIORITIZE 7E DW.</t>
  </si>
  <si>
    <t>ADDITIONAL HORIZONTAL DEVELOPMENT. APPROVED ON 3/6/19. TRANSFER TO TAÑEZA 10 FROM PARAGUYA 4 DUE TO GOOD PERFORMANCE OF FORMER TEAM LEADER APPROVED ON MARCH 11,2019. TEMP. STOPPED ON MARCH 11, 2019 DUE TO TRANSITION PERIOD. RESUMED ON APRIL 15, 2019. TRANSFER FROM TANEZA 10 TO LERIO 6. STOPPED ON APRIL 30, 2019 DUE TO 6 METERS OFF VEIN CUT BY FAULT.</t>
  </si>
  <si>
    <t>REPLACEMENT OF L04 CTV5 012E WINZE. APPROVED ON JUNE 30, 2017. STOPPED ON SEPTEMBER 16, 2017 DUE TO CONSECUTIVE LOW ASSAY GRADE. FOR WIREFRAMING AS PER MEMO OF LEVEL GEOLOGIST.\ADDITIONAL HORIZONTAL DRIVE. APPROVED ON JUNE 14, 2019.STOPPED ON JULY 11, 2019.</t>
  </si>
  <si>
    <t>ADDITIONAL, APPROVED ON 5/27/19-SDNC.TEMP. STOPPED ON JULY 15, 2019. RESUMED ON JULY 25, 2019. STOPPED ON JULY 29, 2019 DUE TO SUDDEN CHANGE IN VEIN TREND WHIH IN TURN WILL CAUSE BREAKTHROUGH TOWARDS THE ADJACENT MAINLINE-SDNC.</t>
  </si>
  <si>
    <t>ADDITIONAL HORIZONTAL DEVELOPMENT. APPROVED ON JULY 16,2019. STOPPED ON AUGUST 8, 2019 DUE TO PINCHED OYUT VEIN.</t>
  </si>
  <si>
    <t>REPLACEMENT OF L04 RYV 010E STOPE PREP. APPROVED ON APRIL 15, 2019.STOPPED BREAKING/CONVERTED TO PULL-OUT ON 5/30/19-LOC. STOPPED ON JUNE 14, 2019; DUE TO CONSECUTIVE LOW ASSA RESULT.</t>
  </si>
  <si>
    <t>REPLACEMENT OF L04 JV 024W STOPE PREP. APPROVED ON FEB 23, 2019. MZC. STOPPED BREAKING AND CONVERT TO PULL-OUT ON APRIL 24, 2019/ STOPPED JUNE 9, 2019 DUE TO LOW CONSECUTIVE ASSAYY GRADE WITH 104% PULL-OUT</t>
  </si>
  <si>
    <t>REPLACEMENT OF L04 JVSPLIT 010W STOPE PREP. APPROVED ON NOVEMBER 12, 2018. MZC. TEMPORARY STOPPED ON JANUARY 11, 2019 TO CONTINUE RAISING ON THE EAST MANWAY. STOPPED BREAKING ON JANUARY 19, 2019. CONVERTED TO PULL-OUT ON JANUARY 19, 2019. MINED-OUT ON FEB 5, 2019 WITH 78% PULL-OUT MC DUE TO POOR BROKEN MATERIALS IN CHUTES.</t>
  </si>
  <si>
    <t>REPLACEMENT OF L04 CTV5 016E RAISE. APPROVED ON DECEMBER 10, 2018. MZC. STOPPED ON JANUARY 24, 2019. CONVERTED TO STOPE BREAKING ON JANUARY 24, 2019. STOPPED BREAKING ON MARCH 31, 2019, DUE TO CONSECTUIVE LOW CUT SAMPLE; RECOMMENDED FOR STOPE CLEANING.STOP ON 4/9/19-SDNC, CONSECUTIVE LOW ASSAY GRADE RESULT.</t>
  </si>
  <si>
    <t>CONVERTED TO PULL-OUT ON 2/11/19.TEMP.STOP ON 4/10/19-LTS, FOR EVALUATION UNDERGROUND ONLY 78% PULL-OUT BUT ALREADY DECLARED MINED OUT.</t>
  </si>
  <si>
    <t xml:space="preserve">REPLACEMENT OF L04 JV 42W ROBBIG APPROVED ON SEPT 13, 2018-MZC.TEMP. STOPPED ON SEPTEMBER 14, 2018. RESUMED ON SEPTEMBER 20, 2018. CONVERTED TO PULL-OUT ON 2/11/19 MEMO FROM WANCOG. </t>
  </si>
  <si>
    <t>REPLACEMENT OF L04 JV 016W RAISE. APPROVED ON JULY 14, 2019. MZC. STOPPED ON AUGUST 6, 2019 TO CONVERT TO STOPE BREAKING.</t>
  </si>
  <si>
    <t>ADDITIONAL PRODUCTION. APPROVED ON MAR 9, 2019. TEMPORARY STOPPED ON MARCH 13,2019 ON GOING ACTIVE RAISE. RESUMED ON MARCH 14, 2019. STOPPED ON APRIL 15, 2019. CONVERT TO BREAKING.</t>
  </si>
  <si>
    <t>ADDITIONAL PRODUCTION. APPROVED ON MARCH 19, 2019.STOPPED ON APRIL 9, 2019. CONVERT TO BREAKING</t>
  </si>
  <si>
    <t>ADDITIONAL PRODUCTION. APPROVED ON MARCH 12, 2019. STOPPED ON APRIL 9, 2019. CONVERT TO BREAKING</t>
  </si>
  <si>
    <t>REPLACEMENT OF L05 CV 004W DW .APPROVED ON JUNE 4, 2019. RENAMED FROM L05 CV 005W WINZE STOPE PREP TO L05 CV 004W WINZE STOPE PREP ON JULY 4,2019 AS PER DISCUSS IN COORDINATION MEETING DUE TO MISCHARGING TO L04 GHVFW 005E WINZE STOPE. STOPPED ON JULY 29, 2019 CONVERTD TO ACTIVE BREAKING-LTS.</t>
  </si>
  <si>
    <t>REPLACEMENT OF L05 JVFW 005E DE. APPROVED ON DECEMBER 3, 2018. MZC. TEMP STOPPED ON FEB 23, 2019 DUE TO INCOMING HEADING FROM LEVEL 6; MEMO RECEIVED GEO.</t>
  </si>
  <si>
    <t>REPLACEMENT OF L05 GHV 037W DE. APPROVED ON JANUARY 30, 2019. MZC. STOPPED ON MARCH 14,2019 CONVERT TO ACTIVE BREAKING.</t>
  </si>
  <si>
    <t>REPLACEMENT OF L05 GHVSPLIT 029W DW.APPROVED ON MARCH 11, 2019. STOPPED ON MARCH 21, 2019 CONVERTED TO STOPE BREAKING.</t>
  </si>
  <si>
    <t>REPLACEMENT OF L05 CV 003W RAISE.APPROVED ON MARCH 18, 2019. STOPPED ON MARCH 24, 2019; LOW GRADE, MEMO GEO.</t>
  </si>
  <si>
    <t>REPLACEMENT OF L05 GHV 034W RAISE. APPROVED ON MAY 10,2019. TEMPORARY STOPPED ON MAY 11,2019 DUE TO UNAVAILABILITY IF MUCKING MACHINE. RESUMED ON MAY 15,2019. STOPPED ON JUNE 17, 2019 CONVERTED TO ACTIVE BREAKING.</t>
  </si>
  <si>
    <t>REPLACEMENT OF L05  NV 008E STOPE PREP. APPROVED ON JUNE 6,2019. RENAMED FROM L05_NV_008E_STOPE TO L05 NV 009E STOPE TO AVOID MISCHARGING TO LEVEL 4 GHVFW 008E WINZE STOPE ON JUNE 21, 2019. STOPPED BREAKING ON AUGUST 15, 2019 AND IN SAME TIME CONVERT TO PULL OUT CLEANING DUE TO PINCHED OUT OF VEIN.</t>
  </si>
  <si>
    <t>REPLACEMENT OF L05 JV 018E STOPE PREP ON DECEMBER 13, 2018. STOPPED ON MARCH 7,2019 3RD SHIFT ALREADY REACHED THE LEVEL 4 ELEVATION AT THE SAME TIME CONVERT TO PULL-OUT CLEANING.</t>
  </si>
  <si>
    <t xml:space="preserve">REPLACEMENT OF L05 GHV 032W STOPE PREP. APPROVED ON MARCH 21, 2019. CONVERTED TO PULL OUT CLEANING ON MAR 27, 2019 </t>
  </si>
  <si>
    <t>REPLACEMENT OF L05  NV 008E STOPE PREP. APPROVED ON JUNE 6,2019. RENAMED FROM L05_NV_008E_STOPE TO L05 NV 009E STOPE TO AVOID MISCHARGING TO LEVEL 4 GHVFW 008E WINZE STOPE ON JUNE 21, 2019. STOPPED BREAKING ON AUGUST 15, 2019 AND IN SAME TIME CONVERT TO PULL OUT CLEANING DUE TO PINCHED OUT OF VEIN. STOPPED ON AUGUST 30, 2019 DUE TO CONSECUTIVE LOW ASSAY GRADES ON CUT SAMPLES.</t>
  </si>
  <si>
    <t>REPLACEMENT OF L05 GHV 032W STOPE PREP. APPROVED ON MARCH 21, 2019. CONVERTED TO PULL OUT CLEANING ON MAR 27, 2019 .ALREADY FINISHED ON MAR 28, 2019</t>
  </si>
  <si>
    <t>REPLACEMENT OF L05 CV 023W ROBBING. APPROVED ON SEPT. 17,2018.THIS HEADING WAS CONVERTED FROM ROBBING TO STOPE DUE TO THE CURRENT ACTIVITY THAT IS BEING APPLIED NOW; NO STOPE DESIGN; CLOSELY MONITOR STOPE BACK BREAKING.CONVERTED TO PULL OUT CLEANING SEPT 27, 2018-LTS DUE TO UNSAFE CONDITION. CONTINUE BREAKING ON OCTOBER 9,2018 SINCE THE STOPE IS STILL SAFE AS PER LEVEL MANAGER. CONVERTED TO PULL-OUT ON NOVEMBER 30, 2018. STOPPED ALREADY FINISHED ON FEBRUARY 6, 2019</t>
  </si>
  <si>
    <t>REPLACEMENT OF L05 GHV 24W WINZE STOPE PREP. APPROVED ON SEPTEMBER 14, 2018. STOPPED BREAKING ON OCTOBER 8, 2018 AS PER LM CONVERT TO PULL OUT CLEANING.STOPPED DECLARED MINED OUT ON JANUARY 8, 2019</t>
  </si>
  <si>
    <t>REPLACEMENT OF L05 JV 018E STOPE PREP ON DECEMBER 13, 2018. STOPPED ON MARCH 7,2019 3RD SHIFT ALREADY REACHED THE LEVEL 4 ELEVATION AT THE SAME TIME CONVERT TO PULL-OUT CLEANING. TEMPORARY STOPPED ON MARCH 15,2019 DECLARED MINED OUT BUT ONLY 68% PULL-OUT WITH 228 REMAINING MC FOR EVALUATION UG.</t>
  </si>
  <si>
    <t>REPLACEMENT OF L05 GHV 040W WINZE STOPE APPROVED ON JULY 8, 2019.STOPPED ON AUGUST 15, 2019 TO AVOID CONNECTING THE OPPOSITE SUB</t>
  </si>
  <si>
    <t>REPLACEMENT OF L05_NV_002E_ROBBING ON JULY 2, 2019. RENAMED TO L05_CTV_007E_DE FROM L05_JVFW_007E_DE ON JULY 3, 2019 AS PER GEOLOGY.STOPPED ON AUGUST 2, 2019 TO OPEN RAISE.</t>
  </si>
  <si>
    <t>ADDITIONAL HORIZONTAL DEVELOPMENT. APPROVED ON MARCH 27, 2019. STOPPED ON MAY 10,2019 CONNECTED TO OLD MAINLINE.</t>
  </si>
  <si>
    <t>REPLACEMENT OF L05 GHVS 32W DW, APPROVED ON FEB 27, 2018 AS PER EB TAPDASAN. STOPPED ON MAY 25, 2018, CONVERTED TO WINZE STOPE PREP.RESUMED ON NOVEMBER 28, 2018. STOPPED ON JAN 19, 2019 VEIN PINCHED OUT; TO DO INTERMEDIATE SUBLEVEL TO EAST.</t>
  </si>
  <si>
    <t>REPLACEMENT OF L05 CTV 029E RAISE. APPROVED ON 1-8-2019. TRANSFER FROM ALMEDORA TO BIHAY 1, APPROVED ON JAN 31, 2019. STOPPED ON FEBRUARY 20,2019 ALREADY REACHED THE TARGET VEIN REPLACED BY  L05 NV  010E DW.</t>
  </si>
  <si>
    <t>REPLACEMENT OF L05 GHVS 030W DW. APPROVED ON FEB. 22, 2019. MZC. STOPPED ON MARCH 11,2019  DUE TO VEIN PINCHED OUT.</t>
  </si>
  <si>
    <t>REPLACEMENT OF L05 JVFW 005E WINZE STOPE PREP. APPROVED ON FEB 27, 2019.STOPPED DUE TO CUT BY FAULT ON MARCH 23, 2019</t>
  </si>
  <si>
    <t>REPLACEMENT OF L05 JV 014W ROBBING.APPROVED ON FEBRUARY 19, 2019. TEMP STOPPED ON 2/26/19 TO EVALUATE FURTHER SINCE DRIVE IS WITHIN THE EXCLUSION ZONE OF BAGUIO SHAFT.  RESUMED ON FEBRUARY 28,2019. STOPPED ON MARCH 22, 2019.</t>
  </si>
  <si>
    <t>REPLACEMENT OF L05 JVFW 006E DE.APPROVED ON MARCH 23, 2019. STOPPED ON MAR 27, 2019. NO FURTHER VIEN TARGET</t>
  </si>
  <si>
    <t>ADDITTIONAL HORIZONTAL DEVELOPMENT. APPROVED ON FEB 25, 2019. MZC. TRANSFER FROM BIHAY 1 TO CAYABAS 2 APPROVED ON MARCH 12,2019. TRANSFER FROM CAYABAS 2 TO ESPADA 1 FORMER TL WILL TAKE OVER THE DEVELOPMENT RAISE. TRANSFER FROM ESPADA 1 TO CAYABAS 2 ON APRIL 2,2019 DUE TO LACK OF MANPOWER OF MR. ESPADA.STOP ON 4/5/19-LTS, DUE TO VEIN PINCH OUT.</t>
  </si>
  <si>
    <t>REPLACEMENT OF L05 CV 011W ROBBING.APPROVED ON MARCH 8, 2019.STOP ON 4/8/19-SDNC, NO FURTHER VEIN TARGET.</t>
  </si>
  <si>
    <t>REPLACEMENT OF L05 NV 011E DW. APPROVED ON FEB 21, 2019. STOPPED ON APRIL 15,2019 DUE TO PINCHED OUT VEIN.</t>
  </si>
  <si>
    <t>REPLACMENT OF L05 GHV 023W WINZE. APPROVED ON MARCH 14,2019. STOP ON 5/7/19 DUE TO VEIN PINCHED OUT.</t>
  </si>
  <si>
    <t>REPLACEMENT OF L05 NV 010E DW. APPROVED ON APRIL 15,2019. STOPPED ON MAY 9,2019 TO AVOID BREAKTHROUGH AT 8E SHAFT.</t>
  </si>
  <si>
    <t>REPLACEMENT OF L05 CTV 008W STOPE.APPROVED ON MAY 16, 2019.RENAMED FROM L05 GHVSPLIT 004W DE TO GHVSPLIT 005W DE ON MAY 28, 2019 TO AVOID MISCHARGING WITH CV 004W DW. STOPPED ON JUNE 19, 2019. ALREADY CONNECTED TO THE OPPOSITE MAINLINE .</t>
  </si>
  <si>
    <t>REPLACEMENT OF L05 GHVSPLIT 026W RAISE ON JUNE 11, 2019. STOPPED ON JULY 1, 2019 BECAUSE THIS DRIVE WILL MERGE ON THE VEIN ON THE ADJACENT MAINLINE.</t>
  </si>
  <si>
    <t>REPLACEMENT OF L05 GHVHW 51W DE, APPROVED ON 4/9/19-LTS. TEMPORARY STOPPED ON APRIL 15,2019 DUE TO LACK OF MANPOWER.RESUMED ON 4/25/19-LOC.STOPPED DUE TO CONSECUTIVE LOW ASSAY GRADE &amp; VEIN PINCHED OUT ON JUNE 8, 2019.</t>
  </si>
  <si>
    <t>REPLACEMENT OF L05_CTV3_051W_STOPE APPROVED ON JAN 9, 2019. STOPPED ON FEBRUARY 5,2019 DUE TO BREAKTHROUGH.</t>
  </si>
  <si>
    <t>REPLACEMENT OF L05 NONE 008E XCS.APPROVED ON JANUARY 23, 2019. RENAMED FROM L05 NV 004W RAISE. ON JAN 24, 2019. STOPPED ON FEB 21, 2019; LOW GRADE; MEMO RECEIVED.</t>
  </si>
  <si>
    <t>ADDITIONAL VERTICAL DEVELOPMENT. APPROVED ON FEB 21, 2019..STOPPED ALREADY REACHED THE RECOMMENDED STRIKE LENGTH ON MARCH 19, 2019</t>
  </si>
  <si>
    <t>ADDITIONAL VERTICAL DEVELOPMENT. APPROVED ON JANUARY 30, 2019. MZC. TEMPORARY STOPPED ON FEBRUARY 6,2019 DUE TO MANPOWER PROBLEM AND AVAILABILITY OF MUCKING MACHINE.RESUME ON 2/11/19. STOPPED DUE TO VEIN PINCH-OUT 4/10/19-LTS.</t>
  </si>
  <si>
    <t>REPLACEMENT OF L05 JVFW 45E ROBBING, APPROVED ON 4/8/19-LTS. STOPPED ON MAY 6,2019 CONNECTED TO OLD STOPE.</t>
  </si>
  <si>
    <t>ADDITIONAL VERTICAL DEVELOPMENT.APPROVED ON MARCH 11, 2019. STOPPED ON MAY 14,2019 CONVERT TO STOPE PREPARATION.</t>
  </si>
  <si>
    <t>REPLACEMENT OF L05 GHV 031W DE. APPROVED ON MAY 12,2019. TEMPORARY STOPPED ON MAY 15,2019 NO MUCKING MACHINE.</t>
  </si>
  <si>
    <t>REPLACEMENT OF L05 JVFW 046E WINZE. APPROVED ON JANUARY 16, 2019. STOPPED ON JANUARY 23, 2019. RESUMED ON FEBRUARY 18,2019. TRANSFER TO OY-YOY 1 FROM SHEPHER L STARTING ON 2/18/2019. STOPPED ON MARCH 25, 2019 DUE TO CONSECUTIVE LOW ASSAY GRADE.</t>
  </si>
  <si>
    <t>REPLACEMENT OF L05 EDV 001W WINZE.APPROVED ON SEPTEMBER 4, 2018.STOPPED ON SEPT 27,2018-LTS CONNECTED TO OLD STOPE.</t>
  </si>
  <si>
    <t>REPLACEMENT OF L05 CV 002W WINZE. APPROVED ON NOV 19, 2018. STOPPED ON JANUARY 15,2019 BREAKTHROUGH TO L05 JVFW 047E INCLINED RAISE.</t>
  </si>
  <si>
    <t>REPLACEMENT OF L05 RYV 19E WINZE.APPROVED ON DECEMBER 18, 2018. STOPPED ON FEBRUARY 18,2019 DUE TO CONSECUTIVE LOW ASSAY GRADE.</t>
  </si>
  <si>
    <t>REPLACEMENT OF L05 GHV 024W WINZE STOPE. APPROVED ON OCT. 30, 2018. TEMPORARY STOPPED ON DECEMBER 1, 2018 DUE TO LACK OF MANPOWER AS PER PJVELOZ. RESUMED ON JANUARY 9, 2019. STOPPED ON MARCH 12,2019 DUE TO PINCHED OUT OF VEIN.</t>
  </si>
  <si>
    <t>REPLACEMENT OF L05 GHV 029W WINZE.APPROVED ON JUNE 4, 2019.RENAMED ON JUNE 21, 2019 FROM L05_GHV_028W_WINZE TO L05 GHV 027W WINZE TO AVOID MISCHARGING TO L05 NONE 028W RAISE.TEMP. STOPPED ON JULY 18, 2019 TO PRIORITIZED THE CROWN PILLAR.</t>
  </si>
  <si>
    <t>SPECIAL PROJECT FOR VENTILATION PUROPSES. 18 METERS STRIKE LENGTH APPROVED ON APRIL 30, 2019. TRANSFER FROM PMC MINERS 1 TO ESPADA 2 ON MAY 16,2019 FORMER TEAM LEADER WILL BE TRANSFER AGSAO VENTILATION PROJECT. STOPPED ON MAY 20,2019 ALREADY FINISHED.</t>
  </si>
  <si>
    <t>ADDITIONAL, APPROVED ON APRIL 20, 2018/SDNC. TEMPORARY STOPPED BREAKING ON MAY 7, 2018 TO DO MAINLINE CLEANING. RESUMED ON MAY 22, 2018. TEMPORARY STOPPED ON SEPT. 1, 2018; CONVERTED TO STOPE BREAKING. RESUMED ON FEBRUARY 6, 2019. TEMPORARY STOPPED ON MAR 21, 2019 TO PRIORITIZE L5 CV 21W DW AS ACCESS. RESUMED ON MAR 28, 2019. STOPPED BREAKING THE SILL PILLAR ON JUNE 29, 2019.</t>
  </si>
  <si>
    <t>ADDITIONAL PRODUCTION.APPROVED ON APRIL 1, 2019. CONVERT TO SILL PILLAR ROBBING ON MAY 9,2019. STOPPED ON JUNE 11, 2019 DUE TO ALREADY FINISHED ROBBING THE SILL PILLAR.</t>
  </si>
  <si>
    <t>ADDITIONAL SOURCE OF GOOD ORE.APPROVED ON SEPTEMBER 11, 2018.TEMP.STOP FEB 22, 2019 TO PRIORITIZE SINKING MEMO FROM OPS. RESUMED ON JUNE 10,2019. TOPSLICE.STOPPED ON JUNE 11, 2019 DUE TO UNSAFE CONDITION.</t>
  </si>
  <si>
    <t>REPLACEMENT OF L05 NONE 015W XCN APPROVED ON NOVEMBER 8, 2018.TEMP. STOPPED ON GOING MAINLINE CLEANING ON NOVEMBER 16, 2018. RESUMED ON NOVEMBER 29, 2018 AS PER JRABOSA. STOPPED ON JANUARY 11, 2019 DUE TO PINED-OUT OF VEIN.</t>
  </si>
  <si>
    <t>ADDITIONAL PRODUCTION. STARTED ROBBING PILLARS SINCE AUGUST 1, 2017 AS PER EB TAPDASAN, BUT WAS ONLY NOTIFIED ON AUG. 17, 2017. MINE CARS TRAMMED WAS PAID THROUGH JOB ORDER. TEMPORARY STOPPED ON NOVEMBER 8, 2017 DUE TO LACK OF MANPOWER AS PER MEMO OF SHEPHERD (ENGBINO).</t>
  </si>
  <si>
    <t>REPLACEMENT OF L05 JVFW 13E ROBBING, APPROVED ON MARCH 9, 2018.TEMPORARY STOP ON JUNE 6, 2018 DUE TO INSUFFICIENT MANPOWER AS PER SHEPHERD.</t>
  </si>
  <si>
    <t>REPLACEMENT OF L05 JVFW 015W ROBBING.APRROVED ON SEPTEMBER 11, 2018. STOPPED ON FEBRUARY 14,2019 DUE TO UNSAFE CONDITION.</t>
  </si>
  <si>
    <t>REPLACEMENT OF L05 RYV 018E DE. APPROVED ON SEPTEMBER 4, 2018. STOPPED ON FEBRUARY 20,2019 DUE O CONSECUTIVE LOW ASSAY GRADE.</t>
  </si>
  <si>
    <t>ADDITIONAL PRODUCTION. APPROVED ON DECEMBER 21,2018. STOPPED ON FEB 21, 2019; LOW GRADE; MEMO RECEIVED.</t>
  </si>
  <si>
    <t>REPLACEMENT OF L05 CV 011W STOPE. APPROVED ON OCTOBER 16, 2018. STOPPED ON FEB 25, 2019; ALREADY DONE BREAKING PILLARS; MEMO RECEIVED GEO. RESUMED ON FEBRUARY 28, 2019 BUT MINIMIZED QUOTA TO 8MC PER DAY ONLY. STOPPED ON MARCH 4, 2019 DUE TO CONSECUTIVE LOW ASSAY GRADE.</t>
  </si>
  <si>
    <t>REPLACEMENT OF L05 GHVSPLIT 030E RAISE. APPROVED ON JANUARY 24, 2019. STOPPED ON MARCH 12,2019 DUE TO MINED OUT.</t>
  </si>
  <si>
    <t>REPLACEMENT OF L05 GHV 025W RAISE. APPROVED ON MARCH 1, 2019. STOPPED ON MAR 27, 2019. VEIN PINCEHD OUT</t>
  </si>
  <si>
    <t>ADDITIONAL PRODUCTION TONNAGE. APPROVED ON 3/25/19. RENAMED FROM L05 CV 007E ROBBING TO L05 JV 007E ROBBING AS PER MEMO OF LEVEL GEO ON APRIL 21,2019. STARTED BREAKING SILL PILLAR  AS OF APRIL 30, 2019 2ND SHIFT.STOPPED ALREADY FINISHED SILL PILLAR ROBBING ON MAY 21, 2019.</t>
  </si>
  <si>
    <t>ADDITIONAL PRODUCTION.APPROVED ON APRIL 1, 2019. TEMPORARY STOPPED ON APRIL 18,2019 TO PRIORITIZED EXPLORATORY CROSSCUT. RESUMED ON JUNE 8, 2019. STOPPED BREAKING ON JUNE 29, 2019</t>
  </si>
  <si>
    <t>REPLACEMENT OF L05 GHW 022W ROBBING ON JUNE 11, 2019. HANDMUCKING ACTIVITY AS PER LEOMAR FRAGINAL. STOPPED ON JULY 4, 2019 DUE TO CONSECUTIE LOW ASSAY GRADES ON CUT SAMPLES/BUK SAMPES.</t>
  </si>
  <si>
    <t>ADDITIONAL, APPROVED ON 5/3/19-SDNC. STOPPED ON MAY 25,2019 TO OPEN WINZE TO EXPLORE.</t>
  </si>
  <si>
    <t>REPLACEMENT OF L06 DPVE 026E ROBBING.APPROVED ON APRIL 1, 2019. STOPPED ON MAY 11, 2019 DUE TO UNSAFE CONDITION.</t>
  </si>
  <si>
    <t>ADDITIONAL PRODUCTION. CROWN PILLAR ROBBING.APPROVED ON FEBRUARY 2, 2019. STOPPED ON MARCH 15,2019 ALREADY FINISHED. (DMO)</t>
  </si>
  <si>
    <t>REPLACEMENT OF L06 DPVE 023E WINZE STOPE. APPROVED ON JAN 8, 2019. STOPPED ON JAN 29, 2019, ALREADY DONE ROBBING PILLAR.</t>
  </si>
  <si>
    <t>REPLACEMENT OF L06 CV 004E DW. APPROVED ON FEB. 5, 2019. STOPPED ON MARCH 15,2019 ALREADY FINISHED (DMO).</t>
  </si>
  <si>
    <t>REPLACEMENT OF L06  JV 056E ROBBING.APPROVED ON MARCH 11, 2019. STOPPED ON MARCH 30, 2019, ALREADY DONE BREAKING PILLARS.</t>
  </si>
  <si>
    <t>REPLACEMENT OF L06 CV 018E WINZE.APPROVED ON FEBRUARY 7, 2019.STOPPED DUE TO ALREADY FINISHED ON APRIL 2, 2019</t>
  </si>
  <si>
    <t>REPLACEMENT OF L06 JVHW 023E RAISE. APPROVED ON MAY 7, 2019. TEMPORARY STOPPED ON JUNE 5,2019 TO CONDUCT FURTHER EVALUATION OF THE TARGET VEIN.</t>
  </si>
  <si>
    <t>REPLACEMENT OF L06 GHVFW 028W DE.APPROVED ON FEBRUARY 19, 2019. STOPPED ON MARCH 7,2019 ALREADY HIT THE TARGET VEIN.</t>
  </si>
  <si>
    <t>REPLACEMENT OF L06 GHV 015W RAISE. APPROVED ON JAN 13, 2019. STOPPED ON JAN 25, 2019 ALREADY INTERCEPTED THE TARGET VEIN.</t>
  </si>
  <si>
    <t>REPLACEMENT OF L06 CV 002W STOPE PREP. APPROVED ON JAN 31, 2019. TEMPORY STOPPED ON FEBRUARY 19,2019 TO PRIORITIZED OPENED STOPE PREP.</t>
  </si>
  <si>
    <t xml:space="preserve">REPLACEMENT OF L06 DPVE 026E ROBBING. APPROVED ON JAN 31, 2019. TEMP STOP ON  2/26/19, TO  PRIORITIZE DRIFT NEAR THE AREA (R PARONDA). </t>
  </si>
  <si>
    <t>REPLACEMENT OF L06 JVFW 002E STOPE. APPROVED ON JULY 24, 2019. RENAMED FROM L06_JVHW_024E_RAISE TO L06_JV_052E_RAISE DUE TO MISCOMMUNICATION OF LEVEL GEOLOGIST ON JULY 30,2019. STOPPED ON AUGUST 27, 2019 DUE TO ALREADY CONNECTED TOWARDS L06 JV 53E RAISE.</t>
  </si>
  <si>
    <t>REPLACEMENT OF L06 JVHW 024E RAISE. APPROVED ON MAY 2, 2019. STOPPED ON JUNE 15, 2019; ALREADY BREAKTHROUGH TO AN OLD RAISE.</t>
  </si>
  <si>
    <t>REPLACEMENT OF L06 DPV 030E RAISE. APPROVED ON 3/6/2019. STOPPED ON MARCH 29, 2019, LOW GRADE.</t>
  </si>
  <si>
    <t>REPLACEMENT OF L06 GHVFW 004W DW. APPROVED ON DECEMBER 7,2018. STOPPED ON JANUARY 23,2019 DUE TO BREAKTHROUGH TO AN OLD STOPE.</t>
  </si>
  <si>
    <t>REPLACEMENT OF L06 GHV 014W DW. APPROVED ON JAN 23, 2019. STOPPED ON JANUARY 24, 2019. PINCHED OUT VEIN AT THE SAME TIME UNSAFE.</t>
  </si>
  <si>
    <t>REPLACEMENT OF L06 GHVFW 002W DE. APPROVED ON DECEMBER 7,2018.STOPPED ON JAN 22, 2019</t>
  </si>
  <si>
    <t>ADDITIONAL RAISE AS ACCESS FOR L06 GHVFW 007W STOPE. APPROVED ON JAN. 16, 2019. STOPPED ON JAN 28, 2019; VEIN PINCHED OUT.</t>
  </si>
  <si>
    <t>REPLACEMENT OF L06 JV 003E DE. APPROVED ON JAN 16, 2019. STOPPED ON JAN 28, 2019, VEIN PINCHED OUT.</t>
  </si>
  <si>
    <t>REPLACEMENT OF L06 GHVFW 004W DW. APPROVED ON JAN 29, 2019.STOPPED ALREADY BREAKTHROUGH ON FEBRUARY 2, 2019</t>
  </si>
  <si>
    <t>REPLACEMENT OF L06 GHVFW 006W DW. APPROVED ON NOV 20, 2018.TEMPORARY STOPPED ON NOVEMBER 23, 2018. RESUMED ON NOVEMBER 26,2018. STOPPED ON JAN 14, 2019 DUE TO VEIN PINCHED OUT.</t>
  </si>
  <si>
    <t>REPLACEMENT OF L06 JV 067E WINZE . APPROVED ON JAN 26, 2019. STOPPED ON FEBRUARY 14,2019 DUE TO CONSECUTIVE LOW ASSAY GRADE.</t>
  </si>
  <si>
    <t>REPLACEMENT OF L06 GHVFW 010E RAISE. APPROVED ON DECEMBER 10,2018. STOPPED ON FEBRUARY 18,2019 DUE TO PINCHED OUT OF VEIN.</t>
  </si>
  <si>
    <t>ADDITIONAL VERTICAL DEVELOPMENT.APPROVED ON JAN 29, 2019. TEMPORARY STOPPED ON 2/6/19 TO PRIORITIZE L06 JVFW 006E DW. RESUMED ON FEBRUARY 13,2019.STOPPED ON 3/4/19 DUE TO UNSAFE CONDITION. (RPARONDA)</t>
  </si>
  <si>
    <t>REPLACEMENT OF L06 DPVE 035E DE. APPROVED ON FEBRUARY 7, 2019. STOPPED ON MARCH 7,2019 CONNECTED TO THE OLD STOPE OF LEVEL 6.</t>
  </si>
  <si>
    <t>REPLACEMENT OF L06 JV 003E DE.APPROVED ON JANUARY 23, 2019 RENAMED FROM L06 JV 003W RAISE TO L06 JV 001W RAISE TO AVOID MISCHARGING. STOPPED ON MARCH 11,2019 CONNECTED TO LEVEL 5.</t>
  </si>
  <si>
    <t>REPLACEMENT OF L06 GHVFW 014E RAISE. APPROVED ON NOVEMBER 29, 2018.LTS. STOPPED ON DECEMBER 10,2018 CONNECTED TO OLD STOPE OF LEVEL 6.</t>
  </si>
  <si>
    <t>REPLACEMENT OF L06 JVFW 006E STOPE. APPROVED ON FEB 23, 2019.STOPPED CONVERTED TO ACTIVE BREAKING. STOPPED ON MARCH 19, 2019</t>
  </si>
  <si>
    <t>REPLACEMENT OF L06 DPV 020E DW.APPROVED ON MARCH 8, 2019. TEMPORARY STOPPED ON MARCH 23, 2019, TO BREAKTHROUGH ON AN OLD WINZE AT LEVEL 5 WITH ACCUMULATED WATER, TO DEWATER FIRST BEFORE PROCEEDING. RESUMED ON MARCH 26, 2019 FOR INCLINED RAISE. STOPPED ON APRIL 19, 2019, ALREADY DONE DRIVING INCLINED RAISE.</t>
  </si>
  <si>
    <t>REPLACEMENT OF L06 JVHW 021E DE. APPROVED ON MARCH 15,2019. STOPPED ON APRIL 30,2019 DUE TO VEIN PINCHED OUT.</t>
  </si>
  <si>
    <t>ADDITIONAL, APPROVED ON 4/10/19-LTS. TRANSFER FROM BUGAWAN 2 TO BAÑEZ 7 ON APRIL 12,2019. STOPPED ON MAY 15,2019 DUE TO VEIN PINCHED OUT.</t>
  </si>
  <si>
    <t>REPLACEMENT OF L06 DPVE 022E RAISE. APPROVED ON MARCH 29, 2019.STOPPED ON 5/27/19-SDNC.</t>
  </si>
  <si>
    <t>ADDITIONAL VERTICAL DEVELOPMENT APPROVED ON JULY 2, 2019. STOPPED ON JULY 9, 2019 DUE TO PINCHED OUT VEIN.</t>
  </si>
  <si>
    <t>REPLACEMENT OF L06 JV 015E DE. APPROVED ON JUNE 15, 2019. STOPPED ON JULY 30,2019 CONVERTED TO STOPE PREPARATION.</t>
  </si>
  <si>
    <t>ADDITIONAL VERTICAL DEVELOPMENT.APPROVED ON JAN 29, 2019. TEMPORARY STOPPED ON 2/6/19 TO PRIORITIZE L06 JVFW 006E DW. RESUMED ON FEBRUARY 13,2019.STOPPED ON 3/4/19 DUE TO UNSAFE CONDITION. (RPARONDA). RESUMED ON AUGUST 2, 2019 TO DRIVE INCLINED RAISE. STOPPED ON AUG 15, 2019 DUE TO VEIN PINCHED OUT.</t>
  </si>
  <si>
    <t>REPLACEMENT OF L06 JVFW 004E RAISE. APPROVED ON AUG 16, 2019. CANCELLED WORKING PLACE, DIDN’T PUSH THROUGH.</t>
  </si>
  <si>
    <t>REPLACEMENT OF L06 JVHW 018E DW. APPROVED ON JUNE 14, 2019.RENAME ON JUNE 16, 2019 FROM L06 JVHW 021E RAISE TO L06 JVHW 018E RAISE TO PREVENT FROM POSSIBLE MISCHARGING AS PER REQUEST OF LVIRAY. STOPPED ON AUG 3, 2019 RAISE ALREADY AT LEVEL 5 MAINLINE. RESUMED ON AUGUST 26, 2019 TO INCLINE RAISE.STOPPED ON AUGUST 30, 2019 ALREADY REACHED THE RECOMMENDED THE STRIKE LENGTH OF THE INCLINE RAISE.</t>
  </si>
  <si>
    <t>REPLACEMENT OF L06_GHVFW_033W_DW APPROVED ON JUNE 27, 2019. STOPPED ON JULY 5, 2019 DUE TO ALREADY  HIT THE IRAQ FAULT AND FURTHER EVALUATION. RESUMED ON JULY 15, 2019 AS PER LM. STOPPED ON AUGUST 30, 2019 DUE TO SAFETY CONDITION.</t>
  </si>
  <si>
    <t>ADDITIONAL HORIZONTAL DEVELOPMENT. APPROVED ON 2/26/19. TEMPORARY STOPPED ON MARCH 15,2019 TO FOLLOW UP RAISE PREP.RESUMED ON MARCH 19, 2019. STOPPED ON MARCH 30, 2019, ALREADY BREAKTHROUGH.</t>
  </si>
  <si>
    <t>REPLACEMENT OF L06_GHVFW_031W_STOPE. APPROVED ON 2/26/19. TEMPORARY STOPPED ON MARCH 6,2019 TO PRIORITIZED ADJACENT RAISE.</t>
  </si>
  <si>
    <t>REPLACEMENT OF L06 NONE 009E XCN. APPROVED ON AUGUST 16,2018.STOPPED ON SEPTEMBER 14, 2018. RESUMED ON SEPTEMBER 18,2018.STOPPED DUE TO VEIN PINCHED OUT ON SEPTEMBER 21, 2018</t>
  </si>
  <si>
    <t>REPLACEMENT OF L06 GHVFW 026E RAISE. APPROVED ON NOV 20, 2018. STOPPED ON DECEMBER 7,2018 BREAKTHROUGH. RESUMED ON JANUARY 9,2019. STOPPED ON JANUARY 10, 2019.</t>
  </si>
  <si>
    <t>REPLACEMENT OF L06 GHVFW 027W STOPE. APPROVED ON JAN 17, 2019.STOPPED ALREADY CONNECTED TO THE MAINLINE OF L06 ON JANUARY 21, 2019</t>
  </si>
  <si>
    <t>REPLACEMENT OF L06 NONE 00E WINZE. APPROVED ON DECEMBER 1, 2018. STOPPED ON DECEMBER 28,2018 ALREADY REACHED THE MAXIMUM PROJECTED STRIKE LENGTH. RESUMED ON JAN 13, 2019 AS PER LM. STOPPED ON JAN 22, 2019 ALREADY BREAKTHROUGH.</t>
  </si>
  <si>
    <t>REPLACEMENT OF L06 JVFW 037E STOPE. APROVED ON JAN 17, 2019.TEMP STOPPED TO PRIORITIZED THE REHABILITED OF OLD RAISE ON JANUARY 21, 2019. RESUMED ON JANUARY 24, 2019.STOPPED  DUE TO NO VIEN TARGET FROM DRILLING, UPPER &amp; LOWER LEVELS ON FEBRUARY 5, 2019</t>
  </si>
  <si>
    <t>REPLACEMENT OF L06 NONE 008W XCS. APPROVED ON NOV. 15, 2018. TEMP STOPPED ON NOV 19, 2018. NO AVAILABLE WASTE PASS. (NO MEMO).RESUME ON NOVEMBER 23, 2018. TEMP STOPPED ON NOV 28, 2018.</t>
  </si>
  <si>
    <t>REPLACEMENT OF L06 GHV 014W RAISE. APPROVED ON JAN 28, 2019. STOPPED ON FEBRUARY 18,2019 CONNECTED TO THE MAINLINE OF L06 GHVFW 027W DE.</t>
  </si>
  <si>
    <t>REPLACEMENT OF L06 NONE 028E XCN. APPROVED ON JAN 25, 2019.TEMPORARY STOPPED DUE TO RAISE PREP ON FEBRUARY 6, 2019. RESUMED ON FEBRUARY 9, 2019. TEMPORARY STOPPED ON FEB 21, 2019.</t>
  </si>
  <si>
    <t>REPLACEMENT OF L06 CTV 026E DE. APPROVED ON AUGUST 6, 2018.STOPPED ON AUG 10,2018/LTS-CONNECTED TO OLD STOPE. RESUMED ON JAN 26, 2019. STOPPED ON FEB 21, 2019.; CONVERTED TO STOPE PREP.</t>
  </si>
  <si>
    <t>INTERMEDIATE SUBLEVEL. REPLACEMENT OF L06 JV 004E WINZE. APPROVED ON JAN 13, 2019. TEMP. STOPPED ON 2/22/2019.</t>
  </si>
  <si>
    <t>REPLACEMENT OF L06 NONE 036E XCN. APPROVED ON MARCH 21, 2019. TEMPORARY STOPPED ON APRIL 2, 2019 AS PER OPS TO PRIORITIZE 036E XCN.</t>
  </si>
  <si>
    <t>REPLACEMENT OF L06 DPVE 022E STOPE PREP. APPROVED ON MARCH 11, 2019. STOPPED ON APRIL 24, 2019; LOW GRADE.</t>
  </si>
  <si>
    <t>REPLACEMENT OF L06 NONE 036E XCN. APPROVED ON APRIL 16, 2019.STOPPED ON APRIL 26, 2019 DUE TO LOW CONSECUTIVE ASSAY GRADE.</t>
  </si>
  <si>
    <t>REPLACEMENT OF L06 NONE 027W XCS.AQPPROVED ON MARCH 8, 2019.TEMP.STOP ON 4/10/19-LTS, ON-GOING RAISE PREP. RESUMED ON APRIL 12,2019. STOPPED ON APRIL 27, 2019; VEIN PINCHED OUT.</t>
  </si>
  <si>
    <t>REPLACEMENT OF L06 GHVFW 024W DE. APPROVED APRIL 27, 2019. STOPPED AS OF MAY 2, 2019 PER DMOLACO.</t>
  </si>
  <si>
    <t>REPLACEMENT OF L06 DPVE 020E RAISE. APPROVED ON APRIL 22, 2019.STOP ON 5/3/19-SDNC, PINCHED OUT VEIN.</t>
  </si>
  <si>
    <t>REPLACEMENT OF L06 JV 036E DW. APPROVED ON APRIL 24, 2019. STOPPED ON MAY 9, 2019; VEIN PINCHED OUT.</t>
  </si>
  <si>
    <t>REPLACEMENT OF L06 DPVE 038E DE. APPROVED ON APRIL 27, 2019.STOPPED DUE TO OFF VEIN ON MAY 17, 2019</t>
  </si>
  <si>
    <t>REPLACEMENT OF L06 GHVFW 026W DW. APPROVED ON APRIL 23, 2019. STOPPED ON MAY 17,2019 DUE TO OFF VEIN.</t>
  </si>
  <si>
    <t>REPLACEMENT OF L06 JVHW 020E DW. APPROVED ON APRIL 26, 2019.TEMP.STOP ON 5/2/19-SDNC, TO PRIORITIZE 20E RAISE./ RESUMED ON MAY 5. STOPPED ON JUNE 5,2019 ALREADY REACHED THE RECOMMENDED STRIKE LENGTH.</t>
  </si>
  <si>
    <t>REPLACEMENT OF L06 NONE 032W XCS ON JUNE 7, 2019. RENAMED TO L06 GHVFW 033W DW FROM L06 GHVFW 032W DW TO AVOID MISCHARGING TO L06 NONE 032W XCS ON JUNE 10,2019.  STOPPED ON JUNE 25, 2019 DUE TO CONSECUTIVE LOW ASSAY GRAE ON CUT SAMPLES/BULK SAMPLES</t>
  </si>
  <si>
    <t>REPLACEMENT OF L06_CTV_024E_STOPE APPROVED ON JULY 10, 2019. STOPPED ON AUG 3, 2019, ABOUT TO BREAKTHROUGH AT AN ACTIVE MAINLINE.</t>
  </si>
  <si>
    <t>REPLACEMENT OF L06 NONE 032E XCS.APPROVED ON JUNE 19, 2019. TEMP. STOPPED ON JULY 17, 2019 DELAYED VY THE RAISE UP. RESUMED ON JULY 22, 2019.STOPPED ON AUGUST 6, 2019 ALREADY PICHED OUT VEIN.</t>
  </si>
  <si>
    <t>REPLACEMENT OF L06 JVHW 020E STOPE PREP. APPROVED ON JULY 11, 2019.STOPPED ON AUGUST 14, 2019 DUE TO PINCHED OUT VEIN ON THE SAME TIME CONVERT TO PULL-OUT CLEANING. STOPPED ON SEPT. 3, 2019 ALREADY MINE OUT.</t>
  </si>
  <si>
    <t>REPLACEMENT OF L06 GHVFW 30W STOPE PREP APPROVED ON 4/5/19-LTS. STOPPED BREAKING ON JUNE 5,2019 DUE TO CONSECUTIVE LOW ASSAY GRADE CONVERTED TO PULL-OUT CLEANING. STOPPED PULL OUT DUE TO CONSECUTIVE LOW ASSAY GRADE ON JUNE 12, 2019.</t>
  </si>
  <si>
    <t xml:space="preserve">REPLACEMENT OF L06 JV 001E STOPE PREP.APPROVED ON APRIL 1, 2019. STOPPED BREAKING ON MAY 9,2019 DUE TO VEIN PINCHED OUT AND CONSECUTIVE LOW ASSAY GRADE AT THE SAME TIME CONVERT TO PULL-OUT CLEANING. STOPPED ON 6/4/19 DUE TO CLASSIFICATION ON BROKEN MATERAIL AS WASTE (82% PULLED OUT). </t>
  </si>
  <si>
    <t>REPLACEMENT OF L06 GHVFW 007W STOPE PREP.APPROVED ON FEBRUARY 5, 2019. TEMPORARY STOPPED ON 3/13/19 TO EXPLORE WESTERN SIDE OF THE STOPE. RESUMED ON MARCH 13, 2019. STOPPED BREAKING DUE TO CONSECUTIVE LOW CUT SAMPLE, RECOMMENDED FOR PULL OUT STOPE ON MARCH 29, 2019. TEMPORARY STOPPED ON APRIL 29, 2019 DUE TO LOW GRADE.</t>
  </si>
  <si>
    <t>REPLACEMENT OF L06 GHVFW 031W STOPE PREP. APPROVED ON NOV 20, 2018. STOPPED BREAKING DUE TO PINCHED-OUT OF VEIN. CONVERT TO STOPE PULL-OUT FEB 8, 2019. TEMPORARY STOPPED ON FEB 13, 2019 FOR EVALUATION UNDERGROUND 56% PULL-OUT.</t>
  </si>
  <si>
    <t>REPLACEMENT OF L06 JV 024E RAISE. APPROVED ON NOV 20, 2018. CONVERTED TO PULL OUT CLEANING ON JANUARY 8, 2019.STOPPED ON JAN 14, 2019 DUE TO CONSECUTIVE LOW ASSAY GRADE.</t>
  </si>
  <si>
    <t>REPLACEMENT OF L06 GHVFW 027W STOPE PREP.APPROVED ON NOVEMBER 28, 2018. STOPPED BREAKING ON JANUARY 17,2019 ALREADY REACHED THE STOPE DESIGN LIMIT AT THE SAME TIME CONVERT TO PULL-OUT CLEANING.MINE OUT ON JANUARY 21, 2019</t>
  </si>
  <si>
    <t>REPLACEMENT OF L06 CTV 026E WINZE STOPE PREP.TEMP. STOPPED DUE TO DAMAGE OF AIRHOIST ON OCTOBER 30,2018. RESUME ON 11/5/18.  STOPPED BREAKING DUE TO LOW CURRENT BACK GRADE, APPROVED ON DEC. 13, 2018 AND WAS CONVERTED TO PULL OUT CLEANING. MINED-OUT ON JANUARY 25, 2019 AS PER DOLACO.</t>
  </si>
  <si>
    <t>REPLACEMENT OF L06 CTV 032E WINZE STOPE PREP.APPROVED ON SEPTEMBER 14, 2018. ALREADY FINISHED DRIVING FILL RAISE PROCEED TO PULL-OUT CLEANING ON 12/7/18. STOPPED ON MARCH 7,2019 DUE TO CONSECUTIVE LOW ASSAY GRADE.</t>
  </si>
  <si>
    <t>REPLACEMENT OF OF L06 DPVE 022E STOPE PREP. APPROVED ON 11/10/18. STOPPED BREAKING ON MARCH 7,2019 DUE TO CONSECUTIVE LOW ASSAY GRADE.STOPPED ON MARCH 11, 2019</t>
  </si>
  <si>
    <t>REPLACEMENT OF OF L06 JVFW 004E STOPE PREP.APPROVED ON MARCH 13, 2019. STOPPED BREAKING ON MARCH 28, 2019 DUE TO LOW CUT SAMPLE GRADE, RECOMMENDED FOR PULL OUT CLEANING.STOPPED ALREADY BREAK THRU AND FINISHED ON APRIL 1, 2019</t>
  </si>
  <si>
    <t>REPLACEMENT OF L06 DPVE 039E WINZE STOPE PREP. APPROVED ON JUNE 13, 2019. STOPPED ON JUNE 18,2019 DUE TO ALREADY REACHED THE RECOMMENDED STRIKE LENGTH/CROWN PILLAR IN THE SAME DATE PULL OUT CLEANING. RESUMED BREAKING ON JUNE 22, 2019 IN WHICH UPON ON THE RESULT OF IPR THE VEIN SWELL FROM 0.05METER TO 0.40METER THAT RECOMMENDS BY LVIRAY TO RESUME BREAKING THE 14 METERS STRIKE LENGTH. PULL-OUT CLEANING ON JULY 5, 2019 DUE TO ALREADY REACHED THE RECOMMENDED STRIKE LENGTH/CROWN PILLAR. STOPPED ON JULY 9, 2019 ALREADY FINISHED.</t>
  </si>
  <si>
    <t>REPLACEMENT OF L06 CTV 024E STOPE PREP.APPROVED ON APRIL 1 , 2019. CONVERT TO PULL-OUT CLEANING ON JUNE 28, 2019. STOPPED ON JULY 9 2019; ALREADY MINED OUT WITH 80% PULL OUT.</t>
  </si>
  <si>
    <t>REPLACEMENT OF L06 JVFW 002E STOPE STOPE PREP. APPROVED ON MARCH 25, 2019. STOPPED BREAKING ON JULY 15, 2019 AND COMMENCED TO PULL OUT CLEANING, CURRENT BACK LOW GRADE.STOPPED ON JULY 20, 2019 DUE TO UNSAFE CONDITION  141% PULL-OUT.</t>
  </si>
  <si>
    <t xml:space="preserve"> STOPPED ON REPLACEMENT OF L06 GHVFW 028W STOPE PREP, APPROVED ON JUNE 15, 2019, SBA. STOPPED ON JULY 16, 2019/ CONVERT TO PULL-OUT ON JULY 16, 2019. ALREADY MINED OUT WITH 120% PULL OUT STOPPED ON AUG 5, 2019.</t>
  </si>
  <si>
    <t>REPLACEMENT OF L06_DPVE_038E)WINZE STOPE PREP. APPROVED ON JULY JULY 19, 2019. STARTED STOPE CLEANING ON AUGUST 1, 2019; ALREADY DONE STOPE BACK BREAKING. STOPPED ON AUG 16, 2019, ALREADY MINED OUT.</t>
  </si>
  <si>
    <t>REPLACEMENT OF L06 DPVE 039E WINZE STOPE PREP. APPROVED ON JUNE 13, 2019. STOPPED ON JUNE 18,2019 DUE TO ALREADY REACHED THE RECOMMENDED STRIKE LENGTH/CROWN PILLAR IN THE SAME DATE PULL OUT CLEANING. RESUMED BREAKING ON JUNE 22, 2019 IN WHICH UPON ON THE RESULT OF IPR THE VEIN SWELL FROM 0.05METER TO 0.40METER THAT RECOMMENDS BY LVIRAY TO RESUME BREAKING THE 14 METERS STRIKE LENGTH. PULL-OUT CLEANING ON JULY 5, 2019 DUE TO ALREADY REACHED THE RECOMMENDED STRIKE LENGTH/CROWN PILLAR.</t>
  </si>
  <si>
    <t>REPLACEMENT OF L06 CV 002W STOPE PREP. APPROVED ON APRIL 25, 2019. STOPPED BREAKING AND WAS CONVERTED TO PULL OUT ON JUNE 17, 2019.</t>
  </si>
  <si>
    <t>REPLACEMENT OF OF L06 DPVE 022E STOPE PREP. APPROVED ON 11/10/18. STOPPED BREAKING ON JAN 8,2019 DUE TO PINCHED OUT OF VEIN AND CONSECUTIVE LOW ASSAY GRADE AT THE SAME TIME CONVERT TO PULL-OUT CLEANING.</t>
  </si>
  <si>
    <t>REPLACEMENT OF L06 GHVFW 027W STOPE PREP.APPROVED ON NOVEMBER 28, 2018. STOPPED BREAKING ON JANUARY 17,2019 ALREADY REACHED THE STOPE DESIGN LIMIT AT THE SAME TIME CONVERT TO PULL-OUT CLEANING.</t>
  </si>
  <si>
    <t>REPLACEMENT OF OF L06 DPVE 022E STOPE PREP. APPROVED ON 11/10/18. STOPPED BREAKING ON MARCH 7,2019 DUE TO CONSECUTIVE LOW ASSAY GRADE.</t>
  </si>
  <si>
    <t>REPLACEMENT OF L06 JV 001E STOPE PREP.APPROVED ON APRIL 1, 2019. STOPPED BREAKING ON MAY 9,2019 DUE TO VEIN PINCHED OUT AND CONSECUTIVE LOW ASSAY GRADE AT THE SAME TIME CONVERT TO PULL-OUT CLEANING.</t>
  </si>
  <si>
    <t>REPLACEMENT OF L06 GHVFW 30W STOPE PREP APPROVED ON 4/5/19-LTS. STOPPED BREAKING ON JUNE 5,2019 DUE TO CONSECUTIVE LOW ASSAY GRADE CONVERTED TO PULL-OUT CLEANING.</t>
  </si>
  <si>
    <t>REPLACEMENT OF L06 JVHW 020E STOPE PREP. APPROVED ON JULY 11, 2019.STOPPED ON AUGUST 14, 2019 DUE TO PINCHED OUT VEIN ON THE SAME TIME CONVERT TO PULL-OUT CLEANING.</t>
  </si>
  <si>
    <t>REPLACEMENT OF L06_DPVE_038E_WINZE STOPE PREP. APPROVED ON JULY JULY 19, 2019. CONVERT TO PULL-OUT CLEANING ON AUGUST 27, 2019.</t>
  </si>
  <si>
    <t>STOPPED ONREPLACEMENT OF L06 GHVFW 028W STOPE PREP, APPROVED ON JUNE 15, 2019, SBA. STOPPED ON JULY 16, 2019.</t>
  </si>
  <si>
    <t>ADDITIONAL GOOD SOURCE OF ORE ON JULY 5, 2019.  STOPPED ON JULY 27,2019 CONVERT TO ACTIVE BREAKING.</t>
  </si>
  <si>
    <t>REPLACEMENT OF L06_JVHW_020E_RAISE ON JUNE 15,2019. STOPPED AND CONVERTED TO STOPE BREAKING ON JULY 11, 2019.</t>
  </si>
  <si>
    <t>REPLACEMENT OF L06 DPVE 036E DE. APPROVED  ON MAY 14, 2019. STOPPED AND CONVERTED TO STOPE PREP ON JUNE 13, 2019.</t>
  </si>
  <si>
    <t>REPLACEMENT OF L06 CV 002W RAISE. APPROVED ON DECEMBER 21, 2018. TEMPORARY STOPPED  ON JAN 29, 2018; TO DRIVE CROSSCUT.. RESUMED ON FEBRUARY 19,2019. STOPPED ON APRIL 25, 2019; CONVERT TO BREAKING.</t>
  </si>
  <si>
    <t>REPLACEMENT OF L06 JVFW 004E RAISE . APPROVED ON 3/12/19. STOPPED ON MARCH 13,2019 CANCEL STOPE PREPARATION CONVERT DIRECTLY TO ACTIVE BREAKING DUE TO LOW DIP.</t>
  </si>
  <si>
    <t>REPLACEMENT OF L06 GHVFW 026W RAISE.APPROVED ON NOVEMBER 14, 2018. TRANSFER FROM BAÑEZ 9 TO BUGAWAN 1 TO GIVE CHANCE AND OPPORTUNITY TO NEW TL APPROVED ON 11/16/18.STOPPED CONVERT TO ACTIVE BRAKING ON NOVEMBER 28, 2018</t>
  </si>
  <si>
    <t>REPLACEMENT OF L06 JVFW 003E RAISE.APPROVED ON MARCH 19, 2019. RENAMED FROM L06 JVFW 003E STOPE PREP TO AVOID MISCHARGING WITH L06 GHVFW 003E STOPE APPROVED ON MARCH 21, 2019. CONVERT TO BREAKING MARCH 23, 2019.</t>
  </si>
  <si>
    <t>REPLACEMENT OF L06 JV 059E WINZE. APPROVED ON MARCH 18, 2019.CONVERTED TO BREAKING ON 4/5/19-LTS.</t>
  </si>
  <si>
    <t>REPLACEMENT OF L06 CTV 026E DE. APPROVED ON FEB 21, 2019. STOPPED ON APRIL 15, 2019. CONVERT TO BREAKING</t>
  </si>
  <si>
    <t>REPLACEMENT OF L07_DPVE_026E_DE. APPROVED ON AUGUST 6, 2019.STOPPED ON AUG 13, 2019</t>
  </si>
  <si>
    <t>REPLACEMENT OF L07 GHV 036E RAISE. APPROVED ON APRIL 29, 2019. TEMPORARILY STOPPED ON MAY 4, 2019 TO CLARIFY THE STOPE FROM LEVEL GEOLOGIST. RESUMED ON MAY 8,2019 AT THE SAME TIME TRANSFER FROM BABOR 1 TO BAYOBAY 1. STOPPED ON JUNE 15, 2019 CONVERTED TO BREAKING.</t>
  </si>
  <si>
    <t>REPLACEMENT OF L07 JVHW 064E RAISE. APPROVED ON JANUARY 25, 2019. MZC. STOPPED ON MARCH 4,2019 CONVERT TO ACTIVE BREAKING.</t>
  </si>
  <si>
    <t>REPLACEMENT OF L07 DPVE 030E RAISE.APPROVED ON DECEMBER 18, 2018. ALREADY DONE BREAKING ON JAN 24, 2019.</t>
  </si>
  <si>
    <t>REPLACEMENT OF L07 DPVE 026E RAISE. APPROVED ON JAN. 14, 2019.STOPPED CONVERT TO ACTIVE BREAKING ON FEBRUARY 4, 2019</t>
  </si>
  <si>
    <t>REPLACEMENT OF L07 JVHW 053E DE. APPROVED ON NOVEMBER 26,2018. TEMPORRY STOPPED ON DEC. 11, 2018. ORE TURNED WASTE ON FOLLOW UP; NO AVAILABLE WASTE PASS. RESUMED ON 1-8-2019 AS PER LM.STOPPED CONVERT TO ACTIVE BREAKING ON FEBRUARY 4, 2019</t>
  </si>
  <si>
    <t>REPLACEMENT OF L07 CTV 058E RAISE. APPROVED ON JAN 19, 2019.CONVERTED TO STOPE BREAKING ON FEB 8, 2019.</t>
  </si>
  <si>
    <t>REPLACEMENT  OF L07 DPVE 028E STOPE PREP. APPROVED ON JAN 24, 2019.STOPPED ON JUNE 4, 2019 DUE TO SAFETY CONCERN AND PROCEED TO PULL OUT CLEANING</t>
  </si>
  <si>
    <t>REPLACEMENT OF L07 GHVHW 056E WINZE STOPE PREP. APPROVED ON FEB. 23, 2019. MZC. STOPPED ON MARCH 13,2019 DUE TO PINCHED OUT OF VEIN AT THE SAME TIME CONVERT TO PULL-OUT CLEANING.</t>
  </si>
  <si>
    <t>REPLACEMENT OF L07 DPVE 039E STOPE PREP. COMMENCED ON NOV 17, 2018. NOTIFIED NOV 21, 2018. CONVERTED TO PULL OUT CLEANING DUE TO CURRENT VEIN PINCHED OUT, APPROVED ON JAN 19, 2019.</t>
  </si>
  <si>
    <t xml:space="preserve">REPLACEMENT OF L07 CTV 061E STOPE PREP. APPROVED ON FEB 8, 2019. TEMPORARY STOPPED ON FEBRUARY 18, 2019 FOR REWIREFRAMING. RESUMED ON MARCH 1, 2019 TO DO IPR. CONVERTED TO PULL-OUT ON 3/5/19 SINCE THE IPR RESULTS ARE NEGATIVE. </t>
  </si>
  <si>
    <t>REPLACEMENT OF L07 DPVE 026E STOPE PREP.APPROVED ON FEBRUARY 4, 2019. STOPPED BREAKING ON MARCH 14,2019 DUE TO CONSECUTIVE LOW ASSAY GRADE.</t>
  </si>
  <si>
    <t>REPLACEMENT  OF L07 DPVE 067E STOPE PREP. APPROVED ON MAY 29, 2019. STOPPED ON JUNE 10, 2019 DUE TO SLABBING OF HANGINGWALL THAT PRODUCED CONSECUTIVE LOW GRADE. NO PULL OUT OF BROKEN MATERIALS.</t>
  </si>
  <si>
    <t>REPLACEMENT OF L07_JV_040E_STOPE PREP. APPROVED ON AUGUST 9, 2019. STOPPED BREAKING ON AUGUST 28, 2019 IN THE SAME TIME CONVERT TO PULL-OUT CLEANING. STOPPED ON SEPT. 1, 2019, BULK GRADE ALREADY LOW GRADE, WITH 89% PULL OUT.</t>
  </si>
  <si>
    <t>REPLACEMENT OF L07 DPVE 059E RAISE. APPROVED ON MAY 8, 2019. STOPPED CONVERT TO ACTIVE BREAKING ON JUNE 11, 2019. STOPPED ON JUNE 28, 2019 CONVERT TO PULL-OUT. STOPPED ON JULY 5,2019 ALREADY MINED OUT.</t>
  </si>
  <si>
    <t>REPALCEMENT OF L07 GHV 036E RAISE. APPROVED ON APRIL 29, 2019. TEMPORARILY STOPPED ON MAY 4, 2019 TO CLARIFY THE STOPE FROM LEVEL GEOLOGIST. RESUMED ON MAY 8,2019 AT THE SAME TIME TRANSFER FROM BABOR 1 TO BAYOBAY 1. STOPPED ON JUNE 15, 2019 CONVERTED TO BREAKING. STOPPED BREAKING AND CONVERT TO PULL-OUT CLEANING STOPE ON JUNE 27, 2019.STOPPED DUE TO CONSECUTIVE LOW ASSAY GRADES ON JULY 3, 2019</t>
  </si>
  <si>
    <t>REPLACEMENT  OF L07 DPVE 028E STOPE PREP. APPROVED ON JAN 24, 2019.STOPPED ON JUNE 4, 2019 DUE TO SAFETY CONCERN AND PROCEED TO PULL OUT CLEANING.STOPPED ALREADY MINED OUT ON JUNE 8, 2019</t>
  </si>
  <si>
    <t>REPLACEMENT OF L07 JVHW 064E STOPE PREP. APPROVED ON MARCH 4,2019. TEMP STOPPED ON APRIL 15, 2019 LACK OF MANPOWER. RESUMED ON APRIL 17,2019. STOPPED BREAKING ON APRIL 28, 2019; CURRENT BACK VEIN PINCHED OUT; RECOMMENDED FOR PULL OUT CLEANING.MINED OUT ON MAY 16, 2019. 104% PULL OUT.</t>
  </si>
  <si>
    <t>REPLACEMENT OF L07 JVHW 072E RAISE. APPROVED ON DECEMBER 5, 2018. RENAMED FROM L07_JVHW_069E_STOPE PREP TO L07_JVHW_072E_STOPE PREP  TO AVOID MISCHARGING TO L07_JV_069E_RAISE  APPROVED ON DECEMBER 7,2018. CONVERTED TO BREAKING JANUARY 25, 2019 AS PER DROSIL. TEMPORARY STOPPED ON APRIL 17,2019 WAITING FOR ASSAY GRADE. RESUMED ON APRIL 26, 2019 AS PER GEO, VEIN PINCHED OUT, COMMENCED TO STOPE CLEANING. CONTROL PULL-OUT 6 MC/DAY STARTING MAY 2, 2019.STOPPED ON 5/10/19-LOC, CONSECUTIVE LOW ASSAY GRADE.</t>
  </si>
  <si>
    <t>REPLACEMENT OF L07 GHVHW 056E WINZE STOPE PREP. APPROVED ON FEB. 23, 2019. MZC. STOPPED ON MARCH 13,2019 DUE TO PINCHED OUT OF VEIN AT THE SAME TIME CONVERT TO PULL-OUT CLEANING. MINED-OUT ON MARCH 23, 2019 WITH 56% PULL-OUT.</t>
  </si>
  <si>
    <t>REPLACEMENT OF L07 CTV 061E STOPE PREP. APPROVED ON FEB 8, 2019. TEMPORARY STOPPED ON FEBRUARY 18, 2019 FOR REWIREFRAMING. RESUMED ON MARCH 1, 2019 TO DO IPR. CONVERTED TO PULL-OUT ON 3/5/19 SINCE THE IPR RESULTS ARE NEGATIVE. ALREADY FINISHED ON MARCH 8, 2019 WITH 112% PULL-OUT CLEANING.</t>
  </si>
  <si>
    <t>ADDITIONAL APPROVED ON AUG 10, 2018/GJTD. STOPPED BREAKING ON NOV 22,2018 ALREADY FINISHED FILL RAISE CONVERT TO PULL-OUT CLEANING. STOPPED ON JANUARY 29, 2019 DUE TO UNSAFE CONDITION WITH 80% PULL-OUT.</t>
  </si>
  <si>
    <t>REPLACEMENT OF L07 CTV 058E STOPE PREP. APPROVED ON SEPTEMBER 22,2018.STOPPED DUE TO OFF VEIN ON OCTOBER 17, 2018. RESUMED ON OCT. 18, 2018 AS DISCUSSED DURING COORDINATION MEETING. STOPPED BREAKING ON NOVEMBER 17,2018 ALREADY REACHED THE DESIGN PILLAR.STOPPED ON 1/5/19 , MINED -OUT.</t>
  </si>
  <si>
    <t xml:space="preserve">REPLACEMENT OF L07 JV 059E STOPE PREP. APPROVED ON MAY 31, 2018. STOPPED BREAKING ON SEPTEMBER 12,2018 CONVERT TO PULL-OUT CLEANING.STOPPED ON 1/5/19, MINED-OUT. </t>
  </si>
  <si>
    <t>REPLACEMENT OF L07 DPVE 039E STOPE PREP. COMMENCED ON NOV 17, 2018. NOTIFIED NOV 21, 2018. CONVERTED TO PULL OUT CLEANING DUE TO CURRENT VEIN PINCHED OUT, APPROVED ON JAN 19, 2019. MINED-OUT ON JANUARY 23, 2019 WITH 110% PULL-OUT.</t>
  </si>
  <si>
    <t>REPLACEMENT  OF L07 DPVE 029E STOPE PREP ON DECEMBER 3, 2018.STOPPED BREAKING CONVERT TO PULL OUT CLEANING ON FEBRUARY 7, 2019. STOPPED ON FEB 14, 2019; ALREADY MINED OUT; MEMO RECEIVED.</t>
  </si>
  <si>
    <t>REPLACEMENT OF L07 DPVE 026E STOPE PREP.APPROVED ON FEBRUARY 4, 2019. STOPPED BREAKING ON MARCH 14,2019 DUE TO CONSECUTIVE LOW ASSAY GRADE. STOPPED ON MARCH 21, 2019, ALREADY MINED OUT WITH 150% PULL OUT.</t>
  </si>
  <si>
    <t>REPLACEMENT OF L07_DPVE_044E_RAISE.APPROVED ON JULY 1, 2019.STOPPED ON JULY 16, 2019</t>
  </si>
  <si>
    <t>REPLACEMENT OF L07 CTV 10E DE APPROVED ON 4/5/19-LTS. STOPPED ON MAY 22, 2019 AS PER MINE OPERATIONS ALREADY BREAKTHROUGH.</t>
  </si>
  <si>
    <t>REPLACEMENT OF L07 JV 012W WINZE. APPROVED ON MAY 8, 2019. STOPPED ON MAY 22, 2019, VEIN PINCHED OUT.</t>
  </si>
  <si>
    <t>REPLACEMENT OF L07 NONE 060E XCN. APPROVED ON NOV. 8, 2018. TEMPORARY STOPPED ON JANUARY 10,2019 DUE TO MANPOWER ISSUE.</t>
  </si>
  <si>
    <t>REPLACEMENT OF L07 GHVHW 056E WINZE. APPROVED NOVEMBER 30, 2018. TEMPORARY STOPPED ON JAN 17, 2019, TO DRIVE RAISE.</t>
  </si>
  <si>
    <t>REPLACEMENT OF L07 GHV 019E DE. APPROVED ON JAN 28, 2019. TEMPORARY STOPPED ON THE SAME DAY, TO SILL CONTINUE L07 GHV 019E DE. CHANGE FROM L07 DPVE 055E DW TO L07 DPVE 055E DE ON JULY 19,2019.</t>
  </si>
  <si>
    <t>REPLACEMENT OF L07 NONE 060E XCN APRROVED ON JANUARY 11, 2019. STOPPED ON JAN 28, 2019; VEIN PINCHED OUT.</t>
  </si>
  <si>
    <t>REPLACEMENT OF L07 JVHW 073E DE. APPROVE ON JAN 17, 2018. TEMPORARY STOPPED ON FEBRUARY 16,2019 TRANSFER TO PRIORITY HEADINGS.</t>
  </si>
  <si>
    <t>ADDITIONAL, APPROVED ON APRIL 22, 2018 AS PER GJTD. TEMPORARY STOPPED DUE TO NO MANPOWER ON APRIL 25, 2018. GJTD.RESUMED ON MAY 5,2018/PALT. STOPPED ON MAY 26, 2018, NO AVAILABLE WASTE PASS. RESUMED ON OCTOBER 25, 2018. TEMPORARY STOPPED ON OCTOBER 28,2018 ON GOING CLEANING.RESUME ON NOVEMBER 1, 2018. STOPPED ON JAN 27, 2019 BREAKTHROUGH TO AN OLD MAINLINE AS PER LM. /RESUMEDTRANSFERRED FROM BORERO TO SHEPHERD H ON FEB 4, 2019 DUE TO LACK OF MANPOWER AS PER LEVEL MANAGER. STOPPED ON FEB 18, 2019, ALREADY BREAKTHROUGH TO OLD MAINLINE.</t>
  </si>
  <si>
    <t>REPLACEMENT OF L07 DPVE 060E DW. APPROVED ON JAN 28, 2019. STOPPED ON MARCH 6, 2019 AND REPLACED BY L07 JV 025E DW.</t>
  </si>
  <si>
    <t>REPLACEMENT OF L07 DPVE 060E DE. APPROVED ON MARCH 6, 2019.STOPPED ON APRIL 2, 2019</t>
  </si>
  <si>
    <t xml:space="preserve">ADDITIONAL HORIZONTAL DEVELOPMENT. APPROVED ON 2/6/19. STOPPED ON 4/3/19 BECAUSE OF PINCHING-OUT OF VEIN. </t>
  </si>
  <si>
    <t>REPLACEMENT OF L07 JVHW 070E DE. APPROVED ON NOVEMBER 7, 2018. TRANSFER FROM BALANGHIG 3 TO VILLARANTE 2 DUE TO TRANSFER OF BALANGHIG TO LEVEL 9 ON JANUARY 21, 2019.STOPPED ALREADY BREAKTHOUGH TO ADJUSMENT MAINLINE ON FEBRUARY 4, 2019. RESUMED ON MAR 28, 2019. RENAMED TO L07 JVHW 073E DE FROM L07 JVHW 070E DW. TRANSFERRED TO ALENAR 3 FROM VILLARANTE. TEMPORARY STOPPED  ON APRIL 17,2019 LACK OF MANPOWER. RESUMED ON APRIL 29, 2019 AS PER LM. STOPPED ON MAY 8,2019 NO VEIN TARGET.</t>
  </si>
  <si>
    <t>REPLACEMENT OF L07 JV 026E RAISE. APPROVED ON APRIL 23, 2019. TEMP.STOPE DUE TO LACK OF MAN POWER AS PER LM.</t>
  </si>
  <si>
    <t>REPLACEMENT OF L07 JVFW 043E DE.APPROVED ON MAY 22, 2019.TEMP.STOP ON 5/25/19-LOC, VEIN PINCH OUT.</t>
  </si>
  <si>
    <t xml:space="preserve">REPLACEMENT OF L07 JVHW 064E STOPE. APPROVED ON MAY 20, 2019. STOPPED ON 5/31/19  TO RECONSIDER GROUND CONDITION STABILITY . AGREED BY MINE OPERATION AND MINE GEOLOGY. </t>
  </si>
  <si>
    <t>REPLACEMENT OF L07_JVHW_001E_DE ON JUNE 25, 2019. STOPPED ON JUNE 29, 2019 DUE TO PINCHED OUT VEIN.</t>
  </si>
  <si>
    <t>REPLACEMENT OF L07_GHVHW_061E_DE. APPROVED ON MAY 29, 2019. RENAMED FROM JVHW 002W DW. TEMPORARY STOPPED ON JULY 6,2019 TO OPEN VERTICAL RAISE.</t>
  </si>
  <si>
    <t>REPLACEMENT OF L07 NONE 019E XCS, APPROVED ON JUNE 25, 2019. TEMP. STOPPED ON JULY 9, 2019 PRIORITY FOR L07_JV_005W_RAISE.</t>
  </si>
  <si>
    <t>ADDITIONAL HORIZONTAL DEVELOPMENT ON JUNE 12, 2019. TEMPORARY STOPPED ON JUNE 18, 2019. RESUMED ON JUNE 25, 2019. TEMPORARY STOPPED ON JULY 9, 2019 DUE TO VEIN PINCHED OUT.STOPPED ON JULY 10, 2019 DUE TO PINCHED OUT OF VEIN.</t>
  </si>
  <si>
    <t>ADDITIONAL HORIZONTAL DEVELOPMENT ON JULY 5, 2019.STOPPED ON JULY 24, 2019 RECOMMENDED TO STOPPED FOR SAFE PURPOSES.</t>
  </si>
  <si>
    <t>REPLACEMENT OF L07_JVHW_003W_RAISE. APPROVED ON AUGUST 9, 2019.TEMP.STOPPED ON AUGUST 13, 2019 SINCE THE VEIN MERGED TO  GHVFW 22W DW</t>
  </si>
  <si>
    <t>REPLACEMENT OF L07 EDV 005E DW APPROVED ON JUNE 17, 2017. STOPPED ON JULY 6, 2017 AS PER  WB OBADO  AND J ZABATE DUE TO LOW ASSAY GRADE. STOPPED ON AUGUST 5, 2019 DUE TO CONSECUTIVE LOW ASSAY GRADE ON CUT SAMPLES/BULK SAMPLES.</t>
  </si>
  <si>
    <t>REPLACEMENT OF L07_GHV_020E_DE.APPROVED ON APRIL 2, 2019.  STOPPED ON MAY 7,2019 DUE TO CONSECUTIVE LOW ASSAY GRADE.</t>
  </si>
  <si>
    <t>ADDITIONAL VERTICAL DEVELOPMENT.APPROVED ON FEBRUARY 7, 2019. STOPPED ON FEBRUARY 8, 2019 AS PER MINE GEO, ENGINEERING AND OPERATION DUE TO REDUNDANCY OF RAISE.RESUME BREAKING TO EXPLORE UP DIP EXTENSION OF THE VEIN ON MARCH 19, 2019. TEMPORARY STOPPED ON MARCH 21, 2019, NO MANPOWER. RESUMED ON MARCH 25, 2019; TRANSFER FROM VILLARANTE 1 TO ALENAR 2 AS PER DROSIL. STOPPED ON APRIL 29, 2019; CONVERTED TO STOPE PREP L07 JVHW 068E STOPE PREP.</t>
  </si>
  <si>
    <t>REPLACEMENT OF L07 DPVE 063E DE. APPROVED ON JAN 17, 2018. STOPPED ON FEBRUARY 16, 2019 DUE TO UNSAFE CONDITION.</t>
  </si>
  <si>
    <t>ADDITIONAL VERTICAL DEVELOPMENT. APPROVED JUNE 5, 2018. STOPPED ON JULY 21,2018 DUE TO LOW GRADE AND VEIN PINCHED OUT.RESUMED ON AUG 10,2018/SDNC. STOPPED ON AUGUST 20,2018 DUE TO BREAKTHROUGH TO L07 CTV 057E RAISE. RESUMED ON DEC. 18, 2018 AS PER LM. BREAKTHROUGH AN OLD RAISE STOPPED ON JAN 17, 2019.</t>
  </si>
  <si>
    <t>REPLACEMENT OF L07 JV 057E STOPE PREP. APPROVED ON DEC. 13, 2018. TEMPORARY STOPPED, MP TRANSFER TO L07 JV 57E STOPE PREP, APPROVED ON 1-8-2019.</t>
  </si>
  <si>
    <t>REPLACEMENT OF L07  GHVFW 003W STOPE. APPROVED ON DEC. 9, 2018. INCLINED RAISE.STOPPED ON 1-8-2019, VEIN PINCHED OUT</t>
  </si>
  <si>
    <t>REPLACEMENT OF L07 DPVE 026E DW. APPROVED ON DEC. 13, 2018. STOPPED ON JANUARY 11,2019 DUE TO BREAKTHROUGH AT OLD STOPE.</t>
  </si>
  <si>
    <t>REPLACEMENT OF L02 DPVE 042E DW. APPROVED ON DECEMBER 4, 2018. STOPPED DUE TO LOW GRADE, STOPPED ON JAN 17, 2019.</t>
  </si>
  <si>
    <t>REPLACEMENT OF L07 DPVE 038E DW APPROVED ON SEPTEMBER 14, 2018,STOPPED DUE TO OFF VEIN ON OCTOBER 17, 2018. RESUMED ON JAN 17, 2019 AS PER COORDINATION MEETING.STOPPED BREAKTHOUGH ON FEBRUARY 4, 2019</t>
  </si>
  <si>
    <t>REPALCEMENT OF L07 JVHW 063E RAISE. APPROVED ON FEB 18, 2019. STOPPED ON MARCH 21, 2019, VEIN PINCHED OUT.</t>
  </si>
  <si>
    <t>RAISE ON AN INTERMEDIATE SUBLEVEL. REPLACEMENT OF L07 GHVHW 056E DE. APPROVED ON JAN 17, 2019. STOPPED ON JANUARY 24, 2019 AS PER DROSIL. RESUMED ON MARCH 14,2019 FOR WASTE PASS.STOPPED DUE TO LOW GRADE ON MARCH 19, 2019. RESUMED ON MARCH 21, 2019, TO BREAKTHROUGH RAISE TO LEVEL 7 MAINLINE. STOPPED ON MARCH 23, 2019  ALREADY BREAKTHROUGH.</t>
  </si>
  <si>
    <t>REPLACEMENT OF 021E CHAMBER. APPROVED ON FEB 4 2019. STOPPED ON MARCH 29, 2019, VEIN PINCHED OUT.</t>
  </si>
  <si>
    <t>REPLACEMENT OF L07 DPVE 058E RAISE. APPROVED ON FEB 25, 2019.STOP ON APR 4, 2018 ALREADY REACHED L06 ELEVATION/LTS.</t>
  </si>
  <si>
    <t>REPLACEMENT OF L07_JV 025E _DW.APPROVED ON APRIL 2, 2019. STOPPED ON APRIL 19,2019 DUE TO PINCHED OUT OF VEIN.</t>
  </si>
  <si>
    <t>BLOCKING RAISE OF L07 GHV 024E RAISE.APPROVED ON MARCH 19, 2019. STOPPED ON APRIL 21,2019 DUE TO VEIN PINCHED OUT.</t>
  </si>
  <si>
    <t>REPLACEMENT OF L07 JVHW 74E DE, APPROVED ON 4/8/19-LTS. STOPPED ON APRIL 28, 2019; LOW ASSAY RESULT.</t>
  </si>
  <si>
    <t>REPLACEMENT OF L07 DPVE 67E RAISE, APPROVED ON 4/5/19-LTS. STOPPED ON APRIL 29, 2019; CONVERTED TO STOPE PREP L07 DPVE 067E STOPE PREP.</t>
  </si>
  <si>
    <t>REPLACEMENT OF L07 GHV 34E DE, APPROVED ON 4/5/19-LTS. STOPPED ON APRIL 29, 2019, VEIN PINCHED OUT AS PER LG.</t>
  </si>
  <si>
    <t>REPLACEMENT OF L07 DPVE 029E STOPE. APPROVED ON FEBRUARY 16,2019. STOPPED ON APRIL 30,2019 DUE TO VEIN PINCHED OUT.</t>
  </si>
  <si>
    <t>REPLACEMENT OF L07 GHV 029E RAISE.APPROVED ON MAY 18, 2019.TEMP.STOP ON 5/25/19-LOC, INSUFFICIENT MANPOWER.  RESUMED ON JUNE 5,2019 AT THE SAME TIME TRANSFER FROM BAYOBAY 2 TO VILLARANTE. STOPPED ON JUNE 27, 2019 ALREADY REACHED THE PROJECTED LENGTH.</t>
  </si>
  <si>
    <t>REPLACEMENT OF L07 CTV 011E DW. APPROVED ON MAY 24, 2019.TEMPORARY STOPPED ON JUNE 4, 2019.STOPPED  PROCEED TO STOPE PREP ON JUNE 3, 2019. RESUMED AS INCLINED RAISE ON JUNE 8, 2019.STOPPED ON JUNE 27, 2019 DUE TO CONSECUTIVE LOW ASSAY GRADES ON CUT SAMPLES/ BULK SAMPLES</t>
  </si>
  <si>
    <t>ADDITIONAL VERTICAL DEVELOPMENT.APRROVED ON MAY 10, 2019. AS OF JUNE 22, 2019 THIS HEADING HAS 6METERS SLOPE DISTANCE REMAINING TO CONNECT TO L06 JV 003E DE.STOPPED JULY 25, 2019 ALREADY CONNECTED TO THE OLD RAISE-LOC</t>
  </si>
  <si>
    <t>FILL WINZE FOR WASTE PASS. APPROVED ON FEBRUARY 18,2019. ALREADY BREAK THROUGH ON FEB 26, 2019 AS PER WBO.</t>
  </si>
  <si>
    <t>FILL WINZE TO BE CONNECTED TO OLD STOPE.APPROVED ON JANUARY 12, 2019. STOPPED ON JANUARY 21,2019 CANCELLED FILL WINZE.</t>
  </si>
  <si>
    <t>REPLACEMENT OF L07 GHV 058E ROBBING. APPROVED ON NOVEMBER 30, 2018. ALREADY BREAKTHROUGH SINCE 12-21-18, FILL WINZE, AS PER LM MEMO TO FOLLOW.</t>
  </si>
  <si>
    <t>REPLACEMENT OF L07 028E DPVE STOPE APPROVED ON JUNE 8, 2019. TEMPORARY STOPPED ON JUNE 11, 2019 DUE TO PRIORITIZED ROBBING TO BE OPEN. RESUMED ON JUNE 14, 2019 AT THE SAME TIME TRANSFERRED TO SHEPHERD W6. STOPPED ON JULY 5, 2019 DID NOT BREAKTHROUGH.</t>
  </si>
  <si>
    <t>REPLACEMENT OF L07 DPVE 26E STOPE, APPROVED ON 4/10/19-LTS. TEMPORARY STOPPED ON MAY 11,2019 TO PRIORITIZED HORIZONTAL AND RAISE DEVELOPMENT. RESUMED ON JULY 5, 2019 AT THE SAME TIME TRANSFER FROM SHEPHERED H TO SHEPHERD W6. STOPPED ON AUGUST 9, 2019 DUE TO CONSECUTIVE LOW ASSAY GRADES ON CUT SAMPLES/ BULK SAMPLES.</t>
  </si>
  <si>
    <t>ADDITIONAL SPECIAL PROJECT  FOR VENTILATION PURPOSES. APPROVED ON MAY 29, 2019.STOPPED ON AUGUST 20, 2019 ALREADY FINISHED.</t>
  </si>
  <si>
    <t>REPLACEMENT OF L07 CTV 8E WINZE, APPROVED ON MARCH 27, 2018/SDNC. REPLACED BY L07_JVN_056E_DE ON APRIL 27, 2018.RESUMED ON OCTOBER 19, 2018. NO STOP MEMO. RESUMED ON NOV 20, 2018 SINCE WASTE PASS IS AVAILABLE. TEMPORARY STOPPED ON DEC. 11, 2018 DUE TO NO WASTE PASS AVAILABLE. RESUMED ON 1-8-2019 AS PER LM. STOPPED ON JAN. 11, 2019, REPLACED BY A DRIFT 060E DW.</t>
  </si>
  <si>
    <t>REPLACEMENT OF L07 GHVHW 028E WINZE.APPROVED ON JANUARY 12, 2019. TEMP. STOPPED AS OF 1/25/19 DUE TO COLLAPSED MAINLINE ON FEBRUARY 4, 2019. TRANSFER TO BORERO FROM SHEPHERD H  DUE TO LACK OF MANPOWER.RESUMED ON FEBRUARY 7,2019. TEMPORARY STOPPED ON FEBRUARY 16, 2019 DUE TO COLLAPSE MAINLINE. RESUMED ON MARCH 8,2019. TEMPORARY STOPPED ON JUNE 12,2019 TO PRIORITIZED ON VEIN DEVELOPMENT. RESUMED ON JUNE 18, 2019. STOPPED ON JUNE 25, 2019 ALREADY HIT THE TARGET.</t>
  </si>
  <si>
    <t>REPLACEMENT OF L07 GHV 013E DW.APPROVED ON NOVEMBER 28, 2018. STOPPED ON FEB 14, 2019 DUE TO UNSAFE CONDITION; MEMO RECEIVED.</t>
  </si>
  <si>
    <t>REPLACEMENT OF L07 GHVFW 001E STOPE. APPROVED ON NOV 21, 2018. TEMPORARY STOPPED ON DEC. 13, 2018; NO AVAILABLE WASTE PASS. RESUMED ON 1-8-2019 AS PER LM. ALREADY FINISHED ON JANUARY 29, 2019 AS PER WOBADO.</t>
  </si>
  <si>
    <t>REPLACEMENT OF L07 GHV 014E ROBBING. APPROVED ON OCT. 18, 2018. TEMPORARY STOP ON 1/5/19 DUE TO MANPOWER ISSUE(DUE TO HOT AIR CONDITION). STOPPED ON AUGUST 20, 2019 SECONDARY DILUTION.</t>
  </si>
  <si>
    <t>REPLACEMENT OF L07 JVHW 063E STOPE APPROVED ON JULY 4, 2019. STOPPED ON JULY 22, 2019 DUE TO CONSECTUVIE LOW ASSAY GRADE. IN THE SAME DAY START BREAKING THE SILL PILLAR. STOPPED ON JULY 28, 2019 DUE TO CONSECUTIVE ASSAY GRADE.-LOC</t>
  </si>
  <si>
    <t>ADDITIONAL SOURCE OF GOOD ORE. APPROVED ON JUNE 14, 2019. STOPPED ON AUGUST 9, 2019 DUE TO CONSECUTIVE LOW ASSAY GRADES ON CUT SAMPLES/BULK SAMPLES.</t>
  </si>
  <si>
    <t>DRLLING CHAMBER CHARGING FOR WIDENING, WIREMESH AND OTHER MATERIALS. APPROVED ON MARCH 20, 2019. STOPPED ON MAR 22, 2019</t>
  </si>
  <si>
    <t>ADDITIONAL SOURCE OF GOOD ORE APPROVED ON AUGUST 23, 2018.TEMPORARY STOPPED TO OPEN INTERMEDIATE SUB LEVEL THAT WILL EXPLORE ITS EAST SIDE LETERAL LENGTH ON OCTOBER 22, 2018. RESUMED ON OCTOBER 25,2018. STOPPED ON DECEMBER 20,2018 DUE TO LOW GRADE.</t>
  </si>
  <si>
    <t xml:space="preserve">REPLACEMENT OF L08 DPVE 035E DW. APPROVED ON JANUARY 28, 2019. STOPPED ON MARCH 6,2019 ALREADY REACHED THE TARGET VEIN. </t>
  </si>
  <si>
    <t>REPLACEMENT OF L08 GHV 018E ROBBING.APPROVED ON DECEMBER 18, 2018. TEMP. STOPPED ON FEB. 4, 2019 DUE TO UNSAFE CONDITION, WAITING FOR L07 JVFW 067E WINZE TO BE DEWATERED. RESUMED ON FEBRUARY 8, 2019. STOPPED ON MARCH 15, 2019 ALREADY HIT THE VEIN.</t>
  </si>
  <si>
    <t>TARGETING RESERVE BLOCK OF DPVE. APPROVED ON MARCH 15,2019. STOPPED ON APRIL 11,2019 ALREADY HIT THE TARGET DISTANCE TO HIT THE DPVE RESERVE BLOCK.</t>
  </si>
  <si>
    <t>REPLACEMENT OF L08 NONE 008E CHAMBER.APPROVED MARCH 22, 2019. STOPPED ON APRIL 18,2019 CONVERTED TO ON VEIN.</t>
  </si>
  <si>
    <t>REPLACEMENT OF L08 GHVSPLIT 6W STOPE, APPROVED ON 4/5/19-LTS. STOPPED ON APRIL 24, 2019; ALREADY ON VEIN.</t>
  </si>
  <si>
    <t>REPLACEMENT OF L08 NONE 047E XCN. APPROVED ON APRIL 15,2019. STOPPED ON MAY 6,2019 CONVERTED TO ON VEIN.</t>
  </si>
  <si>
    <t>CROSSCUT GOING PROPOSED NEW VENTILATION. APPROVED ON NOVEMBER 27, 2018. STOPPED CHANGE PLAN ACCORDING TO VENTILATION ON FEBRUARY 2/7/19. RESUME BY VENTILATION SECTION ON 2/26/19.  STOPPED ON MAY 28, 2019, ALREADY DONE.</t>
  </si>
  <si>
    <t>APPROVED ON 5/24/19-LTS. STOPPED ON JUNE 20, 2019 AS PER AMOR</t>
  </si>
  <si>
    <t>REPLACEMENT OF L08 GHVSPLIT 6W STOPE, APPROVED ON 4/5/19-LTS. STOPPED ON APRIL 24, 2019; ALREADY ON VEIN.RESUMED ON JUNE 24, 2019. STOPPED ON JULY 13, 2019; ALREADY HIT THE TARGET VEIN HOWEVER IT HAS LOW MATERIALIZATION AS PER LM.</t>
  </si>
  <si>
    <t>FILL WINZE O BE CONNECTED TO L09 GHV 004W STOPE ON JUNE 25, 2019. STOPPED ON JULY 3,2019 ALREADY BREAKTHROUGH. RESUMED ON JULY 13, 2019 TO CONTINUE DRIVING FILL WINZE. TEMP. STOPPED ON JULY 25, 2019 TEAM LEADER TRANSFER TO L09-LTS.</t>
  </si>
  <si>
    <t>FILL WINZE TO BE CONNECTED TO L09 GHV 031E STOPE ON JUNE 25, 2019. STOPPED ON JULY 3,2019 ALREADY BREAKTHROUGH.</t>
  </si>
  <si>
    <t>REPLACEMENT OF L08 JVFW 056E RAISE. APPROVED ON AUG. 30, 2017. TEMPORARY STOPPED ON SEPTEMBER 9, 2017 TO PRIORITIZED THE L08_JVFW_056E_RAISE AS PER WA ANCOG. RESUMED ON FEBRUARY 6,2019 AT THE SAME TIME TRANSFER FROM NITRO I TO VERSOZA 1. TEMPORARY STOPPED ON FEBRUARY 9, 2019 TO PRIORITIZE 59E XCS. RESUMED ON FEBRUARY 18, 2019 AT THE SAME TIME TRANSFER FROM VERSOZA 1 TO  BORERO 3.STOPPED ON MARCH 4,2019 DUE TO PINCHED-OUT VEIN/LTS-ENG'G WAS ONLY NOTIFIED ON APR 4,2019.</t>
  </si>
  <si>
    <t>REPLACEMENT OF L08 GHVHW 011E DW. APPROVED ON FEBRUARY 20,2019. CHANGED NAME FROM L08 GHVHW 009E RAISE TO L08 CTV 009E RAISE STARTING ON MARCH 16, 2019, THIS IS ACCDG TO VEIN INTERPRETATION AND RESOURCE MODEL. STOPPED ON APRIL 11,2019 CONVERTED TO STOPE PREPARATION.</t>
  </si>
  <si>
    <t>REPLACEMENT OF L08 GHVSPLIT 003E RAISE. APPROVED ON MARCH 4,2019. CHANGED NAME FROM L08 GHVHW 007E RAISE TO L08 CTV 007E RAISE STARTING ON MARCH 16, 2019, THIS IS ACCDG TO VEIN INTERPRETATION AND RESOURCE MODEL. STOPPED ON APRIL 11,2019 CONVERTED TO STOPE PREPARATION.</t>
  </si>
  <si>
    <t>ADDITIONAL VERTICAL DEVELOPMENT.APPROVED ON FEBRUARY 14, 2019.DOING INCLINED RAISE 4/9/19-LTS. STOPPED ON APRIL 26, 2019; BREAKTHROUGH ON BLOCKING RAISE, FOR WIREFRAME.</t>
  </si>
  <si>
    <t>ADDITIONAL VERTICAL DEVELOPMENT. APPROVED ON MARCH 13,2019. STOPPED ON MAY 6,2019 DUE TO VEIN PINCHED OUT.</t>
  </si>
  <si>
    <t>REPLACEMENT OF L08 DPVE 66E DE APPROVED ON APR 3, 2019/LTS. STOPPED ON MAY 8,2019 DUE TO VEIN PINCHED OUT.</t>
  </si>
  <si>
    <t>ADDITIONAL VERTICAL DEVELOPMENT. APPROVED ON JUNE 28, 2018. STOPPED ON AUGUST 20,2018 DUE TO CONSECUTIVE LOW ASSAY GRADE. RESUMED ON APRIL 10,2019 AT THE SAME TRANSFER FROM BENONGUIL 4 TO REVITA 1. STOPPED CONVERT TO STOPE PREP ON MAY 17, 2019</t>
  </si>
  <si>
    <t>REPLACEMENT OF L08 DPVE 066E RAISE. APPROVED ON MAY 12,2019. STOPPED ON MAY 24,2019 DUE TO VEIN PINCHED OUT AS DISCUSSED IN COORDINATION MEETING.</t>
  </si>
  <si>
    <t>REPLACEMENT OF L08 DPVE 075E RAISE. APPROVED ON MAY 24, 2019.TEMP. STOPPED DUE TO ABSENTEEISM OF MEN RESULTING TO ABANDONMENT OF WORKPLACE ON JUNE 6, 2019. RESUMED ON JUNE 12,2019. STOPPED DUE TO VEIN CUT BY FAULT ON JUNE 14, 2019.</t>
  </si>
  <si>
    <t>REPLACEMENT OF L08 JV 060E STOPE.APPROVED ON MAY 8, 2019. RENAMED FROM L08_JV_059E_RAISE TO L08_JV_062E_RAISE ON MAY 10,2019 TO AVOID MISCHARGING. STOPPED ORE VEIN STOCKWORKS EXPOSED AT THE BACK OF RAISE.ON MAY 17, 2019</t>
  </si>
  <si>
    <t>REPLACEMENT OF L08 CTV 007E RAISE. APPROVED ON MAY 9, 2019.TEMP.STOP ON 5/24/19-LTS. RESUMED ON JUNE 24, 2019. STOPPED ON JULY 9, 2019 DUE TO PINCHED OUT VEIN.</t>
  </si>
  <si>
    <t>REPLACEMENT OF L08 DPVE 068E  DW. APPROVED ON NOV. 8, 2018. STOPPED ON  JANUARY 23, 2019 ALREADY BREAKTHROUGH TO OLD STOPE. RESUMED ON JULY 3,2019 TO DO INCLINED RAISE AT THE SAME TIME TRANSFER FROM REVITA 2 TO DEMALATA 1. TEMPORARY STOPPED ON JULY 13, 2019. TO PRIORITIZE 005W WINZE.</t>
  </si>
  <si>
    <t>REPLACEMENT OF L08 JVFW 057E RAISE. APPROVED ON APRIL 15,2019.TEMPORARY STOPPED DUE TO ABSENTEEISM ON JUNE 8, 2019. RESUMED ON JUNE 22, 2019.STOPPED ON JULY 25, 2019 DUE TO LOW GRADE DIDN'T PASSED THE STOPED DESIGN-LTS.</t>
  </si>
  <si>
    <t>REPLACEMENT OF L08 DPVE 013E RAISE. APPROVED ON JUNE 25, 2019. TEMP. STOPPED ON JULY 4, 2019 DUE TO OF NEW WORKPACE. RESUMED ON JULY 11, 2019.STOPPED ON JULY 31, 2019 CONVERTED TO STOPE PREPARATION.</t>
  </si>
  <si>
    <t>REPLACEMENT OF L08 DPVE 013E DE.APRROVED ON MAY 10, 2019. STOPPED ON JUNE 25, 2019 DUE TO VEIN PINCHED OUT. RESUMED ON JULY 4, 2019 TO DO INCLINED RAISE AT THE SAME TIME TRANSFER FROM BELICAN 2 TO CAPOY 1. TEMPORARY STOPPED ON JULY 31, 2019 DELAYED BY NEW STOPE PREPARATION-LTS.</t>
  </si>
  <si>
    <t>REPLACEMENT OF L08 GHV 036E DE. APPROVED ON APRIL 26, 2019. TEMPORARY STOPPED ON APRIL 29,2019  TO PRIORITIZED BLOCKING RAISE. RESUMED 6/11/19.STOPPED ON JULY 23, 2019 CONVERTED STOPE PREPARATION-LTS</t>
  </si>
  <si>
    <t>REPLACEMENT OF L08 GHV 036E RAISE. APPROVED ON APRIL 29, 2019. STOPPED ON JUNE 11, 2019 DUE TO VEIN PINCHED OUT AT THE BACK OF THE RAISE. RESUMED ON JULY 4, 2019 TO DO INCLINED RAISE. STOPPED ON AUGUST 26, 2019 DUE TO ALREADY PART OF THE NEWLY OPENED STOPE PREP.</t>
  </si>
  <si>
    <t>REPLACEMENT OF L08 DPVE 068E  DW. APPROVED ON NOV. 8, 2018. STOPPED ON  JANUARY 23, 2019 ALREADY BREAKTHROUGH TO OLD STOPE. RESUMED ON JULY 3,2019 TO DO INCLINED RAISE AT THE SAME TIME TRANSFER FROM REVITA 2 TO DEMALATA 1. TEMPORARY STOPPED ON JULY 13, 2019. TO PRIORITIZE 005W WINZE.RESUMED ON JULY 29, 2019 ON THE SAME TIME TRAMSFER FOR LERIO2-SBA.STOPPED ON AUGUST 26, 2019 ALREADY PART OF THE NEWLY OPENED STOPE. NAME AS DPVE 69E STOPE PEP.</t>
  </si>
  <si>
    <t>REPLACEMENT OF L08 DPVE 068E DE. APPROVED ON APRIL 22, 2019. STOPPED ON JUNE 22, 2019 DUE TO VEIN PINCHED OUT. RESUMED ON JULY 3,2019 TO DO INCLINED RAISE AT THE SAME  TRANSFER FROM LERIO 1 TO DEMALATA 2.TEMP STOPPED ON JULY 25, 2019 TEAM LEADER TRANSFEER TO L09-LTS.RESUMED ON 7/31/19 AT THE SAME TIME TRANSFER FROM DEMALATA 2 TO CAPOY 1. STOPPED ON AUGUST 26 2019 DUE TO PINCHED OUT VEIN.</t>
  </si>
  <si>
    <t>REPLACEMENT OF L08 JVSPLIT 050E DE.APPROVED ON MAY 14, 2019. STOPPED ON MAY 16,2019 DUE TO PINCHED OUT OF VEIN.</t>
  </si>
  <si>
    <t>REPLACEMENT OF L08 NONE 011E XCN.APPROVED ON DECEMBER 18, 2018.  STOPPED ON FEB 21, 2019; VEIN PINCHED OUT; MEMO RECEIVED GEO.</t>
  </si>
  <si>
    <t>REPLACEMENT OF L08 DPVE 065E RAISE.APPROVED ON NOVEMBER 13, 2018. STOPPED ON DECEMBER 13,2018 DUE TO PINCHED OUT OF VEIN.RESUMED ON DECEMBER 18, 2018. STOPPED ON JANUARY 12,2019 TO OPEN NEW RAISE AND DUE TO VEIN PINCHED OUT.</t>
  </si>
  <si>
    <t>REPLACEMENT OF L08 GHVHW 39E DW.APPROVED ON NOVEMBER 27, 2018. STOPPED ON JANUARY 14,2019 ALREADY FINISHED WIDENING.</t>
  </si>
  <si>
    <t>ADDITIONAL HORIZONTAL DEVELOPMENT.APPROVED ON DECEMBER 28, 2018. TEMPORARY  STOPPED ON JANUARY 10,2019 DUE TO UNAVAILABILITY OF MUCKING MACHINE.</t>
  </si>
  <si>
    <t>REPLACEMENT OF L08 NONE 038E XCS.APPROVED ON SEPTEMBER 14, 2018. TEMPORARY STOPPED ON DECEMBER 10,2018 TO PRIORITIZE L08_GHVFW_026E_RAISE.RESUMED TO JANUARY 5, 2019. TRANSFER TO SILVOZA FROM TORMIS. TRASFER FROM SILVOZA TO TORMIS ON JAN 9, 2019. STOPPED ON FEBRUARY 7,2019 DUE TO BREAKTHROUGH TO LEVEL 9 RAISE.</t>
  </si>
  <si>
    <t>REPLACEMENT OF L08 GHVFW 020E DE . APPROVED ON 4/23/2018. TEMP. STOPPED ON JUNE 28, 2018; TO PRIORITIZE L08 GHVFW 027E RAISE.RESUMED ON 7/12/18-LTS.TEMP.STOP ON JULY 25, 2018/LTS-MANPOWER ISSUE.RESUMED ON AUGUST 14, 2018. RENAMED TO BENUNGUIL 2. TEMPORARY STOPPED ON AUGUST 30, 2018 DUE TO DAMAGED MUCKING MACHINE. RENAME FROM L08 GHVFW 028E DW TO L08 GHVFW 027E DW TO AVOID MISCHARGING. 10/8/18. RESUMED ON OCTOBER 14,2018. TEMPORARY STOP ON 11/30/18 DUE TO DEFFECTIVE MUCKING MACHINE. RESUMED ON DECEMBER 10,2018. TEMPORARY STOPPED ON JAN 17, 2018 DUE TO INSUFFICIENT MANPOWER. RESUME ON JANUARY 19,2019 AT THE SAME TIME TRANSFER FROM BENONGUIL 2 TO SILVOZA 3 DUE TO INSUFFICCIENT MANPOWER. TEMP. STOPPED ON JANUARY 21, 2019 TO PRIORITIZE L08 DPVE 048E DW. RESUMED ON JANUARY 25, 2019 AT THE SAME TIME TRANSFERRED TO TORMIS. TRANSFER FROM TORMIS TO REVITA 1 SINCE TORMIS WILL TAKE OVER THE  GHVSPLIT 6W STOPE PREP ON FEBRUARY 5,2019.STOPPED ON FEBRUARY 7, 2019 DUE TO PINCHED OUT OF VIEN</t>
  </si>
  <si>
    <t>REPLACEMENT OF L08 NONE 038E XCS.APPROVED ON SEPTEMBER 14, 2018. TEMPORARY STOPPED ON DECEMBER 10,2018 TO PRIORITIZE L08_GHVFW_026E_RAISE.RESUMED TO JANUARY 5, 2019. TRANSFER TO SILVOZA FROM TORMIS. TRASFER FROM SILVOZA TO TORMIS ON JAN 9, 2019. STOPPED ON FEBRUARY 7,2019 DUE TO BREAKTHROUGH TO LEVEL 9 RAISE. RESUMED ON FEBRUARY 13,2019.  STOPPED ON FEB 19, 2019, PINCHED OUT VEIN, MEMO RECEIVE GEO.</t>
  </si>
  <si>
    <t>REPLACEMENT OF L08 NONE 054E XCS. APPROVED ON NOVEMBER 10,2018. TEMPORARY STOPPED ON FEBRUARY 13,2019 TO PRIORITIZED THE L08 JVFW 056E RAISE FOLLOW UP. RESUMED ON FEBRUARY 18,2019. TEMP STOPPED ON 3/1/19  TO PRIORITIZE L08 JVFW 057E RAISE (1 WEEK )</t>
  </si>
  <si>
    <t>REPLACEMENT OF L08 JV 015E DE.APPROVED ON JANUARY 22, 2019. TEMPORARY STOPPED ON FEBRUARY 18, 2019 TO FOLLOW UP RAISE. RESUMED ON FEB 21, 2019. STOPPED ON 3/5/19 DUE TO PINCHING OUR OF VEIN. (LSUAREZ).</t>
  </si>
  <si>
    <t>REPLACEMENT OF L08 DPVE 069E RAISE.APPROVED ON FEBRUARY 1, 2019. TRANSFER FROM REVITA 1 TO LERIO 1 DUE TO PRIORITY LL08 GHVFW 027E DW ON FEBRUARY 5,2019. TEMPORARY STOPPED ON FEBRUARY 6,2019. NO MUCKING MACHINE AVAILABLE. RESUMED ON MARCH 13,2019.STOPPED ON APR 3,2019 TO OPEN RAISE/LTS.</t>
  </si>
  <si>
    <t>REPLACEMENT OF L08_JVSPLIT_017E_DE. APPROVED ON 3/5/19. TEMPORARY STOPPED ON MARCH 26,2019. RESUMED ON MARCH 29,2019.STOPEED ON APR 3, 2019 DUE TO UNSAFE CONDITION.</t>
  </si>
  <si>
    <t>REPLACEMENT OF L08 DPVE 015E RAISE.APPROVED ON JANUARY 12, 2019. TEMPORARY STOPPED ON MARCH 13,2019 TO OPEN ADJACENT RAISE. RESUMED ON MARCH 29,2019. STOPPED ON APRIL 22, 2019; VEIN CUT BY FAULT.</t>
  </si>
  <si>
    <t>REPLACEMENT OF L08 NONE 037E XCS.APPROVED ON FEBRUARY 8, 2019. STOPPED ON APRIL 26, 2019; BREAKTHROUGH TO AN OLD MAINLINE.</t>
  </si>
  <si>
    <t>REPLACEMENT OF L08 JV 055E DE. APPROVED ON MARCH 16, 2019. STOPPED ON MAY 6,2019 DUE TO VEIN PINCHED OUT.</t>
  </si>
  <si>
    <t>REPLACEMENT OF L08 JV 16W DW,APPROVED ON APR 3, 2019/LTS. STOPPED ON MAY 8,2019 DUE TO OFF VEIN AND AND NO FURTHER INTERCEPT.</t>
  </si>
  <si>
    <t>REPLACEMENT OF L08 NONE 013E XCS. APPROVED ON APRIL 18,2019. STOPPED ON MAY 10,2019 TO AVOID BREAKTHROUGH TO ACTIVE MAINLINE.</t>
  </si>
  <si>
    <t>REPLACEMENT OF L08 NONE 070EXCS. APPROVED ON APRIL 24, 2019. STOPPED ON MAY 11,2019 DUE TO VEIN PINCHED OUT.</t>
  </si>
  <si>
    <t>REPLACEMENT OF L08 NONE 050E XCN. APPROVED ON MAY 6,2019. STOPPED ON MAY 11,2019 DUE TO OFF VEIN CAUSE NY MULTI-DIRECTIONAL FAULT.</t>
  </si>
  <si>
    <t>REPLACEMENT OF L08 NONE 037E XCS.APPROVED ON FEBRUARY 8, 2019. STOPPED ON APRIL 26, 2019; BREAKTHROUGH TO AN OLD MAINLINE. RESUMED ON MAY 10,2019 FOR REGRADING. STOPPED ON MAY 15,2019 FINISHED REGRADING.</t>
  </si>
  <si>
    <t>REPLACEMENT OF L08 DPVE 48E DW, APPROVED ON 4/9/19-LTS. STOPPED ON MAY 16,2019 DUE TO VEIN PINCHED OUT.</t>
  </si>
  <si>
    <t>REPLACEMENT OF L08 JVFW 055E DW. APPROVED ON MAY 8 , 2019. STOPPED ON JUNE 14, 2019 DUE TO VEIN PINCHED OUT.</t>
  </si>
  <si>
    <t>ADDITIONAL VERTICAL DEVELOPMENT.APPROVED ON MAY 10, 2019. TEMPORARY STOPPED ON MAY 17,2019 TO PRIORITIZED THE COUNTERDRIVE AT 3W POSITION.RESUMED ON MAY 21, 2019 AT THE SAME TIME TRANSFER FROM TORMIS 1 TO SILVOZA 2. STOPPED ON JUNE 24, 2019 DUE TO VEIN PICHED OUT.</t>
  </si>
  <si>
    <t>ADDITIONAL HORIZONTAL DEVELOPMENT APPROVED ON JULY 4, 2019.STOPPED ON JULY, 30 2019 DUE TO VEIN PINCHED OUT-LTS.</t>
  </si>
  <si>
    <t>REPLACEMENT OF L08 GHVSPLIT 017W DW ON JUNE 24, 2019. STOPPED ON JULY 29,2019 ALREADY REACHED THE RECOMMENDED STRIKE LENGTH.</t>
  </si>
  <si>
    <t>REPLACEMENT OF L08 GHVSPLIT 031E DE ON JUNE 24, 2019.STOPPED ON JULY 30, 2019 DUE TO VEIN PINCHED-LTS.</t>
  </si>
  <si>
    <t>REPLACEMENT OF L08 JVSPLIT 18E DW, APPROVED ON 4/5/19-LTS. STOPPED ON APRIL 21,2019 ALREADY REACHED THE RECOMMENDED 5 METER PILLAR. RESUMED ON AUGUST 9, 2019. STOPPED ON AUGUST 15, 2019 ALREADY FINISHED.</t>
  </si>
  <si>
    <t>REPLACEMENT OF L08 DPVE 061E STOPE PREP ON DECEMBER 13, 2018. TEMPORARY STOPPED ON MARCH 14,2019 TO DO INCLINED RAISE. RESUMED ON MAR 22, 2019. CONVERT TO PULL-OUT CLEANING ON MARCH 25, 2019 AND CONTROL PULL-OUT WITH 4 MC PER SHIFT IN ORDER TO ACCESS THE EXISTING MANWAY. TEMPORARY STOPPED ON MARCH 29,2019 DUE TO LACK OF MANPOWER. FOR PULL-OUT CLEANING ON JUNE 24,2019. STOPPED ON AUGUST 7, 2019 DUE TO UNSAFE CONDITION.</t>
  </si>
  <si>
    <t>REPLACEMENT OF L08 GHVHW 034E STOPE PREP. APPROVED ON AUGUST 31, 2018.TEMP.STOP ON SEPT 27,2018-LTS/WILL RESUME RAISE. RESUME BREAKING ON DECEMBER 10,2018/ STOPPED BREAKING BECAUSE OF NARROW VEIN STRUCTURE. CONVERTED TO PULL OUT ON MAY 29, 2019. MINED OUT ON JULY 3,2019.</t>
  </si>
  <si>
    <t>REPLACEMENT OF L08 DPVE 060E STOPE PREP.APPROVED ON MARCH 7, 2019. CHANGED VEIN NAME FROM L08 DPVE 060E STOPE TO L08 JV 060E STOPE STARTING ON MARCH 16, 2019, THIS IS ACCDG TO VEIN INTERPRETATION AND RESOURCE MODEL. STOPPED BREAKING ON MAY 8,2019 DUE TO VEIN PINCHED OUT. TEMPORARY STOPPED PULL-OUT TO DO INCLINED RAISE. RESUMED ON MAY 19,2019.STOPPED RECOMMENDED FOR STOPE PULL OUT STATUS ON MAY 28, 2019.RECOMMENDED FOR STOPE PULL OUT ON MAY 31, 2019. STOPPED ON JUNE 22,2019 DUE TO UNSAFE CONDITION.</t>
  </si>
  <si>
    <t>REPLACEMENT OF L08 JV 065E STOPE PREP. APPROVED ON APRIL 23, 2019.RECOMMENDED TO STOP THE STOPE BACK BREAKING ON JUNE 3, 2019. IMMEDIATELY PROCEED/COMMENCE TO PULL-OUT CLEANING ON JUNE 3, 2019. STOPPED ON JUNE 24, 2019 ALREADY FINISHED.</t>
  </si>
  <si>
    <t>REPLACEMENT OF L08 GHVHW 031E STOPE PREP ON DECEMBER 11, 2018. STOPPED BREAKING ON MARCH 11,2019 DUE TO CONSECUTIVE LOW ASSAY GRADE CONVERT TO PULL-OUT CLEANING.DECLARED MINED-OUT ON APR 4, 2019/LTS.</t>
  </si>
  <si>
    <t>FOR SUBLEVEL EXPLORATION.APPROVED ON FEBRUARY 5, 2019. STOPPED ON MARCH 6,2019 DONE STOPE PREPARATION. ON -HOLD BREAKING WAITING FOR REWIREFRAME. RESUMED ON MARCH 13,2019 TO DO IPR. STOPPED 3/24/2019 DUE TO LOW CONSECUTIVE ASSAY GRADE. CONVERT TO PULL-OUT CLEANING ON MARCH 25, 2019; GRADE IS FOR MONITORING.DECLARED MINED-OUT ON APR 4, 2019/LTS.</t>
  </si>
  <si>
    <t>REPLACEMENT OF L08 GHVFW 008E STOPE PREP.APPROVED ON FEBRUARY 6, 2019. STOPPED BREAKING ON FEB 19, 2019, VEIN PINCHED OUT, CONVERT TO PULL OUT CLEANING. STOPPED ON MARCH 7,2019 ALREADY MINED 114% ATTAINMENT.</t>
  </si>
  <si>
    <t>REPLACEMENT OF L08 GHVFW 028E STOPE PREP. APPROVED ON OCTOBER 2,2018. CONVERT TO PULL OUT CLEANING ,STOPPED DUE TO CONSECUTIVE LOW ASSAY GRADE ON DECEMBER 18,2018.CONERTED TO PULL OUT  ON DECEMBER 18, 2018. STOPPED ON FEB. 22, 2019 DUE TO UNSAFE CONDITION AS PER EELUNA.</t>
  </si>
  <si>
    <t>REPLACEMENT OF L08 GHV 044E RAISE. APPROVED ON APRIL 23, 2019.CHANGE STATUS RECOMMENDED FOR ACTIVE STOPE BRAKING ON JUNE 4, 2019. STOPPED BREAKING ON JULY 10, 2019 DUE TO VEIN PINCHED OUT/CONVERT TO PULL-OUT CLEANING. STOPPED ON JULY 27,2019 DUE TO CONSECUTIVE LOW ASSAY GRADE 82% PULL-OUT CLEANING.</t>
  </si>
  <si>
    <t>REPLACEMENT OF L08 JV 065E STOPE PREP. APPROVED ON APRIL 23, 2019.RECOMMENDED TO STOP THE STOPE BACK BREAKING ON JUNE 3, 2019.</t>
  </si>
  <si>
    <t>REPLACEMENT OF L08 GHVFW 008E STOPE PREP.APPROVED ON FEBRUARY 6, 2019. STOPPED BREAKING ON FEB 19, 2019, VEIN PINCHED OUT, CONVERT TO PULL OUT CLEANING.</t>
  </si>
  <si>
    <t>REPLACEMENT OF L08 GHVHW 031E STOPE PREP ON DECEMBER 11, 2018. STOPPED BREAKING ON MARCH 11,2019 DUE TO CONSECUTIVE LOW ASSAY GRADE CONVERT TO PULL-OUT CLEANING.</t>
  </si>
  <si>
    <t>REPLACEMENT OF L08 DPVE 061E STOPE PREP ON DECEMBER 13, 2018. TEMPORARY STOPPED ON MARCH 14,2019 TO DO INCLINED RAISE. RESUMED ON MAR 22, 2019. CONVERTED TO PULL-OUT CLEANING</t>
  </si>
  <si>
    <t>REPLACEMENT OF L08 GHVHW 034E STOPE PREP. APPROVED ON AUGUST 31, 2018.TEMP.STOP ON SEPT 27,2018-LTS/WILL RESUME RAISE. RESUME BREAKING ON DECEMBER 10,2018/ STOPPED BREAKING BECAUSE OF NARROW VEIN STRUCTURE. CONVERTED TO PULL OUT ON MAY 29, 2019</t>
  </si>
  <si>
    <t>REPLACEMENT OF L08 DPVE 060E STOPE PREP.APPROVED ON MARCH 7, 2019. CHANGED VEIN NAME FROM L08 DPVE 060E STOPE TO L08 JV 060E STOPE STARTING ON MARCH 16, 2019, THIS IS ACCDG TO VEIN INTERPRETATION AND RESOURCE MODEL. STOPPED BREAKING ON MAY 8,2019 DUE TO VEIN PINCHED OUT. TEMPORARY STOPPED PULL-OUT TO DO INCLINED RAISE. RESUMED ON MAY 19,2019.STOPPED RECOMMENDED FOR STOPE PULL OUT STATUS ON MAY 28, 2019</t>
  </si>
  <si>
    <t>FOR SUBLEVEL EXPLORATION.APPROVED ON FEBRUARY 5, 2019. STOPPED ON MARCH 6,2019 DONE STOPE PREPARATION. ON -HOLD BREAKING WAITING FOR REWIREFRAME. RESUMED ON MARCH 13,2019 TO DO IPR. STOPPED 3/24/2019 DUE TO LOW CONSECUTIVE ASSAY GRADE.</t>
  </si>
  <si>
    <t>REPLACEMENT OF L08 DPVE 060E RAISE. APPROVED ON FEBRUARY 15,2019. STOPPED ON MARCH 6,2019 CONVERTED TO ACTIVE BREAKING.</t>
  </si>
  <si>
    <t>REPLACMENT OF L08 DPVE 051E AND 054E RAISE. APPROVED ON 1/8/19. TEMPORARY STOPPED ON JAN 9, 2019 TO CONTINUE 51E AND 54E RAISE. RESUMED ON JANUARY 12,2019. STOPPED ON FEBRUARY 14, 2019 CONVERT TO STOPE PREP.</t>
  </si>
  <si>
    <t>REPLACEMENT OF L08 GHVFW 031E RAISE. APPROVED ON 12/3/18. STOPPED ON JANUARY 10,2019 CONVERT TO ACTIVE BREAKING.</t>
  </si>
  <si>
    <t>ADDITIONAL PRODUCTION. APPROVED ON MARCH 25, 2019. RENAMED FROM L08 DPVE 065E STOPE PREP TO L08 JV 065E STOPE PREP AS PER LEVEL GEO ON APRIL 5,2019.</t>
  </si>
  <si>
    <t>ADDITIONAL SOURCE OF GOOD ORE. APPROVED JULY 31, 2019 -LTS. TEMP. STOPPED ON AUGUST 15, 2019 TO PRIORITIZE INCLINED RAISE. RESUMED ON AUGUST 22, 2019.STOPPED ON AUGUST 31, 2019 CONVERTED TO STOPPED BREAKING.</t>
  </si>
  <si>
    <t>REPLACEMENT OF L09 JVFW 055E RAISE. APPROVED ON MARCH 9, 2019. STOPPED ON MAY 15,2019 CONVERT TO ACTIVE BREAKING.</t>
  </si>
  <si>
    <t>REPLACEMENT OF L09 JV 057E RAISE. APPROVED ON NOVEMBER 18,2018. TRANSFER FROM DELOS REYES V.2 TO CANOY 1 APPROVED ON NOVEMBER 30, 2018. CONVERTED TO STOPE BREAKING ON JAN 13, 2019.</t>
  </si>
  <si>
    <t>IMMEDIATE SOURCE OF ORE,REPLACEMENT OF L09 JVFW 50E DE APPROVED ON JUNE 19, 2018/PALT. TEMP. STOPPED ON JUNE 30, 2018, WAS ALREADY DONE WITH STOPE FOLLOW-UPS AS PER LM.RESUMED ON AUGUST 13, 2018.  STOPPED ON SEPTEMBER 25,2018 CONVERT TO ACTIVE BREAKING.</t>
  </si>
  <si>
    <t>REPLACEMENT OF L09 JV 043E RAISE. APPROVED ON FEB 16, 2018. RENAMED FROM L09_JV_045E_STOPE PREP TO L09_JV_043E_STOPE PREP TO AVOID MISCHARGING APPROVED ON FEBRUARY 19, 2018. CONVERTED TO BREAKING ON MAY 19, 2018</t>
  </si>
  <si>
    <t>REPLACEMENT OF L09 GHVFW 028E RAISE. APPROVED ON JULY 14, 2017.</t>
  </si>
  <si>
    <t>ADDITIONAL PRODUCTION. APPROVED ON DECEMBER 20, 2017. TEMPORARY STOPPED ON JANUARY 6, 2018 DUE TO FAILED STOPE DESIGN REQUIRED TO DO BLOCKING RAISES.</t>
  </si>
  <si>
    <t>ADDITIONAL ORE SOURCE. APPROVED ON NOV 26, 2018. STOPPED ON FEB 7, 2019; CONVERTED TO STOPE BREAKING.</t>
  </si>
  <si>
    <t>ADDITIONAL PRODUCTION. APPROVED ON JANUARY 21, 2019.TEMP. STOPPED TO PRIORITIZED THE L09 NONE 17W CHAMBER.APPROVED ON JANUARY 22, 2019. RESUME ON 1/31/19. TRANSFER FROM CAPPUYO 2 TO PANCIT 3 BECAUSE FORMER GROUP IS MORE EFFICIENT IN DRIVING HORIZONTAL ON FEBRUARY 6,2019.STOPPED CONVERTED TO ACTIVE BREAKING ON MARCH 19, 2019</t>
  </si>
  <si>
    <t>ADDITIONAL PRODUCTION. APPROVED ON FEB 27, 2019. MZC. STOPPED ON APRIL 18,2019 CONVERTED TO BREAKING.</t>
  </si>
  <si>
    <t>REPLACEMENT OF L09 GHVHW 29E RAISE, APPROVED ON 4/9/19-LTS. TEMPORARY STOPPED ON MAY 20,2019 DUE TO LACK OF MANPOWER.RESUMED ON 5/24/19-LTS. STOPPED CONVERT TO ACTIVE BREAKING ON JUNE 5, 2019.</t>
  </si>
  <si>
    <t>REPLACEMENT OF L09 JV 058E STOPE PREP. APPROVED ON JAN 13, 2019.STOP BREAKING/CONVERTED TO PULL-OUT ON 4/2/19-LTS.</t>
  </si>
  <si>
    <t>REPLACEMENT OF L09 GHV 15W STOPE  PREP. APPROVED ON SEPT. 10, 2018. CONVERT TO PULL-OUT 4/2/19.</t>
  </si>
  <si>
    <t>REPLACEMENT OF L09 JVFW 065E STOPE PREP.APPROVED ON MARCH 7, 2019. FINISHED BREAKING ON MAY 4,2019 DONE IPR CONVERTED TO PULL-OUT CLEANING. RENAMED FROM L09_JVFW_065E_STOPE TO L09_JVSPLIT_065E_STOPE ON JUNE 7, 2019.</t>
  </si>
  <si>
    <t>REPLACEMENT OF L08 GHVFW 39E STOPE PREP APPROVED ON 7/25/18-LTS. STOPPED BREAKING ON APRIL 30,2019 CONVERT TO PULL-OUT.</t>
  </si>
  <si>
    <t>REPLACEMENT OF L09 GHVFW 034E STOPE PREP. APPROVED ON FEB 7, 2019. STOPPED AND PULL-OUT ON AUGUST 15, 2019.</t>
  </si>
  <si>
    <t>REPLACEMENT OF L09 JVFW 057E STOPE PREP. APPROVED ON SEPTEMBER 25,2018. STOP BREAKING DUE TO VEIN PINCHED OUT, COMMENCED TO PULL OUT CLEANING ON FEB 21, 2019. TEMPORARY STOPPED ON MAY 16,2019 DECLARED MINED OUT BUT ONLY 92% ACTUAL PULL-OUT WITH 229 REMAINING MINE CARS FOR EVALUATION UNDERGROUND.</t>
  </si>
  <si>
    <t>REPLACEMENT OF L09 DPVE 042E STOPE PREP. STARTED BREAKING SINCE JUNE 25, 2018. STOPPED BREAKING ON SEPTEMBER 19,2018 DUE TO VEIN PINCHED OUT CONVERT TO PULL-OUT CLEANING. TEMPORARY STOPPED ON NOV 8,2018 DUE TO CONSECUTIVE LOW ASSAY GRADE FOR EVALUATION.</t>
  </si>
  <si>
    <t>REPLACEMENT OF L09 JVFW 065E STOPE PREP.APPROVED ON MARCH 7, 2019. FINISHED BREAKING ON MAY 4,2019 DONE IPR CONVERTED TO PULL-OUT CLEANING.RENAME ON JUNE 6, 2019 FROM L09_JVFW_065E_STOPE TO L09_JVSPLIT_065E_STOPE. STOPPED ON JUNE 15, 2019 DUE TO ALREADY MINED OUT.</t>
  </si>
  <si>
    <t>REPLACEMENT OF L08 GHVFW 39E STOPE PREP APPROVED ON 7/25/18-LTS. STOPPED BREAKING ON APRIL 30,2019 CONVERT TO PULL-OUT. STOPPED ON AUGUST 28, 2019 ALREADY MINE OUT.</t>
  </si>
  <si>
    <t>REPLACEMENT OF L09 JVW 066E STOPE PREP ON JUNE 5, 2019. STOPPED BREAKING ON AUG 8, 2019 AND COMMENCED TO PULL OUT CLEANING. STOPPED ON SEPT. 3, 2019 ALREADY FINISHED.</t>
  </si>
  <si>
    <t>ADDITIONAL HORIZONTAL DEVELOPMENT, APPROVED ON OCTOBER 17, 2018/LTS. TEMP. STOPPED ON FEB 8, 2019 TO  PRIORITIZED L09 GHV 064E STOPE PREP. RESUMED ON MARCH 28, 2019 AND TRANSFER FROM PANSIT 5 TO PANSIT 6. STOPPED ON JUNE 11, 2019 DUE TO VEIN CUT BY FAULT.</t>
  </si>
  <si>
    <t>REPLACEMENT OF L09 NONE 045E XCN. APPROVED ON SEPT. 23, 2017. TEMPORARY STOPPED ON OCTOBER 3, 2017,NO MANPOWER AS PER LEVEL MANAGER (PPE).TEMPORARY STOPPED DUE TO PRORITY OF WASTE DRIVE TO CONNECT TO 48E SHAFT APPROVED ON AUGUST 2, 2018.RESUME ON 10/10/18 AND TRANSFER ON THE SAME DATE FROM ROXAS TO DAVOCOL ROSELIO 3 GROUP. TEMPORARY STOPPED ON NOVEMBER 18,2018 TO OPEN NEW RAISE. RESUMED ON NOV 22, 2018. STOPPED ON JANUARY 22,2019 ALREADY REACHED THE TARGET STRIKE LENGTH AND DID NOT MATERIALIZED.</t>
  </si>
  <si>
    <t>ADDITIONAL, APPROVED ON JAN.12,2017. TEMPORARY STOPPED ON APRIL 17, 2017 AS PER PP EVANGELIO. NOTIFIED ON APRIL 21, 2017. RESUMED ON APRIL 24, 2017 AS PER PP EVANGELIO.STOP ON NOV. 26, 2017 TO PRIORITIZE L09 NONE 47E XCN.AS PER CA ABESTANO. RESUMED ON JANUARY 23, 2017 AS PER LEVEL MANAGER. TEMPORARY STOPPED ON FEB.07,2018 TO PRIORITIZED L09 JV 046E DW. RESUMED ON FEB. 21, 2018 AS PER LEVEL MANAGER MEMO. TEMP.STOP ON 7/26/18-UNSERVICEABLE AREA MEMO FROM LIFT3.RESUMED ON JULY 30,2018/LTS.TEMPORARY STOPPED ON JULY 31,2018 TO GIVE WAY TO L09 NONE 52E XCN/LTS.RESUMED ON AUG 10,2018/LTS. TEMPORARY STOPPED ON 9/19/18. TO PRIORITIZE JV 062E RAISE. RESUMED ON SEPT 27, 2018-BBB. TEMPORARY STOPPED ON NOVEMBER 18,2018 TO PRIORITY NEW OPEN STOPE PREP. RESUMED ON NOVEMBER 30, 2018 AS PER MRNARISMA. STOPPED ON JANUARY 10,2019 ALREADY REACHED THE TARGETED STRIKE LENGTH.</t>
  </si>
  <si>
    <t>REPLACEMENT OF L09 NONE 031E XCN. APPROVED ON OCT.21,2017 AS PER PALT. TEMPORARY STOPPED ON JAN 4, 2018 DUE TO STOPE PREPARATION ON ALONG DRIVE. RESUMED ON JANUARY 6, 2018.TEMP. STOPPED ON MARCH 8, 2018 TO PRIORITIZED TO L09 DPVE 24E RAISE. RESUMED ON APRIL 3, 2018.TEMPRARY STOPPED FOR EVALUATION APPROVED ON AUGUST 4, 2018/LTS. STOPPED ON JUNE 14, 2019 DUE TO ALREADY REACHED THE TARGETED STRIKE LENGTH.</t>
  </si>
  <si>
    <t>ADDITIONAL HORIZONTAL DEVELOPMENT, APPROVED ON MAY 12, 2017 AS PER PPE. TRANSFERRED FROM BADANA TO DAVACOL DUE TO LACK OF MANPOWER AS PER NITRO, APPROVED ON JUNE 1, 2017. TRANSFERRED TO DELOS REYES VICTORICO FROM DAVOCOL ROWELL ON JULY 31, 2017 AS PER D. NUNEZ. TO TEMPORARY STOP NOV. 22, 2017; TO PREPARE HEADROOM ETC. ON L09 GHV 038E WINZE. RESUMED ON DEC.11,2017 AS PER LTS. TEMP STOP ON APR 19,2018.STOPPED DUE TO VEIN PINCHED OUT ON AUGUST 2, 2018. RESUMED ON JANUARY 21,2019 AT THE SAME TIME TRANSFER FROM DELOS REYES V3 TO BALANGHIG 2.STOPPED WILL BE CHANGED INTO L09 NONE 054E XCS ON JANUARY 24, 2019</t>
  </si>
  <si>
    <t>ADDITIONAL, APPROVED ON JUNE 28, 2018.STOPPED DUE TO LACK OF MANPOWER ON JULY 2, 2018/MEMO SENT AS HARD COPY ON JULY 9, 2018 FROM LIFT3. RESUMED ON AUGUST 1,2018 TRANSFER FROM PMC MINERS 2 TO PANSIT 3.TEMPORARY STOPPED TO PRIORITIZED THE REGRADING OG L09 GHV 053E DE APRROVED ON AUGUST 4, 2018/LTS.RESUMED APPROVED ON AUGUST 7, 2018. TEMPORARY STOPPED ON AUGUST 22,2018. TEMPORARY STOPPED ON SEPT. 1, 2018  TO PRIORITIZE L09 GHV 016E RAISE.RESUMED ON SEPTEMBER 4, 2018 TRANSFER TO MAPAYO FROM PANSIT 3. TEMPORARY STOPPED ON OCTOBER 9,2018 AS PER SHEPHERD.RESUMED ON OCT 12, 2018/BBB. TRANSFER TO CAPPUYO 1 FROM MAPAYO 2 ON 10/12/18. TEMPORARY STOP ON 11/6/18 DUE TO WIDENING ON THE WORKING PLACE NEAR THE AREA. RESUME ON 11/7/18. STOPPED ON MARCH 4,2019 DUE TO VEIN PINCHED OUT.</t>
  </si>
  <si>
    <t xml:space="preserve">REPLACEMENT OF L09 GHV 004W RAISE.APPROVED ON FEBRUARY 5, 2019. RENAMED FROM DW TO DE. ALREADY BREAKTHROUGH ON MARCH 12,2019. </t>
  </si>
  <si>
    <t xml:space="preserve">REPLACEMENT OF L09 GHVHW 027E DE.APPROVED ON JANUARY 21, 2019. STOPPED ON 3/12/19 BECAUSE IT INTERSECTED TO OTHER MAINLINE. </t>
  </si>
  <si>
    <t>REPLACEMENT OF L09 GHVHW 027E DW. APPROVED 3/13/19. STOPPED ON MARCH 20, 2019 DUE TO PINCHED OUT VEIN; MEMO RECEIVED GEO.</t>
  </si>
  <si>
    <t>REPLACEMENT OF L09 GHVFW 040E DE. APPROVED ON MARCH 21, 2019. STOPPED ON MARCH 29, 2019, VEIN PINCHED OUT.</t>
  </si>
  <si>
    <t>REPLACEMENT OF L09 DPVE 045E DE.APPROVED ON JANUARY 22, 2019.TEMP. STOPPED MUCKING MACHINE USED TO L09 DPVE 051E RAISE APPROVED ON JANUARY 22, 2019. RESUMED ON JAN 26, 2019. TEMPORARY STOPPED ON FEBRUARY 15,2019 TO DEVELOP RAISE IN THIS HORIZONTAL DRIVE. RESUMED ON FEB 27, 2019. STOPPED ON APRIL 50E DE ALREADY BREAKTHROUGH.</t>
  </si>
  <si>
    <t>ADDITIONAL,APPROVED ON 4/9/19-LOC. STOPPED ON MAY 4,2019 DUE TO VEIN PINCHED OUT.</t>
  </si>
  <si>
    <t>ADDITIONAL HORIZONTAL DEVELOPMENT.APPROVED ON MARCH 18, 2019.TEMP. STOPPED DELAY BECAUSE OF NEW OPEN 62E DE ON MARCH 19, 2019.RESUMED ON APRIL 1, 2019. TEMP. STOPPED ON APRIL 25, 2019 DUE TO MINER'S INVOLVED IN HIGH GRADING. RESUMED AND TRANSFER FROM SHEPHERD S3  TO PANSIT 7 DUE TO LACK OF MANPOWER ON MAY 2,2019. TEMPORARY STOPPED ON MAY 15,2019 POSSIBLE TO BREAKTHROUGH TO 59E DE.</t>
  </si>
  <si>
    <t>REPLACEMENT OF L09 NONE 070E XCN. APPROVED ON FEBRUARY 16,2019. TEMPORARY STOPPED ON MAY 8,2019 ON GOING WEST PREP ON DW. RESUMED ON MAY 15,2019. TEMPORARY STOPPED ON MAY 20,2019 TO DO CLEANING FOR DRILLING PURPOSES.</t>
  </si>
  <si>
    <t>ADDITIONAL HORIZONTAL DEVELOPMENT APPROVED ON 10/2/18. TRANSFER TO SHEPHERD S FROM BAÑEZ 10 ON 10/16/18. TEMP STOPPED ON NOV 24, 2018. FOLLOW UP RAISE.RESUMED ON NOVEMBER 28, 2018. TEMP. STOPPED ON JANUARY 23, 2019 DUE TO PRIORITIZE RAISE AND NOT ACCESSIBLE DUE TO BLASTED ORE COMING FROM RAISE. RESUMED ON JAN 26, 2019. TEMPORARY STOPPED ON FEBRUARY 18,2019 DUE TO ON GOING FOLLOW UP OF STOPE. RESUMED ON FEB 22, 2019. TEMPORARY  STOPPED ON MAY 7,2019 TO PRIORITIZED 73E RAISE. RESUMED ON MAY 15,2019.STOPPED ON 5/24/19-LTS,DUE TO VEIN PINCH OUT. CHANGE NAME FROM L09_JVFW_062E_DE TO L09_JVSPLIT_062E_DE ON JUNE 6, 2019 ACCORDING TO LEVEL GEO EVALUATION.</t>
  </si>
  <si>
    <t>ADDITIONAL APPROVED ON NOV.28,2017 AS PER LTS. TEMPORARY STOPPED ON JAN.10,2018 BLOCKED BY L09 GHV 010W RAISE. RESUMED ON JAN.15,2018 AS PER LTS. TEMPORARY STOPPED ON MARCH 6, 2018 TO PRIORITIZE 9 GHV 14W STOPE PREP. RESUME 3/29/2018 BY SDNC. TRANSFER FROM TAÑEZA 6 TO HUMIDING 1 ON MAY 17, 2018. TEMPORARY STOPPED ON JULY 15,2018 TO DO L09 GHV 015W STOPE PREP. TEMPORARY STOPPED DUE TO PINO OF GHV 15W STOPE PREP APPROVED ON AUGUST 2, 2018. RESUMED ON AUGUST 6,2018 AT THE SAME TRANSFER FROM HUMIDING 1 TO GEMENTIZA2.TRANSFER TO PANSIT 5 FROM GEMENTIZA APPROVED ON SEPTEMBER 17, 2018. TEMPORARY STOP ON 11/6/18 TO PRIORITIZE BLOCKING RAISE NEAR THE AREA.RESUME ON 11/9/18. TEMPORARY STOPPED ON 1/8/19 DUE TO MANPOWER ISSUE. RESUME AND TRANSFER ON FEB 25, 2019 FROM PANSIT 5 TO DELOS REYE V.2 TEMP. STOPPED ON APRIL 23, 2019 TO PRIORITIZED RAISE. RESUMED ON MAY 7,2019.STOPPED CONSECUTIVE LOW ASSAY GRADES ON CUT SAMPLES/BULK ON JUNE 4, 2019</t>
  </si>
  <si>
    <t>ADDITIONAL HORIZONTAL DEVELOPMENT ON JANUARY 18, 2019.TEMP STOP ON 4/25-19-LOC, TO PRIORITIZE RAISE. RESUMED ON MAY 8,2019 NOTIFIED ON MAY 16,2019. TEMPORARY STOPPED ON MAY 21,2019 TO DO FOLLOW UP RAISE. RESUMED ON MAY 28, 2019 AT THE SAME TIME TRANSFERRED FROM BABOR 3 TO CAPPUYO. STOPPED ON JULY 2, 2019 DUE TO PINCHED OUT VEIN.</t>
  </si>
  <si>
    <t>REPLACEMENT OF L09_JVHW_070E_DW ON JUNE 25, 2019. STOPPED ONAUGUST 22, 2019 DUE TO BREAKTHROUGH.</t>
  </si>
  <si>
    <t>ADDITIONAL HORIZONTAL DEVELOPMENT.APPROVED ON JANUARY 21, 2019.TEMP, STOPPED ON GOING TO RAISE PREP. ON MARCH 18, 2019. RESUMED ON MARCH 25, 2019. TEMPORARY STOPPED ON APRIL 15,2019 ON GOING RAISE PREP. RESUMED ON APRIL 24, 2019. TRANSFER FROM BALANGHIG 3 TO BALANGHIG 1.TEMP.STOP ON 5/24/19-LTS, DUE TO DELAY OF NEW WP L09 JVHW 053E DW.RESUME ON 6/1/19. RENAMED FROM L09_DPVE_051E_DE TO L09_DPVE3_051E_DE ON JUNE 7, 2019.TEMP.STOP ON JUNE 17, 2019 BUT MEMO WAS GIVEN ON JUNE 28,2019 FROM OPERATIONS. RESUMED ON JULY 4, 2019.TRANSFER FROM BALANGHIG1 TO CAPPUYO 3 ON AUGUST 6, 2019. TEMP. STOPPED ON AUGUST 28, 2019.</t>
  </si>
  <si>
    <t>ADDITIONAL VERTICAL DEVELOPMENT ON MAY 7, 2019. RENAMED FROM L09_JVFW_073E_RAISE TO L09_JVSPLIT_073E_RAISE ON JUNE 7, 2019. TRANSFER FROM SHEPHERD S TO PANCIT 8 DUE TO LACK OF MANPOWER ON JULY 26, 2019.-LTS. STOPPED ON AUGUST 26, 2019 ALREADY PASSED THE WIREFRAME AND DESIGN.</t>
  </si>
  <si>
    <t>ADDITIONAL APPROVED ON JULY 11, 2018/LTS.TRANSFER FROM PMC MINERS 1 TO PANCIT,NOEL 3 ON JULY 25, 2018 DUE TO LOW PERFORMANCE OF ALIMAK.TEMPORARY STOPPED DUE TO SAFETY CONCREN/UNSAFE CONDITION.APPROVED ON SEPTEMBER 12, 2018.RESUMED ON OCT 12, 2018/BBB. TEMPORARY STOPPED ON OCTOBER 18,2018 DUE TO UNSAFE CONDITION. RESUMED ON OCT. 30, 2018 AS PER LM. TEMPORARY STOPPED 11/5/18 TO PRIORITIZE L09 043E STOPE (MANPOWER ISSUE). RESUMED ON NOVEMBER 18,2018. STOPPED ON FEBRUARY 6,2019 DUE TO BREAKTHROUGH TO LEVEL 8 MAINLINE.</t>
  </si>
  <si>
    <t>REPLACEMENT OF L09 DPVE 045E DE. APPROVED ON NOVEMBER 18,2018. STOPPED ON JANUARY 17,2019 AS PER COORDINATION MINUTES BECAUSE THE VEIN IS CUT BY NE-SW STRIKING FAULT.</t>
  </si>
  <si>
    <t>ADDITIONAL VERTICAL DEVELOPMENT. APPROVED ON NOV 24, 2018. STOPPED ON JANUARY 17,2019 AS PER COORDINATION MINUTES DUE TO PINCHING OUT OF VEIN.</t>
  </si>
  <si>
    <t>REPLACEMENT OF L08 GHV 004W WINZE. APPROVED ON JAN 17, 2019. STOPPED ON FEBRUARY 5,2019 DUE TO BREAKTHROUGH.</t>
  </si>
  <si>
    <t>REPLACEMENT OF L09 DPVE 017E RAISE. APPROVED ON NOV 20, 2018. REPLACED BY PANCIT NOEL FROM DELOS REYES AS PER SCS ENGR. STOPPED ALREADY BREAKTHOUGH TO LEVEL 8 ELEVATION 2/12/18</t>
  </si>
  <si>
    <t>REPLACEMENT OF L09 JVFW 061E RAISE.APPROVED ON JANUARY 22, 2019. STOPPED ON FEBRUARY 17,2019 CONVERTED TO STOPE PREP.</t>
  </si>
  <si>
    <t>REPLACEMENT OF L09 JVFW 057E STOPE. APPROVED ON FEB 21, 2019. STARTED DRIVING RAISE AT 35 ELEVATION. TEMP. STOPPED ON FEB 26, 2019 TO PRIORITIZE L09 57E STOPE.</t>
  </si>
  <si>
    <t>REPLACEMENT OF L09 JVFW 051E RAISE.APPROVED ON NOVEMBER 27, 2018. STOPPED ON MARCH 6,2019 CONNECTED TO LEVEL 8 MAINLINE CONVERT TO STOPE PREP.</t>
  </si>
  <si>
    <t>REPLACEMENT OF L09 JVFW 032E RAISE.APPROVED ON FEBRUARY 14, 2019. TRANSFER FROM PANCIT, NOEL 3 TO CAPPUYO 2 ON FEB 27, 2019. TEMPORARY STOPPED ON MARCH 12,2019 DUE TO UNSAFE CONDITION. COMPLETELY STOPPED ON MAY 18,2019.</t>
  </si>
  <si>
    <t>REPLACEMENT OF L09 GHVFW 040E DW.APRROVED ON APRIL 1, 2019. STOPPED ON APRIL 29, 2019, DUE TO CONSECUTIVE LOW ASSAY RESULT.</t>
  </si>
  <si>
    <t>ADDITIONAL VERTICAL DEVELOPMENT.APPROVED ON MARCH 19, 2019. STOPPED N APRIL 22, 2019; VEIN PINCHED OUT. RENAMED FROM L09_DPVE3_052E_RAISE</t>
  </si>
  <si>
    <t>ADDITIONAL VERTICAL DEVELOPMENT.APPROVED ON APRIL 15,2019. RENAMED FROM L09_DPVE_050E_RAISE TO L09_DPVE3_050E_RAISE ON JUNE 7, 2019. STOPPED ON JUNE 17, 2019 DUE TO THE FAULT BOUNDING THE VEIN STRUCTURE.</t>
  </si>
  <si>
    <t>ADDITIONAL VERTICAL DEVELOPMENT.APPROVED ON APRIL 15,2019.L09_GHV 44E RAISE RENAMED TO L09 GHVFW 44E RAISE ON MAY 21, 2019. STOPPED ON JUNE 17,2019 TO DO INCLINED RAISE.</t>
  </si>
  <si>
    <t>REPLACEMENT OF L09 GHVHW 002W RAISE. APPROVED ON 3/14/19. STOPPED ON MAY 20,2019 DUE TO BREAKTHROUGH TO LEVEL 8 MAINLINE.RESUMED ON JUNE 14, 2019 THE SAME DATE TRANSFER FROM CAPPUYO 2 TO SHEPHERD R1 TO DO INCLINED RAISE. STOPPED ON JULY 13, 2019 DUE TO LOW CONSECUTIVE RESULT.</t>
  </si>
  <si>
    <t>ADDITIONAL ,.APPROVED ON APRIL 25,2019-LOC. STOPPED ON JULY 22, 2019 DUE TO BREAKTHROUGH.</t>
  </si>
  <si>
    <t>REPLACEMENT OF L09_DPVE3_050E_RAISE APPROVED ON JUNE 18,2019. STOPPED ON JULY 25,2019 DUE TO CONSECUTIVE LOW ASSAY GRADE AND VEIN PINCHED OUT.</t>
  </si>
  <si>
    <t>REPLACEMENT OF L09 JVFW 062E DW. APPROVED ON MAY 15,2019. RENAMED FROM L09_JVFW_057E_RAISE TO L09_JVSPLIT_057E_RAISE ON JUNE 7, 2019. TRANSFER FROM PANSIT 7 TO DAVOCOL, ROSELIO 3 ON JULY 19, 2019.STOPPED ON AUGUST 12, 2019.</t>
  </si>
  <si>
    <t>REPLACEMENT OF L09_GHVSPLIT_019E_DE.APPROVED ON AUGUST 19, 2019.STOPPED ON AUGUST 31, 2019 CONNEDTED TO AN OLD STOPE.</t>
  </si>
  <si>
    <t>ADDITIONAL VERTICAL DEVELOPMENT. APPROVED ON MAY 7,2018/BSB. TEMPORARY STOPPED ON MAY 29, 2018. RESUMED ON MAY 30, 2018 AND AT THE SAME TIME TRANSFERRED FROM DELOS REYES V. 1 TO HANGDAAN 2. TRANSFERRED FROM HANGDAAN 2 TO MAPAYO 3 ON JULY 11, 2018. TEMP. STOPPED ON JANUARY 29, 2019 DUE TO UNSAFE CONDITION ON THE UPCOMING BREAKTHROUGH OF L10 55E DE. RESUMED ON FEB 8, 2019. STOPPED ON JUNE 27,2019.</t>
  </si>
  <si>
    <t>ADDITIONAL VERTICAL DEVELOPMENT AND FUTURE EXHAUST OF LEVEL 10 43E SHAFT. APPROVED ON NOV. 20, 2017.STOPPED ON JUNE 7, 2018/LTS</t>
  </si>
  <si>
    <t>ADDITIONAL VERTICAL DEVELOPMENT. APPROVED ON SEPT. 4, 2017. TEMPORARY STOPPED ON JAN.10,2018 TEAM LEADER WILL BE TRANSFER TO L10 NONE 014E WINZE AS PER LTS.RESUMED ON FEB. 28, 2018 AS PER CA TO BE FOLLOWED MEMO ALREADY RECEIVED MEMO.STOPPED ON APR 6, 2018, L10 ELEVATION.</t>
  </si>
  <si>
    <t>ADDITIONAL, APPROVED ON FEB.03,2017. STOPPED ON MARCH 9, 2017.</t>
  </si>
  <si>
    <t>ADDITIONAL VERTICAL DEVELOPMENT APPROVED ON JULY 16, 2017, EXPLORATORY WINZE AS PER MINE OPERATION SINGLE COMPARTMENT. STOPPED ON AUGUST 11, 2017 AS PER PPEVANGELIO.</t>
  </si>
  <si>
    <t>REPLACEMENT OF L09 JVHW 71E DE,APPROVED ON 5/24/19-LTS. STOPPED ON JULY 13, 2019, ALREADY HIT THE TARGET VEIN.</t>
  </si>
  <si>
    <t>REPLACEMENT OF L09 JV 034E DE. APPROVED ON JAN. 13, 2019. STOPPED ON FEBRUARY 15,2019 CONVERT TO ON VEIN.</t>
  </si>
  <si>
    <t>RENAMED FROM L09 GHV 038E DE TO L09 NONE 054E XCS  DUE TO CORRECT THE NAMING OF THE SAID WORKING PLACE BASED ON ITS POSITION AND ITS WORKING PLACE TYPE FOR IT IS AN OFF-VEIN DEVELOPMENT ON JANUARY 24, 2019. STOPPED ON FEBRUARY 13,2019 CONVERTED TO ON VEIN.</t>
  </si>
  <si>
    <t>FOR EXPLORATION PURPOSES APPROVED ON 7/25/18-LTS.CHANGED FROM 51E XCS TO 52E XCN ON 7/27/18-LTS. TRANSFER TEMPORARILY TO DELOS REYES V.2 FROM PMC MINERS 1 ON JULY 31,2018 TO DRIVE 5 METER DRIVE.TRANSFER FROM DELOS REYES V.2 TO PMC MINERS 2 APPROVED ON AUGUST 14, 2018. STOPPED ON JANUARY 10,2019 ALREADY BREAKTHROUGH.</t>
  </si>
  <si>
    <t>ADDITIONAL ,APPROVED ON OCT. 9, 2017.(LTS). STOPPED ON JAN.13,2018 MEMO RECEIVE FROM GEO. RESUMED ON OCT 5, 2108 AS PER LEVEL MANAGER. RENAMED FROM L09 NONE 021E XCN TO L09 NONE 022E XCN TO AVOID MISCHARGING TO L09 GHVFW 021E DW ON 10/29/18. STOPPED ON DECEMBER 20,2018 ALREADY REACHED TARGETED LENGTH.</t>
  </si>
  <si>
    <t>ADDITIONAL, APPROVED ON MARCH 28, 2018/SDNC.RENAMED FROM JVS 51E DE TO 47E XCS AS PER BBB ON APRIL 6, 2018.TEMP STOP TO PRIORITIZE L09 DPVE 042E STOPE PREP. RESUMED ON MAY 21, 2018 AS PER MEMO OF ENGR. NUÑEZ.TEMP.STOPPED ON JUNE 26,2018/LTS-DUE TO UNAVAILABILITY OF MUCKING MACHINE &amp; MANPOWER.</t>
  </si>
  <si>
    <t>ADDITIONAL HORIZONTAL DEVELOPMENT. APPROVED ON SEPTEMBER 12, 2017. STOPPED ON JANUARY 2018.</t>
  </si>
  <si>
    <t>REPLACEMENT OF L09 DPVE 037E DE. APPROVED ON AUG. 24, 2017. STOPPED ON SEPT. 23, 2017, NOW DRIVING ON VEIN; REPLACED BY L09 DPVE 045E DE.</t>
  </si>
  <si>
    <t>REPLACEMENT OF L09 NONE 029E XCS. APPROVED ON APRIL 24, 2017. TEMPORARY STOPPED ON JULY 2, 2017; MEMO RECEIVED ON THE SAME DATE. RESUMED ON JULY 7, 2017 AS PER LM; VERBAL ONLY. STOPPED ON JULY 11, 2017 AS PER PP EVANGELIO. RESUMED ON JULY 28, 2017 AS PER D. NUNEZ. STOPPED ON SEPT. 5, 2017; MEMO RECEIVED ON THE SAME DATE.</t>
  </si>
  <si>
    <t>ADDITIONAL, APPROVED ON FEB 7, 2017. RENAMED FROM L9 NONE 17E XCN TO L9 NONE 16E XCN, APPROVED ON FEB.20,2017. TEMPORARY STOPPED ON APRIL 17, 2017  TO GIVE PRIORITY TO WINZE DEVELOPMENT.NOTIFIED ON APRIL 21, 2017 AS PER PP EVANGELIO. RESUMED ON MAY 23, 2016, MEMO RECIEVED ON THE SAME DATE. TEMPORARY STOPPED ON MAY 25, 2017.</t>
  </si>
  <si>
    <t>REPLACEMENT OF L9 DPVE 29E DE,APPROVED ON AUG 10, 2016.STOPPED ON AUG 18,2016.RESUMED ON SEPT 5,2016 AS PER RD TORRES. STOPPED ON APRIL 17, 2017.</t>
  </si>
  <si>
    <t>ADDITIONAL,APPROVED ON JAN 20 2016.RESUMED ON MARCH 18, 2016.STOPPED ON SEPT 27,2016.REOPENED ON OCT 20, 2016.STOPPED ON NOV 15, 2016.</t>
  </si>
  <si>
    <t>ADDITIONAL,APPROVED ON OCT. 1,2015.TRANSFERRED FROM DULNUAN TO ROXAS EFFECTIVE NOV 23 2015.TRANSFERRED FROM ROXAS TO DELOS REYES, V. EFFECTIVE FEB 23, 2016.TRANSFERRED FROM DELOS REYES, V. TO BENONGUIL, A. ON MAY 20,2016.STOPPED ON JULY 16,2016 AS PER EEL.</t>
  </si>
  <si>
    <t>ADDITIONAL,APPROVED ON OCT. 1,2015.CHANGED THE NAME FROM 30E TO 31E EFFECTIVE NOV 25 2015.STOPPED MON JAN 12 2016.</t>
  </si>
  <si>
    <t>ADDITIONAL HORIZONTAL DEVELOPMENT. APPROVED ON SEPTEMBER 29, 2017. STOPPED ON OCTOBER 10, 2017 DOUBLE WORKING PLACE.</t>
  </si>
  <si>
    <t>ADDITIONAL HORIZONTAL DEVELOPMENT. APPROVED ON OCT. 1, 2017. STOPPED ON OCT.21,2017.</t>
  </si>
  <si>
    <t>REPLACEMENT OF L09 JV 034E DE.APPROVED ON NOV. 26, 2017. TEMPORARY STOPPED ON JANUARY 19, 2017. BREAKTHROUGH ON LEVEL 8 WINZE.</t>
  </si>
  <si>
    <t>REPLACEMENT OF L09 JVFW 039E DE APPROVED ON AUGUST 1, 2018/LTS.  STOPPED ON AUGUST 17, 2018; WAS CONVERTED TO DRIFT.</t>
  </si>
  <si>
    <t>REPLACEMENT OF L09 JVFW 023E DE.APPROVED ON SEPTEMEBER 21, 2018. ALREADY BREAKTHROUGH AND STOPPED ON OCTOBER 5, 2018.</t>
  </si>
  <si>
    <t>FOR VENTILATION BREAKTHROUGH. APPROVED ON SEPTEMBER 25,2018. STOPPED ON OCTOBER 22,2018 ALREADY BREAKTHROUGH.</t>
  </si>
  <si>
    <t>LEVEL 9 DEFINITION DRILLING CHAMBER. APPROVED ON JANUARY 21, 2019. STOPPED ON APRIL 18,2019.</t>
  </si>
  <si>
    <t>APPROVED ON OCT. 18, 2017. AN EXTENSION OF 12E BATTERY CHAMBER.CHANGED TO CABBIGAT,JOSEPH ON NOV 4, 2017; MEMO FROM SHEPHERD WAS RECEIVED ON NOV 7, 2017. STOPPED ON JAN.12,2018.</t>
  </si>
  <si>
    <t>APPROVED ON JUNE 27,2016.TRANSFER FROM BENONGUIL, A. TO ROXAS ON JULY 30,2016 AS PER CA ASIRIT.STOPPED ON SEPT 25 2016.RESUMED ON OCT 22,2016/TRANSFER FROM ROXAS TO PINO. STOPPED ON NOVEMBER 16, 2017 AS PER LEVEL MANAGER.</t>
  </si>
  <si>
    <t>APPROVED ON SEPT 26,2016. STOPPED ON NOVEMBER 13, 2016, COMPLETED.</t>
  </si>
  <si>
    <t>FOR 12E INTERNAL SHAFT BATTERY STATION &amp; MECHANICAL SHOP,APPROVED ON AUG 18,2016. STOPPED ON NOVEMBER 13, 2016, COMPLETED.</t>
  </si>
  <si>
    <t>SPECIAL PROJECT FOR INTERNAL SHAFT FROM L8 TO L10,APPROVED ON FEB.26, 2015.STOPPED ON NOV 23, 2016.</t>
  </si>
  <si>
    <t>FOR 29E INTERNAL SHAFT BATTERY STATION &amp; MEHANICAL SHOP,APPROVED ON AUG 18,2016.STOPPED ON SEPT 25 2016.RESUMED ON OCT 22,2016. STOPPED ON JANUARY 18,2017 DUE TO PROJECT COMPLETION.</t>
  </si>
  <si>
    <t>ADDITIONAL HORIZONTAL DRIVE FOR ACCESS TO E15 SHAFT. APPROVED ON JULY 3, 2017. ALREADY STOPPED ON OCTOBER 3, 2017 AS PER PPE NOTIFIED ON OCTOBER 12, 2017. ALREADY DONE WIDENING ON NOVEMBER 8, 2017 AS PER PALT.</t>
  </si>
  <si>
    <t>SUMP FOR WATER CATCHMENT @ 43E SHAFT.APPROVED ON SEPT 13,2018/BSB. STOPPED ON MARCH 20,2019.</t>
  </si>
  <si>
    <t>APPROVED ON AUGUST 3, 2018. PROVIDED WITH DOUBLE COMPARTMENT SUMP TO DRIFT . FINISHED ON SEPTEMBER 25,2018.</t>
  </si>
  <si>
    <t>ADDITIONAL. APPROVED ON NOV.29,2017 AS PER LTS. TRANSFERRED FROM TAÑEZA 3 TO CAPPUYO 1 ON JAN.10,2018 AS PER LTS.STOPPED ALREAFY FINISHED ON FEB 28, 2018 MEMO SENT ON MARCH 1, 2018 AS PER LM.</t>
  </si>
  <si>
    <t>DOWN-DIP EXT.OF JV FROM L11-L14 APPROVED ON JUNE 6, 2018/BSB. STOPPED ON OCTOBER 24,2018 ALREADY FINISHED</t>
  </si>
  <si>
    <t>REPLACEMENT OF L10 NONE 025E CHAMBER. APPROVED ON OCT. 26, 2018. STOPPED ON JANUARY 28,2019.</t>
  </si>
  <si>
    <t>REPLACEMENT OF L10 NONE 053E XCN. APPROVED ON DEC. 21, 2018. PROJECT CANCELLED AS PER DEWATERING SECTION.</t>
  </si>
  <si>
    <t>FOR SERVICE ML TO 43E SHAFT APPROVED ON JULY 4, 2018/LTS. TEMPORARY STOPPED ON JULY 24,2018 THE GROUP IS STILL WORKING ON THE STEEL CHUTE OF 43E SHAFT. TEMPORARY STOPPED DUE TO ONGOING CONSTRUCTION OF 43E SHAFT DUMPING AREA ON AUGUST 2, 2018. RESUMED ON SEPT 3, 2018 TO HIT L10 GHV 045E DE. RENAME  TO LEVEL 10 053E XCN TO AVOID MISCHARGING TO L09 GHV 52E DW AND L09 NONE 052E XCN APPROVED ON OCOTBER 19, 2018. STOPPED ON DECEMBER 21,2018 ALREADY BREAKTHROUGH.</t>
  </si>
  <si>
    <t>REPLACEMENT OF L10 NONE 018E XCS. APPROVED ON DEC. 14, 2017. STOPPED ON FEB.28 2018, ALREADY BREAK THROUGH TO 17E DE.RESUMED ON APR 13, 2018/JL CABRIADAS.TEMP STOP DUE TO REPLACED BY 19E DW ON AUGUST 2, 2018.RESUMED ON SEPT 27,2018 AS REPLACEMENT TO L10 GHVHW 19E DW. RENAMED FROM L10 NONE 020E XCN TO L10 NONE 021E XCN TO AVOID MISCHARGING TO L10 GHV 020E DE ON SEPTEMBER 30,2018. RENAME FROM L10 NONE 021E XCN TO L10 024E XCN TO AVOID MISCHARGING. STOPPED IN NOV 22, 2018. REPLACED BY L10 JVFW 018E DE</t>
  </si>
  <si>
    <t>HORIZONTAL DEVELOPMENT TO TARGET VEIN INTERCEPTS NORTH SIDE OF 48E SHAFT. APPROVED ON MAY 25, 2018. TEMPORARY STOPPED ON JUNE 13, 2018 TO DRIVE ON VEIN TO WEST.STOPPED ON JULY 13, 2018/JL CABRIADAS-ON VEIN. RESUME ON JULY 16, 2018. TEMP. STOPPED TO PRIORITIZED L10 50 E CHAMBER.</t>
  </si>
  <si>
    <t>ADDITIONAL HORIZONTAL DRIVE FOR ACCESS TO E15 SHAFT. APPROVED ON JULY 3, 2017. TEMPORARY STOPPED ON JULY 6, 2017; TO HAVE FURTHER ADVANCE FIRST BEFORE DRIVING THE CROSSCUT AS PER LM. RESUMED ON AUGUST 5, 2017 AS PER JPTN. STOPPED ON NOV.7,2017 AS PER LTS. RESUMED ON DEC. 5, 2017 AS PER  ND OPEÑA.</t>
  </si>
  <si>
    <t>REPLACEMENT OF L9 NONE 12E SHAFT. APPROVED ON NOV. 23, 2016. TRANSFERRED TO  TAÑEZA SR., FRUCTOSO FROM HANGDAAN ON APRIL 24, 2017 AS PER CA ABESTANO. RENAMED AS FROM L10_NONE_014E_XCS* AS PER JPTN. STOPPED ON AUGUST 5, 2017 AS PER JPTN.</t>
  </si>
  <si>
    <t>XC GOING TO PROPOSED CHAMBER APPROVED ON JUNE 7, 2018/BSB. STOPPED ON SEPTEMBER 10,2018.</t>
  </si>
  <si>
    <t>REPLACEMENT OF L10 DPVE 047E DW.APPROVED ON SEPTEMBER 21, 2018. STOPPED ON OCTOBER 16,2018 AS PER BBB.</t>
  </si>
  <si>
    <t>TARGET L10 GHV 045E DE. APPROVED ON SEPT 3, 2018.GJTD. STOPPED ON OCTOBER 31,2018 ALREADY BREAKTHROUGH.</t>
  </si>
  <si>
    <t>REPLACEMENT OF L10 GHV 024E DE.APPROVED ON SEPTEMBER 28, 2018. STOPPED ON DECEMBER 4, 2018. ALREADY HIT THE TARGET VEIN. RESUMED ON MARCH 13,2019 AT THE SAME TIME TRANSFER FROM TAÑEZA 4 TO SHEPHERD V. STOPPED ON MARCH 31,2019 CONVERT TO ON VEIN.</t>
  </si>
  <si>
    <t>TO BE CONNECTED TO 35E SHAFT APPROVED ON 5/24/19-LTS. ALREADY BREAKTHROUGH AT 35E SHAFT ON JUNE 15, 2019</t>
  </si>
  <si>
    <t>TO BE CONNECTED TO 35E SHAFT APPROVED ON 5/24/19-LTS. ALREADY BREAKTHROUGH AT 35E SHAFT ON JUNE 15, 2019.</t>
  </si>
  <si>
    <t>SPECIAL PROJECT FOR EXPLOSIVE MAGAZINE ON JUNE 26 2019. STOPPED AND REPLACE WITH L10_JV_028E_DW ON JULY 11, 2019.</t>
  </si>
  <si>
    <t>REPLACEMENT OF L10 GHV 025E RAISE. APPROVED ON MARCH 25, 2019. STOPPED ON JUNE 3,2019 DUE TO CONSECUTIVE LOW ASSAY GRADE AND VEIN PINCHED OUT.</t>
  </si>
  <si>
    <t>ADDITIONAL VERTICAL DEVELOPMENT.APPROVED ON OCTOBER 27, 2018. TEMPORARY STOPPED ON JAN 28, 2019 DUE TO DEFECTIVE SLUSHER. RESUMED ON FEBRUARY 4,2019. TEMPORARY STOPPED ON FEBRUARY 15,2019 DUE TO ABSENTISM. RESUMED ON FEB 22, 2019 AS PER MEMO SCS. STOPPED ON MARCH 25, 2019 DUE TO LOW CONSECUTIVE ASSAY GRADE.</t>
  </si>
  <si>
    <t>REPLACEMENT OF L10 GHV 025E RAISE, BLOCKING RAISE. APPROVED ON JAN 29, 2019. STOPPED ON APRIL 25, 2019 DUE TO PINCHED OUT OF VEIN.</t>
  </si>
  <si>
    <t>ADDITIONAL VERTICAL DRIVE. APPROVED ON 4/9/19-SDNC. STOPPED ON MAY 19,2019 DUE TO OFF VEIN.</t>
  </si>
  <si>
    <t>REPLACEMENT OF L10 GHVFW 021E DE .APPROVED ON JANUARY 21, 2019. STOPPED ON MAY 27, 2019, CONVERTED TO STOPE PREP.</t>
  </si>
  <si>
    <t>REPLACEMENT OF L10 GHV 36E RAISE, APPROVED ON 4/11/19-LTS.  STOPPED ON JUNE 3,2019 DUE TO CONSECUTIVE LOW ASSAY GRADE AND VEIN PINCHED OUT. RESUMED ON JUNE 5,2019. STOPPED DUE TOCONSECUTIVE LOW ASSAY GRADE AND PINCHED OUT VEIN.</t>
  </si>
  <si>
    <t>REPLACEMENT OF L10 DPVE 063E RAISE. APPROVED ON MAY 20, 2019.STOPPED ON JULY 23, 2019 DUE TO CONSECUTIVE LOW ASSAY GRADES ON CUT SAMPLES/BULK SAMPLES.</t>
  </si>
  <si>
    <t>REPLACEMENT OF L10 GHV 023E RAISE. APPROVED ON 10/2/18. TEMPORARY STOPPED ON OCTOBER 19,2018 DUE TO UNSAFE CONDITION. RESUMED ON OCT 24, 2018 AS PER LM.TEMPORARY STOPPE  ON NOVEMBER 6, 2018. RESUMED ON JUNE 13, 2019. STOPPED ON AUGUST 2, 2019 ALREADY BREAK THRU.</t>
  </si>
  <si>
    <t>ADDITIONAL APPROVED ON JULY 13, 2018/BBB. TEMPORARY STOPPED ON JULY 16,2018. TEMPORARY STOPPED DUE TO PROHIZE 48E CHAMBER ON AUGUST 2, 2018.RESUMED ON AUGUST 31, 2018. STOPPED ON SEPTEMBER 17,2018 TO DO SILTATION POND.</t>
  </si>
  <si>
    <t>ADDITIONAL VERTICAL DEVELOPMENT. APPROVED ON JUNE 13, 2018.STOPPED DUE TO CONSECUTIVE LOWW ASSAY GRADES. APPROVED ON SEPTEMBER 27, 2018</t>
  </si>
  <si>
    <t>REPLACEMENT OF L09 GHV 014W STOPE. APPROVED ON JULY 20, 2018. STOPPED ON SEPT. 1, 2018.RESUMED TO TRANSFER TO TANEZA 2 APPROVED ON SEPTEMBER 25, 2018. STOOPED  REPLACED WITH L10 NONE 32E XCS APPROVED ON SEPTEMBER 27, 2018</t>
  </si>
  <si>
    <t>REPLACEMENT OF L10 NONE 024E XCN. APPROVED ON NOV 22, 2018. STOPPED ON DECEMBER 10,2018 DUE PINCHED OUT OF VEIN AT THE CURRENT FACE OF THE DRIVE.</t>
  </si>
  <si>
    <t>REPLACEMENT OF L10 JVFW 018E DE. APPROVED ON DECEMBER 11,2018. TEMPORARY STOPPED ON DEC. 13, 2018; DUE TO LACK OF MANPOWER</t>
  </si>
  <si>
    <t>ADDITIONAL, APPROVED ON OCT.16,2017 AS PER LTS. TEMPORARY STOPPED ON OCTOBER 18, 2017 TO PRIORITIZED THE EAST SIDE. RESUMED ON JANUARY 12, 2018.TRANSFERRED TO TANEZA FROM BAYOBAY ON MAR 2, 2018 AS PER BSB. TEMP. STOPPED ON MARCH 3, 2018. TO RESUME ON APRIL 4, 2018, WIDENING.PINCHED OUT VEIN APPROVED ON AUGUST 7, 2018.</t>
  </si>
  <si>
    <t>ADDITIONAL HORIZONTAL DEVELOPMENT. APPROVED ON FEB 11, 2019. TEMPORARY STOPPED ON FEBRUARY 19,2019 NO MANPOWER.</t>
  </si>
  <si>
    <t>ADDITIONAL HORIZONTAL DEVELOPMENT. APPROVED ON FEB 1, 2019. TEMPORARY STOPPED ON DUE TO RECENT APPREHENSION OF FORMER TEAM LEADER TO ILLEGAL HIGH GRADING EFFECTIVE ON MARCH 11,2019.</t>
  </si>
  <si>
    <t>REPLACEMENT OF L10 NONE 54E XCS. APPROVED ON OCTOBER 16, 2018. BBB. PURPOSE TO TARGET RESERVE PANEL ON L10 AND FIND THE LOCATION OF PROPOSED WINZE DOWN TO L12.TEMPORARY STOPPED ON OCTOBER 24,2018 DUE TO ACCIDENT HAPPENED. RESUMED ON NOV 6, 2018, AT THE SAME TIME TRANSFERRED FROM HANGDAAN TO TAÑEZA DUE TO REOCCURENCE OF LTA ON HANGDAAN'S SUPERVISION. TEMPORARY STOPPED ON JANUARYB 13,2019 DUE TO ON GOING CONSTRUCTION OF 48E SHAFT ORE BIN. RESUMED ON FEB 1, 2019.  TRANSFER FROM TAÑEZA 10 TO PARAGUYA 3 DUE TO RECENT APPREHENSION OF FORMER TEAM LEADER TO ILLEGAL HIGH GRADING EFFECTIVE ON MARCH 11,2019. STOPPED ON MARCH 31,2019 FOLLOWING NEW VEIN STRUCTURE REPLACED BY L10 DPVE 043E DW.</t>
  </si>
  <si>
    <t>REPLACEMENT OF L10 NONE 18E XCN APPROVED ON JULY 13, 2018/BBB.TEMPORARY STOPPED ON JULY 31. 2018.TEMPORARY STOPPED DUE TO PROHIZE 48E CHAMBER ON AUGUST 2, 2018. RESUMED ON AUGUST 9, 2018. TEMPORARY STOPPED ON OCTOBER 24,2018 DUE TO ACCIDENT HAPPENED.RESUME ON 11/9/18 AND TRANSFER TO TAÑEZA FROM HANGDAAN. ON THE SAME DATE.  TRANSFER FROM TAÑEZA 10 TO PARAGUYA 4 DUE TO RECENT APPREHENSION OF FORMER TEAM LEADER TO ILLEGAL HIGH GRADING EFFECTIVE ON MARCH 11,2019.TEMP.STOP ON 4/8/19-FOR FURTHER EVALUATION/SDNC.</t>
  </si>
  <si>
    <t>REPLACEMENT OF L10 GHV 024E DE. APPROVED ON SEPT. 1, 2018.  TEMPORARY STOPPED ON OCTOBER 29,2018 DUE TO ONGOING RAISE FOLLOW UP.RESUME ON 11/5/18. STOPPED ON JUN 20, 2019 DUE TO ELEVATION CONCERNS.</t>
  </si>
  <si>
    <t>REPLACEMENT OF L10 DPVE 051E DW. APPROVED ON MARCH 30, 2019. TEMPORARY STOPPED ON JUNE 25, 2019; TO REINTERPRET ITS FURTHER TARGET..</t>
  </si>
  <si>
    <t>REPLACEMENT OF L10 NONE 032E XCN. APPROVED ON DECEMBER 4, 2018.TEMP. STOPPED DELAYED DUE TO ON GOING SWITCH INSTALLITION @ 34E DE ON JANUARY 22, 2019. RESUME ON 1/29/19.TEMPORARY STOPPED DUE TO UNSERVISABLE AREA ON MARCH 28, 2019. RESUMED ON APRIL 8,2019 NOTIFIED ON APRIL 15,2019. TEMPORARY STOPPED ON MAY 26,2019 TO PRIORITIZED HEAD ROOM PREP OF 37E WINZE. RESUMED ON JUNE 4, 2019 BY JCABRIADAS. STOPPED ON JULY 6, 2019 AND RENAMED TO L10 JVFW 041E DE.</t>
  </si>
  <si>
    <t>REPLACEMENT OF L09 GHV 46E WINZE APPROVED ON JUNE 7, 2018/LTS. TEMPORARY STOPPED ON SEPT. 1, 2018 DUE TO LACK OF MANPOWER. RESUMED ON MARCH 20,2019 AT THE SAME TIME TRANSFER FROM MAPAYO 2 TO PARAGUYA 1. TEMP. STOPPED ON JULY 9, 2019 DUE TO ON GOING FOLLOW UP OF RAISE.</t>
  </si>
  <si>
    <t>ADDITIONAL HORIZONTAL DEVELOPMENT. APPROVED ON MARCH 6,2019. TRANSFER FROM TAÑEZA 6 TO PARAGUYA 1 DUE TO RECENT APPREHENSION OF FORMER TEAM LEADER TO ILLEGAL HIGH GRADING EFFECTIVE ON MARCH 11,2019. STOPPED ON JUNE 4,2019 CONVERTED TO CROSSCUT DUE TO OFF VEIN. (L10 NONE 042E XCS)</t>
  </si>
  <si>
    <t>ADDITIONAL HORIZONTAL DEVELOPMENT APPROVED ON JULY 4,2019. TRANSFER FROM PARAGUYA TO TAÑEZA 9. STOPPED ON AUGUST 24, 2019 TO PRIORITIZE L10 NONE 052E XCS.</t>
  </si>
  <si>
    <t>REPLACEMENT OF L05_CV_014E_DE. APPROVED ON JULY 22, 2019. STOPPED ON SEPT 9, 2019 DUE TO CONSECUTIVE LOW ASSAY GRADES ON CUT SAMPLES./ BULK SAMPLES.</t>
  </si>
  <si>
    <t>REPLACEMENT OF L07 DPVE 043E STOPE. APPROVED ON AUGUST 23, 2019. STOPPED ON SEPT 9, 2019 ALREADY REACHED THE RECOMMENDED STRIKE LENGTH OF THE INCLINE RAISE.</t>
  </si>
  <si>
    <t>ADDITIONAL HORIZONTAL DEV'T.  APPROVED ON SEPT 2, 2019. STOPPED ON SEPT. 6, 2019 ALREADY  BREAK THRU.</t>
  </si>
  <si>
    <t>REPLACEMENT OF L07 CTV 029E ROBBING. APPROVED ON AUGUST 22, 2019. STOPPED ON AUGUST 23, 2019 DUE TO ORE TURN TO WASTE OLD MUCK.</t>
  </si>
  <si>
    <t>L10_DPVE_060E_STOPE PREP</t>
  </si>
  <si>
    <t>REPLACEMENT OF L04 CV 006W WINZE. APPROVED ON FEB 27, 2019. STOPPED TOPSLICE ON MAY 8, 2019 PROCEED TO SILL PILLAR. CONVERTED TO TOPSLICE ON AUGUST 24, 2019. STOPPED ON SEPT 8, 2019 ALREADY FINISHED</t>
  </si>
  <si>
    <t>REPLACEMENT OF L04_JV_053W_RAISE. APPROVED ON JULY 23, 2019-SDNC. STOPPED ON SEPT. 2, 2019 CONVERTED TO ACTIVE BREAKING.</t>
  </si>
  <si>
    <t>L04_JV_054W_STOPE</t>
  </si>
  <si>
    <t>REPLACEMENT OF L04 JV 040W ROBBING. APPROVED ON AUGUST 30, 2019. STOPPED ON SEPT 10, 2019 ALREADY BREAK THRU.</t>
  </si>
  <si>
    <t>L04_CTV5_015E_WINZE STOPE PREP</t>
  </si>
  <si>
    <t>ADDITIONAL VERTICAL DEVELOPMENT APPROVED ON JULY 27, 2019.-LTS. STOPPED ON SEPT. 10 2019 DUE TO CONSECUTIVE LOW ASSAY GRADE AND PINCHED OUT VEIN.</t>
  </si>
  <si>
    <t>L08_JV_074E_RAISE</t>
  </si>
  <si>
    <t>L04_JV_029E_WINZE</t>
  </si>
  <si>
    <t>L05_GHV_030W_DE</t>
  </si>
  <si>
    <t>COMFORT ROOM AT LEVEL 10.APPROVED ON MAY 16, 2019. STOPPED ON SEPT 1, 2019 ALREADY FINISHED</t>
  </si>
  <si>
    <t>ADDITIONAL HORIZONTAL DEVELOPMENT APPROVED ON JULY 4,2019. STOPPED ON SEPT 4 2019 ALREADY FINISHED.</t>
  </si>
  <si>
    <t>FOR WASTE PASS. APPROVED ONAUGUST 9, 2019. Temporary stopped on Sept 11, 2019.</t>
  </si>
  <si>
    <t>REPLACEMENT OF L04 CTV5 016E WINZE. APPROVED ON AUGUST 10, 2019. MZC. CHANGE TEAM LEADER FROM OY-YOY 1 TO BAKAKON ON SEPT 10, 2019. Stopped on Sept 11, and converted stope winze stope prep.</t>
  </si>
  <si>
    <t>ADDITIONAL VERTICAL DEVELOPMENT. APPROVED ON JULY 30. 2019 -LOC. STOPPED ON SEPT 10, 2019 ALREADY BREAK THRO.</t>
  </si>
  <si>
    <t>REPLACEMENT OF L05_CTV_007E_DE APPROVED ON AUGUST 2, 2019.TEMP. STOPPED ON AUGUST 27, 2019 TO DOUBLE CHECK THE TARGET OLD INCLINE RAISE. RESUMED ON AUGUST 31,2019. Stopped on Sept 12, 2019 already breakthrough.</t>
  </si>
  <si>
    <t>L05_JV_033E_STOPE</t>
  </si>
  <si>
    <t>REPLACEMENT OF L05_JV_033E_RAISE. APPROVED ON AUGUST 15, 2019. Stopped on Sept 12, 2019 already started breaking</t>
  </si>
  <si>
    <t>L09_GHV_064E_RAISE</t>
  </si>
  <si>
    <t>L05_NV_009E_RAISE</t>
  </si>
  <si>
    <t>REPLACEMENT OF L06_JV_060E_ROBBING APPROVED ON AUGUST 2, 2019.STOPPED ON SEPT 13, 2019 ALREADY REACHED THE RECOMMENDED STRIKE LENGTH OF THE SILL PILLAR.</t>
  </si>
  <si>
    <t>REPLACEMENT OF L06_JV_008E_DE ON JULY 2, 2019. STOPPED ON AUGUST 12, 2019 DUE TO ALREADY BREAK THROUGH. RESUMED ON AUGUST 15, 2019. STOPPED ON SEPT 13, 2019 DUE TO CONSECUTIVE LOW ASSAY GRADES ON CUT SAMPLES/BULK SAMPLES.</t>
  </si>
  <si>
    <t>L05_CTV_014E_DE</t>
  </si>
  <si>
    <t>REPLACEMENT OF L04 CV 011W STOPE PREP. APPROCED ON SEPT. 3, 2019.CONVERT TO PULL-OUT ON SEPT 13, 2019.</t>
  </si>
  <si>
    <t>L04_CV_003W_ROBBING</t>
  </si>
  <si>
    <t>REPLACEMENT OF L04_JV_002E_WINZE. APPROVED ON AUGUST 13, 2019. STOPPED ON SEPT 13, 2019 REPLACED BY L04_JV_002E_DE ISL.</t>
  </si>
  <si>
    <t>L04_JV_002E_DE</t>
  </si>
  <si>
    <t>REPLACEMENT OF L09_DPVE3_068E_DE. APPROVED ON AUGUST 22, 2019. STOPPED ON SEPT 13, 2019 ALREADY HIT THEVEIN.</t>
  </si>
  <si>
    <t>REPLACEMENT OF L09 JVFW 020E DW. APPROVED ON JULY 23,2019. STOPPED ON SEPT 13,2019 ALREADY HIT THE VEIN TARGET.</t>
  </si>
  <si>
    <t>REPLACEMENT OF L08 JV 029E STOPE PREP. APPROVED ON NOVEMBER 13, 2018. STOPPED ON JULY 22, 2019 ALREADY REACHED THE RECOMMENDED STRIKE LENGTH/CROWN PILLAR ON THE SAME DAY, CONVERT TO PULL-OUT CLEANING. STOPPED ON SEPT. 13, 2019 DUE TO UNSAFE CONDITION.</t>
  </si>
  <si>
    <t>REPLACEMENT OF L05 JV 7E ROBBING, APPROVED ON 5/30/19-LOC.CONVERTED TO SILL PILLAR ON AUGUST 13, 2019. STOPPED ON SEPT 13, 2019 ALREADY REACHED THE RECOMMENDED STRIKE LENGTH.</t>
  </si>
  <si>
    <t>REPLACEMENT OF L05_GHVSPLIT_033W_WINZE.APPROVED ON JULY 18, 2019. STOPPED ON SEPT 13,2019 DUE TO ALREADY REACHED THE RECOMMENDED STRIKE LENGTH/CROWNPILLAR.</t>
  </si>
  <si>
    <t>REPLACEMENT OF L05 CTV 013E DE. APPROVED ON JULY 23, 2019. STOPPED ON SEPT, 13, 2019 ALREADY RECOMMENDED STRIKE LENGTH.</t>
  </si>
  <si>
    <t>L07_JV_038E_ROBBING</t>
  </si>
  <si>
    <t>L06_JVFW_018W_RAISE</t>
  </si>
  <si>
    <t>REBOTE 3</t>
  </si>
  <si>
    <t>REPLACEMENT OF L04 CV 011W STOPE PREP. APPROCED ON SEPT. 3, 2019.CONVERT TO PULL-OUT ON SEPT 13, 2019. STOPPED ON SEPT 15, 2019, ALREADY REACHED AGREED PULLOUT MINE CARS.</t>
  </si>
  <si>
    <t>REPLACEMENT OF L04_CV_008W_RAISE. APPROVED ON AUGUST 19, 2019. RENAMED FROM L04_CV_012W_DW TO L04_CV_011W_DW TO AVOID MISCHARGING ON SEPT. 3, 2019. RENAMED FROM L04_CV_011W_DW TO L04_CV_014W_DW ON SEPT. 4, 2019. STOPPED ON SEPT 12, 2019 DUE TO CONSECUTIVE LOW ASSAY GRADE.</t>
  </si>
  <si>
    <t>ADDITIONAL VERTICAL DEVELOPMENT. APPROVED ON AUGUST 5, 2019. TRANSFER ON AUGUST 12, 2019 FROM CAPPUYO 2 TO BABOR 3 SINCE FOLLO-UP FOR RAISE WERE ALREADY FINISHED. Stopped on Sept 13, 2019 due to vein pinched out.</t>
  </si>
  <si>
    <t>REPLACEMENT OF L09 GHV 017W STOPE PREP.APPROVED ON MARCH 15, 2019.RECOMMENDING TO CONVERT PULL OUT CLEANING ON JULY 3, 2019. Stop pull out on Sept 13, 2019 due to consecutive low bulk sample.</t>
  </si>
  <si>
    <t>REPLACEMENT OF L10 GHV 029E DW. APPROVED ON JULY 29,2019. Stopped on Sept 13, 2019, for wireframing.</t>
  </si>
  <si>
    <t>ADDITIONAL HORIZONTAL DEVELOPMENT APPROVED ON JULY 8, 2019. Stopped on Sept 13, 2019 due to cut by fault.</t>
  </si>
  <si>
    <t>L09_GHVHW_059E_RAISE</t>
  </si>
  <si>
    <t>L09_GHVHW_018E_RAISE</t>
  </si>
  <si>
    <t>REPLACEMENT OF L04_JV_007W_WINZE. APPROVED ON AUGUST 15, 2019. STOPPED ON SEPT 13, 2019 ALREADY BREAKTHROUGH.</t>
  </si>
  <si>
    <t>REPLACEMENT OF L07 DPVE 066E RAISE. APPROVED ON APRIL 29, 2019. STOPPED ON MAY 28, 2019; CONVERTED TO BREAKING; AS PER MEMO OPS.</t>
  </si>
  <si>
    <t>REPLACEMENT OF L07 JVHW 068E RAISE. APPROVED ON APRIL 29, 2019. STOPPED AND CONVERTED TO STOPE BREAKING ON 5/22/19.</t>
  </si>
  <si>
    <t>REPLACEMENT OF L08 DPVE 054E STOPE PREP. APPROVED ON FEBRUARY 18,2019.TEMP. STOPPED ON  APRIL 3, 2019.</t>
  </si>
  <si>
    <t>ADDITIONAL VERTICAL DEVELOPMENT.APPROVED ON JULY 2, 2019. Stopped on Sept 13 2019 due to low grade.</t>
  </si>
  <si>
    <t>L10_GHVHW_015E_RAISE</t>
  </si>
  <si>
    <t>L05_CTV_013E_STOPE PREP</t>
  </si>
  <si>
    <t>REPLACEMENT OF L06 GHVFW 029W DW. APPROVED ON MAY 24, 2019.TEMPORARY STOPPED PRIORITIZED ON VEIN DEVELOPMENT ON JUNE 7, 2019. RESUMED ON JUNE 10,2019. STOPPED ON JUNE 17, 2019, CONVERTED TO ONVEIN DRIVE. RESUMED ON SEPT. 3, 2019. STOPPED ON SEPT 16, 2019 ALREADY HIT THE TARGET VEIN.</t>
  </si>
  <si>
    <t>REPLACEMENT OF L07 JVHW 003W RAISE. APPROVED ON AUGUST 23, 2019. STOPPED ON SEPT 13, 2019 DUE TO BREAKTHROUGH TO OLD RAISE.</t>
  </si>
  <si>
    <t>REPLACEMENT OF L10 GHV 052E DW. APPROVED ON AUGUST 24, 2019. STOPPED ON SEPT  16, 2019 FOR TURN OUT PREPARATION.</t>
  </si>
  <si>
    <t>REPLACEMENT OF L05 JV 025W DW.APPROVED ON JULY 3, 2019. STOPPED ON SEPT. 16, 2019 DUE TO CONSECUTIVE LOW ASSAY GRADE.</t>
  </si>
  <si>
    <t>L05_CTV_006E_DE</t>
  </si>
  <si>
    <t>L05_JV_031E_RAISE</t>
  </si>
  <si>
    <t>REPLACEMENT OF L04 GHVFW 040W ROBBING. APPROVED ON AUGUST 29, 2019. STOPPED ON SEPT. 13, 2019, ALREADY BREAKTHROUGH.</t>
  </si>
  <si>
    <t>L04_GHV_029W_ROBBING</t>
  </si>
  <si>
    <t>L07_GHVFW_025W_RAISE</t>
  </si>
  <si>
    <t>L07_GHVFW_018W_RAISE</t>
  </si>
  <si>
    <t xml:space="preserve">REPLACEMENT OF L07_EDV_005E_RAISE. APPROVED ON AUGUST 5, 2019.STOPPED ON SEPT. 14, 2019 DUE TO CONSECUTIVE LOW ASSAY RESULT </t>
  </si>
  <si>
    <t>REPLACEMENT OF L08_GHVSPLIT_060E_DE.APPROVED ON AUGUST 27,2019. STOPPED ON SEPT. 19, 2019, ALREADY CONNECTED TO MAINLINE.</t>
  </si>
  <si>
    <t>L08_GHV_060E_ROBBING</t>
  </si>
  <si>
    <t xml:space="preserve">BENONGUIL </t>
  </si>
  <si>
    <t>COUNTER DRIVE GOING TO LEVEL 8 SHAFT.APPROVED ON MAY 17, 2019. TEMPORARY STOPPED ON JUNE 9,2019 TO PRIORITIZED EXCAVATION OF BATTERY CHAMBER. RESUMED ON JULY 13, 2019. STOPPED ON SEPT. 17, 2019…, REPLACED BY L08 JV 020W RAISE</t>
  </si>
  <si>
    <t>L08_JV_020W_RAISE</t>
  </si>
  <si>
    <t>L08_NONE_027E_XCN</t>
  </si>
  <si>
    <t>L10_JVFW_052E_DW</t>
  </si>
  <si>
    <t>REPLACEMENT OF L04_CTV_018W_DW. APPROVED ON AUGUST 6, 2019. TEMP. STOPPED ON AUGUST 21, 2019 DUE TO MANPOWER ISSUE. RESUMED ON AUGUST 26, 2019 SAME TIME TRANSFERRED FROM SHEPHERD V2 TO COMAINGKING 1 AS PER MANAGEMENT DECISION. Stopped on September 17,2019 already finished stope preparation.</t>
  </si>
  <si>
    <t>L06_CV_005E_ROBBING</t>
  </si>
  <si>
    <t>L06_GHVFW_035W_DW</t>
  </si>
  <si>
    <t>REPLACEMENT OF L07_DPVE_041E_RAISE. APPROVED ON SEPT 4, 2019. STOPPED ON SEPT 18, 2019 DUE TO PICHED OF VAIN AND LOW CONSECUTIVE SSAY GRADES.</t>
  </si>
  <si>
    <t>L07_GHVHW_058E_ROBBING</t>
  </si>
  <si>
    <t>FILL WINZE TO BE CONNECTED TO AN OLD STOPE. APPROVED ON AUGUST 23, 2019. STOPPED ON SEPT. 18, 2019 ALREADY CONNECTED TO THE OLD STOPE.</t>
  </si>
  <si>
    <t>L05_GHVSPLIT_032W_WINZE STOPE PREP</t>
  </si>
  <si>
    <t>L08_NONE_042E_CHAMBER</t>
  </si>
  <si>
    <t>L04_JV_015W_DW</t>
  </si>
  <si>
    <t>REPLACEMENT OF L06_GHVFW_032W_STOPE. APPROVED ON AUGUST 31, 2019. STOPPED ON SEPT 16, 2019 CONVERTED TO BREAKING.</t>
  </si>
  <si>
    <t>L06_GHVFW_020W_STOPE</t>
  </si>
  <si>
    <t>REPLACEMENT OF L07_JV_028E_RAISE.APPROVED ON AUGUST 21, 2019.Stopped on Sept 20, 2019 since the drive is already connected to the old stope of L07.</t>
  </si>
  <si>
    <t>REPLACEMENT OF L06_GHVFW_031W_RAISE.APPROVED ON SEPT 4, 2019.STOPPED ON SEPT. 16, 2019 CONVERTED TO BREAKING.</t>
  </si>
  <si>
    <t>REPLACEMENT OF L06 DPVE 058E DW. APPROVED ON AUGUST 30, 2019. STOPPED ON SEPT. 19, 2019 DUE TO CONSECUTIVE LOW ASSAY GRADE AND ALREADY REACHED THE PROJECTED STRIKE LENGTH.</t>
  </si>
  <si>
    <t>REPLACEMENT OF L06_JV_017E_STOPE PREP. APPROVED ON AUGUST 17, 2019. STOPPED ON SEPT 19, 2019 DUE TO COSECUTIVE LOW ASSAY GRADE AT THE SAME TIME CONVERT TO PULL-OUT CLEANING.</t>
  </si>
  <si>
    <t>REPLACEMENT OF L07_GHVHW_055E_ROBBING. APPROVED ON SEPT. 3, 2019. RENAMED FROM L07_GHVHW_057E_ROBBING TO L07_GHVHW_055E_ROBBING ON SEPT 4, 2019. STOPPED ON SEPT. 15, 2019 ALREADY FINISHED THE ROBBING PILLAR.</t>
  </si>
  <si>
    <t>REPLACEMENT OF L05_CTV_015E_ROBBING.APPROVED ON SEPT. 13, 2019. STOPPED ON SEPT 20, 2019 DUE TO ALREADY CONNECTED TO THE OPPOSITE MAINLINE.</t>
  </si>
  <si>
    <t>L06_NONE_022W_XCN</t>
  </si>
  <si>
    <t>REPLACEMENT OF L04_JV_042W_ROBBING.APPROVED ON SEPT. 3, 2019. Stopped on September 15,2019 already breakthrough.</t>
  </si>
  <si>
    <t>REPLACEMENT OF L06_DPVE_038E)WINZE STOPE PREP. APPROVED ON JULY JULY 19, 2019. CONVERT TO PULL-OUT CLEANING ON AUGUST 27, 2019. Stopped on Sept 15,2019 already mined out 87% pull-out.</t>
  </si>
  <si>
    <t>L04_NV_007W_ROBBING</t>
  </si>
  <si>
    <t>L08_DPVE_069E_STOPE</t>
  </si>
  <si>
    <t>REPLACEMENT OF L07_DPVE_027E_STOPE APPROVED ON SEPT 16, 2019. STOPPED ON SEPT. 23, 2019 ALREADY FINISHED BREAKNG THE SILL PILLAR.</t>
  </si>
  <si>
    <t>REPLACEMENT OF L08 DPVE 069E RAISE. APPROVED ON AUGUST 16, 2019. STOPPED ON SEPT. 23, 2019 CONVERTED TO ACTIVE BREAKING.</t>
  </si>
  <si>
    <t>L08_GHV_038E_STOPE</t>
  </si>
  <si>
    <t>REPLACEMENT OF L08_GHV_038E_RAISE. APPROVE ON AUGUST 27, 2019. STOPPED ON SEPT 23, 2019 CONVERTED TO ACTIVE BREAKING.</t>
  </si>
  <si>
    <t>L07_GHVFW_028W_RAISE</t>
  </si>
  <si>
    <t>ADDITIONAL VERTICAL DEVELOPMENT ON MAY 28, 2019. STOPPED ON SEPT.10, 2019 ALREADY BREAK THROUGH. RESUMED SEPT 18, 2019. STOPPED ON SEPT. 23, 2019 CONVERT TO STOPE PREPARATION.</t>
  </si>
  <si>
    <t>ADDITIONAL VERTICAL DEVELOPMENT APPROVED ON JULY 9, 2019. RENAMED ON JULY 9, 2019 FROM GHV_055E_RAISE TO L10_GHV_056E_RAISE TO AVOID MISCHARGING TO L10_JVFW_055E_DE. STOPPED ON SEPT. 23, 2019 ALREADY BREAK THROUGH.</t>
  </si>
  <si>
    <t>REPLACEMENT OF L06_JV_017E_STOPE PREP. APPROVED ON AUGUST 17, 2019. STOPPED ON SEPT 19, 2019 DUE TO COSECUTIVE LOW ASSAY GRADE AT THE SAME TIME CONVERT TO PULL-OUT CLEANING. STOPPED ON SEPT. 23, 2019 ALREADY FINISHED.</t>
  </si>
  <si>
    <t>L06_CV_002E_RAISE</t>
  </si>
  <si>
    <t>REPLACEMENT OF L10 JVFW 041E DE. APPROVED ON AUGUST 22, 2019. stopped on Sept 24, 2019. Vein Pinched out</t>
  </si>
  <si>
    <t>ADDITIONAL HORIZONTAL DEVELOPMENT APPROVED ON JULY 8, 2019. TEMP. STOPPED ON SEPT. 23, 2019 DUE TO ONGOING FOLLOW UP OF STOPE PREPARATION.stopped on Sept 24, 2019 due to vein pinched out.</t>
  </si>
  <si>
    <t>L10_NONE_068E_XCS</t>
  </si>
  <si>
    <t>L10_JVFW_059E_RAISE</t>
  </si>
  <si>
    <t>L10_DPVE_044E_RAISE</t>
  </si>
  <si>
    <t>L10_GHVFW_035E_STOPE PREP</t>
  </si>
  <si>
    <t>L09_GHVHW_029W_DE</t>
  </si>
  <si>
    <t>L09_DPVE_027E_RAISE</t>
  </si>
  <si>
    <t>SHEPHERD S 1</t>
  </si>
  <si>
    <t>REPLACEMENT OF L10 GHVFW 021E DE .APPROVED ON JANUARY 21, 2019. STOPPED ON MAY 27, 2019. CONVERTED TO STOPE PREP. Resumed on Sept 24, 2019 at the same time renamed from L10 GHVFW 028E RAISE TO L10 GHVFW 029E RAISE.</t>
  </si>
  <si>
    <t>L10_NONE_063E_XCN</t>
  </si>
  <si>
    <t>REPLACEMENT OF L09 GHV 14W STOPE PREP APPROVED ON MAY 4, 2018/LTS. TEMPORARY STOPPED ON JULY 15, 2018 TO GIVE WAY FOR L09 GHV 015W STOPE PREP.TEMPORARY STOPPED DUE TO PRIORITIZATION OF GHV 15W STOPE PREP APRROVED ON AUGUST 2, 2018. RESUMED ON AUGUST 28, 2018, AND AT THE SAME TIME TRANSFERRED FROM TANEZA 6 TO PANSIT 4; MEMO FROM SCS TO FOLLOW. TEMPORARY STOPPED ON OCTOBER 18,2018 TO PRIORITIZED L09 GHV 067E DE. stopped on sept. 24 2019 already mined out.</t>
  </si>
  <si>
    <t>REPLACEMENT OF L09 JV 058E STOPE PREP. APPROVED ON JAN 13, 2019.STOP BREAKING/CONVERTED TO PULL-OUT ON 4/2/19-LTS. STOPPED ON SEPT 24, 2019 ALREADY MINE OUT.</t>
  </si>
  <si>
    <t>REPLACEMENT OF L08 JV 064E DE. APPROVED ON 9/2/19. STOPPED ON SEPT. 24, 2019 DUE TO ALREADY CONNECTED TO THE ADJACENT MAINLINE.</t>
  </si>
  <si>
    <t>L04_JV_002E_WINZE STOPE PREP</t>
  </si>
  <si>
    <t>REPLACEMENT OF L07_GHVFW_019W_RAISE.APPROVED 0N AUGUST 27, 2019. CONVERT TO ACTIVE BREAKING ON SEPT 25, 2019.</t>
  </si>
  <si>
    <t>REPLACEMENT OF L10 GHV 004E STOPE PREP.APPROVED ON MARCH 20, 2019. Stopped breaking on September 25,2019 convert to pull-out cleaning.</t>
  </si>
  <si>
    <t>REPLACEMENT OF L06_JVHW_018E_RAISE.APPROVED ON AUGUST 17, 2019.Stopped sept. 25, 2019 will connect to the mainline.</t>
  </si>
  <si>
    <t>REPLACEMENT OF L09_GHV_064E_STOPE. APPROVED ON SEPT 13,2019. STOPPED ON SEPT. 25, 2019 ALREADY CONNECTED TO LEVEL 8 MAINLINE.</t>
  </si>
  <si>
    <t>L08_NONE_021W_XCS</t>
  </si>
  <si>
    <t>L08_JV_063E_RAISE</t>
  </si>
  <si>
    <t>L07_GHVFW_020W_STOPE</t>
  </si>
  <si>
    <t>SHEPHERD H1</t>
  </si>
  <si>
    <t>REPLACEMENT OF L04_JV_002E_DW.APPROVED ON SEPT 13, 2019.STOPPED ON SEPT. 26, 2019 ALREADY CONVERTED TO STOPE PREP.</t>
  </si>
  <si>
    <t>ADDITIONAL VERTICAL DEVELOPMENT. APPROVED ON AUGUST 13, 2019. stopped due to breakthrough to Level 9 on 9/26/19.</t>
  </si>
  <si>
    <t>L10_GHVFW_029E_RAISE</t>
  </si>
  <si>
    <t>ADDITIONAL VERTICAL DEVELOPMENT. APPROVED ON JAN 13, 2019. TRANSFERRED FROM PANSIT 4, MAPAYO 1, APPROVED ON JAN 17, 2019. temporary stopped widening of headroom at Level 10 9/24/19.</t>
  </si>
  <si>
    <t>ADDITIONAL HORIZONTAL DEVELOPMENT APPROVED ON JULY 4,2019.  stopped due to vein pinched out 9/26/19</t>
  </si>
  <si>
    <t>REPLACEMENT OF L06 JV 001E DE. APPROVED ON AUGUST 5, 2019.stopped on 9/25/19 due to consecutive low assay grade</t>
  </si>
  <si>
    <t>FOR VENTILATION MAIN VENTILATION PROJECT. APPROVED ON 6/5/19. stopped on 8/30/19 already finished</t>
  </si>
  <si>
    <t>ADDITIONAL PRODUCTION.APPROVED ON APRIL 1, 2019. TEMPORARY STOPPED ON APRIL 18,2019 TO PRIORITIZED EXPLORATORY CROSSCUT. RESUMED ON JUNE 8, 2019. STOPPED BREAKING ON JUNE 29, 2019 RESUMED ON JULY 1,2019 CONVERT TO SILL PILLAR ROBBING. RENAMED FROM L05 JVFW 006E ROBBING TO L05 JVFW 003E ROBBING; TO AVOID MISCHARGING WITH L05 CV 006W ROBBING. STOPPED SILL PILLAR ON SEPT 9, 2019 PROCEED TO TOPSLICE. stopped on 9/26/09 already finished robbing crown pillar</t>
  </si>
  <si>
    <t>L10_GHV_001E_RAISE</t>
  </si>
  <si>
    <t>REPLACEMENT OF LF1318:M132509 GHV 017E WINZE. APPROVED ON SEPT. 30, 2017. TRANSFERRED FROM MAPAYO TO BAYOBAY ON NOV. 22, 2017. STOPPED ON JANUARY 12. 2018 TO RESUME DRIFTING WEST. RESUMED ON FEB. 28, 2018  REPLACEMENT OF L10 NONE 20E XCN AND TRANSFER FROM BAYOBAY TO TANEZA.TEMPORARY STOPPED TO RESUMED LEVEL 10 GHV 24E DE ON SEPTEMBER 25, 2018</t>
  </si>
  <si>
    <t>L10_JVSPLIT_064E_RAISE</t>
  </si>
  <si>
    <t>L04_GHV_008W_ROBBING</t>
  </si>
  <si>
    <t>ADDITIONAL DEVELOPMENT TO HIT THE DRILLING INTERCEPT.APPROVED ON AUGUST 9, 2019. Stopped on September 26, 2019, replaced by L08 GHV 025W DW.</t>
  </si>
  <si>
    <t>REPLACEMENT OF L05 JV 033E STOPE PREP. Approved on Sept 12, 2019. STOPPED BREAKING ON SEPT. 27, 2019 AND CONVERTED TO PULL-OUT CLEANING ALREADY REACHED THE MAXIMUM PROJECTED HEIGHT.</t>
  </si>
  <si>
    <t>REPLACEMENT OF L07_DPVE_027E_ROBBING APPROVED ON AUGUST 12,2019. STOPPED ON SEPT 27, 2019 DUE TO VEIN PINCHED OUT.</t>
  </si>
  <si>
    <t>ADDITIONAL VERTICAL DEVELOPMENT JUNE 30, 2019. STOPPED ON SEPT 27, 2019 DUE TO PINCHED VEIN.</t>
  </si>
  <si>
    <t>REPLACEMENT OF L08 GHVFW 026E STOPE PREP ON JUNE 11, 2019. RECOMMENDED TO CONVERT THE STOPE HEADING TO PULL-OUT CLEANING ON AUGUST 29, 2019. Temporary stopped on September 19,2019 declared mined out by Mine Operation but only 65% pull-out for evaluation underground/STOPPED ON SEPT. 27, 2019 DUE TO CONSECUTIVE LOW ASSAY GRADES ON CUT SAMPLES/BULK SAMPLES.</t>
  </si>
  <si>
    <t>REPLACEMENT OF L08_GHVSPLIT 016W DE. APPROVED ON JULY 30, 2019.-LTS. Temporary stopped on Sept 14, 2019 due to absenteeism. Resumed September 20, 2019 at the same time transfer from Silvoza 2 to Raul Lerio. STOPPED ON SEPT. 27 2019 ALREADY CONNECTED TO THE OLD STOPE.</t>
  </si>
  <si>
    <t>L07_JV_039E_STOPE</t>
  </si>
  <si>
    <t>REPLACEMENT OF L07_JV_040E_STOPE. APPROVED ON SEPT. 3, 2019. STOPPED ON SEPT 27, 2019 CONVERTED TO ACTIVE BREAKING.</t>
  </si>
  <si>
    <t>L07_DPVE_027E_WINZE</t>
  </si>
  <si>
    <t>L10_JVFW_046E_DE</t>
  </si>
  <si>
    <t>L11_JVFW_054E_DW</t>
  </si>
  <si>
    <t>WORKING ARE</t>
  </si>
  <si>
    <t>TL 1</t>
  </si>
  <si>
    <t>TL 2</t>
  </si>
  <si>
    <t>TL 3</t>
  </si>
  <si>
    <t>TL 4</t>
  </si>
  <si>
    <t>TL 5</t>
  </si>
  <si>
    <t>TL 6</t>
  </si>
  <si>
    <t>TL 7</t>
  </si>
  <si>
    <t>TL 8</t>
  </si>
  <si>
    <t>TL 9</t>
  </si>
  <si>
    <t>TL 10</t>
  </si>
  <si>
    <t>L05_EDV_022E_RAISE</t>
  </si>
  <si>
    <t>L05_NONE_037E_XCN</t>
  </si>
  <si>
    <t>L06_EDV_005E_RAISE</t>
  </si>
  <si>
    <t>L07_GHV_010W_RAISE</t>
  </si>
  <si>
    <t>L07_NONE_053E_XCS</t>
  </si>
  <si>
    <t>L08_DPVE_043E_RAISE</t>
  </si>
  <si>
    <t>L08_NONE_083E_XCS</t>
  </si>
  <si>
    <t>L09_NONE_060E_XCN</t>
  </si>
  <si>
    <t>L09_NONE_076E_XCN</t>
  </si>
  <si>
    <t>L10_JVFW_061E_RAISE</t>
  </si>
  <si>
    <t>L10_GHVFW_051E_DE</t>
  </si>
  <si>
    <t>L10_JVFW_043E_RAISE</t>
  </si>
  <si>
    <t>L10_DPVE_059E_DE</t>
  </si>
  <si>
    <t>L09_JVHW_061E_RAISE</t>
  </si>
  <si>
    <t>PERIOD 1</t>
  </si>
  <si>
    <t>PERIOD 2</t>
  </si>
  <si>
    <t>PERIOD 3</t>
  </si>
  <si>
    <t>PERIOD 4</t>
  </si>
  <si>
    <t>PERIOD 5</t>
  </si>
  <si>
    <t>PERIOD 6</t>
  </si>
  <si>
    <t>PERIOD 7</t>
  </si>
  <si>
    <t>PERIOD 8</t>
  </si>
  <si>
    <t>PERIOD 9</t>
  </si>
  <si>
    <t>PERIOD 10</t>
  </si>
  <si>
    <t>L04_NV_021W_DE</t>
  </si>
  <si>
    <t>DATE ACTIVE</t>
  </si>
  <si>
    <t>L04_JV_043W_ROBBING</t>
  </si>
  <si>
    <t>REMARKS 1</t>
  </si>
  <si>
    <t>9/30/19 2nd Shift</t>
  </si>
  <si>
    <t>COMMON CONTRACTOR</t>
  </si>
  <si>
    <t>L09_GHVFW_041E_RAISE</t>
  </si>
  <si>
    <t>L09_NONE_056E_XCN</t>
  </si>
  <si>
    <t>L09_GHVFW_035E_DE</t>
  </si>
  <si>
    <t>REPLACEMENT OF L10 GHV 037E DE. APPROVED ON SEPT. 24, 2019. STOPPED ON SEPT. 30 2019 ALREADY HIT THE TARGET.</t>
  </si>
  <si>
    <t>L10_JVFW_068E_DE</t>
  </si>
  <si>
    <t>REPLACEMENT OF L04 GHVFW 005E WINZE STOPE PREP. APPROVED ON JUNE 13, 2019. CONVERTED TO PULL-OUT ON SEPT 13, 2019. STOPPED ON SEPT 30, 2019 DUE TO CONSECUTIVE LWO ASSAY GRADES ON CUT SAMPLES/BULK SAMPLES.</t>
  </si>
  <si>
    <t>REPLACEMENT OF L04 GHVSPLIT 55W DW, APPROVED ON 4/12/19-LOC.STOPPED ON 5/30/19-LOC, DUE TO POOR VEIN TEXTURE CAUSING LOW GRADE SAMPLES/ RESUMED ON JUNE 10, 2019 AND TRANSFER FROM DUHIG 1 TO CABONITA 1. CONVERTED TO TOPSLICE ON AUGUST 26, 2019. SILL PILLAR ALREADY FINISHED. STOPPED ON SEPT. 30, 2019 DUE TO CONSECUTIVE LOW ASSAY GRADES ON CUT SAMPLES/ BULK SAMPLES.</t>
  </si>
  <si>
    <t xml:space="preserve">9/30/2019 2ND SHIFT </t>
  </si>
  <si>
    <t>TARGETING THE DRILLING INTERCEPT OF L04 16W 001 WITH A GRADE OF 20 C/T</t>
  </si>
  <si>
    <t>RESUMED AS COMMON AREA</t>
  </si>
  <si>
    <t>COMMON AREA. APPROVED ON SEPT. 30 2019</t>
  </si>
  <si>
    <t>REPLACEMENT OF L06 NONE 032W XCS. APPROVED ON SEPT 18, 2019. temp. stopped on sept.  30 2019 due to waste pass concerned.</t>
  </si>
  <si>
    <t>ADDITIONAL VERTICAL DEVELOPMENT. APPROVED ON AUGUST 9, 2019. STOPPED ON SEPT.2, 2019 ALREADY REACHED THE RECOOMMENDED STIRKE LENGTH OF THE INCLINE. RESUMED ON SEPT. 25, 2019. STOPPED ON SEPT. 30 2019 DUE TO CONSECUTIVE LOW ASSAY GRADES ON CUT SAMPLES/ BULK SAMPLES AND ALREADY PINCHED OUT VEIN DUE TO PARALLEL FAULT.</t>
  </si>
  <si>
    <t>ADDITIONAL SOURCE OF GOOD ORE. APPROVED ON SEPT. 23, 2019. Temp. stopped on sept. 30 2019 to prioritize L04_GHV_008W_ROBBING</t>
  </si>
  <si>
    <t>COMMON AREA. APPROVED ON SEPT. 30 2019.</t>
  </si>
  <si>
    <t>ADDITIONAL VERTICAL DEVELOPMENT.APPROVED ON JUNE 19, 2019. STOPPED ON SEPT. 30, 2019 DUE TO PINCHED OUT VEIN.</t>
  </si>
  <si>
    <t>REPLACEMENT OF L09 GHVHW 59E DE,APPROVED ON 5/24/19-LTS. TEMP. STOPPED ON AUGUST 5, 2019 TO PRIORITIZE RAISE PREP. RESUMED ON AUGUST 12, 2019 SINCE RAISE PREP WAS ALREADY FINISHED. RENAMED FROM L09 JVHW 053E DW TO L09 JVHW 053E DE. STOPPED ON SEPT. 30 2019 DUE TO PINCHED OUT VEIN.</t>
  </si>
  <si>
    <t>ADDITIONAL HORIZONTAL DEVELOPMENT.APPROVED ON MARCH 16, 2019. TEMPORARY STOPPED ON APRIL 15,2019 ON GOING RAISE PREP. RESUMED ON APRIL 25, 2019.L09 GHV 45E DW RENAMED ON MAY 21,, 2019. TEMPORARY STOPPED ON AUGUST 8, 2019 TO PRIORITIZE L09_043E_GHVFW_ STOPE PREP. RESUMED ON AUGUST 26,2019. STOPPED ON. SEPT. 30 2019 DUE TO PINCHED OUT VEIN.</t>
  </si>
  <si>
    <t>REPLACEMENT OF L06_JVHW_018E_RAISE.APPROVED ON AUGUST 31, 2019. STOPPED ON SEPT. 30 2019 CONVERTED TO STOPE BREAKING.</t>
  </si>
  <si>
    <t>L06_JVHW_018E_STOPE</t>
  </si>
  <si>
    <t>COMMON AREA. APPROVED ON SEPT. 30  2019.</t>
  </si>
  <si>
    <t>COMMON AREA. APPROVED SEPT. 30 2019.</t>
  </si>
  <si>
    <t>COMMON CONTRATOR</t>
  </si>
  <si>
    <t>L06_GHVFW_036W_STOPE PREP</t>
  </si>
  <si>
    <t>L06_GHVSPLIT_034W_DE</t>
  </si>
  <si>
    <t>REPLACEMENT OF L06 DPVE 033E RAISE. APPROVED ON AUGUST 30, 2019.RENAMED FROM L06_GHVHW_023W_RAISE TO L06_JV_023W_RAISE ON SEPT 9, 2019. Stopped doing inclined raise  due to breakthrough on Sept 13,2019 continue drive vertical raise. Stopped on Sept 30, 2019 already breakthrough.</t>
  </si>
  <si>
    <t>COMMON WORK PLACE_2019OCTOBER02</t>
  </si>
  <si>
    <t>REPLACEMENT OF L09 DPVE 016E STOPE PREP.APPROVED ON MARCH 17, 2019.CONVERT TO PULL OUT-CLEANING ON JULY 10, 2019. STOPPED ON SEPT. 30 2019 ALREADY FINISHED.</t>
  </si>
  <si>
    <t>REPLACEMENT OF L09 GHVFW 034E STOPE PREP. APPROVED ON FEB 7, 2019. STOPPED AND PULL-OUT ON AUGUST 15, 2019. STOPPED ON SEPT. 30 2019 ALREADY FINISHED</t>
  </si>
  <si>
    <t>REPLACEMENT OF L09_GHVFW_043E_RAISE. APPROVED ON AUGUST 8, 2019. STOPPED ON SEPT 30 2019 CONVERTED TO ACTIVE BREAKING.</t>
  </si>
  <si>
    <t>L09_GHVFW_043E_STOPE</t>
  </si>
  <si>
    <t>ADDITIONAL VERTICAL DEVELOPMENT. Approved on Sept 14, 2019. Stopped on Oct. 1 due to pinched out vein.</t>
  </si>
  <si>
    <t>L06_CV_010E_RAISE</t>
  </si>
  <si>
    <t>REPLACEMENT OF L08_GHV_036E_STOPE PREP.APPROVED ON AUGUST 28, 2019.EVALUATION ON SEPT. 24, 2019 OVERBREAKING WAS OBSERVED HAVING AN AVERAGE BREAKING WIDTH OF 1.5M LOCATED AT +4MW TO +12MW, RECCOMENDED TO MINIMIZE THE BREAKING WIDTH TO 1M-1.2M TO AVOID/MINIMIZE THE DILUTION. STOPPED ON OCTOBER 3, 2019 CONVERTED TO PULL-OUT CLEANING.</t>
  </si>
  <si>
    <t>L10_JV_021E_DW</t>
  </si>
  <si>
    <t>L06_DPVE_021E_DW</t>
  </si>
  <si>
    <t>BIHAY2</t>
  </si>
  <si>
    <t xml:space="preserve"> TRANSFERRED FROM DELOS REYES TO CANOY 2 ON OCT. 4, 2019</t>
  </si>
  <si>
    <t>REPLACEMENT OF L06 GHVFW 020W STOPE PREP. APPROVED ON SEPT. 20, 2019. evaluation on  sept. 30 2019 over breaking due to sabbing on the hanging wall portion of stope. Highly sheared ground due to parallel and cross cutting faults. Over breaking avarage 1.50m. Stopped breaking due to unsafe condition; converted to stope pull out on Oct 1, 2019.</t>
  </si>
  <si>
    <t>ADDITIONAL VERTICAL DEVELOPMENT. APPROVED ON SEPT. 21, 2019. STOPPED ON OCTOBER 4, 2019 ALREADY CONNECTED TO THE OLD STOPE.</t>
  </si>
  <si>
    <t>L09_JVFW_063E_DE</t>
  </si>
  <si>
    <t>L09_JVSPLIT_049E_DW</t>
  </si>
  <si>
    <t>L05_GHV_010W_RAISE</t>
  </si>
  <si>
    <t>REPLACEMENT OF L05_NONE_027W_XCS.APPROVED ON AUGUST 3, 2019. STOPPED ON AUGUST 24, 2019 TOPSLICE CONVERTED TO SILL PILLAR. STOPPED ON OCTOBER 4, 2019 ALREADY BREAK THE RECOMMENDED STRIKE LENGTH OF SILL PILLAR TO ROBBING.</t>
  </si>
  <si>
    <t>TO RECOVER REMAINING PILLARS,APPROVED ON FEB 17 2016.TRANSFERRED FROM FERNANDEZ, ROM TO FERNANDEZ, REX. ON AUG 1,2016. TEMPORARY STOPPED ON NOVEMBER 6, 2017 DUE TO LOW GRADE AS PER MEMO OF LEVEL GEOLOGIST. STOPPED ON NOV.08,2017 AS PER MG EDEZA (LOW GRADE).RESUMED ON APRIL 11, 2018/LTS. SAME TL. TEMPORARY STOPPED ON 10/2/18 TO EXCAVATE L05 GHV 018W RAISE (INCLINE RAISE) AS AN OREPASS FOR THE REMAINING PILLAR OF GHV 010W ROBBING.  RESUMED ON NOV. 8, 2018. STOPPED ON SEPT. 12,2019. RESUMED ON 9/26/19. STOPPED ON OCTOBER 4, 2019 DUE TO UNSAFE CONDITION.</t>
  </si>
  <si>
    <t>L08_JV_062E_DE</t>
  </si>
  <si>
    <t>L08_GHVSPLIT_026W_DW</t>
  </si>
  <si>
    <t>REPLACEMENT OF L04 JV 003E RAISE. APPROVED ON MAY 8, 2019. MZC. STARING ON JULY 15, 2019 THIS HEADING WAS TRANSFERRED  FROM SHEPHERD V2 TO CABCAD 1 AS PER WOBADO. TEMPORARY STOPPED ON JULY 22, 2019 DUE TO LACK OF MANPOWER.RESUMED ON SEPT 30 2019 AS COMMON AREA. temp. stopped on october 3, 2019 due to lack of man power.</t>
  </si>
  <si>
    <t>REPLACEMENT OF L09_GHVHW_049E_RAISE APPROVED ON JULY 22, 2019.TEMP. STOPPED ON JULY 26, 2019 DUE TO DELAYED CAUSED BY RAISE PREPARATION-LTS. RESUMED ON JULY 27, 2019-LTS. Stopped on october 2, 2019 due to pinched out vein..</t>
  </si>
  <si>
    <t>REPLACEMENT OF L05_CV_014E_RAISE.APPROVED ON SEPT 13, 2019. STOPPED ON OCT. 5, 2019 ALREADY REACHED THE RECOMMENDED STRIKE LENGTH.</t>
  </si>
  <si>
    <t>L07_JV_024E_ROBBING</t>
  </si>
  <si>
    <t>L05_GHV_035W_STOPE PREP</t>
  </si>
  <si>
    <t>L06_CV_001E_WINZE</t>
  </si>
  <si>
    <t>ADDITIONAL PRODUCTION. APPROVED ON SEPTEMBER 14, 2019. STOPPED ON OCTOBER 6, 2019.</t>
  </si>
  <si>
    <t>REPLACEMENT OF L07_CTV_007E_DW. APPROVED ON AUGUST 10,2019. STOPPED ON OCTOBER 7, 2019 DUE TO VEIN PINCHED OUT.</t>
  </si>
  <si>
    <t>SHEPHERD A</t>
  </si>
  <si>
    <t>L07_CTV_005E_STOPE PREP</t>
  </si>
  <si>
    <t>L10_JVSPLIT_051E_RAISE</t>
  </si>
  <si>
    <t>L05_CV_005W_ROBBING</t>
  </si>
  <si>
    <t>L05_JV_033E_DW</t>
  </si>
  <si>
    <t>REPLACEMENT OF L09 NONE 029E XCS. APPROVED ON JULY 7,2019.TEMPORARY STOPPED ON SEPT 3, 2019 ON GOING FOLLOW UP ADJACENT RAISE. Resumed on Sept 13, 2019. STOPPED ON OCTOBER 3, 2019 ALREADY CONNECTED TO ADJACENT MAINLINE.</t>
  </si>
  <si>
    <t>L05_NONE_028W_XCS</t>
  </si>
  <si>
    <t>REPLACEMENT OF L09 GHV 030W RAISE. APPROVED ON JULY 16, 2019. STOPPED ON OCTOBER 3, 2019 RECOMMENDED FOR ACTIVEBREAKING.</t>
  </si>
  <si>
    <t>REPLACEMENT OF L09 JVSPLIT 073E RAISE. APPROVED ON AUGUST 30, 2019. STOPPED ON OCTOBER 3 2019 RECOMMENDED FOR ACTIVE STOPE BREAKING.</t>
  </si>
  <si>
    <t>ADDITIONAL SOURCE OF GOOD ORE. APPROVED ON AUGUST 16, 2019. STOPPED ON OCT. 3, 2019 RECOMMENDED FOR ACTIVE STOPE BREAKING.</t>
  </si>
  <si>
    <t>REPLACEMENT OF L09_GHV_046E_RAISE. APPROVED ON AUGUST 16, 2019. STOPPED ON OCTOBER 3, 2019 RECOMMENDED FOR ACTIVE STOPE BREAKING.</t>
  </si>
  <si>
    <t>REPLACEMENT OF L06_GHVFW_034W_DW. APPROVED ON JULY 17, 2019. STOPPED ON AUGUST 8, 2019 DUE TO CONSECUTIVE LOW ASSAY GRADES ON CUT SAMPLES. Resumed on Oct. 1, 2019. STOPPED ON OCT. 5, 2019 ALREADY BREAK THRU.</t>
  </si>
  <si>
    <t>L09_JVSPLIT_068E_STOPE</t>
  </si>
  <si>
    <t>L09_GHV_046E_STOPE</t>
  </si>
  <si>
    <t>L09_JVSPLIT_073E_STOPE</t>
  </si>
  <si>
    <t>L09_GHV_030W_STOPE</t>
  </si>
  <si>
    <t>REPLACEMENT OF L08 GHV 004W ROBBING. TO DRIVE 2CPT WINZE FOR WINZE STOPE. APPROVED ON SEPT. 7, 2018. TRANSFER FROM BENONGUIL 1 TO MAPAYO 2 DUE TO MANPOWER ISSUE EFFECTIVE ON OCTOBER 9, 2018. STOPPED ON JANUARY 10,2019 AS PER COORDINATION MEETING.RESUMED ON AUGUST 10, 2019. TO BE ABLE TO DRIVE INTERMEDIATE SUBLEVEL AND THE WESTERN PORTION OF THE WINZE. TRASFER TO DEMALATA FROM MAPAYO. STOPPED ON OCTOBER 4, 2019 TRANSFER TO L09 FOR EXPLOSIVE WITHDRAWAL.</t>
  </si>
  <si>
    <t>L09_GHV_004W_WINZE</t>
  </si>
  <si>
    <t>L07_GHVFW_004W_ROBBING</t>
  </si>
  <si>
    <t>L07_NONE_036E_XCN</t>
  </si>
  <si>
    <t xml:space="preserve">L09_DPVE_019E_DE </t>
  </si>
  <si>
    <t>REPLACEMENT OF L07_JV_030E_RAISE. APPROVED ON SEPT 12, 2019. RENAMED ON SEPT 13, 2019 FROM JVHW_047E_RAISE TO CTV_047E_RAISE ON SAME TIME STOPPED DUE TO PINCHED OUT VEIN.</t>
  </si>
  <si>
    <t>REPLACEMENT OF L05_CTV_014E_DE. APPROVED ON SEPT. 20 2019. STOPPED ON OCTOBER 10, 2019 ALREADY BREAKTHROUGH.</t>
  </si>
  <si>
    <t>L05_CTV_011W_DE</t>
  </si>
  <si>
    <t>REPLACEMENT OF L07_CTV_005E_RAISE. APPROVED ON OCT. 7 2019. STOPPED ON 10/10/19 AT THE SAME TIME CONVERTED TO STOPE BREAKING</t>
  </si>
  <si>
    <t>L06_NONE_028W_XCN</t>
  </si>
  <si>
    <t>REPLACEMENT OF L07 CTV 009E ROBBING. APPROVED ON SEPT 2, 2019. STOPPED ON OCT. 10, 2019 DUE TO LOW CONSEUCTIVE LOW ASSAY GRADES ON CUT SAMPLES/BULK SAMPLES.</t>
  </si>
  <si>
    <t>REPLACEMENT OF L04_CTV5_015E_DE. APPROVED ON SEPT. 11, 2019. TEMP. STOPPED ON OCTOBER 10, 2019 DUE TO UNSAFE CONDITION.</t>
  </si>
  <si>
    <t>REPLACEMENT OF L04_JV_019W_WINZE. APPROVED ON SEPT. 20, 2019. STOPPED ON OCT. 10 2019 DUE TO CONSECUTIVE LOW ASSAY GRADES ON CUT SAMPLES/BULK SAMPLES.</t>
  </si>
  <si>
    <t>L07_CTV_005E_STOPE</t>
  </si>
  <si>
    <t>REPLACEMENT OF L07 NONE 020W XCS ON JUNE 11, 2019. TEMPORARY STOPPED ON JUNE 18, 2019. RESUMED ON JUNE 25, 2019 AT THE SAME TIME TRANSFER FROM BORERO 1 TO SHEPHERD Z. TRANSFERRED FROM SHEPHERD Z TO BABOR ON JULY 1, 2019. TRANSFERRED FROM BABOR TO VILLARANTE ON SEPT. 26, 2019.TEMPORARY STOPPED ON OCTOBER 11, 2019. NO WASTEPASS AVAILABLE.</t>
  </si>
  <si>
    <t>REPLACEMENT OF L06_GHVFW_027W_WINZE ON JUNE 20, 2019. STOPPED ON AUGUST 14, 2019. ALREADY BREAKING THE PILLAR.  resumed on 9/26/19 to do crown pillar robbing. STOPPED ON OCTOBER 10, 2019 ALREADY BREAK THE PILLAR.</t>
  </si>
  <si>
    <t>L06_CTV_034E_ROBBING</t>
  </si>
  <si>
    <t>REPLACEMENT OF L09_GHV_047E_RAISE. APRROVED ON JULY 22, 2019.TEMP. STOPPED ON JULY 26, 2019 DUE TO DELAYED CAUSED BY RAISE PREPARATION-LTS. RESUMED ON AUGUST 1,2019. STOPPED ON OCT. 11 2019  4m. Remaining balance to breakthrough to l08</t>
  </si>
  <si>
    <t>REPLACEMENT OF L04_CV_006W_ROBBING.APPROVED ON SEPT. 10, 2019. STOPPED ON OCTOBER 10 2019 CONVERT TO ACTIVE BREAKING.</t>
  </si>
  <si>
    <t>L04_CTV5_015E_WINZE STOPE</t>
  </si>
  <si>
    <t>ADDITIONAL VERTICAL DEVELOPMENT. APPROVED ON OCTOBER 3, 2019. STOPPED ON OCT. 11 2019, NOT ABLE TO CONTINUE DUE TO WINZE STOPE CONDITION.</t>
  </si>
  <si>
    <t>REPLACEMENT OF L10 NONE 014E XCN. APPROVED ON JUNE 14, 2019. RENAMED ON JUNE 21, 2019 FROM L10 GHVFW 037E RAISE TO L10 GHVFW 038E RAISE TO AVOID MISCHARGING WITH L10 GHV 037E WINZE.STOPPED ON AUGUST 12, 2019 DUE TO CONSECUTIVE LOW ASSAY GRADES AND PINCHED OUT VEIN. RESUMED ON AUGUST 13, 2019. stopped on Sep 30, 2019. consecutive low assay result.</t>
  </si>
  <si>
    <t>REPLACEMENT OF L10_GHV_026E_RAISE APPROVED ON JUNE 24,2019. TRANSFERRED FROM TAÑEZA 9 TO RIPARIP 1 ON SEPT 4. 2019. TEMP. STOPPED ON SEPT 10, 2019 DUE TO  ABSENTEEISM OF MEN RESULTING TO ABANDONMENT OF WORKPLACE. RESUMED ON SEPT 10, 2019 SAME TIME CHANGE TEAM LEADER FROM RIPARIP TO TAÑEZA 3. STOPPED ON OCT. 12, 2019 ALREADY REACHED THE RECOMMENDED STRIKE LENGTH.</t>
  </si>
  <si>
    <t>WBRK</t>
  </si>
  <si>
    <t>NW</t>
  </si>
  <si>
    <t>SILL</t>
  </si>
  <si>
    <t>ISL</t>
  </si>
  <si>
    <t>D</t>
  </si>
  <si>
    <t>INC</t>
  </si>
  <si>
    <t>BRK</t>
  </si>
  <si>
    <t>PREP</t>
  </si>
  <si>
    <t>PO</t>
  </si>
  <si>
    <t>SP</t>
  </si>
  <si>
    <t>NR</t>
  </si>
  <si>
    <t>WPREP</t>
  </si>
  <si>
    <t>FW</t>
  </si>
  <si>
    <t>SBRK</t>
  </si>
  <si>
    <t>WPO</t>
  </si>
  <si>
    <t>MINECAR QUOTA BASED ON WORKPLACE</t>
  </si>
  <si>
    <t>L06_CTV_012E_WINZE</t>
  </si>
  <si>
    <t>REPLACEMENT OF L07 JVSPLIT 004E STOPE PREP. APPROVED ON SEPT. 6, 2019.  CONVERT TO PULL-OUT CLEANING ON OCT 14, 2019</t>
  </si>
  <si>
    <t>REPLACEMENT OF L07_CTV_047E_RAISE. APPROVED ON SEPT 16, 2019. STOPPED ON OCT. 14, 2019 DUE TO PINCHED OUT VEIN.</t>
  </si>
  <si>
    <t>L10_GHVSPLIT_063E_DE</t>
  </si>
  <si>
    <t>REPLACEMENT OF L10 GHV 045E DE. APPROVED ON SEPT. 24, 2019. STOPPED ON OCT. 14, 2019 ALREADY HIT THE TARGET VEIN.</t>
  </si>
  <si>
    <t>L07_JV_042E_STOPE PREP</t>
  </si>
  <si>
    <t>L08_JVSPLIT_027E_DE</t>
  </si>
  <si>
    <t>L06_JVHW_017E_RAISE</t>
  </si>
  <si>
    <t>L05_GHVFW_012W_WINZE</t>
  </si>
  <si>
    <t>ADDITIONAL  VERTICAL DEVELOPMENT. APPROVED ON AUGUST 10, 2019. RENAMED FROM L04 CTV 017W WINZE TO L04 CTV 016W WINZE TO AVOID MISCHARGING. STOPPED ON OCT. 15, 2019 DUE TO CONSECUTIVE LOW ASSAY GRADES ON CUT SAMPLES/ BULK SAMPLES.</t>
  </si>
  <si>
    <t xml:space="preserve"> REPLACEMENT OF L08_GHVSPLIT_028E_DE APPROVED ON AUGUST 5, 2019. STOPPED ON OCT 15, 2019 DUE TO PINCHED OUT VEIN.</t>
  </si>
  <si>
    <t>REPLACEMENT OF L08_DPVE_014E_STOPE PREP.APPROVED ON SEPT. 6, 2019. CONVERT TO PULL-OUT CLEANING ON OCT 15, 2019.</t>
  </si>
  <si>
    <t xml:space="preserve"> REPLACEMENT OF L10_GHV_001E_STOPE. APPROVED ON SEPT. 26, 2019. STOPPED ON OCT 15, 2019 DUE TO PINCHED OUT VEIN.</t>
  </si>
  <si>
    <t>L10_GHV_002E_RAISE</t>
  </si>
  <si>
    <t>L07_CTV_008E_ROBBING</t>
  </si>
  <si>
    <t>REPLACEMENT OF L06_GHVFW_032W_DE. APPROVED ON SEPT. 3, 2019. Stopped on Oct 14, 2019  due to vein pinched out.</t>
  </si>
  <si>
    <t>REPLACEMENT OF L08 GHVSPLIT 057E DW, APPROVED ON SEPT. 17, 2019. Stopped on Oct 15, 2019 already an on vein drive.</t>
  </si>
  <si>
    <t>L04_CTV_016W_DW</t>
  </si>
  <si>
    <t>REPLACEMENT OF L07_JV_039E_STOPE PREP. APPROVED ON SEPT. 27, 2019. STOPPED BREAKING ON OCT 16, 2019 IN THE SAME TIME CONVERT TO PULL-OUT CLEANING</t>
  </si>
  <si>
    <t>REPLACEMENT OF L04 GHVFW 017E STOPE. APPROVED ON AUGUST 27, 2019. TEMP. STOPPED ON AUGUST 29, 2019 DUE TO ONGOING CLEANING. RESUMED ON SEPT 6, 2019 AND START ROBBING TOPSLICE. CONVERT TO SILL PILLAR FROM CROWN PILLAR ON SEPT. 23, 2019. 10 MC/DAY ON OCT. 10  2019. ON OCT. 16, 2019 MARKED LOW GRADE PILLARS WERE BLASTED ON OCT 15, 2019 2ND SHIFT. STOPPED ON OCT 16, 2019 ALREADY REACHED THE RECOMMENDED STRIKE LENGTH/CROWN PILLAR.</t>
  </si>
  <si>
    <t>L08_GHV_002W_ROBBING</t>
  </si>
  <si>
    <t>REPLACEMENT OF L08_CTV_008E_STOPE. APPROVED ON SEPT. 3, 2019. TEMP. STOPPED ON OCT. 16, 2019 TO PRIORITIZE THE ROBBING.</t>
  </si>
  <si>
    <t>REPLACEMENT OF L07_GHVHW_055E_ROBBING. APPROVED ON SEPT 18, 2019. STOPPED ON OCT. 16, 2019 ALREADY FINISHED</t>
  </si>
  <si>
    <t>REPLACEMENT OF L09_JVSPLIT_074E_RAISE. APPROVED ON AUGUST 9, 2019. Temporary stopped on September 20,2019 due to unsafe condition possible to breakthrough to old winze of Level 8. STOPPED ON OCT 15, 2019 due to unsafe condition.</t>
  </si>
  <si>
    <t>COMMON AREA. APPROVED ON SEPT. 30, 2019.  temp stopped on october 3, 2019  due to lack of manpower. Resumed on october 10, 2019. STOPPED ON OCT. 16, 2019 DUE TO TRANSFER AREA OF OPENING FOR TARGET VEIN.</t>
  </si>
  <si>
    <t>REPLACEMENT OF L05_JVFW_012W_STOPE. APPROVED ON SEPT 11, 2019. STOPPED ON OCT 12, 2019 ALREADY BREAK THROUGH.</t>
  </si>
  <si>
    <t>REPLACEMENT OF L06_JVSPLIT_053E_RAISE. APPROVED ON SEPT. 3, 2019. STOPPED ON OCT. 17, 2019 DUE TO ALREADY CONNECTED TO THE ADJACENT DRIVE.</t>
  </si>
  <si>
    <t>L10_GHVFW_036E_RAISE</t>
  </si>
  <si>
    <t>L10_DPVE_060E_STOPE</t>
  </si>
  <si>
    <t>L10_GHVFW_051E_DW</t>
  </si>
  <si>
    <t>L10_NONE_071E_XCN</t>
  </si>
  <si>
    <t>REPLACEMENT OF L06 CTV 032E ROBBING. APPROVED ON SEPT 18, 2019. convert ot sill pillar robbing as per discussion on coordination meeting on 9/26/19. TEMP. STOPPED ON OCT 14, 2019 DUE TO FOR EVALUATION AND MAN POWER WILL BE USE IN C LEANING PORPOSED DRILLING/VENTILATION. STOPPED ON OCT 17, 2019 DUE TO CONSECUTIVE LOW ASSAY GRADES ON CUT SAMPLES/BULK SAMPLES.</t>
  </si>
  <si>
    <t>REPLACEMENT OF L06_GHVFW_029W_DE. APPROVED ON SEPT. 3, 2019. STOPPED ON OCT 17 2019 DUE TO CONSECUTIVE LOW ASSAY GRADES ON CU SAMPLES/ BULK SAMPLES.</t>
  </si>
  <si>
    <t>L04_JV_055W_WINZE</t>
  </si>
  <si>
    <t>L07_JV_037E_STOPE PREP</t>
  </si>
  <si>
    <t>L06_GHVSPLIT_032W_RAISE</t>
  </si>
  <si>
    <t>REPLACEMENT OF L05_CV_004W_WINZE STOPE PREP.APPROVED ON JULY 29, 2019-LTS.TEMPORARY STOPPED ON SEPT 25, 2019 DUE TO DIFECTED AIR HOIST. RESUMED ON OCTOBER 3, 2019. STOPPED AND CONVERT TO ACTIVE PULL-OUT CLEANING ON OCT 18, 2019</t>
  </si>
  <si>
    <t>REPLACEMENT OF L08 GHV 038E STOPE PREP. APPROVED ON SEPT. 23, 2019. STOPPED ON OCT 17, 2019 CONVERT TO PULL-OUT CLEANING ALREADY REACHED THE DESIGNED PILLAR.</t>
  </si>
  <si>
    <t>REPLACEMENT OF L10_JVSPLIT_059E_DW.APPROVED ON SEPT 9, 2019. STOPPED ON OCTOBER 16, 2019 CONVERT TO ACTIVE BREAKING.</t>
  </si>
  <si>
    <t>CONVERT TO PERMANENT WORKING PLACE TO BIHAY 2/ REMARKS CROSSCUT TARGETING ORE RESOURCE.</t>
  </si>
  <si>
    <t>L08_GHV_066E_RAISE</t>
  </si>
  <si>
    <t>L04_JV_002E_WINZE STOPE</t>
  </si>
  <si>
    <t>L10_GHVFW_050E_RAISE</t>
  </si>
  <si>
    <t>REPLACEMENT OF L06_GHVFW_035W_DW. APPROVED ON OCTOBER 1, 2019. STOPPED ON OCT. 18, 2019 CONVERT TO ACTIVE BREAKING.</t>
  </si>
  <si>
    <t>L06_GHVFW_036W_STOPE</t>
  </si>
  <si>
    <t>REPLACEMENT OF L09 GHV 064E STOPE. APPROVED ON SEPT. 24, 2019. TEMPORARY STOPPED ON OCT. 17 2019  ONE TO COLLAPASE AT 4W MAINLINE/UNDER REPAIR AND MUCKING COLLAPS WP.</t>
  </si>
  <si>
    <t>REPLACEMENT OF L07 JVSPLIT 004E STOPE PREP. APPROVED ON SEPT. 6, 2019.  CONVERT TO PULL-OUT CLEANING ON OCT 14, 2019. STOPPED ON OCT. 17, 2019 DUE TO CONSECUTIVE LOW ASSAY GRADES ON CUT SAMPLES/ BULK SAMPLES.</t>
  </si>
  <si>
    <t>L07_GHVFW_003E_DE</t>
  </si>
  <si>
    <t>REPLACEMENT OF L07_JV_050E_RAISE. APPROVED ON SEPT 16, 2019. STOPPED ON OCT 18, 2019. PINCHED OUT VEIN</t>
  </si>
  <si>
    <t>L08_GHVFW_008E_ROBBING</t>
  </si>
  <si>
    <t>REPLACEMENT OF L04_CTV_018W_WINZE STOPE PREP. APPROVED ON SEPT 11, 2019. THERE'S ONLY 10 METER REMANING PILLAR BALANCE TO CONNECT W/ THE L04 MAINLINE ON OCT. 10, 2019. stopped on oct 18, 2019 convert to pull-out cleaning</t>
  </si>
  <si>
    <t>REPLACEMENT OF L08_GHV_036E_STOPE PREP.APPROVED ON AUGUST 28, 2019.EVALUATION ON SEPT. 24, 2019 OVERBREAKING WAS OBSERVED HAVING AN AVERAGE BREAKING WIDTH OF 1.5M LOCATED AT +4MW TO +12MW, RECCOMENDED TO MINIMIZE THE BREAKING WIDTH TO 1M-1.2M TO AVOID/MINIMIZE THE DILUTION. STOPPED ON OCTOBER 3, 2019 CONVERTED TO PULL-OUT CLEANING. Stopped on October 19,2019 due to low bulk grade production.</t>
  </si>
  <si>
    <t>REPLACEMENT OF L08_NONE_027E_XCN. APPROVED ON OCT 15, 2019. Stopped on October 18,2019 due to vein pinched out.</t>
  </si>
  <si>
    <t>REPLACEMENT OF L08_NONE_022W_XCN. APPROVED ON AUGUST 20, 2019. Stopped on October 19,2019 already intercepted drill target.</t>
  </si>
  <si>
    <t>L08_JV_021W_DE</t>
  </si>
  <si>
    <t>L06_DPVE_026E_DE</t>
  </si>
  <si>
    <t>L06_CTV_033E_RAISE</t>
  </si>
  <si>
    <t xml:space="preserve">SPECIAL PROJECT FOR VENTILATION PURPOSES ON JUNE 4, 2019. STOPPED ON JULY 15, 2019 ALREADY ATTAINED BASED ON THE PLAN. RESUMED ON OCT. 21, 2019 </t>
  </si>
  <si>
    <t>L09_JV_066E_STOPE PREP</t>
  </si>
  <si>
    <t>REPLACEMENT OF L09 GHV 004W STOPE PREP.APPROVED ON APRIL 1, 2019.ALREADY FINISHED STOPE BACK BREAKING CONVERT TO PULL OUT CLEANING ON JUNE 4, 2019. TEMPORARY STOPPED ON JULY 18, 2019. STOPES ORE PASS WILL BE UNDER REPAIR. resumed on Oct 4, 2019, Transferred from Mapayo 2 to Demalata 1. STOPPED ON OCT, 22, 2019 DUE TO UNSAFE CONDITION.</t>
  </si>
  <si>
    <t>REPLACEMENT OF L09_NONE_037E_XCS. APPROVED ON JULY 19, 2019. STOPPED ON OCT. 22, 2019 ALREADY BREAK THROUGH</t>
  </si>
  <si>
    <t>L09_DPVE3_037E_RAISE</t>
  </si>
  <si>
    <t>TRANSFER FROM L08 FOR EXPLOSIVE WITHDRAWAL. APPROVED ON OCT. 4, 2019. STOPPED ON OCT 17, 2019</t>
  </si>
  <si>
    <t>REPLACEMENT OF L09_JVSPLIT_057E_RAISE. APPROVED ON AUGUST 19, 2019. STOPPED ON OCT, 23, 2019 ALREADY PASSED THE WIREFRAME AND DESIGN.</t>
  </si>
  <si>
    <t>REPLACEMENT OF L08_DPVE_014E_STOPE PREP.APPROVED ON SEPT. 6, 2019. CONVERT TO PULL-OUT CLEANING ON OCT 15, 2019. STOPPED ON OCT 23, 2019 DUE TO SUCCESIVE LOW BULK GRADE.</t>
  </si>
  <si>
    <t>L04_NONE_023E_XCN</t>
  </si>
  <si>
    <t>SHEPHERD Z1</t>
  </si>
  <si>
    <t>L09_DPVE2_058E_DE</t>
  </si>
  <si>
    <t>ADDITIONAL HORIZONTAL DEVELOPMENT. APPROVED ON FEB 1, 2019. TRANSFER FROM TAÑEZA 8 TODUHIG 3 DUE TO RECENT APPREHENSION OF FORMER TEAM LEADER TO ILLEGAL HIGH GRADING EFFECTIVE ON MARCH 11,2019. TEMPORARY STOPPED ON AUGUST 5, 2019. RESUMED ON AUGUST 14, 2019. STOPPED ON OCT 22 2019 ALREADY BREAK THROUGH</t>
  </si>
  <si>
    <t>ADDITIONAL VERTICAL DEVELOPMENT. APPROVED ON JUNE 13, 2018.STOPPED DUE TO CONSECUTIVE LOW ASSAY GRADES. APPROVED ON SEPTEMBER 27, 2018. RESUMED ON AUGUST 2, 2019 SAME TIME TRANSFERRED FROM TANEZA 7 TO SHEPHERD Y 2. TEMP. STOPPED ON SEPT. 18, 2019 DUE TO UNSERVISBLE AREA. RESUMED ON SEPT. 25, 2019. STOPPED ON OCT 22 2019 ALREADY BREAK THROUGH</t>
  </si>
  <si>
    <t>VERTICAL WINZE GOING TO LEVEL 12. APPROVED ON MAY 6,2019. TRANSFER FROM TAÑEZA 4 TO MAPAYO 2 ON MAY 28, 2019. STOPPED ON 10/22/19 AS PER GEO AND OPERATION</t>
  </si>
  <si>
    <t>Crosscut Targetting ore resource. Approved on Sept 30,2019. STOPPED ON OCT 23, 2019 CONVERTED TO ON VEIN.</t>
  </si>
  <si>
    <t>REPLACEMENT OF L06_DPVE_024E_DW. APPROVED ON SEPT. 25, 2019. STOPPED ON OCT 23, 2019 DUE TO ALREADY BREAKTHROUGH</t>
  </si>
  <si>
    <t>L06_CV_004E_ROBBING</t>
  </si>
  <si>
    <t>BADBADON R1</t>
  </si>
  <si>
    <t>REPLACEMENT OF L06_DPVE_056E_RAISE. APPROVED ON SEPT. 24, 2019. STOPPED ON OCT 19, 2019 ALREADY BREAKTHROUGH</t>
  </si>
  <si>
    <t>REPLACEMENT OF L07_GHVHW_034E_WINZE. APPROVED ON SEPT 5, 2019. STOPPED ON OCT 24, 2019 DUE TO CONSECUTIVE LOW ASSAY GRADES ON CUT SAMPLES/ BULK SAMPLES.</t>
  </si>
  <si>
    <t>L09_DPVE_029E_RAISE</t>
  </si>
  <si>
    <t>L09_GHVHW_067E_DE</t>
  </si>
  <si>
    <t>ADDITIONAL HORIZONTAL DEVELOPMENT APPROVED ON JULY 2, 2019.TRANSFER FROM HUMIDING 2 TO CAPPUYO 2 ON JULY 3, 2019. STOPPED ON OCT 24, 2019 DUE TO REPLACED WITH L09_Ghvhw_067e_De</t>
  </si>
  <si>
    <t>REPLACMENT OF L08_JVSPLIT_019E_STOPE PREP. APPROVED ON SEPT. 6, 2019. STOPPED ON OCT 24, 2019 DUE TO LOW CONSECUTIVE ASSAY GRADES ON CUT SAMPLES/BULK SAMPLES</t>
  </si>
  <si>
    <t>REPLACEMENT OF L08_DPVE_013E_STOPE PREP APPROVED ON AUGUST 22, 2019.STOPPED ON OCT 24, 2019 DUE TO LOW CONSECUTIVE ASSAY GRADES ON CUT SAMPLES/BULK SAMPLES</t>
  </si>
  <si>
    <t>L07_JVSPLIT_031E_DW</t>
  </si>
  <si>
    <t>REPLACEMENT OF L05_GHV_030W_DE.APPROVED ON OCT. 14, 2019. TEMP STOPPED ON OCT 24, 2019 UNDER EVALUATION.</t>
  </si>
  <si>
    <t>REPLACEMENT OF L06 GHVFW 022W STOPE PREP. APPROVED ON JULY 27,2019.EVALUATION ON OCT. 23, 2019 RECOMMENDED FOR IPR AT 10MW FROM MAN WAY. STOPPED ON OCT 25, 2019 CONVERT TO PULL-OUT CLEANING</t>
  </si>
  <si>
    <t>REPLACEMENT OF L04 GHVFW 7E DE, APPROVED ON 4/10/19-LTS. TEMP STOPPED ON MAY 11, 2019 DUE TO LOW CONSECUTIVE ASSAY GRADE. RESUMED ON SEPT. 30 2019. STOPPED ON OCT 24, 2019 DUE TO CONSECUTIVE LOW ASSAY GRADES ON CUT SAMPLES/ BULK SAMPLES</t>
  </si>
  <si>
    <t>L06_DPVE_024E_STOPE PREP</t>
  </si>
  <si>
    <t>L09_GHVHW_026E_RAISE</t>
  </si>
  <si>
    <t>REPLACEMENT OF L09_GHVSPLIT_022E_RAISE, APPROVED ON SEPT. 3, 2019. STOPPED ON OCTOBER 27, 2019 DUE TO CONSECUTIVE LOW ASSAY GRADES ON CUT SAMPLES/BULK SAMPLES.</t>
  </si>
  <si>
    <t>L08_GHV_022W_DE</t>
  </si>
  <si>
    <t>ADDITIONAL HORIZONTAL DEVELOPMENT. APPROVED ON OCT. 4, 2019.STOPPED ON OCTOBER 27, 2019 DUE TO UNSAFE CONDITION DECIDED NOT TO BREAKTHROUGH TO ADJACENT MAINLINE.</t>
  </si>
  <si>
    <t>L09_JVHW_013E_DW</t>
  </si>
  <si>
    <t>L09_JVHW_014E_DE</t>
  </si>
  <si>
    <t>L04_GHVFW_008E_ROBBING</t>
  </si>
  <si>
    <t>L10_NONE_053E_WINZE</t>
  </si>
  <si>
    <t>L08_GHVHW_039E_RAISE</t>
  </si>
  <si>
    <t>L08_NONE_001E_XCN</t>
  </si>
  <si>
    <t>L09_NONE_069E_XCN</t>
  </si>
  <si>
    <t>REPLACEMENT OF L10_GHVFW_022E_RAISE. APPROVED ON AUGUST 8, 2019. Temporary stopped in September 21,2019 due to consecutively unaccesible tdue to full of muck as per Level Geo. STOPPED ON OCT. 28 2019.</t>
  </si>
  <si>
    <t>REPLACEMENT OF L08_JVSPLIT_019E_STOPE. APPROVED ON OCT 28, 2019. TEMPORARY STOPPED ON OCT 29, 2019 DUE TO ON GOING STOPE PREP.</t>
  </si>
  <si>
    <t>REPLACEMENT OF L08_JV_062E_RAISE. APPROVED ON OCT. 4, 2019. TEMP STOPPED ON OCT 29, 2019 DUE TO PRIORITIZE STOPE PREP.</t>
  </si>
  <si>
    <t>L05_NV_009E_WINZE</t>
  </si>
  <si>
    <t>ADDITIONAL SOURCE OF GOOD ORE. APPROVED ON SEPT. 9, 2019. CLEANING IS STILL ON-GOING FOR THE CHARGING OF EXPLOSIVES. START ROBBING OF SILL ON SEPT 10, 2019.  CHANGE STATUS ON OCT. 10 2019 TOPSLICE TO SILL PILAR. Stopped on oct 29, 2019 already mined out.</t>
  </si>
  <si>
    <t>REPLACEMENT OF L05_GHV_046W_WINZE. APPROVED ON SEPT 16, 2019. TEMPORARY STOPPED ON OCT 10, 2019 TO PRIORITIZED DRIVING EXPLORATORY WINZE @ AGSAO SIDE.</t>
  </si>
  <si>
    <t>L09_GHVHW_060E_RAISE</t>
  </si>
  <si>
    <t>REPLACEMENT OF L06 GHVFW 020W STOPE PREP. APPROVED ON SEPT. 20, 2019. evaluation on  sept. 30 2019 over breaking due to sabbing on the hanging wall portion of stope. Highly sheared ground due to parallel and cross cutting faults. Over breaking avarage 1.50m. Stopped breaking due to unsafe condition; converted to stope pull out on Oct 1, 2019. STOPPED ON OCT. 29, 2019 ALREADY MINED OUT W 94% PUL OUT</t>
  </si>
  <si>
    <t>REPLACEMENT OF L06_JVHW_027E_STOPE PREP. APPROVED ON SEPT. 3 2019. Stopped breaking due to vein pinched out; converted to stope cleaning on Oct 15, 2019. STOPPED ON OCT 29, 2019 ALREADY MINED OUT W/ 100% PULL OUT</t>
  </si>
  <si>
    <t>REPLACEMENT OF L06_GHVFW_025W_RAISE.APPROVED ON OCT. 21, . STOPPED ON OCT 29, 2019 DUE TO CONSECUTIVE LOW ASSAY GRADES ON CUT SAMLES/BULK SAMPLES/PINCHED OUT VEIN DUE TO FAULT BOUNDED IN SYSTEM</t>
  </si>
  <si>
    <t>REPLACEMENT OF L10_GHV_001E_RAISE.APPROVED ON OCT. 15, 2019. Stopped on oct 29, 2019 due to consecutive low assay grades on cut samples/ bulk samples/ already reached the recommended strike length.</t>
  </si>
  <si>
    <t>L10_GHV_038E_RAISE</t>
  </si>
  <si>
    <t>L10_NONE_010E_XCN</t>
  </si>
  <si>
    <t>L10_DPVE_058E_DE</t>
  </si>
  <si>
    <t>REPLACEMENT OF L08_NONE_023W_XCN. APPROVED ON AUGUST 20, 2019. STOPPED ON OCTOBER 30, 2019 DUE TO PINCHED OUT VEINN</t>
  </si>
  <si>
    <t>REPLACEMENT OF L06 CTV 038E ROBBING. APPROVED ON OCT. 11, 2019. Stop on Oct 28, 2019 already done breaking pillars.</t>
  </si>
  <si>
    <t>REPLACEMENT OF L06_JVFW_023W_RAISE. APPROVED ON OCTOBER 1, 2019. Stopped on Oct 30, 2019 due to consecutive low assay result.</t>
  </si>
  <si>
    <t>L06_CTV_032E_RAISE</t>
  </si>
  <si>
    <t>L04_NONE_034E_XCN</t>
  </si>
  <si>
    <t>REPLACEMENT OF L07_CTV_008E_DW. APPROVED ON OCT. 15, 2019.STOPPED ON OCT 31, 2019 DUE TO LOW GRADE.</t>
  </si>
  <si>
    <t>L06_JVFW_045E_ROBBING</t>
  </si>
  <si>
    <t>REPLACEMENT OF L06 CTV 025E WINZE STOPE PREP. APPROVED ON APRIL 15, 2019. TEMPORARY STOPPED ON JULY 25,2019 DUE TO DAMAGE AIRHOIST. RESUMED ON 7/30/19/ CONTINUED IPR ON SEPT. 2, 2019 DUE TO CONSECUTIVE LOW ASSAY GRADES ON CUT SAMPLES/BULK SAMPLES. STOPPED ON OCT 31, 2019 ALREADY REAXCHED THE RECOMMENDED STRIKE LENGTH/CROWN PILLAR AND CONVERT TO PULL-OUT.</t>
  </si>
  <si>
    <t xml:space="preserve"> REPLACEMENT OF L06_JVHW_018E_STOPE PREP. APPROVED ON OCTOBER 1. 2019. Stopped breaking due to vein pinched out; converted to stope cleaning on Oct 14, 2019. STOPPED AS PER CORDINATION MEETING ON OCT 31, 2019</t>
  </si>
  <si>
    <t>REPLACEMENT OF L06 DPVE 035E DE. Approved on Feb 21, 2019. STOPPED ON MARCH 21</t>
  </si>
  <si>
    <t>L05_CTV_013E_STOPE</t>
  </si>
  <si>
    <t>L05_GHVSPLIT_032W_WINZE STOPE</t>
  </si>
  <si>
    <t>L08_NONE_067E_XCN</t>
  </si>
  <si>
    <t>L08_JVFW_062E_STOPE PREP</t>
  </si>
  <si>
    <t>L08_JVSPLIT_080E_DE</t>
  </si>
  <si>
    <t>REPLACEMENT OF L08_GHV_038E_RAISE.APPROVED ON AUGUST 27, 2019. STOPPED ON NOV. 2, 2019 ALREADY INTERCEPTED THE TARGET, REPLACED BY L08_JVSPLIT_080E_DE.</t>
  </si>
  <si>
    <t>L04_RYV_010E_ROBBING</t>
  </si>
  <si>
    <t>REPLACEMENT OF L04_CV_011W_STOPE. APPROVED ON SEPT. 13, 2019. STOPPED ON OCT. 31, 2019 DUE TO ALREADY FINISHED.</t>
  </si>
  <si>
    <t>REPLACEMENT OF L05_GHVFW_029W_DW. APPROVED ON AUGUST 15, 2019. STOPPED ON NOV. 4, 2019 DUE TO COSECUTIVE LOW ASSAY GRADES ON CUT SAMPLES/BULK SAMPLES/PINCHED OUT VAIN.</t>
  </si>
  <si>
    <t>L10_JVSPLIT_057E_STOPE PREP</t>
  </si>
  <si>
    <t>L10_GHV_056E_STOPE PREP</t>
  </si>
  <si>
    <t>L09_JV_042E_RAISE</t>
  </si>
  <si>
    <t>REPLACEMENT OF L05_GHV_012W_ROBBING. APPROVED ON OCTOBER 3, 2019. STOPPED ON OCT. 26, 2019 DUE TO ALREADY BREAK THRU.</t>
  </si>
  <si>
    <t>REPLACEMENT OF L05_CV_006W_ROBBING. APPROVED ON SEPT 16, 2019. STOPPED ON OCT. 30, 2019 DUE TO ALREADY FINISHED.</t>
  </si>
  <si>
    <t>L07_JVSPLIT_059E_RAISE</t>
  </si>
  <si>
    <t>L07_JV_050E_WINZE</t>
  </si>
  <si>
    <t>L09_DPVE2_069E_DE</t>
  </si>
  <si>
    <t>ADDITIONAL HORIZONTAL DEVELOPMENT. APPROVED ON OCT 28. 2019. STOPPED ON NOV 5, 2019 DUE TO ALREADY HIT THE TARGETED VEIN.</t>
  </si>
  <si>
    <t>L09_GHV_044E_STOPE</t>
  </si>
  <si>
    <t>FERNANDEZ R</t>
  </si>
  <si>
    <t>L05_NONE_018E_CHAMBER</t>
  </si>
  <si>
    <t>L09_JVSPLIT_063E_STOPE</t>
  </si>
  <si>
    <t>REPLACEMENT OF L09_GHVSPLIT_027E_STOPE.APPROVED ON SEPT. 3, 2019.STOPPED ON NOV 5, 2019 DUE TO CONVERTED TO STOPE BREAKING.</t>
  </si>
  <si>
    <t>ADDITIONAL SOURCE OF GOOD ORE. APPROVED ON AUGUST 16, 2019. STOPPED ON NOV 5, 2019 DUE TO CONVERTED TO STOPE BREAKING.</t>
  </si>
  <si>
    <t>REPLACEMENT OF L08_GHV_066E_DW. APPROVED ON OCT. 16, 2019. RENAMED FROM L08_GHV_065E_RAISE TO L08_GHV_066E_RAISE TO AVOID MISCHARGING TO L08_JV_065E_STOPE PREP ON OCT 18, 2019.STOPPED ON NOV 6, 2019 DUE TO PINCHED OU VEIN AT 4TH FLOOR (8M UP FROM BACK OUT MAINLINE)</t>
  </si>
  <si>
    <t>L10_GHV_063E_WINZE</t>
  </si>
  <si>
    <t>L04_CTV_016W_STOPE</t>
  </si>
  <si>
    <t>REPLACEMENT OF L06_CV_002E_RAISE. APPROVED ON OCT 24, 2019. STOPPED ON NOV. 6, 2019 DUE TO ALREADY REACHED THE RECOMMENDED STRIKE LENGTH/CROM PILLAR. NO MUCKING OF BROKEN MATERIALS.</t>
  </si>
  <si>
    <t>REPLACEMENT OF L06_JVHW_020E_STOPE.APPROVED ON SEPT. 3, 2019.STOPPED ON NOV. 6, 2019 DUE TO ALREADY REACHED THE RECOMMENDED STRIKE LENGTH/CROWN PILLAR/CONSECUTIVE LOW ASSAY GRADES ON CUT SAMPLES/BULK SAMPLES.</t>
  </si>
  <si>
    <t>REPALCEMENT OF L07 GHV 023W RAISE. APPROVED ON SEPTEMBER 17,2019.STOPPED ON NOV 4, 2019 DUE TO CONVERTED TO STOPE PREP.</t>
  </si>
  <si>
    <t>ADDITIONAL VERTICAL DEVELOPMENT. APPROVED ON SEPT. 17, 2019.STOPPED ON NOV 4, 2019.</t>
  </si>
  <si>
    <t>L05_GHVFW_022W_ROBBING</t>
  </si>
  <si>
    <t>REPLACEMENT OF L05_CTV_013E_RAISE.APPROVED ON SEPT. 16, 2019.STOPPED ON NOV. 6, 2019 CONVERTED TO STOPE BREAKING.</t>
  </si>
  <si>
    <t>L08_NONE_046E_XCN</t>
  </si>
  <si>
    <t xml:space="preserve">VERSOZA </t>
  </si>
  <si>
    <t>L05_JV_001E_WINZE</t>
  </si>
  <si>
    <t xml:space="preserve">ADDITIONAL HORIZONTAL DEVELOPMENT. APPROVED ON OCTOBER 3, 2019. STOPPED ON NOV 5, 2019 </t>
  </si>
  <si>
    <t>L10_JV_022E_DE</t>
  </si>
  <si>
    <t>L08_GHVSPLIT_004E_RAISE</t>
  </si>
  <si>
    <t>L08_GHV_005E_DE</t>
  </si>
  <si>
    <t>L07_GHVFW_025W_STOPE PREP</t>
  </si>
  <si>
    <t>L06_JVFW_025E_DW</t>
  </si>
  <si>
    <t>REPLACEMENT OF L07 JV 038E ROBBING.APPROVED ON OCTOBER 6 2019.STOPPED ON NOV. 6, 2019 ALREADY REACHED THE RECOMMENDED CROWN PILLAR TO BREAK.</t>
  </si>
  <si>
    <t>L10_GHV_008E_RAISE</t>
  </si>
  <si>
    <t>L05_CTV_011W_DW</t>
  </si>
  <si>
    <t>REPLACEMENT OF L06 JVHW 018E STOPE. APPROVED ON OCT. 15, 2019.STOPPED ON NOV 8, 2019 FOR WIREFRAMED AND STILL WAITING FOR STOPE DESIGN.</t>
  </si>
  <si>
    <t>ADDITIONAL, APPROVED ON 6/6/19-SDNC. TEMPORARY STOPPED ON JULY 10, 2019 DUE TO LACK OF MANPOWER. Resumed on Sept 12, 2019 and at the same time transferred to BAKAKON 2. STOPPED ON OCT. 10 2019 DUE TOALREADY WIREFRAMED W AN ESTIMATED DILUTED GRADE. RESUMED BREAKING ON OCT 14, 2019. STOPPED ON NOV 8, 2019 FOR WIREFRAMING AND DESIGN.</t>
  </si>
  <si>
    <t>11/7/19 2ND SHIFT</t>
  </si>
  <si>
    <t>REPLACEMENT OF L05_CTV_043W_WINZE. APPROVED ON NOV. 7, 2019. Temporary stopped on Nov 11,2019 surrender team leader</t>
  </si>
  <si>
    <t xml:space="preserve">ADDITIONAL SOURCE OF GOOD ORE. APPROVED ON AUGUST 2, 2019. TEMPORARY STOPPED ON AUGUST 15, 2019 DUE TO SURRENDERED TEAM LEADER. RESUMED ON AUGUST 27, 2019 AT THE SAME TIME TRANSFERRED FROM AMAC 2 TO SHEPHERD P2. transferred from Shepherd P2 to Badbadon L4 on Oct 3, 2019.TEMP STOPPED ON NOV 8, 2019 TO PRIORITIZED CLEANING OF L05_GHV_023W_WINZE. </t>
  </si>
  <si>
    <t>REPLACEMENT OF L05_GHV_044W_WINZE. APPROVED ON NOV. 4, 2019.STOPPED ON NOV 9, 2019 ALREADY BREAK THRU.</t>
  </si>
  <si>
    <t>REPLACEMENT OF L07_JV_042E_RAISE. APPROVED ON OCT. 15, 2019.  TRANSFERRED ON OCT 23, 2019 FROM VILLARANTE 5 TO CARIKITAN 1 BECAUSE OF HIGH GRADING INVOLVED OF VILLARANTE'S GROUP.STOPPED ON NOV 8, 2019 RECOMMENDED FOR ACTIVE STOPE BREAKING.</t>
  </si>
  <si>
    <t>L07_JV_042E_STOPE</t>
  </si>
  <si>
    <t>ADDITIONAL VERTICAL DEVELOPMENT.APPROVED ON MARCH 18, 2019. RENAMED FROM L10 GHVFW 033E RAISE TO L10 GHVFW 031E RAISE TO AVOID MISCHARGING TO L10 GHV 033E DE. STOPPED ON MAY 27, 2019. RENAMED FROM L10_GHVFW_031E_RAISE TO  L10_GHVFW_029E_RAISE  ON SEPT. 26, 2019 as per Level Geo ON THE SAME TIME RESUMED.STOPPED ON NOV 12, 2019 ALREADY CONNECTED TO L09_GHVFW_033E_MAINLINE.</t>
  </si>
  <si>
    <t>L06_JVHW_017E_STOPE PREP</t>
  </si>
  <si>
    <t>L06_JVFW_015E_STOPE PREP</t>
  </si>
  <si>
    <t>L04_GHV_045W_ROBBING</t>
  </si>
  <si>
    <t>ADDITIONAL VERTICAL DEVELOPMENT. APPROVED ON 9/2/19. STOPPED ON SEPT 6, 2019 ALREADY BREAK THRU THE OLD STOPES. RESUMED ON OCT 18, 2019 AT THE SAME TIME TRANSFERRED FROM SHEPHERD Z TO SHEPHERD H2. STOPPED ON NOV. 12, 2019  PINCHED OUT VEIN TO 0.05M BVW/FOR WIREFRAMING AND DESIGN.</t>
  </si>
  <si>
    <t>REPLACEMENT OF L07_JV_010E_WINZE. APPROVED ON AUGUST 9, 2019. STOPPED ON SEPT. 9, 2019 ALREADY REACHED THE RECOMMENDED STRIKE LENGTH OF THE INCLINE RAISE. RESUMED ON SEPT 16, 2019. TRANSFERRED ON SEPT 26, 2019 FROM SHEPHERD W1 TO SHEPHERD H1.TEMPORARY STOPPED ON OCT 25, 2019 DUE TO LACK OF MANPOWER.RESUMED ON NOV. 7, 2019.STOPPED ON NOV 12, 22019 ALREADY CONNECTED TO THE OLD INCLINED RAISE OF L07.</t>
  </si>
  <si>
    <t>L07_GHVFW_032W_RAISE</t>
  </si>
  <si>
    <t>REPLACEMENT OF L05_JV_033E_RAISE.APPROVED ON OCTOBER 7, 2019.STOPPED CONVERT TO ACTIVE BREAKING ON NOV 12, 2019.</t>
  </si>
  <si>
    <t>L05_GHV_035W_STOPE</t>
  </si>
  <si>
    <t>L06_CTV_040E_RAISE</t>
  </si>
  <si>
    <t>REPLACEMENT OF L06_DPVE_024E_RAISE. APPROVED ON OCT 26, 2019. STOPPED ON NOV 13, 2019 CONVERT TO ACTIVE BREAKING.</t>
  </si>
  <si>
    <t>REPLACEMENT OF L06 JV 052E RAISE.APPROVED ON AUGUST 30, 2019.STOPPED ON NOV 13, 2019 CONVERT TO ACTIVE BREAKING.</t>
  </si>
  <si>
    <t>TARGET DRILLING INTERCEPT. APPROVED ON OCT 23, 2019.STOPPED ON NOV 13, 2019 ALREADY REACHED THE TARGET VEIN W/ AVERAGE VEIN WIDTH OF 0.20 BVW.</t>
  </si>
  <si>
    <t>L05_NONE_038W_XCN</t>
  </si>
  <si>
    <t>REPLACEMENT OF L08 JVFW 058E RAISE, APPROVED ON JULY 29, 2019. TEMPORARY STOPPED ON OCTOBER 11, 2019 DUE TO INSUFFICIENT MANPOWER.STOPPED ON NOV 13, 2019 UNABLE TO PASS THE WIREFRAME.</t>
  </si>
  <si>
    <t>REPLACEMENT OF L07 CTV 029E ROBBING. APPROVED ON SEPT. 24, 2019.STOPPED ON NOV 13, 2019 PINCHED OUT VEIN  CONVERT TO STOPE PREP.</t>
  </si>
  <si>
    <t>L08_NONE_030E_CHAMBER</t>
  </si>
  <si>
    <t>L04_JV_031E_RAISE</t>
  </si>
  <si>
    <t>L04_JVSPLIT_022W_DW</t>
  </si>
  <si>
    <t>ADDITIONAL BATTERY CHAMBER. APPROVED ON SEPT. 19 2019.STOPPED ON OCT. 31, 2019 ALREADY FINISHED.</t>
  </si>
  <si>
    <t>REPLACEMENT OF L06_JVFW_015E_RAISE APPROVED ON NOV 12, 2019.STOPPED ON NOV 14, 2019 CONVERT TO ACTIVE BREAKING.</t>
  </si>
  <si>
    <t>L06_JVFW_015E_STOPE</t>
  </si>
  <si>
    <t>REPLACEMENT OF L10_DPVE_042E_RAISE.APPROVED ON OCT. 18, 2019. STOPPED ON NOV 15, 2019 DUE TO CONSECUTIVE LOW ASSAY GRADES ON CUT SAMPLES/DULK SAMPLES/PINCHED OUT VEIN WITH NO TEXTURAL VEIN IMPROVEMENT.</t>
  </si>
  <si>
    <t>REPLACEMENT OF L06 JVHW 018E DE. APPROVED ON JUNE 5,2019. STOPPED ON JUNE 14, 2019; ABT TO BREAKTHROUGH TO AN OLD MAINLINE. RESUMED ON NOV 12, 2019. STOPPED ON NOV 13, 2019.</t>
  </si>
  <si>
    <t>REPLACEMENT OF L07_JV_039E_STOPE PREP. APPROVED ON SEPT. 27, 2019. STOPPED BREAKING ON OCT 15, 2019 IN THE SAME TIME CONVERT TO PULL-OUT CLEANING. STOPPED ON OCT 18, 2019 ALREADY MINED OUT.</t>
  </si>
  <si>
    <t>REPLACEMENT OF L08_GHVSPLIT_026W_DW.APPROVED ON OCTOBER 27, 2019.STOPPED ON NOV 15, 2019 PINCHED OUT VEIN.</t>
  </si>
  <si>
    <t>REPLACEMENT OF L08_GHVFW_002E STOPE PREP.APPROVED ON AUGUST 31, 2019. STOPPED ON NOV 14, 2019 DUE TO ALREADY FINISHED DRIVING FILL RAISE/FINISHED STOPE BACK BREAKING.</t>
  </si>
  <si>
    <t>L10_GHVHW_055E_DE</t>
  </si>
  <si>
    <t>BADBADON R3</t>
  </si>
  <si>
    <t>L06_CV_004E_DE</t>
  </si>
  <si>
    <t>L05_NONE_015W_XCS</t>
  </si>
  <si>
    <t>REPLACEMENT OF L04 CTV 010W DW. APPROVED ON JULY 15, 2019. AT L03. TEMPORARY STOPPED ON NOV 15, 2019 DUE TO ON GOING REGRADING AND REHAB OF MAINLINE.</t>
  </si>
  <si>
    <t>REPLACEMENT OF L09_JVFW_021E_DE. APPROVED ON OCTOBER 9, 2019. STOPPED ON NOV 16, 2019 DUE TO CONSECUTIVE LOW ASSAY GRADES ON CUT SAMPLES/BULK SAMPLES./PINCHED OUT VEIN WITH NO TEXTURAL VEIN IMPROVEMENT AT THE SAME TIME CUT BY SERIES OF FAULT STRUCTURES.</t>
  </si>
  <si>
    <t>REPLACEMENT OF L09_GHV_044E_STOPE_PREP. APPROVED ON NOV 5. 2019. STOPPED ON NOV 16, 2019 CONSECUTIVE LOW ASSAY GRADES ON CUT SAMPLES/ BULK SAMPLES.</t>
  </si>
  <si>
    <t>L04_CTV_011W_DW</t>
  </si>
  <si>
    <t>L09_JVHW_050E_RAISE</t>
  </si>
  <si>
    <t>REPLACEMENT OF L09_DPVE3_051E_DE.APPROVED ON SEPT. 8 2019. Temporary stopped on November 16,2019 to do raise preparation.</t>
  </si>
  <si>
    <t>REPLACEMENT OF L04 JV 016W STOPE PREP. APPROVED ON AUGUST 9, 2019.CHANGE NAME OF VEIN FOR WORKING PLACES BASED ON GEOLOGICAL INTERPRETATION FROM L04_JV_016W_STOPE RENAME TO L04_CTV_016W_STOPE ON NOV 6, 2019. Stopped breaking on November 16,2019 already done fill raise at the same time convert to pull-out cleaning.</t>
  </si>
  <si>
    <t>REPLACEMENT OF L06_GHVFW_029W_RAISE.APPROVED ON OCT. 21, 2019. Stopped on November 15,2019 already breakthrough.</t>
  </si>
  <si>
    <t>SHEPHERD B2</t>
  </si>
  <si>
    <t>L05_NONE_028E_RAISE</t>
  </si>
  <si>
    <t>L10_GHVFW_030E_RAISE</t>
  </si>
  <si>
    <t>REPLACEMENT OF L05_CV_004W_WINZE STOPE PREP.APPROVED ON JULY 29, 2019-LTS.TEMPORARY STOPPED ON SEPT 25, 2019 DUE TO DIFECTED AIR HOIST. RESUMED ON OCTOBER 3, 2019. STOPPED AND CONVERT TO ACTIVE PULL-OUT CLEANING ON OCT 18, 2019. STOPPED ON NOV 18, 2019 ALREADY FINISHED PULL-OUT.</t>
  </si>
  <si>
    <t>ADDITIONAL HORIZONTAL DEVELOPMENT APPROVED ON NOV 15, 2019.STOPPED ON NOV 18, 2019 ALREADY FINISHED.</t>
  </si>
  <si>
    <t xml:space="preserve"> REPLACEMENT OF L08 JV 063E DW. APPROVED ON SEPT. 26, 2019. TRANSFERRED TO CAPOY ON OCTOBER 4, 2019.STOPPED ON NOV. 18, 2019 PINCHED OUT VEIN FOR WIREFRAMING AND DESIGN.</t>
  </si>
  <si>
    <t>L07_JVHW_068E_WINZE</t>
  </si>
  <si>
    <t>L07_JVSPLIT_033E_RAISE</t>
  </si>
  <si>
    <t>L09_DPVE2_051E_DW</t>
  </si>
  <si>
    <t>L06_JVHW_026E_STOPE PREP</t>
  </si>
  <si>
    <t>L07_GHVFW_006E_RAISE</t>
  </si>
  <si>
    <t>L07_JVHW_060E_RAISE</t>
  </si>
  <si>
    <t>L05_CTV_006E_RAISE</t>
  </si>
  <si>
    <t>L05_CV_004W_ROBBING</t>
  </si>
  <si>
    <t>ADDITIONAL HORIZONTAL DEVELOPMENT. APPROVED ON OCT 10, 2019.STOPPED ON NOV 19, 2019 DUE TO BROKEN MATERIALS ARE TO BE CHARGE AS WASTE.</t>
  </si>
  <si>
    <t xml:space="preserve"> REPLACEMENT OF L06_NONE_022W_XCN. APPROVED ON OCTOBER 1, 2019. TEMP STOPPED ON NOV 19, 2019 DUE TO CONSECUTIVE LOW ASSAY GRADES ON CUT SAMPLES/BULK SAMPLES.</t>
  </si>
  <si>
    <t xml:space="preserve">REPLACEMENT OF L05_CTV_007E_RAISE. APPROVED ON SEPT 16, 2019. TEMP STOPPED ON OCTOBER 7 2019 DUE TO NO MUCKING MACHINE. Resumed on Oct 30, 2019 at the same time transferred from BALDO 1 to CAYABAS 2. STOPPED ON NOV 19, 2019 DUE TO SAFETY REASON </t>
  </si>
  <si>
    <t>REPLACEMENT OF L07_GHVFW_058E_ROBBING.APPROVED ON OCT 18, 2019. STOPPED ON NOV 19, 2019 CONNECTED TO THE OLD MAINLINE.</t>
  </si>
  <si>
    <t>REPLACEMENT OF L07 JVHW 052E RAISE. APPROVED ON SEPT. 20, 2019. STOPPED ON OCT 19, 2019. ALREADY BREAKTHROUGH. TRANSFERRED FROM VILLARANTE 3, TO CARIKITAN 2 BY MANAGEMENT ON OCT 23, 2019.  RESUMED ON OCT 24, 2019. TRANSFER FROM CARIKITAN TO COMAINGKING 1 ON NOV 5, 2019.STOPPED ON NOV 19, 2019 CONNECTED TO THE OLD MAINLINE.</t>
  </si>
  <si>
    <t>L08_GHV_026W_RAISE</t>
  </si>
  <si>
    <t>ADDITIONAL VERTICAL DEVELOPMENT. APPROVED ON NOV 12, 2019 . STOPPED ON NOV 20, 2019 ALREADY REACHED THE MAXIMUM STRIKE LENGTH.</t>
  </si>
  <si>
    <t xml:space="preserve"> Replacement of L07 DPVE 028E ROBBING. APPROVED ON SEPT 27, 2019.STOPPED ON NOV 20, 2019 ALREADY REACHED THE PROJECTED HEIGHT.</t>
  </si>
  <si>
    <t>L06_JVHW_029W_DW</t>
  </si>
  <si>
    <t>ADDITIONAL HORIZONTAL DEVELOPMENT. APPROVED ON 3/4/19. TEMPORARY STOPPED ON DUE TO RECENT APPREHENSION OF FORMER TEAM LEADER TO ILLEGAL HIGH GRADING EFFECTIVE ON MARCH 11,2019. RESUME ON MARCH 13,2019 AT THE SAME TIME TRANSFER FROM TAÑEZA 8 TO DUHIG 4.stopped on nov 21, 2019 already reached the recommended strike length/crown pillar.</t>
  </si>
  <si>
    <t>TARGET DRILLING INTERCEPT. APPROVED ON OCT 31, 2019.STOPPED ON NOV 21, 2019 ALREADY HIT VEIN TARGET (0.20-0.30M).</t>
  </si>
  <si>
    <t>L10_JVSPLIT_064E_STOPE PREP</t>
  </si>
  <si>
    <t>ADDITIONAL VERTICAL DEVELOPMENT. APPROVED ON SEPT. 23, 2019. transferred from Villarante to Babor on sept 26, 2019.STOPPED ON NOV 21, 2019 CONNECTED TO THE OLD RAISE.</t>
  </si>
  <si>
    <t>REPLACEMENT OF L08_NONE_075E_XCS. APPROVED ON NOVEMBER 2,2019.STOPPED ON NOV 21, 2019 DUE TO CONSECUTIVE LOW ASSAY GRADES ON CUT SAMPLES/BULK SAMPLES.</t>
  </si>
  <si>
    <t>REPLACEMENT OF L08_JV_065E_RAISE. APPROVED OCT 15, 2019. CONVERT TO ACTIVE BREAKING APPROVED ON NOV 21, 2019.</t>
  </si>
  <si>
    <t>L08_GHV_030W_STOPE</t>
  </si>
  <si>
    <t>REPLACEMENT OF L10 NONE 052E XCS. APPROED ON SEPT 17, 2019. RENAMED ON OCT. 17, 2019 FROM  L10_GHVFW_050E_DW TO L10_GHVFW_051E_DW . Stopped on October 17,2019 due to pinched out of vein.</t>
  </si>
  <si>
    <t>L06_DPVE_018E_RAISE</t>
  </si>
  <si>
    <t>L04_JVSPLIT_034E_DE</t>
  </si>
  <si>
    <t>L04_JV_002E_ROBBING</t>
  </si>
  <si>
    <t>SAMBERE 1</t>
  </si>
  <si>
    <t>FABROA 2</t>
  </si>
  <si>
    <t>FABROA 3</t>
  </si>
  <si>
    <t>FABROA 1</t>
  </si>
  <si>
    <t>L04_JVSPLIT_022W_DE</t>
  </si>
  <si>
    <t xml:space="preserve">REPLACEMENT OF L04_NONE_023E_XCN APPROVED ON NOV 13, 2019.TEMP STOPPED TO DRIVE EASTERN ON NOV 22, 2019. </t>
  </si>
  <si>
    <t>REPLACEMENT OF L09 GHVSPLIT 048E STOPE PREP. APPROVED ON APRIL 20,2019.STOPPED ON NOV 22, 2019 CONVERT TO PULL-OUT CLEANING</t>
  </si>
  <si>
    <t>ADDITIONAL INCLINED RAISE DEVELOPMENT. APPROVED ON SEPT. 3, 2019. TEMP. STOPPED ON SEPT 11, 2019 TO PRIORITIZE DRIFT. Resumed on Sept 13, 2019 at the same time transferred from delosreyes v2 to PANCIT 3.STOPPED ON NOV 22, 2019 ALREADY BREAK THRU.</t>
  </si>
  <si>
    <t>PLAN TO BREAKTHROUGH TO OTHER MAINLINE. APPROVED ON OCT. 18, 2019. STOPPED ON NOV 22, 2019 ALREADY BREAK THRU.</t>
  </si>
  <si>
    <t>REPLACEMENT OF L06_CV_010E_RAISE APPROVED ON NOV 12, 2019.STOPPED ON NOV 22, 2019 DUE TO CONSECUTIVE LOW ASSAY GRADES ON CUT SAMPLES/BULK SAMPLES.</t>
  </si>
  <si>
    <t>REPLACEMENT OF L06_CTV_012E_WINZE  APPROVED ON NOV 8, 2019.STOPPED ON NOV 22, 2019.THE VEIN LATERAL EXTENSION SWERVE TOWARDS RIGHT HEADING TOWARDS THE ADJACENT DRIVES.</t>
  </si>
  <si>
    <t>REPLACEMENT OF L06 CTV 033E RAISE. Approved on Oct 30, 2019.STOPPED ON NOV 22, 2019. DUE TO CONSECUTIVE LOW ASSAY GRADES ON CUT SAMPLES/ BULK SAMPLES.</t>
  </si>
  <si>
    <t>L07_JVSPLIT_018E_RAISE</t>
  </si>
  <si>
    <t>L08_JVSPLIT_027E_DW</t>
  </si>
  <si>
    <t>ADDITION+L1335:P1340AL HORIZONTAL DEVELOPMENT. APPROVED ON AUGUST 27, 2019. STOPPED ON SEPT. 30 2019. DUE TO PINCHED OUT VEIN.</t>
  </si>
  <si>
    <t>DAGAMAC 6</t>
  </si>
  <si>
    <t>L09_JVFW_029E_RAISE</t>
  </si>
  <si>
    <t>REPLACEMENT OF L07_DPVE_033E RAISE. APPROVED ON OCTOBER 1 2019.RENAMED FROM 34E RAISE TO 35E RAISE TO AVOID MISCHARGING OF MINECARS WITH 34E ROBBING ON OCTOBER 1. 2019. STOPPED ON NOV 23, 2019 CONVERTED TO STOPE PREP.</t>
  </si>
  <si>
    <t>L06_GHVFW_003E_ROBBING</t>
  </si>
  <si>
    <t>L06_JV_008W_DW</t>
  </si>
  <si>
    <t>L07_DPVE_055E_WINZE</t>
  </si>
  <si>
    <t>L06_NONE_033E_XCN</t>
  </si>
  <si>
    <t>ADDITIONAL VERTICAL DEVELOPMENT. APPROVED ON SEPT. 24, 2019. STOPPED ON NOV. 24, 2019 BECAUSE THE RAISE IS APPROACHING TO CONNECT AT LEVEL 8 LOOP, FOR SAFETY PURPOSES AS PER JAAMOR.</t>
  </si>
  <si>
    <t>L10_GHVFW_035E_STOPE</t>
  </si>
  <si>
    <t>REPLACEMENT OF L04_JV_002E_WINZE STOPE PREP. APPROVED ON OCT 18, 2019. STOPPED ON NOV 11, 2019 DUE TO ALREADY FINISHED BREAKING ABD HAS ALREADY REACHED THE DESIGN PILLAR.STOPPED BREAKING CONVERT TO PULL-OUT CLEANING ON NOV 18, 2019 ALREADY REACHED 120% PULL-OUT.</t>
  </si>
  <si>
    <t>SHEPHERD B1</t>
  </si>
  <si>
    <t>REPLACEMENT OF L06 JVHW 027E STOPE. APPROVED ON OCT. 15, 2019.STOPPED ON NOV 25, 2019 DUE TO LOW CONSECUTIVE ASSAY GRADES ON CUT SAMPLES/BULK SAMPLES.</t>
  </si>
  <si>
    <t>ADDITIONAL SOURCE OF GOOD ORE. APPROVED ON OCTOBER 7, 2019. RENAMED FROM L07_GHVFW_004E_ROBBING TO L07_GHVFW_004W_ROBBING ON OCTOBER 9, 2019. STOPPED ON NOV 25, 2019.ALREADY FINISHED BREAKING THE CROWN PILLAR.</t>
  </si>
  <si>
    <t>REPLACEMENT OF L06_CV_004E_ROBBING APPROVED ON NOV 12,2019.STOPPED ON NOV 25, 2019 CONVERT TO ACTIVE BREAKING.</t>
  </si>
  <si>
    <t>L10_GHVFW_034E_RAISE</t>
  </si>
  <si>
    <t>L10_JVFW_069E_RAISE</t>
  </si>
  <si>
    <t>BADBADON L 3</t>
  </si>
  <si>
    <t>BADBADON L 8</t>
  </si>
  <si>
    <t>GEMENTIZA  1</t>
  </si>
  <si>
    <t>L07_GHVFW_028W_STOPE PREP</t>
  </si>
  <si>
    <t>REPLACEMENT OF L10 JVFW 053E_DE. APPROVED ON SEPT 17, 2019. STOPPED ON NOV 25, 2019 DUE TO BREAK THRU.</t>
  </si>
  <si>
    <t>REPLACEMENT OF L08 GHV 030W RAISE.APPROVED ON MAY 17, 2019.STOPPED DUE TO INSDUFFICIENT MANPOWER ON JUNE 4, 2019. RESUMED ON SEPT. 19, 2019 AND AT THE SAME TIME TRANSFER FROM DEMALATA 1 TO REVITA 1.STOPPED ON NOV 21, 2019 CONVERT TO ACTIVE BREAKING.</t>
  </si>
  <si>
    <t>L04_CTV5_014E_ROBBING</t>
  </si>
  <si>
    <t>L07_DPVE_035E_STOPE PREP</t>
  </si>
  <si>
    <t>L10_JVSPLIT_065E_RAISE</t>
  </si>
  <si>
    <t>L07_JVSPLIT_033E_STOPE PREP</t>
  </si>
  <si>
    <t>L07_GHVFW_021W_ROBBING</t>
  </si>
  <si>
    <t>REPLACEMENT OF L04_CTV5_015E_WINZE STOPE PREP. APPROVED ON OCT 11, 2019. STOPPED ON NOV 11, 2019 ALREADY FINISHED THE DRIVING FILL RAISE at the same time convert to pull-out cleaning. STOPPED ON NOV 26, 2019 ALREADY FINISHED PULL-OUT.</t>
  </si>
  <si>
    <t>REPLACEMENT OF L07_DPVE_029E_RAISE APPROVED ON NOV 13, 2019.STOPPED ON NOV 25, 2019 CONVERTED TO STOPE BREAKING.</t>
  </si>
  <si>
    <t>L06_JV_002E_WINZE</t>
  </si>
  <si>
    <t>L06_CTV_030E_RAISE</t>
  </si>
  <si>
    <t>REPLACEMENTOF L09_GHVHW_058E_RAISE. APPROVED ON SEPT. 16, 2019.TRANSFER FROM HUMIDING TO PANCIT NOEL ON NOV 6, 2019  DUE TO INSUFFICIENT  MANPOWER TO OPERATE  THE HEADING.STOPPED ON NOV 26, 2019 DUE TO LOW CONSECUTIVE LOW ASSAY GRADES ON CUT SAMPLES/BULK SAMPLES.</t>
  </si>
  <si>
    <t>REPLACEMENT OF L09 GHV 038E DE. APPROVED ON DECEMBER 22, 2017. TRANSFERRED FROM DELOS REYES TO TANEZA 3 ON JAN.03,2018 ENG'G WAS NOTIFIED ON JAN.17,2018 VERBAL ONLY. RENAMED FROM L09 GHVFW 039E RAISE TO L09 GHV 047E RAISE. TEMPORARY STOPPED ON JANUARY 18, 2018 TO PRIORITIZED L09 GHV 038E DE. TRANSFERRED TO PANSIT 5 FROM TANEZA 3 AS PER SCS MEMO ON JANUARY 25, 2018.ALREADY BREAKTHRU ON APRIL 13, 2018. RESUMED ON SEPT. 24, 2019 IN THE SAMETIME TRANSFERRED FROM PANSIT 5 TO SHEPHERD 1.STOPPED ON NOV 26, 2019  HAS A 6 M REMAINING BALANCE TO CONNECT TO L09 GHV 043E STOPE.</t>
  </si>
  <si>
    <t>ADDITIONAL PRODUCTION. APPROVED ON SEPTEMBER 4, 2019.STOPPED ON NOV 27, 2019 ALREADY MINED OUT.</t>
  </si>
  <si>
    <t>REPLACEMENT OF L05_CTV_015E RAISE APPORVED ON JULY 31, 2019.-LTS. STOPPED TOPSLICE AND CONVERTED TO SILL PILLAR ON SEPT 4, 2019 WITH ONLY 10 METERS TO ROB. Already done robbing pillar stopped on Sept 11, 2019. RESUMED ON OCT. 10 2019 TO DRIVE TOPSLICE ROBBING. TRANSFERRED FROM SHEPHERD P 2 TO SHEPHERD Z1 BY MANAGEMENT ON OCT 23, 2019.STOPPED ON NOV 26, 2019 DUE TO UNSAFE CONDITION</t>
  </si>
  <si>
    <t>REPLACEMENT OF L06_DPVE_024E_STOPE PREP APPROVED ON NOV 13, 2019. STOPPED ON NOV 27, 2019 ONVERT TO PULL-OUT CLEANING.</t>
  </si>
  <si>
    <t>PANCIT, NOEL 7</t>
  </si>
  <si>
    <t>L05_CTV_037E_WINZE</t>
  </si>
  <si>
    <t>L06_JV_002E_ROBBING</t>
  </si>
  <si>
    <t>DUHIG 6</t>
  </si>
  <si>
    <t xml:space="preserve">SHEPHERD Y </t>
  </si>
  <si>
    <t>L06_EDV_005W_RAISE</t>
  </si>
  <si>
    <t>L09_JVFW_016E_RAISE</t>
  </si>
  <si>
    <t>REPLACEMENT OF L09_DPVE_028E_Raise. APPROVED ON OCT 24, 2019. STOPPED ON NOV 29, 2019 ALREADY PINCHED OUT VEIN AT 10TH FLOOR - 8 ME.</t>
  </si>
  <si>
    <t>REPLACEMENT OF L10_NONE_063E_XCN. APPROVED ON OCT. 14, 2019. TEMP. STOPPED ON NOV. 6, 2019 DUE TO UNSERVISABLE ARE/LACK OF MANPOWER (ABSENTEEISM).RESUMED ON NOV 25, 2019 TRANSFER FROM PARAGUYA TO SHEPHERD B2.STOPPED ON NOV 29, 2019 DUE  TO SUCCESSIVE LOW CUT AND BULK GRADE SESULT.</t>
  </si>
  <si>
    <t>L08_JV_022W_RAISE</t>
  </si>
  <si>
    <t>REPLACEMENT OF L08_NONE_003W_XCN ON SEPT. 17, 2019. LOW DIPPING VEIN AVERAGING 35* STARTING FROM OPENING UP TO CURRENT BACK OF THE RAISE ON OCT 18, 2019.SOPPED ON NOV 29, 2019 PINCHED OUT VIEN.</t>
  </si>
  <si>
    <t>ADDITIONA HORIZONTAL DEVELOPMENT. APPROVED ON AUGUST 27, 2019. TRANSFERRED FROM RIPARIP 1 TO TAÑEZA 9 ON SEPT. 4, 2019. STOPPED ON NOV 29, 2019 DUE TO CONSECUTIVE LOW ASSAY GRADES ON CUT SAMPLES/ BULK SAMPLES.</t>
  </si>
  <si>
    <t>L10_JVFW_051E_DE</t>
  </si>
  <si>
    <t>REPLACEMENT OF L06_DPVE_024E_STOPE PREP APPROVED ON NOV 13, 2019. STOPPED ON NOV 27, 2019 CONVERT TO PULL-OUT CLEANING.STOPPED ON NOV 30, 2019 ALREADY FINISHED.</t>
  </si>
  <si>
    <t>REPLACEMENT OF L04_CTV_018W_WINZE STOPE PREP. APPROVED ON SEPT 11, 2019. THERE'S ONLY 10 METER REMANING PILLAR BALANCE TO CONNECT W/ THE L04 MAINLINE ON OCT. 10, 2019. stopped on oct 18, 2019 convert to pull-out cleaning. STOPPED ON NOV 30, 2019 NO MORE ORE TO PULL OUT.</t>
  </si>
  <si>
    <t>MARTINEZ, RONALD</t>
  </si>
  <si>
    <t>NACARIO, JAIME</t>
  </si>
  <si>
    <t>ADDITIONAL VERTICAL DEVELOPMENT. APPROVED ON AUGUST 30, 2019. Transferred from RIPARIP 2 to SHEPHERD B1 on November 16, 2019; former Team Leader will retire on November 18,2019. STOPPED ON NOV 22, 2019 DUE TO CONSECUTIVE LOW ASSAY GRADES ON CUT SAMPLES.</t>
  </si>
  <si>
    <t>L05_CTV_039E_WINZE</t>
  </si>
  <si>
    <t>L04_CTV_009W_RAISE</t>
  </si>
  <si>
    <t>L05_DPVE_021E_ROBBING</t>
  </si>
  <si>
    <t>L07_GHVFW_001W_RAISE</t>
  </si>
  <si>
    <t>VILLARANTE</t>
  </si>
  <si>
    <t>L06_CV_001E_DW</t>
  </si>
  <si>
    <t>L09_JVFW_024E_RAISE</t>
  </si>
  <si>
    <t>L09_DPVE2_070E_RAISE</t>
  </si>
  <si>
    <t>REPLACEMENT OF L08_GHV_038E_STOPE. APPROVED ON OCT 28, 2019. STOPPED ON DEC. 3, 2019 DUE TO CONSECUTIVE LWO ASSAY GRADES ON CUT SAMPLES/ BULK SAMPLES.</t>
  </si>
  <si>
    <t>REPLACEMENT OF L06_CTV_024E_WINZE APPROVED ON NOV 14, 2019. Stopped on November 22,2019 already breakthrough.RESUMED ON NOV 25, 2019 AS LEVEL MANAGER PARONDA.STOPPED ON DEC 2, 2019 due to low grade.</t>
  </si>
  <si>
    <t>REPLACEMENT OF L06_CTV_032E_RAISE APPROVED ON NOV 26, 2019.STOPPED ON DEC 2, 2019. vein pinched out</t>
  </si>
  <si>
    <t>L06_JVHW_017E_STOPE</t>
  </si>
  <si>
    <t>L07_JV_048E_RAISE</t>
  </si>
  <si>
    <t>SHEPHERD S.1</t>
  </si>
  <si>
    <t>L09_DPVE2_057E_RAISE</t>
  </si>
  <si>
    <t>REPLACEMENT OF L06_JVHW_017E_RAISE APPROVED ON NOV 12, 2019. STOPPED ON DECEMBER 3, 2019 CONVERTED TO STOPE BREAKING.</t>
  </si>
  <si>
    <t>QUIANO 5</t>
  </si>
  <si>
    <t>REPLACEMENT OF L04_CV_003W_ROBBING.APPROVED ON NOVEMBER 4, 2019.TRANSFER FROM MARTINEZ TO NACARIO ON NOV 29, 2019. STOPPED ON DEC 2, 2019 DUE TO UNSAFE CONDITION.</t>
  </si>
  <si>
    <t>REPLACEMENT OF L09_GHVHW_056E_RAISE.APPROVED ON SEPT 16, 2019. TEMP. STOPPED ON DECEMBER 3, 2019 DUE TO APPROCHING TO CONNECT AT L08 MAINLINE.</t>
  </si>
  <si>
    <t>REPLACEMENT OF L06_JV_002E_WINZE. APPROVED ON NOV. 27, 2019. STOPPED ON Dec 3, 2019 due to vein pinched out.</t>
  </si>
  <si>
    <t>REPLACEMENT OF L06_GHVFW_036W_STOPE PREP. APPROVED ON OCT. 16, 2019. STOPPED ON DEC 3, 2019 CONVERT TO PULL-OUT CLEANING.</t>
  </si>
  <si>
    <t>REPLACEMENT OF L10 JVFW 040E RAISE. APPROVED ON SEPT. 24, 2019. stoped on December 3, 2019 due to vein cut by multi-directional fault structures.</t>
  </si>
  <si>
    <t>ADDITIONAL HORIZONTAL DEVELOPMENT ON L03. APPROVED SEPT. 6, 2019. STOPPED ON DEC 4, 2019 DUE TO PINCHED OUT VEIN.</t>
  </si>
  <si>
    <t>REPLACEMENT OF L04_GHVFW_017E_STOPE APPROVED ON AUGUST 27, 2019. STOPPED ON OCT. 31, 2019 DUE TO ALREADY FINISHED.</t>
  </si>
  <si>
    <t>L07_JV_017E_WINZE</t>
  </si>
  <si>
    <t>L05_CTV_003W_ROBBING</t>
  </si>
  <si>
    <t>SHEPHERD Z.1</t>
  </si>
  <si>
    <t>BY PASS TO RECOVER PILLAR AT 001E ROBBING. APPROVED ON OCT 28, 2019. STOPPED ON DECEMBER 5, 2019 AS PER COORDINATION MEETING.</t>
  </si>
  <si>
    <t xml:space="preserve"> REPLACEMENT OF L08 GHV 004W WINZE. APPROVED ON SEPT. 26, 2019. STOPPED ON DECEMBER 5, 2019 ALREADY BREAK THROUGH.</t>
  </si>
  <si>
    <t>REPLACEMENT OF L06_GHVFW_036W_STOPE PREP. APPROVED ON OCT. 16, 2019. STOPPED ON DEC 3, 2019 CONVERT TO PULL-OUT CLEANING. Already done pull out cleaning on Dec 5, 2019.</t>
  </si>
  <si>
    <t>L06_CV_016W_RAISE</t>
  </si>
  <si>
    <t>L06_JVFW_007E_ROBBING</t>
  </si>
  <si>
    <t>L06_CV_006W_STOPE PREP</t>
  </si>
  <si>
    <t>L06_JVFW_025E_ROBBING</t>
  </si>
  <si>
    <t>L07_GHVFW_025W_STOPE</t>
  </si>
  <si>
    <t>REPLACEMENT OF L07_GHVFW_025W_RAISE APRROVED ON NOV. 6, 2019. TEMPORARY STOPPED ON DECEMBER 4, 2019 DUE TO LOSE ROCK AREA. STOPPED ON DECEMBER 6, 2019 CONVERT TO ACTIVE BREAKING.</t>
  </si>
  <si>
    <t>FILL WINZE TO BE CONNECTED TO STOPE AT L08. APPROVED ON NOV 23, 2019. STOPPED ON DECEMBER 3, 2019 DUE TO PRIORITIE ORE WORKING PLACE.</t>
  </si>
  <si>
    <t>L11_JVFW_055E_WINZE</t>
  </si>
  <si>
    <t>L05_JVHW_037E_DE</t>
  </si>
  <si>
    <t>L04_CTV_018W_ROBBING</t>
  </si>
  <si>
    <t>REPLACEMENT OF L04 CTV 018W WINZE STOPE. APPROVED ON NOV. 30, 2019. INCLINED RAISE. STOPPED ON DEC 6 2019 DUE TO VEIN PINCHED OUT</t>
  </si>
  <si>
    <t>L05_CTV_006E_STOPE PREP</t>
  </si>
  <si>
    <t>L06_JVHW_026E_STOPE</t>
  </si>
  <si>
    <t>L06_GHVFW_020W_WINZE</t>
  </si>
  <si>
    <t>ADDITIONAL INCLINED RAISE APPROVED ON NOV 14, 2019. STOPPED ON DEC 7, 2019 DUE TO CONSECUTIVE LOW ASSAY GRADES ON CUT SAMPLES/BULK SAMPLES.</t>
  </si>
  <si>
    <t>REPLACEMENT OF L04_NONE_034E_XCN. APPROVED ON NOV 22, 2019. STOPPED ON DEC 7, 2019 DUE TO CONSECUTIVE LOW ASSAY GRADES ON CUT SAMPLES /BULK SAMPLES</t>
  </si>
  <si>
    <t>REPLACEMENT OF L04_JVSPLIT_022W_DW APPROVED ON NOV 22, 2019. STOPPED ON DEC 7, 2019 DUE TO CONSECUTIVE LOW ASAY GRADES ON CUT SAMPLES/BULK SAMPLES.</t>
  </si>
  <si>
    <t>L04_JVSPLIT_023E_DW</t>
  </si>
  <si>
    <t>L04_CTV_008W_DE</t>
  </si>
  <si>
    <t>REPLACEMENT OF L09_GHVFW_062E_STOPE PREP. APPROVED ON SEPT. 6, 2019 convert to stope breaking. STOPPED ON DEC. 8, 2019 BECAUSE THE VEIN, AFTER EVALUATION OF IPR, SHOWS NO PHYSICAL IMPROVEMENT AND STILL PRODUCE BELOW CUT OFF GRADE- CONVERT TO STOPE PULL OUT.</t>
  </si>
  <si>
    <t>REPLACEMENT OF L09_GHV_046E_STOPE PREP. APPROVED ON OCT. 3, 2019. STOPPED ON DEC. 8, 2019 AFTER EVALUATION OF VEIN IN INTERNAL PROBE RAISE WHICH SHOWS NO PHYSICAL IMPROVEMENT AND STILL PRODUCE BELOW CUT OFF GRADE. CONVERT TO PULL OUT ON DEC. 8, 2019.</t>
  </si>
  <si>
    <t>REPLACEMENT OF L08_GHVFW_002E STOPE PREP.APPROVED ON AUGUST 31, 2019. STOPPED ON NOV 14, 2019 DUE TO ALREADY FINISHED DRIVING FILL RAISE/FINISHED STOPE BACK BREAKING.APPROVED ON NOV 15, 2019  CONVERT TO PULL OUT CLEANING.STOPPED ON DECEMBER 9 2019 ALREADY MINED OUT.</t>
  </si>
  <si>
    <t>REPLACEMENT OF L05 NONE 038W XCN. APPROVED ON DECEMBER 4, 2019. STOPPED ON DEEMBER 9, 2019 DUE TO CONSECUTIVE LOW ASSAY GRADES ON CUT SAMPLES/ BULK SAMPLES.</t>
  </si>
  <si>
    <t>REPLACEMENT OF L06_GHVFW_031W_STOPE PREP. APPROVED ON SEPT 16, 2019. STOPPED ON DECEMBER 9, 2019 DUE TO CONSEUCITVE LOW ASSAY GRADE ON CUT SAMPLE/ BULK SAMPLE.</t>
  </si>
  <si>
    <t>REPLACEMENT OF L06_JVHW_027E_RAISE. APPROVED ON NOV 23, 2019. STOPPED ON DECEMBER 9, 2019 DUE TO CONSECUTIVE LOW ASSAY GRADE AND ALREADY PINCHED OUT VEIN TO 0.10M VEIN WIDTH.</t>
  </si>
  <si>
    <t>REPLACEMENT OF L06 JV 002E ROBBING. APPROVED ON DECEMBER 4, 2019. STOPPED ON DECEMBER 9 2019 DUE TO CONSEUCITVE LOW ASSAY GRADE ON CUT SAMPLES AND ALREADY PINCHED OUT VEIN TO 0.10M VEIN WIDTH.</t>
  </si>
  <si>
    <t>REPLACEMENT OF L08_NONE_027W_XCN. APPROVED ON OCT. 16, 2019. TEMP STOPPED ON NOV 29, 2019 DUE TO UNSAFE CONDITION. Resumed on December 5, 2019  STOPPED ON DECEMBER 9, 2019 DUE TO UNSAFE CONDITION.</t>
  </si>
  <si>
    <t>REPLACEMENT OF L07_GHVFW_066E_RAISE APPROVED ON NOV 19, 2019. Stopped on December 9,2019 due to vein pinched out.</t>
  </si>
  <si>
    <t>ADDITIONAL SOURCE OF GOOD ORE.APPROVED ON MARCH 20, 2019. STOPPED ON AUGUST 29, 2019 RECOMMEND TO STOPE BREAKING THE CROWN PILLAR.RESUMED ON NOV 20, 2019 AS SILL PILLAR ROBBING TRANSFER FROM SHEPHERD O TO BORERO. Stopped on December 9,2019 already finished robbing sill pillar.</t>
  </si>
  <si>
    <t>REPLACEMENT OF L10 GHV 056E RAISE. APPROVED ON SEPT. 24, 2019.STOPPED ON NOV 15, 2019 DUE TO CONSECUTIVE LOW ASSAY GRADES ON CUT SAMPLES/BULK SAMPLES./PINCHED OUT VEIN W/ NO TEXTURAL VEIN IMPROVEMENT.RESUMED ON NOV 25, 2019. Stopped on December 9,2019 due to consecutive low assay grade and vein pinched out.</t>
  </si>
  <si>
    <t>L07_JV_007E_RAISE</t>
  </si>
  <si>
    <t>L10_DPVE_044E_STOPE PREP</t>
  </si>
  <si>
    <t>L10_JVFW_049E_RAISE</t>
  </si>
  <si>
    <t>L09_JVSPLIT_072E_RAISE</t>
  </si>
  <si>
    <t>COMMON AREA. APPROVED ON SEPT. 25, 2019. PERMANENT WORKPLACE ADDITIONAL VERTICAL DEVELOPMENT ON OCT 22, 2019. stopped on december 5, 2019 due to already break Thru.</t>
  </si>
  <si>
    <t>REPLACEMENT OF L08_JVSPLIT_019E_STOPE.APPROVED ON NOV 8, 2019.TRANSFERED FROM LERIO TO MIGUEL AGLOLO ON NOV 8, 2019. temp. stopped on december 11, 2019</t>
  </si>
  <si>
    <t>L08_GHV_006E_RAISE</t>
  </si>
  <si>
    <t>L07_NONE_030W_XCN</t>
  </si>
  <si>
    <t>REPLACEMENT OF L07_JVFW_037E_RAISE. APPROVED ON OCT. 18, 2019. TRANSFERRED FROM SHEPHERD Z TO SHEPHERD P2 ON OCT 22, 2019. (SHEPHERD Z, INVOLVED IN HIGHGRADING) STOPPED AND CONVERT TO ACTIVE BREAKING ON DECEMBER 11, 2019.</t>
  </si>
  <si>
    <t>L07_JV_037E_STOPE</t>
  </si>
  <si>
    <t>ADDITIONAL PRODUCTION TONNAGE. APPROVED ON DECEMBER 2, 2019. STOPPED ON DECEMBER 11, 2019 DUE TO CONSECUTIVELY PRODUCING BELOW CUT OFF GRADE .</t>
  </si>
  <si>
    <t>REPLACEMENT OF L06_EDV_005W_RAISE. APPROVED ON DECEMBER 2, 2019. STOPPED ON DECEMBER 9. 2019 CONVERTED TO WINZE.</t>
  </si>
  <si>
    <t>REPLACEMENT OF L06_JVHW_027E_RAISE APPROVED ON NOV 19, 2019.STOPPED ON DECEMBER 5, 2019. CONVERTED TO ACTIVEBREAKING</t>
  </si>
  <si>
    <t>L06_GHVFW_028W_WINZE</t>
  </si>
  <si>
    <t>MANZANO</t>
  </si>
  <si>
    <t xml:space="preserve">REPLACEMENT OF L09 JVFW 055E STOPE PREP. APPROVED ON MAY 15,2019. STOPPED ON DECEMBER 11, 2019 CONVERT TO PULL-OUT </t>
  </si>
  <si>
    <t>REPLACEMENT OF L04 JV 002E DE. APPROVED ON SEPT. 25, 2019. STOPPED  AND RECOMMENDED FOR ACTIVE STOPE BREAKING ON OCTOBER 14, 2019</t>
  </si>
  <si>
    <t>REPLACEMENT OF L04_CTV5_015E_WINZE STOPE PREP. APPROVED ON OCT 11, 2019. STOPPED ON NOV 11, 2019 ALREADY FINISHED THE DRIVING FILL RAISE AND THE SAME TIME CONVERT TO ACTIVE PULL-OUT</t>
  </si>
  <si>
    <t xml:space="preserve">REPLACEMENT OF L04_JV_002E_WINZE STOPE PREP. APPROVED ON OCT 18, 2019. STOPPED ON NOV 11, 2019 DUE TO ALREADY FINISHED BREAKING AND HAS ALREADY REACHED THE DESIGN PILLAR. STOPPED BREAKING CONVERT TO PULL-OUT CLEANING ON NOV 18, 2019 </t>
  </si>
  <si>
    <t>REPLACEMENT OF L07_CTV_005E_STOPE PREP. APPROVED ON OCTOBER 11, 2019. STOPPED ON DECEMBER 12, 2019 DUE TO CONSECUTIVE LOW ASSAY GRADES ON CUT SAMPLES.</t>
  </si>
  <si>
    <t>REPLACEMENT OF L07_JVHW_053E_DE APPROVED ON NOV 19, 2019. STOPPED ON DECEMBER 12, 2019 DUE TO CONNECTED TO THE OLD STOPE.</t>
  </si>
  <si>
    <t>REPLACEMENT OF L06 DPVE 020E RAISE. APPROVED ON DECEMBER 5, 2019. STOPPED ON DECEMBER 12, 2019 DUE TO CONSECUTIVE LOW ASSAY GRADE ON CUT SAMPLES/ BULK SAMPLES.</t>
  </si>
  <si>
    <t>REPLACEMENT OF L10_GHV_001E_STOPE PREP. APPROVED ON AUGUST 28, 2019.temporary stopped on Sept 24, 2019 to proceed raising. Permanently stopped on December 13,2019 due to consecutive low assay grade as per Warner.</t>
  </si>
  <si>
    <t>ADDITIONAL VERTICAL DEVELOPMENT. APPROVED ON APRIL 24, 2018. STOPPED ON JUNE 9, 2018 DUE TO LOW GRADE FOLLOW UP MEMO TO GEO. Resumed on November 18,2019 at the same time transfer from PANSIT 4 to HUMIDING 1.CHANGE FROM 015E TO 016E RAISE ON NOV 29, 2019. STOPPED ON DECEMBER 12, 2019 DUE TO CONSECUTIVE LOW ASSAY GRADE ON CUT SAMPLES/ BULK SAMPLES.</t>
  </si>
  <si>
    <t>REPLACEMENT OF L09 NONE 015E XCN. APPROVED ON SEPT. 25, 2019.RENAMED FROM L09_JVHW_013E_DE TO L09_JVHW_013E_DW ON OCTOBER 9, 2019. Temporary stopped on October 17,2019 to prioritized drift east. RESUMED ON NOV. 25, 2019 AS PER NDELA PENA. TEMP. STOPPED ON DECEMBER 12, 2019 DUE TO MINIMIZE WASTE CONTRIBUTION IN LEVEL 9 ASPER AGREEMENT BY ALL DEPARTMENT.</t>
  </si>
  <si>
    <t>ADDITIONAL VERTICAL DEVELOPMENT. APPROVED ON OCT 29, 2019.RENAMED ON NOVEMBER 4, 2019 FROM L09_DPVE3_042E_RAISE TO L09_JV_042E_RAISE. STOPPED ON DECEMBER 12, 2019  DUE TO CONSECUTIVE LOW ASSAY GRADES ON CUT SAMPLES./ BULK SAMPLES.</t>
  </si>
  <si>
    <t>REPLACEMENT OF L05_JV_033E_DW APPROVED ON NOV 19, 2019.  STOPPED ON DECEMBER 13, 2019 CONVERT TO ACTIVE BREAKING.</t>
  </si>
  <si>
    <t>REPLACEMENT OF L04_CTV5_015E_WINZE_STOPE ON NOV 26, 2019. STOPPED ON DECEMBER 13, 2019 DUE TO ALREADY REACHED THE RECOMMENDED STRIKE LENGTH/CROWN PILLAR.</t>
  </si>
  <si>
    <t>REPLACEMENT OF L04 GHVFW 007E DW. Approved on Oct 28, 2019. STOPPED ON DECEMBER 13, 2019 DUE TO CONSECUTIVE LOW ASSAY GRADES ON CUT SAMPLES/ BULK SAMPLES.</t>
  </si>
  <si>
    <t>REPLACEMENT OF L09 DPVE3 062E RAISE. APPROVED ON SEPT. 30, 2019. STOPPED ON NOV 26, 2019 PINCHED OUT VEIN 0.05. RESUMED ON NOV 28, 2019 INCLINED TO THE WEST. Stopped on December 12,2019 due to pinched out and consecutive low assay grade.</t>
  </si>
  <si>
    <t>L09_GHVHW_071E_RAISE</t>
  </si>
  <si>
    <t>REPLACEMENT OF L05_NONE_037E_XCN. APPROVED ON DECEMBER 4, 2019. RENAMED ON DECEMBER 6, 2019 FROM L05_DPVE_037E_DE TO L05 L05_JVHW_037E_DE. Stopped on December 15,2019 due to breakthrough to old mainline.</t>
  </si>
  <si>
    <t>L05_JVHW_038E_DW</t>
  </si>
  <si>
    <t>L10_GHVSPLIT_064E_DW</t>
  </si>
  <si>
    <t>REPLACEMENT OF L08_JV_023W_DW. APPROVED ON OCTOBER 31, 2019. Stopped on December 15,2019 already hit the target vein.</t>
  </si>
  <si>
    <t>L08_GHVSPLIT_067E_DW</t>
  </si>
  <si>
    <t>REPLACEMENT OF L10_DPVE_060E_STOPE. APPROVED ON OCT. 18, 2019 Stopped December 9,2019 convert to pull out cleaning due to vein pinched out.</t>
  </si>
  <si>
    <t>REPLACEMENT OF L06 CTV 025E WINZE STOPE PREP. APPROVED ON APRIL 15, 2019. TEMPORARY STOPPED ON JULY 25,2019 DUE TO DAMAGE AIRHOIST. RESUMED ON 7/30/19/ CONTINUED IPR ON SEPT. 2, 2019 DUE TO CONSECUTIVE LOW ASSAY GRADES ON CUT SAMPLES/BULK SAMPLES. STOPPED ON OCT 31, 2019 ALREADY REAXCHED THE RECOMMENDED STRIKE LENGTH/CROWN PILLAR AND CONVERT TO PULL-OUT. STOPPED ON DECEMBER 16, 2019 ALREADY FINISHED.</t>
  </si>
  <si>
    <t>REPLACEMENT OF L06 GHVFW 036W STOPE. APPROVED ON DECEMBER 5, 2019. TEMP. STOPPED ON DECEMBER 16, 2019 DUE TO LACK OF MANPOWER.</t>
  </si>
  <si>
    <t>L05_CV_030W_WINZE</t>
  </si>
  <si>
    <t>L07_DPVE_035E_STOPE</t>
  </si>
  <si>
    <t>L07_JV_049E_STOPE</t>
  </si>
  <si>
    <t>REPLACEMENT OF L07_DPVE_035E_RAISE. APPROVED ON NOV 25, 2019. STOPPED ON DECEMBER 16, 2019 CONVERT TO ACTIVE BREAKING.</t>
  </si>
  <si>
    <t>REPLACEMENT OF L04_JV_002E_WINZE STOPE APPROVED ON NOV 22, 2019. TEMPORARY STOP 12/8/19 by (WBO). Resumed on December 9 2019, In the same time Renamed from OY-YOY 1 to Shepherd Z. STOPPED ON DECEMBER 16, 2019 ALREADY REACED THE RECOMMENDED STRIKE LENGTH/CROWN PILLAR.</t>
  </si>
  <si>
    <t>REPLACEMENT OF L05_GHV_046W_DW. APPROVED ON OCT 29, 2019. STOPPED ON DECEMBER 16, 2019 DUE CONSECUTIVELY PRODUCING BELOW CUT OFF GRADE DUE TO POOR VEIN MINIRALIZATION.</t>
  </si>
  <si>
    <t>REPLACEMENT OF L10_JVFW_046E_DW. APPROVED ON NOV. 4, 2019. STOPPED ON DECEMBER 16, 2019 CONVERTED TO ACTIVE BREAKING.</t>
  </si>
  <si>
    <t>L10_JVSPLIT_057E_STOPE</t>
  </si>
  <si>
    <t>REPLACEMENT OF L10_GHV_037E_WINZE. APPROVED ON OCT 28 2019 SPECIAL PROJECT SERVICXE WINZE, CONTINGENCY PLAN ACCESS IN CLEANING 48E SHAFT BOTTOM. STOPPED ON DECEMBER 16, 2019 ALREADY BREAK THROUGH</t>
  </si>
  <si>
    <t>REPLACEMENT OF L08 DPVE 069E STOPE PREP. APPROVED ON SEPT. 23, 2019.ON OCTOBER 21, 2019 OVERDRAWN CHUTE WAS OBSERVED LOCATED AT THE SECOND CHUTE FROM EASTERN MANWAY. RECOMMENDED TO EVEN THE PULL-OUT OF ORE CHUTES TO PREVENT OVERDRAWING AND SECONDARY DILUTION CAUSED BY SLABBING OF HANGING WALL.STOPPED ON DECEMBER 16, 2019 CONVERTED TO PULL-OUT CLEANING.</t>
  </si>
  <si>
    <t>REPLACEMENT OF L08_GHV_005E_DE. APPROVED ON DECEMBER 11, 2019. STOPPED ON DECEMBER 16, 2019 DUE TO CONSECUTIVE LOW ASSAY GRADES ON CUT SAMPLES/ BULK SAMPLES.</t>
  </si>
  <si>
    <t>REPLACEMENT OF L06_CTV_040E_RAISE. APPROVED ON NOV 23, 2019. DECEMBER 6, 2019 AS OPERATION MEMO OBSERVATION BREAKTHROUGH @ OLD MAINLINE. STOPPED ON DECEMBER 16, 2019 DUE TO PINCHED OUT VEIN. ALREADY CONNECTED TOWARDS ADJACENT DRIVES.</t>
  </si>
  <si>
    <t>L05_JVHW_039E_RAISE</t>
  </si>
  <si>
    <t>L04_NONE_019W_XCS</t>
  </si>
  <si>
    <t>L10_GHV_039E_WINZE</t>
  </si>
  <si>
    <t>L08_GHV_005E_RAISE</t>
  </si>
  <si>
    <t>L08_GHV_003E_RAISE</t>
  </si>
  <si>
    <t>REPLACEMENT OF L08_DPVE_013E_STOPE. APRROVED ON NOV 8, 2019. STOPPED ON DECEMBER 12, 2019 DUE TO VEIN PINCHED OUT,</t>
  </si>
  <si>
    <t>L08_JVSPLIT_028E_RAISE</t>
  </si>
  <si>
    <t>L08_JV_064E_STOPE PREP</t>
  </si>
  <si>
    <t>REPLACEMENT OF L08_JV_070E_RAISE AS BLOCKING RAISE. APPROVED ON SEPT. 10 2019. Stopped on Sept 14, 2019 due to insufficient Manpower. RESUMED ON NOV. 4, 2019.STOPPED ON DECEMBER 17, 2019 DUE TO PINCHED OUT VEIN.</t>
  </si>
  <si>
    <t>ADDITIONAL VERTICAL DEVELOPMENT. APPROVED ON DECEMBER 3, 2019. STOPPED ON DECEMBER 16, 2019 DUE TO BREAKTHROUGH</t>
  </si>
  <si>
    <t>MARTINEZ DN 4</t>
  </si>
  <si>
    <t>ADDITIONAL HORIZONTAL DEVELOPMENT APPROVED ON NOV. 8, 2019. TEMP. STOPPED ON DECEMBER 18, 2019 DUE TO ABSENTEEISM OF MEN RESULTING TO ABANDONMENT OF WORKPLACE</t>
  </si>
  <si>
    <t>REPLACEMENT OF L05 DPVE 021E ROBBING. APPROVED ON DECEMBER 11, 2019. STOPPED ON DECEMBER 18, 2019 DUE TO PINCHED OUT VEIN.</t>
  </si>
  <si>
    <t>L05_RYV_019E_ROBBING</t>
  </si>
  <si>
    <t>L09_JV_052E_RAISE</t>
  </si>
  <si>
    <t>REPLACEMENT OF L09 GHV 064E STOPE PREP. APPROVED ON MARCH 25, 2019. TEMP. STOPPED ON SEPT 13, 2019 TO PRIORITIZE THE BREAKING OF THE RAISE. CONVERT TO PULL-OUT CLEANING ON SEPT. 25, 2019. STOPPED ON DECEMBER 15,2019 ALREADY MINED OUT.</t>
  </si>
  <si>
    <t>L07_JVHW_054E_RAISE</t>
  </si>
  <si>
    <t>REPLACEMENT OF L05 CTV 002W ROBBING. APPROVED ON DECEMBER 4, 2019. STOPPED ON DECEMBER 18, 2019 ALREADY FINISHED</t>
  </si>
  <si>
    <t>ADDITIONAL VERTICAL DEVELOPMENT.APPROVED ON NOV. 8, 2019. STOPPED ON DECEMBER 21, 2019 DUE TO BREAKTHROUGH TO L10 GHV 004E STOPE</t>
  </si>
  <si>
    <t>REPLACEMENT OF L10 GHV 039E RAISE. APPROVED ON SEPT 17, 2019. STOPPED ON DECEMBER 21, 2019 DUE TO CONSECUTIVE LOW ASSAY GRADES ON CUT SAM-PLES/ BULK SAMPLES.</t>
  </si>
  <si>
    <t>L09_DPVE_028E_STOPE PREP</t>
  </si>
  <si>
    <t>PANCIT NOEL 6</t>
  </si>
  <si>
    <t>L08_GHVHW_046E_DE</t>
  </si>
  <si>
    <t>REPLACEMENT OF L06 GHVFW 022W STOPE PREP. APPROVED ON JULY 27,2019.EVALUATION ON OCT. 23, 2019 RECOMMENDED FOR IPR AT 10MW FROM MAN WAY. STOPPED ON OCT 25, 2019 CONVERT TO PULL-OUT CLEANING. Transferred from BUGAWAN 2 to BAÑEZ 10 due to lack of man power; memo to follow by SCS; Nov. 26, 2019. Stopped on Dec 23, 2019, have already mined out as per LM with 76% pullout.</t>
  </si>
  <si>
    <t>L10_JVSPLIT_070E_RAISE</t>
  </si>
  <si>
    <t>L08_JVFW_068E_DW</t>
  </si>
  <si>
    <t>L07_JVSPLIT_032E_RAISE</t>
  </si>
  <si>
    <t>SHEPHERD W.2</t>
  </si>
  <si>
    <t>SHEPHERD Q.2</t>
  </si>
  <si>
    <t>REPLACEMENT OF L07_JV_042E_STOPE_PREP ON NOV 8, 2019. temp stopped on december 18 2019 due to lack of manpower. RESUMED ON DECEMBER 19, 2019. STOPPED ON JANUARY 6, 2019 CONVERTED TO PULL-OUT</t>
  </si>
  <si>
    <t>L06_GHVSPLIT_032W_STOPE PREP</t>
  </si>
  <si>
    <t>REPLACEMENT OF L06_GHVSPLIT_034W_DE. APPROVED ON OCT. 18, 2019. STOPPED  ON JANUARY 6, 2020 CONVERTED TO STOPE PREP.</t>
  </si>
  <si>
    <t>REPLACMENT OF L06_JVFW_018W_RAISE. APPROVED ON OCTOBER 1, 2019. STOPPED ON OCT. 17, 2019 DUE TO ALREADY CONNECTED TO THE OLD MAINLINE. RESUMED ON DECEMBER 16, 2019 IN THE SAME TIME TRANSFERRED FROM REBOTE 3 TO BAÑEZ 1. TEMPORARY STOPPED ON JANUARY 6, 2020 FOR EVALUATION BY GEO.</t>
  </si>
  <si>
    <t>L08_JV_074E_STOPE PREP</t>
  </si>
  <si>
    <t>L06_JVHW_024E_STOPE PREP</t>
  </si>
  <si>
    <t>REPLACEMENT OF L08_JV_062E_DE. APPROVED OCT 29, 2019. RENAMED FROM L08_JV_062E_STOPE PREP TO L08_JVFW_062E_STOPE PREP ON 11/2/2019. STOPPED ON DECEMBER 26, 2019 CONVERTED TO ACTIVE BREAKING.</t>
  </si>
  <si>
    <t>L10_JV_011E_DE</t>
  </si>
  <si>
    <t>REPLACEMENT OF L10_GHVHW_054E_DE. APPROVED ON NOV 29, 2019. STOP PINCHED-OUT VEIN 1/7/20</t>
  </si>
  <si>
    <t xml:space="preserve">REPLACEMENT OF L09_GHVHW_057E_DE. APPROVED ON OCT. 24, 2019. TEMP. STOPPED ON OCT 29, 2019 DUE TO PRIORITIZED FOLLOW UP OF RAISE.RESUMED ON NOV 8, 2019. TEMP STOP 1/7/20, TO PRIORITIZE L09_GHVHW_071E RAISE PREP. </t>
  </si>
  <si>
    <t xml:space="preserve">ADDITIONAL HORIZONTAL DEVELOPMENT. APPROVED ON OCT 28, 2019. STOP ON 1/7/20 , BREAKTHROUGH TO OTHER MAINLINE. </t>
  </si>
  <si>
    <t>L09_DPVE_033E_RAISE</t>
  </si>
  <si>
    <t xml:space="preserve"> REPLACEMENT OF L10_JVSPLIT_057E_RAISE. APPROVED ON SEPT 26, 2019. stopped on January 7, 2020 already wireframe and design.</t>
  </si>
  <si>
    <t>L06_JVHW_028W_DE</t>
  </si>
  <si>
    <t>L06_JVHW_030W_RAISE</t>
  </si>
  <si>
    <t xml:space="preserve">REPLACEMENT OF L06_CV_005E_ROBBING.APPROVED ON NOV 23, 2019. STOPPED ON JANUARY 7, 2020 DUE TO PINCHED OUT VEIN. </t>
  </si>
  <si>
    <t>L07_DPVE_026E_ROBBING</t>
  </si>
  <si>
    <t>L07_JVSPLIT_024E_RAISE</t>
  </si>
  <si>
    <t>REPLACEMENT OF L07_DPVE_027E_WINZE.APPROVED ON NOV 20, 2019. STOPPED ON JANUARY 8 2020 DUE TO CONSECUTIVE LOW ASSAY GRADES ON CUT SAMPLE</t>
  </si>
  <si>
    <t>REPLACEMENT OF L07 GHVFW 026W STOPE PREP. APPROVED ON DECEMBER 6, 2019. STOPPED BREAKING ON JANUARY 9 2020 IN THE SAME TIME CONVERTED TO PULL-OUT CLEANING</t>
  </si>
  <si>
    <t>REPLACEMENT OF L08_NONE_067E_XCN. APPROVED ON DECEMBER 21, 2019. STOPPED ON JANUARY 9 2020 DUE TO PINCHED OUT VEIN.</t>
  </si>
  <si>
    <t>L07_JVSPLIT_059E_STOPE PREP</t>
  </si>
  <si>
    <t>REPLACEMENT OF L08_DPVE_014E_STOPE . APPROVED ON OCT 29, 2019. RENAMED FROM L08_GHVFW_048E_RAISE TO L08_GHV_048E_RAISE ON 11/2/2019. STOPPED ON DECEMBER 16 2019 DUE TO CONSECUTIVE LOW ASSAY GRADES ON CUT SAMPLE BULK SAMPLE</t>
  </si>
  <si>
    <t>REPLACEMENT OF L06_CV_001E_WINZE. APPROVED ON DECEMBER 2, 2019. STOPPED ON JANUARY 10 2020 DUE TO CONSECUTIVE LOW ASSAY RADES ON CUT SAMPLE/ BULK SAMPLE</t>
  </si>
  <si>
    <t>REPLACEMENT OF L10_JVSPLIT_064E_RAISE APPROVED ON NOV 22, 2019. CONVERTED TO STOPE BREAKING ON DECEMBER 20, 2019</t>
  </si>
  <si>
    <t>REPLACEMENT OF L09 GHVSPLIT 048E STOPE PREP. APPROVED ON APRIL 20,2019.APPROVED ON NOV 22, 2019 CONVERT TO PULL-OUT CLEANING.STOPPED ON JAN 11, 2020 DUE TO CONSECUTIVE LOW ASSAY GRADE ON CUT SAMPLES/BULK SAMPLES.</t>
  </si>
  <si>
    <t>L10_GHVFW_038E_DE</t>
  </si>
  <si>
    <t>REPLACEMENT OF L10_GHVSPLIT_063E_DE. APPROVED ON NOV. 4, 2019. Stopped on December 20,2019 convert to active breaking.</t>
  </si>
  <si>
    <t>L10_GHV_056E_STOPE</t>
  </si>
  <si>
    <t>L10_JVSPLIT_064E_STOPE</t>
  </si>
  <si>
    <t>L06_CTV_016E_ROBBING</t>
  </si>
  <si>
    <t>L06_CV_001E_DE</t>
  </si>
  <si>
    <t>REPLACEMENT OF L04 JV 016W STOPE PREP. APPROVED ON AUGUST 9, 2019.CHANGE NAME OF VEIN FOR WORKING PLACES BASED ON GEOLOGICAL INTERPRETATION FROM L04_JV_016W_STOPE RENAME TO L04_CTV_016W_STOPE ON NOV 6, 2019. Stopped breaking on November 16,2019 already done fill raise at the same time convert to pull-out cleaning. STOPPED ON JANUARY 12, 2020 ALREADY FINISHED TO PULL-OUT.</t>
  </si>
  <si>
    <t>REPLACEMENT OF L07_JV_042E_STOPE_PREP ON NOV 8, 2019. temp stopped on december 18 2019 due to lack of manpower. RESUMED ON DECEMBER 19, 2019. STOPPED ON JANUARY 6, 2020 CONVERTED TO PULL-OUT. STOPPED ON JANUARY 13, 2020 ALREADY MINED OUT.</t>
  </si>
  <si>
    <t>ADDITIONAL VERTICAL DEVELOPMENT. APPROVED ON DECEMBER 23, 2019. TEMPORARY STOPPED ON JANUARY 8 2020.</t>
  </si>
  <si>
    <t>REPLACEMENT OF L07_JV_049E_STOPE PRE. APPROVED ON DECEMBER 16, 2019. Converted to pull-out Cleaning on January 13, 2020</t>
  </si>
  <si>
    <t>REPLACEMENT OF L06_CV_004E_DE.APPROVED ON NOV 23, 2019. STOPPED ON JANUARY 13, 2020 ALREADCY CONNECTED TOWARDS OLD L06_JV_048E_RAISE MAN WAY.</t>
  </si>
  <si>
    <t>ADDITIONAL VERTICAL DEVELOPMENT. APPROVED ON OCT. 18, 2019. Transferred from RIPARIP 2 to SHEPHERD B1 on November 16, 2019; former Team Leader will retire on November 18,2019. STOPPED ON JANUARY 12 2020 ALREADY REACHED THE RECOMMENDED STRIKE LENGTH/ CROWN PILLAR.</t>
  </si>
  <si>
    <t>REPLACEMENT OF L04_NONE_028W_XCS APPROVED ON SEPT. 17, 2019. TEMP. STOPPED ON SEPT 18, 2019 UNDER REHAB. Resumed on sept. 30, 2019 to proceed in topslice. L04_GHV_029W_ROBBING TRANSFER FROM NACARIO TO MARTINEZ RONALD ON NOV 30, 2019. STOPPED ON JANUARY 13, 2020 DUE TO  CONSECUTIVE LOW ASSAY GRADES ON CUT SAMPLES/ BULK SAMPLES./</t>
  </si>
  <si>
    <t>L04_NONE_028W_XCN</t>
  </si>
  <si>
    <t>L09_NONE_075E_XCS</t>
  </si>
  <si>
    <t>L10_JVFW_069E_STOPE PREP</t>
  </si>
  <si>
    <t>L10_GHVHW_054E_RAISE</t>
  </si>
  <si>
    <t>REPLACEMENT OF L05_CTV_006E_RAISE. APPROVED ON DECEMBER 6, 2019. STOPPED RECOMMENDED FOR ACTIVE STOPE BREAKING ON JANUARY 8 2020.</t>
  </si>
  <si>
    <t>L05_CTV_006E_STOPE</t>
  </si>
  <si>
    <t>FOR THE PURPOSE OF ELECTRICAL SUBSTATION APPROVED ON NOV 14, 2019. STOPPED ON JANUARY13, 2020</t>
  </si>
  <si>
    <t>REPLACEMENT OF L09_JVFW_025E_RAISE. APPROVED ON OCTOBER 27, 2019. TEMPORARY STOPPED ON JANUARY 8, 2020 FOR EVUALATION.STOPPED ON JAN 14, 2020 CONVERTED TO STOPE PREP.</t>
  </si>
  <si>
    <t>L09_GHVHW_026E_STOPE PREP</t>
  </si>
  <si>
    <t>L07_JV_031E_WINZE</t>
  </si>
  <si>
    <t>L09_JVFW_056E_STOPE PREP</t>
  </si>
  <si>
    <t>REPLACEMENT OF L06_CV_002E_STOPE PREP CONVERT TO BREAKING ON NOV 25, 2019. STOPPED BREAKING ON JANUARY 7, 2020, CONVERT TO STOPE PULL OUT</t>
  </si>
  <si>
    <t>REPLACEMENT OF L06_JV_010E_RAISE. APPROVED ON SEPT. 19, 2019. TEMP STOPPED. ON SEPT. 27, 2019 DUE TO NO AVAILABLE WASTE PASS. RESUMED ON OCT. 7, 2019. Stopped on Oct 14, 2019, already hit the target but low grade.RESUMED ON NOV 25, 2019 AS PER LEVEL MANAGER PARONDA. Temporary stopped on Nov 26, 2019 due to lack of manpower. RESUMED ON JANUARY 7, 2020. Stopped on Jan 14, 2020 as per OPS.</t>
  </si>
  <si>
    <t>L06_JV_014E_ROBBING</t>
  </si>
  <si>
    <t>REPLACEMENT OF L10_DPVE_060E_STOPE. APPROVED ON OCT. 18, 2019 Stopped BREAKING ON December 9,2019 convert to pull out cleaning due to vein pinched out. Stopped on January 13,2020 already mined out.</t>
  </si>
  <si>
    <t>REPLACEMENT OF L10_GHVSPLIT_063E_DE. APPROVED ON NOV 29, 2019. Renamed from L10 GHV 062E DW TO L10 GHVSPLIT 064E DW TO AVOID THE MISCHARGING OF ORE ON DECEMBER 15,2019. Stopped on 1/14/20 already off vein.</t>
  </si>
  <si>
    <t>SHEPHERD Y1</t>
  </si>
  <si>
    <t>REPLACEMENT OF L10_JVFW_068E_DE.APPROVED ON NOV 25, 2019. STOPPED ON 1/14/20 CONVERTED TO STOPE PREPARATION</t>
  </si>
  <si>
    <t>L09_GHV_067E_STOPE PREP</t>
  </si>
  <si>
    <t>L10_JVSPLIT_054E_STOPE PREP</t>
  </si>
  <si>
    <t>L10_GHV_062E_STOPE PREP</t>
  </si>
  <si>
    <t>L10_GHVFW_037E_RAISE</t>
  </si>
  <si>
    <t>REPLACEMENT OF L04_JV_054W_STOPE PREP. APPROVED ON SEPT 2, 2019. Stopped breaking on 1/13/20 converted to pull out cleaning.</t>
  </si>
  <si>
    <t>ADDITIONAL VERTICAL DEVELOPMENT. APPROVED ON AUGUST 5, 2019. TRANSFER ON AUGUST 12, 2019 FROM DELOS REYES V. 8 TO BALANGHIG 3 TO CONTINUE THE RAISE SINCE FOLLOW-UP WAS ALREADY FINISHED BY DELOS REYES. TRANSFER ON SEPT 13, 2019 FROM BALANGHIG 3 TO ALMEDORA 1 DUE TO INSUFECIENT MANPOWER OF BALANGHIG. TEMP. STOPPED ON NOV. 24, 2019 FOR REMAPPING FOR SAFETY PUPRPOSES SINCE THE RAISE IS APPROACHING TO CONNECT AT LEVEL 8 MAINLINE AS PER JAAMOR. Stopped permanently on 1/15/20.</t>
  </si>
  <si>
    <t>ADDITIONAL VERTICAL DEVELOPMENT. APPROVED ON SEPT. 24, 2019. TEMP. STOPPED ON NOV. 24, 2019 FOR REMAPPING FOR SAFETY PURPOSES SINCE THE RAISE IS APPROACHING TO CONNECT AT LEVEL 8 ELEVATION AS PER JAAMOR. Stopped permanently on 1/15/20</t>
  </si>
  <si>
    <t>ADITIONAL VERTICAL DEVELOPMENT. APPROVED ON OCTOBER 8, 2019. STOPPED ON 1/15/2020 CONVERTED TO STOPE PREPARATION.</t>
  </si>
  <si>
    <t>L04_GHVFW_017E_DW</t>
  </si>
  <si>
    <t>L08_JV_061E_WINZE</t>
  </si>
  <si>
    <t>SHEPHERD Z.2</t>
  </si>
  <si>
    <t>L07_JVSPLIT_033E_STOPE</t>
  </si>
  <si>
    <t>REPLACEMENT OF L07_JVSPLIT_033E_RAISE. APPROVED ON NOV 26, 2019. STOPPED AND CONVERTED TO ACTIVE BREAKING ON JANUARY 15, 2020.</t>
  </si>
  <si>
    <t xml:space="preserve">REPLACEMENT OF L04_CV_003W_ROBBING. APPROVED ON OCT. 30, 2019. TEMP. STOPPED NOV. 1, 2019. </t>
  </si>
  <si>
    <t>L04_GHVFW_017E_DE</t>
  </si>
  <si>
    <t>REPLACEMENT OF L06_CV_002E_STOPE PREP CONVERT TO BREAKING ON NOV 25, 2019. STOPPED BREAKING ON JANUARY 7, 2020, CONVERT TO STOPE PULL OUT. Stopped on January 15, 2020 due to consecutive low assay grades on cut sample</t>
  </si>
  <si>
    <t>REPLACEMENT OF L06_JVFW_015E_STOPE_PREP APPROVED ON NOV 14, 2019.STOPPED ON NOV 25, 2019 DUE TO CONSECUTIVE LOW ASSAY GRADES ON CUT SAMPLES/BULK SAMPLES. RESUMED ON JANUARY 6, 2020.  stopped breaking on January 15, 2020 in the same time Converted to pull-out cleaning.</t>
  </si>
  <si>
    <t>SHEPHERD AA1</t>
  </si>
  <si>
    <t>SHEPHERD AA2</t>
  </si>
  <si>
    <t>REPLACEMENT OF L09_DPVE_027E_RAISE. APPROVED ON DECEMBER 2, 2019.STOPEED ON JAN 16, 2020 PINCHED OUT VEIN  FROM 4TH  FLOOR -8TH FLOOR.</t>
  </si>
  <si>
    <t>L07_JVSPLIT_019E_DW</t>
  </si>
  <si>
    <t>L09_JVSPLIT_051E_RAISE</t>
  </si>
  <si>
    <t>L09_DPVE2_074E_RAISE</t>
  </si>
  <si>
    <t>REPLACEMENT OF L09_NONE_056E_XCN.APPROVED ON OCT 23, 2019. TEMPORARY STOPPED ON DECEMBER 4, 2019 due to raise prep on 70e raise. RESUMED ON DECEMBER 18, 2019.STOPPED ON JANUARY 16 2020 DUE TO BE REPLACED WITH L09 058E DW</t>
  </si>
  <si>
    <t>REPLACEMENT OF L09_JVFW_023E_RAISE.APPROVED ON NOV 23, 2019. STOPPED ON JAN. 16, 2020 DUE CONSECUTIVE LOW ASSAY GRADE ON CUT SAMPLE / BULK SAMPLE</t>
  </si>
  <si>
    <t>ADDITIONAL INCLINED RAISE DEVELOPMENT. APPROVED ON NOVEMBER 16,2019 . STOPPED ON JANUARY 16, 2020 DUE TO CONSECUTIVE LOW ASSAY GRADE ON CUT SAMPLES/BULK SAMPLE</t>
  </si>
  <si>
    <t>REPLACEMENT OF L05_CV_004W_WINZE STOPE APPROVED ON NOV 19, 2019. STOPPED ON JANUARY 16 2020 DUE TO CONSECUTIVE LOW ASSAY GRADE ON CUT SAMPLE</t>
  </si>
  <si>
    <t>REPLACEMENT OF L05 GHV 030W WINZE STOPE.APPROVED ON JUNE 19, 2019. TEMP. STOPPED ON JULY 18, 2019 TO PRIORITZED CROWN PILLAR.CHANGE TEAM LEADER FROM AMAC 2 TO OY-YOY ON AUGUST 13, 2019 ON THE SAME TIME RESUMED.TEMP. STOPPED ON NOV. 7, 2019. RESUMED ON DEC 2, 2019. STOPPED ON JANUARY 16 2020 DUE TO CONSECUTIVE PRODUCING BELOW CUT OFF GRADE.</t>
  </si>
  <si>
    <t>L04_GHVFW_018E_DW</t>
  </si>
  <si>
    <t>L09_JVFW_064E_RAISE</t>
  </si>
  <si>
    <t>FILL WINZE TO BE CONNECTED TO OLD STOPE OF LEVEL 7.APPROVED ON NOV 28, 2019.  Stopped on Nov. 30, 2019.</t>
  </si>
  <si>
    <t>REPLACEMENT OF L05_JVHW_037E_DE.APPROVED ON DECEMBER 15, 2019. TEMPORARY STOPPED ON DECEMBER 16, 2019 TO PRIORITIZE INCLINED RAISE. RESUMED ON DECEMBER 20, 2019. Temporary stopped on January 17,2020 due to manpower issue.</t>
  </si>
  <si>
    <t>L05_GHVFW_029W_ROBBING</t>
  </si>
  <si>
    <t>L06_JVFW_016E_WINZE</t>
  </si>
  <si>
    <t>L09_GHVFW_038E_RAISE</t>
  </si>
  <si>
    <t>L09_GHVFW_034E_DW</t>
  </si>
  <si>
    <t>REPLACEMENT OF L09_GHVFW_035E_DW. APPROVED ON SEPT. 30 2019. STOPPED ON JANUARY 17 2020 DUE TO CONSECUTIVE LOW ASSAY GRADES ON CUT SAMPLE/ BULK SAMPLES.</t>
  </si>
  <si>
    <t>REPLACEMENT OF L09_DPVE_028E_RAISE. APPROVED ON NOV 19, 2019. STOPPED ON JANUARY 17 2020 DUE TO CONSECUTIVE LOW ASSAY GRADES ON CUT SAMPLES/ BULK SAMPLES.</t>
  </si>
  <si>
    <t>L06_CV_008W_RAISE</t>
  </si>
  <si>
    <t>L06_GHV_036W_DW</t>
  </si>
  <si>
    <t>L06_JV_048E_DW</t>
  </si>
  <si>
    <t>L08_GHV_015W_WINZE</t>
  </si>
  <si>
    <t>MARTINEZ, DN 2</t>
  </si>
  <si>
    <t>ANOTHER ACCESS MAINLINE TO TARGET DRILLING. APPROVED ON DECEMBER 16 2019. TEMPORARY STOPPED ON JANUARY 15 2020 DUE TO POOR VENTILATION.</t>
  </si>
  <si>
    <t>FILL WINZE TO BE CONNECTED TO L09_GHV_060E_STOPE. APPROVED ON OCT. 19, 2019. STOPPED ON DECEMBER, ALREADY BREAKTHROUGH.</t>
  </si>
  <si>
    <t>REPLACEMENT OF L06_JVFW_015E_STOPE_PREP APPROVED ON NOV 14, 2019.STOPPED ON NOV 25, 2019 DUE TO CONSECUTIVE LOW ASSAY GRADES ON CUT SAMPLES/BULK SAMPLES. RESUMED ON JANUARY 6, 2020.  stopped breaking on January 15, 2020 in the same time Converted to pull-out cleaning. STOPPED ON JANUARY 18, 2020 ALREADY FINISHED</t>
  </si>
  <si>
    <t>REPLACEMENT OF L06 GHVFW 022W STOPE. APPROVED ON JANUARY 7 2020. TEMPORARY STOPPED ON JANUARY 16 2020 DUE TO UNSERVISABLE AREA.</t>
  </si>
  <si>
    <t>REPLACEMENT OF L05_GHVFW_029W_ROBBING. APPROVED ON JANUARY 17 2020. TEMP. STOPPED ON JANUARY 20, 2020 DUE TO LESS PRIORITY.</t>
  </si>
  <si>
    <t>REPLACEMENT OF L07_CTV_008E_DW.APPROVED ON NOV 5, 2019. STOPPED ON JANUARY 20, 2020 DUE TO CONSECUTIVE LOW ASSAY GRADES ON CUT SAMPLES/ BULK SAMPLES.</t>
  </si>
  <si>
    <t>REPLACEMENT OF L06_GHVFW_029W_STOPE PREP. APPROVED ON JANUARY 7, 2020. STOPPED BREAKING ON JANUARY 20, 2020 IN THE SAME TIME CONVERTED TO PULL-OUT CLEANING.</t>
  </si>
  <si>
    <t>REPLACEMENT OF L05_DPVE_020E_RAISE. APPROVED ON DECEMBER 18, 2019. Converted to sill pillar robbing on January 13,2020. STOPPED ON JANUARY 20, 2020 DUE TO CONSECUTIVE LOW ASSAY GRADES ON CUT SAMPLES/ BULK SAMPLES.</t>
  </si>
  <si>
    <t>ADDITIONAL PRODUCTION, APPROVED ON MARCH 17, 2017 AS PER VERBAL AGREEMENT OF JPTN AND PP. EVANGELIO.STOPPED ON MAR 23, 2017 AS PER PP EVANGELIO DUE TO DEFECTIVE MUCKING MACHINE. TRANSFERRED TO MR. NOEL MAPAYO FROM MR. EFREN CAPPUYO AS PER MEMO  OF NITRO ON MARCH 24, 2017. RESUMED ON APRIL 24, 2017 AS PER EM SON. STOPPED ON SEPT. 30, 2017; NOW DRIVING A DRIFT TO EAST AT LEVEL 10 ELEVATION; MEMO RECEIVED ON THE SAME DATE.RESUMED ON JANUARY 17 2020. STOPPED ON JANUARY 20, 2020 NOT PRIORITY.</t>
  </si>
  <si>
    <t>L09_DPVE2_058E_DW</t>
  </si>
  <si>
    <t>REPLACEMENT OF L10_JVFW_068E_DE. APPROVED ON JANUARY 13, 2020. TEMPORARY STOPPED ON JANUARY 21, 2020 DUE TO UNSERVISABLE EQUIPMENT.</t>
  </si>
  <si>
    <t>REPLACEMENT OF L06 JVFW 040E WINZE. Approved on Jan 14, 2020. STOPPED ON JANUARY 21, 2020 DUE TO CONSECUTIVE LOW ASSAY GRADES ON CUT SAMPLES// BULK SAMPLES</t>
  </si>
  <si>
    <t>REPLACEMENT OF L06_JV_052E_STOPE PREP APPROVED ON NOV 13, 2019. STOPPED BREAKING ON JANUARY 21 2020 IN THE SAME TIME CONVERTED TO PULL-OUT CLEANING</t>
  </si>
  <si>
    <t>REPLACEMENT OF L06_CV_002E_STOPE. APPROVED ON JANUARY 17 2020. STOPPED ON JANUARY 21 2020.</t>
  </si>
  <si>
    <t>ADDITIONAL VERTICAL DEVELOPMENT. APPROVED ON JANUARY 17 2020. STOPPED ON JANUARY 21 2020 DUE TO CONSECUTIVE LOW ASSAY GRADES ON CUT SAMPLES/ BULKSAMPLE</t>
  </si>
  <si>
    <t>L06_JVFW_045E_WINZE</t>
  </si>
  <si>
    <t>REPLACEMENT OF L06_CV_006W_STOPE PREP. APPROVED ON DECEMBER 7, 2019. STOPPED ON JANUARY 21, 2020 CONVERTED TO ACTIVEBREAKING</t>
  </si>
  <si>
    <t>L07_JV_010E_DW</t>
  </si>
  <si>
    <t>L07_JV_051E_DW</t>
  </si>
  <si>
    <t>REPLACEMENT OF L09_DPVE_019E_DE APPROVED ON NOV 19, 2019. STOPPED ON JANUARY 21 2020, DUE TO VEIN PINCHED OUT.</t>
  </si>
  <si>
    <t>REPLACEMENT OF L09 DPVE 043E STOPE PREP. APPROVED ON APRIL 18, 2017. TRANSFERRED FROM ROXAS, ELSAR TO DAVOCOL ROWELL ON MAY 15, 2017. STOPPED ON JULY 11,2017 ALREADY REACHED THE DESIRED HEIGHT AS PER LL SUAREZ. Resumed on December 14,2019 to drive inclined raise at the same time transfer from DAVOCOL, ROWELL TO HUMIDING 1. STOPPED ON JANUARY 21, 2020 DUE TO CONSECUTIVE LOW ASSAY GRADES ON CUT SAMPELS/ BUL KSAMPLES</t>
  </si>
  <si>
    <t>REPLACEMENT OF L09_GHVHW_057E_DE. APPROVED ON OCT. 24, 2019. TEMP. STOPPED ON OCT 29, 2019 DUE TO PRIORITIZED FOLLOW UP OF RAISE.RESUMED ON NOV 8, 2019. TEMP STOP 1/7/20, TO PRIORITIZE L09_GHVHW_071E RAISE PREP. Resumed on January 15,2020. STOPPED ON JANUARY 21 2020 DUE TO CONSECUTIVE LOW ASSAY GRADES ON CUT SAMPLES/ BULK SAMPLE</t>
  </si>
  <si>
    <t>REPLACEMENT OF L09 GHVHW 067E DE.APPROVED ON OCT 29, 2019 UNDER CAPPUYO 2. CHANGED AS COMMON WORKING PLACE ON NOV 7, 2019. November 7,2019 handled may PANSIT, NORMAN from L09 GHVHW 029W DE. STOPPED ON JANUARY 21 2020 DUE TO CONSECUTIVE LOW ASSAY GRADE ONCUT SAMPLE BULK SAMPLE.</t>
  </si>
  <si>
    <t>MARTINEZ, RON. 1</t>
  </si>
  <si>
    <t>REPLACEMENT OF L04_JVSPLIT_022E_DE, APPROVED ON DECEMBER 7, 2019. Transfer from CABONITA 2 TO SHEPHERD AA2 former team leader will transfer to Level 8 effective on January 16,2020. STOPPED ON JANUARY 22 2020 DUE TO CONSECUTIVE LOW ASSAY GRADES ON CUT SAMPLES / BULK SAMPLE.</t>
  </si>
  <si>
    <t>SHEPHERD AC</t>
  </si>
  <si>
    <t>L04_JVFW_023E_DE</t>
  </si>
  <si>
    <t>REPLACEMENT OF L07_GHVFW_028W_RAISE.APPROVED ON NOV 26, 2019.temporary stopped due to lack of manpower on Dec 11, 2019. RESUMED ON DECEMBER 18, 2019 IN THE SAME TIME TRANSFERRED FROM BABOR 1 TO COMAINGKING. STOPPED ON JANUARY 20 2020 CONVERTED TO ACTIVE BREAKING</t>
  </si>
  <si>
    <t>L07_GHVFW_028W_STOPE</t>
  </si>
  <si>
    <t>L06_JVHW_024E_STOPE</t>
  </si>
  <si>
    <t>REPLACEMENT OF L06_CTV_025E_WINZE STOPE. APPROVED ON JANUARY 7, 2020. STOPPED ON JANUARY 22 2020 CONVERTED TO ACTIVE BREAKING</t>
  </si>
  <si>
    <t>L06_GHVSPLIT_032W_STOPE</t>
  </si>
  <si>
    <t>L10_JVFW_052E_STOPE PREP</t>
  </si>
  <si>
    <t>COMMON AREA. APPROVED ON SEPT. 30, 2019. REPLACEMENT OF L10 JVS 057E DE Converted from common work area to permanent APPROVED ON NOV 21, 2019. STOPPED ON DECEMBER 26, 2019 DUE TO PINCHED OUT VEIN AND CONSECUTIVE LOW ASSAY GRADES ON CUT SAMPLES/ BULK SAMPLE. RESUME 1/7/20 BY LEVEL GEOLOGIST. STOPPED ON JANUARY 23 2020 DUE TO UNSAFE CONDITION.</t>
  </si>
  <si>
    <t>L09_GHVFW_041E_STOPE PREP</t>
  </si>
  <si>
    <t>REPLACEMENT L05_GHVSPLIT_032E_WINZE_STOPE_PREP APPROVED ON NOV 6, 2019. CONVERT TO PULL-OUT CLEANING ON JANUARY 23 2020.</t>
  </si>
  <si>
    <t>REPLACEMENT OF  L04 CTV 016W WINZE. APPROVED ON OCT. 15, 2019.STOPPED ON NOV 14, 2019 DUE TO BREAKTHROUGH TOWARDS OLD STOPE.RESUMED ON NOV 20, 2019. STOPPED ON JANUARY 23 2020 DUE TO CONSECUTIVE LOW ASSAY GRADE ON CUT SAMPLES/ BULK SAMPLE.</t>
  </si>
  <si>
    <t>REPLACEMENT OF L07_DPVE_035E_STOPE PREP. APPROVED ON DECEMBER  16, 2019. STOPPED ON JANUARY 23 2020 DUE TO CONSECUTIVE LOW ASSAY GRADES ON CUT SAMPLES BULK SAMPLES</t>
  </si>
  <si>
    <t>REPLACEMENT OF L07_CTV_009E_ROBBING. APPROVED ON DECEMBER 11, 2019. STOPPED ON JANUARY 23 2020 DUE TO CONSECUTIVE LOW ASSAY GRADES ON CUT SAMPLES/ BULK SAMPLES./</t>
  </si>
  <si>
    <t>REPLACEMENT OF L10 GHVFW 019E DW. APPROVED ON OCT. 29, 2019. RENAMED ON OCT 30, 2019 FROM L10_NONE_009E_XCN TO L10_NONE_010E_XCN. STOPPED ON JANUARY 23 2020 ALREADY HIT THE TARGET VEIN EXHIBITING 0.60 METER WIDE MIXED QUARTZ</t>
  </si>
  <si>
    <t>L10_DPVE_044E_STOPE</t>
  </si>
  <si>
    <t>REPLACEMENT OF L10 DPVE 044E RAISE. APPROVED ON 12/10/19. STOPPED ON JANUARY 21, 2020 CONVERTED TOACTIVE BREAKING.</t>
  </si>
  <si>
    <t>NEW WORKING PLACES OF 016E RAISE. APPROVED ON OCTOBER 4, 2019. STOPPED ON DEC. 5, 2019 ALREADY FINISHED. Resumed on december 19, 2019. STOPPED ON JANUARY 24, 2020 ALREADY FINISHED.</t>
  </si>
  <si>
    <t>REPLACEMENT OF L08 JV 022W DW. APPROVED ON OCTOBER 20,2019. STOPPED ON JANUARY 24, 2020 REPLACED BY L08_JV_018W_RAISE.</t>
  </si>
  <si>
    <t>REPLACEMENT OF L09 JVHW 013E DW. APPROVED ON OCTOBER 17,2019. STOPPED ON JANUARY 24, 2020 ALREADY PINCHED OUT VEIN.</t>
  </si>
  <si>
    <t>L08_JV_018W_RAISE</t>
  </si>
  <si>
    <t>L06_GHVFW_032W_WINZE</t>
  </si>
  <si>
    <t>L09_JVHW_015E_DE</t>
  </si>
  <si>
    <t>L05_CV_007E_ROBBING</t>
  </si>
  <si>
    <t>REPLACEMENT OF L10_GHVFW_036E_RAISE. APPROVED ON NOV 25, 2019. STOPPED ON JANUARY 25 2020 ALREADY REACHED THE RECOMMENDED STRIKE LENGTH/ CROWN PILLAR.</t>
  </si>
  <si>
    <t>L08_NONE_070E_XCN</t>
  </si>
  <si>
    <t>L05_JVHW_014W_WINZE</t>
  </si>
  <si>
    <t>L09_DPVE2_077E_RAISE</t>
  </si>
  <si>
    <t>REPLACEMENT OF L07_JVHW_029E_ROBBING, APPROVED ON AUGUST 5,2019/PALT. STOPPED ON SEPT. 5, 2019 TO BE CONVERTED AS ROBBING(TOPSLICE). RESUMED ON NOV 5, 2019 AT THE SAME TIME TRANSFER FROM SHEPHERD W4 TO COMAINGKING 2. TRANFER FROM COMAINGKING TO HANGDAAN ON NOV 27, 2019. STOPPED ON JANUARY 27 2020 DUE TO ALREADY CONNECTED TOWARDS L08_GHVHW_034E_STOPE.</t>
  </si>
  <si>
    <t>ADDITIONAL PRODUCTION. APPROVED ON SEPT. 3 2019. STOPPED ON OCT 19, 2019 DUE TO UNSAFE CONDITION. RESUMED ON NOV 12, 2019 CONVERTED FROM TOP SLICE TO SILL PILLAR ROBBING TRANSFERED FROM BAYOBAY TO SHEPHERD P2.temp stopped on nov 21, 2019 bec. the number of manpower will assist the rehabilitation priority working place which is 037E STOPE PREP. resumed on Nov 28, 2019 the same time Transfer from SHEPHERD P2 TO ALEÑAR 1. STOPPED ON JANUARY 27 2020 DUE TO CONSECUTIVBE LOW ASSAY GRADES ON CUT SAMPLES/ BULK SAMPLES.</t>
  </si>
  <si>
    <t>L09_JVHW_014E_RAISE</t>
  </si>
  <si>
    <t>REPLACEMENT OF L09_JVSPLIT_073E_STOPE PREP. APPROVED ON OCT. 3, 2019. CONVERTED TO PULL-OUT CLEANING ON JANUARY 27 2020,.</t>
  </si>
  <si>
    <t>REPLACEMENT OF L09_JVHW_014E_DE. APPROVED ON JANUARY 24 2020. STOPPED ON JANUARY 27 2020 DUE TO PINCHED OUT VEIN.</t>
  </si>
  <si>
    <t>L07_JV_009E_RAISE</t>
  </si>
  <si>
    <t>REPLACEMENT OF L04_CTV_009W_RAISE. APPROVED ON DECEMBER 6, 2019. STOPPED ON JANUARY 24 2020 ALREADY FINISHED</t>
  </si>
  <si>
    <t>REPLACEMENT OF L05_GHVSPLIT_033W_DE. APPROVED ON SEPT 13, 2019. RENAMED ON SEPT 19, 2019 FROM L05_GHVSPLIT_032E_WINZE STOPE PREP TO L05_GHVSPLIT_032W_WINZE STOPE PREP.RECOMMENDED TO CONVERT ACTIVE BREAKING ON NOV. 6 2019.</t>
  </si>
  <si>
    <t>REPLACEMENT OF L06_GHVFW_022W_RAISE APPROVED ON JUNE 30, 2019. ON JULY 27,2019 CONVERT TO ACTIVE BREAKING.</t>
  </si>
  <si>
    <t>REPLACEMENT OF L06_GHVFW_029W_RAISE. APPROVED ON  DECEMBER 3, 2019. ON JANUARY 7 2020 CONVERTED TO ACTIVE BREAKING.</t>
  </si>
  <si>
    <t>REPLACEMENT OF L06_JVSPLIT 006E RAISE. APPROVED ON JULY 30, 2019. ON AUGUST 17, 2019 CONVERTED TO STOPE BREAKING.</t>
  </si>
  <si>
    <t>L06_GHV_035W_RAISE</t>
  </si>
  <si>
    <t>L05_CV_001E_ROBBING</t>
  </si>
  <si>
    <t>REPLACEMENT OF L07_GHVFW_021W_ROBBING. APPROVED ON JANUARY 21 2020. STOPPED ON JANUARY 28 2020 ALREADY BREAKTHROUGH</t>
  </si>
  <si>
    <t>REPLACEMENT OF L05_RYV_015E_ROBBING. APPROVED ON JANUARY 25 2020. STOPPED ON JANUARY 28 2020 DUE TO POOR VEIN MINERALIZATION.</t>
  </si>
  <si>
    <t>REPLACEMENT OF L06_GHVFW_031W_STOPE. APPROVED ON JANUARY 17 2020. stopped on January 28 2020 already break through</t>
  </si>
  <si>
    <t>REPLACEMENT OF L06_GHVFW_029W_STOPE PREP. APPROVED ON JANUARY 7, 2020. STOPPED BREAKING ON JANUARY 20, 2020 IN THE SAME TIME CONVERTED TO PULL-OUT CLEANING. STOPPED ON JANUARY 21 2020, ALREADY MINE OUT.</t>
  </si>
  <si>
    <t>L09_NONE_025W_XCS</t>
  </si>
  <si>
    <t xml:space="preserve">ADDITIONAL PRODUCTION. APPROVED ON JANUARY 17 2020.Stopped on Jan 30 2020 due to vein pinched out. </t>
  </si>
  <si>
    <t>REPLACEMENT OF L04_CV_011W_RAISE. APPROVED ON AUGUST 6, 2019. CONVERT TO ACTIVE BREAKING ON SEPT. 3, 2019.</t>
  </si>
  <si>
    <t>L05_CV_008E_ROBBING</t>
  </si>
  <si>
    <t>L04_GHV_028W_DW</t>
  </si>
  <si>
    <t>REPLACEMENT OF L04 CTV5 016E WINZE. APPROVED ON MAY 25,2019. INTERMEDIATE SUBLEVEL. TEMP. STOPPED ON JUNE 23, 2019 DUE TO ABSENTEEISM OF MEN RESULTING TO ABANDONMENT OF WORKPLACE. RESUMED OPERATION ON JUNE 28, 2019. STILL TEMPORARY STOPPED AS PER SCS. STOPPED ON OCT, 30 2019.</t>
  </si>
  <si>
    <t>REPLACEMENT OF L07_JV_010E_DW. APPROVED ON JANUARY 28 2020. STOPPED ON JANUARY 31 2020 DUE TO MADE A BREAKTROUGH</t>
  </si>
  <si>
    <t>REPLACEMENT OF L06_JVFW_015E_STOPE. APPROVED ON JANUARY 17 2020. STOPPED ON JANUARY 31 2020 DUE TO MADE  BREAKTHROUGH</t>
  </si>
  <si>
    <t>REPLACEMENT OF L05_GHV_003E_ROBBING. APPROVED ON OCTOBER 8, 2019. start robbing to topslice on oct 10, 2019.Stopped on 1/29/20 already mined out</t>
  </si>
  <si>
    <t>L05_NV_009E_ROBBING</t>
  </si>
  <si>
    <t>REPLACEMENT OF L08 DPVE 069E STOPE PREP. APPROVED ON SEPT. 23, 2019.ON OCTOBER 21, 2019 OVERDRAWN CHUTE WAS OBSERVED LOCATED AT THE SECOND CHUTE FROM EASTERN MANWAY. RECOMMENDED TO EVEN THE PULL-OUT OF ORE CHUTES TO PREVENT OVERDRAWING AND SECONDARY DILUTION CAUSED BY SLABBING OF HANGING WALL.STOPPED ON DECEMBER 16, 2019 CONVERTED TO PULL-OUT CLEANING. STOPPED ON JANUARY 31 2020 ALREADY MINED OUT.</t>
  </si>
  <si>
    <t>REPLACEMENT OF L09_JV_066E_RAISE.APPROVED ON OCT. 21, 2019. CONVERTED TO ACTIVE BREAKING ON JANUARY 31 2020.</t>
  </si>
  <si>
    <t>L09_JV_066E_STOPE</t>
  </si>
  <si>
    <t>ADDITIONAL SOURCE OF GOOD ORE. APPROVED ON DECEMBER 21, 2019. CONVERTED TO ACTIVE BREAKING ON JANUARY 31 2020.</t>
  </si>
  <si>
    <t>L09_DPVE_028E_STOPE</t>
  </si>
  <si>
    <t>L04_CTV_018W_WINZE</t>
  </si>
  <si>
    <t>L07_GHVHW_034W_DW</t>
  </si>
  <si>
    <t>L07_CTV_010E_ROBBING</t>
  </si>
  <si>
    <t>L04_CTVSPLIT_021W_DE</t>
  </si>
  <si>
    <t>REPLACEMENT OF L09_GHV_046E_STOPE PREP. APPROVED ON OCT. 3, 2019. STOPPED ON DEC. 8, 2019 AFTER EVALUATION OF VEIN IN INTERNAL PROBE RAISE WHICH SHOWS NO PHYSICAL IMPROVEMENT AND STILL PRODUCE BELOW CUT OFF GRADE. CONVERT TO PULL OUT ON DEC. 8, 2019. Stopped 1/23/20 mined out</t>
  </si>
  <si>
    <t>REPLACEMENT OF L05 CV 005W WINZE.APPROVED ON JANUARY 23, 2019.STOPPED DUE TO LOW ASSAY GRADE ON MARCH 18, 2019. REPLACEMENT OF L05_CV_004W_ROBBING. APPROVED ON JANUARY 24 2020. Stopped on February 1,2020 due to unsafe condition convert to intermediate sublevel.</t>
  </si>
  <si>
    <t>GEMENTIZA</t>
  </si>
  <si>
    <t>REPLACEMENT OF L08_NONE_067E_XCN.APPROVED ON JANUARY 15, 2020.TEMP STOPPED ON FEB 4, 2020.</t>
  </si>
  <si>
    <t>L08_NONE_060E_XCS</t>
  </si>
  <si>
    <t>L06_JVHW_025E_RAISE</t>
  </si>
  <si>
    <t>REPLACEMENT OF L06 CTV 001E DW. Approved on Jan 11, 2020. Stopped on Feb 4, 2020 has already reached target strike length</t>
  </si>
  <si>
    <t>REPLACEMENT OF L06_JV_052E_STOPE PREP APPROVED ON NOV 13, 2019. STOPPED BREAKING ON JANUARY 21 2020 IN THE SAME TIME CONVERTED TO PULL-OUT CLEANING. Stopped on Feb 4 2020 was already mined out with 92% pull out.</t>
  </si>
  <si>
    <t>L10_JVSPLIT_066E_DW</t>
  </si>
  <si>
    <t>L06_JV_005E_ROBBING</t>
  </si>
  <si>
    <t>REPLACEMENT OF L08 NONE 025W XC. APPROVED ON SEPT. 26, 2019. TEMP STOPPED ON JANUARY 7 2020 DUE TO ABSENTEEISM OF MEN RESULTING TO ABANDONMENT OF WORKPLACE. RESUMED ON JANUARY 8 2020.STOPPED ON FEB 4, 2020 PINCHED OUT VIEN W/O FURTHER TARGET.</t>
  </si>
  <si>
    <t>REPLACEMENT OF L09_GHVFW_062E_STOPE PREP. APPROVED ON SEPT. 6, 2019 convert to stope breaking. STOPPED ON DEC. 8, 2019 BECAUSE THE VEIN, AFTER EVALUATION OF IPR, SHOWS NO PHYSICAL IMPROVEMENT AND STILL PRODUCE BELOW CUT OFF GRADE- CONVERT TO STOPE PULL OUT ON THE DEC. 8, 2019.STOPPED ON FEB 4, 2020 ALREADY MINED OUT.</t>
  </si>
  <si>
    <t>REPLACEMENT OF L05_JV_033E_STOPE PREP. APPROVED ON DECEMBER 13, 2019.STOPPED ON FEB 2, 2020 CONVERTED TO PULL OUT CLEANING.</t>
  </si>
  <si>
    <t>L09_JVFW_054E_RAISE</t>
  </si>
  <si>
    <t>REPLACEMENT OF L07_GHVFW_032W_RAISE.APPROVED ON NOV 22, 2019.stopped on Jan 9, 2019. due to vein pinched out. Resumed on January 10, 2020. Stopped on Feb 4 2020 already reached level 6 elevation.</t>
  </si>
  <si>
    <t>REPLACEMENT OF L05_CTV_013E_STOPE_PREP APPROVED ON NOV 6, 2019. TRANSFERRED ON DEC. 23 2019 FROM BALDO 2 TO FERNANDEZ RX 2.  TRANSFERRED ON JANUARY 6, 2020 FROM FERNANDEZ RX 2 TO BALDO 2.STOPPED ON FEB 3, 2020 CONVERTED TO PULL OUT CLEANING .</t>
  </si>
  <si>
    <t>L08_JVFW_067E_STOPE</t>
  </si>
  <si>
    <t>L09_GHVFW_065E_RAISE</t>
  </si>
  <si>
    <t xml:space="preserve">REPLACEMENT OF L04 CTV5 016E WINZE. APPROVED ON MAY 25,2019. INTERMEDIATE SUBLEVEL. TEMP. STOPPED ON JUNE 23, 2019 DUE TO ABSENTEEISM OF MEN RESULTING TO ABANDONMENT OF WORKPLACE. RESUMED OPERATION ON JUNE 28, 2019. STILL TEMPORARY STOPPED AS PER SCS. STOPPED ON OCT, 30 2019. </t>
  </si>
  <si>
    <t>REPLACEMENT OF L04_CV_003W_ROBBING. APPROVED ON OCT. 30, 2019. TEMP. STOPPED NOV. 1, 2019. RESUMED ON JANUARY 15, 2020 THE SAME TIME RENAMED FROM 18E TO 17E DE. TRANSFERRED TO COMAINGKING 4 FROM CABCAD 1 ON JANUARY 15, 2020. STOPPED ON FEB 5, 2020 DUE TO PINCHED OUT OF VEIN.</t>
  </si>
  <si>
    <t>MARTINEZ RON.2</t>
  </si>
  <si>
    <t>L07_JVSPLIT_021E_RAISE</t>
  </si>
  <si>
    <t>L07_GHVHW_038E_ROBBING</t>
  </si>
  <si>
    <t>ADDITIONAL SOURCE OF GOOD ORE. APPROVED ON JULY 16, 2019. ON DECEMBER 12/17/ 2019 TRANSFERRED FROM MARTINEZ DN 1 TO ANDILAB GRACIANO. CONVERTED TO SILL PILLAR ON JANUARY 6, 2019. STOPPED ON FEB. 6, 2020 ALREADY REACHED THE RECOMMENDED STRIKE LENGTH FOR SILL.</t>
  </si>
  <si>
    <t>REPLACEMENT OF L06_GHSPLIT_032W_STOPE PREP ON JANUARY 22 2020. STOPPED BREAKING ON FEB. 6, 2020. CONVERT TO BREAKING.</t>
  </si>
  <si>
    <t>L06_CTV_040E_ROBBING</t>
  </si>
  <si>
    <t>L06_GHV_036W_RAISE</t>
  </si>
  <si>
    <t>L06_JVSPLIT_012W_RAISE</t>
  </si>
  <si>
    <t>REPLACEMENT OF L06 DPVE 034E DW. APPROVED ON APRIL 28, 2018. STOPPED ON JUNE 29,2018 DUE TO PINCHED OUT OF VEIN. RESUMED ON JANUARY 10, 2019. Stopped on February 6,2020 due to consecutive low assay grade.</t>
  </si>
  <si>
    <t>REPLACEMENT OF L09_JVHW_053E_DE APPROVED ON OCTOBER 4, 2019. Stopped on February 6,2020 due to consecutive low assay grade.</t>
  </si>
  <si>
    <t>L08_GHV_029W_RAISE</t>
  </si>
  <si>
    <t>REPLACEMENT OF L05 JVFW 005E DE. APPROVED ON DECEMBER 3, 2018. MZC. TEMP STOPPED ON FEB 23, 2019 DUE TO INCOMING HEADING FROM LEVEL 6; MEMO RECEIVED GEO. RESUMED AT THE SAME TIME CONVERTED TO BREAKING ON MAR 27, 2019. TEMPORARY STOPPED ON APRIL 16,2019 DUE TO LACK OF MANPOWER. Stopped Permanently on February 7,2020 as per Level Geologist Zabate.</t>
  </si>
  <si>
    <t>L09_GHVHW_039E_RAISE</t>
  </si>
  <si>
    <t>REPLACEMENT OF L06_JVHW_028W_DE.APPROVED ON JANUARY 24, 2020. STOPPED ON FEB 6, 2020 DUE TO LOW GRADE.</t>
  </si>
  <si>
    <t>L04_GHVFW_017E_WINZE STOPE PREP</t>
  </si>
  <si>
    <t>REPLACEMENT OF L09_GHVHW_026E_RAISE APPROVED ON JAN 14, 2020. Converted to stope breaking on Feb 8, 2020.</t>
  </si>
  <si>
    <t>L09_GHVHW_026E_STOPE</t>
  </si>
  <si>
    <t>COMMON AREA. APPROVED ON SEPT. 30 2019. ACTIVATED NOW FEB 4, 2020 GIVEN TO GEMENTIZA. TEMPORARY STOP FOR 1 WEEK (2/9/2020) TO PRIORITIZE L08_DPVE_068E_DE.</t>
  </si>
  <si>
    <t>L04_CTVSPLIT_021W_RAISE</t>
  </si>
  <si>
    <t>REPLACEMENT OF L05_CV_007E_ROBBING. APPROVED ON JANUARY 28 2020. STOPPED ON FEBRUARY 3 2020.</t>
  </si>
  <si>
    <t>SHEPHERD Z2</t>
  </si>
  <si>
    <t>REPLACEMENT OF L06_JVFW_015E_RAISE. APPROVED ON NOV 29, 2019.temporary STOPPED ON DEC 2, 2019. Resumed on Jan 14, 2020 at the same time transferred from GUNAY to BAÑEZ. STOPPED ON FEB. 10 2020 DUE TO CONSECUTIVE LWO ASSAY GRADE ON CUT SAMPLES/BULK SAMPLE.</t>
  </si>
  <si>
    <t>L08_DPVE_075E_WINZE</t>
  </si>
  <si>
    <t xml:space="preserve">REPLACEMENT OF L04 GHVFW 008E WINZE STOPE PREP. APPROVED ON APRIL 9, 2019-LOC.STOPPED ON JULY 9, 2019 DUE TO UNSAFE CONDITION AND CONVERT TO PULL-OUT CLEANING. </t>
  </si>
  <si>
    <t>REPLACEMENT OF L04_JV_054W_STOPE PREP. APPROVED ON SEPT 2, 2019. STOPPED BREAKING ON JANUARY 15, 2020 CONVERTED TO PULL-OUT. STOPPED ON FEBRUARY 11 2020 ALREADY FINISHED</t>
  </si>
  <si>
    <t>L06_JVSPLIT_034W_DE</t>
  </si>
  <si>
    <t>L05_CV_010E_DE</t>
  </si>
  <si>
    <t>REPLACEMENT OF L04_CTV_016W_STOPE. APPROVED ON JANUARY 15, 2020. STOPPED ON FEB. 12 2020 DUE TO VEIN PINCHED OUT.</t>
  </si>
  <si>
    <t>REPLACEMENT OF L05_CTV_006E_STOPE PREP. APPROVED ON JANUARY 8, 2020. TEMPORARY STOPPED ON FEBRUARY 1 2020 DUE TO OPERATIONAL PURPOSES TO RESUMED L05_CTV_006E_RAISE.CONVERTED TO ACTIVE PULL-OUT ON FEBRUARY 12 2020</t>
  </si>
  <si>
    <t>FABROA</t>
  </si>
  <si>
    <t>REPLACEMENT OF L08_GHVSPLIT_004E_RAISE. APPROVED ON DECEMBER 17, 2019. STOPPED ON FEBRUARY 8, 2020 DUE TO SUCCESSIVE LOW CUT AND BULK SAMPLE GRADE RESULTS.</t>
  </si>
  <si>
    <t>L08_JV_074E_STOPE</t>
  </si>
  <si>
    <t>REPLACEMENT OF L08_JV_063E_RAISE.APPROVED ON DECEMBER 17, 2019. TRANSFERRED TO CAPOY FROM LERIO ON JANUARY 14, 2020. CONVERTED TO ACTIVE BREAKING ON JAN. 30 2020.</t>
  </si>
  <si>
    <t>L08_JV_064E_STOPE</t>
  </si>
  <si>
    <t>REPLACEMENT OF L06_JVHW_025E_STOPE PREP. APPROVED ON JANUARY 22 2020. CONVERTED TO ACTIVE PULL-OUT ON FEBRUARY 13 2020.</t>
  </si>
  <si>
    <t>REPLACEMENT OF L05_CV_010E_DW. APPROVED ON FEBRUARY 12 2020. Stopped on February 13,2020 due to unsafe condition.</t>
  </si>
  <si>
    <t>ADDITIONAL HORIZONTAL DEVELOPMENT. APPROVED ON JANUARY 27 2020. STOPPED ON FEBRUARY 12 2020 TO DRIVE RAISE.</t>
  </si>
  <si>
    <t>REPLACEMENT OF L05_CTV_006E_DE APPROVED ON NOV 19, 2019. STOPPED ON DEC 3, 2019 ALREADY BREAK THRU. RESUMED ON FEBRUARY 1 2020. STOPPED ON FEBRUARY 12 2020.</t>
  </si>
  <si>
    <t>REPLACEMENT OF L04 CTV 008W DW. APPROVED ON DECEMBER. 7, 2019. STOPPED ON FEBRUARY 13 2020 DUE TO CONSECUTIVE LOW ASSAY GRADES ON CUT SAMPLES.</t>
  </si>
  <si>
    <t>REPLACEMENT OF L06_GHSPLIT_032W_STOPE PREP ON JANUARY 22 2020. CONVERT TO PULL-OUT ON FEBRUARY 6, 2020. STOPPED ON FEBRUARY 13 2020 ALREADY MINED OUT</t>
  </si>
  <si>
    <t>REPLACEMENT OF L06_JVHW_020E_RAISE APPROVED ON FEB 4, 2020. STOPPED ON FEBRUARY 8 2020 DUE TO MADE A BREAKTHROUGH.</t>
  </si>
  <si>
    <t>L08_GHV_016E_ROBBING</t>
  </si>
  <si>
    <t>L04_CTV_018W_STOPE PREP</t>
  </si>
  <si>
    <t>L05_JV_015W_ROBBING</t>
  </si>
  <si>
    <t>L05_JV_010E_ROBBING</t>
  </si>
  <si>
    <t>APPROVED ON NOV 15, 2019 BY PASS TO ACCESS BACK-UP ROBBING. Temporary stopped on Dec 3, 2019 due to no available waste pass. Resumed On december 11, 2019.STOPPED ON FEB 14 2020 ALREADY BREAKTHROUGH</t>
  </si>
  <si>
    <t>L04_CTV_016W_ROBBING</t>
  </si>
  <si>
    <t>L04_CTV_008W_RAISE</t>
  </si>
  <si>
    <t>NOCOS 8</t>
  </si>
  <si>
    <t>L06_DPVE_020E_DE</t>
  </si>
  <si>
    <t>L07_GHVHW_034W_DE</t>
  </si>
  <si>
    <t>REPLACEMENT L05_GHVSPLIT_032E_WINZE_STOPE_PREP APPROVED ON NOV 6, 2019. CONVERT TO PULL-OUT CLEANING ON JANUARY 23 2020. declared mined out on Feb 17 2020.</t>
  </si>
  <si>
    <t>L05_GHV_034W_WINZE</t>
  </si>
  <si>
    <t>L08_GHVHW_048E_DE</t>
  </si>
  <si>
    <t>REPLACEMENT OF L10_JVFW_069E_RAISE. APPROVED ON JANUARY 13, 2020. STOPPED ON FEB 19 2020. CONVERTED TO STOPE BREAKING</t>
  </si>
  <si>
    <t>L10_JVFW_069E_STOPE</t>
  </si>
  <si>
    <t>REPLACEMET OF L06_CV_001E_DE APPROVED ON FEB 7, 2020. STOPPED ON FEBRUARY 18 2020 TO FINISHED HEADING</t>
  </si>
  <si>
    <t>L07_JVSPLIT_035E_DE</t>
  </si>
  <si>
    <t>REPLACEMENT OF L06_GHV_041W_RAISE APPROVED ON FEB 7, 2020. STOPPED ON Feb. 13 2020.</t>
  </si>
  <si>
    <t>FILL WINZE TO BE CONNECTED TO OLD STOPE APPROVED ON JULY 10, 2019. STOPPED ON AUGUST 13, 2019 DUE TO ALREEADY CONNECTED TOWARDS L06_CV_2W_STOPE. RESUMED ON DECEMBER 4, 2019 IN THE SAME TIME TRANSFERRED FROM FERNADEZ RX.4 TO GEMENTIZA  1. TEMPORARY  stopped on January 23 2020 due to incapable to  operate the heading.</t>
  </si>
  <si>
    <t>REPLACEMENT OF L05_JVHW_038E_DW. APPROVED ON DECEMBER 16, 2019. Temporary stopped due to unsafe condition as per LM on Dec 23, 2019.</t>
  </si>
  <si>
    <t>ADDITIONAL VERTICAL DEVELOPMENT. APPROVED ON JANUARY 7, 2020.STOPPED ON FEB 19 2020 DUE  TO CONSECUTIVE LOW GRADE</t>
  </si>
  <si>
    <t>REPLACEMENT OF L07_JV_024E_ROBBING APPROVED ON NOV 19, 2019. STOPPED ON FEB 19 2020 DUE TO VEIN PINCHED OUT. STOPPED ON FEB 19 2020 DUE TO VEIN PINCHED OUT.</t>
  </si>
  <si>
    <t>L08_GHVFW_017W_DW</t>
  </si>
  <si>
    <t>L08_DPVE_073E_DW</t>
  </si>
  <si>
    <t xml:space="preserve"> SHEPHERD AF</t>
  </si>
  <si>
    <t>REPLACEMENT OF L07 CTV 009E RAISE. APPROVED ON SEPT. 25, 2019. RENAMED FROM L07_NONE_035E_XCN TO L07_NONE_036E_XCN ON OCT. 9 2019. STOPPED ON OCT 19, 2019 CONVERTED ON VEIN. RESUMED ON FEBRUARY 13 2020 IN THE SAME TIME TRANSFERRED FROM SHEPHERD Z TO FABROA.Stopped on feb 19 2020 already hit the vein</t>
  </si>
  <si>
    <t>L07_JVHW_067E_DW</t>
  </si>
  <si>
    <t>L06_JVHW_010E_STOPE PREP</t>
  </si>
  <si>
    <t>REPLACEMENT OF L06_JV_048E_RAISE. APPROVED ON JANUARY 17 2020. temporary stopped on january 23 2020 to prioritize L06_JV_048E_DW.RESUMED ON FEB 4, 2020. STOPPED ON FEB. 20 2020 ALREADY BREAKTHROUGH</t>
  </si>
  <si>
    <t>L06_JVHW_032W_RAISE</t>
  </si>
  <si>
    <t>L07_JV_050E_ROBBING</t>
  </si>
  <si>
    <t>L07_CTV_008E_WINZE</t>
  </si>
  <si>
    <t>REPLACEMENT OF L06_NONE_028W_XCN APPROVED ON NOV 21,2019. TEMP. STOPPED ON JANUARY 7 2020. Resumed on Jan 14, 2020. temporary stopped on Feb 20, 2020. due to unservisable area.</t>
  </si>
  <si>
    <t>REPLACEMENT OF L08_JV_074E_RAISE. APPROVED ON JANUARY 7, 2020. CONVERT TO ACTIVE BREAKING APPROVED ON  FEBRUARY 7, 2020.</t>
  </si>
  <si>
    <t>L09_JVSPLIT_068E_DW</t>
  </si>
  <si>
    <t>REPLACEMENT OF L08_GHV_006E_RAISE. APPROVED ON DECEMBER 17, 2019. STOPPED ON FEBRUARY 21 2020 DUE TO ALREADY CONNECTED TO LEVEL 7 MAINLINE</t>
  </si>
  <si>
    <t>REPLACEMENT OF L09_GHV_047E_RAISE. APPROVED ON DECEMBER 3, 2019. STOPPED ON 2/21/20 CONVERTED TO STOPE PREP</t>
  </si>
  <si>
    <t>REPLACEMENT OF L08_JV_063E_RAISE.APPROVED ON NOV 20, 2019. STOPPED ON FEB 21 2020. DUE TO ALREADY REACHED TO LEVEL 8 MAINLINE.</t>
  </si>
  <si>
    <t>REPLACEMENT OF L08_JV_028W_RAISE. APPROVED ON NOV 29, 2019.TEMP. STOPPED ON DECEMBER 18, 2019 DUE TO ABSENTEEISM OF MEN RESULTING TO ABANDONMENT OF WORKPLACE. RESUME TO NORMAL ACTIVITY ON JANUARY 7, 2020 (7:14 AM BOLADOR). STOPPED ON FEB 21 2020 DUE TO CONSECUTIVE LOW ASSAY GRADES ON CUT SAMPLES/ BULK SAMPLES.</t>
  </si>
  <si>
    <t>L10_JVFW_048E_DE</t>
  </si>
  <si>
    <t>L10_GHV_007W_RAISE</t>
  </si>
  <si>
    <t>L10_JVSPLIT_005E_RAISE</t>
  </si>
  <si>
    <t>ADDITIONAL HORIZONTAL DEVELOPMENT. APPROVED ON JANUARY 8 2020. Stopped converted to stope prep ON FEB 21 2020</t>
  </si>
  <si>
    <t>L07_JVSPLIT_024E_STOPE PREP</t>
  </si>
  <si>
    <t>REPLACEMENT OF L06_JV_052E_STOPE APPROVED ON FEB 4, 2020 . STOPPED ON FEB. 22 2020 ALREADY FINISHED HEADING</t>
  </si>
  <si>
    <t>L06_NONE_010W_XCN</t>
  </si>
  <si>
    <t>L08_JVSPLIT_076E_DW</t>
  </si>
  <si>
    <t>L08_GHVSPLIT_007E_DE</t>
  </si>
  <si>
    <t>REPLACEMENT OF L07 JV 050E DW.APPROVED ON FEB 6 2020. Stopped on Feb 21 2020 due to vein pinched out and converted to Robbing.</t>
  </si>
  <si>
    <t>L04_JVFW_023E_RAISE</t>
  </si>
  <si>
    <t>REPLACEMENT OF L04_JVFW_023E_DE. APPROVED ON JANUARY 22, 2020. TRANSFERRED FROM SHEPHERD AA2 TO BAKAKON ON JANUARY 24 2020. TEMPORARY STOPPED ON FEBRUARY 13 2020 DUE TO ABSENTEEISM OF MEN RESULTING TO ABANDONMENT OF WORKPLACE. RESUMED ON FEBRUARY 14 2020. TRANSFERRED FROM BAKAKON TO SHEPHERD AF ON FEBRUARY 19 2020. STOPPED ON FEB 25 2020 DUE TO CONSECUTIVE LOW ASSAY GRADE ON CUT SAMPLES/ BULK SAMPLE.</t>
  </si>
  <si>
    <t>L05_GHV_040W_ROBBING</t>
  </si>
  <si>
    <t>REPLACEMENT OF L08 JV 065E STOPE PREP. APPROVED ON NOVEMBER 21,2019. THIS STOPE IS STILL PRODUCING GOOD CUT &amp; BULK SAMPLES GRADES EVALUATION ON DECEMBER 16, 2019. STOPPED AND CONVERTED TO PULL-OUT CLEANING ON FEBRUARY 18 2020.</t>
  </si>
  <si>
    <t>ADDITIONAL HORIZONTAL DEVELOPMENT. APPROVED ON DECEMBER 21, 2019. TRANSFERRED ON DECEMBER 23, 2019 FROM VERSOZA 1 TO SILVOZA 2. TRANSFERRED ON JANUARY 6, 2020 FROM SILVOZA 2 TO BENONGUIL. STOPPED ON FEBRUARY 18 2020 FINISHED HEADING.</t>
  </si>
  <si>
    <t>REPLACEMENT OF L08_JVSPLIT_080E_DE APPROVED ON NOV 22, 2019. STOPPED ON DECEMBER 17, 2019 ALREADY REACHED THE RECOMMENDED STRIKE LENGTH/ CROWN PILLAR.</t>
  </si>
  <si>
    <t>ADDITIONAL VERTICAL DEVELOPMENT. APPROVED ON JULY 31, 2019 AT THE SAME DAY RENAMED FROM L08_JV_064E_RAISE TO L08_JV_065E_RAISE. TRANSFER FROM AGLOLO 3 TO LERIO 1 STARTING ON AUGUST 5, 2019. Transfer from Lerio To agloLo on Sept. 14, 2019. STOPPED ON OCT. 15, 2019 CONVERTED TO STOPE PREP.</t>
  </si>
  <si>
    <t>REPLACEMENT OF L04_NV_021W_DE.APPROVED ON OCT. 16, 2019. STOPPED ON DECEMBER 4, 2019 ALREADY HIT VEIN TARGET AND FINISHED INSTALLATION OF BACKSWITCH.</t>
  </si>
  <si>
    <t>REPLACEMENT OF L04_GHV_029W_ROBBING. APPROVED ON JANUARY 13, 2020. STOPPED ON JANUARY 28 2020 DUE ALREADY BREAKTHROUGH.</t>
  </si>
  <si>
    <t>REPLACEMENT OF L04_JV_029E_WINZE. APPROVED ON OCT. 17, 2019. STOPPED ON JANUARY 31 2020  ALREADY PINCHED OUT VEIN AT LAST BOTTOM DUE TO TRANSECTED FAULT.</t>
  </si>
  <si>
    <t xml:space="preserve">REPLACEMENT OF L04 RYV 012E WINZE. APPROVED ON MARCH 16, 2019. FOR EVALUATION DUE TO LACKING OF LADDER FOR ABOUT 6 METERS.TRANSFER ON JANUARY 24 2020 FROM OY-YOY 2 TO COMAINGKING. STOPPED ON 5/30/19-LOC, CONSECUTIVE LOW GRADE RESULTS. </t>
  </si>
  <si>
    <t>REPLACEMENT OF  L04 CTV 016W WINZE. APPROVED ON OCT. 15, 2019.STOPPED ON NOV 14, 2019 DUE TO BREAKTHROUGH TOWARDS OLD STOPE.RESUMED ON NOV 20, 2019. STOPPED ON JANUARY 23 2020 DUE TO CONSECUTIVE LOW ASSAY GRADE ON CUT SAMPLES/ BULK SAMPLE.RESUMED ON FEB 4, 2020. STOPPED ON FEBRUARY 13 2020 DUE TO CONSECUTIVE LOW ASSAY GRADES ON CUT SAMPLES/ BULK SAMPLES.</t>
  </si>
  <si>
    <t>REPLACEMENT OF L05_NONE_028W_XCS APPROVED ON NOV 13, 2019. Temporary stopped on Dec 3, 2019 due to no available waste pass. Resumed on December 9,2019. STOPPED ON FEB 5, 2020.</t>
  </si>
  <si>
    <t>COMMON AREA. APPROVED ON SEPT. 30, 2019. OPEN AS PERMANENT WORK AREA REPLACEMENT OF L10_NONE_071E_XCN APPROVED ON NOV 28, 2019. STOPPED ON FEB 22 2020. DUE TO ACTIVE WORKING PLACE AT L09 MAINLINE BREAKTHROUGH AREA.</t>
  </si>
  <si>
    <t>L09_DPVE2_057E_STOPE PREP</t>
  </si>
  <si>
    <t>PMC MINER</t>
  </si>
  <si>
    <t>REPLACEMENT OF L04 GHVFW 017E DW. APPROVED ON FEBRUARY 7, 2020. STOPPED ON FEB. 22 2020, RECOMMENDED FOR ACTIVE BREAKING.</t>
  </si>
  <si>
    <t>L04_GHVFW_017E_WINZE STOPE</t>
  </si>
  <si>
    <t>APPROVED ON NOV. 6, 2019 REPLACEMENT OF L05_GHV_010W_RAISE.STOPPED ON NOV 16, 2019 ALREADY REACHED THE RECOMMENDED STRIKE LENGTH/CROWN PILLAR.</t>
  </si>
  <si>
    <t>BYPASS TO TARGET OLD MAINLINE TO ROBBING. APPROVED ON OCTOBER 8, 2019.STOPPED ON OCT. 30, 2019 ALREADY BREAK THRU.</t>
  </si>
  <si>
    <t>REPLACEMENT OF L05 JV 025W DW.APPROVED ON JULY 3, 2019. STOPPED ON SEPT. 16, 2019 DUE TO CONSECUTIVE LOW ASSAY GRADE.RESUMED ON NOV 8, 2019.TEMP STOPPED ON NOV. 26, 2019 DUE TO DIFFECTIVE AIR HOST. RESUMED ON JANUARY 7, 2020. STOPPED ON JANUARY 27 2020 DUE TO CONSECUTIVELY PRODUCING BELOW CUT OFF GRADE DUE TO POOR VEIN MINIRALIZATION.</t>
  </si>
  <si>
    <t>REPLACEMENT OF L05_JV_033E_STOPE PREP. APPROVED ON DECEMBER 13, 2019. CONVERTED TO PULL OUT CLEANING ON FEB 3, 2020. Already Mined out ON February 18,2020.</t>
  </si>
  <si>
    <t>REPLACEMENT OF L06_GHVSPLIT_032W_RAISE. APPROVED ON JANUARY 6, 2020. STOPPED ON JANUARY 22 2020 CONVERTED TO ACTIVE BREAKING</t>
  </si>
  <si>
    <t>L06_JVFW_041E_WINZE</t>
  </si>
  <si>
    <t>REPLACEMENT OF L06_CTV_034E_ROBBING.APPROVED ON OCT 31, 2019. STOPPED ON JANUARY 10, 2020  ALREADY REACHED THE RECOMMENDED STRIKE LENGTH AND PINCHED OUT VEIN 0.10M VW.</t>
  </si>
  <si>
    <t>REPLACEMENT OF L06 DPVE 026E DE. APPROVED ON NOVEMBER 22,2019. STOPPED PM DECEMBER 4, 2019 DUE TO ALREADY REACHED THE RECOMMENDED TARGET.</t>
  </si>
  <si>
    <t>REPLACEMENT OF L07 GHVFW 026W STOPE PREP. APPROVED ON DECEMBER 6, 2019. STOPPED BREAKING ON JANUARY 9 2020 IN THE SAME TIME CONVERTED TO PULL-OUT CLEANING. STOPPED ON JAN 16,2020 DUE TO CONSECUTIVE LOW ASSAY GRADE.</t>
  </si>
  <si>
    <t>REPLACEMENT OF L07_GHVFW_019W_RAISE. APPROVED ON JANUARY 15, 2020.Temporary stopped on Feb 18 2020</t>
  </si>
  <si>
    <t>REPLACEMENT OF L09_GHVSPLIT_048E_STOPE. APPROVED ON JANUARY 14, 2020. Stopped on February 6,2020 due to consecutive low assay grade.</t>
  </si>
  <si>
    <t>REPLACEMENT OF L06_JV_048E_RAISE.APPROVED ON JANUARY 17 2020. Stopped on Feb 4, 2020 has already reached target strike length.</t>
  </si>
  <si>
    <t>REPLACEMENT OF L09 JVFW 055E STOPE PREP. APPROVED ON MAY 15,2019. STOPPED ON DECEMBER 11, 2019 CONVERTED TO PULL-OUT . Stopped on Feb. 25 2020 already mined out.</t>
  </si>
  <si>
    <t>REPLACEMENT OF L09_DPVE3_033E_DE. APPROVED ON OCT 22, 2019. TRANSFERRED FROM DELOS REYES TO PANCIT NOEL ON OCT 28, 2019. stopped on Feb. 25 2020 already breakthrough.</t>
  </si>
  <si>
    <t>L09_DPVE2_035E_DW</t>
  </si>
  <si>
    <t>L10_JVFW_051E_RAISE</t>
  </si>
  <si>
    <t>REPLACEMENT OF L06_JVHW_025E_STOPE PREP. APPROVED ON JANUARY 22 2020. CONVERTED TO ACTIVE PULL-OUT ON FEBRUARY 13 2020. Stopped on Feb. 25 2020 ALREADY FINISHED 96% PULL-OUT</t>
  </si>
  <si>
    <t>L10_JVFW_052E_STOPE</t>
  </si>
  <si>
    <t>REPLACEMENT OF L05_CTV_006E_STOPE PREP. APPROVED ON JANUARY 8, 2020. TEMPORARY STOPPED ON FEBRUARY 1 2020 DUE TO OPERATIONAL PURPOSES TO RESUMED L05_CTV_006E_RAISE.CONVERTED TO ACTIVE PULL-OUT ON FEBRUARY 12 2020. Stopped on Feb 26 2020 already Mined Out.</t>
  </si>
  <si>
    <t>L05_CTV_005W_ROBBING</t>
  </si>
  <si>
    <t>L10_JVFW_063E_STOPE PREP</t>
  </si>
  <si>
    <t>L06_JVHW_018E_ROBBING</t>
  </si>
  <si>
    <t>L06_JV_005E_DE</t>
  </si>
  <si>
    <t>L06_CTV_008E_RAISE</t>
  </si>
  <si>
    <t>ADDITIONAL SOURCE OF GOOD ORE. APPROVED ON JANUARY 14,2020. STOPPED AND CONVERTED TO ACTIVE BREAKING ON FEB 27 2020.</t>
  </si>
  <si>
    <t>L09_JVFW_056E_STOPE</t>
  </si>
  <si>
    <t>ADDITIONAL SOURCE OF GOOD ORE. APPROVED ON JANUARY 17 2020. STOPPED AND CONVERTED TO ACTIVE BREAKING ON FEB 27 2020.</t>
  </si>
  <si>
    <t>L09_GHV_067E_STOPE</t>
  </si>
  <si>
    <t>REPLACEMENT OF L06_CV_004W_DW. APPROVED ON OCT. 18, 2019. Stopped on Nov. 29, 2019 already breakthrough to an old stope. RESUMED ON FEB. 14 2020. STOPPED ON FEB 27 2020 TO DOUBLE CHECK ELEVATION AND BALANCE TOWARD L05_CV_005W_WINZE STOPE. FOR IMMEDIATE ACTION NO FURTHER BREAKING ON THE CURRENT FACE OF THE INCLINE</t>
  </si>
  <si>
    <t>REPLACEMENT OF L07_DPVE_029E_STOPE PREP. APPROVED ON NOV 26, 2019 CONVERT TO STOPE BREAKING. STOPPED ON FEB 27 2020 FINISHED HEADING</t>
  </si>
  <si>
    <t>ADDITIONAL VERTICAL DEVELOPMENT SERVE AS PROBE RAISE. APPROVED ON JANUARY 22 2020. STOPPED ON FEB. 27 2020 DUE TO CHARGE AS MARGINAL ORE ALL REMAINING BROKEN MATERIALS.</t>
  </si>
  <si>
    <t>REPLACEMENT OF L10_GHVFW_029E_RAISE APPROVED ON NOV 15, 2019. STOPPED ON FEB 27 2020 ALREADY REACHED THE RECOMMENDED STRIKE LENGTH / CROWN PILLAR.</t>
  </si>
  <si>
    <t>REPLACEMENT OF L10 GHVFW 028E RAISE. APPROVED ON MAY 27, 2019.CONVERT TO BREAKING ON JUNE 10, 2019. STOPPED ON FEBRUARY 27 2020 CONVERTED TO PULL OUT CLEANING</t>
  </si>
  <si>
    <t>REPLACEMENT OFL08 NONE 60E CHAMBER. APPROVED ON DECEMBER 13, 2019. STOPPED ON FEB 24 2020, CONVERTED TO ACTIVE BREAKING.</t>
  </si>
  <si>
    <t>REPLACEMENT OF L08_GHV_015W_WINZE. APPROVED ON FEBRUARY 19 2020. TEMPORARY STOPPED ON FEB 28 2020 DUE TO UNDESIRED EVENT HAPPENED TO THE TEAM LEADER AND ON OF HIS MINER.</t>
  </si>
  <si>
    <t>REPLACEMENT OF L08_GHVSPLIT_024W_DE. APPROVED ON OCT. 18 2019. TEMP STOPPED ON OCT 28, 2019 DUE TO  COLLAPSE MAINLINE NOW DRIVING BY PASS TO RECOVER ROBBING PILLARS. RESUNMED ON DECEMBER 5, 2019. TEMP. STOPPED ON FEB 28 2020  DUE TO UNDESIRED EVENT HAPPENED TO THE TEAM LEADER AND ONE OF HIS MINER.</t>
  </si>
  <si>
    <t>ADDITIONAL SOURCE OF GOOD ORE. APPROVED ON FEBRUARY 18 2020. STOPPED ON FEB 28 2020 DUE TO UNDESIRED EVENT HAPPENED TO THE TEAM LEADER AND ONE OF HIS MINERS</t>
  </si>
  <si>
    <t>REPLACEMENT OF L04_CTVSPLIT_021W_DE. APPROVED ON FEBRUARY 12 2020. STOPPED ON FEB 28 2020 DUE TO PINCHED OUT VEIN TO 0.05M @ MOST CURRENT BACK</t>
  </si>
  <si>
    <t>L07_GHVHW_034E_WINZE STOPE PREP</t>
  </si>
  <si>
    <t>REPLACEMENT OF L07 JV_037E_STOPE PREP. APPROVED ON DECEMBER 11, 2019.  STOPPED AND CONVERTED TO PULL-OUT CLEANING ON FEB 27 2020,.</t>
  </si>
  <si>
    <t>L09_DPVE2_057E_STOPE</t>
  </si>
  <si>
    <t>L09_JVHW_021E_DW</t>
  </si>
  <si>
    <t>L06_DPVE_022E_ROBBING</t>
  </si>
  <si>
    <t>L05_CTV_012W_DW</t>
  </si>
  <si>
    <t>ADDITIONAL INCLINED RAISE. APPROVED ON FEBRUARY 6, 2020. STOPPED ON MARCH 2 2020 DUE TO PINCHED OUT VEIN TO 0.05M</t>
  </si>
  <si>
    <t>L07_JVHW_054E_STOPE PREP</t>
  </si>
  <si>
    <t>L07_JVHW_069E_DE</t>
  </si>
  <si>
    <t>REPLACEMENT OF L07 CV 007E RAISE. APPROVED ON FEBRUARY 6, 2020. STOPPED ON MARCH 2 2020 DUE TO ALREADY FINISHED</t>
  </si>
  <si>
    <t>REPLACEMENT OF L06_GHVFW_025W_RAISE. APPROVED ON FEBRUARY 17 2020. STOPPED ON MARCH 2 2020 ALREADY BREAKTHROUGH</t>
  </si>
  <si>
    <t>REPLACEMENT OF L06_CV_008W_RAISE. APPROVED ON FEBRUARY 6 2020. STOPPED ON MARCH 2 2020 DUE TO LW GRADE.</t>
  </si>
  <si>
    <t>L06_JVSPLIT_011E_RAISE</t>
  </si>
  <si>
    <t>REPLACEMENT OF L07_JVSPLIT_018E_RAISE APPROVED ON FEB 5, 2020. Stopped on March 2, 2020 due to vein pinched out.</t>
  </si>
  <si>
    <t>L07_GHVFW_040E_ROBBING</t>
  </si>
  <si>
    <t>REPLACEMENT OF L10_JVSPLIT_051E_RAISE. APPROVED ON JANUARY 15, 2020. STOPPED ON MARCH 3 2020 CONVERTED TO ACTIVE BREAKING.</t>
  </si>
  <si>
    <t>L10_JVSPLIT_054E_STOPE</t>
  </si>
  <si>
    <t>REPLACEMENT OF L08_JVFW_062E_STOPE PREP. APPROVED ON DECEMBER 26, 2019. STOPPED ON MARCH 3 2020 CONVERTED TO PULL OUT CLEANING.</t>
  </si>
  <si>
    <t>L08_DPVE_077E_DE</t>
  </si>
  <si>
    <t>REPLACEMENT OF L06_GHVSPLIT_032W_STOPE. APPROVED ON FEBRUARY 11 2020. Stopepd on March 3 2020 due to low grade.</t>
  </si>
  <si>
    <t>L06_JVSPLIT_031W_DE</t>
  </si>
  <si>
    <t>REPLACEMENT OF L06_EDV_005W_RAISE. APPROVED ON FEBRUARY 10 2020. STOPPED ON MARCH 3 2020 CONVERTED TO ACTIVE BREAKING.</t>
  </si>
  <si>
    <t>REPLACEMENT OF L07_JVHW_068E_WINZE. APPROVED ON FEBRUARY 20, 2020.Stopped on march 3 2020 to proceed DE.</t>
  </si>
  <si>
    <t>L09_JVFW_064E_STOPE PREP</t>
  </si>
  <si>
    <t>L06_GHV_036W_WINZE</t>
  </si>
  <si>
    <t>REPLACEMENT OF L06_GHVFW_020W_WINZE. APPROVED ON JANUARY 17 2020. Stopped on Feb 27, 2020 and converted to crown pillar robbing.</t>
  </si>
  <si>
    <t>ADDITIONAL VERTICAL DEVELOPMENT. APPROVED ON FEB 16,2020. Stopped on Feb 27, 2020 and converted to crown pillar robbing.</t>
  </si>
  <si>
    <t>REPLACEMENT OF L06_GHV_026W_WINZE. APPROVED ON OCTOBER 6, 2019. STOPPED ON DEC 3, 2019. PROCEED TO ISL.</t>
  </si>
  <si>
    <t>REPLACEMENT OF L06_JVFW_025E_DW. APPROVED ON NOV 27, 2019.STOPPED ON NOV 27, 2019 ALREADY BREAK THRU.</t>
  </si>
  <si>
    <t>REPLACEMENT OF L06_GHVFW_031W_WINZE.APPROVED ON AUGUST 26, 2019.RENAMED FROM L06 JV 016W WINZE FROM L06 016E_WINZE AS LEVEL GEOLOGIST ON AUGUST 27, 2019. STOPPED ON OCT. 9 2019 UNSAFE CONDITION AND ALREADY BREAK THRU.</t>
  </si>
  <si>
    <t>REPLACEMENT OF L06_DPVE_038E_WINZE STOPE. APPROVED ON AUGUST 26, 2019.RENAMED FROM L06_GHVFW_026W_WINZE TO L06_GHV_026W_WINZE ON SEPT 9, 2019. Stopped on Oct. 3, 2019 due to pinched out vein.</t>
  </si>
  <si>
    <t>REPLACEMENT OF L06_CTV_038E_ROBBING.APPROVED ON AUGUST 14, 2019. stopped 9/26/19 already connected to old stope of Level 7</t>
  </si>
  <si>
    <t>REPLACEMENT OF L06 CTV 028E ROBBING. APPROVED ON MARCH 18, 2019. TEMPORARY STOPPED ON JUNE 5,2019 DUE TO DAMAGE AIRHOIST. RESUMED ON JUNE 15,2019.  STOPPED ON AUGUST 22, 2019 DUE TO ALREADY REACHED THE ELEVATION OF LVL 7.</t>
  </si>
  <si>
    <t>FILL WINZE FOR WASTE PASS. APPROVED ON JUNE 7, 2019 -LTS.  TEMPORARY STOPPED ON JUNE 25, 2019 DUE TO LACK OF MANPOWER.</t>
  </si>
  <si>
    <t>REPLACEMENT OF L06 JVFW 053E ROBBING. APPROVED ON MAY 21, 2019.TEMPORARY STOPPED ON JUNE 15, 2019 TO PRIORITIZE L06 GHVFW 031W WINZE AS PER CCE.</t>
  </si>
  <si>
    <t>FILL WINZE.REPLACEMENT OF L06 JV 059E STOPE. APPROVED ON FEBRUARY 16,2019. TEMP. STOPPED ON MARCH 4, 2019; ON GOING STOPE AT LEVEL 7 JV 57E STOPE. RESUMED ON MARCH 6, 2019. ALREADY DONE FILL WINZE ON MARCH 16, 2019. .RESUMED ON 4/6/19-LTS, TO REHAB &amp; CONVERT TO 2CPT WINZE THEN TRANSFER FROM GONZALES 3 TO MANZANO.TEMP.STOP ON 4/30/19-SDNC, UNAVAILABLE AIRHOIST.</t>
  </si>
  <si>
    <t>2CPT WINZE. REPLACEMENT OF L06  CTV 032W WINZE STOPE. APPROVED ON DEC. 21, 2018.STOPPED DUE TO LOW GRADE CONVERT ON FEBRUARY 7, 2019</t>
  </si>
  <si>
    <t>FILL WINZE FOR WASTE PASS. APPROVED ON NOV 20, 2018. ALREADY DONE WITH FILL WINZE, STOPPED ON JAN 17, 2019 ALREADY BREAKTHROUGH.</t>
  </si>
  <si>
    <t>L06_CTV_001E_WINZE</t>
  </si>
  <si>
    <t>L06_CV_005W_WINZE</t>
  </si>
  <si>
    <t>REPLACEMENT OF L06 JVFW 053E ROBBING. APPROVED ON FEB 22, 2019. MZC.STOP ON 4/9/19-LTS, 4METERS OFF-VEIN.</t>
  </si>
  <si>
    <t>FILL WINZE TO BE CONNECTED TO L07 JV 067E STOPE. APPROVED ON JAN 16, 2019.STOPPED ON JAN 22, 2019 ALREADY BREAKTHROUGH</t>
  </si>
  <si>
    <t>REPLACEMENT OF L06_JV_060E_ROBBING APPROVED ON JULY 13, 2019. STOPPED ON JULY 19, 2019 ALREADY BREAK TRHOUGH.</t>
  </si>
  <si>
    <t>REPLACEMENT OF L06 JVFW 006E ROBBING. APPROVED ON MAY 25,2019. TEMPORARY STOPPED DUE TO NO AIRHOIST ON JUNE 10, 2019. RESUMED ON AUG 16, 2019 AT THE SAME TIME TRANSFERRED  FROM GONZALES 3 TO QUIJANO. TEMPORARY STOPPED ON AUG 17, 2019 DUE TO UNSAFE CONDITION.</t>
  </si>
  <si>
    <t>REPLACEMENT OF L06_GHVFW_020W_STOPE. APPROVED ON OCTOBER 7, 2019. STOPPED ON NOV 8, 2019 FOR WASTE PASS.</t>
  </si>
  <si>
    <t>REPLACEMENT OF L06_JVFW_040E_WINZE. APPROVED ON JANUARY 21 2020. STOPPED ON FEBRUARY 13, 2020 DUE TO UNSAFE CONDITION.</t>
  </si>
  <si>
    <t>REPLACEMENT OF L06_GHVFW_022W_STOPE. APPROVED ON DECEMBER 7, 2019. Stopped on Jan 14, 2020; aLready breakthrough.</t>
  </si>
  <si>
    <t>REPLACEMENT OF L06_GHVFW_028W_WINZE. APPROVED ON DECEMBER 11, 2019. Stopped on Feb 20, 2020 due to vein pinched out.</t>
  </si>
  <si>
    <t>REPLACEMENT OF L06_JVFW_025E_ROBBING. APPROVED ON DECEMBER 11, 2019. STOPPED ON JANUARY 13, 2020 DUE TO ALREADYT BREAKTHROUGH TOWARD LEVEL 7 OLD STOPE AT +16M STOPE DISTANCE. RESUMED ON FEBRUARY 17 2020 IN THE SAME TIME RENAMED FROM L06_JVFW_040E_WINZE TO L06_JVFW_041E_WINZE. STOPPED ON MARCH 3 2020 DUE TO UNSAFE CONDITION.</t>
  </si>
  <si>
    <t>L06_JVHW_030W_STOPE PREP</t>
  </si>
  <si>
    <t>ADDITIONAL VERTICAL DEVELOPMENT APPOROVED ON AUGUST 7, 2018. STOPPED ON NOV 6, 2018, ON LEVEL 5 ELEVATION. RESUMED ON 2/2/2020 FOR WIDENING PURPOSES ONLY. STOPPED ON FEB. 27 2020 MADE A BREAKTHROUGH</t>
  </si>
  <si>
    <t>REPLACEMENT OF L09_JVS_065E_STOPE APPROVED ON NOV 5, 2019. STOPPED BREAKING ON MARCH 5 2020 SAME TIME CONVERT TO PULL OUT CLEANING.</t>
  </si>
  <si>
    <t>L10_NONE_070E_XCN</t>
  </si>
  <si>
    <t>REPLACEMENT OF L07_NONE_036E_XCN. APPROVED ON FEBRUARY 19 2020.TRASNFER FROM FABROA TO DELOS REYES ON FEB 22 ,2020. Transfer from delos reyes 2 to Babor 2 on Feb 27 2020. STOPPED ON MARCH 3 2020 DUE TO PINCHED OUT.</t>
  </si>
  <si>
    <t>REPLACEMENT OF L09_JVHW_015E_DE. APPROVED ON JANUARY 27 2020. STOPPED ON FEB 29 2020.</t>
  </si>
  <si>
    <t>REPLACEMENT OF L04 JV 012W RAISE. APPROVED ON JUNE 5,2019. TRANSFERRED ON DECEMBER 17, 2019 FROM MARTINEZ DN 2 TO BAKAKON. TRANSFERRED ON JANUARY 24 2020 FROM BAKAKON 1 TO SHEPHERD AA1. STOPPED ON MARCH 5 2020 DUE TO UNSAFE CONDITION.</t>
  </si>
  <si>
    <t>REPLACEMENT OF L09_DPVE2_058E_DE.APPROVED ON JANUARY 20, 2020. STOPPED ON MARCH 5 2020 DUE TO PINCHED OUT VEIN.</t>
  </si>
  <si>
    <t>ADDITIONAL HORIZONTAL DEVELOPMENT. APPROVED ON FEBRUARY 19 2020. STOPPED ON MARCH 5 2020 DUE TO PINCHED OUT VEIN.</t>
  </si>
  <si>
    <t>REPLACEMENT OF L08_JV_021W_DE. APPROVED ON JANUARY 24 2020. STOPPED ON FEB 29 2020 DUE TO CONSECUTIVE LOW ASSA GRADE ON CUT SAMPLES BULK SAMPLES.</t>
  </si>
  <si>
    <t>REPLACEMENT OF L05_CTV_013E_STOPE_PREP APPROVED ON NOV 6, 2019. TRANSFERRED ON DEC. 23 2019 FROM BALDO 2 TO FERNANDEZ RX 2.  TRANSFERRED ON JANUARY 6, 2020 FROM FERNANDEZ RX 2 TO BALDO 2.CONVERTED TO PULL OUT CLEANING ON FEB 3, 2020. STOPPED ON MARCH 5 2020 ALREADY MINED OUT</t>
  </si>
  <si>
    <t>L06_NONE_044W_XCS</t>
  </si>
  <si>
    <t>L06_CV_002E_ROBBING</t>
  </si>
  <si>
    <t>REPLACEMENT OF L05_CV_010E_WINZE  FEB 3, 2020. STOPPED ON FEB. 12 2020 TO PRIORITIZE L05_CV_010E_DE. Resumed on Feb 15,2020. STOPPED ON MARCH 5 2020.</t>
  </si>
  <si>
    <t>L05_CTV_045W_ROBBING</t>
  </si>
  <si>
    <t>L10_GHVFW_030E_STOPE PREP</t>
  </si>
  <si>
    <t>DEVELOP XC TO DEVELOP NEW DRILLING CHAMBER AT L10. APPROVED ON SEPT. 4, 2019. RENAMED FROM L10_NONE_050E_XCN TO L10_NONE_020E_XCN ON SEPT. 5, 2019. STOPPED ON MARCH 6 2020 ALREADY REACHED THE TARGET.</t>
  </si>
  <si>
    <t>L10_NONE_007E_CHAMBER</t>
  </si>
  <si>
    <t>REPLACEMENT OF L08_JV_061E_WINZE APPROVED ON FEB 4, 2020. STOPPED ON MARCH 6 2020 DUE TO ALREADY INTERCEPTED THE TARGET UP DIP VEIN EXTENSION OF L09 JVFW 061E RAISE.</t>
  </si>
  <si>
    <t>REPLACEMENT OF L06_JV_014E_ROBBING.APPROVED ON JANUARY 24 2020. TEMP STOPPED ON FEBRUARY 13, 2020 NO AVAILABLE AIRHOIST. Resumed on Feb 22, 2020 at the same time transferred from MANZANO 1 to BAÑEZ 1. STOPPED ON MARCH 6 2020 DUE TO VEIN PINCHED OUT.</t>
  </si>
  <si>
    <t>REPLACEMENT OF L04 JVFW_14E_WINZE.APPROVED ON MAY 31, 2019/ TEMP. STOPPED ON JUNE 17, 2019 DUE TO LACK OF MANPOWER. RESUMED ON FEBRUARY 4, 2020 AS WELL AS TRANSFER FROM OY-YOY 2 TO COMAINGKING 3. STOPPED ON MARCH 6 2020 DUE TO PINCHED OUT VEIN.</t>
  </si>
  <si>
    <t>L04_JVHW_014E_DW</t>
  </si>
  <si>
    <t>REPLACEMENT OF L05_GHV_035W_STOPE PREP APPROVED ON NOV 12, 2019 CONVERT TO ACTIVE BREAKING. STOPPED ON MARCH 6 2020 MADE A BREAKTHROUGH CONVERTED TO PULL OUT CLEANING.</t>
  </si>
  <si>
    <t>L05_GHV_036W_RAISE</t>
  </si>
  <si>
    <t>REPLACEMENT OF L06_JV_005E_ROBBING. APPROVED ON FEB 26 2020.  STOPPED ON MARCH 6 2020.</t>
  </si>
  <si>
    <t>REPLACEMENT OF L06_JVHW_034W_DE. APPROVED ON MARCH 3 2020. STOPPED ON MARCH 6 2020 due to made a breakthrough</t>
  </si>
  <si>
    <t>REPLACEMENT OF L06_GHVFW_029W_STOPE APPROVED ON FEB 4, 2020. STOPPED ON MARCH 6 2020 due to make a breakthrough</t>
  </si>
  <si>
    <t>REPLACEMENT OF L06_JV_046E_RAISE. APPROVED ON FEB. 26 2020. stopped on march 5 2020 converted to active breaking.</t>
  </si>
  <si>
    <t>L06_JVHW_010E_STOPE</t>
  </si>
  <si>
    <t>L05_NV_007E_ROBBING</t>
  </si>
  <si>
    <t>L04_JVFW_011E_ROBBING</t>
  </si>
  <si>
    <t>L05_CTV_005E_ROBBING</t>
  </si>
  <si>
    <t>ADDITIONAL SOURCE OF GOOD ORE. APPROVED ON JANUARY 28 2020. Stopped on March 72020 converted to sill pillar.</t>
  </si>
  <si>
    <t>REPLACEMENT OF L05_CTV_006E_STOPE. APPROVED ON FEB 26 2020. Stopped on March 7,2020 offset robbing pillar.</t>
  </si>
  <si>
    <t>L09_DPVE2_058E_RAISE</t>
  </si>
  <si>
    <t>ADDITIONAL VERTICAL DEVELOPMENT. APPROVED ON JANUARY 7, 2020. RENAMED VEIN FROM GHVFW TO GHVSPLIT AS PER JAMOR., RENAMED VEIN FROM GHVSPLIT TO JVFW ON JANUARY 17,2020 AS PER JA AMOR. Stopped on march 4 2020./</t>
  </si>
  <si>
    <t>ADDITIONAL BATTERY CHAMBER @ LVEL 10. APPROVED ON AUGUST 2, 2019. Temporary stopped on 11/21/19 to prioritized development ore. RESUMED ON JANUARY 13, 2020 IN THE SAME TIME TRANSFERRED FROM SHEPHERD W TO DUHIG 6.TEMP STOPPED ON FEB 3, 2020 AS PER LEVEL MNGR.RESUME ON FEB 5, 2020 AT THE SAME TIME TRANSFER FROM DUHIG 6 TO MOTEBON 1.  Stopped on March 9 2020, already finished.</t>
  </si>
  <si>
    <t>RENAMED TO L09 GHVFW 065E RAISE, REPLACEMENT OF L09_GHVFW_062E_STOPE APPROVED ON 2/4/20. Stopped on March 9 2020 due to consecutive low assay grade.</t>
  </si>
  <si>
    <t>REPLACEMENT OF L09_GHVFW_028E_RAISE. APPROVED ON JANUARY 17 2020.STOPPED ON MAR 9 2020 DUE TO CONSECUTIVE LOW ASSAY GRADE.</t>
  </si>
  <si>
    <t>REPLACEMENT OF L07_DPVE_055E_WINZE. APPROVED ON DECEMBER 5, 2019.STOPPED ON MAR 9 2020 ALREADY CONENECTED TO OLD WINZE.</t>
  </si>
  <si>
    <t>REPLACEMENT OF L06_JVHW_017E_STOPE PREP. APPROVED ON DECEMBER 3, 2019.STOPPED BREAKING AT THE SAME TIME CONVERTED TO PULL OUT CLEANING ON MARCH 9 2020</t>
  </si>
  <si>
    <t>L09_DPVE2_079E_RAISE</t>
  </si>
  <si>
    <t>REPLACEMENT OF L04_JV_013W_ROBBING. APPROVED ON FEB. 20, 2020. STOPPED ON MARCH 9 2020 DUE TO CONSECUTIVE LOW ASSAY GRADE ON CUT SAMPLESS.</t>
  </si>
  <si>
    <t>REPLACEMENT OF L04_NONE_019W_XCS. APPROVED ON JANUARY 15, 2020. TEMP STOPPED ON JAN 16, 2020 TO PRIORITIZED EDV 15W DE. RESUMED ON JAN. 20, 2020 in the same time transferred from shepherd z to martinez dn. STOPPED ON FEBRUARY 10 2020, DUE TO CONSECUTIVE LOW ASSAY GRADES ON CUT SAMPLES/ BULK SAMPLE. RESUMED ON MARCH 5 2020. STOPPED ON MARCH 9 2020 DUE TO CONSECUTIVE LOW ASSAY GRADES ON CUT SAMPLES/BULK SAMPLES.</t>
  </si>
  <si>
    <t>L04_JV_020W_ROBBING</t>
  </si>
  <si>
    <t>L04_GHV_028W_DE</t>
  </si>
  <si>
    <t>L07_NONE_009E_XCN</t>
  </si>
  <si>
    <t>REPLACEMENT OF L08_GHV_005E_RAISE. APPROVED ON FEB. 24 2020.STOPPED ON MARCH 10, 2020 CONVERTED TO STOPE BREAKING.</t>
  </si>
  <si>
    <t>L11_NONE_048E_XCN</t>
  </si>
  <si>
    <t>L11_NONE_049E_XCS</t>
  </si>
  <si>
    <t>L06_EDV_008W_DW</t>
  </si>
  <si>
    <t>L06_GHVFW_029W_ROBBING</t>
  </si>
  <si>
    <t>REPLACEMENT OF L08_DPVE_073E_DW. APPROVED ON MARCH 3 2020. STOPPED ON MARCH 10 2020 DUE TO PINCHED OUT VEIN.</t>
  </si>
  <si>
    <t>ADDITIONAL INCLINED RAISE DEVELOPMENT. APPROVED ON MARCH 6,2020. STOPPED ON MARCH 10 2020 DUE TO PINCHED OUT VEIN.</t>
  </si>
  <si>
    <t>REPLACEMENT OF L06 GHVFW 036W RAISE. Approved on Feb 22, 2020. STOPPED ON MARCH 10 2020 ALREADY REACHED RECOMMENDED STRIKE LENGTH CROWN PILLAR.</t>
  </si>
  <si>
    <t>REPLACEMENT OF L05_CTV_043W_WINZE. APPROVED ON JANUARY 24 2020. STOPPED ON MARCH 10 2020 DUE TO PINCHED OUT VEIN</t>
  </si>
  <si>
    <t>REPLACEMENT OF L05 NV 009E WINZE. APPROVED ON DECEMBER 16, 2019. MARCH 10 2020 DUE TO CONSECUTIVE LOW ASSAY GRADES ON CUT SAMPLE/ BULK SAMPLE./</t>
  </si>
  <si>
    <t>REPLACEMENT OF L04_NONE_028W_XCS. APPROVED ON JANUARY 30 2020. STOPPED ON MARCH 10 2020 DUE TO CONSECUTIVE LOW ASSAY GRADE ON CUT SAMPLES/ BULK SAMPLES.</t>
  </si>
  <si>
    <t>REPLACEMENT OF L04 JVSPLIT 058W RAISE. APPROVED ON APRIL 23, 2019. TEMP. STOPPED ON JUNE 20, 2019 BECAUSE THE GROUP WILL UNDERGO EXPLOSIVE SEMINAR AS PER DTAN. RESUMED OPERATION ON JUNE 26, 2019 AS THE GROUP FINISHED THEIR EXPLOSIVE SEMINAR.STOPPED ON JULY 4, 2019 DUE  TO FAILURE AMIDST WIRE FRAMING &amp; DESIGN. RESUMED ON JULY 5, 2019 TO PROCEED ON INCLINED RAISE @ EAST SIDE. STOPPED ON JULY 22, 2019 NOT PASS WIRE FRAMING (DILUTED GRADE @ 1.95.GPT) RESUMED ON FEB. 10 2020. STOPPED ON MARCH 10 2020 DUE TO CONSECUTIVE LOW ASSAY GRADES ON CUT SAMPLE.</t>
  </si>
  <si>
    <t>L05_JVHW_014W_DE</t>
  </si>
  <si>
    <t>L09_GHVFW_031W_DE</t>
  </si>
  <si>
    <t>ADDITIONAL HORIZONTAL DEVELOPMENT. APPROVED ON JANUARY 29 2020. Temporary stopped Feb 8, 2020 due to unserviceable area.  Resumed on Feb. 21 2020. STOPPED ON MARCH 10 2020 DUE TO ALREADY HIT THE VEIN TARGET AND WILL BE RENAMED TO LEVEL 9 GHVFW 031W DE.</t>
  </si>
  <si>
    <t>ADDITIONAL VERTICAL DEVELOPMENT. APPROVED ON DECEMBER 2, 2019. TEMPORARY STOPPED ON DECEMBER 11, 2019 DUE TO LACK OF MAN POWER. RESUMED ON FEBRUARY 1 2020 IN THE SAME TIME TRANSFERRED FROM SHEPHERD A TO FABROA1. STOPPED ON FEBRUARY 12 2020 DUE TO MADE A BREAKTHROUGH. RESUMED ON FEB. 21 2020STOPPED ON MAR 10 2020 CONVERTED TO STOPE PREP.</t>
  </si>
  <si>
    <t>L07_GHVFW_001W_STOPE PREP</t>
  </si>
  <si>
    <t>REPLACEMENT OF L07_JVSPLIT_031E_DW APPROVED ON NOV 18, 2019.RENAMED FROM JVSPLIT 032E RAISE TO 033E RAISE ON NOV 19, 2019.STOPPED ON NOV 26, 2019 CONVERTED TO BLIND STOPING. RESUMED ON JAN 16 2020. STOPPED ON MARCH 10 2020 TO RESUME STOPE BREAKING ACTIVITY.</t>
  </si>
  <si>
    <t>L09_NONE_033E_XCS</t>
  </si>
  <si>
    <t>L09_NONE_055E_XCS</t>
  </si>
  <si>
    <t>L06_NONE_035E_XCS</t>
  </si>
  <si>
    <t>REPLACEMENT OF L07_GHVHW_034W_DE. APPROVED ON FEB. 28 2020. stopped on March 11 2020 converted to active breaking.</t>
  </si>
  <si>
    <t>L07_GHVHW_034E_WINZE STOPE</t>
  </si>
  <si>
    <t>L07_JV_002E_DW</t>
  </si>
  <si>
    <t>L05_CTV_015E_WINZE</t>
  </si>
  <si>
    <t>REPLACEMENT OF L05_CV_010E_DW.APPROVED ON FEB 15. 2020. Temporary stopped on March 3 resumed on drift west. RESUMED ON MARCH 5 2020. Stopped on March 12,2020 due to consecutive low assay grade.</t>
  </si>
  <si>
    <t>L08_JVSPLIT_051E_RAISE</t>
  </si>
  <si>
    <t>L08_GHV_048E_STOPE PREP</t>
  </si>
  <si>
    <t>L08_GHV_014W_ROBBING</t>
  </si>
  <si>
    <t>SHEPHERD AD 1</t>
  </si>
  <si>
    <t>SHEPHERD AD 2</t>
  </si>
  <si>
    <t>ADDITIONAL HORIZONTAL DEVELOPMENT. APPROVED ON FEB. 25 2020. Stopped on March 14, 2020, about to breakthrough to an old mainline.</t>
  </si>
  <si>
    <t>L10_DPVE_061E_DW</t>
  </si>
  <si>
    <t>SHEPHERD Y3</t>
  </si>
  <si>
    <t>L10_GHVFW_036E_STOPE PREP</t>
  </si>
  <si>
    <t>L10_GHVFW_027E_RAISE</t>
  </si>
  <si>
    <t>L10_JVHW_004E_DE</t>
  </si>
  <si>
    <t>L10_DPVE_058E_RAISE</t>
  </si>
  <si>
    <t>L10_DPVE_068E_RAISE</t>
  </si>
  <si>
    <t>REPLACEMENT OF L10_GHVFW_038E_RAISE.APPROVED ON OCT 18, 2019. STOPPED ON NOV 22, 2019 DUE TO CONSECUTIVE LOW ASSAY GRADES ON CUT SAMPLES/BULK SAMPLES. RESUMED ON JANUARY 25 2020.EVALUATION ON FEB. 27 2020 AVOID ENTERING IN THE SAID OLD MAINLINE DURING BLASTING BECAUSE NOT ALL TISUES WE CAN MONITOR REMAINING PILLAR. Stopped on March 12,2020 convert to stope prep.</t>
  </si>
  <si>
    <t>REPLACEMENT OF L10_GHV_002E_RAISE. APPROVED ON OCT 30 2019. Stopped on March 15,2020 due to low grade as per discussion on March 12 coordination meeting.</t>
  </si>
  <si>
    <t>COMMON AREA. APPROVED ON SEPT. 30 2019. RESUMED ON DECEMBER 21, 2019 STOPPED ON JANUARY 8 2020. RESUMED ON JANUARY 24 2020. Temporary stopped due to vein pinched on March 12,2020 as per discussion on the coordination meeting</t>
  </si>
  <si>
    <t>COMAINGKING 5</t>
  </si>
  <si>
    <t>L04_CTVSPLIT_022W_RAISE</t>
  </si>
  <si>
    <t>L08_GHVSPLIT_006E_DW</t>
  </si>
  <si>
    <t>L08_GHV_019E_WINZE</t>
  </si>
  <si>
    <t>L09_DPVE2_037E_STOPE PREP</t>
  </si>
  <si>
    <t>L06_DPVE_022E_RAISE</t>
  </si>
  <si>
    <t>L06_JVFW_034E_RAISE</t>
  </si>
  <si>
    <t>ADDITIONAL SOURCE OF GOOD ORE/RENAMED FROM 63E TO L09 GHV 062E STOPE PREP ON JANUARY 15, 2020. STOPPED ON MARCH 16 2020 CONVERTED TO ACTIVE BREAKING.</t>
  </si>
  <si>
    <t>L10_GHV_062E_STOPE</t>
  </si>
  <si>
    <t>REPLACEMENT OF L08_JV_022W_RAISE APPROVED ON FEB. 24 2020.Stopped on 3/16/20 due to consecutive low assay grade</t>
  </si>
  <si>
    <t>REPLACEMENT OF L06 DPVE 024E WINZE. Approved on Feb 27, 2020. STOPPED 3/17/20 OFF VEIN</t>
  </si>
  <si>
    <t>REPLACEMENT OF L06_CV_006W_STOPE PREP. APPROVED ON JANUARY 21 2020. TEMPORARY STOPPED ON FEB 10 2020 TO AVOID SECONDARY DILUTION ON THE BROKEN MATERIALS. RESUMED ON MARCH 2 2020. STOPPED ON MARCH 17 2020 CONVERTED TO PULL OUT CLEANING.</t>
  </si>
  <si>
    <t>L05_CTV_012W_RAISE</t>
  </si>
  <si>
    <t>REPLACEMENT OF L07_JVSPLIT_024E_RAISE. APPROVED ON FEB 28 2020.Finished stope prep at the same time converted to Stope breaking on Mar 16 2020.</t>
  </si>
  <si>
    <t>REPLACEMENT OF L07_JVSPLIT_059E_RAISE.APPROVED ON JANUARY 9 2020. STOPPED ON JANUARY 13, 2020 TO PRIORITY FILL WINZE.resumed on Mar 1 2020 at the same time transfer from Carikitan to Leon 1 STOPPED ON MARCH 17 2020 CONVERTED TO ACTIVE BREAKING</t>
  </si>
  <si>
    <t>L07_JVSPLIT_024E_STOPE</t>
  </si>
  <si>
    <t>L07_JVSPLIT_059E_STOPE</t>
  </si>
  <si>
    <t>REPLACEMENT OF L08_GHVHW_046E_DE. APPROVED ON FEBRUARY 19 2020. STOPPED ON MARCH 17 2020 ALREADY CONNECTED TO OLD MAINLINE.</t>
  </si>
  <si>
    <t>REPLACEMENT OF L09_GHV_030W_STOPE PREP. APPROVED ON OCT. 3, 2019. TEMP. STOPPED ON OCT 15, 2019 DUE TO OVER COLLAPSE @ 4W MAINLINE UNDER REPLAIR AND MUCKING COLLAPSE WP. RESUMED ON JANUARY 27,2020 AT THE SAME TIME TRANSFER FROM PANCIT 8 TO HUMIDING 2. Temporary stopped on Feb 8, 2020 due to unserviceable area. RESUMED ON FEB 21, 2020.STOPPED ON MAR 17 2020  TO PROCEED RAISE.</t>
  </si>
  <si>
    <t>REPLACEMENT OF GHVHW_035W_ROBBING. APPROVED ON MARCH 4 2020. STOPPED ON MARCH 17 2020 DUE TO BELOW THE DECLINE BREAKTHROUGH AND NEEDS TO PRESERVE.</t>
  </si>
  <si>
    <t>ADDITIONAL VERTICAL DEVELOPMENT. APPROVED ON DECEMBER 15, 2019. STOPPED ON JANUARY 21 2020 DUE TO ALREADY CONNETED TO THE OLD STOPE. RESUMED ON FEB 5, 2020 PROCEED TO NORMAL RAISE AS BLOCKING.STOPPED ON MARCH 17 2020 DUE TO MADE A BREAKTHROUGH</t>
  </si>
  <si>
    <t>REPLACEMENT OF L07_JVSPLIT_035E_DE. APPROVED ON MARCH 7 2020. TEMP. STOPPED ON MARCH 17 2020 DUE TO NO AVAILABLE WASTEPASS.</t>
  </si>
  <si>
    <t>REPLACEMENT OF L09 GHVHW 026E STOPE PREP. Approved on Feb 9, 2020. Stopped on Mar 16 2020 due to consecutive low grade. Converted to pull out on march 17 2020.</t>
  </si>
  <si>
    <t>L06_NONE_005E_XCN</t>
  </si>
  <si>
    <t>REPLACEMENT OF L07_GHVFW_028W_STOPE PREP. APPROVED ON JANUARY 22 2020. TRANSFERRED ON FEBRUARY 18 2020 FROM COMAINGKING TO DOLARIZA. TRANSFERRED FROM DOLARIZA TO BABOR 3 ON FEBRUARY 20, 2020.stopped breaking at the same time converted to pull out cleaning on mar 19 2020</t>
  </si>
  <si>
    <t>REPLACEMENT OF L04_CTVSPLIT_022W_RAISE. APPROVED ON MARCH 16 2020. STOPPED ON MARCH 19 2020 DUE TO CONSECUTIVE LOW ASSAY GRADE ONCUT SAMPLE/BULK SAMPLE</t>
  </si>
  <si>
    <t>REPLACEMENT OF L05 NV 009E ROBBING. APPROVED ON MARCH 7,2020. STOPPED ON MARCH 19 2020 DUE TO CONSECUTIVE LOW ASSAY GRADE ON CUT SAMPLE/ BULK SAMPLE.</t>
  </si>
  <si>
    <t>REPLACEMENT OF L05_CV_005W_ROBBING. APPROVED ON JANUARY 30 2020.STOPPED ON MARCH 19 2020 DUE TO CONSECUTIVE LOW ASSAY GRADE ON CUT SAMPLE/ BULK SAMPLE.</t>
  </si>
  <si>
    <t>REPLACEMENT OF L06_CV_006W_STOPE PREP. APPROVED ON JANUARY 21 2020. TEMPORARY STOPPED ON FEB 10 2020 TO AVOID SECONDARY DILUTION ON THE BROKEN MATERIALS. RESUMED ON MARCH 2 2020. STOPPED ON MARCH 17 2020 CONVERTED TO PULL OUT CLEANING. Stopped on march 18 2020 already mined out.</t>
  </si>
  <si>
    <t>L07_JVSPLIT_032E_STOPE</t>
  </si>
  <si>
    <t>BYPASS TO ACCESS ROBBING. APPROVED ON MARCH 10 2020. Stopped on MAr 19 2020</t>
  </si>
  <si>
    <t>REPLACEMENT OF L09 JVFW 016E RAISE. APPROVED ON DECEMBER 14, 2019. temporary stopped on February 11 2020.Stopped permanently on March 20,20 due to consecutive low assay and cut grade</t>
  </si>
  <si>
    <t>WIDENING FOR DEFINITION DRILLING CHAMBER TARGETING LATERAL EXTENSION OF GHVFW AND GHV @ 65E-75E POSITION.APPROVED ON OCTOBER 19, 2018. STOPPED ON APRIL 18,2019.</t>
  </si>
  <si>
    <t>DELOS REYES V</t>
  </si>
  <si>
    <t>L10_JVSPLIT_060E_RAISE</t>
  </si>
  <si>
    <t>L06_GHVFW_043W_DW</t>
  </si>
  <si>
    <t>REPLACEMENT OF L10_JVSPLIT_062E_DE. APPROVED ON MARCH 5 2020. STOPPED ON MARCH 17 2020 REPLACE BY L10_JVHW_070E_DE.</t>
  </si>
  <si>
    <t>REPLACEMENT OF L04_CTV_016W_RAISE.APPROVED ON FEB. 12 2020. TEMP. STOPPED ON FEB 17, 2020 DUE TO LACK OF MANPOWER.Resumed March 6,2020 at the same time transfer from SHEPHERD X TO SHEPHERD AA1. Stopped on march 20 2020, converted to active breaking</t>
  </si>
  <si>
    <t>L04_CTV_018W_STOPE</t>
  </si>
  <si>
    <t>REPLACEMENT OF L04 JVHW 014E DE. APPROVED ON MARCH 6,2020.Stopped on March 19,2020 converted to stope prep</t>
  </si>
  <si>
    <t>L04_JVHW_014E_WINZE STOPE PREP</t>
  </si>
  <si>
    <t xml:space="preserve">COMAINGKING 3 </t>
  </si>
  <si>
    <t>REPLACEMENT OF L06_GHVFW_031W_RAISE. APPROVED ON MARCH 4 2020. STOPPED ON MARCH 20 2020 ALREADY HIT THE VEIN TARGET</t>
  </si>
  <si>
    <t>L04_JV_055W_DE</t>
  </si>
  <si>
    <t>REPLACEMENT OF L04_GHV_042W_DW APPROVED ON NOV 12, 2019. TRANSFERRED ON DECEMBER 17, 2019 FROM BAKAKON TO MARTINEZ DANNY DUE TO ABSENTEEISM OF MEN. STOPPED ON MARCH 21 2020 ALREADY REACHED THE ALREADY REACHED THE RECOMMENDED STRIKE LENGTH/CROWN PILLAR.</t>
  </si>
  <si>
    <t>REPLACEMENT OF L06_JVHW_030W_RAISE. APPROVED ON MARCH 4 2020. stopped on March 21 2020 converted to active breaking.</t>
  </si>
  <si>
    <t>L06_JVHW_030W_STOPE</t>
  </si>
  <si>
    <t>REPLACEMENT OF L08_048E_RAISE. APPROVED ON JANUARY 27 2020. STOPPED ON MARCH 20, 2020 DUE TO BREAKTHROUGH.</t>
  </si>
  <si>
    <t>L06_CTV_007E_RAISE</t>
  </si>
  <si>
    <t>L09_GHVHW_048E_RAISE</t>
  </si>
  <si>
    <t>REPLACEMENT OF L09_JVSPLIT_073E_STOPE PREP. APPROVED ON OCT. 3, 2019. CONVERTED TO PULL-OUT CLEANING ON JANUARY 27 2020. STOPPED ON MARCH 23, 2020.</t>
  </si>
  <si>
    <t>L08_NONE_039E_XCS</t>
  </si>
  <si>
    <t>REPLACEMENT OF L08_JVSPLIT_027E_DW. APPROVED ON DECEMBER 17, 2019. STOPPED ON MARCH 23 2020 DUE TO ALREADY PINCHED OUT VEIN.</t>
  </si>
  <si>
    <t>ADDITIONAL PRODUCTION OF GOOD ORE. APPROVED ON NOVEMBER 16,2019. TEMP. STOPPED ON MARCH 23 2020 DUE TO UNSAFE CONDITION.</t>
  </si>
  <si>
    <t>L08_JVFW_064E_DW</t>
  </si>
  <si>
    <t>L04_NONE_045W_XCS</t>
  </si>
  <si>
    <t>REPLACEMENT OF L10_GHV_007E_RAISE.APPROVED ON JANUARY 15, 2020. TRANSFERRED ON JANUARY 24, 2020 FROM TAÑEZA 4 TO SHEPHERD B1. STOPPED ON MARCH 23 2020 DUE TO CONSECUTIVE LOW ASSAY GRADE ON CUT SAMPLE.</t>
  </si>
  <si>
    <t>REPLACEMENT OF L06_JVHW_010E_STOPE PREP. APPROVED ON MARCH 5 2020.STOPPED BREAKING AND CONVERTED TO PULL OUT ON MAR 24 2020</t>
  </si>
  <si>
    <t>L06_CTV_012E_DE</t>
  </si>
  <si>
    <t>REPLACEMENT OF L06_JV_016E_WINZE. APPROVED ON OCT. 14 2019. on oct. 21, 2019 this fill winze will be convert to double compartment. TEMP. STOPPED ON OCT. 29, 2019 DUE TO LACK OF MANPOWER.STOPPED ON NOV. 6, 2019 DUE TO INSUFFICIENT MANPOWER. RESUMED ON DECEMBER 9, 2019. STOPPED ON DECEMBER 17, 2019 DUE TO LACK OF MANPOWER. RESUMED ON JANUARY 7 2020. STOPPED ON MARCH 20 2020.</t>
  </si>
  <si>
    <t>REPLACEMENT OF L05 CTV 005W ROBBING. APPROVED ON MARCH 7,2020. STOPPED ON MARCH 25 2020 ALREADY REACHED THE RECOMMENDED STRIKE LENGTH/ CROWN PILLAR</t>
  </si>
  <si>
    <t>REPLACEMENT OF L05 GHVHW 042W DE. APPROVED ON MARCH 25, 2019. STOPPED ON MAY 9,2019 CONVERT TO STOPE PREPARATION. RESUMED ON MAY 10,2019 TO DO INCLINED RAISE. STOPPED ON MAY 15,2019 CONVERT TO STOPE PREP. RESUMED ON AUGUST 8/26/19. STOPPED ON OCT. 2, 2019 ALREADY CONNECTED TO THE LVEL 4 MAINLINE.Resumed on March 7,2020 to drive inclined raise going to east.. At the same time renamed from L05_GHV_034W_RAISE TO L05_GHV_036W_RAISE. STOPPED ON MARCH 25 2020 ALREADY PINCHED OUT VEIN.</t>
  </si>
  <si>
    <t>L07_GHVSPLIT_038E_RAISE</t>
  </si>
  <si>
    <t>L07_JVSPLIT_018E_WINZE</t>
  </si>
  <si>
    <t>L08_JVSPLIT_061E_DE</t>
  </si>
  <si>
    <t>REPLACEMENT OF L04_CTV_011W_ROBBING APPROVED ON NOV 15, 2019. TEMPORARY STOPPED ON FEBRUARY 4 2020 DUE TO UNSERVICEABLE AREA. RESUMED ON FEB, 21 2020. STOPPED ON MARCH 26 2020 DUE TO LOW ASSAY GRADE ON CUT SAMPLE/BULK SAMPLE.</t>
  </si>
  <si>
    <t>L04_NONE_056W_XCS</t>
  </si>
  <si>
    <t>MARTINEZ DN.2</t>
  </si>
  <si>
    <t>L04_CTV_012W_WINZE</t>
  </si>
  <si>
    <t>ADDITIONAL SOURCE OF GOOD ORE. APPROVED ON FEB. 24 2020. TEMPORARY STOPPED ON FEB 25 2020 CHANGE TO CLEANING.Resumed on March 20,2020 at the same time transfer from COMAINGKING TO SHEPHERD Z1. TEMPORARY STOPPED ON MARCH 26 2020 FOR EVALUATION.</t>
  </si>
  <si>
    <t>L05_GHVSPLIT_032W_ROBBING</t>
  </si>
  <si>
    <t>REPLACEMENT OF L08_JV_074E_STOPE PREP. APPROVED ON FEBRUARY 7, 2020.Temporary Stopped on feb. 26 2020 due to no man power allowed to enter this working area. RESUMED ON MARCH 3 2020. STOPPED ON MARCH 26 2020 CONVERTED TO PULL-OUT CLEANING.</t>
  </si>
  <si>
    <t>L04_CV_001E_ROBBING</t>
  </si>
  <si>
    <t>L10_JV_011E_RAISE</t>
  </si>
  <si>
    <t>L05_JV_021E_RAISE</t>
  </si>
  <si>
    <t>SHEPHERD B.1</t>
  </si>
  <si>
    <t>REPLACEMENT OF L04_GHV_028W_DW. APPROVED ON MARCH 9 2020. Stopped on march 27 2020 due to low consecutive assay grade.</t>
  </si>
  <si>
    <t>L04_GHV_028W_RAISE</t>
  </si>
  <si>
    <t>REPLACEMENT OF L09_DPVE2_057E_RAISE. APPROVED ON FEB. 25 2020. Stopped on March 26,2020 converted to active breaking.</t>
  </si>
  <si>
    <t>REPLACEMENT OF L08 JV 065E STOPE PREP. APPROVED ON NOVEMBER 21,2019. THIS STOPE IS STILL PRODUCING GOOD CUT &amp; BULK SAMPLES GRADES EVALUATION ON DECEMBER 16, 2019. CONVERTED TO PULL-OUT CLEANING ON FEBRUARY 18 2020. Temporary Stopped on feb. 26 2020 due to no man power allowed to enter this working area. RESUMED ON MARCH 3 2020. Stopped on March 27,2020 low grade.</t>
  </si>
  <si>
    <t>REPLACEMENT OF L06 JVHW 027E DE. APPROVED ON JUNE 24, 2019. MZC.STOPPED ON AUGUST 16, 2019 CONVERTED TO STOPE PREP. Resumed on Oct 15, 2019 to do inclined raise.STOPPED ON NOV 15, 2019 ALREADY REACHED THE PROJECTED STRIKE LENGTH. RESUMED ON MARCH 24 2020.STOPPED ON MAR 27 2020 . PINCHED OUT VEIN</t>
  </si>
  <si>
    <t>REPLACEMENT OF L07_GHVFW_001W_RAISE. APPROVED ON MARCH 10 2020. STOPPED ON MARCH 27 2020.finished stopepre and converted to breaking on Mar 27 2020</t>
  </si>
  <si>
    <t>L07_GHVFW_001W_STOPE</t>
  </si>
  <si>
    <t>REPLACEMENT OF L04_CTV_008W_DE. APPROVED ON FEBRUARY 17 2020. STOPPED ON MARCH 27 2020 UNSAFE CONDITION NO SOLID PILLAR REMAINING</t>
  </si>
  <si>
    <t>L08_GHVHW_049E_RAISE</t>
  </si>
  <si>
    <t>L06_CV_001W_STOPE PREP</t>
  </si>
  <si>
    <t>L06_JVSPLIT_006E_DW</t>
  </si>
  <si>
    <t>REPLACEMENT OF L07_GHVHW_034W_DW. APPROVED ON FEBRUARY 18 2020.stopped on feb 28 2020 converted to stope prep. Resumed on March 23 2020.stopped on Mar 28 2020 made a breakthrough</t>
  </si>
  <si>
    <t>REPLACEMENT OF L10_JVSPLIT_064E_STOPE. APPROVED ON MARCH 20 2020. stopped on March 28 2020 due to unsafe condition.</t>
  </si>
  <si>
    <t>REPLACEMENT OF L09_GHVHW_060E_RAISE. APPROVED ON JANUARY 27 2020. Stopped on March 28,2020 for reevaluation.</t>
  </si>
  <si>
    <t>REPLACEMENT OF L05_GHV_035W_STOPE PREP APPROVED ON NOV 12, 2019 CONVERT TO ACTIVE BREAKING. STOPPED ON MARCH 6 2020 MADE A BREAKTHROUGH CONVERTED TO PULL OUT CLEANING. Stopped on march 28 2020 already finished.</t>
  </si>
  <si>
    <t>REPLACEMENT OF L10_JVSPLIT_062E_DE.APPROVED ON NOV 26, 2019. TEMPORARY STOPPED ON MARCH 29, 2020 DUE TO UNSAFE CONDITIONS.</t>
  </si>
  <si>
    <t>L05_JVHW_038E_ROBBING</t>
  </si>
  <si>
    <t>L06_EDV_009W_RAISE</t>
  </si>
  <si>
    <t>REPLACEMENT OF L07_NONE_009E_XCN. APPROVED ON MARCH 20 2020.STOPPED ON MARCH 28 2020 DUE TO MADE A BREAKTHROUGH</t>
  </si>
  <si>
    <t xml:space="preserve">REPLACEMENT OF L05 GHV 023W WINZE. APPROVED APRIL 26,2019. STOPPED ON MAY 8,2019 DUE TO VEIN PINCHED.RESUMED ON NOV 25, 2019 TRANFER FROM  BADBADON L.3 TO GEMENTIZA 1. TEMPORARY STOPPED ON DECEMBER 5, 2019.Resumed on 1/31/20 at the same time transfer from GEMENTIZA 1 TO BADBADON. Transfer to SHEPHERD AD 1 from BADBADON; previous team leader resigned, effective on Feb 4, 2020.STOPPED ON MARCH 21 2020 DUE TO ALREADY BREAKTHROUGH
</t>
  </si>
  <si>
    <t>L08_JVSPLIT_061E_DW</t>
  </si>
  <si>
    <t>REPLACEMENT OF L08GHVSPLIT_007E_DE. APPROVED ON MARCH 16 2020. STOPPED ON MARCH 30 2020 DUE TO VEIN PINCHED OUT,.</t>
  </si>
  <si>
    <t>REPLACEMENT OF L08_JV_018W_RAISE. APPROVED ON MARCH 6 2020. STOPPED ON MARCH 30 2020, DUE TO VEIN PINCHED OUT.</t>
  </si>
  <si>
    <t>REPLACEMENT OF L06_JVHW_018E_ROBBING. APPROVED ON MARCH 2 2020.Stopped on Mar 30 2020 vein pinched out</t>
  </si>
  <si>
    <t>L10_DPVE_070E_DE</t>
  </si>
  <si>
    <t>L10_JVSPLIT_072E_RAISE</t>
  </si>
  <si>
    <t>L10_JVSPLIT_065E_STOPE PREP</t>
  </si>
  <si>
    <t>L08_JVFW_055E_WINZE</t>
  </si>
  <si>
    <t>SHEPHERD V.2</t>
  </si>
  <si>
    <t xml:space="preserve"> APPROVED ON JANUARY 9, 2020; FOR EXPLOSIVE CONSUMPTION OF MAINLINE REHAB (CLEANING/WIDENING/SUPPORT INSTALLATION) IN PREPARATION OF FILL WINZE WITH RECOVERABLE ORE AT THE BACK; SHOULD NOT BE INCLUDED IN PRIORITY LIST. TEMPORARY STOPPED ON JANUARY 18, 2020 TO PRIORIIZE FILL WINZE. RESUMED ON JANUARY 22 2020.RENAMED ON FEB 5, 2020 FROM 015W TO 016W TO AVOID MISCHARGING. STOPPED ON FEB. 18 2020 FINISHED HEADING. RENAMED TO 015W ON MARCH 31.2020.</t>
  </si>
  <si>
    <t>L08_GHV_015W_ROBBING</t>
  </si>
  <si>
    <t>L04_CTV_008W_ROBBING</t>
  </si>
  <si>
    <t>ADDITIONAL SOURCE OF GOOD ORE. APPROVED ON JANUARY 23 2020.STOPPED ON FEB. 25 2020 RECOMMENDED FOR ACTIVE BREAKING.</t>
  </si>
  <si>
    <t>REPLACEMENT OF L04_GHV_045W_ROBBING APPROVED ON MARCH 23, 2020. STOPPED ON MARCH 31 2020 DUE TO MADE A BREAKTHROUGH</t>
  </si>
  <si>
    <t>FERNANDEZ, REX.4</t>
  </si>
  <si>
    <t>COMMON AREA. APPROVED ON SEPT. 30 2019. CONVERT TO PERMANENT WORKING PLACE TO BIHAY 2 REMARKS CROSSCUT TARGETTING ORE RESOURCE. TEMPORARY STOPPED ON DECEMBER 5, 2019 DUE TO WASTEPASS UNAVAILABILITY. RESUMED ON JANUARY 8 2019. STOPPED ON APRIL 1 2020 DUE TO ALREADY INTERCEPTED TARGET VEIN WITH 1.0M IN WIDTH AND 24.73 IN GRADE</t>
  </si>
  <si>
    <t>L05_DPVE_042E_DE</t>
  </si>
  <si>
    <t>REPLACEMENT OF L06_JVSPLIT_031W_DE. APPROVED ON MARCH 10 2020. STOPPED ON MARCH 31 2020 DUE TO UNSAFE CONDITION.</t>
  </si>
  <si>
    <t>REPLACEMENT OF L08_NONE_060E_XCS. APPROVED ON MARCH 6 2020. RENAMED ON MARCH 26 2020 FROM 60E TO 061E DE TO AVOID MISCHARGING TO 60E ROBBING. STOPPED ON APRIL 1 2020 DUE TO MULTI DIRECTIONAL FAULT STRUCTURES.</t>
  </si>
  <si>
    <t>REPLACEMENT OF L09_GHV_046E_STOPE APPROVED ON FEB 3, 2020. STOPPED ON APRIL 1 2020 DUE TO CONSECUTIVE LOW ASSAY GRADE ONCUT SAMPLE/ BULK SAMPLE.</t>
  </si>
  <si>
    <t>L08_NONE_037W_XCN</t>
  </si>
  <si>
    <t>MARTINEZ RON.3</t>
  </si>
  <si>
    <t>FERNANDEZ RX 7</t>
  </si>
  <si>
    <t>BADBADON R.5</t>
  </si>
  <si>
    <t>BADBADON R. 6</t>
  </si>
  <si>
    <t>REPLACEMENT OF L08_JV_065E_STOPE, APPROVED ON MARCH 13, 2020. STOPPED ON APRIL 1 2020 CONVERT TO ACTIVE BREAKING</t>
  </si>
  <si>
    <t>REPLACEMENT OF L09 GHVHW 026E STOPE PREP. Approved on Feb 9, 2020. Stopped on Mar 16 2020 due to consecutive low grade. Converted to pull out on march 17 2020.STOPPED ON APRIL 2 2020 ALREADY FINISHED HEADING.</t>
  </si>
  <si>
    <t>REPLACEMENT OF L09_JVS_065E_STOPE APPROVED ON NOV 5, 2019. STOPPED BREAKING ON MARCH 5 2020 SAME TIME CONVERT TO PULL OUT CLEANING..STOPPED ON APRIL 2 2020 ALREADY FINISHED HEADING.</t>
  </si>
  <si>
    <t>ADDITIONAL HORIZONTAL DEVELOPMENT, APPROVED ON FEBRUARY 8 2020. STOPPED ON APRIL 1 2020.</t>
  </si>
  <si>
    <t>BORERO  3</t>
  </si>
  <si>
    <t>REPLACEMENT OF L10 GHVFW 036E RAISE. APPROVED ON MARCH 15,2020. STOPPED ON APRIL 2 2020 CONVERTED TO ACTIVE BREAKING.</t>
  </si>
  <si>
    <t>L10_GHVFW_036E_STOPE</t>
  </si>
  <si>
    <t>MARTINEZ RON. 4</t>
  </si>
  <si>
    <t>L09_GHVFW_036E_RAISE</t>
  </si>
  <si>
    <t>L09_GHVSPLIT_025E_RAISE</t>
  </si>
  <si>
    <t>L09_JVSPLIT_045E_RAISE</t>
  </si>
  <si>
    <t>L09_JVSPLIT_071E_STOPE PREP</t>
  </si>
  <si>
    <t>QUIJANO 6</t>
  </si>
  <si>
    <t>SHEPHERD P 5</t>
  </si>
  <si>
    <t>CAPOY 4</t>
  </si>
  <si>
    <t>DEMALATA 4</t>
  </si>
  <si>
    <t>ADDITIONAL SOURCE OF GOOD ORE. APPROVED ON MARCH 31, 2020. STOPPED ON APRIL 3 2020.</t>
  </si>
  <si>
    <t>L05_NONE_005W_XCS</t>
  </si>
  <si>
    <t>L04_CTVSPLIT_027E_ROBBING</t>
  </si>
  <si>
    <t>L05_JV_029E_RAISE</t>
  </si>
  <si>
    <t>HUMIDING 4</t>
  </si>
  <si>
    <t>BALANGHIG 5</t>
  </si>
  <si>
    <t>DELOS REYES V. 9</t>
  </si>
  <si>
    <t>BALANGHIG 4</t>
  </si>
  <si>
    <t>REPLACEMENT OF L06 JVHW 024E STOPE. APPROVED ON FEBRUARY 17 2020. temporary stopped on March 16 2020 to prioritize raise. RESUMED ON MARCH 23 2020. STOPPED ON APRIL 3 2020 DUE TO VEIN PINCHED OUT,.</t>
  </si>
  <si>
    <t>REPLACEMENT OF L08_GHV_026W_RAISE. APPROVED ON FEB. 24 2020.Temporary Stopped on feb. 26 2020 due to no man power allowed to enter this working area.RESUMED ON MARCH 3 2020. STOPPED ON APRIL 3 2020 DUE TO VEIN PINCHED OUT.</t>
  </si>
  <si>
    <t>Replacement of L05 CTV 037E WINZE. Approved on Dec. 1, 2019. TEMP. STOPPED ON DEC 3, 2019 DUE TO LACK OF MAN POWER. RESUMED ON FEBRUARY 10 2020 at the same time transfer from OY-OYO 1 TO SHEPHERD Z2. STOPPED ON APRIL 1,2020 TO DRIVE INTERMEDIATE SUBLEVEL TO EAST</t>
  </si>
  <si>
    <t>L05_CTV_039E_DE</t>
  </si>
  <si>
    <t>L09_DPVE_057E_DW</t>
  </si>
  <si>
    <t>REPALCEMENT OF L09_GHVFW_065E_RAISE. APPROVED ON MARCH 11 2020. Stopped on April 4,2020 converted to on vein</t>
  </si>
  <si>
    <t>REPLACEMENT OF L06_JVHW_017E_STOPE PREP. APPROVED ON DECEMBER 3, 2019.STOPPED BREAKING AT THE SAME TIME CONVERTED TO PULL OUT CLEANING ON MARCH 9 2020. STOPPED ON APRIL 4 2020 ALREADY FINISHED MORE THAN 95 %</t>
  </si>
  <si>
    <t>L06_JVSPLIT_011E_DE</t>
  </si>
  <si>
    <t>L06_JVSPLIT_018E_RAISE</t>
  </si>
  <si>
    <t>REPLACEMENT OF L04_CTVSPLIT_022W_RAISE. APPROVED ON MARCH 26 2020. STOPPED ON APRIL 5,2020, ALREADY HIT THE VEIN TARGET.</t>
  </si>
  <si>
    <t>L04_JV_056W_DW</t>
  </si>
  <si>
    <t>REPLACEMENT OF L10_DPVE_044E_STOPE PREP. APPROVED ON JANUARY 21, 2020. STOPPED BREAKING AND CONVERTED TO PULL OUT ON APRIL 3 2020.</t>
  </si>
  <si>
    <t>REPLACEMENT OF L10_GHVSPLIT_064E_DW. APPROVED ON JANUARY 15, 2020. STOPPED ON APRIL 6 2020 DUE TO CONSECUTIVE LOW ASSSAY RESULT.</t>
  </si>
  <si>
    <t>ADDITIONAL PRODUCTION. APPROVED ON AUGUST 23, 2019. STOPPED ON SEPT. 27,2019. RESUMED ON JAN 8, 2020 AT THE SAME TIME RENAMED FROM DPVE 028E ROBBING TO DPVE 26E ROBBING. Renamed to DPVE 27E ROBBING on feb 3 2020. BACK TO DPVE 026E ROBBING ON FEB 10 2020. STOPPED ON MARCH 6 DUE TO CONSECUTIVE LOW ASSAY GRADE ON BULK/ GRADE SAMPLE.RESUMED ON MAR 18 2020. AT THE SAME TIME TRANSFER FROM SHEPHERD W TO BORERO 1. SILL PILLAR ROBBING.FINISHED ON APRIL 6 2020</t>
  </si>
  <si>
    <t>REPLACEMENT OF L08_JV_064E_STOPE PREP. APPROVED ON JANUARY 30 2020. Temporary stopped on Feb.. 26 2020 due to no man power allowed to enter all working area. CONVERT TO PULL OUT ON APRIL 6, 2020</t>
  </si>
  <si>
    <t>L08_GHV_033W_RAISE</t>
  </si>
  <si>
    <t>REPLACEMENT OF L09_JVFW_029E_RAISE.APPROVED ON JANUARY 23 2020. temporary stopped on January 28 2020 still no manpower. RESUMED ON JANUARY 29 2020. TEMP  STOP ON FEB 5, 2020 DUE TO MANPOER ISSUE. Resumed on Feb 6, 2020. Temporary stopped Feb 7,2020 lack of manpower. Resumed on Feb 26,2020. STOPPED ON APRIL 6 2020 CONVERTED TO ACTIVE BREAKING.</t>
  </si>
  <si>
    <t>L09_GHVFW_041E_STOPE</t>
  </si>
  <si>
    <t>REPLACEMENT OF L09_DPVE2_035E_DW. APPROVED ON MARCH 16 2020. STOPPED ON APRIL 6 2020 CONVERTED TO ACTIVE BREAKING.</t>
  </si>
  <si>
    <t>L09_DPVE2_037E_STOPE</t>
  </si>
  <si>
    <t>L07_JVHW_065E_WINZE</t>
  </si>
  <si>
    <t>SHEPHERD AF.3</t>
  </si>
  <si>
    <t>L04_EDV_015W_DW</t>
  </si>
  <si>
    <t>REPLACEMENT OF L09_DPVE_036E_DW. APPROVED ON JANUARY 7, 2020. TEMPORARY STOPPED ON APRIL 6 2020 FOR REMAPPING FOR SAFETY PURPOSE.</t>
  </si>
  <si>
    <t>L06_JVSPLIT_009E_STOPE PREP</t>
  </si>
  <si>
    <t>REPLACEMENT L06 CV 006W STOPE. Approved on March 28, 2020. Stopped on April 6, 2020, already breakthrough to old mainline.</t>
  </si>
  <si>
    <t>L07_JVSPLIT_035E_WINZE</t>
  </si>
  <si>
    <t>BYPASS FOR BACK UP ROBBING. APPROVED ON APRIL 4 2020. STOPPED ON APRIL 7 2020.</t>
  </si>
  <si>
    <t>REPLACEMENT OF L10_JVSPLIT_064E_STOPE PREP. APPROVED ON DECEMBER 20,2019.temporary stopped on March 16 2020 to drive 3cpt raise. RESUMED ON APRIL 1 2020. STOPPED ON APRIL 8 2020 CONVERTED TO PULL-OUT CLEANING</t>
  </si>
  <si>
    <t>REPLACEMENT OF L08_JVSPLIT_051E_RAISE. APPROVED ON MARCH 31 2020. STOPPED ON APRIL 8 2020 ALREADY CONNECTED TO OLD STOPE.</t>
  </si>
  <si>
    <t>CHANGE REMARKS ON NOV 2, 2019 AS ADDITIONAL PRODUCTION OF GOOD ORE.STOPPED ON NOV 21, 2019 DUE TO SAFETY CONCERN/UNSAFE CONDITION.RESUMED ON DECEMBER 20, 2019. TEMPORARY STOPPED ON JANUARY 17 2020 DUE TO UNSAFE CONDITION. RESUMED ON MARCH 23 2020. STOPPED ON APRIL 8 2020 DUE TO UNSAFE CONDITION.</t>
  </si>
  <si>
    <t>REPLACEMENT OF L04_GHV_043W_RAISE. APPROVED ON MARCH 2 2020. STOPPED ON APRIL 8 2020 GEO RECOMMENDED TO MINIMIZE BREAKING WIDTH TO .90-1.00M DUE TO NARROW VEIN CHARACTERISTICS OF THE WORK HEADING.</t>
  </si>
  <si>
    <t>ADDITIONAL HORIZONTAL DEVELOPMENT. APPROVED ON MARCH 16 2020. RENAMED ON MARCH 21 2020 FROM L04_JV_005W_DE TO L04_JV_055W_DE. STOPPED ON APRIL 8 2020 DUE TO CONSECUTIVE LOW ASSAY GRADE ON CUT SAMPLE/ BULK SAMPLE.</t>
  </si>
  <si>
    <t>L08_GHVSPLIT_006W_WINZE</t>
  </si>
  <si>
    <t>L04_NONE_030E_XCS</t>
  </si>
  <si>
    <t>L10_JVSPLIT_006E_DE</t>
  </si>
  <si>
    <t>REPLACEMENT OF L06_JVSPLIT_006E_DW APPROVED ON APRIL 7 2020. Temporary stopped on April 8, 2020, old manway need to rehab.</t>
  </si>
  <si>
    <t>L05_CTV_039W_ROBBING</t>
  </si>
  <si>
    <t>REPLACEMENT OF L10_JVSPLIT_064E_RAISE. APPROVED ON JANUARY 7, 2020. Temporary stopped on March 12,2020 to prioritized driving horizontal dev. Stopped permanently on April 14,2020.</t>
  </si>
  <si>
    <t>ADDITIONAL VERTICAL DEVELOPMENT. APPROVED ON FEB. 21 2020. Stopped on April 8,2020 convert to intermediate sublevel</t>
  </si>
  <si>
    <t>FILL WINZE TO BE CONNECTED TO OLD STOPE. APPROVED ON JANUARY 14,2020.CONVERTED TO 2CPT.  Stopped on April 8,2020 convert to intermediate sublevel</t>
  </si>
  <si>
    <t>L04_GHVSPLIT_041W_STOPE PREP</t>
  </si>
  <si>
    <t>REPLACEMENT OF L08_GHVFW_017W_DW. APPROVED ON MARCH 14 2020. STOPPED ON MARCH 30 2020 ALREADY MINED OUT. Resumed on March 31 2020 for timbering purposes only.STOPPED ON APRIL 15, 2020 TO BEGIN TOPSLICE.</t>
  </si>
  <si>
    <t>REPLACEMENT OF L09 GHVFW 034E DW. APPRVED ON MARCH 11 2020. Stopped on April 16, 2020 due to consecutive low assay result.</t>
  </si>
  <si>
    <t>FERNANDEZ, REX 1</t>
  </si>
  <si>
    <t>FERNANDEZ, REX 2</t>
  </si>
  <si>
    <t>SHEPHERD Z 1</t>
  </si>
  <si>
    <t>MARTINEZ 2</t>
  </si>
  <si>
    <t>DEMALATA</t>
  </si>
  <si>
    <t>CROSSCUT TARGETTING RESERVE. APPROVED ON JANUARY 13, 2020.TRANSFER FROM ALMASA 1 TO CAPPUYO 2 ON JAN 24 2020. Already stopped as per LM, already hit the target, stopped on April 16, 2020.</t>
  </si>
  <si>
    <t>L09_JVFW_065E_RAISE</t>
  </si>
  <si>
    <t>REPLACEMENT OF L07_JVSPLIT_027E_RAISE. APPROVED ON MARCH 23 2020. Stopped on April 17,2020 due to vein pinched out.</t>
  </si>
  <si>
    <t>REPLACEMENT OF L10 GHVFW 030E STOPE PREP. APPROVED ON MARCH 15,2020. Stopped on April 10,2020 proceed to active breaking.</t>
  </si>
  <si>
    <t>L10_GHVFW_030E_STOPE</t>
  </si>
  <si>
    <t>REPLACEMENT OF L08_DPVE_077E_DE. APPROVED ON MARCH 24 2020. STOPPED ON APRIL 9, 2020 ALREADY MADE A BREAKTHROUGH.</t>
  </si>
  <si>
    <t>REPLACEMENT OF L09 GHV 064E STOPE PREP. APPROVED ON MARCH 25, 2019. TEMP. STOPPED ON SEPT 13, 2019 TO PRIORITIZE THE BREAKING OF THE RAISE. CONVERT TO PULL-OUT CLEANING ON SEPT. 25, 2019.  TEMPORARY TRANSFERRED TO QUIJANO 1  FROM PANSIT 1 AS PART OF THE CONTROLLED OPERATION, APPROVED ON APRIL 17,2020. Transfer from QUIJANO 1 TO BADBADON R1 ON APRIL 20,2020. Temporary stopped on April 20,2020 to do inclined raise</t>
  </si>
  <si>
    <t>L09_JVSPLIT_068E_RAISE</t>
  </si>
  <si>
    <t>REPLACEMENT OF L09_GHVHW_026E_STOPE.APPROVED ON APRIL 3 2020. STOPPED ON APRIL 21 2020 ALREADY CONNECTED TO THE OLD STOPE.</t>
  </si>
  <si>
    <t>L09_DPVE2_033E_STOPE PREP</t>
  </si>
  <si>
    <t>L08_GHV_040W_DW</t>
  </si>
  <si>
    <t>BYPASS OF 35E SHAFT REPLACEMENT OF L08_NONE_070E_XCN, APPROVED ON MARCH 23, 2020. TRANSFERRED FROM BELICAN TO TORMIS 3 ON MARCH 31 2020. STOPPED ON APRIL 22, 2020, ALREADY BREAKTHROUGH.</t>
  </si>
  <si>
    <t>L09_DPVE_034E_RAISE</t>
  </si>
  <si>
    <t>REPLACEMENT OF L09_JVFW_064E_RAISE. APPROVED ON MARCH 4 2020. Temporary transferred from BABOR 1 to MANZANO 1 on April 16, 2020.STOPPED ON APRIL 24,2020 CONVERTED TO ACTIVE BREAKING</t>
  </si>
  <si>
    <t>L09_JVFW_064E_STOPE</t>
  </si>
  <si>
    <t>L10_JVFW_063E_STOPE</t>
  </si>
  <si>
    <t>REPLACEMENT OF L10_JVFW_061E_RAISE. APPROVED ON FEB. 26 2020. STOPPED ON APRIL 24,2020 CONVERTED TO ACTIVE BREAKING</t>
  </si>
  <si>
    <t>REPLACEMENT OF L08_JV_064E_STOPE PREP. APPROVED ON JANUARY 30 2020. Temporary stopped on Feb.. 26 2020 due to no man power allowed to enter all working area. CONVERT TO PULL OUT ON APRIL 6, 2020. TEMP STOPPED ON4/22 DUE TO SAFETY ISSUES.</t>
  </si>
  <si>
    <t>REPLACEMENT OF L09 JV 042E RAISE. APPROVED ON DECEMBER 19, 2019. Stopped on April 23,2020 raise already connect to Level 8 mainline.</t>
  </si>
  <si>
    <t>REPLACEMENT OF L10_GHV_009E_DW. APPROVED ON FEB 21 2020. Stopped on April 26,2020 due to consecutive low assay grade.</t>
  </si>
  <si>
    <t>L10_GHV_010W_RAISE</t>
  </si>
  <si>
    <t>MARTINEZ, RON.1</t>
  </si>
  <si>
    <t>MARTINEZ, RON.2</t>
  </si>
  <si>
    <t>MARTINEZ, RON.3</t>
  </si>
  <si>
    <t>ADDITIONAL VERTICAL DEVELOPMENT APPROVED ON FEB 7, 2020. STOPPED ON APRIL 27 2020 DUE TO ALREADY REACHED THE RECOMMENDED STRIKE LENGTH CROWN PILLAR.</t>
  </si>
  <si>
    <t>REPLACEMENT OF L08_GHV_003E_RAISE, APPROVED ON APRIL 16, 2020. STOPPED ON APRIL 27 2020 ALREADY CONNECTED TO THE OLD STOPE.</t>
  </si>
  <si>
    <t>ADDITIONAL INCLINED RAISE DEVELOPMENT APPROVED ON FEB 5, 2020.RENAME FROM 38E TO 39E ON FEB 7, 2020 TO AVOID MISCHARGING. STOPPED ON APRIL 27 2020 DUE TO ALREADY VIEN PINCHED OUT,.</t>
  </si>
  <si>
    <t>REPLACEMENT OF L08_GHV_005E_STOPE PREP APPROVED ON MARCH 10, 2020. STOPPED ON APRIL 27 2020 CONVERTED TO PULL-OUT CLEANING</t>
  </si>
  <si>
    <t xml:space="preserve"> REPLACEMENT OF L10_NONE_020E_XCN DRILLING CHAMBER. APPROVED ON MARCH 6 2020. Stopped on April 28,2020 already finished.</t>
  </si>
  <si>
    <t>L11_GHV_039E_DE</t>
  </si>
  <si>
    <t>L09_JVHW_022E_DE</t>
  </si>
  <si>
    <t>SHEPHERD X.1</t>
  </si>
  <si>
    <t>L08_JVSPLIT_062E_RAISE</t>
  </si>
  <si>
    <t>REPLACEMENT OF L07 CTV 008E WINZE. APPROVED ON APRIL 8,2020. Temporary transferred from SHEPHERD W 3 to ESPADA 1 on April 16, 2020. Stopped on April 28 2020 due to consecutive low assay grade on cut sample / bulk sample.</t>
  </si>
  <si>
    <t>REPLACEMENT OF L10 GHVFW 030E RAISE. APPROVED MARCH 6,2020. Temporary stopped on March 15,2020 to explore raise. Stopped on April 18,2020 proceed to active breaking.</t>
  </si>
  <si>
    <t>REPLACEMENT OF L08_JVFW_062E_STOPE, APPROVED ON MARCH 23, 2020, FIRST BLAST ON MARCH 31, 2020. Stopped on April 29 2020 due to pinched out vein.</t>
  </si>
  <si>
    <t>REPLACEMENT OF L07_GHVFW_040E_ROBBING. APPROVED ON MARCH 25 2020. Stopped on April 29,2020 due to consecutive low assay grade..</t>
  </si>
  <si>
    <t>REPLACEMENT OF L07_JVHW_066E_RAISE. APPROVED ON APRIL 20, 2020. Stopped on April 29,2020 due to consecutive low assay grade..</t>
  </si>
  <si>
    <t>REPLACEMENT OF L07_JV_002E_DW. APPROVED ON MARCH 25 2020. Stopped on April 29,2020 17m but targeted stope was not intercept.</t>
  </si>
  <si>
    <t>L07_JVHW_069E_WINZE STOPE PREP</t>
  </si>
  <si>
    <t>REPLACEMENT OF L07_JVHW_067E_DW. APPROVED ON MARCH 2 2020. Temporary transferred from SHEPHERD W 1 to CAYABAS 1 on April 16, 2020. Stopped on April 29,2020 convert to winze prep.</t>
  </si>
  <si>
    <t>REPLACEMENT OF L10 DPVE 058E DE. APPROVED ON MARCH 15,2020. STOPPED ON APRIL 28 2020 ALREADY REACHED THE RECOMMENDEDSTRIEK LENGTH/ CROWN PILLAR. ON APRIL 29 2020 REMARKS AN EXPLORATORY DRIVE VEIN PINCHED OUT AFTER INTERCEPTING AND DISPLACED BY FAULT STRUCTURE, CURRENTLY FOLLOWING .15M NARROW ATZ VEIN WITH LOW QA/ QC RESULTS RECOMMENDED FOR SHOPPAGE IF THERE IS NO TEXTURAL VEIN IMPROVEMENT OFTEN TWO TO THREE MORE BLAST.</t>
  </si>
  <si>
    <t>REPLACEMENT OF L07_GHVHW_034E_WINZE STOPE PREP. APPROVED ON MARCH 11 2020. Temporary stopped March 23,2020 to resumed intermediate sublevel. Resumed on March 27 2020. STOPPED ON APRIL 30 2020 CONVERTED TO PULL-OUT CLEANING</t>
  </si>
  <si>
    <t>L10_GHVSPLIT_071E_DE</t>
  </si>
  <si>
    <t>REPLACEMENT OF L10_GHVFW_035E_STOPE PREP ON NOV 25, 2019 CONVERT TO STOPE BREAKING. STOPPED ON JANUARY 20, 2020 DUE TO CONSECUTIVE LOW ASSAY GRADES ON CUT SAMPLE/ BULK SAMPLES. RESUMED ON FEB. 27 2020. STOPPED BREAKING ON APRIL 30,2020 ALREADY ON LEVEL 9 AT THE SAME TIME CONVERT TO PULL OUT CLEANING.</t>
  </si>
  <si>
    <t>REPLACEMENT OF L09_GHVFW_035E_DE. APPROVED ON JANUARY 17 2020. TEMPORARY STOPPED ON MAR 11 2020 TO PRIORITIZED FOLLOW UP RAISE AT GHVFW 27E RAISE. RESUMED ON MARCH 16 2020.  Temporary transferred from DAVOCOL, ROSELIO 4 to BADBADON, R 1 on April 15, 2020.Stopped on April 16, 2020 due to consecutive low assay result</t>
  </si>
  <si>
    <t>REPLACEMENT OF L08_JVFW_062E_STOPE PREP. APPROVED ON DECEMBER 26, 2019. STOPPED ON MARCH 3 2020 CONVERTED TO PULL OUT CLEANING. STOPPED ON MAY 1, 2020 DUE TO LOW GRADE.</t>
  </si>
  <si>
    <t>REPLACEMENT OF L08_DPVE_068E_DE. APPROVED ON APRIL 1 2020. STOPPED ON APRIL 30, 2020 TO DRIVE DRIFT.</t>
  </si>
  <si>
    <t>L08_GHVSPLIT_037W_DE</t>
  </si>
  <si>
    <t>L07_JV_016E_DE</t>
  </si>
  <si>
    <t>L07_GHV_039E_ROBBING</t>
  </si>
  <si>
    <t>L07_JV_017E_RAISE</t>
  </si>
  <si>
    <t>L10_NONE_037E_XCN</t>
  </si>
  <si>
    <t>L10_DPVE_061E_RAISE</t>
  </si>
  <si>
    <t>DAVOCOL, ROWEL</t>
  </si>
  <si>
    <t>SHEPHERD AD</t>
  </si>
  <si>
    <t>L08_GHVHW_007E_RAISE</t>
  </si>
  <si>
    <t>L08_GHV_027W_STOPE PREP</t>
  </si>
  <si>
    <t>L09_JVFW_073E_RAISE</t>
  </si>
  <si>
    <t>L11_JVFW_049E_DE</t>
  </si>
  <si>
    <t>L10_GHV_070E_STOPE PREP</t>
  </si>
  <si>
    <t>REPLACEMENT OF L08_JVSPLIT_061E_DE. APPROVED ON MARCH 25, 2020. TEMPORARY STOPPED ON MARCH 30 2020/ RESUMED ON APRIL 1, 2020. stopped on April 28 2020 due to Pinched out vein.</t>
  </si>
  <si>
    <t>REPLACEMENT OF L08_NONE_037W_XCN, APPROVED ON MAY1, 2020. Temporary stopped on May 4, 2020 to prioritize stope Prep.</t>
  </si>
  <si>
    <t>SHEPHERD AA</t>
  </si>
  <si>
    <t>REPLACEMENT OF L09_JVHW_014E_RAISE. APPROVED ON MARCH 11 2020. STOPPED ON MAY 3 2020 DUE TO LOW GRADE.</t>
  </si>
  <si>
    <t>L08_GHV_022E_WINZE</t>
  </si>
  <si>
    <t>SHEPHERD B.2</t>
  </si>
  <si>
    <t>L10_JVSPLIT_005E_DW</t>
  </si>
  <si>
    <t>L10_NONE_058E_XCN</t>
  </si>
  <si>
    <t>REPLACEMENT OF L10_GHVFW_038E_DE. APPROVED ON FEB. 25 2020. STOPPED ON MAY 6 2020 DUE TO UNSAFE CONDITION.</t>
  </si>
  <si>
    <t>L08_JVSPLIT_016E_RAISE</t>
  </si>
  <si>
    <t>MARTINEZ. D.2</t>
  </si>
  <si>
    <t>L08_GHV_025E_RAISE</t>
  </si>
  <si>
    <t>L07_DPVE_045E_WINZE</t>
  </si>
  <si>
    <t>REPLACEMENT OF L07_GHVFW_028W_STOPE PREP. APPROVED ON JANUARY 22 2020. TRANSFERRED ON FEBRUARY 18 2020 FROM COMAINGKING TO DOLARIZA. TRANSFERRED FROM DOLARIZA TO BABOR 3 ON FEBRUARY 20, 2020.stopped breaking at the same time converted to pull out cleaning on mar 19 2020. Stopped on May 7 2020, already mined out.</t>
  </si>
  <si>
    <t>REPLACEMENT OF L07_GHVHW_034E_WINZE STOPE PREP. APPROVED ON MARCH 11 2020. Temporary stopped March 23,2020 to resumed intermediate sublevel. Resumed on March 27 2020. STOPPED ON APRIL 30 2020 CONVERTED TO PULL-OUT CLEANING. Stopped on May 7 2020 already mined out.</t>
  </si>
  <si>
    <t>REPLACEMENT OF L07_V_050E_WINZE. APPROVED ON JANUARY 21 2020. STOPPED ON FEB 6, 2020 DUE TO LOW GRADE &amp; REPLACED JV 52E DE. Resumed on Mar 2 2020.  Temporary transferred from SAMBERE 1 to COMAINGKING 1 on April 16, 2020. Stopped on May 6 2020 replaced by JV 50E ROBBING.Stopped due to low grade and pinched out vein.</t>
  </si>
  <si>
    <t>L08_JV_061E_RAISE</t>
  </si>
  <si>
    <t>REPLACEMENT OF L06_GHV_035W_RAISE.APPROVED ON MARCH 16 2020. STOPPED ON MAY 8 2020 DUE TO ALREADY CONNECTED TO OLD STOPE TOWARDS THE EAST.</t>
  </si>
  <si>
    <t>L06_JVSPLIT_014E_WINZE</t>
  </si>
  <si>
    <t>REPLACEMENT OF L08_JV_064E_STOPE, APPROVED ON MARCH 11, 2020.RENAMED FROM L08_DPVE_076E_RAISE TOL08_DVE_077E_RAISE ON MARCH 25, 2020 TO AVOID MISCHARGING.TRANSFERRED FROM LERIO 2 TO VILLARANTE, APPROVED ON APRIL 16, 2020. STOPPED ON MAY 2 2020 ALREADY PINCHED OUT VEIN.</t>
  </si>
  <si>
    <t>L10_JVSPLIT_075E_STOPE PREP</t>
  </si>
  <si>
    <t>REPLACEMENT OF L07_DPVE_026E_ROBBING. APPROVED ON APRIL 4 2020.FILL WINZE FOR WASTE PASS. Stopped on May 9 2020 already breakthrough to old stope.</t>
  </si>
  <si>
    <t>REPLACEMENT OF L10 GHVFW 028E RAISE. APPROVED ON MAY 27, 2019.CONVERT TO BREAKING ON JUNE 10, 2019. STOPPED ON FEBRUARY 27 2020 CONVERTED TO PULL OUT CLEANING. Temporary stopped on April 28,2020 due to lack of manpower. Permanently stopped on May 8,2020 due to consecutive low assay grade. 88% pull out cleaning.</t>
  </si>
  <si>
    <t>REPLACEMENT OF L8 GHV 55E DW,  APPROVED ON MAY 26,2015.TRANSFERRED FROM BANAAG,E. TO BONTIGAO EFFECTIVE AUG.6,2015.STOPPED ON OCT 2,2015. RESUMED ON MAY 5 2020 AT THE SAME TIME TRANSFERRED FROM BONTIGAO TO GEMENTIZA TO PULL OUT OLD MUCK IN PREPARATION FOR INCLINED RAISE TOWARDS L08_GHV_048E_STOPE. STOPPED ON MAY 10, 2020 FINISHED PULLING OUT OLD MUCK TO DRIVE INCLINED RAISE.</t>
  </si>
  <si>
    <t>L08_GHV_050E_RAISE</t>
  </si>
  <si>
    <t>REPLACEMENT OF L09_JVSPLIT_073E_STOPE, APPROVED ON MARCH 23, 2020. Stopped on May 8, 2020, already break through to an old stope, for WF.</t>
  </si>
  <si>
    <t>L09_JVSPLIT_062E_RAISE</t>
  </si>
  <si>
    <t>L07_GHV_028W_RAISE</t>
  </si>
  <si>
    <t>SHEPHERD AB</t>
  </si>
  <si>
    <t>SAMBERE</t>
  </si>
  <si>
    <t>L09_DPVE2_080E_RAISE</t>
  </si>
  <si>
    <t>L09_GHVFW_029W_RAISE</t>
  </si>
  <si>
    <t>L06_GHVFW_042W_DE</t>
  </si>
  <si>
    <t>L06_GHVFW_041W_RAISE</t>
  </si>
  <si>
    <t>DAVOCOL ROSELIO 1</t>
  </si>
  <si>
    <t>REPLACEMENT OF L06_JVSPLIT_012W_RAISE. APPROVED ON MARCH 2 2020. STOPPED ON APRIL 4 2020 THE HEADING DRIVING TOWARDS 8E INTERNAL SHAFT. Resumed on April 7, 2020 to drive raise on the opposite side towards west. Temporary transfer from BADBADON R.2 TO SHEPHERD AC ON MAY 4,2020. stopped on May 11 2020 due to low grade.</t>
  </si>
  <si>
    <t>REPLACEMENT OF L06 DPVE 020E DE. Approved on April 4, 2020. Temporary transfer from QUIJANO 6 TO SHEPHERD AD ON MAY 4,2020. Stopped on May 12 2020 due to low grade.</t>
  </si>
  <si>
    <t>REPLACEMENT OF L09_DPVE2_058E_DW. APPROVED ON MARCH 9 2020. Stopped  on May 13 2020, has 7 meter remaining pillar to level 8 mainline.</t>
  </si>
  <si>
    <t>REPLACEMENT OF GHVFW 035E RAISE. APPROVED ON SEPT. 24, 2019. STOPPED Already done to stope preparation on November 23,2019.</t>
  </si>
  <si>
    <t>REPLACEMENT OF L10 GHVFW 028E RAISE. APPROVED ON MAY 27, 2019. STOPPED CONVERT TO BREAKING ON JUNE 10, 2019.</t>
  </si>
  <si>
    <t>ADDITIONAL APPROVED ON JULY 13, 2018/BBB. Temporary stopped on July 16,2018. TEMPORARY STOPPED DUE TO PROHIZE 48E CHAMBER ON AUGUST 2, 2018.RESUMED ON AUGUST 31, 2018. Stopped on September 17,2018 to do siltation pond.</t>
  </si>
  <si>
    <t xml:space="preserve"> MARTINEZ, ROGER 1</t>
  </si>
  <si>
    <t>REPLACEMENT OF L08_JV_074E_STOPE PREP. APPROVED ON FEBRUARY 7, 2020.Temporary Stopped on feb. 26 2020 due to no man power allowed to enter this working area. RESUMED ON MARCH 3 2020. STOPPED ON MARCH 26 2020 CONVERTED TO PULL-OUT CLEANING. TEMP STOPPED ON 4/22 DUE TO INSUFFICIENT MANPOWER. resumed on May 4, 2020. TEMPORARY STOPPED ON MAY 14 2020 DUE TO ABSENTEEISM OF MEN RESULTING TO ABANDONMENT OF WORKPLACE.</t>
  </si>
  <si>
    <t xml:space="preserve"> MANZANO 2</t>
  </si>
  <si>
    <t>REPLACEMENT OF L10_GHV_039E_WINZE. APPROVED ON APRIL 28 2020.stopped on MAy 14,2020 resumed driving winze going to Level 12</t>
  </si>
  <si>
    <t>ADDITIONAL HORIZONTAL DEVELOPMENT. APPROVED ON JANUARY 19,2019. TEMPORARY STOPPED ON JANUARY 21,2019 TO PRIORITIZED HORIZONTAL DEVELOPMENT ON LEVEL 9. RESUMED ON JAN 26, 2019. TRANSFER FROM TAÑEZA 2 TO PMC MINERS 1 THE FORMER TEAM LEADER WILL BE TRANSFER TO 48E SHAFT AREA TO OPEN PRIORITY HEADINGS APPROVED ON FEBRUARY 20,2019. ALREADY BREAKTHROUGH ON MAY 24, 2019. Resumed on November 7, 2019 at the same time transfer from SHEPHERD Y2 TO MONTEBON 3.Temporary stopped on 2/21/20 to follow up raise. Resumed on March 9 2020. temporary stopped on April 29 2020 due tO obstructed to 10W RAISE PREP. Resumed on May 4 2020. Stopped on May 14,2020 due to off vein.</t>
  </si>
  <si>
    <t>L09_JVFW_077E_RAISE</t>
  </si>
  <si>
    <t>L09_DPVE2_055E_DW</t>
  </si>
  <si>
    <t>PANCIT NOEL 5.</t>
  </si>
  <si>
    <t>L09_JVSPLIT_073E_DE</t>
  </si>
  <si>
    <t>REPLACEMENT OF L08_GHV_005E_STOPE PREP APPROVED ON MARCH 10, 2020. STOPPED ON APRIL 27 2020 CONVERTED TO PULL-OUT CLEANING. TEMPORARY STOPPED ON MAY 15 2020. STOPPED ON MAY 15 2020 FINISHED HEADING</t>
  </si>
  <si>
    <t>REPLACEMENT OF L06_JV_046E_RAISE. APPROVED ON FEB. 20, 2020. STOPPED 3/17/20 OFF VEIN. Resumed ON mAR 19 2020 TO do Inclined towards west. Stopped on May 14,2020 due to vein pinched out.</t>
  </si>
  <si>
    <t>REPLACEMENT OF L06_GHVFW 32W WINZE. APPROVED ON MARCH 4 2020. Stopped on May 15,2020 due to consecutive low assay grade.</t>
  </si>
  <si>
    <t xml:space="preserve">REPLACEMENT OF L07_JVSPLIT_032E_RAISE. APPROVED ON MARCH 19 2020.TEMPORARY STOPPED ON APRIL 6 2020. Resumed and at the same time temporary transferred from SHEPHERD P 4 to FERNANDEZ, REX 1 on April 16, 2020. TEMPORARY STOPPED ON APRIL 22 2020 DUE TO  merge of manpower. Resumed on April 27 2020 the same time transferred from Fernandez, Rex.1 to Martinez Ronald. Convert to pull out cleaning May 14,2020 already finished breaking remaining pillars. </t>
  </si>
  <si>
    <t>REPLACEMENT OF L07_JVSPLIT_032E_RAISE. APPROVED ON MARCH 19 2020.TEMPORARY STOPPED ON APRIL 6 2020. Resumed and at the same time temporary transferred from SHEPHERD P 4 to FERNANDEZ, REX 1 on April 16, 2020. TEMPORARY STOPPED ON APRIL 22 2020 DUE TO  merge of manpower. Resumed on April 27 2020 the same time transferred from Fernandez, Rex.1 to Martinez Ronald. Convert to pull out cleaning May 14,2020 already finished breaking remaining pillars.  Stopped on May 16,2020 already finished pull out remaining broken materials</t>
  </si>
  <si>
    <t>L10_JVSPLIT_071E_RAISE</t>
  </si>
  <si>
    <t>L06_GHVFW_032W_ROBBING</t>
  </si>
  <si>
    <t>REPLACEMENT L06 CTV 012E WINZE. APPROVED ON MAR 20 2020. STOPPED ON MAY 19 2020 DUE TO CONSECUTIVE LOW ASSAY GRADE ON CUT SAMPLES/ BULK SAMPLES</t>
  </si>
  <si>
    <t>REPLACEMENT OF L10_JVSPLIT_057E_STOPE PREP. APPROVED ON DECEMBER 16, 2019.stopped on May 19,2020 already reached the designed pillar. At the same time convert to pull out cleaning</t>
  </si>
  <si>
    <t>L09_JVHW_023E_RAISE</t>
  </si>
  <si>
    <t>REPLACEMENT OF L09_NONE_055E_XCS. APPROVED ON APRIL 4 2020. Temporary transferred from BALANGHIG 3 to BADBADON, R 1 on April 16, 2020. STOPPED ON MAY 22 2020 DUE TO VEIN PINCHED OUT.</t>
  </si>
  <si>
    <t>L06_CTV_011E_DW</t>
  </si>
  <si>
    <t>L09_DPVE2_054E_RAISE</t>
  </si>
  <si>
    <t>L07_JVHW_068E_ROBBING</t>
  </si>
  <si>
    <t>REPLACEMENT OF L09_JVSPLIT_049E_DW APPROVED ON FEB 7, 2020. RENAMED FROM L09_JVHW_021E_DE TO L09_JVHW_021E_DW AS PER JA AMOR ORIGINALLY DW. Temporary stopped on March 27,2020 due to insufficient manpower. Resumed on March 31 2020. Temporary transferred from DELOS REYES V. 8 to BALDO 1 on April 16, 2020. Temporary stopped on April 28,2020. RESUMED ON MAY 4 2020. STOPPED ON MAY 20 2020 ALREADY BREAK THROUGH</t>
  </si>
  <si>
    <t>L09_JVHW_017E_RAISE</t>
  </si>
  <si>
    <t>REPLACEMENT OF L07_DPVE_025E_ROBBING. APPROVED ON MARCH 18 2020. stopped on May 15,2020 due to low grade/</t>
  </si>
  <si>
    <t>L05_CTV_039E_DW</t>
  </si>
  <si>
    <t>REPLACEMENT OF L09_GHVHW_063E_STOPE. APPROVED ON APRIL 3 2020. STOPPED ON MAY 20 2020 DUE TO 5 METERS REMAINING BALANCE TO L08.</t>
  </si>
  <si>
    <t>REPLACEMENT OF L07_GHVFW_001W_STOPE PREP. APPROVED ON MARCH 27 2020. Temporary transferred from FABROA 2 to NOCOS 1 on April 16, 2020. STOPPPED ON MAY 21 2020 DUE TO CONSECUTIVE LW ASSAY GRADES ON CUT SAMPLES/ BULK SAMPLES.</t>
  </si>
  <si>
    <t>REPLACEMENT OF L07_JVSPLIT_018E_RAISE. APPROVED ON APRIL 29 2020. stopped on May 21 2020 due to consecutive low assay  grades on cut samples / bulk samples.</t>
  </si>
  <si>
    <t>L08_GHV_034W_RAISE</t>
  </si>
  <si>
    <t>L08_JVSPLIT_076E_DE</t>
  </si>
  <si>
    <t>L08_GHV_032E_RAISE</t>
  </si>
  <si>
    <t>REPLACEMENT OF L08_GHV_005E_STOPE. APPROVED ON MAY 15 2020. STOPPED ON MAY 21 2020 DUE TO PINCHED VEIN.</t>
  </si>
  <si>
    <t>L06_GHV_040W_RAISE</t>
  </si>
  <si>
    <t>L06_DPVE_021E_WINZE</t>
  </si>
  <si>
    <t>REPLACEMENT OF L06 JVHW 030W STOPE PREP. APPROVED ON MARCH 21,2020. ON MAY 19 2020 EVALUATION BASE ON LEVEL GEOLOGIST OBSERVATION, THIS STOPE PRODUCED CONSECUTIVE LOW QA/QC RESULTS ON BOTH CUT AND BULK SAMPLES. RECOMMENDING TO DRIVE IPR @ +10M EAST FR. WEST MANWAY. STOPPED ON MAY 21 2020 CONVERTED TO PULL-OUT CLEANING</t>
  </si>
  <si>
    <t>REPLACEMENT OF L06_CV_001W_STOPE PREP. APPROVED ON MAY 19 2020. STOPPED ON MAY 21 2020 NOT TO CONVERTED PULL-OUT.</t>
  </si>
  <si>
    <t>REPLACEMENT OF L06_DPVE_022E_ROBBING. APPROVED ON MARCH 18 2020. Temporary transfer from QUIJANO 4 TO DAVOCOL, ROWEL ON MAY 4,2020. TEMPORARY STOPPED ON MAY 4 2020 DUE TO UNSERVICEABLE AREA. RESUMED ON MAY 11 2020. STOPPED ON MAY 21 2020 ALREADY HIT THE TARGET VEIN.</t>
  </si>
  <si>
    <t>L10_GHVHW_066E_RAISE</t>
  </si>
  <si>
    <t>REPLACEMENT OF L05_CV_008E_ROBBING. APPROVED ON MARCH 30 2020. TRANSFERRED FROM DAVOCOL ROW TO SAMBERE ON MAY 11 2020. STOPPED ON MAY 22 2020 DUE TO CONSECUTIVE LOW ASSAY GRADE ON CUT SAMPLES BULK SAMPLES.</t>
  </si>
  <si>
    <t xml:space="preserve"> FOR EXPLOSSIVE WITHDRAWAL OF 60E MAINLINE REHAB. APPROVED ON SEPT 17, 2019. TEMP STOPPED ON DEC 3, 2019 DUE TO THE  UNSAFE CONDITION. RESUME ON MARCH 23, 2020. Temporary stopped on May 23, 2020 due to operational issue.</t>
  </si>
  <si>
    <t>SHEPHERD AF</t>
  </si>
  <si>
    <t>REPLACEMENT OF L10_DPVE_044E_STOPE PREP. APPROVED ON JANUARY 21, 2020. STOPPED BREAKING AND CONVERTED TO PULL OUT ON APRIL 3 2020. Temporary stopped on April 24,2020 lack of mapower.RESUMED ON MAY 11,2020. STOPPED ON MAY 25 2020 ALREADY MINED OUT.</t>
  </si>
  <si>
    <t>REPLACEMENT OF L10 DPVE 060E RAISE. APPROVED ON MARCH 15,2020.  STOPPED ON MAY 15 2020 ALREADY BREAKTHROUGH</t>
  </si>
  <si>
    <t>L10_JVSPLIT_065E_STOPE</t>
  </si>
  <si>
    <t>REPLACEMENT OF L10_JVSPLIT_065E_RAISE. APPROVED ON MARCH 30 2020. Stopped on May 25,2020 convert to active breaking/</t>
  </si>
  <si>
    <t>L05_JV_031E_WINZE</t>
  </si>
  <si>
    <t>L09_DPVE2_033E_STOPE</t>
  </si>
  <si>
    <t>L09_JVSPLIT_071E_STOPE</t>
  </si>
  <si>
    <t>REPLACEMENT OF L09_GHVSPLIT_025E_RAISE. APPROVED ON APRIL 21 2020. Temporary stopped on April 22,2020. RESUMED ON MAY 5 2020. STOPPED ON MAY 25 2020 CONVERTED TO ACTIVE BREAKING.</t>
  </si>
  <si>
    <t>REPLACEMENT OF L09_DPVE_077E_RAISE. APPROVED ON APRIL 3 2020. Temporary transferred from PANSIT 1 to SHEPHERD AD 1 on April 16, 2020. STOPPED ON MAY 25 2020 CONVERTED TO ACTIVE BREAKING</t>
  </si>
  <si>
    <t>L05_DPVE_041E_RAISE</t>
  </si>
  <si>
    <t>REPLACEMENT OF L05_NONE_028E_RAISE APPROVED ON NOV. 18, 2019. TEMPORARY STOPPED ON MARCH 9 2020. RESUMED ON MARCH 15 2020. Temporary stopped on May 26,2020.</t>
  </si>
  <si>
    <t>REPLACEMENT OF L05_CTV_043W_WINZE. APPROVED ON JANUARY 17. 2020.TEMPORARY STOPPED ON JAN 25, 2020 DUE TO LACK OF MANPOWER.  Resumed on 2/10/20 at the same time transfer from OY-OYOY1 TO VILLARANTE 2. Temporary stopped on May 26,2020 no manpower available.</t>
  </si>
  <si>
    <t>REPLACEMENT OF L06_NONE_010W_XCN. STOPPED ON MARCH 11 2020. TEMPORARY STOPPED ON MARCH 30, 2020, Resumed on April 2, 2020. STOPPED ON APRIL 7 2020 DUE TO VEIN PINCHED OUT. RESUMED ON MAY 6 2020.  Temporary stopped on May 16,2020 due to raise prep. Resumed on May 18,2020. STOPPED ON MAY 25,2020 DUE TO VEIN PINCHED OUT</t>
  </si>
  <si>
    <t>L08_JVFW_056E_DW</t>
  </si>
  <si>
    <t>L08_NONE_068E_XCS</t>
  </si>
  <si>
    <t>VERTICAL WINZE TO TARGET RESOURCES AT LEVEL 12. Approved on December 6,2019.Temporary stopped on MAr 9 2020. airhoist defect. Resumed on March 15,2020. Stopped on May 26 2020.</t>
  </si>
  <si>
    <t>REPLACEMENT OF L05_JV_018E_DE. APPROVED ON FEBRUARY 12 2020.TEMPORARY STOPPED ON FEB 15 2020 DUE TO LACK OF MANPOWER.resumed on March 7,2020 at the same time transfer from SHEPHERD Z1 TO BALDO 1. TEMPORARY TRANSFERRED FROM BALDO TO 
SHEPHERD W ON MAY 11 2020. EVUALATION PER LEVEL GEOLOGIST OBSERVATION MINE GEOLOGY RECOMENDS LAST 2 BLASTS TO CONFIRM AND VERIFY UP DIP EXTENSION. stopped on May 26 2020 due to Vein Pinched Out.</t>
  </si>
  <si>
    <t xml:space="preserve">REPLACEMENT OF L09_GHVFW_043E_STOPE PREP. APPROVED ON SEPT. 2, 2019. TRANSFERRED FROM BALANGHIG 2 TO CAPPUYO ON FEBRUARY 11 2020. Temporary stopped on Feb 19 2020. waiting for group to take over.resumed on Feb 25,2020. At the same time transfer from CAPPUYO TO PANCIT, NOEL. MR. CAPPUYO DOES NOT WANT TO TAKE OVER THIS STOPE. STOPPED ON MAY 26 2020 CONVERTED TO PULL OUT CLEANING.
</t>
  </si>
  <si>
    <t xml:space="preserve">REBOTE </t>
  </si>
  <si>
    <t>REPLACEMENT OF L10_JVSPLIT_064E_STOPE PREP. APPROVED ON DECEMBER 20,2019.temporary stopped on March 16 2020 to drive 3cpt raise. RESUMED ON APRIL 1 2020. STOPPED ON APRIL 8 2020 CONVERTED TO PULL-OUT CLEANING. Temporary transferred from DUHIG 3 to BAÑEZ 1 on April 16, 2020. Stopped on May 27 2020 already mined out.</t>
  </si>
  <si>
    <t>REPLACEMENT OF L09_DPVE2_050E_RAISE. APPROVED ON MAY 15 2020. Stopped on May 27 2020 converted to Stope Prep.</t>
  </si>
  <si>
    <t>ADDITIONAL INCLINED RAISE DEVELOPMENT. APPROVED ON MARCH 25 2020. RENAMED FROM L09_JVSPLIT_065E_RAISE TO L09_JVFW_065E_RAISE as per memo of Level Geologist (AMOR). Stopped on May 27 2020 to do stope prep.</t>
  </si>
  <si>
    <t>L09_DPVE2_058E_STOPE PREP</t>
  </si>
  <si>
    <t>L05_JV_018E_ROBBING</t>
  </si>
  <si>
    <t>L09_DPVE2_076E_STOPE PREP</t>
  </si>
  <si>
    <t>REPLACEMENT OF L09_NONE_069E_XCN.APPROVED ON NOV 5, 2019. temporary stopped on March 3 2020 to proceed raise.RESUMED ON MARCH 18,2020 AT THE SAME TIME TRANSFER FROM DELOS REYES V2 TO BALANGHIG 3. Stopped on May 28, 2020 already breakthrough.</t>
  </si>
  <si>
    <t>ADDITIONAL VERTICAL DEVELOPMENT. APPROVED ON MARCH 9 2020. Stopped on May 28, 2020, already reached level 8 elevation.</t>
  </si>
  <si>
    <t>REPLACEMENT OF L05_GHV_GHV_036W_RAISE. APPROVED ON MARCH 26 2020. Temporary stopped on May 26,2020 no manpower available.STOPPED ON MAY 28, 2020 ALREADY PINCHED OUT VEIN AT LAST BACK.</t>
  </si>
  <si>
    <t>L07_JV_017E_WINZE STOPE PREP</t>
  </si>
  <si>
    <t>L10_JVFW_046E_RAISE</t>
  </si>
  <si>
    <t xml:space="preserve">BALANGHIG </t>
  </si>
  <si>
    <t>REPLACEMENT OF L05_CTV_011W_DE. APPROVED ON MARCH 1 2020. Temporary stopped to drive raise on 3/17/20.</t>
  </si>
  <si>
    <t>REPLACEMENT OF L05_CTV_039E_DE. APPROVED ON MAY 22 2020.Stopped on May 29,2020 already breakthrough</t>
  </si>
  <si>
    <t>INTERMEDIATE SUBLEVEL POSSIBLE FOR WINZE STOPING. APPROVED ON SEPT. 23, 2019. renamed FROM L05_CTV_011W_DW TO L05_CTV_011W_DE ON OCTOBER 29, 2019. STOPPED ON NOV 9, 2019 DUE TO CONSECUTIVE LOW ASSAY GRADES ON CUT SAMPLES/BULK SAMPLES. RESUMED ON DECEMBER 13, 2019. TRANSFERRED ON JANUARY 22 2020 FROM BADBADON L.1 TO SHEPHERD AC. TEMPORARY STOPPED ON FEB 25 2020 DUE TO CHANGE HEADING. RESUMED ON APRIL 1 2020. TEMPORARY TRANSFERRED FROM SHEPHERD AC TO SHEPHERD W ON MAY 11 2020.stopped on May 28 2020 breakthrough to old inclined raise.</t>
  </si>
  <si>
    <t xml:space="preserve">REPLACEMENT OF L05_CTV_011W_DE.APPROVED ON NOV 8, 2019. TEMP. STOPPED ON DECEMBER 13, 2019. </t>
  </si>
  <si>
    <t>REPLACEMENT OF L09_GHVFW_041E_RAISE. APPROVED ON DECEMBER 11, 2019.  Stopped on May 30, 2020 due to low grade, stop pull out of broken material; waste.</t>
  </si>
  <si>
    <t>REPLACEMENT OF L08_GHV_048E_STOPE. APPROVED ON  APRIL 1  2020. Stopped on May 28 2020 converted to Pull-out Cleaning.</t>
  </si>
  <si>
    <t>L06_NONE_016E_XCN</t>
  </si>
  <si>
    <t>REPLACEMENT OF L06_NONE_044E_XCS. APPROVED ON MARCH 20 2020. Temporary transfer from BAÑEZ 4 TO BABOR ON MAY 4,2020.TRANSFER FROM BABOR TO COMAINGKING ON MAY 6 2020. Temporary stopped on May 12,2020 to do inclined raise. Resumed on May 13 2020. Stopped on June 1, 2020  due to pinched out vein.</t>
  </si>
  <si>
    <t>L06_CTV_002E_RAISE</t>
  </si>
  <si>
    <t>REPLACEMENT OF L06_EDV_008W_DW. APPROVED ON MARCH 30, 2020. Temporary stopped on May 16,2020 due to raise prep. Resumed on May 18,2020. Stopped on June 1, 2020 due to pinched out vein.</t>
  </si>
  <si>
    <t>L06_GHVFW_041W_STOPE PREP</t>
  </si>
  <si>
    <t>FILL WINZE TO BE CONNECTED TO OLD STOPE. APPROVED ON MAY 26 2020. Stopped on June 2, 2020 as per OPS.</t>
  </si>
  <si>
    <t>ESPADA</t>
  </si>
  <si>
    <t>DAVOCOL ROW.</t>
  </si>
  <si>
    <t>L05_DPVE_042E_DW</t>
  </si>
  <si>
    <t>REPLACEMENT OF L05_NONE_037E_XCN. APPROVED ON APRIL 1 2020. TEMPORARY TRANSFERRED FROM BIHAY 2 TO BAYOBAY ON MAY 11 2020. TEMPORARY STOPPED ON MAY 25 2020 TO PRIORITIZE RAISE PREPARATION.RESUMED ON May 26,2020 at the same time transfer from BAYOBAY TO PMC MINERS 1. STOPPED ON JUNE 3 2020 DUE TO PINCHED OUT VEIN.</t>
  </si>
  <si>
    <t>DELOS REYES V.</t>
  </si>
  <si>
    <t>L09_JV_055E_RAISE</t>
  </si>
  <si>
    <t>REPLACEMENT OF L07 JV_037E_STOPE PREP. APPROVED ON DECEMBER 11, 2019.  STOPPED AND CONVERTED TO PULL-OUT CLEANING ON FEB 27 2020,. TEMPORARY STOPPED ON MARCH 25 2020 TO STABILIZE THE MANWAY. Resumed on April 4,2020. TRANSFER FROM SHEPHERD P 2 TO MARTINEZ RONALD ON APRIL 27 2020. Temporary stoppped on April 29,2020 prioritized 32e stope due to unsafe condition. RESUMED ON MAY 13 2020. STOPPED ON JUNE 3 2020 DUE TO UNSAFE CONDITION</t>
  </si>
  <si>
    <t>L06_JVFW_040E_ROBBING</t>
  </si>
  <si>
    <t>REPLACEMENT OF L06_CTV_012E_DE. APPROVED ON MAY 20 2020. STOPPED ON JUNE 2 2020 DUE TO VEIN PINCHED OUT.</t>
  </si>
  <si>
    <t>ADDITIONAL SOURCE OF GOOD ORE. APPROVED ON MAY 18 2020. STOPPED ON JUNE 3 2020 ALREADY DONE PILLAR ROBBING</t>
  </si>
  <si>
    <t>L08_GHV_027W_STOPE</t>
  </si>
  <si>
    <t>REPLACEMENT OF L08_GHV_029W_RAISE. APPROVED ON MAY 4 2020. STOPPED ON MAY 29 2020 CONVERTED TO ACTIVE BREAKING.</t>
  </si>
  <si>
    <t>REPLACEMENT OF L08_GHV_003E_RAISE. APPROVED MAY 7 2020. STOPPED ON JUNE 2 2020 CONVERTED TO STOPE PREP.</t>
  </si>
  <si>
    <t>REPLACEMENT OF L07_GHVHW_034E_WINZE STOPE. APPROVED ON MAY 4 2020.converted to Sill pillar Robbing on May 23 2020. STOPPED ON JUNE 4 2020 ALREADY MINED OUT.</t>
  </si>
  <si>
    <t>REPLACEMENT OF L09_JVFW_054E_RAISE.APPROVED ON APRIL 3 2020. STOPPED ON JUNE 4 2020 DUE TO LOW GRADE ON CUT SAMPLES.</t>
  </si>
  <si>
    <t>MAPAYO</t>
  </si>
  <si>
    <t>L06_CTV_012E_WINZE STOPE PREP</t>
  </si>
  <si>
    <t>L08_JVSPLIT_016E_STOPE PREP</t>
  </si>
  <si>
    <t>L08_GHV_026W_STOPE PREP</t>
  </si>
  <si>
    <t xml:space="preserve">GUNAY </t>
  </si>
  <si>
    <t>ADDITIONAL HORIZONTAL DEVELOPMENT. APPROVED ON FEBRUARY 19 2020. Temp stopped on May 11, 2020 to do raise prep. Resumed on May 27, 2020. stopped on June 4, 2020 has 2.50 meters to connect in old mainline of L09.</t>
  </si>
  <si>
    <t>ADDITIONAL VERTICAL DEVELOPMENT. APPROVED ON MAY JUNE 2 2020. STOPPED ON JUNE 4 2020 VEIN MEGED WITH OLD STOPE</t>
  </si>
  <si>
    <t>REPLACEMENT OF L10 GHVFW 028E STOPE. APPROVED ON MAY 6 2020. STOPPED ON JUNE 4 2020 ALREADY HIT THE TARGET.</t>
  </si>
  <si>
    <t>REPLACEMENT OF L05_GHV_040W_ROBBING. APPROVED ON MARCH 26 2020. Temporary stopped on May 26,2020 no manpower available. Resumed on May 27,2020 at the same time transfer from SHEPHERD Z1 TO ANDILAB 1. STOPPED ON JUNE 4 2020 ALREADY MINED OUT.</t>
  </si>
  <si>
    <t>ADDITIONAL VERTICAL DEVELOPMENT. APPROVED ON MAY 7 2020. stopped on June 5 2020 due to low assay grade on cut sample / bulk samples.</t>
  </si>
  <si>
    <t>REPLACEMENT OF L08_JVSPLIT_051E_DW. APPROVED ON MAY 6 2020. stopped on June 4 2020 due to off vein as cut by series of fault.</t>
  </si>
  <si>
    <t>INCLINED RAISE REPLACEMENT OF L08_GHV_052E_RAISE. APPROVED ON MAY 11, 2020. Stopped on June 1 2020 already connected to old stope.</t>
  </si>
  <si>
    <t>L06_DPVE_057E_DW</t>
  </si>
  <si>
    <t>REPLACEMENT OF L06_JVSPLIT_012W_RAISE. APPROVED ON MARCH 11 2020. Temporary transfer from BADBADON R.4 TO BIHAY ON MAY 4,2020. TEMPORARY STOPPED ON MAY 6 2020 UNSERVICESABLE AREA. Resumed on May 12,2020 at the same time transfer from BIHAY TO BADBADON R.4. Stopped on June 5, and was converted to drift.</t>
  </si>
  <si>
    <t>REPLACEMENT OF L10 NONE 068E XCS. APPROVED ON SEPT. 30, 2019. TEMP STOPPED ON NOV 25, 2019 TO DO RAISE. Resumed December 11,2019. TRANSFERRED ON DEC, 23, 2019 FROM SHEPHERD Q.1 TO PMC MINERS 5. ON JANUARY 6, 2020 TRANSFERRED FROM PMC MINERS 5 TO SHEPHERD Q.2 Temporary stopped on 1/14/20 block by stope prep.Resumed on May 27,2020 at the same time transfer from SHEPHERD Q2 TO BAÑEZ 1. STOPPED ON JUNE 5 2020 DUE TO LOW GRADE</t>
  </si>
  <si>
    <t>L10_DPVE_062E_DE</t>
  </si>
  <si>
    <t>REPLACEMENT OF L10_JVSPLIT_005E_RAISE. APPROVED ON APRIL 8 2020. Transfer from SHEPHERD Y2 to SHEPHERD B2 FORMER TEAM LEADER WILL DRIVE RAISE ON MAY 15,2020. STOPPED ON JUNE 6 2020 DUE TO CONSECUTIVE LOW ASSAY GRADE ON CUT SAMPLE BULK SAMPLE.</t>
  </si>
  <si>
    <t>REPLACEMENT OF L07_GHVHW_034E_WINZE. APPROVED ON JAN 28, 2020. STOPPED ON FEBRUARY 13 2020 DUE TO MADE A BREAKTHROUGH.</t>
  </si>
  <si>
    <t>L07_GHVHW_035E_DW</t>
  </si>
  <si>
    <t>L07_JVSPLIT_026E_RAISE</t>
  </si>
  <si>
    <t>L08_GHVHW_014E_RAISE</t>
  </si>
  <si>
    <t>REPLACEMENT OF L06_JVHW_010E_STOPE PREP. APPROVED ON MARCH 5 2020.STOPPED BREAKING AND CONVERTED TO PULL OUT ON MAR 24 2020. STOPPED ON MARCH 31 2020 ALREADY FINISHED.</t>
  </si>
  <si>
    <t>REPLACEMENT OF L06 JVHW 010E STOPE. Approved on March 28, 2020. Temporary transfer from Badbadon R.5 TO NOCOS ON MAY 4,2020. Stopped on May 18,2020 converted to active breaking.</t>
  </si>
  <si>
    <t>REPLACEMENT OF L06 JVHW 030W STOPE PREP. APPROVED ON MARCH 21,2020. ON MAY 19 2020 EVALUATION BASE ON LEVEL GEOLOGIST OBSERVATION, THIS STOPE PRODUCED CONSECUTIVE LOW QA/QC RESULTS ON BOTH CUT AND BULK SAMPLES. RECOMMENDING TO DRIVE IPR @ +10M EAST FR. WEST MANWAY. STOPPED ON MAY 21 2020 CONVERTED TO PULL-OUT CLEANING. STOPPED ON JUNE 4 2020 ALREADY MINED OUT.</t>
  </si>
  <si>
    <t>L12_NONE_052E_XCN</t>
  </si>
  <si>
    <t>ADDITIONAL INCLINED RAISE DEVELOPMENT. APPROVED ON MAY 22 2020. Stopped on June 8, 2020 vein pinched out as per geo memo.</t>
  </si>
  <si>
    <t>REPLACEMENT OF L06_CTV_028E_ROBBING. APPROVED ON MARCH 11 2020. Temporary transfer from UDLOS TO COMAINGKING ON MAY 4,2020. Transfer from COMAINGKING TO DOLARIZA FORMER TEAM LEADER SURRENDER ON MAY 12,2020. TRANSFER FROM DOLARIZA 1 TO SHEPHERD AA ON MAY 18,2020. Stopped on June 8, 2020 already done breaking pillars.</t>
  </si>
  <si>
    <t>L06_JV_043E_ROBBING</t>
  </si>
  <si>
    <t>REPLACEMENT OF L09_DPVE_017E_RAISE. APPROVED ON DECEMBER 3, 2019. temporary stopped on February 11, 2020. Resumed on Feb. 24 2020. Stopped on April 8,2020 due to unsafe condition. Resumed on April 27 2020 in the same time transferred from CANOY 2 to PANSIT 2. STOPPED ON JUNE 10 2020.</t>
  </si>
  <si>
    <t>L06_GHV_040W_STOPE PREP</t>
  </si>
  <si>
    <t>REPLACEMENT OF L10_GHVFW_036E_STOPE PREP. APPROVED ON APRIL 2 2020.Stopped breaking on June 10 2020 at the same time converted to Pull out.</t>
  </si>
  <si>
    <t>L06_CV_005W_ROBBING</t>
  </si>
  <si>
    <t>WINZE DEVELOPMENT FOR EXPLORATION. APPROVED ON MARCH 12 2020. TEMPORARY TRANSFERRED FROM OY-YOY 4 TO SHEPHERD W ON MAY 11 2020. TEMPORARY STOPPED ON JUNE 10 2020 DUE TO THE VEIN BEING DISPLACED BY A FAULTS.</t>
  </si>
  <si>
    <t>ADDITIONAL INCLINED RAISE DEVELOPMENT.APPROVED ON MARCH 27 2020. TEMPORARY TRANSFERRED FROM VILLARANTE 2 TO PANCIT ON MAY 11 2020. STOPPED ON JUNE 10 2020 DUE TO THE VEIN BEING DISPLACED BY A FAULT.</t>
  </si>
  <si>
    <t>REPLACEMENT OF L09 JVSPLIT 065E DW. APPROVED ON SEPT. 25, 2019. TEMPORARY STOPPED ON OCT. 22, 2019 DUE TO ON GOING STOPE PREPARATION. RESUMED ON MAY 15 2020 AND IN THE SAME TIME FROM L09_JVSPLIT_066E_DE TO L09_JVSPLIT_073E_DE, AND TRANSFERRED FROM DELOS REYES V.6 TO QUIJANO 1. STOPPED ON JUNE  11 2020 HAS A 16-7 REMAINING BALANCE TO CONNECT L09_JVFW_063E_DE MAINLINE.</t>
  </si>
  <si>
    <t>L08_GHVFW_007W_RAISE</t>
  </si>
  <si>
    <t>L08_JVSPLIT_065E_RAISE</t>
  </si>
  <si>
    <t>SHEPHERD Q.1</t>
  </si>
  <si>
    <t>EXPLORATORY INCLINED RAISE TO CONNECT TO THE WEST SECTION OF L08_GHV_030W_STOPE, APPROVED ON MAY 7, 2020. STOPPED ON JUNE 11 2020 DUE TO RESUMED GHV 30W STOPE.</t>
  </si>
  <si>
    <t>REPLACEMENT OF L06_CV_006W_RAISE. APPROVED ON MAY 27 2020. stopped on June 9 2020 converted to active  breaking</t>
  </si>
  <si>
    <t>REPLACEMENT OF L06_GHVHW_041W_RAISE. APPROVED ON JUNE 2 2020. STOPPED ON JUNE 11 2020.</t>
  </si>
  <si>
    <t>L06_DPVE_016E_DW</t>
  </si>
  <si>
    <t>L07_JVSPLIT_023E_DW</t>
  </si>
  <si>
    <t>REPLACEMENT OF L07_JVHW_068E_WINZE. APPROVED ON APRIL 29 2020. FINSHED STOPE PREP ON JUNE 8 2020 CONVERTED TO ACTIVE BREAKING.</t>
  </si>
  <si>
    <t>L07_JVHW_069E_WINZE STOPE</t>
  </si>
  <si>
    <t>L10_GHV_014W_RAISE</t>
  </si>
  <si>
    <t>REPLACEMENT OF L10 JVSPLIT 072E RAISE. APPROVED ON MAY 10,2020.  STOPPED ON JUNE 11 2020 CONVERTED TO ACTIVE BREAKING.</t>
  </si>
  <si>
    <t>L10_JVSPLIT_075E_STOPE</t>
  </si>
  <si>
    <t>REPLACEMENT OF L10_JVSPLIT_057E_STOPE PREP. APPROVED ON DECEMBER 16, 2019.stopped on May 19,2020 already reached the designed pillar  At the same time convert to pull out cleaning. STOPPED ON JUNE 12 2020 ALREADY MINED OUT.</t>
  </si>
  <si>
    <t>L08_GHV_001E_RAISE</t>
  </si>
  <si>
    <t>L09_JV_060E_RAISE</t>
  </si>
  <si>
    <t>L05_CTV_013E_WINZE</t>
  </si>
  <si>
    <t>L05_DPVE_040E_DW</t>
  </si>
  <si>
    <t>INCLINED RAISE INSIDE L09_JVSPLIT_068E_STOPE. APPROVED ON APRIL 22 2020. TEMP STOPPED ON MAY 8 2020 TO PRIORITIZE 061E STOPE PREP. TRANSFERRED FROM BADBADON R.1 TO PANCIT NOEL 6 ON MAY 13 2020 IN THE SAME TIME RESUMED THE WORKING PLACE. Stopped on June 12 2020 due to continue breaking Stope.</t>
  </si>
  <si>
    <t>PANCIT NOEL 2</t>
  </si>
  <si>
    <t>ADDITIONAL VERTICAL DEVELOPMENT. APPROVED ON APRIL 6 2020. TRANSFERRE FROM SHEPHERD AF TO DEMALATA, APPROVED ON APRIL 16, 2020. TRANSFERRED FROM DEMALATA TO TORMIS ON MAY 5 2020. stopped on June 12 2020 converted to Stope Prep.</t>
  </si>
  <si>
    <t>L08_GHV_033W_STOPE PREP</t>
  </si>
  <si>
    <t>REPLACEMENT OF L09_JVSPLIT_068E_DW. APPROVED ON MAY 11 2020. STOPPED ON JUNE 11 2020 RECOMMENDED FOR STOPPAGE AFTER RAISE CONNECTED WITH AN OLD STOPE. TO BE REPLACED BY L09_JVSPLIT_060E_RAISE</t>
  </si>
  <si>
    <t>L06_CTV_007E_STOPE</t>
  </si>
  <si>
    <t>L07_JVFW_040E_DW</t>
  </si>
  <si>
    <t>REPLACEMENT OF L09_DPVE2_057E_DW. APPROVED ON MAY 20 2020, TEMPORARY STOP FOR REMAPPING, JUNE 14,2020 STOP MEMO RECEIVED BY BBB</t>
  </si>
  <si>
    <t>REPLACEMENT OF L07_JVSPLIT_033E_STOPE PREP. APPROVED ON JANUARY 15, 2020.TEMP STOPPED ON JAN 16,2020 TP PROCEED INCLINED RAISE. RESUMED ON MARCH 10 2020. Temporary transferred from BAYOBAY 1 to OY-YOY 1 on April 16, 2020.STOPPED BREAKING AND CONVERTED TO PULL OUT ON jUN 5 2020. TEMPORARY STOPPED ON JUN 11 2020.WAITING FOR GRAB SAMPLE RESULT.</t>
  </si>
  <si>
    <t>L09_GHVHW_001W_RAISE</t>
  </si>
  <si>
    <t>L08_GHV_064E_RAISE</t>
  </si>
  <si>
    <t>L07_JVSPLIT_023E_RAISE</t>
  </si>
  <si>
    <t>MARTINEZ. D.3</t>
  </si>
  <si>
    <t>L09_JVSPLIT_075E_RAISE</t>
  </si>
  <si>
    <t>REPLACEMENT OF L07_NONE_036E_XCN. APPROVED ON OCT. 19, 2019.  TRANSFERRED FROM SHEPHERD Z TO BAYOBAY 1 ON OCT 22, 2019. (SHEPHERD Z,INVOLVED IN HIGHGRADING).RENAMED FROM L07 JVSPLIT 29E DW TO 31E DW ON OCT 24, 2019.TEMP. STOPPED ON NOV 17, 2019 OPEN RAISE.RESUMED ON NOV 19, 2019 TRANSFER FROM BAYOBAY 1 TO SHEPHERD H2. TEMP STOPPED ON NOV 28, 2019 DUE TO LACK OF MANPOWER. Resumed on December 6, 2019 in the same time Renamed  from Fabroa to Carikitan 1. STOPPED ON JANUARY 7, 2020 THIS IS TO INFORM YOU THAT THIS DRIVE HAS 3M REMAINING BALANCE TO CONNECT THE L07_C MINE  GEOLOGY AND MNE PRODUCTION AGREED TO STOPE DRIVING THE SAID DRIVE TO AVOID DAMAGE OF CR. Resumed on June 12 2020 in the same times renamed from JVSPLIT_031E TO JVSPLIT_023E. Temporrary stopped on June 15, 2020 to do inclined raise.</t>
  </si>
  <si>
    <t>REPLACEMENT OF L10 GHV 038E RAISE. APPROVED ON MARCH 15,2020. Stopped on June 15, 2020 about to breakthrough to an active heading.</t>
  </si>
  <si>
    <t>REPLACEMENT OF L09_GHVFW_031W_DE. APPROVED ON MAY 11 2020. Stopped on June 12, 2020 due to unsafe condition.</t>
  </si>
  <si>
    <t>REPLACEMENT OF L09_NONE_025W_XCS. APPROVED ON MARCH 10 2020. TEMPORARY STOPPED ON APRIL 29 2020 TO PREPARE THE WEST PORTION AND AVIOD DELAY. Temp stopped on May 11, 2020 to do raise prep.TRANSFERRED FROM PANSIT 1 TO DAVOCOL ROSELIO 1 ON MAY 13 2020. RESUMED ON MAY 18 2020. Transferred from DAVOCOL to HUMIDING on June 1, 2020. Stopped on June 15, 2020, low grade.</t>
  </si>
  <si>
    <t>REPLACEMENT OF L09_JVFW_063E_DE. APPROVED ON MAY 15 2020. Stopped breaking on June 15, 2020, low grade.</t>
  </si>
  <si>
    <t>REPLACEMENT OF L07 JV 031E WINZE. APPROVED ON APRIL 8,2020. Stopped on June 1,2020 due to breakthrough. Resumed on June 12 2020.stopped on June 15 2020</t>
  </si>
  <si>
    <t>L09_JVSPLIT_059E_RAISE</t>
  </si>
  <si>
    <t>L05_DPVE_040E_RAISE</t>
  </si>
  <si>
    <t>REPLACEMENT OF L05_JV_021E_RAISE. APPROVED ON JUNE 12 2020.TEMPORARY STOPPED ON jUNE 16 2020</t>
  </si>
  <si>
    <t>ADDITIONAL VERTICAL DEVELOPMENT. APPROVED ON DECEMBER 11, 2019. RENAMED ON DECEMBER 12, 2019 FROM L07_JVSPLIT_029E_RAISE TO L07_JVSPLIT_027E_RAISE. STOPPED ON JANUARY 21, 2020 DUE TO ALREADY CONNECTED TO THE OLD STOPE.resumed on Jan 22, 2020.Stopped on  MAr 12 2020 already connected to old mainline of Level 7. resumed on Mar 18 2020.Stopped on Mar 18 2020. already breakthrough to old raise. Resumed on June 2 2020 in the same time transferred from DELOS REYES 1 TO ESPADA 2. Renamed fromL07 JVS 027E RAISE TO L07 JVS 026E RAISE on June 6 2020.  STOPPED ON JUNE 12 2020  DUE TO VEIN PINCHED OUT.</t>
  </si>
  <si>
    <t>L10_JVSPLIT_066E_STOPE PREP</t>
  </si>
  <si>
    <t>L07_JVFW_041E_RAISE</t>
  </si>
  <si>
    <t>L08_GHV_002E_RAISE</t>
  </si>
  <si>
    <t>L05_CTV_012W_WINZE STOPE PREP</t>
  </si>
  <si>
    <t>ADDITIONAL VERTICAL DEVELOPMENT. APPROVED ON MAY 7 2020.stopped on June 17 2020. vein pinched out</t>
  </si>
  <si>
    <t>ADDITIONAL PRODUCTION. APPROVED ON JUNE 2 2020. Stopped on June 16, 2020 and converted to stope breaking.</t>
  </si>
  <si>
    <t>REPLACEMENT OF L10_GHV_045E_DE. APPROVED ON MAY 4 2020. Stopped on June 17, 2020 already done preparation.</t>
  </si>
  <si>
    <t>REPLACEMENT OF L07_JV_016E_DE. APPROVED ON MAY 26, 2020. TEMPORARY STOPPED ON JUNE 17 2020, TARGET ANOTHER SUBLEVEL.offset vein</t>
  </si>
  <si>
    <t>L06_GHVFW_041W_STOPE</t>
  </si>
  <si>
    <t>L10_GHV_032E_RAISE</t>
  </si>
  <si>
    <t>BAÑEZ</t>
  </si>
  <si>
    <t>REPALCEMENT OF L08_DPVE_069E_RAISE. APPROVED ON APRIL 28 2020. STOPPED ON JUNE 18 2020 DUE TO LOW GRADE.</t>
  </si>
  <si>
    <t>INCLINE RAISE FOR EXPLORATION. APPROVED ON 3/16/2019. CHANGE FROM L08 DPVE 062E RAISE TO L08 JV 062E RAISE APPROVED ON MARCH 16,2019  ACCORDING TO RESOURCE AND INTERPRETATION. STOPPED ON MAR 22, 2019 TO RESUME L08 DPVE 061E STOPE. Resumed on April 30, 2020 at the same time transferred from AGLOLO 4 TO BENONGUIL 4 TO DO EXPLORATORY INCLINED RAISE. RENAMED ON MAY 8 2020 FROM 062E_RAISE TO 061E_RAISE. STOPPED ON JUNE 18 2020 DUE TO LOW GRADE</t>
  </si>
  <si>
    <t>ADDITIONAL VERTICAL DEVELOPMENT. APPROVED ON MAY 21 2020. STOPPED ON JUNE 18 2020 DUE TO LOW GRADE.</t>
  </si>
  <si>
    <t>REPLACEMENT OF L08_JVFW_063E_STOPE PREP. APPROVED ON FEB 24 2020. TEMP.STOPPED ON APRIL 30 2020 TO DO INCLINED RAISE. RESUMED ON JUNE 18 2020 CONVERTED TO PULL OUT CLEANING.</t>
  </si>
  <si>
    <t>L09_JV_054E_DE</t>
  </si>
  <si>
    <t>REPLACEMENT OF L06_DPVE_022E_RAISE. APPROVED ON JUNE 8 2020. STOPPED ON JUNE 17 2020 CONVERTED TO ACTIVE BREAKING</t>
  </si>
  <si>
    <t>REPLACEMENT OF L06_EDV_005W_RAISE. APPROVED ON JUNE 4 2020. Already done pillar robbing on June 16, 2020.0</t>
  </si>
  <si>
    <t>L10_NONE_052E_SUMP</t>
  </si>
  <si>
    <t>REPLACEMENT OF L10_JVFW_059E_RAISE. APPROVED ON DECEMBER 11, 2019. Temporarry stopped on Feb 2, almost on the level 9 to breakthrough.permanently stopped on June 18 2020.</t>
  </si>
  <si>
    <t>L08_GHV_019E_DW</t>
  </si>
  <si>
    <t>REPLACEMENT OF L09_DPVE2_037E_STOPE PREP. APPROVED ON APRIL 6 2020.Stopped breaking on June 19,2020 at the same time converted to pull out.</t>
  </si>
  <si>
    <t>L05_JVHW_014W_DW</t>
  </si>
  <si>
    <t>REPLACEMENT OF L05_JVHW_014W_WINZE. APPROVED ON MARCH 10 2020. temporary stopped on march 11 2020. Resumed on March 12,2020 at the same time transfer from OY-YOY 1 TO SHEPHERD L1. TEMPORARY TRANSFERRED FROM SHEPHERD L TO SHEPHERD AB ON MAY 11 2020.STOPPED ON JUNE 19, 2020 DUE TO LOW GRADE.</t>
  </si>
  <si>
    <t>REPLACEMENT OF L06_GHVHFW_29W_ROBBING. APPROVED ON JUNE 9 2020.Stopped on June 19, 2020 due to low grade.</t>
  </si>
  <si>
    <t>L10_GHV_076E_RAISE</t>
  </si>
  <si>
    <t>L06_DPVE_017E_RAISE</t>
  </si>
  <si>
    <t>SHEPHERD V3</t>
  </si>
  <si>
    <t>L09_JVHW_061E_STOPE</t>
  </si>
  <si>
    <t>REPLACEMENT OF L09_JVHW_021E_DW. APPROVED ON APRIL 28 2020. TRANSFERRED FROM BALDO 1 TO ALMEDORA 3 ON MAY 4 2020. TEMPORARY STOPPED ON MAY 19 2020. RESUMED ON MAY 25 2020 IN THE SAME TIME TRANSFERRED FROM ALMEDORA 3 TO PMC MINERS. Stopped on June 20, 2020 low grade.</t>
  </si>
  <si>
    <t>REPLACEMENT OF L07_JV_037E_STOPE. APPROVED ON JUNE 10 2020. RENAMED ON JUNE 12 2020 FROM L07_JVHW_069E_RAISE TO L07_JVHW_070E_RAISE. STOPPED ON JUNE 20 2020 ALREADY BREAK THROUGH.</t>
  </si>
  <si>
    <t>SHEPHERD X</t>
  </si>
  <si>
    <t>REPLACEMENT OF L09_DPVE2_033E_STOPE PREP. MAY 25 2020. stopped breaking on June 22 2020 converted to Pull-out cleaning.</t>
  </si>
  <si>
    <t>LERIO, ARNEL 1</t>
  </si>
  <si>
    <t>L09_DPVE_038E_RAISE</t>
  </si>
  <si>
    <t xml:space="preserve">BABOR </t>
  </si>
  <si>
    <t>L10_JVSPLIT_005E_STOPE PREP</t>
  </si>
  <si>
    <t>L06_JVSPLIT_025E_WINZE</t>
  </si>
  <si>
    <t>REPLACEMENT OF L06 GHVFW 003E ROBBING. Approved on Jan 11, 2020.STOPPED ON MARCH 5, 2020 . ALREADY FINISHED BREAKING. Resumed on May23, 2020, converted from crown to SILL PILLAR robbing at the same time transferred from udlos to QUIJANO. Stopped on June 23, 2020 already done pillar robbing</t>
  </si>
  <si>
    <t>REPLACEMENT OF L07 GHVFW 021W DW.APPROVED ON JULY 13, 2019. STOPPED ON AUGUST 27, 2019. COVERT INTO STOPE PREP. RESUMED ON OCT 30, 2019 to drive inclined raise.STOPPED ON NOV 20, 2019 ALREADY REACHED THE ELEVETION OF L06.resumed on Jan 9, 2020 at the same time transfered from borero to Babor 3 same time renamed from L07_GHVFW_018W_RAISE TO L07_GHVFW 019W RAISE. TEMPORARY STOPPED ON JANUARY 15, 2020 DUE TO UNSERVISABLE AREA.resumed on May 22,2020 at the same time transfer from BABOR 3 TO DELOS REYES 4 STOPPED ON JUNE 19 2020</t>
  </si>
  <si>
    <t>L08_GHV_023E_WINZE STOPE PREP</t>
  </si>
  <si>
    <t>REPLACEMENT OF L05_CTV_039E_DE. APPROVED ON JUNE 8 2020. STOPPED ON JUNE 23 2020 CONVERTED TO ACTIVE BREAKING</t>
  </si>
  <si>
    <t>L05_CTV_002W_WINZE</t>
  </si>
  <si>
    <t xml:space="preserve">REPLACEMENT OF L05_NONE_015W_XCS. APPROVED ON FEB. 15 2020. Temporary stopped on May 26,2020 no manpower available. RESUMED ON MAY 29 2020 IN THE SAME TIME TRANSFERRED FROM FENANEZ REX 6 TO MARTINEZ RONALD. TEMPORARY STOPPED ON JUNE 10 2020 DUE TO OLD MUCH OVERLYING THE PILLAR FROM A WASTE PASS IN LEVEL 4. </t>
  </si>
  <si>
    <t>L06_GHVFW_039W_RAISE</t>
  </si>
  <si>
    <t>REPLACEMENT OF L05_CTV_011W_DE. APPROVED ON MARCH 1 2020. Temporary stopped to drive raise on 3/17/20. RESUMED ON MAY 29,2020 AT THE SAME TIME TRANSFER FROM BADBADON L1. TO SHEPHERD W and renamed from L05 CTV 012W DW TO L05 CTV 011W DW. TEMPORARY STOPPED ON JUNE 14 2020 DUE TO POSSIBLE INTERSEPTION WITH L05_CTV_011W_WINZE.</t>
  </si>
  <si>
    <t>REPLACEMENT OF L05_JV_018E_RAISE. APPROVED ON MAY 28, 2020. STOPPED ON JUNE 24 2020 FINISHED HEADING.</t>
  </si>
  <si>
    <t>REPLACEMENT OF L07_GHVFW_001W_STOPE PREP. APPROVED ON MARCH 27 2020. Temporary transferred from FABROA 2 to NOCOS 1 on April 16, 2020. STOPPPED ON MAY 21 2020 DUE TO CONSECUTIVE LW ASSAY GRADES ON CUT SAMPLES/ BULK SAMPLES. CONVERTED TO PULL-OUT CLEANING ON MAY 21 2020. TRANSFERRED FROM NOCOS 1 TO FABROA 3 ON JUNE 15, 2020 BECAUSE NOCOS WAS ALREADY TRANSFERRED TO LEVEL 5. STOPPED ON JUNE 24 2020 ALREADY MINED OUT.</t>
  </si>
  <si>
    <t>REPLACEMENT OF L09_JVHW_022E_DE. APPROVED ON MAY 19 2020. stopped on June 24 2020 due to low grade.</t>
  </si>
  <si>
    <t>L10_GHVSPLIT_073E_RAISE</t>
  </si>
  <si>
    <t>REPLACEMENT OF L09_JVSPLIT_045E_RAISE. APPROVED ON JUNE 18 2020. Stopped on June 25, 2020 unsafe condition.</t>
  </si>
  <si>
    <t>REPLACEMENT OF L09_DPVE2_078E_DE. APPROVED ON MAY 11 2020. Stopped on June 25, 2020 cut by fault.</t>
  </si>
  <si>
    <t>REPLACEMENT OF L08_GHV_019E_WINZE.APPROVED ON JUNE 19, 2020. Stopped on June 25, 2020 to continue winze.</t>
  </si>
  <si>
    <t>ADDITIONAL HORIZONTAL DEVELOPMENT. APPROVED ON MARCH 24 2020. Temporary stopped on March 27,2020. Resumed on April 28,2020 at the same time transfer from PARAGUYA 4 TO MONTEBON 1. Renamed to L10 GHVSPLIT 071E DE FROM L10 GHV 071E DE AS PER DISCUSSION WITH LEVEL GEO ON April 30,2020 . Temporary stopped on June 25, 2020 to drive raise.</t>
  </si>
  <si>
    <t>ADDITIONAL VERTICAL DEVELOPMENT. APPROVED ON APRIL 7 2020. Temporary stopped on April 20,2020. Resumed on April 29 2020 in the same time Transferred from Shepherd AF.2 to Epada. Transferred From ESPADA 1 to OY-YOY on June 2 2020.STOPPED ON JUNE 25 2020 DUE TO VEIN PINCHED OUT.</t>
  </si>
  <si>
    <t>REPLACEMENT OF L07_JV_052E_DE. APPROVED ON FEBRUARY 21 2020. Temporary stopped on Mar 2 2020.resumed on May 6,2020 trasfered from Sambere to Comaingking. Transfer from comaingking to Fabroa on June 17 2020. STOPPED ON JUNE 25 2020.ALREADY FINISHED CROWN PILLAR ROBBING.</t>
  </si>
  <si>
    <t>L05_GHV_026W_DW</t>
  </si>
  <si>
    <t>SHEPHERD AF 3</t>
  </si>
  <si>
    <t>L05_CTV_039E_WINZE STOPE</t>
  </si>
  <si>
    <t>ADDITIONAL SOURCE OF GOOD ORE. APPROVED ON MAY 20 2020.STOPPED ON JUNE 19 2020 CONVERTED TO WINZE</t>
  </si>
  <si>
    <t>REPLACEMENT OF L05_GHV_023W_DE. APPROVED ON MARCH 25 2020. TRANSFERRED FROM SHEPHERD AD1 TO SHEPHERD AF ON MAY 26 2020. Stopped on June 26 2020 due to breakthrough the old vertical heading.</t>
  </si>
  <si>
    <t>L09_NONE_021E_XCN</t>
  </si>
  <si>
    <t>REPLACEMENT OF L08_GHVHW_048E_DE, APPROVED ON MARCH 26, 2020. TRANSFERRED FROM BENONGUIL 2 TO TORMIS, APPROED ON APRIL 16, 2020. STOPPED ON APRIL 24, 2020 DUE TO PINCHED-OUT VEIN. RESUMED ON APRIL 28 2020 TO DO INCLINED RAISE. TRANSFERRED FROM TORMIS TO CAPOY 2 ON JUNE 16 2020. STOPPED ON JUNE 26 2020 FINISHED HEADING</t>
  </si>
  <si>
    <t>REPLACEMENT OF L09 GHVHW 029W RAISE. Approved on June 15, 2020. stopped on June 26 2020 due to already breakthrough.</t>
  </si>
  <si>
    <t>SHEPHERD P.1</t>
  </si>
  <si>
    <t xml:space="preserve"> REPLACEMENT OF L05_NONE_038W_XCN. APPROVED ON FEBRUARY 8 2020. CONVERTED TO SILL PILLAR ON APRIL 6 2020. RENAMED FROM L05_CTV_038W_ROBBING TO L05_CTV_039W_ROBBING AS PER LEVEL GEOLOGIST ON APRIL 9,2020.RANSFER FROM COMAINGKING TO PMC MINERS 1 ON MAY 26,2020. EVALUATED ON JUNE 10 2020 MINE GEOLOGY RECOMMENDS THE HEADING FOR CLOSE EVALUATION AD MONITORING DUE TO OLD MUCK BEING PULLED OUT. TEMPORARY STOPPED ON JUNE 26 2020 DUE TO CONSECUTIVE LOW ASSAY GRADE ONCUT SAMPLE BULK SAMPLE.</t>
  </si>
  <si>
    <t>L09_NONE_081E_XCN</t>
  </si>
  <si>
    <t>L09_JVHW_069E_DE</t>
  </si>
  <si>
    <t>REPLACEMENT OF L06_DPVE_016E_DW. APPROVED ON JUNE 20 2020. Temporary stopped on June 27, 2020 to prioritize horizontal drive.</t>
  </si>
  <si>
    <t>L05_CTV_039E_WINZE STOPE PREP</t>
  </si>
  <si>
    <t>L07_JVSPLIT_001E_DE</t>
  </si>
  <si>
    <t>LERIO, ARNEL 2</t>
  </si>
  <si>
    <t>L10_GHVHW_064E_RAISE</t>
  </si>
  <si>
    <t>L05_GHV_029W_ROBBING</t>
  </si>
  <si>
    <t>L05_GHV_017W_RAISE</t>
  </si>
  <si>
    <t>ADDITIONAL HORIZONTAL DEVELOPMENT. APPROVED ON JUNE 26 2020. STOPPED ON JUNE 29,2020 ALREADY REACH THE PROJECTED STRIKE LENGTH</t>
  </si>
  <si>
    <t>ADDITIONAL HORIZONTAL DEVELOPMENT, APPROVED ON JANUARY 18, 2020 (ONGOING CLEANING AND REHAB OF 66E WINZE). Temporarry stopped on June 29, 2020 to drive raise.</t>
  </si>
  <si>
    <t>L08_DPVE_070E_RAISE</t>
  </si>
  <si>
    <t>ADDITIONAL VERTICAL DEVELOPMENT. APPROVED ON MAY 5 2020 for rehabilitation of old winze.STOP ON 6/30/2020. TO CONVERT ISL AND UNSAFE TO PROCEED WITH</t>
  </si>
  <si>
    <t>REPLACEMENT OF L06_GHV_040W_RAISE. APPROVED ON JUNE 10 2020. stopped on June 30 2020 recommended for active breaking.</t>
  </si>
  <si>
    <t>L06_GHV_040W_STOPE</t>
  </si>
  <si>
    <t>SHEPHERD L 1</t>
  </si>
  <si>
    <t>L09_DPVE2_058E_STOPE</t>
  </si>
  <si>
    <t>L10_GHV_015W_DW</t>
  </si>
  <si>
    <t>L10_JVFW_067E_RAISE</t>
  </si>
  <si>
    <t>L09_JVFW_072E_DE</t>
  </si>
  <si>
    <t>L05_DPVE_038E_RAISE</t>
  </si>
  <si>
    <t>L07_JVSPLIT_001E_RAISE</t>
  </si>
  <si>
    <t>REPLACEMENT OF L05_JV_033E_DW. APPROVED ON APRIL 3 2020. TEMPORARY TRANSFERRED FROM CAYABAS 2 TO PANCIT ON MAY 11 2020. STOPPED ON JUNE 29 2020</t>
  </si>
  <si>
    <t>ADDITIONAL VERTICAL DEVELOPMENT. APPROVED ON FEBRUARY 18 2020. Transfer to SHEPHERD AD 2 from BADBADON; previous team leader resigned, effective on Feb 4, 2020. STOPPED ON JUNE 29 2020 TO DRIVE ISL.</t>
  </si>
  <si>
    <t>REPLACEMENT OF L09_DPVE2_055E_DW. APPROVED ON MAY 27 2020. STOPPED AND CONVERTED TO BREAKING ON JUNE 30 2020</t>
  </si>
  <si>
    <t>L07_JVHW_064E_DE</t>
  </si>
  <si>
    <t>L08_GHV_022E_DE</t>
  </si>
  <si>
    <t>L06_CTV_001E_RAISE</t>
  </si>
  <si>
    <t>L05_GHV_034W_DE</t>
  </si>
  <si>
    <t>REPLACEMENT OF L08_GHV_005E_RAISE. APPROVED ON MAY 21 2020.STOPPED ON JULY 2, 2020 PINCHED OUT VEIN.</t>
  </si>
  <si>
    <t>REPLACEMENT OF L06_NONE_035E_XCS. APPROVED ON APRIL 3 2020. STOPPED ON MAY 27 2020 CONVERT TO STOPE PREP. Resumed on June 29, 2020. Stopped on June 30, 2020 low grade.</t>
  </si>
  <si>
    <t>L08_DPVE_039E_RAISE</t>
  </si>
  <si>
    <t>SHEPHERD AE</t>
  </si>
  <si>
    <t>REPLACEMENT OF L09_DPVE_028E_STOPE PREP. APPROVED ON JANUARY 31 2020. STOPPED ON APRIL 26 2020 CONVERTED TO PULL-OUT CLEANING</t>
  </si>
  <si>
    <t>REPLACEMENT OF L09_DPVE_028E_STOPE PREP. APPROVED ON JANUARY 31 2020. STOPPED ON APRIL 26 2020 CONVERTED TO PULL-OUT CLEANING. STOPPED ON MAY 22 2020 ALREADY MINED OUT.</t>
  </si>
  <si>
    <t>L08_JV_071E_DE</t>
  </si>
  <si>
    <t>REPLACEMENT OF L10_GHVFW_037E_RAISE. APPROVED ON MARCH 27 2020.STOPPED ON JULY 2 2020 DUE TO VEIN PINCHED OUT,.</t>
  </si>
  <si>
    <t>L10_DPVE_035E_DW</t>
  </si>
  <si>
    <t>ADDITIONAL SUMP @ L10_043E_SHAFT. APPROVED ON JUNE 19 2020. STOPPED ON JULY 3 2020 ALREADY FINISHED</t>
  </si>
  <si>
    <t>L09_JVHW_065E_STOPE</t>
  </si>
  <si>
    <t>REPLACEMENT OF L09_JVHW_065E_RAISE. APPROVED ON MAY 27 2020. CHANGE ON JUNE 4, 2020 FROM JVHW TO JVFW AS PER BBB. STOPPED ON JUNE 30 2020 CONVERTED TO ACTIVE BREAKING</t>
  </si>
  <si>
    <t>L09_NONE_080E_CHAMBER</t>
  </si>
  <si>
    <t>L07_JV_015E_DW</t>
  </si>
  <si>
    <t>REPLACEMENT OF L07_JV_017E_WINZE. APPROVED ON MARCH 10 2020.INTERMEDIATE SUBLEVEL Temporary transferred from SHEPHERD W 4 to UDLOS 1 on April 16, 2020. RENAMED ON MAY 4 2020 FROM 16E_DW TO 16E_DE. Stopped on May 23, 2020, already breakthrough. RESUME ON JUNE 17 2020. STOPPED ON JULY 3 2020 DUE TO VEIN PINCHED OUT.</t>
  </si>
  <si>
    <t>REPLACEMENT OF L04_NONE_056W_XCS, APPROVED ON APRIL 5, 2020. TEMP. STOPPED ON APRIL 9 DUE TO PANDEMIC.</t>
  </si>
  <si>
    <t>REPLACEMENT OF L04_CTV_008W_ROBBING. APPROVED ON MARCH 31 2020. TEMP. STOPPED ON APRIL 9 DUE TO PANDEMIC.</t>
  </si>
  <si>
    <t>L09_DPVE2_076E_STOPE</t>
  </si>
  <si>
    <t>REPLACEMENT OF L07_JVSPLIT_033E_STOPE PREP. APPROVED ON JANUARY 15, 2020.TEMP STOPPED ON JAN 16,2020 TP PROCEED INCLINED RAISE. RESUMED ON MARCH 10 2020. Temporary transferred from BAYOBAY 1 to OY-YOY 1 on April 16, 2020.STOPPED BREAKING AND CONVERTED TO PULL OUT ON jUN 5 2020. TEMPORARY STOPPED ON JUN 11 2020.WAITING FOR GRAB SAMPLE RESULT. Resumed on June 15, 2020. DECLARED MINED OUT ON JULY 3, 2020</t>
  </si>
  <si>
    <t xml:space="preserve">ADDITIONAL PRODUCTION TONNAGE DIRECTLY PROCEED TO BREAKING (10M FROM THE DRIFT OFF VEIN) APPROVED ON FEB 5, 2020. TRANSFERRED FROM DAGAMAC TO VERSOZA ON FEBRUARY 20 2020. TRANSFERRED FROM VERSOZA 1 TO MARTINEZ 2, APPROVED ON APRIL 16, 2020. Stopped breaking on May 23, 2020 as per OPS and converted to pull out cleaning. TEMPORARY STOP ON 7/7/2020, TO CLARIFY NUMBER OF MINE CARS REMAINING IN STOPE. ACCORDINGLY, THE STOPE DOES NOT CONTAIN ,MUCK WITHIN. </t>
  </si>
  <si>
    <t>PANCIT NOEL 1</t>
  </si>
  <si>
    <t>L10_DPVE_059E_RAISE</t>
  </si>
  <si>
    <t>L10_NONE_043E_SHAFT</t>
  </si>
  <si>
    <t>L07_JV_016E_ROBBING</t>
  </si>
  <si>
    <t>L07_JVHW_070E_STOPE PREP</t>
  </si>
  <si>
    <t>REPLACEMENT OF L07_JV_016E_DE. APPROVED ON JULY 3 2020.STOPPED ON JULY 6 2020 CONVERTED TO TOPSLICE.</t>
  </si>
  <si>
    <t>REPLACEMENT OF L09_JVHW_021E_DW. APPROVED ON MAY 20 2020.STOPPED ON JULY 6 2020.NO PULL OUT ON REMAINING BROKEN MATERIASL</t>
  </si>
  <si>
    <t>Additional vertical development drive. APPROVED ON JUNE 15 2020.STOPPED ON JULY 6 2020 VEIN PINCHED OUT.</t>
  </si>
  <si>
    <t>REPLACEMENT OF L09_JVSPLIT_073E_DE. APPROVED ON JUNE 15 2020.STOPPED ON JULY 6 2020 DUE TO VEIN PINCHED OUT.</t>
  </si>
  <si>
    <t>REPLACEMENT OF L09 GHVFW 034W DE. Approved on April 17, 2020. (NEW WORKING PLACE). Temporary stopped on April 20,2020. RESUMED ON APRIL 27 2020 IN THE SAME TIME TRANSFERRED FROM BADBADON R.1 TO BAÑEZ 1. Transfer from BAÑEZ 1 TO SHEPHERD R2 SURRENDERED TEAM LEADER ON APRIL 28,2020. TRANSFERRED ON APRIL 29 2020 FROM SHEPHERD R.2 TO PANSIT 1. Transferred from PANSIT 1 to HUMIDING on May 11, 2020. TEMPORARY STOPPED ON MAY 19 2020 DUE TO ABSENTEEISM OF MEN RESULTING ABANDONMENT OF WORKPLACE. RESUMED ON MAY 20 2020 IN THE SAME TIME TRANSFER FROM HUMIDING TO BIHAY.STOPPED ON JULY 6 2020 ALREADY CONNECTED TO ADJACENT MAINLINE</t>
  </si>
  <si>
    <t>REPLACEMENT OF L09_DPVE2_069E_DE.  APPROVED ON MAY 28 2020. STOPPED ON JULY 4 2020 CONVERTED TO ACTIVE BREAKING.</t>
  </si>
  <si>
    <t>L08_JVSPLIT_069E_DE</t>
  </si>
  <si>
    <t>L10_GHVHW_077E_DE</t>
  </si>
  <si>
    <t>REPLACEMENT OF L10 GHV 007W RAISE. APPROVED ON APRIL 26,2020. Stopped on June 25, 2020 low grade.</t>
  </si>
  <si>
    <t>L10_GHV_070E_STOPE</t>
  </si>
  <si>
    <t>L09_GHVFW_026E_DW</t>
  </si>
  <si>
    <t>REPLACEMENT OF L09_DPVE2_033E_STOPE PREP. MAY 25 2020. stopped breaking on June 22 2020 converted to Pull-out cleaning. Stopped on July 7, 2020 already mined out.</t>
  </si>
  <si>
    <t>L09_DPVE2_083E_DE</t>
  </si>
  <si>
    <t>L09_DPVE2_077E_DW</t>
  </si>
  <si>
    <t>ADDITIONAL HORIZONTAL DEVELOPMENT. APPROVED ON DECEMBER 9, 2019. RENAMED ON DECEMBER 11, 2019 FROM L07_NONE_029W_XCN TO L07_NONE_030W_XCN. STOPPED ON JANUARY 28 2020 DUE TO WASTE PAS ISSUE.RESUMED ON FEB 5, 2020.TRANSFER FROM DELOS REYES TO DOLARIZA 1 DUE TO LACK OF MANPOWER. TRANSFERRED ON FEBRUARY 17 2020 FROM DOLARIZA TO FABROA. TRANSFERRED FROM FABROA TO DOLARIZA ON FEB 20, 2020. STOPPED ON MAR 18 2020 ALREADY HIT THE VEIN. RESUMED ON JUNE 12 2020. TRANSFER FROM DOLARIZA TO FERNANDEZ REX. TEMPORARY STOPPED ON JUNE 26 2020 DUE TO NO WASTE PAS AVAILABLE.resumed on JUne 29 2020.temporary stopped on July 7, 2020 to prioritized  l07 ghv 030w de.</t>
  </si>
  <si>
    <t>REPLACEMENT OF L07_GHVFW_018W_RAISE. APPROVED ON NOV 26, 2019. STOPPED ON JANUARY 9 2020 ALREADY FINISHED BREAKING THE CROWN PILLAR. RESUMED ON APRIL 27 2020. AT THE SAME TIME TRANSFER FROM BORERO 2 TO MARTINEZ RONALD. SURRENDER TEAM LEADER ON APRIL 29,2020 AT THE SAME TIME TRANSFER FROM MARTINEZ. RON TO DELOS REYES. Temporary stopped on May 16,2020 to explore the lateral extension of GHVFW. RESUMED ON JUNE 19 2020.STOPPED ON JULY 7, 2020. LOW GRADE</t>
  </si>
  <si>
    <t>L07_GHV_031W_DE</t>
  </si>
  <si>
    <t>ADDITIONAL VERTICAL DEVELOPMENT APPROVED ON NOV 5, 2019. STOPPED ON DECEMBER 4, 2019 ALREADY BREAK THROUGH THE OLD STOPE. Resumed on July 2 2020 to breakthrough the raise. STOPPED ON JULY 8 2020 TO RESUMED STOPE BREAKING</t>
  </si>
  <si>
    <t>ADDITIONAL HORIZONTAL DEVELOPMENT. APPROVED ON NOV 25, 2019.STOPPED ON NOV 29, 2019 DUE TO CONSECUTIVE LOW CUT AND BILK GRADE RESULTS. RESUME ON 1/7/20 BY LEVEL GEOLOGIST. Temporary stopped on Mar 9 2020 to prioritixed L10_GHVHW_059E_RAISE. RESUME ON MARCH 13, 2020. Temporary stopped on MAY 22 2020 to prioritize raise prep. RESUMED ON JUNE 12 2020. Stop on July2, 2020 already breakthrough.</t>
  </si>
  <si>
    <t>REPLACEMENT OF L10_GHVFW_035E_STOPE PREP ON NOV 25, 2019 CONVERT TO STOPE BREAKING. STOPPED ON JANUARY 20, 2020 DUE TO CONSECUTIVE LOW ASSAY GRADES ON CUT SAMPLE/ BULK SAMPLES. RESUMED ON FEB. 27 2020. STOPPED BREAKING ON APRIL 30,2020 ALREADY ON LEVEL 9 AT THE SAME TIME CONVERT TO PULL OUT CLEANING. Stopped on July 2, 2020 already mined out with 90 % pull out.</t>
  </si>
  <si>
    <t>L10_JVFW_060E_RAISE</t>
  </si>
  <si>
    <t>REPLACEMENT OF L10_JVSPLIT_006E_DE. APPROVED ON JUNE 9 2020. Stopped on July 8, 2020 low grade.</t>
  </si>
  <si>
    <t>REPLACEMENT OF L07 JVHW 065E WINZE. APPROVED ON JULY 1 2020.stopped on july 8, 2020 pinched out vein.</t>
  </si>
  <si>
    <t>L07_JVHW_063E_DW</t>
  </si>
  <si>
    <t>L08_GHVFW_054E_RAISE</t>
  </si>
  <si>
    <t>L08_JVSPLIT_016E_STOPE</t>
  </si>
  <si>
    <t>L08_GHV_026W_STOPE</t>
  </si>
  <si>
    <t>REPLACEMENT OF L08_GHV_026W_RAISE. APPROVED ON JUNE 2 2020. Stopped on July 7, 2020 and converted to stope breaking.</t>
  </si>
  <si>
    <t>REPLACEMENT OF L08_JVSPLIT_016E_RAISE. APPROVED ON JUNE 2 2020. TRANSFERRED FROM CAPOY 2 TO TORMIS 1 ON JUNE 16 2020. Stopped on July 10, 2020 and converted to stope breaking.</t>
  </si>
  <si>
    <t>L09_JV_070E_STOPE PREP</t>
  </si>
  <si>
    <t>REPLACEMENT OF L10_JVSPLIT_006E_DW.APPROVED ON FEB 21 2020. Stopped on Apr 8,2020 due to unsafe condition. Resumed on May 15,2020. Stopped on June 22, 2020 converted to stope prep.</t>
  </si>
  <si>
    <t>REPLACEMENT OF L06_GHVFW_042W_DE. APPROVED ON JUNE 24 2020. Stopped on July 10, 2020, for wireframing.</t>
  </si>
  <si>
    <t>L05_JV_029E_STOPE PREP</t>
  </si>
  <si>
    <t>REPLACEMENT OF L09 DPVE2 078E DE.APPROVED ON JUNE 27 2020.STOPPED ON JULY 7,2020.</t>
  </si>
  <si>
    <t>REPLACEMENT OF L05_JV_033E_STOPE. APPROVED ON OCT. 8 2019. TEMP STOPPED ON NOV 19, 2019.RESUMED ON FEB 19 2020. Stopped on April 3,2020 convert to raise. Resumed on June 12 2020 in the same time transferred from CAYABAS 2 TO SHEPHERD AF. Stopped on July 11, 2020 already breakthrough.</t>
  </si>
  <si>
    <t>REPLACEMENT OF L04_GHVFW_017E_WINZE STOPE PREP. APPROVED ON FEB. 25 2020. RESUMED ON JULY 3, 2020 AND TRANSFER FROM COMAINGKING TO DAVOCOL ROW 1. STOPPED BREAKING ON JULY 10, 2020.</t>
  </si>
  <si>
    <t>L10_JVFW_064E_DW</t>
  </si>
  <si>
    <t>L09_DPVE2_075E_RAISE</t>
  </si>
  <si>
    <t>REPLACEMENT OF L07_JVSPLIT_059E_STOPE PREP. APPROVED ON MARCH 17 2020. TRANSFER FROM LEON 1 TO FABROA 2 DUE TO LACK OF MAN POWER ON MAY 21, 2020. Temporrary stopped on June 15, 2020  due to operational issue. Resumed on June  20, 2020.temporary stopped breaking on July 2 2020 to do fill raise. RESUMED ON JULY 8 2020. STOPPED BREAKING ON JULY 10, 2020 T CONVERT TO PULL-OUT.</t>
  </si>
  <si>
    <t>REPLACEMENT OF L10_JVSPLIT_005E_RAISE. APPROVED ON JUNE 23 2020. STOPPED ON JULY 9 2020 CONVERTED TO ACTIVE BREAKING</t>
  </si>
  <si>
    <t>L10_JVSPLIT_005E_STOPE</t>
  </si>
  <si>
    <t>L06_GHVFW_039W_STOPE PREP</t>
  </si>
  <si>
    <t>L07_JV_012W_ROBBING</t>
  </si>
  <si>
    <t>L09_DPVE2_044E_RAISE</t>
  </si>
  <si>
    <t>SHEPHERD R.1</t>
  </si>
  <si>
    <t>L07_DPVE_043E_WINZE</t>
  </si>
  <si>
    <t>L07_JVHW_062E_ROBBING</t>
  </si>
  <si>
    <t>ADDITIONAL HORIZONTAL DEVELOPMENT. APPROVED ON MAY 26 2020. Transfer from PMC MINERS to MARTINEZ D. 1 on June 15, 2020. Transferred from MARTINEZ D. to LERIO, ARNEL on June 26, 2020. Stopped ON July 14, 2020.</t>
  </si>
  <si>
    <t>ADDITIONAL VERTICAL DEVELOPMENT. APPROVED ON MAY 6 2020. Stopped on July 14, 2020 and converted to sublevel.</t>
  </si>
  <si>
    <t>REPLACEMENT OF L07 DPVE 045E WINZE. APPROVED ON JUNE 27 2020.stopped on July 13 2020.due to low grade</t>
  </si>
  <si>
    <t>REPLACEMENT OF L04 NV 012W RAISE. APPROVED ON JANUARY 30, 2019. MZC. STOPPED ON JULY 22, 2019. RESUMED ON AUGUST 29, 2019. SILL. STOPPED ON JANUARY 18 2020. DUE TO UNSAFE CONDITION. RESUMED ON JAN 20, 2020 ON  GOING ROBBING, ONLY PORTION OF THE WP IS UNSAFE. STOPPED ON JULY 12, 2020 DUE TO UNSAFE CONDITION.</t>
  </si>
  <si>
    <t>L10_DPVE_034E_DE</t>
  </si>
  <si>
    <t>L09_GHV_033E_WINZE</t>
  </si>
  <si>
    <t>BADBADON R.3</t>
  </si>
  <si>
    <t>CAPEX SPECIAL PROJECT FOR VENTILATION. APPROVED ON JUNE 27,2020. Stopped on July 6, 2020 already breakthrough to an old mainline.</t>
  </si>
  <si>
    <t>REPLACEMENT OF L09_GHVFW_031W_DE. APPROVED ON JUNE 17 2020. Stopped on July 15, 2020 low grade.</t>
  </si>
  <si>
    <t>L09_GHVHW_007E_DE</t>
  </si>
  <si>
    <t>REPLACEMENT OF L07_GHVFW_040E_ROBBING. APPROVED ON APRIL 29 2020.STOPPED ON JUNE 25 2020.ALREADY FINISHED BREAKING THE CROWN RESUMED ON JUNE 30 2020 PROCEED TO BREAKING THE SILL PILLAR. STOPPED ON JULY 15 2020.ALREADY FINSHED BREAKING THE SILL PILLAR,</t>
  </si>
  <si>
    <t>REPLACEMENT OF L07_JVHW_069E_STOPE PREP. APPROVED ON JUNE 8 2020.STOPPED BREAKING ON JULY 15 2020 CONVERTED TO PULL OUT</t>
  </si>
  <si>
    <t>L06_JV_046E_DW</t>
  </si>
  <si>
    <t>L08_JVSPLIT_072E_RAISE</t>
  </si>
  <si>
    <t>L10_JVSPLIT_078E_RAISE</t>
  </si>
  <si>
    <t>L10_JVSPLIT_062E_RAISE</t>
  </si>
  <si>
    <t>ADDITIONAL INCLINED RAISE DEVELOPMENT. APPROVED ON MARCH 31 2020. Stopped on May 8,2020 convert to stope preparation. Resumed on June 15, 2020 to do inclined raise on the opposite side. Stopped on July 15, 2020; for wireframe</t>
  </si>
  <si>
    <t>REPLACEMENT OF L10_DPVE_070E_DE. APPROVED ON MAY 15, 2020. Stopped on Juy 15, 2020; low grade.</t>
  </si>
  <si>
    <t>REPLACEMENT OF L07_JVHW_064E_DE.APPROVED ON JULY 8, 2020.STOPPED ON JULY 16 2020.VEIN PINCHED OUT</t>
  </si>
  <si>
    <t>REPLACEMENT OF L07 NONE 030W XCN.APPROVED ON JULY 7,2020.STOPPED ON JULY 15 2020</t>
  </si>
  <si>
    <t>L07_JVSPLIT_004E_WINZE</t>
  </si>
  <si>
    <t>ADDITIONAL VERTICAL DEVELOPMENT APPROVED ON JUNE 11 2020. STOPPED ON JULY 16 2020 DUE TO ALEADY REACHED THE RECOMMENDED STRIKE LENGTH CROWN PILLAR</t>
  </si>
  <si>
    <t>REPLACEMENT OF L08_JVS_076E_DE. APPROVED ON JULY 2, 2020. RENAMED ON JULY 3 2020 FROM 070E TO 071E. STOPPED ON JULY 16 2020 DUE TO ALREADY CONNECTED TO OLD MAINLINE.</t>
  </si>
  <si>
    <t>REPLACEMENT OF L08_JSPLIT_062E_RAISE. APPROVED ON JUNE 22 2020. STOPPED ON JULY 16 2020 DUE TO PINCHED OUT VEIN.</t>
  </si>
  <si>
    <t>REPLACEMENT OF L07_GHVHW_034W_DW. INTERMEDIATED SUBLEVEL.Approved on June 5 2020. TRANSFERRED FROM HANGDAAN 1 TO DAVOCOL, ROSELIO 1 ON JUNE 15, 2020 AS TL HANGDAAN WAS ALREADY TRANSFERRED TO LEVEL 10 TO DRIVE INTERNAL SHAFT.stopped on July 17 2020 breakthrough to old stope</t>
  </si>
  <si>
    <t>ADDITIONAL INCLINE RAISE DEVELOPMENT. APPROVED ON JANUARY 14, 2020. STOPPED ON JANUARY 27 2020 DUE TO PINCHED OUT VEIN. Resumed on June 22, 2020 to drive an inclined raise at the same time renamed from L09 DPVE2 074E RAISE to L09 DPVE2 079E RAISE to avoid mischarging with L09 DPVE 074E STOPE PREP. STOPPED ON JULY 17, 2020 DUE TO LOW ASSAY GRADE.</t>
  </si>
  <si>
    <t>REPLACEMENT OF L09_GHV_030W_RAISE APPROVED ON JULY 3, 2019. TEMP. STOPPED ON JULY 25, 2019 UNSERVISABLE AREA-LOC. resumed on Oct 3, 2019 at the same time transferred from Pancit,Noel to Pansit, Norman. TEMP. STOPPED ON OCT 15, 2019 DUE TO COLLAPSE AT 4W MAINLINE/ UNDER REPAIR AND MUCKING COLLAPSE WP. RESUMED ON DECEMBER 4, 2019 IN THE SAME TIME TRANSFERRED FROM PANSIT 1 TO ALMEDORA 2.stopped on dec 10, 2019 due to lowgrade. RESUMED ON FEB 27 2020 THE SAME TIME TRANSFERRED FROM ALMEDORA 2 TO PANSIT NORMAN.Temporarily stopped on My 9 2020 approaching to connect at Level 8. Resumed on June 1, 2020 to drive inclined raise for further exploration. STOPPED ON JULY 17, 2020 DUE TO LOW CONSECUTIVE ASSAY GRADE.</t>
  </si>
  <si>
    <t>REPLACEMENT OF L09_GHVFW_036E_RAISE. APPROVED ON JUNE 12 2020. STOPPED ON JULY 17, 2020 BECAUSE THE VEIN WAS CUT BY FAULT.</t>
  </si>
  <si>
    <t>ADDITIONAL INCLINED RAISE DEVELOPMENT. APPROVED ON APRIL 22 2020.  TEMP. STOPPED ON MAY 5 2020 TO PRIORITIZE STOPE PREP. Resumed on May 11 2020. STOPPED ON JULY 17, 2020 ALREDY REACHED L08 ELEVATION AND CONVERT TO STOPE PREP.</t>
  </si>
  <si>
    <t>ADDITIONAL VERTICAL RAISE. APPROVED ON JUNE 16 2020. STOPPED ON JULY 17 2020 DUE TO CONSECUTIVE LOW ASSAY GRADE ON CUT SAMPLE BULK SAMPLE.</t>
  </si>
  <si>
    <t>REPLACEMENT OF L05_GHV_034W_WINZE.APPROVED ON JUNE 29, 2020. stopped on July 17 2020 due to CONSECUTIVE LOW ASSAY GRADE</t>
  </si>
  <si>
    <t>L06_CTV_012E_WINZE STOPE</t>
  </si>
  <si>
    <t>REPLACEMENT OF L06_CTV_011E_DW. APPROVED ON JUNE 4 2020.  STOPPED ON JULY 16 2020 RECOMMENDED TO ACTIVE BREAKING</t>
  </si>
  <si>
    <t>ADDITIONAL VERTICAL DEVELOPMENT. APPROVED ON JUNE 17 2020. STOPPED ON JULY 17 2020 DUE TO PINCHED OUT VEIN.</t>
  </si>
  <si>
    <t>L05_GHV_026W_DE</t>
  </si>
  <si>
    <t>L05_GHV_034W_ROBBING</t>
  </si>
  <si>
    <t>L10_DPVE_033E_RAISE</t>
  </si>
  <si>
    <t>L09_DPVE2_072E_DE</t>
  </si>
  <si>
    <t>L06_DPVE_058E_RAISE</t>
  </si>
  <si>
    <t>REPLACEMENT OF L06_NONE_016E_XCN. APPROVED ON JUNE 12 2020.STOPPED ON JUNE 19, 2020 DUE TO LOW GRADE. Resumed on June 27, 2020 has a 20 meter target. Stopped on July 17, 2020 low grade.</t>
  </si>
  <si>
    <t>REPLACEMENT OF L06 CTV 005E DW. Approved on July 2, 2020. Stopped on July 16, 2020 low grade.</t>
  </si>
  <si>
    <t>L07_GHVHW_033E_RAISE</t>
  </si>
  <si>
    <t>L04_JV_006W_ROBBING</t>
  </si>
  <si>
    <t>REPLACEMENT OF L04 JV 005W ROBBING. APPROVED ON MARCH 6,2020. CONVERT TO SILL PILLAR ON MARCH 27, 2020. TEMPORARY STOPPED ON MARCH 31 2020 WAITING FOR CROWN PILLAR ROBBING TO BE FILLED WITH WASTE PRIOR TO SILL PILLAR ROB. RESUMED ON APRIL 3, 2020. RESUMED ON JULY 3, 2020. TEMPORARY STOPPED ON JULY 18 2020 DUE TO UNSAFE CONDITION</t>
  </si>
  <si>
    <t>L08_JVSPLIT_068E_DE</t>
  </si>
  <si>
    <t>L08_GHV_001W_DW</t>
  </si>
  <si>
    <t>L08_GHV_035W_RAISE</t>
  </si>
  <si>
    <t>REPLACEMENT OF L08_DPVE_032E_RAISE. APPROVED ON JULY 18 2020.  Temp stopped on July 20, 2020 not yet started.</t>
  </si>
  <si>
    <t>REPLACEMENT OF L08_GHV_025E_RAISE. APPROVED ON JUNE 11 2020. TRANSFERRED ON JUNE 22 2020 FROM MARTINEZ DANNY TO LERIO ARNEL. STOPPED ON JULY 20 2020 DUE TO PINCHED OUT VEIN.</t>
  </si>
  <si>
    <t>REPLACEMENT OF L08_GHCHW_007E_RAISE. APPROVED ON JUNE 2 2020. STOPPED ON JULY 20 2020 ALREADY VEIN PINCHED OUT.</t>
  </si>
  <si>
    <t>REPLACEMENT OF L09_JVSPLIT_062E_RAISE. APPROVED ON JUNE 16 2020. STOPPED ON JULY 20 2020 DUE TO ALREADY CONNECTED TO ITS ADJACENT RAISE.</t>
  </si>
  <si>
    <t>REPLACEMENT OF L09_DPVE_036E_DW. APPROVED ON JULY 3 2020. STOPPED ON JULY 20 2020 DUE TO PINCHED OUT VEIN.</t>
  </si>
  <si>
    <t>L09_JV_070E_STOPE</t>
  </si>
  <si>
    <t>L09_DPVE2_074E_STOPE</t>
  </si>
  <si>
    <t>L09_GHVHW_003E_RAISE</t>
  </si>
  <si>
    <t>L09_JVFW_050E_RAISE</t>
  </si>
  <si>
    <t>L09_JVSPLIT_067E_DW</t>
  </si>
  <si>
    <t>L09_JV_058E_WINZE</t>
  </si>
  <si>
    <t>L08_JV_057E_RAISE</t>
  </si>
  <si>
    <t>L08_JV_035E_DE</t>
  </si>
  <si>
    <t>L09_DPVE_034E_DE</t>
  </si>
  <si>
    <t>L09_DPVE2_020E_DE</t>
  </si>
  <si>
    <t>L08_GHV_036W_RAISE</t>
  </si>
  <si>
    <t>SHEPHERD X. 2</t>
  </si>
  <si>
    <t>REPLACEMENT OF L08_NONE_068E_XCS. APPROVED ON JUNE 28 2020. STOPPED ON JULY 21 2020 DUE TO LOW GRADE.</t>
  </si>
  <si>
    <t>L08_JVSPLIT_073E_DW</t>
  </si>
  <si>
    <t>L08_GHV_064E_WINZE</t>
  </si>
  <si>
    <t>L10_DPVE_045E_RAISE</t>
  </si>
  <si>
    <t>REPLACEMENT OF L06_CTV_028E_ROBBING. APPROVED ON MARCH 11 2020. Temporary transfer from UDLOS TO COMAINGKING ON MAY 4,2020. Transfer from COMAINGKING TO DOLARIZA FORMER TEAM LEADER SURRENDER ON MAY 12,2020. TRANSFER FROM DOLARIZA 1 TO SHEPHERD AA ON MAY 18,2020. Stopped on June 8, 2020 already done breaking pillars. Resumed on June 23, 2020 to break sill pillars at the same time transferred from SHEPHERD AA to QUIJANO 2. STOPPED ON JULY 21 2020.</t>
  </si>
  <si>
    <t>L04_JVHW_016E_WINZE</t>
  </si>
  <si>
    <t>L04_GHV_051W_ROBBING</t>
  </si>
  <si>
    <t>REPLACEMENT OF L06_GHVFW_039W_RAISE. APPROVED ON JULY 13 2020. STOPPED ON JULY 22 2020 CONVERTED TO ACTIVE BREAKING</t>
  </si>
  <si>
    <t>L06_GHVFW_039W_STOPE</t>
  </si>
  <si>
    <t>REPLACEMENT OF L05_CTV_012W_RAISE. APPROVED ON JUNE 17 2020. STOPPED ON JULY 21 2020 CONVERTED TO ACTIVE BREAKING</t>
  </si>
  <si>
    <t>L05_CTV_012W_WINZE STOPE</t>
  </si>
  <si>
    <t>REPLACEMENT OF L05_CTV_015E_WINZE. APPROVED ON JUNE 12 2020. STOPPED ON JULY 22 2020 DUE TO BREAKTHROUGH TO AN OLD STOPE</t>
  </si>
  <si>
    <t>ADDITIONAL DEVELOPMENT DRIVES. APPROVED ON MAY 302020. temp. stopped on June 9 2020 due to incomplete equipments. Resumed on June 20, 2020. Transfer from COMAINGKING, RICS to SHEPHERD L on June 30, 2020. Stopped on July 21, 2020; low grade.</t>
  </si>
  <si>
    <t>REPLACEMENT OF L06_GHVFW_042W_DE. APPROVED ON MAY 13 2020. Transfer from Comaingking to Bañez 2, comaingking will resume driving the drift on May 14,2020. STOPPED ON MAY 29 2020 DUE TO VEIN PINCHED OUT. Resumed on July 9, 2020 at the same time transferred back to COMAINGKING from BAÑEZ. Stopped on July 21, 2020, vein pinched out.</t>
  </si>
  <si>
    <t>L09_JVFW_073E_STOPE PREP</t>
  </si>
  <si>
    <t>REPLACEMENT OF L08_GHV_032E_RAISE. APPROVED ON JUNE 23 2020. Stopped on July 22, 2020; vein cut by fault.</t>
  </si>
  <si>
    <t>L07_JVSPLIT_031E_WINZE STOPE PREP</t>
  </si>
  <si>
    <t>L07_JVSPLIT_001W_STOPE PREP</t>
  </si>
  <si>
    <t>L10_JVFW_061E_DE</t>
  </si>
  <si>
    <t>L07_JVSPLIT_003W_RAISE</t>
  </si>
  <si>
    <t>REPLACEMENT OF L07 JV 037E STOPE. APPROVED ON MAR 11 2020. TEMPORARY STOPPED ON MARCH 25 2020 DUE TO AVAILABILITY OF WASTEPASS. Resumed on April 29 2020.temp stopped on may 28, 2020 due to wastepass full.resumed on May 30 2020.STOPPED ON JULY 23,2020 DUE TO CONSECUTIVE LOW ASSAY GRADES ON CUT SAMPLES/BULK SAMPLES.</t>
  </si>
  <si>
    <t>REPLACEMENT OF L07_JVSPLIT_001E_DE. APPROVED ON JUNE 30 2020.STOPPED ON JULY 23, 2020 CONVERT TO INTO STOPE PREP.</t>
  </si>
  <si>
    <t>REPLACEMENT OF L07_GHV_028W_RAISE. APPROVED ON JULY 14 2020.STOPPED ON JULY 23, 2020 DUE TO CONSECUTIVE LOW ASSAY GRADE.</t>
  </si>
  <si>
    <t>ADDITIONAL VERTICAL DEVELOPMENT. APPROVED ON JUNE 17 2020.STOPPED ON JULY 23, 2020 DUE TO CONSECUTIVE LOW ASSAY GRADE.</t>
  </si>
  <si>
    <t>REPLACEMENT OF L10 DPVE 058E RAISE. APPROVED ON JUNE 16 2020.STOPEED ON JULY 23, 2020 CONVERTED TO ACTIVE BREAKING.</t>
  </si>
  <si>
    <t>REPLACEMENT OF L10_DPVE_061E_DW. APPROVED ON MAY 4 2020.STOPPED ON JULY 21, 2020 ALREADY REACHED THE RECOMMENDED STRIKE LENGTH.</t>
  </si>
  <si>
    <t>REPLACEMENT OFL10_DPVE_044E_STOPE. APPROVED ON MAY 29 2020.STOPPED ON JULY 21, 2020 ALREADY REACHED THE RECOMMENDED STRIKE LENGTH.</t>
  </si>
  <si>
    <t>REPLACEMENT OF L05_JVHW_038E_ROBBING. APPROVED ON MAY 26 2020.STOPPED ON JULY 23, 2020 CONVERT TO INTERMEDIATE SUB LEVEL.</t>
  </si>
  <si>
    <t>L07_NONE_009W_XCS</t>
  </si>
  <si>
    <t>L07_GHV_030W_RAISE</t>
  </si>
  <si>
    <t>L04_CV_001E_WINZE</t>
  </si>
  <si>
    <t>REPLACEMENT OF L04_GHV_028W_DE.APPROVED ON MARCH 26 2020. RENAMED FROM L04 GHVSPLIT 028W DE TO L04 GHV 028W RAISE ON MARCH 27, 2020. TEMP. STOPPED ON APRIL 9 DUE TO PANDEMIC. RESUMED ON JULY 7, 2020. STOPPED ON JULY 24, 2020 DUE TO PINCHED OUT OF VEIN.</t>
  </si>
  <si>
    <t>REPLACEMENT OF L04_JVFW_023E_DE. APPROVED ON FEB. 24 2020. TEMPORARY STOPPED ON FEB 25 2020 DUE TO LACK OF MANPOWER (OPERATION MEMO). RESUMED ON MARCH 3 2020 SAME TIME transferred to SHEPHERD AA from AF. TRANSFER FROM SHEPHERD AA TO MANZANO 2 ON JUNE 4, 2020. STOPPED ON JULY 23, 2020 DUE TO LOW CONSECUTIVE ASSAY GRADE.</t>
  </si>
  <si>
    <t>L09_DPVE2_022E_DE</t>
  </si>
  <si>
    <t>L08_GHV_034W_STOPE PREP</t>
  </si>
  <si>
    <t>ADDITIONAL VERTICAL DEVELOPMENT. APPROVED ON MAY 21 2020. Stopped on july 21, 2020 and converted to stope preparation.</t>
  </si>
  <si>
    <t>REPLACEMENT OF L08_GHV_002W_ROBBING APPROVED ON APRIL 8 2020. TRANSFERRED FROM DEMALATA 4 TO GUNAY, APPROVED ON APRIL 16, 2020. TRANSFERRED ON MAY 5 2020 FROM GUNAY TO DEMALATA. Stopped on July 24, 2020, winze already breakthrough.</t>
  </si>
  <si>
    <t>L08_GHV_033W_STOPE</t>
  </si>
  <si>
    <t>REPLACEMENT OF L08_GHV_033W_RAISE.APPROVED ON JUNE 19, 2020. Stopped on July 22, 2020 converted to stope breaking.</t>
  </si>
  <si>
    <t>ADDITIONAL VERTICAL DEVELOPMENT. APPROVED ON FEB. 26 2020. stopped on May 11 2020 due to Low Grade. Resumed to continue driving normal raise for exploration on July 20, 2020 at the same time transferred from MANZANO to SHEPHERD W. stopped on July 24 2020 due to breakthrough  @ old stope.</t>
  </si>
  <si>
    <t>REPLACEMENT OF L09_JVSPLIT_071E_STOPE PREP. APPROVED ON MAY 25 2020. Stopped breaking on July 4, 2020 and converted to stope pull out cleaning, stopped on July 24 2020 already finished the heading.</t>
  </si>
  <si>
    <t>L10_JVSPLIT_066E_STOPE</t>
  </si>
  <si>
    <t>L06_GHVFW_033W_ROBBING</t>
  </si>
  <si>
    <t>REPLACEMENT OF L06 DPVE 057E DW. Approved on July 16, 2020. Stopped on July 23, 2020 vein pinched out.</t>
  </si>
  <si>
    <t>REPLACEMENT OF L04_JV_019W_ROBBING. APPROVED ON MARCH 9 2020. RESUMED ON JULY 3, 2020 FOR CLEANING. START ROBBING ON JULY 8, 2020. STOPPE ON JULY 26, 2020  ALREADY REACHED THE REQUIRED STRIKE LENGTH FOR CROWN PILLAR.</t>
  </si>
  <si>
    <t>L04_JV_056W_DE</t>
  </si>
  <si>
    <t>L04_GHVSPLIT_026W_RAISE</t>
  </si>
  <si>
    <t>L06_DPVE_038E_DW</t>
  </si>
  <si>
    <t>L04_JV_012W_WINZE</t>
  </si>
  <si>
    <t>REPLACEMENT OF L07_GHVHW_035E_DW.APPROVED ON JULY 17, 2020 Stopped due tobreakthrough to an old stope on July 28,2020</t>
  </si>
  <si>
    <t>L07_GHVHW_035E_WINZE STOPE PREP</t>
  </si>
  <si>
    <t>L05_DPVE_037E_RAISE</t>
  </si>
  <si>
    <t>L05_CTV_002W_DE</t>
  </si>
  <si>
    <t>ADDITIONAL VERTICAL DEVELOPMENT. APPROVED ON JUNE 23 2020.Transfer from ANDILAB 1 to MAPAYO 3 on June 30, 2020. stopped on July 28 2020 due to pinched out vein</t>
  </si>
  <si>
    <t>L06_CTV_024E_ROBBING</t>
  </si>
  <si>
    <t>FOR VENTILATION PURPOSES. APPROVED ON APRIL 7 2020. stopped on april 15 2020.</t>
  </si>
  <si>
    <t>L09_DPVE_018E_RAISE</t>
  </si>
  <si>
    <t>L09_GHV_024E_RAISE</t>
  </si>
  <si>
    <t>L05_CTV_043W_ROBBING</t>
  </si>
  <si>
    <t>L04_NONE_014W_XCS</t>
  </si>
  <si>
    <t>REPLACEMENT OF L09 JV 050E DE. APPROVED ON APRIL 23, 2019. STOPPED ON JUNE 17, 2019 DUE TO CONSECUTIVE LOW ASSAY GRADE. RESUMED ON JUNE 3 2020 TO DRIVE INCLINED RAISE ( TRANSFERRED FROM DAVOCOL ROSELIO 3 TO DELOS REYES V, RENAMED FROM L09_JV_056E_RAISE TO L09_JV_055E_RAISE. Stopped on July 28, 2020, for wireframing.</t>
  </si>
  <si>
    <t>REPLACEMENT OF L09_JVFW_077E_RAISE. APPROVED ON JUNE 22 2020. Stopped on July 25, 2020, for wireframing.</t>
  </si>
  <si>
    <t>L08_GHVFW_043E_WINZE</t>
  </si>
  <si>
    <t>REPLACEMENT OF L08GHV_050E_RAISE APPROVED ON JUNE 11 2020. TRANSFER FROM GEMENTIZA TO CAPUYAN SHEPHERD X2 DUE TO INSUFFICIENCY OF MANPOWER ON 7/9/2020. Stopped on July 29, 2020 vein pinched out.</t>
  </si>
  <si>
    <t>REPLACEMENT OF L06_GHV_036W_DW. APPROVED ON JANUARY 28 2020.  stopped on march 3 2020 due to low grade. Resumed to continue driving normal raise for exploration on July 20, 2020. Stopped on July 29, 202 low grade.</t>
  </si>
  <si>
    <t>REPLACEMENT OF L06_CV_002E_ROBBING. APPROVED ON MARCH 31 2020. Temporary transfer from GUNAY 1 TO SHEPHERD AA ON MAY 4,2020. Transfer from SHEPHERD AA TO DOLARIZA 1 AS PER OLACO ON MAY 18,2020. temporary stopped on June 3 2020 breakthrough. Resumed on June 6 2020.offset. Stopped on July 29, 2020 did not breakthrough.</t>
  </si>
  <si>
    <t>L05_DPVE_040E_DE</t>
  </si>
  <si>
    <t>L08_GHV_023E_WINZE STOPE</t>
  </si>
  <si>
    <t>L10_JVFW_072E_DW</t>
  </si>
  <si>
    <t>L07_JVSPLIT_037E_RAISE</t>
  </si>
  <si>
    <t>L07_JVSPLIT_031E_WINZE STOPE</t>
  </si>
  <si>
    <t>REPLACEMENT OF L07 JVSPLIT 031E DW. APPROVED ON JULY 22,2020.FINISHED PREPERATION ON JULY 29 2020</t>
  </si>
  <si>
    <t>REPLACEMENT OF L09_GHVHW_003E_DE. Approved on July 15, 2020. Temp stopped on July 31, 2020 to drive raise.</t>
  </si>
  <si>
    <t>ADDITIONAL VERTICAL DEVELOPMENT. APPROVED ON JULY 20,2019. STOPPED ON OCT. 11 2019 4M. REAMINING  BALANCE TO BREAKTHROUGH TO L-8 ACTIVE MAINLINE AT L-8. Resumed On July 6, 2020 to do inclined raise at the same time transferred from PANCIT NOEL to BADBADON RONALDO. Stopped on July 25, 2020.</t>
  </si>
  <si>
    <t>REPLACEMENT OF L09_JVHW_023E_RAISE. APPROVED ON JUNE 23 2020. Stopped on July 25, 2020.</t>
  </si>
  <si>
    <t>L10_DPVE_074E_DE</t>
  </si>
  <si>
    <t>REPLACEMENT OF L05_GHV_026W_DW. APPROVED ON JULY 20 2020. stopped on August 3 2020 due to pinched out vein.</t>
  </si>
  <si>
    <t>L09_DPVE2_082E_DW</t>
  </si>
  <si>
    <t>REPLACEMENT OF L09 DPVE 034E RAISE. Approved on July 21, 2020. Stopped on Aug 3, 2020.</t>
  </si>
  <si>
    <t>REPLACEMENT OF L09 JVFW 050E RAISE. Approved on July 22, 2020. Stopped on Aug 3, 2020.</t>
  </si>
  <si>
    <t>REPLACEMENT OF L08 GHV 064E RAISE. Approved on July 21, 2020. Stopped on Aug 2, 2020 already breakthrough.</t>
  </si>
  <si>
    <t>REPLACEMENT OF L05_CTV_013E_WINZE.APPROVED ON JULY 23, 2020. STOPPED ON AUGUST 3 2020 DUE TO BREAKTHROUGH TOWARD AN OLD HEADING ( STOPE )</t>
  </si>
  <si>
    <t>L05_CTV_013E_DE</t>
  </si>
  <si>
    <t>L05_DPVE_041E_STOPE PREP</t>
  </si>
  <si>
    <t>ADDITIONAL INCLINED RAISE DEVELOPMENT. APPROVED ON MAY 26 2020. Stopped on August 4,2020 convert to stope preparation.</t>
  </si>
  <si>
    <t>REPLACEMENT OF L08_GHV_048E_STOPE. APPROVED ON  APRIL 1  2020. Stopped on May 28 2020 converted to Pull-out Cleaning.TEMPORARY STOP ON 7/7/2020, TO CLARIFY NUMBER OF MINE CARS REMAINING IN STOPE. ACCORDINGLY, THE STOPE DOES NOT CONTAIN ,MUCK WITHIN. PErmanent Stopped on August 4 2020 already mined out.</t>
  </si>
  <si>
    <t>REPLACEMENT OF L07_JVHW_069E_STOPE PREP. APPROVED ON JUNE 8 2020.STOPPED BREAKING ON JULY 15 2020 CONVERTED TO PULL OUT. Stopped on Aug 4, 2020 already mined out.</t>
  </si>
  <si>
    <t>REPLACEMENT OF L07 JVSPLIT 026E RAISE. Approved on June 13, 2020.  Stopped on Aug 4, 2020 as per LM.</t>
  </si>
  <si>
    <t>REPLACEMENT OF LO7 JV 012W ROBBING. APPROVED ON JULY 24, 2020. Stopped on July 18, 2020.</t>
  </si>
  <si>
    <t>REPLACEMENT OF L08 JV 035E RAISE. Approved on July 21, 2020. stopped on August 3 2020 due to already reached the recommended length.</t>
  </si>
  <si>
    <t>REPLACEMENT OF L10_JVFW_064E_DW.APPROVED ON JULY 23, 2020.Stopped on August 3,2020 due to high elevation difference on the target mainline to breakthrough.</t>
  </si>
  <si>
    <t>L08_JVFW_061E_DE</t>
  </si>
  <si>
    <t>L04_JVHW_014E_WINZE STOPE</t>
  </si>
  <si>
    <t>REPLACEMENT OF L04_JVHW_014E_DW. APPROVED ON MARCH 20 2020. STOPPED JULY 16, 2020 TO RELOCAT MANWAY FROM ADJACENT L04 JVFW 011E ROBBING MAINLINE DUE TO UNSAFE CONDITION.</t>
  </si>
  <si>
    <t xml:space="preserve">REPLACEMENT OF L08_GHV_022E_WINZE.APPROVED ON JUNE 30, 2020.STOP ON 8/4/2020 ,TO DRIVE ANOTHER VEIN INTERCEPT </t>
  </si>
  <si>
    <t>REPLACEMENT OF L07_JVSPLIT_024E_STOPE PREP. APPROVED ON MARCH 17 2020.stopped breking on June 11 2020 and No pull out. Waiting for grab sample result. STOPPED ON AUGUST 3 2020 ALREADY MINED OUT.</t>
  </si>
  <si>
    <t>REPLACEMENT OF L06_CTV_003E_DW. APPROVED ON JUNE 2 2020. Stopped on Aug 4, 2020 and converted to stope prep.</t>
  </si>
  <si>
    <t>L06_CTV_002E_STOPE PREP</t>
  </si>
  <si>
    <t>L09_DPVE2_071E_RAISE</t>
  </si>
  <si>
    <t>L09_JVHW_049E_DE</t>
  </si>
  <si>
    <t>REPLACEMENT OF L09 DPVE 033E STOPE. Approved on July 7, 2020. Stopped on Aug 5, already breakthrough.</t>
  </si>
  <si>
    <t>REPLACEMENT OF L10_GHV_009E_DW. APPROVED ON JUNE 12 2020. stopped on Aug 5 2020 due to consecutive low assay grade of cut sample bulk sample.</t>
  </si>
  <si>
    <t>REPLACEMENT OF L10 GHV 038E RAISE. Approved on July 8, 2020. STOPPED ON AUG 5 2020 ALREADY SUBJECTED FOR A WIREFRAME DESIGN.</t>
  </si>
  <si>
    <t>L08_JV_037E_RAISE</t>
  </si>
  <si>
    <t>REPLACEMENT OF L10_DPVE_062E_DW. APPROVED ON JULY 8, 2020.stopped on August 5,2020 for wireframe already reached the projected strike length.</t>
  </si>
  <si>
    <t>L09_DPVE2_084E_DW</t>
  </si>
  <si>
    <t>084E</t>
  </si>
  <si>
    <t>L07_JVSPLIT_032E_RAISE*</t>
  </si>
  <si>
    <t>L07_JVFW_040E_DE</t>
  </si>
  <si>
    <t>REPLACEMENT OF L10_GHV_070E_STOPE PREP. APPROVED ON JUNE 17 2020. TEMPORARY STOPPED ON JUNE 27 2020 TO  PRIORITIZED  L10 GHV 070E STOPE.</t>
  </si>
  <si>
    <t>ADDITIONAL VERTICAL DEVELOPMENT.APPROVED ON JULY 1, 2020. Transfer from PMC MINERS to PANCIT NOEL 1 on June 29, 2020. STOPPED ON  AUGUST 6 2020.</t>
  </si>
  <si>
    <t>SHEPHERD Y.1</t>
  </si>
  <si>
    <t>TAÑEZA1</t>
  </si>
  <si>
    <t>L09_DPVE2_034E_STOPE PREP</t>
  </si>
  <si>
    <t>REPLACEMENT OF L09_JVFW_064E_STOPE PREP. APPROVED ON APRIL 24 2020. Stopped breaking on August 5 2020 converted to pull-out cleaning.</t>
  </si>
  <si>
    <t>L05_DPVE_036E_RAISE</t>
  </si>
  <si>
    <t>REPLACEMENT OF L08_JVFW_063E_STOPE PREP. APPROVED ON FEB 24 2020. TEMP.STOPPED ON APRIL 30 2020 TO DO INCLINED RAISE. RESUMED ON JUNE 18 2020 CONVERTED TO PULL OUT CLEANING. Mined out as per LM, with 50-60% pull out, temp stop, for evaluation. PERMANENT STOPPED ON AUGUST 7 2020 ALREADY MINED OUT.</t>
  </si>
  <si>
    <t>REPLACEMENT OF L10_GHVFW_036E_STOPE PREP. APPROVED ON APRIL 2 2020.Stopped breaking on June 10 2020 at the same time converted to Pull out. STOPPED ON AUGUST 6 2020 ALREADY MINED OUT.</t>
  </si>
  <si>
    <t>L10_GHVFW_079E_RAISE</t>
  </si>
  <si>
    <t>ADDITIONAL VERTICAL DEVELOPMENT. APPROVED ON JULY 8, 2020. STOPPED on AUGUST 7 2020 ALREADY CONNECTED W/ OLD RAISE.</t>
  </si>
  <si>
    <t>L08_GHV_054E_STOPE PREP</t>
  </si>
  <si>
    <t>L08_GHV_021E_DE</t>
  </si>
  <si>
    <t>L08_JVSPLIT_066E_RAISE</t>
  </si>
  <si>
    <t>REPLACEMENT OF L08_GHV_026W_STOPE PREP. APPROVED ON JULY 7 2020. TEMPORARY stopped  on August 2 2020.</t>
  </si>
  <si>
    <t>L07_JVHW_070E_STOPE</t>
  </si>
  <si>
    <t>REPLACEMENT OF L07 GHVFW 021W ROBBING. APPROVED ON JULY 6, 2020. stopped on August 8 2020 converted to active breaking.</t>
  </si>
  <si>
    <t>L07_JVHW_075E_WINZE</t>
  </si>
  <si>
    <t>REPLACEMENT OF L06_DPVE_020E_DE.APPROVED ON MARCH 16 2020.  Temporary transfer from QUIJANO 5 TO FERNANDEZ, REX ON MAY 4,2020. Temporary stopped on May 12,2020 Team Leader surrender.resumed on May 13,2020 at the same time transfer FERNANDEZ,REX TO SHEPHERD AC. STOPPED ON JUNE 4 2020 DUE TO VIEN PINCHED OUT. Resumed on Aug 4, 2020 as per LM. Stopped on Aug 8, 2020 due to consecutive low assay result.</t>
  </si>
  <si>
    <t>REPLACEMENT OF L04_GHVFW_017E_WINZE STOPE PREP. APPROVED ON FEB. 25 2020. RESUMED ON JULY 3, 2020 AND TRANSFER FROM COMAINGKING TO DAVOCOL ROW 1. STOPPED BREAKING AND CONVERT TO PULL-OUT ON JULY 10, 2020. Stopped on August 6,2020 due to unsafe condition.</t>
  </si>
  <si>
    <t>REPLACEMENT OF GHV 023W DW. APPROVED ON JUNE 29, 2020. STOPPED ON AUGUST 7 2020 ALREADY BREAKTHROUGH</t>
  </si>
  <si>
    <t>REPLACEMENT OF L05_GHV_034W_DE. APPROVED ON JULY 18 2020. stopped on august 10 2020 due to pinched out vein @ 0.10m</t>
  </si>
  <si>
    <t>ADDITIONAL PRODUCTION TONNAGE. APPROVED ON APRIL 3 2020. TEMP. STOPPED ON APRIL 9 DUE TO PANDEMIC. RESUMED ON JULY 14, 2020. Stopped on august 10 2020 already reached the recommended strike length/ crown pillar.</t>
  </si>
  <si>
    <t>L07_JVSPLIT_001W_STOPE</t>
  </si>
  <si>
    <t>REPLACEMENT OF L07_JVSPLIT_001E_RAISE. APPROVED ON JULY 23, 2020. STOPPED ON AUGUST 7 2020 CONVERTED TO ACTIVE BREAKING.</t>
  </si>
  <si>
    <t>L10_JVSPLIT_073E_STOPE PREP</t>
  </si>
  <si>
    <t>REPLACEMENT OF L10_JVSPLIT_072E_RAISE.  APPROVED ON JULY 15 2020.stopped on August 6,2020 due to breakthrough to inclined raise</t>
  </si>
  <si>
    <t>L04_RYV_002E_RAISE</t>
  </si>
  <si>
    <t>REPLACEMENT OF L04_GHV_041W_RAISE, APPROVED ON APRIL 8, 2020. TEMP. STOPPED ON APRIL 9 DUE TO PANDEMIC. RESUMED ON JULY 8, 2020 AND TRANSFERRED TO NOCOS 2 FROM MARTINEZ RON. 3. Stopped on August 11 2020 converted to active breaking.</t>
  </si>
  <si>
    <t>L05_GHV_033W_ROBBING</t>
  </si>
  <si>
    <t>REPLACEMENT OF L10 GHVHW 055E DE. APPROVED ON MAY 24,2020. temporary stopped on June 12 2020 to resumed on 55e_de. Resumed on June 20, 2020. stopped on August 11 2020 due to consecutive low assay grade on cut sample bulk samples.</t>
  </si>
  <si>
    <t>L07_JV_007W_RAISE</t>
  </si>
  <si>
    <t>REPLACEMENT OF L07_CTV_010E_ROBBING .APPROVED ON MAY 29 2020. Stopped on June 1 2020 due to breakthrough.RESUME ON JULY 16 2020. STOPPED ON JULY 31 2020 ALREADY BREAKTHROUGH.STOPPED ON AUGUST 7 2020</t>
  </si>
  <si>
    <t xml:space="preserve">REPLACEMENT OF L09_GHVFW_043E_STOPE PREP. APPROVED ON SEPT. 2, 2019. TRANSFERRED FROM BALANGHIG 2 TO CAPPUYO ON FEBRUARY 11 2020. Temporary stopped on Feb 19 2020. waiting for group to take over.resumed on Feb 25,2020. At the same time transfer from CAPPUYO TO PANCIT, NOEL. MR. CAPPUYO DOES NOT WANT TO TAKE OVER THIS STOPE. STOPPED ON MAY 26 2020 CONVERTED TO PULL OUT CLEANING. Temp stopped on July 7, 2020 to repair manway. Stopped on July 7 2020 already mined out.
</t>
  </si>
  <si>
    <t>FILL WINZE FOR WASTE PASS. APPROVED ON JULY 15, 2020.Stopped on August 8 2020 already made a breakthrough</t>
  </si>
  <si>
    <t>L04_CTV_026E_ROBBING</t>
  </si>
  <si>
    <t>REPLACEMENT OF L09_DPVE2_076E_STOPE PREP. APPROVED ON JULY 2 2020. Stopped breaking on July 31 2020 and converted to pull out cleaning. Stopped on August 10 2020 already mined out.</t>
  </si>
  <si>
    <t>REPLACEMENT OF L09_JVHW_061E_STOPE PREP. APPROVED ON JUNE 22 2020. Stopped on Aug 12, 2020 to drive 2 cpt raise.</t>
  </si>
  <si>
    <t>L06_DPVE_037E_DE</t>
  </si>
  <si>
    <t>REPLACEMENT OF L06_JVHW_018E_DE. APPROVED ON APRIL 3 2020. Temporary transfer from BAÑEZ 10 TO SHEPHERD L ON MAY 4,2020. Stopped on Juen 25, 2020. Resumed on July 27, 2020. Stopped on  Aug 12, 2020.</t>
  </si>
  <si>
    <t xml:space="preserve">REPLACEMENT OF L05_JV_021E_RAISE. APPROVED ON JUNE 15 2020. stopped on July 30 2020 due to CONSECUTIVE LOW ASSAY GRADE.RESUMED ON JULY 31 due to good grade on the latest bulk sample. Stopped on August 12 2020 </t>
  </si>
  <si>
    <t>REPLACEMENT OF L04 GHVFW 028W RAISE. APPROVED ON JULY 24, 2020. RENAMED FROM L04 GHV 027W RAISE TO L04 GHV 026W RAISE TO PROHIBIT FROM MICHARGING. RENAMED ON JULY 27 2020 FROM GHV TO GHVSPLIT. STOPPED ON AUGUST 12, 2020 DUE TO LOW CONSECUTIVE ASSAY GRADE.</t>
  </si>
  <si>
    <t>REPLACEMENT OF L09 JVS 075E RAISE. Approved on July 11, 2020. Stopped on august 12 2020, due to consecutive low assay grade on cut sample /  bulk sample.</t>
  </si>
  <si>
    <t>ADDITIONAL INCLED RAISE DEVELOPMENT. APPROVED ON MAY 11 2020.stopped on July 7, 2020. PINCHED OUT VEIN.RESUMED ON JULY 17 2020 as Normal Raise.transferred from Fernandez rex to Cartikitan 3 STOPPED ON AUG 8 2020</t>
  </si>
  <si>
    <t>REPLACEMENT OF L06_CTV_012E_WINZE STOPE PREP. APPROVED ON JULY 16 2020.Stopped Already reach the designed pillar convert to pull out cleaning on August 11, 3rd shift.</t>
  </si>
  <si>
    <t>REPLACEMENT OF L06_GHVFW_039W_STOPE PREP. APPROVED ON JULY 21 2020.Stopped due to vein pinched out convert to pull out cleaning August 12,2020 2nd shift.</t>
  </si>
  <si>
    <t>REPLACEMENT OF L06_JV_043E_ROBBING.APPROVED ON JUNE 23, 2020.stopped on August 11,2020 due to breakthrough to old intermediate sublevel.</t>
  </si>
  <si>
    <t>L05_CTV_002W_DW</t>
  </si>
  <si>
    <t>L05_CTV_039E_ROBBING</t>
  </si>
  <si>
    <t>L10_GHVHW_058E_STOPE PREP</t>
  </si>
  <si>
    <t>REPLACEMENT OF L09_GHVHW_003E_DE. Approved on July 15, 2020. Temp stopped on July 31, 2020 to drive raise. Resumed on Aug 5, at the same time transferred from HUMIDING to CAPPUYO.STOPPED ON AUG. 13, 2020 DUE TO CONSECUTIVE LOW ASSAY GRADE ON CUT SAMPLES.</t>
  </si>
  <si>
    <t>REPLACEMENT OF L07 JVHW 069E WINZE STOPE. APPROVED ON AUGUST 4 2020.STOPPED ON AUGUST 13 2020 PINCHED OUT VEIN</t>
  </si>
  <si>
    <t>REPLACEMENT OF L09 DPVE2 033E STOPE. Approved on July 24, 2020. STOPPED ON AUG. 13, 2020 DUE TO CONSECUTIVE LOW ASSAY GRADE ON CUT SAMPLES.</t>
  </si>
  <si>
    <t>REPLACEMENT OF L07_GHV_028W_RAISE. APPROVED ON JULY 14 2020. STOPPED ON AUG. 13, 2020 DUE TO CONSECUTIVE LOW ASSAY GRADE ON CUT SAMPLES.</t>
  </si>
  <si>
    <t>REPLACEMENT OF L07 JVHW 068E ROBBING. APPROVED ON JUNE 19 2020. TEMPORARY STOPPED ON JUNE 26 2020 DUE TO LACK OF MANPOWER.RESUMED ON JULY 4 2020 TRANSFERRED FROM MARTINEZ, RON TO OY-YOY.STOPPED ON AUG. 12, 2020 PINCHED OUT VEIN.</t>
  </si>
  <si>
    <t>REPLACEMENT OF L07 JV 002E DW.APPROVED ON JULY 20, 2020. temporary stopped on July 27 2020 unserviceable due to l07_jvsplit_001w_stope prep. Resumed on Aug 4 2020.STOPPED ON AUG. 13, 2020 DUE TO POOR VEIN MINERALIZATION EXHIBITS AT CURRENT BACK.</t>
  </si>
  <si>
    <t>L06_DPVE_036E_RAISE</t>
  </si>
  <si>
    <t>REPLACEMENT OF L07_JVSPLIT_059E_STOPE PREP. APPROVED ON MARCH 17 2020. TRANSFER FROM LEON 1 TO FABROA 2 DUE TO LACK OF MAN POWER ON MAY 21, 2020. Temporrary stopped on June 15, 2020  due to operational issue. Resumed on June  20, 2020.temporary stopped breaking on July 2 2020 to do fill raise. RESUMED ON JULY 8 2020. STOPPED BREAKING ON JULY 8, 2020 T CONVERT TO PULL-OUT.STOPPED ON AUG. 13, 2020 MINED OUT.</t>
  </si>
  <si>
    <t>REPLACEMENT OF L10_JVFW_052E_STOPE PREP. APPROVED ON FEB 22 2020.stopped on July 7, 2020. Already reached the recommended strike length/crown pillar. Stop breaking on July 7, 2020, to do fill raise and pull out. Stopped Breaking on August 12 2020 converted to Pull-out Cleaning.</t>
  </si>
  <si>
    <t>DROP DOWN ANG FORMULA SA GREEN COLUMNS / Copy Values</t>
  </si>
  <si>
    <t>L07_JVHW_059E_DW</t>
  </si>
  <si>
    <t>L10_JVFW_067E_DW</t>
  </si>
  <si>
    <t>REPLACEMENT OF L08_DPVE_032E_RAISE. APPROVED ON JULY 21  2020. Stopped on Aug 15, 2020 cut by fault.</t>
  </si>
  <si>
    <t>REPLACEMENT OF L06_JVHW_032W_RAISE. APPROVED ON MAY 22 2020. Stopped on August 14,2020 due to vein pinched out.</t>
  </si>
  <si>
    <t>DRILLING CHAMBER FOR DEFINITION DRILLING. APPROVED ON JULY 2 2020. Stopped on Aug 5, 2020 already done.</t>
  </si>
  <si>
    <t>L05_CTV_039E_WINZE STOPE PREP. APPROVED ON JUNE 23 2020 CONVERTED TO ACTIVE BREAKING.Stopped on July 27 2020 recommended for Pull-out Cleaning . Stopped on august 13 2020 already mined out.</t>
  </si>
  <si>
    <t>L05_CTV_039E_WINZE STOPE PREP. APPROVED ON JUNE 23 2020 CONVERTED TO ACTIVE BREAKING.Stopped on July 27 2020 recommended for Pull-out Cleaning.</t>
  </si>
  <si>
    <t>L10_DPVE_031E_RAISE</t>
  </si>
  <si>
    <t>L07_JVHW_068E_DW</t>
  </si>
  <si>
    <t>REPLACEMENT OF L08_DPVE_067E_RAISE. APPROVED ON JULY 29 2020. stopped on August 14 2020 made a breakthrough.</t>
  </si>
  <si>
    <t>ADDITIONAL INCLINED RAISE DEVOPMENT. APPROVED ON JULY 29 2020. stopped on August 17 2020 due to lack of manpower.</t>
  </si>
  <si>
    <t>REPLACEMENT OF L10_JVSPLIT_071E_RAISE. APPROVED ON JULY 15 2020. STOPPED ON AUGUST 18 2020.</t>
  </si>
  <si>
    <t>REPLACEMENT OF L04 JV 007W DW. APPROVED ON SEPT. 26, 2019. TRANSFER FROM GEMENTIZA 1 TO BADBADON L4 AS PER RSS ON NOV 25, 2019. TEMP. STOPPED ON JANUARY 18, 2020 DUE TO LACK OF MANPOWER. RESUMED ON JANUARY 20, 2020 IN THE SAME TIME TRANSFERRED FROM BADBADON L. TO SHEPHERD AB. STOPPED ON  APRIL 5, 2020  DUE TO CONSECUTIVE LOW ASSAY GRADES ON CUT SAMPLES/ BULK SAMPLES. RESUMED AND TRANSFERRED TO SHEPHERD W ON JULY 3, 2020 FROM SHEPHERD AB BUT ON-GOING REHAB AND CLEANING ON MANWAY . STOPPED ON AUGUST 18 2020 DUE TO ALREADY REACHED THE RECOMMENDED STRIKE LENGTH / CROWN PILLAR.</t>
  </si>
  <si>
    <t>DELOS REYES V 3</t>
  </si>
  <si>
    <t>L08_GHV_036W_STOPE PREP</t>
  </si>
  <si>
    <t>REPLACEMENT OF L04_JVFW_011E_ROBBING. APPROVED ON JULY 18 2020. stopped on August 18 2020 to finished heading</t>
  </si>
  <si>
    <t>L10_DPVE_051E_DE</t>
  </si>
  <si>
    <t>L05_GHV_033W_RAISE</t>
  </si>
  <si>
    <t>L07_JV_053E_ROBBING</t>
  </si>
  <si>
    <t>L08_GHV_017W_ROBBING</t>
  </si>
  <si>
    <t>ADDITIONAL VERTICAL DEVELOPMENT. APPROVED ON JULY 302020.STOPPED ON AUG.20, 2020 ALREADY FINISHED HEADING.</t>
  </si>
  <si>
    <t>REPLACEMENT OF L06_CV_006W_STOPE PREP. APPROVED ON JUNE 9 2020. Temporary stopped on June 29, 2020 to drive inclined raise. Resumed on July 3, 2020.STOPPED BREAKING ON AUG 19 2020 AT THE SAME TIME CONVERTED TO PULL OUT ON AUG 19 2020.</t>
  </si>
  <si>
    <t>L07_DPVE_042E_ROBBING</t>
  </si>
  <si>
    <t>REPLACEMENT OF L07 JVFW 041E RAISE. APPROVED ON JULY 24, 2020. TEMPORARY STOPPED ON AUGUST 3 2020 DUE TO UNSERVICEABLE AREA</t>
  </si>
  <si>
    <t xml:space="preserve">LARGO, RICHARD  </t>
  </si>
  <si>
    <t xml:space="preserve">LARGO , RICHARD </t>
  </si>
  <si>
    <t>L06_JVHW_030W_WINZE</t>
  </si>
  <si>
    <t>REPLACEMENT OF L08 GHV 026W STOPE. APPROVED ON JULY 29 2020. Stopped on August 21 2020 to proceed raise prep.</t>
  </si>
  <si>
    <t>L08_JVFW_060E_RAISE</t>
  </si>
  <si>
    <t>L08_GHV_022E_WINZE STOPE PREP</t>
  </si>
  <si>
    <t xml:space="preserve">REPLACEMENT OF L08_GHV_022E_DE. APPROVED ON AUGUST 7 2020. STOPPED ON AUGUST 21 2020 </t>
  </si>
  <si>
    <t>L04_JV_056W_RAISE</t>
  </si>
  <si>
    <t>REPLACEMENT OF L07_JV_009E_RAISE. APPROVED ON FEBRUARY 1 2020. Temporary stopped on Feb 4, 2020 TO DRIVE HANGING WALL VEIN . HISTORICALLY ONLY THE FOOTWALL VIEN WAS DEVELOPRD AND CONVERTED INTO STOPE.RESUMED ON FEB 5, 2020.TEMPORARY STOPPED ON MARCH 10 2020 TO PROCEED CROSSCUT FOR ACCESS TO FOOTWALL. RESUMED ON MARCH 30 2020. Temporary stopped on May 27 2020 as per jhong. Resumed on June 1 2020.ON JUNE 10 2020 FOR EVALUATION OF A PARALLEL HEADING THAT MIGHT INTERCEPT HEADING. RESUMED ON JUNE 11 2020. TEMPORARILY STOPPED ON JULY 16 2020 TO PRIORITIZE CTV 10E RAISE.RESUMED ON JULY 31 2020. STOPPED ON AUGUST 20 2020 ALREADY MINED OUT.</t>
  </si>
  <si>
    <t>L09_DPVE2_063E_STOPE PREP</t>
  </si>
  <si>
    <t>L07_JV_063E_ROBBING</t>
  </si>
  <si>
    <t>L07_JVSPLIT_038E_RAISE</t>
  </si>
  <si>
    <t>L08_GHV_046E_WINZE</t>
  </si>
  <si>
    <t>REPLACEMENT OF L09_NONE_080E_CHAMBER. APPROVED ON AUG. 5 2020. Temp stopped on August 22, 2020 to drive raise</t>
  </si>
  <si>
    <t>L09_JVHW_048E_RAISE</t>
  </si>
  <si>
    <t>REPLACEMENT OF L09_DPVE2_069E_DE. APPROVED ON MARCH 3 2020. Transferred from DELOS REYES V.2 to CANOY on March 9 2020. Stopped on May 16,2020 will connect to Level 8 mainline. Resumed on July 31 2020 to drive timbered  as manway. Stopped on Aug 22, 2020, to resume stope  breaking.</t>
  </si>
  <si>
    <t>TARGET CV MAINLINE FOR MAINHOLE STOPING. APPROVED ON JULY 29 2020. stopped august 23, 2020 already breakthrough.</t>
  </si>
  <si>
    <t>L04_NONE_024W_XCS</t>
  </si>
  <si>
    <t>L07_GHVHW_035E_WINZE STOPE</t>
  </si>
  <si>
    <t>REPLACEMENT OF L07_GHVHW_035E_DW. APPROVED ON JULY 28 2020. Stopped On August 20 2020 converted to active breaking</t>
  </si>
  <si>
    <t xml:space="preserve">REPLACEMENT OF L09_JVFW_056E_STOPE PREP. APPROVED ON FEB. 27 2020. Temporary stopped on July 11, 2020 to continue driving raise to breakthrough to level 8. Resumed breaking on Aug 5, 2020. Stopped breaking on August 22 2020 converted to pull-out cleaning
</t>
  </si>
  <si>
    <t>REPLACEMENT OF L07 JVSPLIT 031E WINZE STOPE PREP.APPROVED ON JULY 29 2020. Stopped on August 24 2020 converted to pull-out cleaning.</t>
  </si>
  <si>
    <t>L07_DPVE_015E_WINZE</t>
  </si>
  <si>
    <t>REPLACEMENT OF L10_JVSPLIT_054E_STOPE PREP. APPROVED ON MARCH 3 2020. Temporary transferred from SHEPHERD W to BAÑEZ 2 on April 20, 2020. TEMPORARY STOPPED BREAKING ON JUNE 26 2020 TO DO  IPR. Stopped on August 24 2020 converted to pull-out cleaning</t>
  </si>
  <si>
    <t>ADDIITONAL VERTICAL DEVELOPMENT. APPROVED ON JUNE 13, 2018. STOPPED ON 10/2/18 SINCE THE RAISE REACHED ON LEVEL 9 ELEVATION.  Resumed on July 7, 2020 at the same time transferred from TAÑEZA to SHEPHERD B.1. Stopped on August 24 2020 already reach recommened strike length.</t>
  </si>
  <si>
    <t>L05_JV_044E_STOPE</t>
  </si>
  <si>
    <t xml:space="preserve">REPLACEMENT OF L04_CTV_011W_DW.APPROVED ON MARCH 26 2020. Temporary stopped on April 9 2020 due to pandemic. </t>
  </si>
  <si>
    <t>REPLACEMENT OF L04_JV_055W_WINZE.APPROVED ON JANUARY 31 2020. RENAME ON FEBRUARY 1, 2020 FROM L04 CTV 016W WINZE TO L04 CTV 018W WINZE TO PREVENT MC FROM MISCHARGING. Temporary stopped on april 19 2020 due to pandemic.</t>
  </si>
  <si>
    <t>L11_JVFW_055E_DW</t>
  </si>
  <si>
    <t>L08_GHV_034W_STOPE</t>
  </si>
  <si>
    <t>REPLACEMENT OF L08 GHV 034W RAISE. APPROVED ON JULY 24,2020. Stopped on August 15 2020 Converted to active breaking.</t>
  </si>
  <si>
    <t>REPLACEMENT OF L11 NONE 054E XCS. APPROVED ON SEPT. 29, 2019. STOPPED ON DECEMBER 6, 2019 TO PRIORITIZE DRIVES OF 055E_WINZE. Resumed on March 9 2020. Temporary stopped on March 15,2020. resumed on May 26 2020. TEMPORARY STOPPED ON MAY  29 2020. Resumed on June 20, 2020 at the same time Transferred from MAPAYO to COMAINGKING. sTOPPED ON AUGUST 25 2020 TO FOCUS THE MAINLINE BREAKTHROUGH CONNECTING L11_JVFW_049E_DE AND L11_JVFW_054E_DW</t>
  </si>
  <si>
    <t>REPLACEMENT OF L07 JVHFE 040E DW. APPROVED ON AUGUST 5, 2020. TEMPORARY STOPPED ON AUGUST 25 2020 DUE TO INSUFFIECIENT WASTE PASS.</t>
  </si>
  <si>
    <t>L07_JVSPLIT_004E_ROBBING</t>
  </si>
  <si>
    <t>REPLACEMENT OF L06_NONE_058E_XCN. APPROVED ON JUNE 6 2020. TEMPORARY STOPPED ON JUNE 22 2020 DUE TO WIREMESH INST4LLATION ON 63E MAINLINE GOING THROUGH 6 WASTEPASS. Resumed on June 29, 2020. Temp stopped on July 16, 2020 to prepare raise.</t>
  </si>
  <si>
    <t>REPLACEMENT OF L07 JVSPLIT 023E DW. APPROVED ON JUNE 15, 2020.STOPPED ON JULY 16 2020 LOW ASSAY RESULT</t>
  </si>
  <si>
    <t>REPLACEMENT OF L08_GHV_023E_DE. APPROVED ON JUNE 23 2020.STOPEED ON JULY 27, 2020 ACTUAL BREAKING ON JULY 22, 2020 CONVERTED TO BREAKING.</t>
  </si>
  <si>
    <t>ADDITIONAL HORIZONTAL DEVELOPMENT. APPROVED ON JUNE 26 2020.stopped on July 17 2020 due to CONSECUTIVE LOW ASSAY GRADE</t>
  </si>
  <si>
    <t>ADDITIONAL VERTICAL DEVELOPMENT. APPROVED ON JULY 16, 2020. Stopped on Aug 5 2020 and continue stope breaking.</t>
  </si>
  <si>
    <t>REPLACEMENT OF L04 JV 056W DW. APPROVED ON JULY 27, 2020. TEMPORARY STOPPED ON AUGUST 3 2020 DUE TO ABSENTEEISM OF MEN RESULTING TO ABANDONMENT OF WORKPLACE. TRANSFERRED FROM SHEPHERD AA 2 TO MARTINEZ, RON.2 DUE TO ABSENTESM AND RESUMED ON AUGUST 3, 2020. Stopped on August 21 2020 due to already reach its projected strike length.</t>
  </si>
  <si>
    <t>REPLACEMENT OF L06_CTV_007E_STOPE. APPROVED ON JULY 28 2020. TEMP. STOPPED ON AUGUST 8 2020 DUE TO LACK OF MAN POWER.</t>
  </si>
  <si>
    <t>REPLACEMENT OF L09 JVSPLIT 059E RAISE. Approved on July 21, 2020. Temp stopped july 21, 2020 , to drive L09 JVFW 050E DE first. Resumed on Aug 3, 2020. Stopped on Aug 25, 2020 vein pinched ouut.</t>
  </si>
  <si>
    <t>REPLACEMENT OF L09_JV_060E_RAISE. APPROVED ON JULY 29 2020. Stopped on Aug 25, 2020 due to low grade.</t>
  </si>
  <si>
    <t>REPLACEMENT OF L08 GHV 030W STOPE PREP. APPROVED ON NOVEMBER 21,2019 CONVERT TO ACTIVE BREAKING. TEMP. STOPPED ON JANUARY 8 2020 DUE TO INSUFFICIENT MANPOWER. RESUMED ON JANUARY 20 2020, IN THE SAME TIME TRANSFERRED FROM REVITA 1. TO CAPOY 1. TEMPORARY STOPPED ON FEB. 10 2020 DUE TO LACK OF MANPOWER. (SOURCE- OPERATION MEMO). RESUMED ON FEBRUARY 19 2020 IN THE SAME TIME  TRANSFERRED FROM CAPOY TO BELICAN.SUSPEND THE BLASTING ACTIVITY AT TIME WESTERN SECTION AND PRIORITIZE THE BREAKING OF THE OFF VEIN INCLINED RAISE TARGETING TOWARDS THE WESTERN SECTION MAY 4, 2020. TEMPORARY STOPPED ON MAY 22,2020 TO PRIORITIZED L08_GHV_028W_RAISE INSIDE THE STOPE. RESUMED ON JUNE 11 2020. STOPPED BREAKING ON  AUGUST 25, 2020 CONVERTED TO PULL OUT CLEANING</t>
  </si>
  <si>
    <t>REPLACEMENT OF L04_CTVSPLIT_026E_ROBBING. APPROVED ON AUGUST 10 2020. Start Robbing on August 18 2020.STOPPED ON AUGUST 26,2020.DUE TO POOR VIEN MENERALIZATION.</t>
  </si>
  <si>
    <t>L04_CTV_025E_ROBBING</t>
  </si>
  <si>
    <t>REPLACEMENT OF L06_JVHW_018E_RAISE. APPROVED ON AUGUST 18 2020.STOPPED ON AUGUST 26, 2020. DUE TO UNSAFE CONDITION.</t>
  </si>
  <si>
    <t>L07_JVHW_065E_ROBBING</t>
  </si>
  <si>
    <t>REPLACEMENT OF L07_GHV_032W_DW.APPROVED ON AUGUST 21.2020. stopped on Aug 26 2020 to do inclined raise at Level 8</t>
  </si>
  <si>
    <t>REPLACEMENT OF L07_GHV_039E_ROBBING. APPROVED ON JULY 16 2020. stopped on Aug 25 2020. vein pinched out</t>
  </si>
  <si>
    <t>REPLACEMENT OF L05_JV_029E_RAISE.APPROVED ON JULY 10, 2020. STOPPED ON AUGUST 25 2020 CONVERTED TO ACTIVE BREAKING.</t>
  </si>
  <si>
    <t>L05_JV_029E_STOPE</t>
  </si>
  <si>
    <t>REPLACEMENT OF L07 DPVE 044E DW. APPROVED ON JULY 14, 2020.  STOPPED ON AUGUST 24 2020 DUE TO CONSECUTIVE LOW ASSAY GRADE ON CUT SAMPLE BULK SAMPLES.</t>
  </si>
  <si>
    <t>REPLACEMENT OF L08_JV_071E_DE. APPROVED ON JULY 18 2020. Temp stopped on July 20, 2020 not yet started. Resumed on July 25,2020. Stopped on August 20 2020, due to Vein pinched out.</t>
  </si>
  <si>
    <t>REPLACEMENT OF L07_GHV_027W_DE. APPROVED ON JULY 8, 2020. Stopped On August 26 2020 due to consecutive low assay grades on cut samples / bulk samples.</t>
  </si>
  <si>
    <t>REPLACEMENT TOPSLICE OF L08_GHV_014W_ROBBING, APPROVED ON MARCH 30, 2020. temporary stopped on march 31, 2020. RESUME ON APRIL 15, 2020. transferred on June 22 2020 from Lerio Arnel to Martinez danny. Temporary Stop on 7/14/2020 due to insufficiency of manpower.  Resumed on July 20, 2020 at the same time transferred from MARTINEZ DN to SHEPHERD Q. Renamed from GHV 16W ROBBING TO GHV 17W ROBBING ON AUGUST 20 2020. Stopped on August 27 2020 due to consecutive low assay grade on cut sample /bulk sample</t>
  </si>
  <si>
    <t>REPLACEMENT OF L08_GHV_001E_RAISE. APPROVED ON JULY 18 2020. Stopped on August 27 2020 due to Vein pinched out by: 0.05.</t>
  </si>
  <si>
    <t>REPLACEMENT OF L08_JVFW_055E_RAISE. APPROVED ON JULY 15 2020. Stopped on August 27 2020 already onnected to the old stope.</t>
  </si>
  <si>
    <t>REPLACEMENT OF L05_CTV_012W_WINZE STOPE PREP. APPROVED ON JULY 21 2020. Stopped Breaking and Converted to Pull out Cleaning on August 27 2020.</t>
  </si>
  <si>
    <t>L04_CTVSPLIT_010E_ROBBING</t>
  </si>
  <si>
    <t>L04_CTV_019W_DE</t>
  </si>
  <si>
    <t>L08_GHV_054E_STOPE</t>
  </si>
  <si>
    <t>REPLACEMENT OF L08_GHVFW_054E_RAISE. APPROVED ON AUGUST 7 2020. STOPPED ON AUGUST 27 2020 CONVERTED TO ACTIVE BREAKING</t>
  </si>
  <si>
    <t>REPLACEMENT OF L07_JV_012W_ROBBING. APPROVED ON AUGUST 11 2020. TEMPORARY STOPPED ON AUGUST 14 2020 TO REPAIR OLD MANWAY.RESUMED ON AUG 22,2020. Temp.Stopped on August 26 2020 due to no wastepass available base on Mine Operation Heading Evaluation.</t>
  </si>
  <si>
    <t>REPLACEMENT OF L10_NONE_054E_XCN.APPROVED ON AUGUST 26, 2019. RENAMED ON OCT 17, 2019  FROM L10_DPVE_058E_DE TO L10_DPVE_061E_DE.  Temporary Stopped on January 7, 2020 to prioritize 60e raise. Resumed on 1/14/20 at the same time transfer from PMC MINERS 2 TO SHEPHERD Y. Temporary stopped on March 15,2020 to drive raise. Resumed on May 15,2020. Temporary stopped on June 25, 2020 due to ongoing drilling.RESUMED ON AUG 3,2020 AT THE SAME TIME RENAME FROM L10 DPVE 061E DE TO L10 DPVE 074E DE TO AVOID MISCHARGING TO SAME POSITION ACTIVE HEADINGS. Stopped on august 26 2020 already breakthrough.</t>
  </si>
  <si>
    <t>REPLACEMENT OF L07_JVSPLIT_031E_DW.  APPROVED ON JUNE 3 2020. TEMP. STOPPED ON JUNE 5 2020. RESUMED ON JUNE 15, 2020. STOPPED ON JULY 162020 ALREADY CONNECTED TO OLD MAINLINE. Resume on Aug 6 2020 for rehabilation of raise. Stopped on August 26 2020 already done rehab.</t>
  </si>
  <si>
    <t>L07_JVSPLIT_027E_DW</t>
  </si>
  <si>
    <t>REPLACEMENT OF L07 JVSPLIT 031E WINZE STOPE PREP.APPROVED ON JULY 29 2020. Stopped on August 24 2020 converted to pull-out cleaning. Stopped on August 28 2020 already mined out.</t>
  </si>
  <si>
    <t>L07_JVSPLIT_032E_WINZE STOPE PREP</t>
  </si>
  <si>
    <t>L06_CTV_002E_STOPE</t>
  </si>
  <si>
    <t>REPALCEMENT OF L08_GHV_001E_ROBBING. APPROVED ON MARCH 16 2020. STOPPED ON JUNE 11 2020 DUE TO UNSAFE CONDITION. Resumed on June 25, 2020. TEMPORARY STOPPED ON JUNE 26 2020. Declared permanently stopped on August 29 2020 as per Geo.</t>
  </si>
  <si>
    <t>L07_JV_049E_ROBBING</t>
  </si>
  <si>
    <t>REPLACEMENT OF L06_CTV_002E_RAISE.APPROVED ON AUGUST 5 2020. Stopped on Aug 25,2020 converted to breaking.</t>
  </si>
  <si>
    <t>L06_CV_004W_ROBBING</t>
  </si>
  <si>
    <t>L07_JVFW_037E_ROBBING</t>
  </si>
  <si>
    <t>L08_JVSPLIT_073E_RAISE</t>
  </si>
  <si>
    <t>LERIO, ARNEL</t>
  </si>
  <si>
    <t>L07_GHV_034W_DE</t>
  </si>
  <si>
    <t>REPLACEMENT OF L04 CV 001E ROBBING. APPROVED ON JULY 24, 2020. Temporary stopped on August 18 2020 due to no airhoist / electric hoist vailable. Resumed on August 21 2020. STOPPED ON AUGUST 28 2020 DUE TO PINCHED OUT VEIN.</t>
  </si>
  <si>
    <t>REPACEMENT OF L09_JV_054E_DE.APPROVED ON JUNE 27 2020. Temp stop on July 21, 2020 as per LM. Resumed on Aug 11, 202 at the same time transferred from PANCIT NOEL to BABOR 2. STOPPED ON AUGUST 28 2020 DUE TO PINCHED OUT VEIN.</t>
  </si>
  <si>
    <t>REPLACEMENT OF L09 GHV 027E DW. Approved on July 18, 2020. STOPPED ON SEPT. 1 2020 ALREADY REACHED THE RECOMMENDED MAINLINE PILLAR.</t>
  </si>
  <si>
    <t>L06_GHVFW_027W_ROBBING</t>
  </si>
  <si>
    <t>L09_DPVE2_082E_RAISE</t>
  </si>
  <si>
    <t>L07_JVHW_068E_DE</t>
  </si>
  <si>
    <t>L10_GHVHW_059E_DE</t>
  </si>
  <si>
    <t>REPLACEMENT OF L08_NONE_068E_XCS. APPROVED ON JULY 18 2020. Temp stopped on July 20, 2020 not yet started. Resumed on July 25,2020. Stopped on august 28 2020.</t>
  </si>
  <si>
    <t>CANOY</t>
  </si>
  <si>
    <t>REPLACEMENT OF L04 GHVFW 017E STOPE PREP. APPROVED ON  JUNE 28, 2019.STOPPED/ CONVERT TO PULL-OUT CLEANING ON AUGUST 1, 2019. STOPPED ON AUGUST 27, 2019 DUE TO CONSECUTIVE LOW GRADE. RESUMED PULL-OUT ON AUGUST 11, 2020 AS WELL AS TRANSFERRED FROM CABONITA 1 TO BANEZ 3. Stopped on August 25 2020 already mined out.</t>
  </si>
  <si>
    <t>L10_NONE_074E_XCN</t>
  </si>
  <si>
    <t>REPLACEMENT OF L06_CTV_007E_RAISE. APPROVED ON JUNE 13 2020. Stopped on July 17, 2020 low grade, no pull out. Resumed on August 18, 2020 to break different portion of the stope, at the same time transferred from SHEPHERD W to DOLARIZA. Temporary stopped on September 3 2020 to continue inclined raise.</t>
  </si>
  <si>
    <t>REPLACEMENT OF L10_NONE_053E_WINZE. APPROVED ON DEEMBER 17, 2019. Temporary stopped on April 28,2020 to drive intermediate sublevel. Resumed on May 14,2020. Stopped on Sept. 3 2020 Already on the Level 12.</t>
  </si>
  <si>
    <t>L12_GHV_041E_DE</t>
  </si>
  <si>
    <t>REPLACEMENT OF L09_JVSPLIT_068E_STOPE. APPROVED ON JULY 29 2020. STOPPED ON AUGUST 11 2020 DUE TO CONSECTIVE LOW ASSAY GRADE ON CUT SAMPLE BULK SAMPLES / PINCHEDOUT VEIN : 0.05M BVW. Resumed on Aug 26, 2020 as per LM opena. Stopped on Sept 3, 2020 vein pinched out.</t>
  </si>
  <si>
    <t>L08_GHV_037W_RAISE</t>
  </si>
  <si>
    <t>L08_JVSPLIT_068E_RAISE</t>
  </si>
  <si>
    <t>L08_GHV_004E_DE</t>
  </si>
  <si>
    <t>REPLACEMENT OF L10_JVFW_068E_DE. APPROVED ON JUNE 5 2020. Stopped on June 30, 2020. resumed on Aug 5,2020.  stopped on Sept 4,2020 due to consecutive low assay grade and already reached the projected strike length.</t>
  </si>
  <si>
    <t>REPLACEMENT OF L08_NONE_039E_XCS, APPROVED ON APRIL 22, 2020. Temporary stopped on May 4, 2020 to prioritize stope Prep. Resumed on June 12 2020 in the same time transferred from Tormis 3 To Versoza 2. Temporary stopped on June 30, 2020 due to unservisable area.TEMP STOP, TO ADDRESS FIRST THE AVAILABILITY ISSUE OF SUBMERSIBLE PUMP (WATER PRESENT IN THE AREA NEED TO BE FLUSHED OUT).RESUME ON 8/13/20. TRANSFERRED FROM VERSOZA TO SHEPHERD X ON THE SAME DATE AUGUST 13, 2020. Stopped on sept. 4 2020 due to off vein.</t>
  </si>
  <si>
    <t>L10_DPVE_062E_DW</t>
  </si>
  <si>
    <t>L04_CTV_020W_ROBBING</t>
  </si>
  <si>
    <t>ADDITIONAL INCLINED RAISE DEVELOPMENT. APPROVED ON JULY 23, 2020. Stopped on September 5,2020 already reached its recommended strike length.</t>
  </si>
  <si>
    <t>REPLACEMENT L07_GHVHW_035E_WINZE STOPE PREP. APPROVED ON AUGUST 20 2020.stopped breaking on August 29 2020 and converted to pull out cleaning</t>
  </si>
  <si>
    <t>L04_JV_053W_ROBBING</t>
  </si>
  <si>
    <t>REPLACEMENT OF L10 DPVE 061E DE. APPROVED MARCH 15,2020. Stopped on May 15,2020 due to unsafe condition. Resumed on June 25, 2020.Stopped on September 7,2020 since it already reached the recommended strike length.</t>
  </si>
  <si>
    <t>SHEPERD Y3</t>
  </si>
  <si>
    <t>L09_DPVE_018E_DW</t>
  </si>
  <si>
    <t>L06_CTV_003E_STOPE PREP</t>
  </si>
  <si>
    <t>Replacement of L06 CTV 002E STOPE PREP. Approved on Aug 25, 2020. Stopped breaking on September 1,2020 convert to pull out cleaning</t>
  </si>
  <si>
    <t>REPLACEMENT OF L08_GHV_021E_DE.APPROVED ON AUGUST 21, 2020. Stopped on September 7,2020 already finished stope convert to active breaking.</t>
  </si>
  <si>
    <t>L08_GHV_022E_WINZE STOPE</t>
  </si>
  <si>
    <t xml:space="preserve">ADDITIONAL VERTICAL DEVELOPMENT APPROVED ON NOV 23, 2019. TEMPORARY STOPPED  ON DECEMBER 5, 2019 DUE TO INSUFFICIENT MANPOWER BECAUSE OF ABSENTEEISM OF MEN RESULTING TO ABANDONMENT OF WORKPLACE. Resumed on december 23, 2019 in the same time Transferred from SHEPHERD W 2 TO FABROA 1. TRANSFERRED ON JANUARY 6, 2020 FROM FABROA 1 TO SHEPHERD W 2. TRANSFERRED ON JANUARY 7,2020 TO AGLOLO. STOPPED ON APRIL 16, 2020 DUE TO PINCHED OUT VEIN. </t>
  </si>
  <si>
    <t>L05_GHV_023W_WINZE STOPE PREP</t>
  </si>
  <si>
    <t>L04_JV_055W_ROBBING</t>
  </si>
  <si>
    <t>L10_JVFW_071E_RAISE</t>
  </si>
  <si>
    <t>ADDITIONAL SOURCE OF GOOD ORE. APPROVED ON JULY 29 2020. stopped on Sept.  8 2020 due to consecutive low assay grades on cut samples / bulk samples.</t>
  </si>
  <si>
    <t>ADDITIONAL SOURCE OF GOOD ORE. APPROVED ON MARCH 6 2020. STOPPED ON APRIL 6 2020 DUE TO CONSECUTIVE LOW ASSAY GRADE ON CUT SAMPLE / BULK SAMPLES.RESUME ON JULY 9, 2020 AT THE SAME TIME TRANSFERRED  TO PMC MINER 1.STOPPED ON JULY 27 2020 TO FINISHED HEADING.</t>
  </si>
  <si>
    <t>REPLACEMENT OF L07_JVHW_070E_STOPE PREP. APPROVED ON AUGUST 7,2020. Temporary stopped  on August 24 2020 due to delos reyes group will be attached to TL duhig at level 10.RESUMED ON SEPT 9 2020 AND CONVRETED TO PULL OUT  IN THE SAME TIME, TRANSFERRED FROM DELOS REYES, ROMEO TO DAVOCOL ROSELIO.</t>
  </si>
  <si>
    <t>DAVOCOL ROSELIO.</t>
  </si>
  <si>
    <t>L07_GHVHW_048E_WINZE</t>
  </si>
  <si>
    <t>FERNANDEZ, REX 3</t>
  </si>
  <si>
    <t xml:space="preserve">REPLACEMENT OF L08_GHVHW_049E_RAISE.APPROVED ON JULY 2, 2020. STOPPED ON 9/9/2020 3RD SHIFT. VEIN TRANSECTED BY TRENDING FAULT </t>
  </si>
  <si>
    <t>REPLACEMENT OF L08_JV_035E_DE. APPROVED ON AUGUST 4 2020.RENAMED ON AUGUST 5 2020 FROM L08_JV_036E_RAISE TO L08_JV_037E_RAISE. Stopped on August 27 2020 due to off vein. RESUMED ON AUGUST 28 2020 FOR EXPLORATION AND ACCESSIBILITY OF FUTURE STOPE.  Stopped on Sept. 5 2020 for reevaluation since the vein advanced was not on the target vein.</t>
  </si>
  <si>
    <t>L09_JVFW_073E_STOPE</t>
  </si>
  <si>
    <t>L05_DPVE_041E_STOPE</t>
  </si>
  <si>
    <t>SPECIAL PROJECT: COUNTER DRIVE DISTANCE TO TARGET MAINLINE. APPROVED ON AUGUST 22 2020. TRANSFERRED TEAM LEADERON AUGUST 27 202 FROM MARTINEZ, RONALD TO BAÑEZ 4. STOPPED ON SEPT. 09 2020 3RD SHIFT. MADE A BREAKTHROUGH.</t>
  </si>
  <si>
    <t>REPLACEMENT OF L09 JVFW 073E RAISE. Approved on July 22, 2020. STOPPED ON SEPT. 8 2020 CONVERTED TO ACTIVE BREAKING STOPE.</t>
  </si>
  <si>
    <t>REPLACEMENT OF L05_DPVE_041E_RAISE. APPROVED ON AUG. 4 2020. STOPPED ON SEPT. 9 2020 CONVERTED TO ACTIVE BREAKING STOPE.</t>
  </si>
  <si>
    <t>REPLACEMENT L07_GHVHW_035E_WINZE STOPE PREP. APPROVED ON AUGUST 20 2020.stopped breaking on August 29 2020 and converted to pull out cleaning. Stopped on Sept. 9 2020 already mined out.</t>
  </si>
  <si>
    <t>REPLACEMENT OF L07_GHV_029W_DW . APPROVED ON SEPT. 4  2020. Stopped on Sept. 9 2020 already made a breakthrough.</t>
  </si>
  <si>
    <t>REPLACEMENT OF L05_CTV_002W_WINZE. APPROVED ON JULY 29 2020. STOPPED ON AUGUST 12 2020 DUE TO PINCHED OUT VEIN @ .10M.  Resumed on August 25 2020. STOPPED ON SEPTEMBER 8,2020 DUE TO NO VEIN TEXTURAL IMPROVEMENT</t>
  </si>
  <si>
    <t>REPLACEMENT OF L05_JVHW_014W_DE. APPROVED ON JUNE 19, 2020. STOPPED ON SEPTEMBER 9,2020 DUE TO BREAKTHROUGH TO AN OLD HEADING</t>
  </si>
  <si>
    <t>L05_JVHW_014W_RAISE</t>
  </si>
  <si>
    <t>L05_GHVSPLIT_026W_ROBBING</t>
  </si>
  <si>
    <t>COMMON AREA. APPROVED ON SEPT. 30 2019. TRANSFERRED FROM DELOS REYES TO CANOY 2 ON OCT. 4, 2019. PERMANENT WORKPLACE ADDITIONAL VERTICAL DEVELOPMENT ON OCT 22, 2019. STOPPED ON JANUARY 9 2020 ALREADY REACHED THE LEVEL 8 ELEVATION. Resumed on Aug 12, 2020 to continue driving 2 cpt raise at the same time transferred from CANOY to BADBADON R. Stopped on August 27, 2020 due to vein pinched out.</t>
  </si>
  <si>
    <t>REPLACEMENT OF L06_JVSPLIT_014E_WINZE. APPROVED ON JULY 13 2020. Temp stopped on Sept 10, 2020 to drive raise w/in ISL.</t>
  </si>
  <si>
    <t>REPLACEMENT OF L09_JVSPLIT_068E_STOPE PREP. APPROVED ON OCT. 3, 2019 convert to stope breaking. TEMPORARY TRANSFERRED TO PMC MINERS AS PART OF THE CONTROLLED OPERATION, APPROVED ON MARCH 15, 2020. Stopped breaking on April 26,2020 already surpassed the stope design at the same time Convert to pull out cleaning. Resumed on June 12 2020 in the same time transferred from BADBADON R.1 TO PANCIT NOEL 2. Stopped breaking and converted to stope cleaning on June 17, 2020. Temp stopped on June 30, 2020. Resumed pull out cleaning on July 10, 2020. Temp stopped on July 15, 2020.Resumed on August 12 2020. Stopped on Sept 9, 2020, with 78% percent pull out, was not able to pull out remaining muck due to unsafe condition, remaining muck are compacted above sill pillar with atleast 8m width.</t>
  </si>
  <si>
    <t xml:space="preserve">REPLACEMENT OF L09_GHV_067E_STOPE PREP. APPROVED ON FEB 27 2020. Temporary stopped on June 1, 2020 due to low performing of manpower. Resumed on july 15, 2020 at the same time transferred from HUMIDING to BADBADON R. Stopped breaking on Aug 5, 2020, convert to pull out. Declared mined out with 74% pull out on Sept 9, 2020. </t>
  </si>
  <si>
    <t>REPLACEMENT OF L06_CTV_012E_WINZE STOPE PREP. APPROVED ON JULY 16 2020.Stopped Already reach the designed pillar convert to pull out cleaning on August 11, 3rd shift. Stopped on August 18 2020 already mined out. Resumed on Aug 26, 2020 to recover remaining muck, for evaluation before releasing of retention. On Sept 1, 2020 BABADON group started  driving fill raise while GUNAY resumed on mine car pull-out. Permanently transferred to BADBADON to drive fill raise on Sept 3, 2020. Stopped on Sept 9 2020 with 74% pull out and already done driving fill raise.</t>
  </si>
  <si>
    <t>L10_NONE_078E_XCN</t>
  </si>
  <si>
    <t>REPLACEMENT OF L07_DPVE_043E_WINZE. APPROVED ON AUGUST 24 2020. STOPPED ON SEPT 9 2020 VEINPINCHED OUT.</t>
  </si>
  <si>
    <t>L08_JVSPLIT_015E_DW</t>
  </si>
  <si>
    <t>REPLACEMENT OF L09 JV 072E DE. Approved on July 11, 2020. Stopped on Sept. 11 2020 converted to active breaking.</t>
  </si>
  <si>
    <t>L08_GHVHW_043E_DW</t>
  </si>
  <si>
    <t>LERIO ARNEL</t>
  </si>
  <si>
    <t>L06_JVSPLIT_017E_RAISE</t>
  </si>
  <si>
    <t>REPLACEMENT OF L06_GHVFW_041W_RAISE. APPROVED ON JULY 29 2020. Stopped on Sept. 10, 2020 due to low grade.</t>
  </si>
  <si>
    <t>ADDITIONAL SOURCE OF GOOD ORE. APPROVED ON AUG. 13, 2020.Stopped on September 11,2020 convert to breaking.</t>
  </si>
  <si>
    <t>L10_GHVHW_058E_STOPE</t>
  </si>
  <si>
    <t>REPLACEMENT OF L06_JVFW_034E_RAISE. APPROVED ON MAY 13 2020. Temporary stopped on May 14,2020. resumed on May 14,2020 at the same time transfer from BAÑEZ 2 TO MANZANO 2. RENAMED ON MAY 21 2020 FROM EDV_007W TO 005W RAISE. Stopped on June 1, 2020 vein pinched out. Resumed on August 18,2020 at the same time transfer from MANZANO 2 TO SHEPHERD AC. Temp stopped on Aug 28, 2020; OTW no available waste pass. Resumed on Sept 1, 2020. Stopped on September 10,2020 due to breakthrough.</t>
  </si>
  <si>
    <t>L08_GHV_036W_STOPE</t>
  </si>
  <si>
    <t>REPLACEMENT OF L08_GHV_036W_RAISE.APPROVED ON  AUG. 21, 2020. Stopped on September 10,2020 convert to breaking.</t>
  </si>
  <si>
    <t>L04_GHVFW_041W_STOPE</t>
  </si>
  <si>
    <t>L06_EDV_004E_RAISE</t>
  </si>
  <si>
    <t>L10_NONE_039E_XCS</t>
  </si>
  <si>
    <t>REPLACEMENT OF L09_JVHW_065E_STOPE PREP. APPROVED ON JUNE 30 2020. stopped Breaking on Sept. 14 2020 converted to Pull-out Cleaning</t>
  </si>
  <si>
    <t>REPLACEMENT OF L09 DPVE2 074E STOPE. Approved on July 17, 2020. Temp stopped on July 31, 2020 to drive first timbered raise. Resumed breaking on Aug 22, 2020. Stopped breaking on Sept. 14 2020 converted to Pull-out Cleaning.</t>
  </si>
  <si>
    <t>REPLACEMENT OF L09 JVHW 049E DE. Approved on Aug 22, 2020. Stopped on Sept. 14 2020 due to vein pinched out.</t>
  </si>
  <si>
    <t>REPLACEMENT OF L09 GHVFW 032W DW. Approved on July 7, 2020. Trasnferred from DELOS REYES to PMC MINERS 1 on July 18, 2020. Temp stopped on Aug 8, 2020 to drive L09 DPVE2 079E RAISE. Resumed on Sept 2, 2020 at the same time transferred from PMC MINERS 1 to CAPPUYO 2. Stopped on Sept. 14 2020 already reached the recommended strike length. crown pillar</t>
  </si>
  <si>
    <t>REPLACEMENT OF L09_DPVE2_072E_DE. APPROVED ON AUGUST 5 2020. Stopped on Sept. 14 2020 due to pinched out vein.</t>
  </si>
  <si>
    <t>L10_JVSPLIT_073E_STOPE</t>
  </si>
  <si>
    <t>REPLACEMENT OF L10_JVSPLIT_062E_RAISE. APPROVED ON AUGUST 10 2020. Stopped on Sept. 12 2020 converted to active breaking</t>
  </si>
  <si>
    <t>L06_GHVHW_045W_RAISE</t>
  </si>
  <si>
    <t>ADDITIONAL VERTICAL DEVELOPMENT DRIVE. APPROVED ON AUGUST 18 2020. Stopped on Sept 12, 2020 vein pinched out.</t>
  </si>
  <si>
    <t>L06_CV_015W_ROBBING</t>
  </si>
  <si>
    <t>L09_JVSPLIT_067E_RAISE</t>
  </si>
  <si>
    <t>L09_DPVE2_076E_RAISE</t>
  </si>
  <si>
    <t>L10_DPVE_033E_DE</t>
  </si>
  <si>
    <t>ADDITIONAL HORIZONTAL DEVELOPMENT DRIVE. APPROVED ON JULY 15, 2020. TRANSFER FROM PMC MINERS 1 TO TAÑEZA 1 ON AUGUST 6,2020. Temporary stopped on September 14, 2020.</t>
  </si>
  <si>
    <t>REPLACEMENT OF L05 JV 018E ROBBING. APPROVED ON JUNE 29, 2020. Stopped on Sept. 15 2020 already mined out.</t>
  </si>
  <si>
    <t>REPLACEMENT OF L05_CTV_039E_WINZE STOPE.APPROVED ON AUGUST 14, 2020. Stopped on Sept. 15 2020 already mined out.</t>
  </si>
  <si>
    <t>REPLACEMENT OF L05_DPVE_038E_RAISE. APPROVED ON  AUG. 6 2020. temporary stopped on August 11 2020 not yet started.Resumed on August 12,2020. Stopped on September 15,2020 off vein, cut by fault</t>
  </si>
  <si>
    <t>REPLACEMENT OF L08 GHV 025E RAISE. APPROVED ON JUNE 15 2020. TEMPORARY STOPPED ON JULY 21 2020 TO PRIORITIZE FILL WINZE. Resumed on Aug 5, 2020 to drive inc raise. Stopped on sept. 14 2020 due to consecutive low assay grade on cut sample / bulk samples.</t>
  </si>
  <si>
    <t>REPLACEMENT OF L09 GHV 035W RAISE. Approved on July 21, 2020. Stopped on Sept 9, 2020 as per LM.</t>
  </si>
  <si>
    <t>REPLACEMENT OF L08_GHV_060E_ROBBING. APPROVED ON JUNE 12 2020. STOPPED ON JULY 17 2020 ALREADY PINCHED OUT VEIN. RESUMED ON AUGUST 28 2020 TO  CONTINUED EXPLORATION. Stopped on sept. 15 2020 due to consecutive low assay grades on cut sample / bulk sample.</t>
  </si>
  <si>
    <t>REPLACEMENT OF L04_JV_056W_DW. APPROVED ON AUGUST 21 2020. stopped on September 15,2020 due to off vein</t>
  </si>
  <si>
    <t>L06_DPVE_035E_RAISE</t>
  </si>
  <si>
    <t>REPLACEMENT OF L05 JV 41E STOPE PREP, APPROVED ON FEB. 12, 2018 AS PER LTS.CONVERTED TO PULL-OUT CLEANING ON MARCH 19, 2018/SDNC. STOPPED ON MARCH 31, 2018 LOW GRADE. Resume on Aug 25,2020 at the same time transfer from BIHAY 2 TO BABOR 1  at the same time rename from L05 JV 041E STOPE TO L05 JV 044E STOPE. Stopped on September 15,2020 due to unsafe condition</t>
  </si>
  <si>
    <t>L05_JV_044E_ROBBING</t>
  </si>
  <si>
    <t>REPLACEMENT OF L07 CTV 010E ROBBING. APPROVED ON AUGUST 21,2020.TRANSFERRED FROM BORERO 2 TO ALENAR 1. (BORERO reassigned to L07 GHV 029W DW) at the same time resumed on Sept 15 2020. Temporary stopped on September 16,2020 to drive winze.</t>
  </si>
  <si>
    <t>L07_DPVE_042E_WINZE</t>
  </si>
  <si>
    <t>L06_JV_009E_STOPE PREP</t>
  </si>
  <si>
    <t>REPLACEMENT OF L06_GHVFW_039W_STOPE PREP. APPROVED ON JULY 21 2020.Stopped due to vein pinched out convert to pull out cleaning August 12,2020 2nd shift. Stopped on Sept. 16 2020 already mned out.</t>
  </si>
  <si>
    <t>L04_JV_056W_ROBBING</t>
  </si>
  <si>
    <t>L09_DPVE2_085E_RAISE</t>
  </si>
  <si>
    <t>REPLACEMENT OF L10_DPVE_062E_DE. APPROVED ON SEPT. 4 2020. stopped on Sept. 16 2020 due to pinched out vein.</t>
  </si>
  <si>
    <t>L09_DPVE2_081E_RAISE</t>
  </si>
  <si>
    <t>L05_DPVE_038E_STOPE PREP</t>
  </si>
  <si>
    <t>L09_NONE_035E_RAISE</t>
  </si>
  <si>
    <t>IN PREPARATION FOR ALIMAK RAISE, APPROVED ON MARCH 11, 2020. TEMPORARY STOPPED ON MARCH 17 2020 DUE TO PRIORITIZE WASTE DRIVE DEVELOPMENT. Resumed on Aug 20, 2020. Stopped on Sept 15, 2020 already done.</t>
  </si>
  <si>
    <t xml:space="preserve">SPECIAL PROJECT: COUNTER DRIVE DISTANCE TO TARGET MAINLINE FOR ROBBING AND VERTICAL DEVELOPMENT. APPROVED ON AUGUST 22 2020. TRANSFERRED TEAM LEADER ON AUGUST 27 2020, FROM BAÑEZ 4 TO MARTINEZ, RONALD. temporary stopped on Sept 6,2020 
</t>
  </si>
  <si>
    <t>REPLACEMENT OF L10_GHVFW_077E_DE. APPROVED ON AUGUST 8 2020. stopped on Sept. 17 2020 due to made a breakthrough.</t>
  </si>
  <si>
    <t>L07_GHV_024W_DE</t>
  </si>
  <si>
    <t>L07_GHV_034W_RAISE</t>
  </si>
  <si>
    <t>ADDITIONAL SOURCE OF GOOD ORE. APPROVED ON JULY 22, 2020 AND STILL ON-GOING CLEANING.  Start robbing  Sill on August 20 2020. Stopped on Sept 18,2020 already mined out.</t>
  </si>
  <si>
    <t>ADDITIONAL VERTICAL DEVELOPMENT. APPROVED ON JULY 15 2020. temporary stopped on July 16 2020 to prioritize Horizontal development drives. Resumed on July 21, 2020.STOPPED ON SEPTEMBER 19,2020.THE NEW HAD PINCHED-OUT DUE TO PARALLEL &amp; SUB-PARALLEL FAULTS.</t>
  </si>
  <si>
    <t>REPLACEMENT OF L08_DPVE_066E_DE. APPROVED ON JUNE 29 2020.STOPPED ON SEPTEMBER 18,2020.DUE TO THE DILUTED WIREFRAME OF THIS RAISE IS ABOVE 6 GPT.</t>
  </si>
  <si>
    <t>REPLACEMENT OF L07_JVHW_070E_STOPE PREP. APPROVED ON AUGUST 7,2020. Temporary stopped  on August 24 2020 due to delos reyes group will be attached to TL duhig at level 10.RESUMED ON SEPT 9 2020 AND CONVERTED TO PULL OUT,  IN THE SAME TIME, TRANSFERRED FROM DELOS REYES, ROMEO TO DAVOCOL ROSELIO. Stopped on Sept. 16 2020 already mined out.</t>
  </si>
  <si>
    <t>DAVOCOL ROSELIO</t>
  </si>
  <si>
    <t>L04_EDV_017W_RAISE</t>
  </si>
  <si>
    <t>L09_GHVFW_037W_RAISE</t>
  </si>
  <si>
    <t>L06_CTV_013E_WINZE</t>
  </si>
  <si>
    <t>REPLACEMENT OF L09_JVFW_064E_STOPE PREP. APPROVED ON APRIL 24 2020. Stopped breaking on August 5 2020 converted to pull-out cleaning. Temp Stopped on Sept 15, 2020 for evaluation; with 76% pull out 440 mine cars remaining.</t>
  </si>
  <si>
    <t>REPLACEMENT ON L09_GHVFW_041E_STOPE PREP. APPROVED ON APRIL 6 2020. Stopped breaking on July 27 due to negative IPR, convert to pull out cleaning. Temp Stopped on Sept 15, 2020 for evaluation; with 80% pull out 442 mine cars remaining.</t>
  </si>
  <si>
    <t>L10_NONE_018E_CHAMBER</t>
  </si>
  <si>
    <t>REPLACEMENT OF L06 GHVFW 029W ROBBING. Approved on July 21, 2020. Stopped on Sept 21, 2020 due to consecutive low assay result.</t>
  </si>
  <si>
    <t>REPLACEMENT OF L07_JVHW_054E_RAISE . APPROVED ON MARCH 1 2020. temporary stopped on march 18 2020 due to no waste pass. Resumed on Sept. 5 2020. Stopped on Sept. 21 2020 converted to active breaking.</t>
  </si>
  <si>
    <t>L07_JVHW_054E_STOPE</t>
  </si>
  <si>
    <t>L06_EDV_018W_RAISE</t>
  </si>
  <si>
    <t>L04_GHV_057W_ROBBING</t>
  </si>
  <si>
    <t>REPLACEMENT OF L06 CV 001E DE. Approved on Jan 11, 2020. TEMPORARY STOPPED ON FEB 22 2020 DUE TO CLEANING MAINLINE FOR ROBBING/ MADE A BREAKTHROUGH. RESUMED ON FEB. 28 2020. Stopped on Sept. 22 2020 already reached the recommended strike length / crown pillar.</t>
  </si>
  <si>
    <t>REPLACEMENT OF L10 NONE 058E XCN. Approved on June 29, 2020. stopped on August 12 2020 converted to so stope preparation with above cut off grade for breaking as per wireframe design.RESUMED ON AUGUST 13,2020 TO DRIVE INCLINED RAISE TO WEST. STOPPED ON SEPT. 22 2020 ALREADY REACHED THE RECOMMENDED STRIKE LENGTH / CROWN PILLAR.</t>
  </si>
  <si>
    <t>L09_GHV_050E_WINZE</t>
  </si>
  <si>
    <t>ALMEDORA</t>
  </si>
  <si>
    <t>REPLACEMENT OF L10_GHV_045E_DE APPROVED ON NOV. 6, 2019. TEMPORARY STOPPED ON APRIL 3 2020 TO DRIVE ON VEIN HORIZONTAL. Resumed on April 24,2020. Stopped on September 22,2020 due to operational problem.</t>
  </si>
  <si>
    <t>L09_DPVE2_034E_STOPE</t>
  </si>
  <si>
    <t>L08_JVHW_065E_RAISE</t>
  </si>
  <si>
    <t>REPLACEMENT OF L09_DPVE_034E_RAISE. APPROVED ON AUG 5. 2020. STOPPED ON SEPT. 23 2020 CONVERTED TO ACTIVE BREAKING.</t>
  </si>
  <si>
    <t>L10_JVFW_076E_WINZE</t>
  </si>
  <si>
    <t>REPLACEMENT OF L09_DPVE_083E_DE. APPROVED ON AUG. 5 2020. Temp stopped on Aug 18, 2020 LACK OF MAN POWER. Resumed on Sept 16, 2020 at the same time transferred from DELOS REYES to QUIJANO. TEMPORARY STOPPED ON SEPT. 23 2020 TO PRIORITIZE THE RAISE PREPARATION OF L09_DPVE2_084E_RAISE.</t>
  </si>
  <si>
    <t>REPLACEMENT OF L09_JV_066E_STOPE. APPROVED ON SEPT 14 2020. STOPPED ON SEPT. 23 2020 DUE TO PINCHED OUT VEIN.</t>
  </si>
  <si>
    <t>L06_EDV_005E_DW</t>
  </si>
  <si>
    <t>L09_JVSPLIT_068E_DE</t>
  </si>
  <si>
    <t>L09_DPVE2_084E_RAISE</t>
  </si>
  <si>
    <t>L05_CTV_030W_DE</t>
  </si>
  <si>
    <t>L04_JVSPLIT_054W_DE</t>
  </si>
  <si>
    <t>L04_GHV_057W_RAISE</t>
  </si>
  <si>
    <t>ADDITIONAL GOOD SOURCE OF GOOD ORE. APPROVED ON SEPTEMBER 07,2020.RENAMED ON SEPT. 22 2020 FROM L04_JV_057W_ROBBING TO L04_GHV_057W_ROBBING. TEMPORARY STOPPED  TO PRIORIZE RAISE ON SEPT. 24 2020.</t>
  </si>
  <si>
    <t>L06_CTV_016W_DE</t>
  </si>
  <si>
    <t>REPLACEMENT OF L08_JVSPLIT_016E_STOPE PREP. APPROVED ON JULY 10 2020. stopped on sept. 24 2020 converted to pull - out cleaning.</t>
  </si>
  <si>
    <t>REPLACEMENT OF L11_NONE_049E_XCS. APPROVED ON MAY 4 2020. stopped on Sept. 15 2020.</t>
  </si>
  <si>
    <t>REPLACEMENT OF L05 CTV 008W RAISE. APPROVED ON NOVEMBER 29,2018. CONVERTED TO BREAKING ON JANUARY 25, 2019.CONVERTED TO PULL-OUT ON 4/9/19-LTS. CONTROL PULL-OUT ATLEAST 12-15 MC/DAY DUE TO LOW CONSECUTIVE ASSAY GRADE. STOPPED ON MAY 6,2019 DUE TO CONSECUTIVE LOW ASSAY GRADE.RESUMED PULL OUT ON AUGUST 14,2020 AT THE SAME TIME TRANSFER FROM SHEPHERD P TO SHEPHERD AF.Temporary stopped on Sept. 8,2020 due to lack of manpower. resumed on Sept 11,2020 at the same time transfer from SHEPHERD AF TO SHEPHERD AD. ON SEPTEMBER 24 2020, Stopped on September 24, 2020 stope to be open must be L05 CV 009E STOPE misdeclaration of Level Geologist of old stope pull out to be resume.</t>
  </si>
  <si>
    <t>L08_DPVE_070E_WINZE STOPE PREP</t>
  </si>
  <si>
    <t>L08_GHV_018W_DE</t>
  </si>
  <si>
    <t>ADDITIONAL VERTICAL DEVELOPMENT.  APPROVED ON SEPT. 12 2020. Stopped on Sept 26, 2020, low grade, no pull out of remaining broken materials.</t>
  </si>
  <si>
    <t>ADDITIONAL HORIZONTAL DEVELOPMENT. APPROVED ON AUGUST 14 2020. Temp stopped on Aug 28, 2020; OTW no available waste pass. Resumed on Sept 11, 2020. Stopped on Sept 22, 2020. low grade.</t>
  </si>
  <si>
    <t>SHEPHERD AD 3</t>
  </si>
  <si>
    <t>L06_GHVSPLIT_033W_WINZE</t>
  </si>
  <si>
    <t>L09_DPVE2_080E_STOPE PREP</t>
  </si>
  <si>
    <t>REPLACEMENT OF L09_DPVE2_082E_DW. Approved on Sept 1  2020. Stopped on Sept 25, 2020 low grade.</t>
  </si>
  <si>
    <t>REPLACEMENT OF L09 JVSPLIT 071E STOPE. Approved on July 21, 2020. Stopped on JULY 27, 2020 due to vein pinched out.</t>
  </si>
  <si>
    <t>REPLACEMENT OF L09_DPVE2_078E_DE. APPROVED ON AUGUST 5 2020. Stopped on AUGUST 27, 2020 due to vein pinched out.</t>
  </si>
  <si>
    <t>REPLACEMENT OF L09_DPVE_020E_DE. Approved on Sept 1  2020. Temporarry stopped on Sept 7, 2020 to drive drift L09_DPVE_018E_DW. Resumed on Sept. 10 2020. Stopped on Sep 28 2020, consecutive low assay grade.</t>
  </si>
  <si>
    <t xml:space="preserve">REPLACEMENT OF L09_GHV_024E_RAISE. APPROVED ON SEPT. 7 2020. PANSIT NORMAN to drive follow up raise only. STOPPED ON Sept 25, 2020 due to low dipping vein. </t>
  </si>
  <si>
    <t>REPLACEMENT OF LL07 JVHW 062E ROBBING. APPROVED ON AUGUST 8 2020. STOPPED ON SEP 28 2020. VEIN PINCHED OUT</t>
  </si>
  <si>
    <t>REPLACEMENT OF L07 JV 049E RAISE. APPROVED ON AUGUST 26 2020. STOPPED ON SEP 28 2020. ALREADY FINISHED</t>
  </si>
  <si>
    <t>REPLACEMENT OF L07 JVHW 063E DW. APPROVED ON JULY 14, 2020. STOPPED ON AUGUST 5 2020 ALREADY MINED OUT. Resumed on August 21 2020 for wastepass purposes in the same time transferred from OY-YOY 2 TO CAYABAS. STOPPED ON AUG 29 2020.ALREADY FINISHED. RESUMED ON  SEPT. 7 2020 CONVERT TO SILL PILLAR. ALREADY FINISHED BREAKING ON SILL PILLAR STOPPED ON SEP 28 2020</t>
  </si>
  <si>
    <t>ADDITIONAL FILL WINZE TO WASTEPASS. APPROVED ON SEPT. 21 2020. Stopped on Sept 28, 2020 as per GEO</t>
  </si>
  <si>
    <t>REPLACEMENT OF L04_JV_053W_RAISE. APPROVED ON MARCH 26 2020. RESUMED ON JULY 11, 2020 FOR CLEANING. START ROBBING ON JULY 14, 2020. STOPPED ON JULY 23, 2020 TO DRIVE WINZE. RESUMED ON SEPT. 2 2020.  Stopped on Sept 26, 2020 already done beraking pillars.</t>
  </si>
  <si>
    <t>Replacement of L06 CTV 002E STOPE PREP. Approved on Aug 25, 2020. Stopped breaking on September 1,2020 convert to pull out cleaning. Temp stopped on Sept 9, 2020 to do stope prep at L06 CTV 003E STOPE PREP, proceed to pull out after stope prep. Resumed on Sept 21. 2020 for stope cleaning. Stopped on Sept 29, 2020 already mined out.</t>
  </si>
  <si>
    <t>L05_DPVE_034E_RAISE</t>
  </si>
  <si>
    <t>PANCIT NOEL 3</t>
  </si>
  <si>
    <t>REPLACEMENT OF L10_GHV_062E_STOPE PREP. APPROVED ON MARCH 17 2020. ON APRIL 29 2020 REMARKS MINOR STABBING OF WALLROCK WAS OBSERVED DUE TO PARALLEL FAULT STRUCTURES. THUS RECOMMENDED TO INSTALL ISLAND PILLARS TO MINIMIZE SECONDARY DILUTION. STOPPED BREAKING ON SEPT 29 2020 CONVERTED TO PULL OUT CLEANING</t>
  </si>
  <si>
    <t>REPLACEMENT OF L04_JV_011E_ROBBING. APPROVED ON JULY 28 2020. Stopped on Sept. 12 2020 due to off vein.resumed on September 14,2020 as per Level Geologist. STOPPED ON SEPT. 29 2020 DUE TO VEIN PINCHED OUT.</t>
  </si>
  <si>
    <t>REPLACEMENT OF L05_CTV_002W_DW.APPROVED ON AUG. 14, 2020. TEMPORARY STOPPED ON AUGUST 25 2020. Resumed on Sept. 8 2020. STOPPED ON SEPT. 29 2020 DUE TO LOW GRADE.</t>
  </si>
  <si>
    <t>REPLACEMENT OF L04_GHV_008W_ROBBING. APPROVED ON AUGUST 28 2020. STOPPED ON SEPT. 29 2020 DUE TO VEIN PINCHED OUT.</t>
  </si>
  <si>
    <t>L09_GHVHW_037E_DW</t>
  </si>
  <si>
    <t>L09_GHVHW_055E_DE</t>
  </si>
  <si>
    <t>REPLACEMENT OF L09 DPVE 022E DE. APPROVED ON AUGUST 18 2020. Stopped on Sept 29, already on vein.</t>
  </si>
  <si>
    <t>REPLACEMENT OF L09_GHVFW_036W_RAISE. APPROVED ON SEPT. 23 2020.  Temp stopped on Sept 29, 2020 to prioritze mainline rehab for stope pull out.</t>
  </si>
  <si>
    <t>L07_JVSPLIT_032E_WINZE STOPE</t>
  </si>
  <si>
    <t>REPLACEMENT OF L07 JVSPLIT 031E WINZE STOPE. APPROVED ON AUGUST 26 2020. converted to breaking on Sep 29 2020</t>
  </si>
  <si>
    <t>L07_JVHW_075E_DW</t>
  </si>
  <si>
    <t>REPLACEMENT OF L08 GHVHW 014E RAISE. Approved on July 21, 2020.STOPPED ON SEPTEMBER 30,2020.DUE TO VEIN PINCHED-OUT AT CURRENT BACK OF THE RAISE.</t>
  </si>
  <si>
    <t>L04_JV_012W_DW</t>
  </si>
  <si>
    <t>L04_EDVSPLIT_021W_DW</t>
  </si>
  <si>
    <t>REPLACEMENT OF L06_CTV_002E_STOPE. APPROVED ON SEPT. 7 2020. Already done Stope preparation on Sept 21, 2020.</t>
  </si>
  <si>
    <t>L06_CTV_003E_STOPE</t>
  </si>
  <si>
    <t>REPLACEMENT OF L06 CTV 012E WINZE STOPE. APPROVED ON AUGUST 28 2020. Stopped on Sept 30, 2020 already done robbing pillars.</t>
  </si>
  <si>
    <t>L04_CTV_019W_ROBBING</t>
  </si>
  <si>
    <t>REPLACEMENT OF L10_JVFW_069E_STOPE PREP. APPROVED ON FEBRUARY 19 2020. Transfer from Shepherd Q1 to Bañez 1 on May 8,2020 due to low performance of former team leader. Stopped breaking  on Sept. 18 2020 at the same tim converted to pull-out cleaning</t>
  </si>
  <si>
    <t>REPLACEMENT OF L10_GHV_039E_WINZE. APPROVED ON SEPT. 3 2020. STOPPED ON SEPT. 30 2020 ALREADY ACHIEVED THE MID POINT</t>
  </si>
  <si>
    <t>L05_DPVE_038E_STOPE</t>
  </si>
  <si>
    <t>REPLACEMENT OF L05_DPVE_036E_RAISE. APPROVED ON SEPT. 16 2020. STOPPED ON OCT. 1 2020 CONVERTED TO ACTIVE BREAKING.</t>
  </si>
  <si>
    <t>L06_JVSPLIT_019E_DW</t>
  </si>
  <si>
    <t>L12_GHV_039E_DW</t>
  </si>
  <si>
    <t>ADDITIONAL HORIZONTAL DEVELOPMENT. APPROVED ON OCT. 1  2020. TEMPORARY STOPPED ON OCT. 2, 2020 DUE TO CREWS NOT FOLLOWING INSTRUCTION.</t>
  </si>
  <si>
    <t>REPLACEMENT OF L09_JV_066E_STOPE PREP. APPROVED ON JANUARY 31 2020. TRANSFERRED FROM SHEPHERD R.1 TO CANOY 3 ON JUNE 11 2020 DUE TO NO MANPOWER. TRANSFER FROM CANOY RO BALDO ON JULY 10 2020 DUE TO ABSENTEEISM. Stopped breaking on July 31 2020 and converted to pull out cleaning. Declared mined out on Oct 2, 2020.</t>
  </si>
  <si>
    <t>L09_JVFW_049E_WINZE</t>
  </si>
  <si>
    <t>REPLACEMENT OF L10_DPVE_068E_RAISE. APPROVED ON SEPT. 14 2020. Stopped on Oct 2 .2020.</t>
  </si>
  <si>
    <t>Approved on Aug 8, 2020. REPLACEMENT OF L09 DPVE2 077E DW.  Transferred from PMC MINERS to DELOS REYES 3 on Aug 18, 2020. Stopped on Sept 25, 2020 converted to stope prep.</t>
  </si>
  <si>
    <t>L10_GHVHW_036E_DE</t>
  </si>
  <si>
    <t>L05_NONE_009W_CHAMBER</t>
  </si>
  <si>
    <t>REPLACEMENT OF L06_DPVE_022E_STOPE PREP. APPROVED ON JUNE 17 2020. Temp stopped on Aug 4, 2020 TO DRIVE RAISE. Not to continue stoping due to low grade, for retention.</t>
  </si>
  <si>
    <t>L09_GHVHW_051E_RAISE</t>
  </si>
  <si>
    <t>REPLACEMENT OF L09 DPVE2 037E STOPE. Approved on July 21, 2020. Stopped on Aug 5, 2020 already breakthrough. Resumed on Aug 17. Already done driving fill winze Sept 30, 2020.</t>
  </si>
  <si>
    <t>REPLACEMENT OF L09 DPVE2 074E STOPE PREP. Approved on July 17, 2020. Temp stopped on July 31, 2020 to drive first timbered raise. Resumed breaking on Aug 22, 2020. Stopped breaking on Sept. 14 2020 converted to Pull-out Cleaning. Stopped on Oct 5, 2020 already mined out w/ 90% pull out cleaning.</t>
  </si>
  <si>
    <t>REPLACEMENT OF L06 CV 016W DE. Approved on Sept 1, 2020. RENAMED ON SEPT. 24 2020 FROM L06_CV_016W_DE TO L06_CTV_016W_DE. Stopped on Oct 5, 2020 due to consecutive low assay result.</t>
  </si>
  <si>
    <t>ADDITIONAL SOURCE OF GOOD ORE. APPROVED ON SEPT. 14 2020. Stopped on Oct 5, 2020 due to consecutive low assay result.</t>
  </si>
  <si>
    <t>L06_CV_010W_RAISE</t>
  </si>
  <si>
    <t>REPLACEMENT OF L07 JVSPLIT 037E RAISE. APPROVED ON AUGUST 26 2020. STOPPED ON OCT 3 2020 ALREADY MINED OUT. -BASED ON OPERATION MEMO</t>
  </si>
  <si>
    <t>REPLACEMENT OF L07_JVSPLIT_037E_RAISE.APPROVED.AUGUST 21,2020. STOPPED ON SEP 28 2020. BREAKTHROUGH TO OLD STOPE. Resumed on Sept. 29 2020. STOPPED ON OCT 2 2020 ALREADY MADE A BREAKTHROUGH.</t>
  </si>
  <si>
    <t>REPLACEMENT OF L05 JVHW 014W DW. APPROVED ON SEPTEMBER 12,2020. STOPPED ON OCT 3 2020 ALREADY MADE A BREAKTHROUGH.</t>
  </si>
  <si>
    <t>REPLACEMENT OF L07_JV_063E_ROBBING. APPROVED ON AUGUST 26 2020. STOPPED ON OCT. 2 2020 ALREADY MINED OUT.</t>
  </si>
  <si>
    <t>ESPADA  2</t>
  </si>
  <si>
    <t>L07_GHVFW_020W_STOPE PREP.APPROVED ON SEPT 25, 2019. Temporary stopped on Oct 30, 2019. stopped on November 20, 2019 due to low grade.RESUMED ON OCT 6 2020 AND CONVERTED TO PULL OUT. AT THE SAME TIME TRANSFERRED FROM BORERO TO ESPADA</t>
  </si>
  <si>
    <t xml:space="preserve">REPLACEMENT OF L07_JVHW_068E_WINZE. APPROVED ON AUGUST 17 2020. TRANSFERRED FROM SHEPHERD W.3 TO OY-YOY ON AUGUST 21 2020. TEMPORARY STOPPED ON SEPTEMBER 1 2020 FOR EVALUATION. </t>
  </si>
  <si>
    <t>REPLACEMENT OF L07 JVS 003W RAISE. APPROVED ON AUGUST 25, 2020.STOPPED ON OCT 3 2020, PINCHED OUT VEIN</t>
  </si>
  <si>
    <t>ESPADA  1</t>
  </si>
  <si>
    <t>COMMON AREA. APPROVED ON SEPT. 30 2019. PERMANENT WORKING PLACE STARTED ON JANUARY 23 2020. TEMPORARY STOPPED ON MAR 20 2020 TO do Switch. Temporary transferred from DELOS REYES V to QUIJANO 1 on April 16, 2020. Temporary stopped on April 20,2020 surrendered Team Leader. RESUMED ON MAY 28 2020 IN THE SAME TIME TRANSFERRED FROM QUIJANO 2 TO BALANGHIG 1. Temporary stopped on May 30, 2020 due to ongoing stope prep. RESUMED ON JUNE 8 2020. STOPPED ON JULY 17, 2020 ALREADY HIT THE TARGET L09 DPVE 072E DE. Resumed on Aug 18, 2020 at the same time transferred from BALANGHIG to DELOS REYES. TEMPORARY STOPPED ON OCT. 6 2020 DUE TO GIVE WAY FOR PROPOSED DRILLING CHAMBER.</t>
  </si>
  <si>
    <t>REPLACEMENT OF L06_GHV_040W_STOPE PREP. APPROVED ON JULY 1 2020. Stopped breaking and converted to stope cleaning, July 27, 2020 with control pull out 9mc/day. Temp stopped on Sept 18, 2020 due to unservicable area; flooding on internal shaft. Resumed on Sept 25, 2020. Stopped on Oct 6, 2020 as per LM already mined out.</t>
  </si>
  <si>
    <t>REPLACEMENT OF L06_JVSPLIT_015E_DE. APPROVED ON SEPT. 11 2020. Stopped on Oct 6, 2020 to be converted to stope prep.</t>
  </si>
  <si>
    <t>L09_DPVE2_081E_STOPE PREP</t>
  </si>
  <si>
    <t>REPLACEMENT OF L09_DPVE2_077E_DW. APPROVED ON SEPT. 15 2020. Stopped on Oct 6, 2020 converted to stope prep.</t>
  </si>
  <si>
    <t>REPLACEMENT OF L09_DPVE2_084E_DW. APPROVED ON SEPT. 23 2020.TEMPORARY STOPPED ON SEPT 26 2020 DUE TO LACK OF MAN POWER. Resumed on Oct 2, 2020. Stopped on Oct 6, 2020 due to low grade.</t>
  </si>
  <si>
    <t>L09_DPVE2_077E_DE</t>
  </si>
  <si>
    <t>L09_NONE_011E_XCS</t>
  </si>
  <si>
    <t>L06_GHVFW_028W_ROBBING</t>
  </si>
  <si>
    <t>L05_JV_028E_WINZE</t>
  </si>
  <si>
    <t>L05_CTV_005E_WINZE</t>
  </si>
  <si>
    <t>ADDITIONAL VERTICAL DEVELOPMENT APPROVED ON FEBRUARY 11, 2020. TEMPORARY STOPPED ON JUNE 11 2020 DUE TO INSUFFICIENT MAN POWER.RESUMED ON JUNE 18, 2020. temp. STOPPED ON OCT. 6 2020 DUE TO RECOMMENDED FOR ACTIVE STOPE BREAKING &amp; CHANGE TO INTERMEDIATE SUBLEVEL.</t>
  </si>
  <si>
    <t>L06_NONE_013E_CHAMBER</t>
  </si>
  <si>
    <t xml:space="preserve">ADDITIONAL VERTICAL DEVELOPMENT. APPROVED ON JULY 22, 2020. Stopped on Oct 6, 2020 to resume winze stope breaking. </t>
  </si>
  <si>
    <t>L06_JVSPLIT_017E_WINZE STOPE PREP</t>
  </si>
  <si>
    <t>REPLACEMENT OF L05_CTV_013E_DW. APPROVED ON AUG 3. 2020. Stopped on Oct. 8 2020 to Convert Stope prep.</t>
  </si>
  <si>
    <t>L05_CTV_013E_WINZE STOPE PREP</t>
  </si>
  <si>
    <t>REPLACEMENT OF L05_CTV_043W_ROBBING. APPROVED ON SEPT. 11 2020. STOPPED ON OCT. 6 2020 ALREADY VEIN PINCHED OUT.</t>
  </si>
  <si>
    <t>REPLACEMENT OF L05_JV_044E_STOPE. APPROVED ON SEPT. 16 2020. STOPPED ON OCT. 2 2020 ALREADY FINISHED</t>
  </si>
  <si>
    <t>L10 CONTROLLER ROOM AT 12E SHAFT. APPROVED ON SEPT 21 2020. STOPPED ON OCT. 8 2020 FINISHED HEADING.</t>
  </si>
  <si>
    <t>REPLACEMENT OF L09_JVFW_056E_STOPE PREP. APPROVED ON FEB. 27 2020. Temporary stopped on July 11, 2020 to continue driving raise to breakthrough to level 8. Resumed breaking on Aug 5, 2020. Stopped breaking on August 22 2020 converted to pull-out cleaning.stopped on oct. 8 2020. already mined out. ercent pull out from eng. record is 91%.</t>
  </si>
  <si>
    <t>L06_CV_007W_ROBBING</t>
  </si>
  <si>
    <t>REPLACEMENT OF L06_DPVE_058E_RAISE. APPROVED ON JULY 28 2020. Temporarry stopped on Aug 14, 2020 to drive raise. Resumed on Aug 25, 2020. Temp stopped on Sept 15, 2020 to drive raise. Resumed on Sept 22, 2020. temporary stopped On Oct. 9 2020.</t>
  </si>
  <si>
    <t>L06_DPVE_037E_DW</t>
  </si>
  <si>
    <t>L07_JVHW_068E_WINZE STOPE PREP</t>
  </si>
  <si>
    <t>REPLACEMENT OF L07_JVHW_068E_DW. APPROVED ON SEPT. 1  2020.TEMPORARY STOPPED ON SEPT 18 2020 To Repair Headroom.Resumed on September 21,2020. STOPPED ON OCT 9 2020.VEIN PINCHED OUT</t>
  </si>
  <si>
    <t>L07_JVSPLIT_027E_WINZE STOPE PREP</t>
  </si>
  <si>
    <t>REPLACEMENT OF L07 JV 032E RAISE. APPROVED ON AUGUST 28 2020. STOPPED ON OCT 9 2020.VEIN PINCHED Out</t>
  </si>
  <si>
    <t>L08_JVHW_071E_DW</t>
  </si>
  <si>
    <t>REPLACEMENT OF L06 DPVE 038E DW. APPROVED ON SEPT. 16 2020. Stopped on Oct 9, 2020 due to low grade.</t>
  </si>
  <si>
    <t>REPLACEMENT OF L06_CTV_012E_WINZE STOPE. APPROVED ON SEPT. 25 2020. Renamed on October 9 2020, from L06_CV_006W_ROBBING TO L06_CV_007W_ROBBING TO AVOID MISCHARGING. Stopped on Oct 9, 2020 due to low grade.</t>
  </si>
  <si>
    <t>L08_JVSPLIT_013E_RAISE</t>
  </si>
  <si>
    <t>L10_NONE_048E_CHAMBER</t>
  </si>
  <si>
    <t>REPLACEMENT OF L07_JVSPLIT_001W_STOPE PREP. APPROVED ON AUGUST 10 2020. Stopped Breaking on Oct. 9 2020 converted to pull-out cleaning.</t>
  </si>
  <si>
    <t>REPLACEMENT OF L08_DPVE_039E_RAISE. APPROVED ON SEPT. 14 2020. Stopped on Oct. 9 2020 already breakthrough at old stope.</t>
  </si>
  <si>
    <t>REPLACEMENT OF L10_DPVE_061E_RAISE. APPROVED ON JULY 21 2020. temporary stopped on September 7,2020 to open raise.RESUMED ON SEPT 18 2020 AT THE SAME TIME TRANSFERRED FROM SHEPHERD Y3 TO BANEZ. Stopped on Oct. 8 2020 already breakthrough 5 meters remaining.</t>
  </si>
  <si>
    <t>L05_GHV_035W_WINZE</t>
  </si>
  <si>
    <t>NEW CHAMBER FOR CONTROL PANELS OF 009W SUMP. APPROVED ON OCT 5, 2020. STOPPED ON OCT 10 2020.ALREADY FINISHED AS PER JMON</t>
  </si>
  <si>
    <t>L05_DPVE_045E_RAISE</t>
  </si>
  <si>
    <t>L05_JVFW_014W_WINZE STOPE PREP</t>
  </si>
  <si>
    <t>L07_JVSPLIT_002W_RAISE</t>
  </si>
  <si>
    <t>REPLACEMENT OF L08_GHV_046E_WINZE. APPROVED ON SEPT. 7 2020. STOPPED ON OCT. 12 2020 TO BE REPLACED WITH L08_JVSPLIT_015E_RAISE.</t>
  </si>
  <si>
    <t>L04_GHVFW_018E_WINZE STOPE PREP</t>
  </si>
  <si>
    <t>REPLACEMENT OF L05_DPVE_038E_STOPE PREP. APPROVED ON OCT. 10 2020.</t>
  </si>
  <si>
    <t>L07_JVFW_038E_STOPE PREP</t>
  </si>
  <si>
    <t>L07_GHVFW_029W_RAISE</t>
  </si>
  <si>
    <t>L11_JVFW_052E_RAISE</t>
  </si>
  <si>
    <t>CROSSCUT TO HIT VEIN INTERCEPT.APPROVED ON SEPTEMBER 2, 2019. TEMP. STOPPED ON SEPT 29, 2019 TO DRIVE ON VEIN. resumed on September 15,2020 at the same time transfer from MAPAYO 3 TO COMAINGKING. TEMPORARY STOPPED ON OCT. 12 2020.</t>
  </si>
  <si>
    <t>REPLACEMENT OF L05 CV 009E RAISE. APPROVED ON JANUARY 11, 2019. MZC. CONVERTED TO BREAKING JANUARY 17, 2019.STOP BREAKING/CONVERTED TO PULL-OUT ON 4/8/19-SDNC. STOPPED ON APRIL 15,2019 DUE TO LOW GRADE AS PER LEVEL GEOLOGIST. Resumed on September 25,2020 to pull out remaining old muck at the same time transfer from CAYABAS 1 TO SHEPHERD AD. STOPPED ON OCT. 10 2020 ALREADY MINED OUT.</t>
  </si>
  <si>
    <t>L07_GHVFW_020W_STOPE PREP.APPROVED ON SEPT 25, 2019. Temporary stopped on Oct 30, 2019. stopped on November 20, 2019 due to low grade.RESUMED ON OCT 6 2020 AND CONVERTED TO PULL OUT. AT THE SAME TIME TRANSFERRED FROM BORERO TO ESPADA. TEMPORARY STOPPED ON OCT. 11 2020 DUE TO UNSERVICEABLE AREA.</t>
  </si>
  <si>
    <t>REPLACEMENT OF L04_NONE_025W_XCN. APPROVED ON SEPT. 8 2020. stopped on OCT 12 2020 ALREADY REACHED THE RECOMMENDED STRIKE LENGTH / CROWN PILLAR</t>
  </si>
  <si>
    <t>L07_JVFW_038E_STOPE</t>
  </si>
  <si>
    <t>REPLACEMENT OF L07_JVSPLIT_038E_RAISE. APPROVED ON OCT. 5 2020.FINISHED PREP ON OCT 10 2020</t>
  </si>
  <si>
    <t>L07_GHV_031W_DW</t>
  </si>
  <si>
    <t>L09_JVSPLIT_007E_DW</t>
  </si>
  <si>
    <t>REPLACEMENT OF L09_GHVFW_026E_DW. APPROVED ON SEPT. 7 2020.STOPPED ON OCT 8 2020</t>
  </si>
  <si>
    <t>MARTINEZ RONALD</t>
  </si>
  <si>
    <t>L10_GHVHW_055E_RAISE</t>
  </si>
  <si>
    <t>ADDITIONAL VERTICAL DEVELOPMENT DRIVE. APPROVED ON AUGUST 17 2020.stopped on Oct 13 2020.low grade</t>
  </si>
  <si>
    <t>REPLACEMENT OF L10_DPVE_074E_DE. APPROVED ON SEPT. 3 2020. STOPPED ON OCT 14 2020 ALREADY HIT THE VEIN</t>
  </si>
  <si>
    <t>L04_NONE_022E_XCN</t>
  </si>
  <si>
    <t>ADDITIONAL HORIZONTAL DEVELOPMENT. APPROVED ON APRIL 7 2020. TEMP. STOPPED ON APRIL 9 DUE TO PANDEMIC. Resumed on August 12 2020 In the same time transferred from Shepherd AF.3 to Bañez 4. stopped on Oct 14 2020 consecutive low assay grade</t>
  </si>
  <si>
    <t>REPLACEMENT OF L06 CTV 016E DE. APPROVED ON MAY 21, 2019. STOPPED ON JUNE 9,2019 ALREADY FINISHED DRIVING THE 6 METERS OFF VEIN SWITCH. RESUMED ON OCT 10 TO BREAKTHROUGH TO ANOTHER MAINLINESTOPPED ON OCT 13 2020. TRANSFERRED FROM BANEZ TO QUIJANO</t>
  </si>
  <si>
    <t>L04_JV_058W_DW</t>
  </si>
  <si>
    <t>L09_GHVFW_024E_DW</t>
  </si>
  <si>
    <t>L07_GHV_020W_ROBBING</t>
  </si>
  <si>
    <t>L07_JVSPLIT_058E_ROBBING</t>
  </si>
  <si>
    <t>REPLACEMENT OF L07_JVHW_071E_DW. APPROVED ON AUGUST 14 2020. TEMPORARY STOPPED ON AUGUST 20 2020 DUE TO NO WASTEPASS. RESUMED ON AUG 29 2020.TEMPORARY STOPPED ON SEP 7 2020 DUE TO NO WASTEPASS. Renamed from L07 JVHW 059E DW to NONE 59E XCN on Oct 3 2020. STOPPED ON OCT 14 2020 CONVERTED TO ON VEIN</t>
  </si>
  <si>
    <t>ADDITIONAL HORIZONTAL DEVELOPMENT. APPROVED ON SEPT. 24 2020. STOPPED ON OCT 15 2020 PER GEO</t>
  </si>
  <si>
    <t>REPLACEMENT OF L07_JV_049E_STOPE PRE. APPROVED ON DECEMBER 16, 2019. Converted to pull-out Cleaning on January 13, 2020. STOPPED ON JANUARY 17 2020 DUE TO LOW GRADE THE VEIN HAD PINCHED OUT DUE TO PARALLEL &amp; SUB PARALLEL FAULTS. PRODUCED CONSECUTIVE LOW QA/QC RESULT ON BOTH CUT &amp; BULK SAMPLES MINE PRODUCTION AND MINE GEOLOGY AGREED. RESUME ON OCT 12 2020 TO CONTINUE PULL-OUT TRANSFERED FROM FABROA TO SHEPHERD P. STOPPED ON OCT 14 2020</t>
  </si>
  <si>
    <t>ADDITIONAL HORIZONTAL DEVELOPMENT. SEPT. 30 2020. INTERMEDIATE SUB LEVEL. STOPPED ON OCT 15 2020 TO PROCEED CROSS CUT</t>
  </si>
  <si>
    <t>ADDITIONAL APPROVED ON JULY 13, 2018/BBB. Temporary stopped on July 16,2018. TEMPORARY STOPPED DUE TO PROHIZE 48E CHAMBER ON AUGUST 2, 2018.RESUMED ON AUGUST 31, 2018. Stopped on September 17,2018 to do siltation pond. Resumed on May 25,2020 at the same time transfer from HANGDAAN 2 TO TAÑEZA 5. TEMPORARY STOPPED ON JULY 22 2020 DUE TO FOLLOW UP RAISE. RESUMED ON JULY 27 2020.temporary stopped on August 19,2020. RESUMED ON SEPTEMBER 1 2020. STOPPED ON OCT 16 2020 CONSECUTIVE PINCHED OUT VEIN.</t>
  </si>
  <si>
    <t>L10_NONE_041E_XCN</t>
  </si>
  <si>
    <t>L07_JVFW_043W_DW</t>
  </si>
  <si>
    <t>REPLACEMENT OF L09_JVSPLIT_067E_RAISE. APPROVED ON SEPT. 23 2020. Temp stopped on Sept 24, 2020, there will be an exploration drilling to be done along mainline. Resumed on Oct 1, 2020. STOPPED ON OCT 15 2020.VEIN PINCHED OUT</t>
  </si>
  <si>
    <t>L09_DPVE2_018E_RAISE</t>
  </si>
  <si>
    <t>L08_JVSPLIT_017E_DW</t>
  </si>
  <si>
    <t>REPLACEMENT OF L09_DPVE_019E_RAISE. APPROVED ON SEPT. 7 2020. STOPPED ON OCT 15 2020 ALREADY MADE A BREAKTHROUGH.</t>
  </si>
  <si>
    <t>ADDITIONAL VERTICAL DEVELOPMENT. APPROVED ON SEPT. 16 2020. stopped on Oct 16 2020 due t pinched out vein.</t>
  </si>
  <si>
    <t>REPLACEMENT OF L09_GHV_057E_STOPE PREP. APPROVED ON MARCH 1 2020. temp. stopped on March 2 2020, on going preparation for breaking. Resumed on March  26,2020. Temporary transferred from SHEPHERD S2 to SHEPHERD Z 1 on April 16, 2020. stopped on Oct 15 2020 convert to pull out cleaning.</t>
  </si>
  <si>
    <t>REPLACEMENT OF L09_JV_070_STOPE PREP. APPROVED ON JULY 17 2020. Temp stopped ON JULY 17 2020, did not start breaking yet, still doing stope prep. Resumed on Sept. 11 2020 doing active breaking. Stopped breaking on oct 15 2020 converted to pull out cleaning.</t>
  </si>
  <si>
    <t>ADDIITIONAL FILL WINZE FOR WASTEPASS. APPROVED ON SEPT. 3 2020. STOPPED ON OCT. 17 2020 ALREADY BREAKTHROUGH</t>
  </si>
  <si>
    <t xml:space="preserve">REPLACEMENT OF L06_JVFW_041E_WINZE. Approved on March 20, 2020. Temporary transfer from MANZANO 1 TO SHEPHERD W ON MAY 4,2020. Stopped on June 5, 2020; low grade. Resumed on July 22, 2020 to do inclined raise at the same time transferred from SHEPHERD W to COMAINGKING 2 . Stopped on July 26 2020 BREAKTHROUGH TO AN INCLINED RAISE. Resumed again on July 31, 2020 at the same time transferred from COMAINGKING to DOLARIZA 1.stopped on August 12,2020 due to breakthrough to old stope. Resumed on September 3 2020. Stopped on Sept 22 2020 due to already reached the exclusion zone of e15 shaft. </t>
  </si>
  <si>
    <t>L10_GHV_078E_DE</t>
  </si>
  <si>
    <t>L06_GHVFW_022W_ROBBING</t>
  </si>
  <si>
    <t>L04_EDV_024W_RAISE</t>
  </si>
  <si>
    <t>L10_DPVE_029E_RAISE</t>
  </si>
  <si>
    <t>TARGETING GHVSPLIT VEIN. APPROVED ON SEPT. 11 2020. STOPPED.ALREADY HIT THE VEIN ON OCT 19 2020.</t>
  </si>
  <si>
    <t>L09_JVSPLIT_008E_DW</t>
  </si>
  <si>
    <t>L09_JVSPLIT_006E_RAISE</t>
  </si>
  <si>
    <t>L09_JVFW_074E_WINZE</t>
  </si>
  <si>
    <t>REPLACEMENT OF L05_CV_030W_WINZE. APPROVED ON MARCH 10 2020. TRANSFERRED FROM ESPADA  1 TO NOCOS 1 ON MAY 26 2020. TEMPORARY STOPPED ON JUNE 12 2020. RESUMED ON JUNE 18 2020. TEMPORARY STOPPED ON JUNE 22 2020 REHAB HEAD ROOM AND AIR HOIST AREA. Resume on June 29 2020. TEMPORARY STOPPED ON JULY 4 2020 DUE TO DEFCTED AIRHOIST.resumed on August 6,2020 at the same time transfer from NOCOS 1 TO SHEPHERD AF 3. RENAMED ON SEPT. 23 2020 FROM L05_CV_030W_DE TO L05_CTV_030W_DE. stopped on OCt 21 2020. approaching to 30e VENT RAISE EXCLUSION ZONE</t>
  </si>
  <si>
    <t>REPLACEMENT OF L06_CTV_001E_WINZE. APPROVED ON SEPT. 12 2020. stopped on OCT. 10 2020 ALREADY MADE A BREAK THROUGH</t>
  </si>
  <si>
    <t>REPLACEMENT OF L07 GHV 034W DE. APPROVED ON SEPT 18 2020. TEMP STOPPED ON OCT 12 2020 DUE TO UNSERVICEABLE AREA. STOPPED ON OCT. 15 2020 ALREADY MADE A BREAKTHROUGH</t>
  </si>
  <si>
    <t>L04_GHV_029W_RAISE</t>
  </si>
  <si>
    <t>L06_CTV_030E_ROBBING</t>
  </si>
  <si>
    <t>REPLACEMENT OF L10_JVFW_063E_STOPE PREP. APPROVED ON APRIL 24 2020. Newly assigned (SHEPHERD AE) team leader; from sub-team leader of DUHIG July 3, 2020. STOPPED BREAKING ON OCT. 21 2020 CONVERTED TO PULL-OUT CLEANING.</t>
  </si>
  <si>
    <t xml:space="preserve">REPLACEMENT OF L10_JVFW_061E_RAISE. APPROVED ON SEPT. 28 2020. STOPPED ON OCT 21 2020.EXPECTED TO BREAKTHROUGH TO OPPOSITE STOPE </t>
  </si>
  <si>
    <t>REPLACEMENT OF L08_GHV_017W_ROBBING. APPROVED ON SEPT. 4 2020. STOPPED ON OCT 21 2020.</t>
  </si>
  <si>
    <t>L08_GHV_004E_RAISE</t>
  </si>
  <si>
    <t>L06_EDV_002E_RAISE</t>
  </si>
  <si>
    <t>L05_CTV_032W_DW</t>
  </si>
  <si>
    <t>L07_JVHW_075E_DE</t>
  </si>
  <si>
    <t>REPLACEMENT OF L04 GHVFW 015E STOPE PREP. APPROVED ON APRIL 9, 2019-LOC.FROM GHVFW 017E RAISE 6TH FLR +10 METERS RECOMMENDED FOR IPR. STOPPED ON MAY 3,2019 DUE TO LOW GRADE NOT TO COMMENCE TO PULL-OUT/  RESUMED PULL OUT ON OCT. 20 2020 IN THE SAME TRANSFERRED FROM CABONITA TO MANZANO.</t>
  </si>
  <si>
    <t>L05_CTV_027W_RAISE</t>
  </si>
  <si>
    <t>SHEPHERD AD2</t>
  </si>
  <si>
    <t>L10_DPVE_034E_RAISE</t>
  </si>
  <si>
    <t>L07_JVHW_058E_DW</t>
  </si>
  <si>
    <t>REPLACMENT OF L05 GHV 033W ROBBING. APPROVED ON AUGUST 20,2020. STOPPEDON OCT 5 2020 ALREADY MADE A BREAK THROUGH. resumed on Oct 8 2020 to do inclined raise at East side. STOPPED ON OCT. 23 2020 ALREADY BREAKTHROUGH</t>
  </si>
  <si>
    <t>REPLACEMENT OF L06 JV 009E RAISE. APPROVED ON SEPT 15, 2020. STOPPED ON OCT 21 2020 RECOMMEDED FOR BREAKING.</t>
  </si>
  <si>
    <t>L06_JV_009E_STOPE</t>
  </si>
  <si>
    <t>REPLACEMENT OF JVHW 075E WINZE. APPROVED ON SEP 28 2020. STOPPED ON OCT 23 2020</t>
  </si>
  <si>
    <t>REPLACEMENT OF L07_JVSPLIT_001W_STOPE. APPROVED ON OCT. 12 2020. STOPPED ON OCT. 23 2020 DUE TO  CONSECUTIVE LOW ASSAY GRADE ON CUT SAMPLE / BULK SAMPLES.</t>
  </si>
  <si>
    <t>L09_DPVE2_080E_STOPE</t>
  </si>
  <si>
    <t>REPLACEMENT OF L09_GHVFW_041E_STOPE. APPROVED ON SEPT. 28 2020. FINISHED AND CONVERTED TO BREAKING ON OCT 24 2020</t>
  </si>
  <si>
    <t>L06_DPVE_015E_DW</t>
  </si>
  <si>
    <t>REPLACEMENT OF L07_JV_051E_DW.APPROVED ON AUGUST 21, 2020. temporary stopped on Sept 1 2020 to prioritized L07 JV 051E DW.RESUMED ON OCT 15 2020.RENAMED FROM 59E ROBBING TO 58E ROBBING trasfer from Fabroa to Shepherd P. TEMP .STOPPED ON OCT 24  2020  LACK OF MANPOWER.</t>
  </si>
  <si>
    <t>Replacement of L06 CTV 003E DW. Approved on Aug 28, 2020. Stopped on Oct 29 already reached the recommended strike length of the inclined.</t>
  </si>
  <si>
    <t>REPLACEMENT L06 JVSPLIT 011E RAISE. Approved on April 4, 2020. Temp. stopped on April 6, 2020 to continue L06 JVSPLIT 011E RAISE. Stop on Oct 29</t>
  </si>
  <si>
    <t>REPLACEMENT OF L06_GHVFW_041W_STOPE PREP. APPROVED ON JUNE 16 2020. Temporary stopped on July 9, 2020 to drive inc raise. STOPPED ON OCT 31 2020 WITH 95% PULL-OUT.</t>
  </si>
  <si>
    <t>REPLACEMENT OF L06 EDV 008W DW. APPROVED ON APRIL 11,2020 Temporary transfer from BAÑEZ 10 TO BABOR ON MAY 4,2020.TRANSFER FROM BABOR TO COMAINGKING ON MAY 6 2020. Temporary stopped on May 12,2020 to do inclined raise. Resumed on May 14,2020. Transfer from COMAINGKING TO BAÑEZ 1 ON MAY 19,2020 AS PER OLACO. TEMPORARY STOPPED ON JUNE 16 2020 DUE TO GIVE WAY FOR 40W STOPE PREP BY THE SAME TEAM LEADER. STOPPED PERMANENTLY ON OCT 31 2020.</t>
  </si>
  <si>
    <t>REPLACEMENT OF L06_JVFW_016E_WINZE. APPROVED ON FEB.  26 2020. TEMP. STOPPED ON MARCH 2 2020 CONVERTED TO INTERMEDIATE SUB. LEVEL. STOPPED ON OCT 31 2020.</t>
  </si>
  <si>
    <t>ADDITIONAL SOURCE OF GOOD ORE. APPROVED ON MARCH 5,2020. TEMPORARY STOPPED ON MARCH 31 2020 FOR ONGOING STOPE PREPARATION. STOPPED ON OCT 31 2020</t>
  </si>
  <si>
    <t>REPLACEMENT OF L06_GHVHW_025W_RAISE. APPROVED ON JUNE 8 2020. Temporary stopped on June 27, 2020 , for further evaluation.. STOPPED ON OCT 31 2020</t>
  </si>
  <si>
    <t>ADDITIONAL GOOD ORE. APPROVED ON FEB 28 2020. TEMPORARY STOPPED ON MARCH 25 2020 DUE TO TRANSFER TO PRIORITY WORKPLACE. ALREADY FINISHED</t>
  </si>
  <si>
    <t>ADDITIONAL HORIZONTAL DEVELOPMENT. APPROVED ON SEPT. 9 2020. TEMPORARY STOPPED ON SEP 28 2020. AVAILABILITY OF WASTEPASS. Resumed on oct. 7 2020. Temporary stopped on oct. 9 2020./STOPPED PERMANENTLY ON OCT 31 2020</t>
  </si>
  <si>
    <t>FOR CONTROL ROOM. APPROVED ON OCT 6 2020. STOPPED ON NOV 1, ALREADY FINISHED.</t>
  </si>
  <si>
    <t>REPLACEMENT OF L08_GHV_027W_STOPE PREP. APPROVED ON MAY 29 2020. STOPPED BREAKING ON OCT. 21 2020 CONVERTED TO PULL-OUT CLEANING.</t>
  </si>
  <si>
    <t>L06_CTV_001E_STOPE PREP</t>
  </si>
  <si>
    <t>L07_GHV_034W_STOPE PREP</t>
  </si>
  <si>
    <t>REPLACEMENT OF L04_JVFW_023E_RAISE. AUGUST 10, 2020. STOPPED ON NOV. 4 2020</t>
  </si>
  <si>
    <t>L04_RYV_003E_DE</t>
  </si>
  <si>
    <t>REPLACEMENT OF L09_DPVE2_019E_RAISE APPROVED ON OCT. 02, 2020. STOPPED ON OCT 19 2020. VEIN PINCHED OUT</t>
  </si>
  <si>
    <t>REPLACEMENT OF L09_DPVE_079E_RAISE. APPROVED ON SEPT. 29 2020.STOPPED ON OCT 19 2020</t>
  </si>
  <si>
    <t>L09_DPVE2_083E_RAISE</t>
  </si>
  <si>
    <t>REPLACEMENT OF L06_CV_006W_STOPE. APPROVED ON SEPT. 22 2020. Temporary stopped on Oct 3 2020 to merge manpower to L06 JVHW 030W WINZE. RESUMED ON OCT 13 2020 AT THE SAME TIME TRASFERRED FROM REBOTE TO GUNAY.temporary stopped on Nov 5 2020. (lack of Manpower)</t>
  </si>
  <si>
    <t>REPLACEMENT OF L06_EDV 004E RAISE. APPROVED ON OCT 21 2020.temporary stopped on Nov 5 2020. (lack of Manpower)</t>
  </si>
  <si>
    <t>REPLACEMENT OF L06 JV 009E STOPE PREP. APPROVED ON OCT 21 2020. TEMPORARY STOPPED ON OCT 21 2020. FOR RE-DESIGN. RESUME ON NOV 4.temporary stopped on Nov 5 2020. (lack of manpower)</t>
  </si>
  <si>
    <t>REPLACEMENT OF L05_CTV_012W_WINZE STOPE PREP. APPROVED ON JULY 21 2020. Stopped Breaking and Converted to Pull out Cleaning on August 27 2020. STOPPED ON 11/6/2020, ALREADY MINED OUT</t>
  </si>
  <si>
    <t>REPLACEMENT OF L09_JV_070_STOPE PREP. APPROVED ON JULY 17 2020. Temp stopped ON JULY 17 2020, did not start breaking yet, still doing stope prep. Resumed on Sept. 11 2020 doing active breaking. Stopped breaking on oct 15 2020 converted to pull out cleaning.stopped on Nov. 6 2020  already mined out.</t>
  </si>
  <si>
    <t>REPLACEMENT OF L09_JVHW_065E_STOPE PREP. APPROVED ON JUNE 30 2020. stopped Breaking on Sept. 14 2020 converted to Pull-out Cleaning. Stopped on nov. 6 2020 already mined out.</t>
  </si>
  <si>
    <t>ADDITIONAL VERTICAL DEVELOPMENT. APPROVED ON SEPTEMBER 1  2020. STOPPED ON NOV. 6 2020 ALREADY PINCHED OUT VEIN.</t>
  </si>
  <si>
    <t>REPLACEMENT OF L08_JV_057E_RAISE. APPROVED ON OCT. 9 2020. stopped on oct. 6 2020 due to pinched out vein.</t>
  </si>
  <si>
    <t>ADDITIONAL PRODUCTION TONNAGE. APPROVED ON OCT. 16 2020. stopped on NOV 6 2020 DUE TO PINCHED OUT VEIN.</t>
  </si>
  <si>
    <t>L09_DPVE2_084E_STOPE PREP</t>
  </si>
  <si>
    <t>REPLACEMENT OF L07_JVSPLIT_038E_STOPE PREP.APPROVED ON OCT 10 2020. STOPPED BREAKING ON NOV. 5 2020 CONVERTED TO PULL OUT CLEANING.</t>
  </si>
  <si>
    <t>REPLACEMENT OF L07 GHV 020W STOPE. APPROVED ON OCT. 15 2020. ALREADY MINED OUT ON NOV. 5 2020.</t>
  </si>
  <si>
    <t>REPLACEMENT OF L08_GHV_022E_WINZE STOPE PREP. APPROVED ON SEPT. 8 2020. STOPPED BREAKING ON OCT 14 2020 CONVERTED TO PULL OUT CLEANING</t>
  </si>
  <si>
    <t>REPLACEMENT OF L08_GHV_022E_WINZE STOPE PREP. APPROVED ON SEPT. 8 2020. STOPPED BREAKING ON OCT 14 2020 CONVERTED TO PULL OUT CLEANING. STOPPED ON NOV. 5 2020 ALREADY MINED OUT.</t>
  </si>
  <si>
    <t>L09_DPVE2_047E_DE</t>
  </si>
  <si>
    <t>L08_GHVHW_044E_RAISE</t>
  </si>
  <si>
    <t>L10_DPVE_047E_RAISE</t>
  </si>
  <si>
    <t>ADDITIONAL VERTICAL DEVELOPMENT. APPROVED ON SEPT. 28 2020. RENAMED FROM 29W TO 027W RAISE ON OCT. 22 2020. STOPPED ON NOV 9 2020 DUE TO CONSECUTIVE LOW ASSAY GRADE ON CUT SAMPLES /BULK SAMPLE.</t>
  </si>
  <si>
    <t>REPLACEMENT OF L07_DPVE_015E_WINZE. APPROVED ON SEPT. 9 2020. stopped on nov. 9 2020 due to pinched out vein +15.0m -21.0m from rail.</t>
  </si>
  <si>
    <t>REPLACEMENT OF L10_JVFW_052E_STOPE PREP. APPROVED ON FEB 22 2020.stopped on July 7, 2020. Already reached the recommended strike length/crown pillar. Stop breaking on July 7, 2020, to do fill raise and pull out. Stopped Breaking on August 12 2020. converted to Pull-out Cleaning.STOPPED ON NOVEMBER 08,2020. FINISHED HEADING</t>
  </si>
  <si>
    <t>ADDITIONAL FILL WINZE AS WASTE PASS. APPROVED ON SEPT. 23 2020. TEMP. STOPPED ON NOV. 9 2020 DUE TO PRIORITIZE 15W STOPE PULL-OUT.</t>
  </si>
  <si>
    <t>ADDITIONAL SOURCE OF ORE. APPROVED ON AUG 22, 2020. Temporary stopped on Sept 2, 2020 due to lack of manpower. Resumed on Sept 7, 2020 at the same time transferred from ALMEDORA 1 to PANCIT NOEL 2. Temporary stopped on September 21,2020 lack of manpower. RESUMED ON OCT. 19 2020 in the same time TRANSFERRED FROM PANCIT NOEL TO CAPOY. TEMP. STOPPED ON NOV. 9 2020 DUE TO LACK OF MANPOWER.</t>
  </si>
  <si>
    <t>REPLACEMENT OF L09_DPVE_074E_STOPE. APPROVED ON OCT. 5 2020. STOPPED ON NOV. 9 2020 DUE TO CONSECUTIVE LOW ASSAY GRADES ON CUT SAMPLE / BULK SAMPLE &amp; ALREADY REACHED THE RECOMMENDED STRIKE LENGTH / CROWN PILLAR.</t>
  </si>
  <si>
    <t>REPLACEMENT OF L10_GHV_063E_WINZE. APPROVED ON SEPT. 23 2020. TEMP. STOPPED ON NOV. 4 2020 DUE TO LACK OF MANPOWER.</t>
  </si>
  <si>
    <t>REPLACEMENT OF L08_JVSPLIT_076E_DW. APPROVED ON APRIL 3 2020. STOPPED ON JUNE 2 2020 CONVERTED TO STOPE PREP. RESUMED ON OCT. 9 2020. stopped on Nov. 9 2020.</t>
  </si>
  <si>
    <t>ADDITIONAL VERTICAL DEVELOPMENT. APPROVED ON AUGUST 7 2020. stopped on Nov. 9 2020.</t>
  </si>
  <si>
    <t>L07_GHVHW_048E_DW</t>
  </si>
  <si>
    <t>FERNANDEZ REX</t>
  </si>
  <si>
    <t>L08_GHVHW_042E_DW</t>
  </si>
  <si>
    <t>L08_GHV_025E_DE</t>
  </si>
  <si>
    <t>REPLACEMENT OF L10_GHV_001E_STOPE PREP. APPROVED ON AUGUST 28, 2019.temporary stopped on Sept 24, 2019 to proceed raising. Permanently stopped on December 13,2019 due to consecutive low assay grade as per Warner. Resumed on Oct 9, 2020 for pull out for ore blending. STOPPED ON NOV. 10 2020. ALREADY MINED OUT.</t>
  </si>
  <si>
    <t>L09_DPVE2_078E_RAISE</t>
  </si>
  <si>
    <t>ADDITIONAL. APPROVED ON OCT 16 2020. stopped on Nov. 11 2020, already hit the target vein.</t>
  </si>
  <si>
    <t>L04_EDV_022W_DW</t>
  </si>
  <si>
    <t>REPLACEMENT OF L10_NONE_058E_XCN. APPROVED ON JUNE 4 2020. Temp stopped on June 29, 2020 to drive raise. RESUMED ON JULY 3 2020.transfer from TAÑEZA 1 to  SHEPHERD B.2 on August 6,2020.temporary stopped on August 13,2020 to start stope preparation of L10 GHVHW 058E STOPE. Resumed on Sept. 2 2020 in the same time renamed from L10_GHVHW_058E_DE TO GHVHW_059E_DE. TEMPORARY STOPPED ON NOV. 9 2020 TO PRIORITIZE STOPE PREPARATION.</t>
  </si>
  <si>
    <t>REPLACEMENT OF L07 JVHW 075E DW. APPROVED ON OCT. 21 2020. STOPPED ON NOV. 11 2020 DUE TO PINCHED OUT VEIN.</t>
  </si>
  <si>
    <t>REPLACEMENT OF L08_JVSPLIT_016E_STOPE PREP. APPROVED ON JULY 10 2020. stopped on sept. 24 2020 converted to pull - out cleaning. TEMPORARY STOPPED FOR EVALUATION ON THE % OF PULL OUT REMAINING. RESUMED ON  OCT 20, 2020. temp stopped on Nov. 11 2020 further evaluation.</t>
  </si>
  <si>
    <t>REPLACEMENT OF L06_DPVE_037E_DW. APPROVED ON AUGUST 14 2020. Transferred from BADBADON R. to BAÑEZ on Aug 25, 2020, mgmt decision. STOPPED ON NOV. 10 2020 ALREADY CONNECTED TO LEVEL 5 MAINLINE.</t>
  </si>
  <si>
    <t>L05_CTV_013E_WINZE STOPE</t>
  </si>
  <si>
    <t>REPLACEMENT OF L05_CTV_013E_DE.  APPROVED ON OCT. 4 2020. STOPPED ON NOV. 10 2020 CONVERTED TO ACTIVE BREAKING.</t>
  </si>
  <si>
    <t>ADDITIONAL SOURCE OF GOOD ORE. APPROVED ON OCT 23 2020 AS SILL PILLAR ROBBING.renamed from L05 GHV 035W ROBBING to L05 GHV 030W ROBBING on Nov 5 2020. Stopped on Nov. 11 2020 already finished headings.</t>
  </si>
  <si>
    <t>REPLACEMENT OF L05_CV_009E_STOPE. APPROVED ON SEPT. 28 2020. stopped on Nov. 12 2020 due to already reached the recommeded sill pillar to robbed.</t>
  </si>
  <si>
    <t>REPLACEMENT OF L06_CTV_015W_DE. APPROVED ON OCT. 6 2020. STOPPED ON NOV. 12 2020 DUE TO CONSECUTIVE LOW ASSAY GRADES ON CUT SAMPLE BULK SAMPLES.</t>
  </si>
  <si>
    <t>L07_JVHW_075E_WINZE STOPE PREP</t>
  </si>
  <si>
    <t>REPLACEMENT OF L04 GHVFW 015E STOPE PREP. APPROVED ON APRIL 9, 2019-LOC.FROM GHVFW 017E RAISE 6TH FLR +10 METERS RECOMMENDED FOR IPR. STOPPED ON MAY 3,2019 DUE TO LOW GRADE NOT TO COMMENCE TO PULL-OUT/  RESUMED PULL OUT ON OCT. 20 2020 IN THE SAME TRANSFERRED FROM CABONITA TO MANZANO. STOPPED ON NOV. 11 2020 DUE TO CONVSECUTIVE LOW ASSAY GRADE ON CUT SAMPLE BULK SAMPLES.. STOPPED ON NOVEMBER 12 2020 FINISHED HEADING.</t>
  </si>
  <si>
    <t>REPLACEMENT OF L08_JV_037E_RAISE. APPROVED ON SEPT. 11 2020 STOP ON 11/13/2020. PINCHED OUT VEIN WITH NO FURTHER DRILL INTERCEPT TO TARGET</t>
  </si>
  <si>
    <t>REPLACEMENT OF L06_DPVE_035E_RAISE. APPROVED ON OCT 20 2020. stopped on Nov. 13 2020 ALREdy reached recommended strike length.</t>
  </si>
  <si>
    <t>ADDITIONAL VERTICAL DEVELOPMENT. APPROVED ON AUGUST 22 2020. RENAMED ON OCT. 22 2020 FROM 52W TO 52E RAISE. STOPPED ON NOV. 13 2020 DUE TO VEIN PICHED OUT.</t>
  </si>
  <si>
    <t>L06_NONE_042W_XCS</t>
  </si>
  <si>
    <t>REPLACEMENT OF L09_DPVE2_071E_RAISE. APPROVED ON SEPT 14 2020. stopped on Nov 13 2020.for wireframe</t>
  </si>
  <si>
    <t>REPLACEMENT OF L09_JVSPLIT_068E_DE. APPROVED ON OCT. 13 2020.STOPPED ON NOV 13 2020.VEIN PINCHED OUT</t>
  </si>
  <si>
    <t>L09_JVHW_011E_DW</t>
  </si>
  <si>
    <t>L05_CTV_037E_ROBBING</t>
  </si>
  <si>
    <t>L07_JV_051E_ROBBING</t>
  </si>
  <si>
    <t>L09_DPVE2_087E_RAISE</t>
  </si>
  <si>
    <t>DELOS REYES V 1</t>
  </si>
  <si>
    <t>REPLACEMENT OF L06_CTV_003E_STOPE. APPROVED ON OCT. 7 2020. STOPPED ON NOV. 16 2020 CONVERTED TO PULL OUT CLEANING</t>
  </si>
  <si>
    <t>REPLACEMENT OF L06_JVSPLIT_017E_RAISE. APPROVED ON OCT. 6  2020. stopped on Nov. 16 2020 converted to active breaking.</t>
  </si>
  <si>
    <t>L06_JVSPLIT_017E_WINZE STOPE</t>
  </si>
  <si>
    <t>REPLACEMENT OF L04_JV_055W_DE, APPROVED ON APRIL 8, 2020. TEMP. STOPPED ON APRIL 9 DUE TO PANDEMIC.  RESUMED ON OCT 13 2020. stopped on NOV. 16 25020. TO PRIORITY HEADINGS.</t>
  </si>
  <si>
    <t>REPLACEMENT OF L09_JV_058E_WINZE. APPROVED ON OCT. 3 2020. TEMPORARY STOPPED ON NOV. 16 2020 DUE TO INSUFFICIENT MANPOWER</t>
  </si>
  <si>
    <t>REPLACEMENT OF L09_JVFW_054E_WINZE, APPROVED ON OCT 17 2020. Temporary stopped on Nov 16 2020 to prioritized L09 GHV 052E DW</t>
  </si>
  <si>
    <t>ADDITIONAL VERTICAL DEVELOPMENT. APPROVED ON AUGUST 17 2020. temporary stopped on August 21 2020 will resume until enough distance from the raise to drift 35e_de. RESMED ON SEPT. 1 2020 STOPPED ON NOV 16 2020 ALREADY REACH LEVEL 9 ELEVATION.</t>
  </si>
  <si>
    <t>REPLACEMENT OF L07 JVSPLIT 004E WINZE. APPROVED ON AUGUST 25 2020.STOPPED ON SEPT  15 2020. LOW GRADE. RESUMED ON SEPT. 29 2020 AT THE SAME TIME tRANSFERED FROM ALENAR TO FERNANDEZ REX. STOPPED ON NOV. 16 2020 ALREADY MINED OUT.</t>
  </si>
  <si>
    <t>L04_CV_013W_ROBBING</t>
  </si>
  <si>
    <t>L06_JVSPLIT_016E_RAISE</t>
  </si>
  <si>
    <t>L06_CTV_002W_STOPE PREP</t>
  </si>
  <si>
    <t xml:space="preserve">ADDITIONAL HORIZONTAL DEVELOPMENT. APPROVED ON NOV. 5 2020.TEMPORARY STOPPED ON NOV. 17 2020 </t>
  </si>
  <si>
    <t>L06_CTV_011E_WINZE</t>
  </si>
  <si>
    <t>REPLACEMENT OF L09_JVFW_063E_DE. APPROVED ON MAY 4 2020. STOPPED ON JULY 17, 2020 ALREADY REACHED L08 ELEVATION AND CONVERT TO STOPE PREP. RESUMED ON NOV. 7 2020. STOPPED ON NOV 14 2020, TO RESUMED STOPE BREAKING</t>
  </si>
  <si>
    <t>HANGDAAN</t>
  </si>
  <si>
    <t>REPLACEMENT OF L07_JVSPLIT_001W_STOPE PREP. APPROVED ON AUGUST 10 2020. Stopped Breaking on Oct. 9 2020 converted to pull-out cleaning. STOPPED ON NOV. 16 2020 ALREADY MINED OUT.</t>
  </si>
  <si>
    <t>REPLACEMENT OF L06_EDV_002E_RAISE. APPROVED ON NOV. 13 2020. Temp. stopped on Nov. 17 2020 to prioritize wastepass.</t>
  </si>
  <si>
    <t>REPLACEMENT OF L08_DPVE_013E_STOPE PREP APPROVED ON AUGUST 22, 2019.STOPPED ON OCT 24, 2019 DUE TO LOW CONSECUTIVE ASSAY GRADES ON CUT SAMPLES/BULK SAMPLES. RESUMED ON NOV, 4 2020 AS PULL OUT CLEANING @ THE SAME TIME TRANSFERRED FROM BELICAN TO LERIO. Stopped on Nov. 17 2020 already mined out.</t>
  </si>
  <si>
    <t>L09_DPVE2_086E_STOPE PREP</t>
  </si>
  <si>
    <t>L09_DPVE_025E_DW</t>
  </si>
  <si>
    <t>086E</t>
  </si>
  <si>
    <t>SHEPHERD AE 2</t>
  </si>
  <si>
    <t>L10_DPVE_031E_STOPE PREP</t>
  </si>
  <si>
    <t>REPLACEMENT OF L05_DPVE_041E_STOPE PREP. APPROVED ON SEPT. 09 2020. convert to pull out cleaning on November 19,2020 due to exclusion zone at the decline</t>
  </si>
  <si>
    <t>REPLACEMENT OF L10 GHVFW 030E STOPE PREP. APPROVED ON APRIL 18,2020. Stopped Breaking On Nov. 7 2020 converted to pull out cleaning.</t>
  </si>
  <si>
    <t>REPLACEMENT OF L10_NONE_018E_CHAMBER. APPROVED ON OCT. 9 2020. Stoped on Nov. 19 2020 already finished.</t>
  </si>
  <si>
    <t>L10_GHVHW_071E_WINZE</t>
  </si>
  <si>
    <t>REPLACEMENT OF L10 GHVHW 073E RAISE. Approved on July 7, 2020.TEMP. STOPPED ON AUGUST 6 2020 TO PRIORITIZED RAISE PREP. Resumed on August 27 2020.stopped on Nov 18,2020 already reached its recommended strike length</t>
  </si>
  <si>
    <t>REPLACEMENT OF L06_GHVFW_025W_STOPE PREP. APPROVED ON MARCH 3 2020. Converted to stope pull-out cleaning on April 2, 2020. Stopped on May 16,2020 due to consecutive low assay grade. RESUMED ON NOV. 13 2020 @ THE SAME TIME TRANSFERRED FROM BAÑEZ TO COMAINGKING. temporary stopped on Nov 17 2020. for evaluation</t>
  </si>
  <si>
    <t>L06_JVSPLIT_013W_STOPE PREP</t>
  </si>
  <si>
    <t>COAMINGKING 1</t>
  </si>
  <si>
    <t>ADDITIONAL HORIZONTAL DEVELOPMENT. APPROVEDON OCT. 19 2020. TRANSFERRED FROM DELOS REYES TO CANOY ON NOV. 16 2020. STOPPED ON NOVEMBER 20,2020. CONVERTED TO L09 DPVE 025E DW.</t>
  </si>
  <si>
    <t>REPALCEMENT OF L09_DPVE_082E_RAISE, APPROVED ON SEPT. 29 2020. STOPPED ON NOVEMBER 20, 2020. DUE TO PINCHED OUT VEIN AT 38 METER EAST FROM OPENING.</t>
  </si>
  <si>
    <t>REPLACEMENT OF L09_GHVFW_026E_DW. APPROVED ON OCT. 5 2020. temporary stopped on oct. 9 2020 due to lack of manpower.RESUMED ON OCT 13 2020 TRANSFERRED FROM SHEPHERD R TO PANSIT NORMAN.STOPPED ON NOVEMBER 20,2020. DUE TO PINCHED OUT VEIN.</t>
  </si>
  <si>
    <t>REPLACEMENT OF L08_GHV_022E_WINZE STOPE. APPROVED ON NOV. 10 2020.STOPPED ON NOVEMBER 20,2020. CONVERTED TO L08 GHV 024E DW.ALREADY CONNECTED TO OLD STOPE AT LEVEL 9</t>
  </si>
  <si>
    <t>L10_DPVE_041E_DW</t>
  </si>
  <si>
    <t>REPLACEMENT OF L09_DPVE2_078E_DE. APPROVED ON SEPT. 14 2020. RENAMED ON SEPT. 16 2020 FROM L09_DPVE2_084E_RAISE TO L09_DPVE2_085E_RAISE. TEMPORARY STOPPED ON OCT. 14 2020 TO PRIORITIZED DEVELOPMENT @ L09_080E_STOPE PREP.RESUMED ON OCT 15 2020. STOPPED ON NOVEMBER 14,2020.CONVERT TO STOPE PREPARATION.</t>
  </si>
  <si>
    <t>L07_JVHW_060E_DE</t>
  </si>
  <si>
    <t>L07_JVSPLIT_027E_WINZE STOPE</t>
  </si>
  <si>
    <t>REPLACEMENT OF  L07_JVSPLIT_027E_DW. OCTOBER 9 2020.temporay stopped on Nov 13 2020. ( Manpower will be attending Safety refresher) CONVERTED TO BREAKING ON NOV 14 2020</t>
  </si>
  <si>
    <t>L09_DPVE2_046E_DW</t>
  </si>
  <si>
    <t>L09_DPVE2_048E_RAISE</t>
  </si>
  <si>
    <t>SPECIAL PROJECT FOR VENTILATION PURPOSES. APPROVED ON MAY 20,2019. TRANSFER FROM ESPADA 2 TO DAGAMAC1 ON JUNE 24, 2019.TEMP. STOPPED ON JULY 3, 2019 FORMER TEAM LEADER SURRENDER THE WORK. RESUMED ON JULY 22,2019 AT THE SAME TIME TRANSFER FROM DAGAMAC 1 TO COMAINGKING 2. STOPPED ON OCTOBER 7, 2019. RESUMED ON OCT. 16, 2019 IN THE SAME TIME TRANSFER FROM COMAINGKING 2 TO DAGAMAC. TRANSFERRED ON MARCH 31 2020 FROM DAGAMAC TO PMC MINERS 2 DUE TO LACK OF MAN POWER. Stopped on November 13,2020.</t>
  </si>
  <si>
    <t>DELOS REYES V3</t>
  </si>
  <si>
    <t>REPLACEMENT OF L07_JVSPLIT_038E_STOPE PREP.APPROVED ON OCT 10 2020. STOPPED BREAKING ON NOV. 5 2020 CONVERTED TO PULL OUT CLEANING. STOPPED ON NOV. 21 2020 ALREADY MINED OUT.</t>
  </si>
  <si>
    <t>REPLACEMENT OF L05_JVHW_014W_RAISE. APPROVED ON OCT. 6 2020. STOPPED ON NOV. 21 2020 CONVERTED TO ACTIVE BREAKING.</t>
  </si>
  <si>
    <t>L05_JVFW_014W_WINZE STOPE</t>
  </si>
  <si>
    <t>REPLACEMENT OF L04 NONE 022W XCN. APPROVED ON NOV 11 2020 Stopped on Nov. 23 2020 due to consecutive low assay grades on cut samples / bulk sample.</t>
  </si>
  <si>
    <t>REPLACMENT OF L08_JVSPLIT_019E_STOPE PREP. APPROVED ON SEPT. 6, 2019. STOPPED ON OCT 24, 2019 DUE TO LOW CONSECUTIVE ASSAY GRADES ON CUT SAMPLES/BULK SAMPLES. Convert to pull out cleaning and Resumed on November 21,2020 at the same time transfer from AGLOLO 2 TO REVITA 2. Temporary stopped on November 23,2020 on going rehab of chutes.</t>
  </si>
  <si>
    <t>L04_JV_052E_RAISE</t>
  </si>
  <si>
    <t>SHEPHERD AJ</t>
  </si>
  <si>
    <t>REPLACEMENT OF L06_DPVE_021E_DW. APPROVED ON OCT 6 2020. TRANSFERRED FROM SHEPHERD AA 1 TO DOLARIZA 2 ON NOV. 8 2020. STOP ON NOV 24, 2020 FOR REWIREFRAME AND STOPE DESIGN</t>
  </si>
  <si>
    <t>L07_GHV_034W_STOPE</t>
  </si>
  <si>
    <t>REPLACEMENT OF L07_GHV_034W RAISE .APPROVED ON NOV. 3 2020. STOPPED AND CONVERTED TO STOPE BREAKING ON NOV 24 2020</t>
  </si>
  <si>
    <t xml:space="preserve">L07_GHV_034W_STOPE </t>
  </si>
  <si>
    <t>REPLACEMENT OF L09_DPVE_018E_DW. APPROVED ON OCT. 16 2020. Stopped on Nov. 24 2020 DUE TO ALREADY REACHED THE RECOMMENED STRIKE LENGTH / CROWN PILLAR</t>
  </si>
  <si>
    <t>L04_CTV_027E_DW</t>
  </si>
  <si>
    <t>L06_JVFW_018E_DE</t>
  </si>
  <si>
    <t>L12_JVSPLIT_041E_DW</t>
  </si>
  <si>
    <t>L07_GHVFW_028W_DW</t>
  </si>
  <si>
    <t>L10_GHVHW_079E_STOPE PREP</t>
  </si>
  <si>
    <t>REPLACEMENT OF L07 GHV 031E DW.APPROVED ON JULY 15 2020.STOPPED ON AUG. 19, 2020 DUE TO CONSECUTIVELY PRODUCING LOW ASSAY GRADES. RESUMED ON SEPT. 29 2020 RENAMED FROM L09 GHV 32W DW TO 31W DW. TEMP. STOPPED ON OCT 21 2020 UNSERVICEABLE AREA..resumed on Nov 4 2020. stopped on Nov 24 2020 breakthrough</t>
  </si>
  <si>
    <t>L08_GHVSPLIT_008W_RAISE</t>
  </si>
  <si>
    <t>L09_JVSPLIT_009E_DE</t>
  </si>
  <si>
    <t>REPLACEMENT OF L09_GHV_057E_STOPE PREP. APPROVED ON MARCH 1 2020. temp. stopped on March 2 2020, on going preparation for breaking. Resumed on March  26,2020. Temporary transferred from SHEPHERD S2 to SHEPHERD Z 1 on April 16, 2020. stopped on Oct 15 2020 convert to pull out cleaning. STOPPED ON NOV.25 2020 ALREADY MINED OUT.</t>
  </si>
  <si>
    <t>ADDITIONAL GOOD SOURCE OF GOOD ORE. APPROVED ON SEPTEMBER 07,2020. TRANSFERRED FROM PMC MINERS 4 TO MANZANO ON NOV. 17 2020. Stopped on Nov. 25 2020 already finished heading.</t>
  </si>
  <si>
    <t>L07_GHVSPLIT_033W_RAISE</t>
  </si>
  <si>
    <t>L06_JVSPLIT_011W_RAISE</t>
  </si>
  <si>
    <t>L09_GHV_064E_DW</t>
  </si>
  <si>
    <t>L06_JVSPLIT_029E_RAISE</t>
  </si>
  <si>
    <t>L06_CTV_001E_STOPE</t>
  </si>
  <si>
    <t>REPLACEMENT OF L06_CTV_008E_RAISE. APPROVED ON NOV. 4 2020. STOPPED ON NOV. 27 2020 CONVERTED TO ACTIVE BREAKING.</t>
  </si>
  <si>
    <t>REPLACEMENT OF L05 JV 033E DW. APPROVED ON OCT 23 2020. stopped on Nov. 24 2020. already breakthrough.</t>
  </si>
  <si>
    <t>REPLACEMENT OF L08_GHV_023E_WINZE STOPE PREP.APPROVED ON JULY 16, 2020. Stopped breaking on Oct 6, proceed to pull out cleaning. mined out on 11/27/20</t>
  </si>
  <si>
    <t>REPLACEMENT OF L08_DPVE_070E_RAISE. APPROVED ON SEPTEMBER 26 2020. Stopped on Nov. 27 2020. Converted to active breaking.</t>
  </si>
  <si>
    <t>L08_DPVE_070E_WINZE STOPE</t>
  </si>
  <si>
    <t>SHEPHERD W 2</t>
  </si>
  <si>
    <t>L08_JVSPLIT_035E_WINZE</t>
  </si>
  <si>
    <t>ADDITIONAL VERTICAL DEVELOPMENT. APPROVED ON OCT. 10 2020. STOPPED ON NOV. 26 2020 DUE TO PINCHED OUT VEIN.</t>
  </si>
  <si>
    <t>REPLACEMENT OF L04_GHV_057W_ROBBING. APPROVED ON SEPT. 24 2020. STOPPED ON NOV. 27 2020 DUE TO CONSECUTIVE LOW ASSAY GRADE.</t>
  </si>
  <si>
    <t>SHEPHERD Y.2</t>
  </si>
  <si>
    <t>REPLACEMENT OF L09 GHV 15W STOPE  PREP. APPROVED ON SEPT. 10, 2018. CONVERT TO PULL-OUT 4/2/19. TEMPORARY STOPPED ON SEPTEMBER 2,2019 DUE TO UNSAFE CONDITION NO MEMO FOR EVALUATION 67% PULL-OUT WITH 1600 REMAINING MINE CARS. STOPPED ON SEPT 3, 2019 DUE TO UNSAFE CONDITION. Resumed on Sept 30 2020 at the same time transferred from SHEPHERD R to BIHAY to pull out remaining ore. TRANSFERRED ON NOV 10 2020 FROM BIHAY 2 TO ALMEDORA 1. STOPPED ON 11/27/20 ALREADY MINED OUT</t>
  </si>
  <si>
    <t>REPLACEMENT OF L07_DPVE_042E_ROBBING. APPROVED ON SEPT. 16 2020. STOPPED ON NOV. 28 2020 DUE TO CONSECUTIVE LOW ASSAY GRADE ONCUT SAMPLE BULK SAMPLES.</t>
  </si>
  <si>
    <t>REPLACEMENT OF L07_GHV_020W_ROBBING. APPROVED ON NOV 11 2020. STOPPPED ON NOV. 28 2020 LAREADY FINISHED BREAKING THE SILL PILLAR.</t>
  </si>
  <si>
    <t>L07_JVFW_044E_RAISE</t>
  </si>
  <si>
    <t>L05_DPVE_030E_RAISE</t>
  </si>
  <si>
    <t>L08_GHVHW_042E_RAISE</t>
  </si>
  <si>
    <t>L08_JVSPLIT_014E_RAISE</t>
  </si>
  <si>
    <t>L05_JV_031E_WINZE STOPE PREP</t>
  </si>
  <si>
    <t>ADDITIONAL HORIZONTAL DEVELOPMENT. APPROVEDON OCT. 19 2020. TRANSFERRED FROM DELOS REYES TO CANOY ON NOV. 16 2020.  Stopped on November 26,2020 .</t>
  </si>
  <si>
    <t>L04_GHVSPLIT_028W_RAISE</t>
  </si>
  <si>
    <t>ADDITIONAL HORIZONTAL DEVELOPMENT. APPROVED ON NOV. 10 2020. Stopped on Nov 29,2020 to start developing raise</t>
  </si>
  <si>
    <t>REPLACEMENT OF L08_GHV_030W_STOPE. APPROVED ON OCT 23, 2020. Stopped on November 29,2020 already reached the projected strike length.</t>
  </si>
  <si>
    <t>REPLACEMENT OF JVSPLIT 015E DW. APPROVED ON OCT. 6 2020. Stopped on November 29,2020 to start driving its blocking raise</t>
  </si>
  <si>
    <t>REPLACEMENT OF L04_GHVSPLIT_041W_STOPE PREP. APPROVED ON AUGUST 11 2020. Renamed from GHVSPLIT TO GHVFW ON SEPTEMBER 13,2020 AS PER MEMO OF LEVEL GEO. STOPPED BREAKING ON NOV. 30 2020 CONVERTED TO PULL OUT CLEANING</t>
  </si>
  <si>
    <t>L07_JVHW_068E_WINZE STOPE</t>
  </si>
  <si>
    <t>REPLACEMENT OF L07_JVHW_068E_DE. OCT. 9 2020. STOPPED ON NOV. 28, 2020 CONVERT TO BREAKING.</t>
  </si>
  <si>
    <t>L08_GHV_029W_DE</t>
  </si>
  <si>
    <t>L06_NONE_013E_SUMP</t>
  </si>
  <si>
    <t>REPLACEMENT OF L07 JVSPLIT 032E WINZE STOPEPREP. APPROVED ON SEP 29 2020. TEMPORARY STOPPED ON NOV. 13 2020 DUE TO LACK OF MANPOWER.STOPPED BREAKING ON NOV 20 2020 TO CONDUCT FILL RAISE. STOPPED BREAKING ON NOV. 27 2020 CONVERTED TO PULL OUT CLEANING.</t>
  </si>
  <si>
    <t>REPLACEMENT OF L06_GHVFW_033W_ROBBING. APPROVED ON SEPT. 28 2020. stopped on Dec 1 2020. vein pinched out</t>
  </si>
  <si>
    <t>ADDITIONAL VERTICAL DEVELOPMENT. APPROVED ON SEPT. 29 2020. stopped on DECEMBER 2 2020 DUE TO ALREADY REACHED THE RECOMMENDED TARGET.</t>
  </si>
  <si>
    <t>L09_JVFW_057E_RAISE</t>
  </si>
  <si>
    <t>L09_GHVFW_030E_DW</t>
  </si>
  <si>
    <t>L07_JVHW_061E_RAISE</t>
  </si>
  <si>
    <t>REPLACEMENT OF L06_CTV_016E_ROBBING. APPROVED ON SEPT. 28 2020. temporary Stopped on Sept 30, defective mucking machine. Resumed on Oct 13 2020 transferred from Gonzales to Rebote. Temporary Stopped on Nov. 13 2020. Resume on Nov 18 2020. @ the same time transferred from Rebote to Hangdaan. STOPPED ON NOV. 30 2020.</t>
  </si>
  <si>
    <t>L06_JVSPLIT_013W_STOPE</t>
  </si>
  <si>
    <t>REPLACEMENT OF L06 JV 007W RAISE.APPROVED ON NOV 20 2020. STOPPED ON DEC. 2 2020 CONVERTED TO ACTIVE BREAKING.</t>
  </si>
  <si>
    <t>L06_GHVSPLIT_034W_ROBBING</t>
  </si>
  <si>
    <t>L09_DPVE2_081E_STOPE</t>
  </si>
  <si>
    <t>REPLACEMENT OF L09_DPVE2_081E_RAISE. APPROVED ON OCT. 5 2020. Temporary stopped on November 11,2020 due to lack of manpower. Resumed on November 30,2020 at the same time transfer from CAPPUYO 2 TO CANOY 3. Stopped on Dec. 2 2020 converted to active breaking.</t>
  </si>
  <si>
    <t>L10_NONE_036E_CHAMBER</t>
  </si>
  <si>
    <t>REPLACEMENT OF L09_JVFW_073E_STOPE PREP. APPROVED ON SEPT 08 2020.TEMPORARY STOPPED ON NOVEMBER 08,2020.TO DRIVE INCLINE RAISE FOR SAFETY PURPOSES. Resumed on November 19,2020. Stopped on Dec 3 2020 due to the western manway is not accessible due to off vein development., and Unsafe condition. Converted to Pull out cleaning on Dec 3 2020.</t>
  </si>
  <si>
    <t>L09_DPVE2_088E_DE</t>
  </si>
  <si>
    <t>L04_GHVFW_018E_WINZE STOPE</t>
  </si>
  <si>
    <t>REPLACEMENT OF L05 CTV 013E WINZE STOPE PREP. APPROVED ON NOV. 11 2020. Stopped breaking on Dec. 4 2020 converted to pull out cleaning.</t>
  </si>
  <si>
    <t>ADDITIONAL VERTICAL DEVELOPMENT.APPROVED ON NOV 5 2020. Stopped on Dec. 4 2020 due to pinched out vein.</t>
  </si>
  <si>
    <t>REPLACEMENT OF L05_GHV_034W_ROBBING. APPROVED ON AUGUST 11 2020. STOPPED ON  AUGUST 17 2020 PROCEED TO RAISE 2 INTERMEDIATE LEVEL. Resumed on Nov 14 2020 renamed to L05 GHV 032W ROBBING then back to original name L05_GHV_033W_ROBBING on Nov 19 2020. STOPPED ON 12/3/20 ALREADY FINISHED ROBBING</t>
  </si>
  <si>
    <t>L09_JVSPLIT_010E_RAISE</t>
  </si>
  <si>
    <t>ADDITIONAL HORIZONTAL DEVELOPMENT. APPROVED ON APRIL 8,2020. TRANSFERRED FROM ESPADA 1 TO NOCOS 2 ON MAY 26 2020. TEMPORARY STOPPED ON MAY 29,2020. still stopped RENAMED FROM 30W TO 32W ON JUNE 18 2020. RESUMED ON OCT 21 2020 TRNASFERRED FROM NOCOS TO SHEPHERD AF AND AT THE SAME TIME CORRECTED ITS VEIN NAME FROM L05_CV_032W_DW TO L05_CTV_032W_DW. Stopped on Dec. 7 2020 due consecutive low assay grades on cut samples bulk sample.</t>
  </si>
  <si>
    <t>REPLACEMENT OF L08_JVSPLIT_013E_RAISE. APPROVED ON NOV. 30 2020. STOPPED ON DEC 5 2020 DUE TO MADE A BREAKTHROUGH.</t>
  </si>
  <si>
    <t>ADDITIONAL VERTICAL DEVELOPMENT. APPROVED ON AUGUST 24 2020. TEMPORARY STOPPED ON SEPT. 1 2020. Resumed on Sept 28, 2020. stopped on Dec 7 2020 due to made a breakthrough.</t>
  </si>
  <si>
    <t>L10_GHVHW_057E_RAISE</t>
  </si>
  <si>
    <t>REPLACEMENT OF L10_JVSPLIT_005E_STOPE PREP.APPROVED ON JULY 9 2020. STOPPED BREAKING CONVERT TO PULL OUT CLEANING APPROVED ON DECEMBER 8 2020.</t>
  </si>
  <si>
    <t>REPLACEMENT OF L09_DPVE_036E_RAISE. APPROVED ON DEC. 2 2020.Transferred from Canoy to Delos Reyes V.3 on Dec 2 2020. Stopped on Dec 8 2020 due to pinched out vein.</t>
  </si>
  <si>
    <t>REPLACEMENT OF L10 NONE 078E XCN, APPROVED ON OCT. 19 2020.  Stopped on Nov. 11 2020 due to insufficient manpower.permanently stopped on December 7,2020 as per Level Geologist</t>
  </si>
  <si>
    <t>REPLACEMENT OF L10_GHVHW_055E_DE. APPROVED ON NOV 29, 2019.RENAMED ON JAN 11, 2020 FROM GHV TO GHVFW. STOPPED ON JANUARY 20 2020 DUE TO CONSECUTIVE LOW ASSAY GRADES ON CUT SAMPLES/BULK SAMPLE. RESUMED ON JANUARY 24, 2020. STOPPED ON FEB. 25 2020 DUE TO CONSECUTIVE LOW ASSAY GRADE ON CUT SAMPLES/ BULK SAMPLES.’permanently stopped on December 7,2020 as per Level Geologis</t>
  </si>
  <si>
    <t>REPLACEMENT OF L10 NONE 018E XCS, APPROVED ON NOV.07,2017 AS PER LTS. STOPPED ON NOV.29,2017 AS PER LTS.’permanently stopped on December 7,2020 as per Level Geologist</t>
  </si>
  <si>
    <t>REPLACEMENT OF L10 NONE 015E XCS. APPROVED ON APRIL 26, 2018. RENAMED FROM L10 GHVFW 020E DE TO L10 GHVFW 021E DE TO AVOID MISCHARGING ON MAY 3, 2018.TEMPORARY  STOPPED TO PRIORITIZE 026E RAISE 11/9/18. RESUMED ON NOV 20, 2018.TEMP. STOPPED TO PRIORITIZED L10 GHVFW 028E RAISE ON JANUARY 21, 2019. RESUME ON 1/29/19. STOPPED ON MARCH 18,2019 DUE TO PINCHED OUT VEIN.’permanently stopped on December 7,2020 as per Level Geologist</t>
  </si>
  <si>
    <t>REPLACEMENT OF L10 GHV 009E DW. APPROVED ON SEPTEMBER 19,2018. TEMPORARY STOPPED ON OCTOBER 29,2018 DUE TO ONGOING RAISE FOLLOW UP.RESUME ON 11/5/18. TRANSFER TO RIPARIP FROM TAÑEZA ON 1/30/19.TEMPORARY STOPPED TO OPEN STOPE PREP PRIORITIZED  ON FEBRUARY 11, 2019. RESUME ON 3/4/19 AT THE SAME TIME TRANSFERRED FROM RIPARIP 2 TO PMC MINERS 4.STOPPED ON JUNE 24, 2019 DUE TO ONSECUTIVE LOW ASSAY GRADES ON CUT SAMPLE/BULK SAPLES. ’permanently stopped on December 7,2020 as per Level Geologist</t>
  </si>
  <si>
    <t>REPLACEMENT OF L10 NONE 032E XCN.APPROVED ON MAY 21, 2019. STOPPED ON JUNE 25, 2019 DUE TO VEIN PINCHED OUT.’permanently stopped on December 7,2020 as per Level Geologist</t>
  </si>
  <si>
    <t>REPLACEMENT OF L10 NONE 055E XCN ON JUNE 24, 2019. TEMP. STOPPED ON JULY 6, 2019.’permanently stopped on December 7,2020 as per Level Geologist</t>
  </si>
  <si>
    <t>ADDITIONAL HORIZONTAL DEVELOPMENT. APPROVED ON JANUARY 19,2019.TEMP STOP ON 3/4/19 DUE TO TURN-OUT PREP ACTIVITY. RESUMED ON MARCH 22, 2019 AND TRANSFER TO PMC MINERS 3 FROM TANEZA 11.TEMP.STOP ON 4/10/19-LTS, MANPOWER ISSUE.RESUMED ON JUNE 3 AND TRANSFER TO DUHIG FROM PMC MINERS 3. TEMP STOPPED ON OCT. 18, 2019 DUE TO PICNHED OUT VEIN. ’permanently stopped on December 7,2020 as per Level Geologist</t>
  </si>
  <si>
    <t>REPLACEMENT OF L10 JVSPLIT 056E DW. APPROVED ON SEPT. 27, 2019. TEMPORARY STOPPED ON OT 28, 2019 DUE TO CONSECUTIVE LOW ASSAY GRADES ON CUT SAMPLES/ BULK SAMPLES.’permanently stopped on December 7,2020 as per Level Geologist</t>
  </si>
  <si>
    <t>REPLACEMENT OF L10 DPVE 043E DW. APPROVED ON JUNE 25, 2019. TEMPORARY STOPPED ON OCT 28 2019 DUE TO CONSECUTIVE LOW ASSAY GRADES ON CUT SAMPLE/BULK SAMPLES. ’permanently stopped on December 7,2020 as per Level Geologist</t>
  </si>
  <si>
    <t>COMMON AREA. APPROVED ON SEPT. 30 2019. TEMP STOPPED ON NOV. 15, 2019 DUE TO CONSECUTIVE LOW ASSAY GRADES ON CUT SAMPLES/BULK SAMPLES/PINCHED OUT VEIN CURRENTLT FOLLOWING 0.20M QTZ VEIN. ’permanently stopped on December 7,2020 as per Level Geologist</t>
  </si>
  <si>
    <t>ADDITIONAL HORIZONTAL DEVELOPMENT. APPROVED ON NOV 08, 2019. TEMP. STOPPED ON DECEMBER 11, 2019 DUE TO PRIORITIZED THE ON THE RESERVE DRIVE WHICH IS THE L10 JVS 062E DE. ’permanently stopped on December 7,2020 as per Level Geologist</t>
  </si>
  <si>
    <t>REPLACEMENT OF L10_GHVHW_015E_RAISE. APPROVED ON JANUARY 7, 2020.  STOPPED ON JANUARY 23 2020 DUE TO CONSECUTIVE LOW ASSAY GRADES ON CUT SAMPLES BULK SAMPLES.’permanently stopped on December 7,2020 as per Level Geologist</t>
  </si>
  <si>
    <t>REPLACEMENT OF L10_GHVFW_038E_DE. APPROVED ON FEB 21 2020. STOPPED ON FEB. 24 2020 DUE TO UNSERVICEABLE AREA.’permanently stopped on December 7,2020 as per Level Geologist</t>
  </si>
  <si>
    <t>APPROVED ON AUGUST 9, 2019. ADDITIONAL HORIZONTAL DEVELOPMENT. TEMP. STOPPED ON OCT. 16, 2019 due to mucking machine breakdown. TRANSFERRED FROM MONTEBON TO SHEPHERD V ON OCT 22,2019 ON THE SAME TIME RESUMED.TEMP STOPPED ON NOV 25, 2019 TO DO FOLLOW UP OF RAISE. RESUMED ON JANUARY 22 2020 IN THE SAME TIME TRANSFERRED FROM SHEPHERD V TO DUHIG 6.STOPPED ON MARCH 5 2020 TO PRIORITIZED 70E XCN.’permanently stopped on December 7,2020 as per Level Geologist</t>
  </si>
  <si>
    <t>ADDITIONAL HORIZONTAL DEVELOPMENT. APPROVED ON FEBRUARY 8 2020. MARCH 30 2020  STOPPED TO PRIORITIZE RAISE PREP .’permanently stopped on December 7,2020 as per Level Geologist</t>
  </si>
  <si>
    <t>REPLACEMENT OF L09 GHV 46E WINZE APPROVED ON JUNE 7, 2018/LTS. TEMPORARY STOPPED ON SEPT. 1, 2018 DUE TO LACK OF MANPOWER. RESUMED ON MARCH 20,2019 AT THE SAME TIME TRANSFER FROM MAPAYO 2 TO PARAGUYA 1. TEMP. STOPPED ON JULY 9, 2019 DUE TO ON GOING FOLLOW UP OF RAISE.RESUMED ON JULY 26, 2019. TRANSFER FROM PARAGUYA TO MAPAYO ON SEPT. 25, 2019.TEMP. STOPPED ON NOV. 6, 2019 DUE TO ALREADY FINISHED.resumed on nov 26, 2019 at the same time transfer from mapayo to paraguya 3.TEMP STOPPED ON FEB 7, 2020 TO PRIORITIZE L10_GHV_062E_STOPE PREP. RESUMED ON MARCH 3. 2020. TEMPORARY STOPPED ON MAY 4 2020 TO PRIORITIZE STOPE PREP. ’permanently stopped on December 7,2020 as per Level Geologist</t>
  </si>
  <si>
    <t>REPLACEMENT OF L10_NONE_070E_XCN. APPROVED ON MARCH 30 2020.  stopped on May 15,2020 to drive raise. ’permanently stopped on December 7,2020 as per Level Geologist</t>
  </si>
  <si>
    <t xml:space="preserve">ADDITIONAL HORIZONTAL DEVELOPMENT. APPROVED ON AUGUST 19 2020. transfer from TAÑEZA 5 TO DUHIG 4 ON AUGUST 24,2020. STOPPED ON NOV. 112020. permanently stopped on December 7,2020 as per Level Geologist. </t>
  </si>
  <si>
    <t>ADDITIONAL VERTICAL DEVELOPMENT. APPROVED ON NOV. 13 2020. stopped on Dec 3 already breakthrough to old ISL at Level 8</t>
  </si>
  <si>
    <t>REPLACEMENT OF L09 GHV 052E DW. APPROAVED ON NOVEMBER 19,2020. stopped on Dec 2,2020 due to off vein</t>
  </si>
  <si>
    <t>REPLACEMENT OF L05_GHV_035W_WINZE. APPROVED ON DEC  5 2020. temporary on December 8,2020 for evaluation</t>
  </si>
  <si>
    <t>REPLACEMENT OF L06_CTV_003E_STOPE. APPROVED ON OCT. 7 2020. STOPPED ON NOV. 16 2020 CONVERTED TO PULL OUT CLEANING. STOPPED ON DEC 2 2020 ALREADY MINED OUT.</t>
  </si>
  <si>
    <t>L05_CTV_032W_WINZE STOPE</t>
  </si>
  <si>
    <t>REPLACEMENT OF L10_JVSPLIT_075E_STOPE PREP. APPROVED ON JUNE 11 2020. ON NOV. 9 2020 CONDUCTING FILL RAISES FOR BREAKTHROUGH AT LEVEL 9 MAINLINE REMAINING BALANCE IS 5 METERS, SEE ATTACHED MAP FOR REFERENCE. STOPPED ON DEC 9 2020 CONVERTED TO PULL OUT CLEANING</t>
  </si>
  <si>
    <t>REPLACEMENT OF L10_JVSPLIT_054E_STOPE PREP. APPROVED ON MARCH 3 2020. Temporary transferred from SHEPHERD W to BAÑEZ 2 on April 20, 2020. TEMPORARY STOPPED BREAKING ON JUNE 26 2020 TO DO  IPR. Stopped on August 24 2020 converted to pull-out cleaning. Stopped on Dec. 8 2020 already mined out. Temporary hold on mined out stopped memo in order to pull out the remaining mucked ore. Resumed pull-out on Dec. 9, 2020. STOPPED ON DEC 9 2020 ALREADY MINED OUT.</t>
  </si>
  <si>
    <t>REPLACEMENT OF L04_EDV_015W_DE. APPROVED ON FEB. 22, 2020. TEMPORARY STOPPED ON FEB. 22 2020 DUE TO NO AVAILABLE TIMBER. RESUMED ON MARCH 2 2020. STOPPED ON APRIL9 DUE TO PANDEMIC. RESUMED ON JULY 2, 2020. TRANSFER ON JULY 8, 2020 FROM MARTINEZ TO NOCOS 1. stopped on July 29 2020 due to consecutive low assay grade on cut samples / bulk samples. Resumed on Sept. 21 2020 renamed from L04_EDV_015W_RAISE TO L04_EDV_017W_RAISE AT THE SAME TIME TRANSFERRED FROM NOCOS 1 TO MARTINEZ DN 2. TEMPORARY STOPPED ON NOV. 9 2020 DUE TO PRIORITY HEADINGS. PERMANENT STOPPED ON DEC 9 2020. BASED ON GEO MEMO.</t>
  </si>
  <si>
    <t>L06_CTV_002W_STOPE</t>
  </si>
  <si>
    <t>REPLACEMENT OF L06_CV_010W_RAISE  APPROVED ON NOV. 17 2020. STOPPED ON DEC. 9 2020 CONVERTED TO ACTIVE BREAKING.</t>
  </si>
  <si>
    <t>L05_CTV_043W_WINZE STOPE</t>
  </si>
  <si>
    <t>L10_DPVE_031E_STOPE</t>
  </si>
  <si>
    <t>REPLACEMENT OF L04 JV 058W DW. APPROVED ON NOVEMBER 17 2020. STARTED MAINLINECLEANING ON NOV. 28 2020. CONVERTED TO CROWN ON NOV 26 2020. Stopped on Dec 1 2020.</t>
  </si>
  <si>
    <t>REPLACEMENT OF L08 GHVSPLIT 006W DW. APPROVED ON NOV. 25 2020. TEMP. STOPPED ON DEC. 10 2020 TO PROCEED DW.</t>
  </si>
  <si>
    <t>REPLACEMENT OF L06_JVSPLIT_017E_WINZE STOPE PREP ON NOV. 16 2020. STOPPED BREAKING ON DEC  8 2020 CONVERTED TO PULL OUT CLEANING</t>
  </si>
  <si>
    <t>L07_GHVFW_029W_STOPE PREP</t>
  </si>
  <si>
    <t>L10_DPVE_068E_DE</t>
  </si>
  <si>
    <t>REPLACEMENT OF L10 NONE 041E XCN. APPROVED ON NOVEMBER 20,2020. stopped on 12/10/20 to resumed 41e XCN</t>
  </si>
  <si>
    <t>REPLACEMENT OF L09_DPVE2_084E_RAISE. APPROVED ON OCT. 6 2020. TEMP STOPPED ON NOV. 10 2020 TO PRIORITIZE RAISE.resumed on Nov 16 2020 transferred from quijano to Rebote 1.stopped on December 11,2020 already breakthrough</t>
  </si>
  <si>
    <t>L09_DPVE2_084E_STOPE</t>
  </si>
  <si>
    <t>ADDITIONAL PRODUCTION TONNAGE. APPROVED ON NOV 6 2020. STOPPED ON DEC. 10 2020 CONVERTED TO ACTIVE BREAKING.</t>
  </si>
  <si>
    <t>REPLACEMENT OF L06_DPVE_036E_RAISE. APPROVED ON NOV. 14 2020. STOPPED ON DEC 11 2020 DUE TO ALREADY REACHED THE RECOMMENDED STRIKE LENGTH / CROWN PILLAR.</t>
  </si>
  <si>
    <t>REPALCEMENT OF L06_CV_015W_ROBBING. APPROVED ON OCT. 6 2020. TRANSFER FROM BADBADON R3 TO SHEPHERD AA. STOPPED ON DEC 11 2020 DUE TO ALREADY REACHED THE RECOMMENDED STRIKE LENGTH / CROWN PILLAR.</t>
  </si>
  <si>
    <t>L12_NONE_052E_CHAMBER</t>
  </si>
  <si>
    <t>RAISES</t>
  </si>
  <si>
    <t>WINZES</t>
  </si>
  <si>
    <t>ROBBING / SPECIAL PROJECT</t>
  </si>
  <si>
    <t>L11_NONE_046E_CHAMBER</t>
  </si>
  <si>
    <t>L12_NONE_037E_SUMP</t>
  </si>
  <si>
    <t>DUHIG 5</t>
  </si>
  <si>
    <t>L12_NONE_050E_SUMP</t>
  </si>
  <si>
    <t>L06_GHVSPLIT_031W_ROBBING</t>
  </si>
  <si>
    <t>REPLACEMENT OF L08_GHV_024E_DE. APPROVED ON OCT. 13 2020. TRANSFERRED FROM FERNANDEZ REX 3 TO SHEPHERD P ON NOV. 10 2020 DUE TO INSUFFICIENT MANPOWER. Temporary Stopped on Nov. 18 2020. RESUMED ON DEC. 2 2020.STOPPED ON DECEMBER 14,2020. DUE TO OFF VEIN AS PER LEVEL MANAGERS REPORT</t>
  </si>
  <si>
    <t>ADDITIONAL VERTICAL DEVELOPMENT. APPROVED ON NOV. 10 2020. STOPPED ON DECEMBER 14,2020. DUE TO PINCHED OUT VEIN.</t>
  </si>
  <si>
    <t>REPLACEMENT OF L10_JVFW_061E_DE. APPROVED ON AUGUST 4 2020. STOPPED ON SEPT. 23 2020 ALREADY REACHED THE RECOMMENDED STRIKE LENTH / CROWN PILLAR.  RESUMED ON OCT 21 2020 AS INCLINED RAISE. Stoppped on Dec. 14 2020 converted to stope preparation.</t>
  </si>
  <si>
    <t>L06_CTV_003W_DW</t>
  </si>
  <si>
    <t>L10_JVFW_067E_STOPE PREP</t>
  </si>
  <si>
    <t>L10_DPVE_072E_DW</t>
  </si>
  <si>
    <t>L09_DPVE_079E_DE</t>
  </si>
  <si>
    <t>REPLACEMENT OF 10 DPVE 029E RAISE. APPROVED ON NOVEMBER 19,2020. stopped On Dec 9 2020 converted to active breaking.</t>
  </si>
  <si>
    <t>ADDITIONAL HORIZONTAL DRIVES. APPROVED ON JUNE 8 2020. stopped on dec.8 2020.</t>
  </si>
  <si>
    <t>L06_GHVSPLIT_034W_DW</t>
  </si>
  <si>
    <t>REPLACEMENT OF L08 GHV 036W STOPE PREP. APPROVED ON SEPT. 11 2020. STOPPED BREAKING OND DEC 15 2020 CONVERTED TO PULL OUT CLEANING.</t>
  </si>
  <si>
    <t>REPLACEMENT OF L08 GHV 030W STOPE PREP. APPROVED ON NOVEMBER 21,2019 CONVERT TO ACTIVE BREAKING. TEMP. STOPPED ON JANUARY 8 2020 DUE TO INSUFFICIENT MANPOWER. RESUMED ON JANUARY 20 2020, IN THE SAME TIME TRANSFERRED FROM REVITA 1. TO CAPOY 1. TEMPORARY STOPPED ON FEB. 10 2020 DUE TO LACK OF MANPOWER. (SOURCE- OPERATION MEMO). RESUMED ON FEBRUARY 19 2020 IN THE SAME TIME  TRANSFERRED FROM CAPOY TO BELICAN.SUSPEND THE BLASTING ACTIVITY AT TIME WESTERN SECTION AND PRIORITIZE THE BREAKING OF THE OFF VEIN INCLINED RAISE TARGETING TOWARDS THE WESTERN SECTION MAY 4, 2020. TEMPORARY STOPPED ON MAY 22,2020 TO PRIORITIZED L08_GHV_028W_RAISE INSIDE THE STOPE. RESUMED ON JUNE 11 2020. STOPPED BREAKING ON  AUGUST 25, 2020 CONVERTED TO PULL OUT CLEANING. temp stopped on Nov. 11 2020 further evaluation. STOPPED ON DEC. 15 2020 ALREADY MINED OUT.</t>
  </si>
  <si>
    <t>REPLACEMENT OF L10_JVSPLIT_065E_STOPE PREP. APPROVED ON MAY 25 2020. STOPPED BREAKING ON DEC. 16 2020 CONVERTED TO PULL OUT CLEANING.</t>
  </si>
  <si>
    <t>REPLACEMENT OF L04_CTV_018W_STOPE PREP. APPROVED ON MARCH 20 2020. TEMP. STOPPED ON APRIL 9 DUE TO PANDEMIC. Permanent  STOPPED ON SEPT. 30 2020.</t>
  </si>
  <si>
    <t>REPLACEMENT OF L06_DPVE_015E_DW. APPROVED ON NOV. 27 2020. STOPPED ON DEC 19 2020.CONSECUTIVE ASSAY GRADE</t>
  </si>
  <si>
    <t>L09_GHVFW_032W_STOPE PREP</t>
  </si>
  <si>
    <t>L09_GHV_062E_STOPE PREP</t>
  </si>
  <si>
    <t>ADDITIONAL VERTICAL DEVELOPMENT. APPROVED ON OCT. 5 2020. temporary stopped on Nov. 11 2020 due to insufficient manpower. Resumed on Nov. 12 2020. stopped on Dec. 8 2020.</t>
  </si>
  <si>
    <t>L08_JVSPLIT_061E_STOPE PREP</t>
  </si>
  <si>
    <t xml:space="preserve">REVITA </t>
  </si>
  <si>
    <t>L05_DPVE_034E_STOPE PREP</t>
  </si>
  <si>
    <t>REPLACEMENT OF L05_CTV_039E_WINZE. APPROVED ON APRIL 6 2020.STOPPED ON MAY 19 2020 DUE TO PINCHED OUT VEIN. Resumed on May 29,2020.Stopped on May 30 2020. intercepted to an Old Raise. Resumed on June 2 2020. STOPPED ON JUNE 8 2020 TO PROCEED STOPE PREP. Resumed on Sept. 15 2020. Stopped on Oct 31 2020.Already finished ISL. Temporary stopped on December 22,2020 delay due to stope prep.</t>
  </si>
  <si>
    <t>ADDITONAL VERTICAL DEVELOPMENT. APPROVED ON NOVEMBER 28,2020. Temporary stopped on December 22,2020 due to delay to stope prep.</t>
  </si>
  <si>
    <t>L08_NONE_021E_CHAMBER</t>
  </si>
  <si>
    <t>ADDITIONAL VERTICAL RAISE. APPROVED ON NOV. 13 2020. TEMPORARY STOPPED ON NOV. 14 2020. Resumed on Nov 20,2020. STOPPED ON DEC 22 2020 DUE TO CONSECUTIVE LOW ASSAY GRADES ON CUT SAMPLES/ BULK SAMPLES.</t>
  </si>
  <si>
    <t>Approved on Aug 8, 2020.0 REPLACEMENT OF L06 JV 046E DW. Stopped on September 10,2020 due to breakthrough.transferred from Banez to Shepherd AA and RESUMED ON NOV 17 2020. TEMPORARY STOPPED ON DEC 8 2020. DUE TO UNSKILLED MINERS. resumed on 12/9/20 at the same time transfer from SHEPHERD AA TO BADBADON, R1. TRANSFER FROM BADBADON R1 TO REVITA ON 12/21/20 for limited operations. STOPPED ON DEC. 22 2020 DUE TO CONSECUTIVE LOW ASSAY GRADE ON CUT SAMPLE / BULK SAMPLE.</t>
  </si>
  <si>
    <t>REPLACEMENT OF L04 JVHW 26W STOPE PREP APPROVED ON MAY 25, 2018/LTS. STOPPED BREAKING ON SEPTEMBER 1,2018. CONVERT TO PULL-OUT CLEANING. STOPPED ON OCTOBER 10,2018 DUE TO CONSECUTIVE LOW GRADE ASSAY RESULTS. RESUMED ON NOV. 25 2020 AS PART OF LIST ON STOPE ORE INVENTORY THAT NEEDS TO BE OPENED. TRANSFERRED FROM CABCAD TO MANZANO ON NOV. 25, 2020.TEMP.STOPPED ON DEC. 21 2020</t>
  </si>
  <si>
    <t>ADDITIONAL HORIZONTAL DEVELOPMENT. APPROVED ON NOV. 25 2020. STOPPED PINCHED OUT VEIN DEC 19, 2020.</t>
  </si>
  <si>
    <t>REPLACEMENT OF L09_NONE_076E_XCN. APPROVED ON MARCH 20 2020. Temp stopped on May 11, 2020 to do raise prep. Resumed on May 21 2020 raise preparation already Finished. Temporary stopped on June 27, 2020. Resumed on July 18, 2020. Stopped on Aug 3, 2020. Resumed on Aug 26, 2020 at the same time transferred from DELOS REYES V. to CAPPUYO 2. Temp stopped on Sept 15, 2020 for raise preparation. Resumed on Sept 24, 2020. TEMPORARY STOPPED ON OCT 14 2020 DUE TO PRIORITIZED DEVELOPMENT @ L09_DPVE2_080E_STOPE PREP. RESUMED ON OCT 15 2020. temporary stopped on Nov 14 2020 to prioritize raise prep.RENAMED FROM L09 DPVE 078E DE TO DPVE2 75E DE On Nov 16 2020. Resumed on Dec 4 2020 at the same time renamed from L09 DPVE2 075E DE TO L09_DPVE2_088E_DE and transferred from Babor to BALANGHIG 1.temporarily stopped on Jan 5 2020 to prioritized Stope prep</t>
  </si>
  <si>
    <t>REPLACEMENT OF L09 DPVE2 075E DE. APPROVED ON NOV 16 2020. TRANSFER FROM BABOR 4 TO ALMEDORA 1 DUE TO LACK OF MANPOWER ON 11/27/20 temporarily stopped on Jan 5 2020 to prioritized Stope prep</t>
  </si>
  <si>
    <t>REPLACEMENT OF L09_JVFW_049E_WINZE. APPROVED ON NOV. 27 2020. TEMP. STOPPED ON DEC 1, 2020 TO PRIORITIZE TURNOUT PREP OF L09 GHV 061E DE.Resumed on December 10,2020 at the same time transfer from CAPPUYO 1 TO DELOS REYES V 3. temporarily stopped on Jan 5 2020 to prioritized Stope prep</t>
  </si>
  <si>
    <t>REPLACEMENT OF L05 CTV 013E WINZE STOPE PREP. APPROVED ON NOV. 11 2020. Stopped breaking on Dec. 4 2020 converted to pull out cleaning. Stopped on January 5 2021 already mined out.</t>
  </si>
  <si>
    <t>REPLACEMENT OF L05 CTV 039E DE. APPROVED ON OCT 31 2020. renamed from L05 CTV 040E ROBBING TO 037E ROBBING on NOV 14 2020 TO AVOID MISCHARGING. Stopped on Dec 28 2020 already mined out.</t>
  </si>
  <si>
    <t>REPLACEMENT OF L05_DPVE_042E_DE. APPROVED ON JUNE 3 2020.TRANSFER FROM PMC MINERS 1 TO PANCIT, NOEL 3 FORMER TEAM WAS TRANSFERRED TO SPECIAL PROJECT ON AUGUST 17 ,2020. TEMP. STOPPED ON SEPT. 16 2020 STOPE PREP ONGOING. Resumed on sept. 28 2020. Temporary stopped on November 28,2020 to do follow up raise. resumed on 12/2/20. temporary stopped on Dec 26 2020 to prioritized dpve 034e stope prep</t>
  </si>
  <si>
    <t xml:space="preserve"> BALANGHIG</t>
  </si>
  <si>
    <t>REPLACEMENT OF L09 GHV 060E STOPE PREP. APPROVED ON OCTOBER 11,2018. STOPPED BREAKING ON MAY 15,2019 CONVERT TO PULL-OUT. STOPPED ON SEPT 13, 2019 PROCEED TO RAISING. RESUMED ON SEPT. 24, 2019. STOPPED ON OCT 17, 2019 ALREADY MINE OUT 20%. Resume pull out on 12/9/20 at the same time transfer from PANSIT 6 TO REBOTE 2. TEMPORARY STOPPED ON JAN 6 2021</t>
  </si>
  <si>
    <t>L04_CTV_025E_WINZE</t>
  </si>
  <si>
    <t>ADDITIONAL SOURCE OF GOOD ORE. APPROVED ON AUGUST 26 2020. MINED OUT JAN 7, 2021</t>
  </si>
  <si>
    <t>REPLACEMENT OF L04_JV_056W_RAISE. APPROVED ON SEPT. 16 2020. ON NOVEMBER 9 2020 STOPPED CROWN &amp; CONVERTED TO SILL PILLAR. MINED OUT JAN 07 2021</t>
  </si>
  <si>
    <t>ADDITIONAL VERTICAL DEVELOPMENT APPROVED ON OCT. 20 2020. TRANSFERRED FROM PMC MINERS TO SHEPHERD AA ON NOV. 17 2020. transfer from SHEPHERD AA TO FERNANDEZ, REX ON 12/21/20 for limited operations. Stopped due to consecutive low grade QA/QC Jan 7, 2021</t>
  </si>
  <si>
    <t>L05_CTV_015E_WINZE STOPE PREP</t>
  </si>
  <si>
    <t xml:space="preserve">REPLACEMENT OF L06_038E_DW APPROVED ON OCT. 9 2020. TEMPORARY STOP NOV 21, 2020. Resume Jan 09, 2021, return of manpower </t>
  </si>
  <si>
    <t>L05_DPVE_044E_DE</t>
  </si>
  <si>
    <t>L04_NONE_007W_XCN</t>
  </si>
  <si>
    <t>ADDITIONAL VERTICAL DEVELOPMENT. APPROVED ON DECEMBER 30, 2019. stopped on Feb 27 2020 . connected to Level 6 Old drive.RESUMED ON DEC. 9 2020.stopped on jan  11 2021</t>
  </si>
  <si>
    <t>REPLACEMENT OF L10 JVFW 067E DW. Approved on July 1, 2020. TEMPORARY STOPPED ON OCT 2 2020.LACK F MANPOWER. Permanently stopped on Jan  11 2021</t>
  </si>
  <si>
    <t>ADDITIONAL HORIZONTAL DEVELOPMENT.APPROVED ON DECEMBER 28, 2018. TEMPORARY STOPPED ON JANUARY 10,2019 DUE TO MANPOWER AND THE ACCESS IS USE AS MAINLINE. RESUMED ON NOV 10 2020 @ THE SAME TIME TRANSFERRED FROM BELICAN 1 TO TORMIS 2. temporarily stopped on Dec 21 2020 to prioritized Stope prep</t>
  </si>
  <si>
    <t>GRADE CONTROL CHAMBER EXTENSION. APPROVED ON DEC. 23 2020. ALREADY FINISHED ON JAN 2 2021</t>
  </si>
  <si>
    <t>COMAINGKING, RICS</t>
  </si>
  <si>
    <t>REPLACEMENT OF L07 JV 015E DW. APPROVED ON JULY 6, 2020 ALREADY FINISHED ON JAN 11 2021</t>
  </si>
  <si>
    <t>L08_GHV_006W_WINZE STOPE PREP</t>
  </si>
  <si>
    <t>REPLACEMENT OF L06_JVSPLIT_013W_STOPE PREP. APPROVED ON DEC 3 2020.STOPPED ON JAN. 12, 2021 DUE TO CONSECUTIVE LOW ASSAY GRADES ON CUT SAMPLES/BULK SAMPLES.</t>
  </si>
  <si>
    <t>L10_DPVE_048E_DW</t>
  </si>
  <si>
    <t>BANEZ, ARIEL</t>
  </si>
  <si>
    <t>ADDITIONAL APPROVED ON JULY 13, 2018/BBB. Temporary stopped on July 16,2018. TEMPORARY STOPPED DUE TO PROHIZE 48E CHAMBER ON AUGUST 2, 2018.RESUMED ON AUGUST 31, 2018. Stopped on September 17,2018 to do siltation pond. Resumed on May 25,2020 at the same time transfer from HANGDAAN 2 TO TAÑEZA 5. TEMPORARY STOPPED ON JULY 22 2020 DUE TO FOLLOW UP RAISE. RESUMED ON JULY 27 2020.temporary stopped on August 19,2020. RESUMED ON SEPTEMBER 1 2020. STOPPED ON OCT 16 2020 CONSECUTIVE PINCHED OUT VEIN. RESUMED ON DEC 13 2021 AND RENAMED FROM DPVE 047E DW&amp; TRANSFERRED FROM TANEZA TO BANEZ</t>
  </si>
  <si>
    <t>PROPOSED FOR ELECTRICAL SUBSTATION WITH MINOR WIDENING, APPROVED ON DEC. 3 2020. ALREADY FINISHED ON JAN 13 2021 as per Paronda</t>
  </si>
  <si>
    <t>REPLACEMENT OF L05_DPVE_038E_STOPE PREP. APPROVED ON OCT. 10 2020. Convert to pull out cleaning on November 19,2020 due to exclusion zone at the decline. STOPPED ON JAN 5 2021, ALREADY MINED OUT.</t>
  </si>
  <si>
    <t xml:space="preserve">REPLACEMENT OF L08_JVFW_061E_DE.APPROVED ON AUGUST 21, 2020. STOPPED ON OCT. 21 2020 REACHED THE TARGETTED INCLINED RAISE. RESUME ON 1/13/21 AT THE SAME TIME TRANSFERRED TO LERIO. </t>
  </si>
  <si>
    <t>L07_JVHW_075E_WINZE STOPE</t>
  </si>
  <si>
    <t>L09_DPVE2_049E_RAISE</t>
  </si>
  <si>
    <t>L09_JV_059E_STOPE PREP</t>
  </si>
  <si>
    <t>L05_CTV_026E_WINZE</t>
  </si>
  <si>
    <t>L07_CTV_010E_WINZE</t>
  </si>
  <si>
    <t>L09_DPVE_060E_RAISE</t>
  </si>
  <si>
    <t>L05_DPVE_033E_STOPE PREP</t>
  </si>
  <si>
    <t>REPLACEMENT OF L04_CTV_019W_DE. Sept. 30 2020 -TOPSLICE CONVERTED TO SILL ON NOV. 28 2020. Stopped due to poor vein mineralization</t>
  </si>
  <si>
    <t>ADDITIONAL SOURCE OF GOOD ORE. APPROVED ON AUGUST 28 2020. Stopped  sill on Nov 26 2020 change heading from sill to crown. Stopped on Jan 14, 2021 reached the mining length for crown pillar</t>
  </si>
  <si>
    <t>L04_CTV_010E_WINZE</t>
  </si>
  <si>
    <t>REPLACEMENT OF L09 DPVE2 080E RAISE. Approved on July 7, 2020. Temporary stopped on Sept 7, 2020 to drive raise L09_GHVFW_025E_RAISE. Resumed on Sept 14, 2020 at the same time transferred from PANSIT to SHEPHERD R. Temporarry stopped on Oct 5, 2020 to drive inclined raise. Resumed on Oct 9, 2020. STOPPED ON JAN 14 2021</t>
  </si>
  <si>
    <t>REPLACEMENT OF L04_GHVSPLIT_041W_STOPE PREP. APPROVED ON AUGUST 11 2020. Renamed from GHVSPLIT TO GHVFW ON SEPTEMBER 13,2020 AS PER MEMO OF LEVEL GEO. STOPPED BREAKING ON NOV. 30 2020 CONVERTED TO PULL OUT CLEANING. ALREADY FINISHED ON JAN 13 2021.</t>
  </si>
  <si>
    <t>ADDITIONAL SOURCE OF GOOD ORE. APPROVED ON DEC. 8 2020. Mined out Jan 15, 2020</t>
  </si>
  <si>
    <t xml:space="preserve">REPLACEMENT OF L10 GHVHW 077E DE. APPROAVED ON NOVEMBER 20,2020.STOPPED ON 1/15/21 to proceed on drift. </t>
  </si>
  <si>
    <t>REPLACEMENT OF L08_GHV_040W_DW. APPROVED ON SEPT. 4 2020. TRANSFERRED FROM SHEPHERD X TO VILLARANTE  ON DEC 8 2020. STOPPED ON DEC 15 2021 DUE TO UNSAFE CONDITION.</t>
  </si>
  <si>
    <t>REPLACEMENT OF L06_CTV_004W_ROBBING. APPROVED ON OCT. 6 2020.TEMPORARY STOPPED ON NOV 20 2020 TO PRIORITIZE RAISE. RESUME NOV 23, MANPOWER IS BACK. Temp. Stopped on Nov.  24 2020. RESUME DEC 20, 2020. STOPPED ON JANUARY 13 2021 ALREADY BREAKTHROUGH.</t>
  </si>
  <si>
    <t>REPLACEMENT OF L07_GHVHW_048E_WINZE. APPROVED ON NOV. 10 2020. STOPPED ON JAN 16, 2021 DUE TO POOR VEIN TEXTURE AND MINERALIZATION CAUSING BELOW CUT OFF GRADES</t>
  </si>
  <si>
    <t>REPLACEMENT OF L10_JVFW_072E_DW. APPROVED ON SEP. 07 2020.STOPPED ON NOVEMBER 9,2020.TO PROCEED BLOCKING RAISE. RESUMED ON 12/15/20 to do vertical raise. STOPPED JAN 16, 2021 PINCHING OUT VEIN DUE TO PARALLEL FAULT</t>
  </si>
  <si>
    <t>L08_JVSPLIT_024W_RAISE</t>
  </si>
  <si>
    <t>ADDITIONAL DEVELOPMENT DRIVE. APPROVED ON NOV. 19 2020. RESUMED AND transfer from PMC MINERS 1TO BANEZ ON JAN  11 2021. stopped on january 18, 2021, recommended target length has been reached.</t>
  </si>
  <si>
    <t>L06_JVSPLIT_016E_DW</t>
  </si>
  <si>
    <t>TO TARGET THE VEIN DISPLACEMENT OF L08 GH V 030W INCLINED RAISE. APPROVED ON DECEMBER 1,2020. STOPPED ON JAN 19 2021 DUE TO ALREADY REACHED ON THE AGREED STRIKE LENGTH.</t>
  </si>
  <si>
    <t>L06_CV_004W_STOPE PREP</t>
  </si>
  <si>
    <t>L04_EDV_017W_DE</t>
  </si>
  <si>
    <t>L04_EDV_021W_DW</t>
  </si>
  <si>
    <t>L06_DPVE_015E_RAISE</t>
  </si>
  <si>
    <t>L05_CTV_013W_RAISE</t>
  </si>
  <si>
    <t>REPLACEMENT OF L07 JVHW 068E STOPE PREP. APPROVED ON NOV. 28, 2020. STOPPED BREAKING ON JANUARY 21 2021 CONVERTED TO PULL OUT CLEANING.</t>
  </si>
  <si>
    <t>REPLACEMENT OF L10_JVFW_063E_STOPE PREP. APPROVED ON APRIL 24 2020. Newly assigned (SHEPHERD AE) team leader; from sub-team leader of DUHIG July 3, 2020. STOPPED BREAKING ON OCT. 21 2020 CONVERTED TO PULL-OUT CLEANING. NO MORE MUCK TO BE PULL OUT STOPPED ON JANUARY 19 2021.</t>
  </si>
  <si>
    <t>L10_JV_064E_DW</t>
  </si>
  <si>
    <t>MINE PLANNING ENGINEER</t>
  </si>
  <si>
    <t>L06_CTV_002W_RAISE</t>
  </si>
  <si>
    <t>L08_GHV_021E_RAISE</t>
  </si>
  <si>
    <t>REVITA</t>
  </si>
  <si>
    <t>L09_DPVE_020E_RAISE</t>
  </si>
  <si>
    <t xml:space="preserve">REPLACEMENT OF L08 GHVFW 043E WINZE. APPROVED ON AUGUST 18,2020. Stopped on August 26 2020 due to made a breakthrough. Resumed on Sept 1, 2020 to drive another fill winze. Stopped on September 07.2020 already break through.RESUMED ON 12/2/2020 @ THE SAME TIME TRANSFERRED FROM VILLARANTE TO LERIO FOR ADDITIONAL FILL WINZE. stop on 1/12/2021 already made its breaktrhough to the existing old stope. </t>
  </si>
  <si>
    <t xml:space="preserve">REPLACEMENT OF L07_JVHW_071E_DW.APPROVED ON AUGUST 18,2020. CONVERTED TO TOPSLICE ON AUGUST 25 2020. STOPPED ON NOV. 11 2020 ALREADY MINED OUT. Resumed on December 14,2020 at the same time transfer from CAYABAS 2 TO SHEPHERD P2..STOP ON 1/23/2021 ALREADY DONE WITH THE EXCAVATION. </t>
  </si>
  <si>
    <t>L07_JVFW_038E_WINZE</t>
  </si>
  <si>
    <t>L08_NONE_069E_XCN</t>
  </si>
  <si>
    <t>REPLACEMENT OF L09 DPVE2 047E DE. APPROVED ON NOV 21 2020. STOPPED ON JANUARY 21 2021.</t>
  </si>
  <si>
    <t>ADDITIONAL VERTICAL DEVELOPMENT. APPROVED ON DEC. 1 2020. STOPPED ON JANUARY 20 2021.</t>
  </si>
  <si>
    <t>L04_CTV_021W_ROBBING</t>
  </si>
  <si>
    <t>L09_JVHW_050E_DE</t>
  </si>
  <si>
    <t>L08_GHV_007E_WINZE</t>
  </si>
  <si>
    <t>REPLACEMENT OF L06_CTV_001E_STOPE PREP APRROVED ON NOV 27 2020, CONVERTED TO PULL OUT AND STOPPED BREAKING ON JANUARY 25 2021</t>
  </si>
  <si>
    <t>L07_GHVFW_029W_STOPE</t>
  </si>
  <si>
    <t>REPLACEMENT OF L07 GHVFW 029W RAISE. APPROVED ON DECEMBER 7,2020. STOPPED ON JANUARY 25 2021 CONVERTED TO ACTIVE BREAKING.</t>
  </si>
  <si>
    <t>REPLACEMENT OF L06_JVFW_014W_DW. APPROVED ON NOV. 27 2020. STOPPED ON JANUARY 25 2021 DUE TO BREAKTHROUGH.</t>
  </si>
  <si>
    <t>REPLACEMENT OF L08 GHV 033W STOPE PREP. APPROVED ON JULY 22,2020. STOPPED ON JANUARY 13 2021 CONVERTED TO PULL OUT CLEANING.</t>
  </si>
  <si>
    <t>REPLACEMENT OF L08_JVSPLIT_068E_DE.  APPROVED ON SEPT. 4 2020. STOPPED ON JANUARY 11 2021 ALREADY RTEACVHED THE AGREED STRIKE LENGTH.</t>
  </si>
  <si>
    <t>L05_NONE_012W_SUMP</t>
  </si>
  <si>
    <t>ADDITIONAL VERTICAL DEVELOPMENT. APPROVED ON JANUARY 25 2021. TEMP. STOPPED ON JANUARY 26 2021 TO RE EVALUATE LOCATION TO RESOLVE COMFLICT IN 12E SHAFT.</t>
  </si>
  <si>
    <t>REPLACEMENT OF L09_NONE_076E_XCN. APPROVED ON OCT. 6 2020. Renamed to L09_DPVE2_047E_DE. STOPPED ON NOV. 82020. RESUMED ON JANUARY 14 2021. TEMPORAY STOPPED ON JANUARY 26 2021 TO PROCEED DRIFT.</t>
  </si>
  <si>
    <t>REPLACEMENT OF L10_JVSPLIT_075E_STOPE PREP. APPROVED ON JUNE 11 2020. ON NOV. 9 2020 CONDUCTING FILL RAISES FOR BREAKTHROUGH AT LEVEL 9 MAINLINE REMAINING BALANCE IS 5 METERS, SEE ATTACHED MAP FOR REFERENCE. STOPPED ON DEC 9 2020 CONVERTED TO PULL OUT CLEANING. STOPPED ON JANUARY 26 2021 ALREADY FINISHED.</t>
  </si>
  <si>
    <t>REPLACEMENT OF L09 DPVE2 077E DE. APPROVED ON DECEMBER 10,2020. stopped on jan 26, 2021 because the vein's lateral extension continues to pinch out due to cross cutting parallel faults</t>
  </si>
  <si>
    <t>REPLACEMENT OF L05_CTV_012W_DW. APPROVED ON MARCH 17 2020. TEMPORARY TRANSFERRED FROM SHEPHERD AC TO SHEPHERD W ON MAY 11 2020. Stopped on June 13, 2020; possible to breakthrough to an old heading. RESUMED ON NOV. 9 2020. STOPPED JAN 22, 2021</t>
  </si>
  <si>
    <t>L09_DPVE2_086E_STOPE</t>
  </si>
  <si>
    <t>REPLACEMENT OF L09 DPVE2 086E RAISE. APPROVED ON NOV. 18 2020. Transfer from BABOR 1 TO PMC MINERS 1 ON DECEMBER 21,2020 to do follow up raise.TRANSFERRED FROM PMC MINERS TO BALANGHIG ON JAN 6 2021. FINISHED ON JAN 26 2021</t>
  </si>
  <si>
    <t>L10_JVFW_067E_STOPE</t>
  </si>
  <si>
    <t>REPLACEMENT OF L09 NONE 011E XCS.APPROVED ON NOV 13 2020. TEMPORARY STOPPED ON JANUARY 28 2021 DUE TO PRIORITIZE PROPOSED RAISE.</t>
  </si>
  <si>
    <t>L10_DPVE_056E_DW</t>
  </si>
  <si>
    <t>L09_JVHW_012E_RAISE</t>
  </si>
  <si>
    <t>ADDITIONAL HORIZONTAL DEVELOPMENT. APPROVED ON OCT 19 2020.temporary stopped on 12/7/20 to drive inclined raise. Resumed on Dec 8 2020.Temp. stopped on January 30 2021 For further evalaution on the vein characteristics and prioritize work headings near the area.</t>
  </si>
  <si>
    <t>REPLACEMENT OF L05_DPVE_041E_STOPE PREP. APPROVED ON SEPT. 09 2020. convert to pull out cleaning on November 19,2020 due to exclusion zone at the decline TEMPORARY STOPPED ON JAN 30, 2021 MANPOWER TRANSFERRED TO L05 012W SUMP CHAMBER</t>
  </si>
  <si>
    <t>ADDITIONAL SOURCE OF STOPE ORE. APPROVED ON DEC 21 2020.TEMPORARY STOPPEDON JAN 6 2021. TEMPORARILY STOPPED ON JAN 28, 4W MAINLINE COLLAPSED</t>
  </si>
  <si>
    <t>L10_GHVHW_079E_STOPE</t>
  </si>
  <si>
    <t>ADDITIONAL SOURCE OF GOOD ORE. APPROVED ON NOV. 25 2020. STOPPED JAN 28, CONVERTED TO BREAKING</t>
  </si>
  <si>
    <t>REPLACEMENT OF L07 NONE 30W XCN. APPROVED ON MAR 18 2020. Temporary transferred from DOLARIZA 1 to FERNANDEZ, REX 2 on April 16, 2020. Temporary stopped on April 23,2020. Resumed on April 27 2020.TRANSFER FROM FERNANDEZ, REX TO BORERO ON MAY 11,2020.temp stopped on may 28, 2020 due to wastepass full.Resumed on May 302020.  temporary stopped on Sept 1,2020.RESUMED ON SEPT 15 2020.TEMPORARY STOPPED ON OCT 10 2020 TO FOLLOW UP RAISE. RENAMED FROM GHV 029W DW TO GHV 028W DW. RESUMED ON NOV. 4 2020.Renamed vein name from GHV to GHVFW on NOV 25 2020. TEMP STOPPED ON DEC 7 2020 DUE TO UNSERVICEABLE AREA. RESUMED ON JAN 14 2021.STOPPED ON JAN 29 2021</t>
  </si>
  <si>
    <t>REPLACEMENT OF L10_JVSPLIT_005E_STOPE PREP.APPROVED ON JULY 9 2020. STOPPED BREAKING CONVERT TO PULL OUT CLEANING ON DECEMBER 8 2020.STOPPED ON JANUARY 31 2021 FINISHED HEADING.</t>
  </si>
  <si>
    <t>REPLACEMENT OF L10_JVFW_052E_STPOPE.APPROVED ON NOVEMBER 09,2020. STOPPED ON DEC 10 2020 CONVERT TO  ON VEIN. RESUME ON 1/12/21  AND RENAME FROM L10_NONE_068E_XCN to L10_NONE_070E_XCN. STOPPED ON JANUARY 25 2021 FINISHED HEADING.</t>
  </si>
  <si>
    <t>L08_JVSPLIT_061E_STOPE</t>
  </si>
  <si>
    <t>PANCIT NOEL</t>
  </si>
  <si>
    <t>REPLACEMENT OF L07_GHV_031W_DW. APPROVED ON NOV. 24 2020. RENAMED FROM L07_GHVSPLIT_030W_RAISE ON NOV 26 2020. stopped on Jan 29 2021, pinched out vein</t>
  </si>
  <si>
    <t>L04_NONE_024W_XCN</t>
  </si>
  <si>
    <t>ADDITIONAL VERTICAL DEVELOPMENT. APPROVED ON OCT. 7 2020. STOPPED ON FEBRUARY 2 2021 ALREADY BREAKTHROUGH.</t>
  </si>
  <si>
    <t>MARTINEZ, RONALD 2</t>
  </si>
  <si>
    <t>MARTINEZ RONALD  3</t>
  </si>
  <si>
    <t>REPLACEMENT OF L07_JVFW_038E_STOPE. APPROVED ON NOV. 24 2020. TEMPORARY STOPPED TO DRIVE RAISE. APPROVED  ON DECEMBER 14,2020.CONVERTED TO L07 DPVE 046E RAISE. RESUMED ON DEC 17 2020. STOPPED ON FEB 4 2021 DUE TO CONSECUTIVE LOW ASSAY GRADES ON CUT SAMPLES / BULK SAMPLE.</t>
  </si>
  <si>
    <t>REPLACEMENT OF L06_GHVSPLIT_034W_ROBBING. APPROVED ON DEC. 15 2020. STOPPED ON FEB 4 2021 DUE TO CONSECTUIVE LOW ASSAY GRADES ON CUT SAMPLE / BULK SAMPLE.</t>
  </si>
  <si>
    <t>REPLACEMENT OF L07 GHV 029W DW. APPROVED ON OCT. 10 2020. stopped on Dec 3 2020 due to pinched out vein.RSUMED ON JAN 26 2021. STOPPED ON JAN 31 2021</t>
  </si>
  <si>
    <t>REPLACEMENT OF L09_DPVE2_046E_DW. APPROVED ON JANUARY 14 2021. STOPPED ON FEB. 4 2021.</t>
  </si>
  <si>
    <t>L07_GHV_033W_WINZE</t>
  </si>
  <si>
    <t>REPLACEMENT OF L06_JVSPLIT_013W_STOPE PREP. APPROVED ON DEC 3 2020.STOPPED ON JAN. 12, 2021 DUE TO CONSECUTIVE LOW ASSAY GRADES ON CUT SAMPLES/BULK SAMPLES. Converted to Pull out cleaning. STOPPED ON JAN 26 2021 , ALREADY MINED OUT.</t>
  </si>
  <si>
    <t>L05_JV_027E_DE</t>
  </si>
  <si>
    <t>L09_DPVE2_037E_RAISE</t>
  </si>
  <si>
    <t>REPLACEMENT OF L06_CV_005W_WINZE. APPROVED ON NOV. 13 2020.STOP ON NOV 24, PINCHED OUT VEIN, NO FURTHER DRILLING TARGET. STOPPED FEB 6 2021. VEIN PINCHED OUT</t>
  </si>
  <si>
    <t>REPLACEMENT OF L10_GHV_062E_STOPE PREP. APPROVED ON MARCH 17 2020. ON APRIL 29 2020 REMARKS MINOR STABBING OF WALLROCK WAS OBSERVED DUE TO PARALLEL FAULT STRUCTURES. THUS RECOMMENDED TO INSTALL ISLAND PILLARS TO MINIMIZE SECONDARY DILUTION. STOPPED BREAKING ON SEPT 29 2020 CONVERTED TO PULL OUT CLEANING. TEMP STOPPED ON FEB 1 2021 DUE TO UNSERVICEABLE AREA.</t>
  </si>
  <si>
    <t>L08_NONE_012W_XCN</t>
  </si>
  <si>
    <t>L06_JVSPLIT_020E_DW</t>
  </si>
  <si>
    <t>REPLACEMENT OF L09_JV_057E_RAISE. APPROVED ON JAN 23 2021.stopped on feb 8 2021. already reached projected length</t>
  </si>
  <si>
    <t>REPLACEMENT OF L08_GHV_004E_DE. APPROVED ON OCT. 21 2020.STOPPED ON FEB 8 2021</t>
  </si>
  <si>
    <t>REPLACEMENT OF L07_JVHW_054E_STOPE PREP. APPROVED ON SEPT. 21 2020. TEMPORARY STOPPED ON NOV. 28 2020 TO DRIVE INCLINED RAISE. Converted to pull out on Jan 11 2021. STOPPED ON FEB. 4 2021 ALREADY MINED OUT.</t>
  </si>
  <si>
    <t>REPLACEMENT OF L10 DPVE 033E DE. APPROVED ON OCT 26 2020.TEMPORARY STOPPED TO PRIORITIZE L10_DPVE_033E_DE.STOPPED ON NOVEMBER 09,2020. Resumed on Nov. 19 2020.STOPPED ON FEB. 8 2021 DUE TO ALREADY RECHED THE 25METER EXCLUSION ZONE OFLEVEL 9 EXPLOSIVE MAGAZINE.</t>
  </si>
  <si>
    <t>L07_GHV_025W_RAISE</t>
  </si>
  <si>
    <t>L09_DPVE_076E_DE</t>
  </si>
  <si>
    <t>L06_CTV_007W_RAISE</t>
  </si>
  <si>
    <t>REPLACEMENT OF L09_GHVFW_023E_RAISE.APPROVED ON NOV 21 2020.TRANSFER FROM DELOS REYES V2 TO PANSIT 1 ON 11/27/20 former Group will be driving horizontal drive. STOPPED ON FEB 9 2021 DUE T O CONSECUTIVE LOW ASSAY GRADE ON CUT SAMPLE AND BULK SAMPLES.</t>
  </si>
  <si>
    <t>ADDITIONAL VERTICAL DEVELOPMENT. APPROVED ON JAN 12 2021. STOPPED ON FEB. 9 2021 DUE TO PINCHED OUT VEIN.</t>
  </si>
  <si>
    <t>ADDITIONAL VERTICAL DEVELOPMENT. APPROVED ON OCT. 19 2020. STOPPED ON FEB. 9 2021 DUE TO CONSECUTIVE LOW ASSAY GRADE ON CUT SAMPLE.</t>
  </si>
  <si>
    <t>REPLACEMENT OF L09_JVFW_073E_STOPE PREP. APPROVED ON SEPT 08 2020.TEMPORARY STOPPED ON NOVEMBER 08,2020.TO DRIVE INCLINE RAISE FOR SAFETY PURPOSES. Resumed on November 19,2020. Stopped on Dec 3 2020 due to the western manway is not accessible due to off vein development., and Unsafe condition. Converted to Pull out cleaning on Dec 3 2020. STOPPED ON FEB. 10 2021 ALREADY MINE OUT.</t>
  </si>
  <si>
    <t>L09_JVSPLIT_008E_RAISE</t>
  </si>
  <si>
    <t>REPLACEMENT OF L07 JVHW 068E STOPE PREP. APPROVED ON NOV. 28, 2020. STOPPED BREAKING ON JANUARY 21 2021 CONVERTED TO PULL OUT CLEANING. STOPPED ON FEB 10 2021  ALREADY MINED OUT.</t>
  </si>
  <si>
    <t>L07_GHV_028W_DE</t>
  </si>
  <si>
    <t>Replacement of L10_JVSPLIT_066E_STOPE PREP. APPROVED ON JULY 23 2020. ON NOV 9 2020 THE LEVEL GEO. OBSERVATION, THIS WORKING PLACES IS RECOMMENDING FOR IPR. TRANSFERRED FROM SHEPHERD V. TO SHEPHERD AE 2 ON NOV. 17 2020. ON FEB 2021 THE CONDUCTING FILL RAISE FOR BREAKTHROUGH AT LEVEL 9 ELEVATION REMAINING BALANCE IS 8.0 METER. STOPPED BREAKING ON FEB. 10 2021 CONVERTED TO PULL OUT CLEANING.</t>
  </si>
  <si>
    <t>L09_DPVE2_045E_DE</t>
  </si>
  <si>
    <t>L09_GHV_070E_DE</t>
  </si>
  <si>
    <t>NEW VERTICAL DEVELOPMENT. APPROVED ON OCT 9 2020. TEMPORARY STOPPED ON OCT. 23 2020 DUE TO PANDEMIC. RESUME ON 1/13/21 AT THE SAME DATE, TRANSFERRED FROM DEMALATA TO LERIO. STOPPED BREAKTHROUGH ON FEB 11</t>
  </si>
  <si>
    <t>TO DO REGRADING  AND CONNECT OTHER MAINLINE FOR HAULAGE PURPOSES. APPROVED ON FEB 4 2021. STOPPED ACTIVITY REGRADING FINISHED ON FEB 11</t>
  </si>
  <si>
    <t>L08_GHV_006W_WINZE STOPE</t>
  </si>
  <si>
    <t>REPLACEMENT OF LO8_GHVSPLIT_006W_DW APPROVED ON JANUARY 13, 2021 CONVERT TO BREAKING ON FEB 11</t>
  </si>
  <si>
    <t>L04_JVSPLIT_024W_DW</t>
  </si>
  <si>
    <t>L04_CTV_019W_RAISE</t>
  </si>
  <si>
    <t>L04_CV_015W_ROBBING</t>
  </si>
  <si>
    <t>REPLACEMENT OF L10_GHVHW_058E_STOPE PREP. APPROVED ON SEPT. 12 2020.ALREADY FINISHED DRIVING INTERNAL PROBE RAISE.RECOMMENDED FOR PULL OUT.APPROVED ON FEB.11,2021.</t>
  </si>
  <si>
    <t>L04_NONE_005W_SUMP</t>
  </si>
  <si>
    <t>L09_JVHW_052E_RAISE</t>
  </si>
  <si>
    <t>L06_JV_009E_ROBBING</t>
  </si>
  <si>
    <t>L08_GHVHW_020W_RAISE</t>
  </si>
  <si>
    <t>L09_GHVHW_066E_RAISE</t>
  </si>
  <si>
    <t>L09_GHVHW_068E_RAISE</t>
  </si>
  <si>
    <t>L10_DPVE_062E_RAISE</t>
  </si>
  <si>
    <t>L10_DPVE_071E_RAISE</t>
  </si>
  <si>
    <t>REPLACEMENT OF L08_GHV_023E_WINZE STOPE , APPROVED ON NOV. 27 2020.STOPPED ON FEB .13,2021 MADE A BREAKTHROUGH</t>
  </si>
  <si>
    <t>EXPLORE RESOURCE BLOCKS. APPROVED ON DEC. 15 2020.. TEMP STOP ON 1/12/21. TO PRIORITIZE CROSS-CUT.TEMPORARY STOPPED TO PRIORITIZE RAISE.APPROVED ON FEB.12,2021</t>
  </si>
  <si>
    <t>REPLACEMENT OF L10_JVFW_071E_RAISE, APPROVED ON NOV. 9 2020.STOPPED ON 12/14/20 TO resumed L10 JVSPLIT_071E_RAISE RESUME JAN 16, 2021 RESUME BLOCKING RAISE JVS 072E.STOPPED ON FEB.10,2021.FINESHED HEADING</t>
  </si>
  <si>
    <t>L06_JVSPLIT_019E_RAISE</t>
  </si>
  <si>
    <t>L09_DPVE2_073E_STOPE PREP</t>
  </si>
  <si>
    <t>L08_NONE_035E_CHAMBER</t>
  </si>
  <si>
    <t>REPLACEMENT OF L04_NONE_024W_XCN.APPROVED ON FEB. 12 2021. TEMPORARY STOPPED BECAUSE NO WASTE PASS AVAILABLE FEB 15, 2021</t>
  </si>
  <si>
    <t>L09_GHVFW_029E_RAISE</t>
  </si>
  <si>
    <t xml:space="preserve">REPLACEMENT OF L09_DPVE_025E_DW. APPROVED ON DEC. 2 2020.transferred from Delos reyes to Canoy 1.  on Dec 2 2020. TEMPORARY STOPPED ON FEB 15, 2021 PROCEED TO RAISE PREP
</t>
  </si>
  <si>
    <t>L04_EDV_016W_DW</t>
  </si>
  <si>
    <t>L04_CTV_011E_DE</t>
  </si>
  <si>
    <t>L05_CTV_005E_DW</t>
  </si>
  <si>
    <t>ADDITIONAL VERTICAL DEVELOPMENT. APPROVED ON OCT 7 2020. VEIN WAS CUT BY A FAULT STOP ON FEB 15 2021 PROCEED TO ISL</t>
  </si>
  <si>
    <t>REPLACEMENT OF L06_DPVE_015E_DW. APPROVED ON JAN. 21 2021. REACHED STRIKE LENGTH , BREAKTHROUGH AND LOW GRADE FEB 15, 2021</t>
  </si>
  <si>
    <t>REPLACEMENT OF L09 DPVE2 058E STOPE PREP. APPROVED ON JUNE 30 2020. STOPPED BREAKING ON JANUARY 28 2021. CONVERTED TO ACTIVE PULL OUT CLEANING.STOPPED ON FEB.15,2021 FINISHED HEADING</t>
  </si>
  <si>
    <t>REPLACEMENT OF L07_JVSPLIT_027E_WINZE STOPE PREP.APPROVED ON NOV 14 2020.STOPPED ON FEB.15,2021.CONVERTED TO PULL-OUT.</t>
  </si>
  <si>
    <t xml:space="preserve">ADDITIONAL VERTICAL DEVELOPMENT APPROVED ON OCT. 20 2020.TEMPORARILY STOPPED ON feb jan 11 2021, </t>
  </si>
  <si>
    <t>ADDITIONAL HORIZONTAL DEVELOPMENT. APPROVED ON JULY 15 2020. Transferred from SHEPHERD AC to BAÑEZ 2 on July 20, 2020.TEMPORARY STOPPED ON AUGUST 6,2020 TO PRIORITIZED FOLLOW UP OF RAISE. Resumed on August 10,2020. Stopped on August 14,2020 due to off vein. RESUME ON JAN 14 2021 AND RENAMED FROM L06 JVSPLIT 015E DE TO L06_JVSPLIT_016E_DW.TEMPORARILY STOPPED ON JAN 20 2021. resume on 1/22/21 temporary stop on feb 15, please ask for LM memo</t>
  </si>
  <si>
    <t>REPLACEMENT OF L06_JVSPLIT_017E_WINZE STOPE PREP ON NOV. 16 2020. STOPPED BREAKING ON DEC  8 2020 CONVERTED TO PULL OUT CLEANING MINED OUT on feb 15, 2021</t>
  </si>
  <si>
    <t xml:space="preserve">ADDITIONAL SOURCE OF GOOD ORE.APPROVED ON DECEMBER 14,2020. converted to Sill pillar Robbing- on Jan 28 2021. mined out on feb 5, 2021 please ask LM for the memo </t>
  </si>
  <si>
    <t>REPLACEMENT OF L07 JVHW 058E DW.APPROVED ON NOV 21 2020. STOPPED ON DEC 1 2020.ALREADY REACHED PROJECTED STRIKE LENGTH.RESUMED ON JAN 29 2021.STOPPED ON FEB.16, 2021 DRIVE IS APPROACHING TO ADJACENT MAINLINE HAVING REMAINING BALANCE OF APPROXIMATELY 3M WITH 90M MAINLINE TO MAINLINE DIFF.</t>
  </si>
  <si>
    <t>REPLACEMENT OF L08_GHV_021E_DE. APPROVED ON JANUARY 16 2021.SAFETY CONCERN / UNSAFE CONDITION.STOPPED ON FEB.16,2021 ALREADY CONNECTED  TO L08 MAINLINE</t>
  </si>
  <si>
    <t>L07_JV_056E_WINZE</t>
  </si>
  <si>
    <t>ADDITIONAL VERTICAL DEVELOPMENT. APPROVED ON JANUARY 22, 2021 STOPPED REPALACED BY L06_JVHW_015E_DW ON FEB 15 2021,  RESUME TO STOPE BREAKING.</t>
  </si>
  <si>
    <t>REPLACEMENT OF L04_CTVSPLIT_010E_ROBBING. APPROVED ON JAN. 21 2021. STOPPED CHANGE WORK HEADINGS INTO L04 EDV 022W DW.APPROVED ON FEB.11,2021</t>
  </si>
  <si>
    <t>REPLACEMENT OF L09_DPVE2_049E_RAISE. APPROVED ON JANUARY 21 2021. TEMPORARY STOPEPD ON JANUARY 25 2021 TO PRIORITIZE LEVEL 8 SUMP PROJECT. RESUME ON 2/2/2021 @ THE SAME TIME TRANSFERRED FROM FROM PMC MINERS TO PANCIT NOEL. STOPPED ON FEB 12 2021</t>
  </si>
  <si>
    <t>REPLACEMENT OF L09_DPVE2_034E_STOPE PREP. APPROVED ON SEPT. 23 2020.FOR EVALUATION TO PROPOSE INTERNAL PROBE RAISE.APPROVED ON FEB.12,2021.STOPPED ON FEB.19,2021 BREAKING TO PULL-OUT.</t>
  </si>
  <si>
    <t>L10_GHVHW_036E_RAISE</t>
  </si>
  <si>
    <t>L12_NONE_035E_SHAFT</t>
  </si>
  <si>
    <t>REPLACEMENT OF L10_NONE_039E_XCS. APPROVED ON OCT. 3 2020. TEMPORARY STOPPED ON OCT 21 2020 TO PRIORITIZED L10 GHVHW 037E DW. RESUMED ON FEB 2 2021.STOPPED  ON FEB.19,2021 MADE A BREAKTHROUGH</t>
  </si>
  <si>
    <t>L09_GHVSPLIT_061E_RAISE</t>
  </si>
  <si>
    <t>PANCIT NORMAN</t>
  </si>
  <si>
    <t>L09_DPVE2_048E_STOPE PREP</t>
  </si>
  <si>
    <t>REPLACEMENT OF L09 DPVE2 058E STOPE PREP. APPROVED ON JUNE 30 2020. STOPPED BREAKING ON JANUARY 28 2021. CONVERTED TO ACTIVE PULL OUT CLEANING, VEIN HAD PINCHED OUT DUE TO SPUPPARALLEL &amp; UP PARALLEL FAULTS.STOPPED ON FEB.15,2021</t>
  </si>
  <si>
    <t>REPLACEMENT OF L08 GHV 036E STOPE PREP. APPROVED ON OCTOBER 2,2018.STOPPED BREAKING AT THE SAME TIME CONVERTED TO PULL OUT STAGE ON JAN 21, 2019. STOPPED ON FEB. 21, 2019 DUE TO COLLASED ON MANWAY AS PER EELUNA. Resumed pull out on November 21,2020 at the same time transfer from BORERO 3 TO SHEPHERD AJ 1. temporary stopped on going chute repair on 11/26/20. RESUMED AND RENAMED FROM L08 GHV 036E STOPE to L08_GHV_037E_STOPE AT THE SAME TIME TRANSFERRED FROM SHEPHERD AJ 1 TO SHEPHERD X ON DEC  8 2020.STOPPED ON FEB,16 , 2021. MINED OUT</t>
  </si>
  <si>
    <t>REPLACEMENT OF L10_JVSPLIT_065E_STOPE PREP. APPROVED ON MAY 25 2020. STOPPED BREAKING ON DEC. 16 2020 CONVERTED TO PULL OUT CLEANING. STOPPED ON FEB. 17 2021 DUE TO UNSAFE CONDITION / 93% PULL OUT STATUS.</t>
  </si>
  <si>
    <t>ADDITIONAL VERTICAL DEVELOPMENT. APPROVED ON FEB. 13 2021. STOPPED ON FEB 20, 2021 2ND SHIFT ALREADY BREAKTHROUGH.</t>
  </si>
  <si>
    <t>L10_DPVE_037E_DW</t>
  </si>
  <si>
    <t>ADDITIONAL HORIZONTAL DEVELOPMENT. APPROVED ON JANUARY 19,2019. TEMPORARY STOPPED ON JANUARY 21,2019 TO PRIORITIZED HORIZONTAL DEVELOPMENT ON LEVEL 9. RESUMED ON JAN 26, 2019. TRANSFER FROM TAÑEZA 2 TO PMC MINERS 1 THE FORMER TEAM LEADER WILL BE TRANSFER TO 48E SHAFT AREA TO OPEN PRIORITY HEADINGS APPROVED ON FEBRUARY 20,2019. ALREADY BREAKTHROUGH ON MAY 24, 2019. Resumed on November 7, 2019 at the same time transfer from SHEPHERD Y2 TO MONTEBON 3.Temporary stopped on 2/21/20 to follow up raise. Resumed on March 9 2020. temporary stopped on April 29 2020 due tO obstructed to 10W RAISE PREP. Resumed on May 4 2020. Resumed on May 15,2020. temp. stopped on June 12 2020 to proceed raise. Resumed on June 30, 2020 at the same time renamed from L10 GHV 009E DW to L10 GHV 015W DW. Stopped on August 20 2020 priority lay out of # 3 pe pipes and wait until the 9w_sbf drilling to finish. Resumed on Sept. 9 2020. Temp Stopped on Sept 21,2020 to prioritized controller at 12E shaft. RESUMED ON JANUARY 21 2021. TEMP. STOPPED ON FEB 21, 2020 TO DO DEFINITION DRILLING.</t>
  </si>
  <si>
    <t>L10_DPVE_076E_DE</t>
  </si>
  <si>
    <t>L10_GHVHW_057E_STOPE PREP</t>
  </si>
  <si>
    <t>L10_GHVHW_074E_RAISE</t>
  </si>
  <si>
    <t>L10_JVFW_065E_RAISE</t>
  </si>
  <si>
    <t>L10_DPVE_029E_STOPE PREP</t>
  </si>
  <si>
    <t>L10_DPVE_054E_RAISE</t>
  </si>
  <si>
    <t>BLOCKING RAISE OF L09 DPVE 078E RAISE. APPROVED ON JAN 14 2021. STOPPED ON FEB 12 2021 DUE TO FOR STOPE PREPARATION.</t>
  </si>
  <si>
    <t>ADDITIONAL VERTICAL DEVELOPMENT. APPROVED ON OCT. 21  2020. Temporary Stopped on Nov. 18 2020 due to delayed for newly opened stope preparation. ALREADY CONVERTED TO L10 DPVE 031E ATOPE PREP. APPROAVED ON NOVEMBER 20,2020. RESUMED ON FEB 8 2021.STOPPED ON FEB. 20, 2021 RECOMMENDED FOR STOPE PREPARATION.</t>
  </si>
  <si>
    <t>REPLACEMENT OF L08_GHV_027W_STOPE PREP. APPROVED ON MAY 29 2020. STOPPED BREAKING ON OCT. 21 2020 CONVERTED TO PULL-OUT CLEANING. MINED OUT ON FEB. 10, 2021.</t>
  </si>
  <si>
    <t>L09_GHVHW_069E_DE</t>
  </si>
  <si>
    <t>ADDITIONAL HORIZONTAL DEVELOPMENT APPROVED ON JUNE 26, 2017 AS D ROSIL. TEMPORARILY STOPPED TO PRIORITIZE L07_GHVHW_028E_DW ON SEPT. 21, 2017 AS PER DH ROSIL MEMO. FROM BABOR TRANSFERRED TO ESPADA RESUME ON FEB.19,2021.stopped on feb.20,2021 made a breakthrough</t>
  </si>
  <si>
    <t>L07_DPVE_045E_DE</t>
  </si>
  <si>
    <t>L07_JVHW_064E_ROBBING</t>
  </si>
  <si>
    <t>L07_JV_057E_ROBBING</t>
  </si>
  <si>
    <t>REPLACEMENT OF L09_JVSPLIT_009E_DW. APPROVED ON DEC. 7 2020. TEMP. STOPPED DUE TO LACK OF MANPOWER. ON DEC 08 2020. RESUME ON 1/11/2021.  STOPPED ON FEB.23,2021 ALREADY REACHED THE RECOMMENDED ELEVATION OF THE RAISE.</t>
  </si>
  <si>
    <t>REPLACEMENT OF L04_CTV_025E_ROBBING.APPROVED JAN 7 2021.STOPPED ON FEB.23,2021 ALREADY CONNECTED TOWARD L05 OLD STOPE.</t>
  </si>
  <si>
    <t>REPLACEMENT OF L04 GHV 057W RAISE. APPROVED ON NOV. 28 2020.STOPPED ON FEB.23,2021 ALREADY REACHED THE RECOMMENDED LENGTH OF THE INCLINED RAISE.</t>
  </si>
  <si>
    <t>L04_GHVSPLIT_028W_DE</t>
  </si>
  <si>
    <t>REPLACEMENT OF L08_GHV_054E_STOPE PREP. APPROVED ON AUGUST 27 2020.recommend  IPR at +10mw.STOPED ON FEB.23,2021 CONVERTED TO PULL-OUT</t>
  </si>
  <si>
    <t xml:space="preserve">ADDITIONAL HORIZONTAL DEVELOPMENT APPROVED ON FEB.15,2021.TEMP. STOPPED ON FEB. 22, 2021 BY OPERATIONS FOR FURTHER EVALAUTION ON THE VEIN CHARACTERISTICS. </t>
  </si>
  <si>
    <t>REPLACEMENT OF L08_GHV_029W_DE APPROVED ON JAN 23, 2021. TEMP STOP, MANPOWER TRANSFERRED TO PRIORITIZE 29W ISL FEB 11. Resume on feb 16, 2021 .STOPPED ON FEB.23,2021 ALREADY REACHED THE TARGET VEIN</t>
  </si>
  <si>
    <t>L08_NONE_014E_CHAMBER</t>
  </si>
  <si>
    <t>ADDITIONAL VERTICAL DEVELOPMENT. APPROVED ON JANUARY 29 2021.TEMPORARY STOPPED ON FEB.16,2021 LACK OF MANPOWER. RESUMED ON FEB 20, 2021. TRANSFER FROM HUMIDING TO PANCIT NORMAN. STOPPED ON FEB 23, 2021 LAREADY REACHED THE REQUIRED HEIGHT AND DUE TO LOW COSECUTIVE ASSAY GRADE.</t>
  </si>
  <si>
    <t>REPLACEMENT OF L08 GHV 036W STOPE PREP. APPROVED ON SEPT. 11 2020. STOPPED BREAKING OND DEC 15 2020 CONVERTED TO PULL OUT CLEANING.TEMP.STOPPED ON FEB. 19, 2021 MINED OUT.STOPPED ON FEB. 23, 2021 ALREADY MINED OUT.</t>
  </si>
  <si>
    <t>WORKING PLACES</t>
  </si>
  <si>
    <t>ACTIVE</t>
  </si>
  <si>
    <t>REPLACEMENT OF L11_NONE_054E_XCS. Approved ON OCT 12 2020. Resume activity on Feb 16, 2021.STOPPED ON 2/23/21 START PULL-OUT CLEANING</t>
  </si>
  <si>
    <t>REPLACEMENT OF L07_JVHW_075E_WINZE STOPE PREP, APPROVED ON DEC 18 2020.converted to pull-out appproved on 2/25/21.</t>
  </si>
  <si>
    <t>L10_JVFW_059E_DE</t>
  </si>
  <si>
    <t>REPLACEMENT OF L10_JVFW_046E_RAISE. APPROVED ON JULY 21 2020. Stopped on Nov 8 Converted to L10_DPVE_28E_DW.FROM TAÑEZA TRANSFERRED TO SHEPERD W RESUMED ON FEB 18, 2021.STOPPED ON 2/23/21</t>
  </si>
  <si>
    <t>BLOCKING RAISE OF L10_GHVHW_055E_RAISE. APPROVED ON DEC 8 2020.CONVERTED TO STOPE ON 2/26/21</t>
  </si>
  <si>
    <t>REPLACEMENT OF L10_047E_DW. APPROVED ON OCT 16 2020. stopped on November 18,2020 convert to on vein. RESUMED ON DEC. 11 2020. CHANGE HEADING RENAMED TO L10 DPVE 041E DW ON 2/23/21</t>
  </si>
  <si>
    <t xml:space="preserve">L09_JV_059E_STOPE </t>
  </si>
  <si>
    <t>ADDITIONAL SOURCE OF STOPE ORE. APPROVED ON DEC 21 2020.TEMPORARY STOPPEDON JAN 6 2021. TRANSFER TO BALDO  ON 1/11/2021 RESUME ON THE SAME DATE. RENAMED FROM L09_JV_069E_STOPE PREP TO L09_JV_059E_STOPE PREP.CONVERTED TO BREAKING ON 2/26/21</t>
  </si>
  <si>
    <t>REPLACEMENT OF L06_CTV_001E_STOPE PREP APRROVED ON NOV 27 2020, CONVERTED TO PULL OUT AND STOPPED BREAKING ON JANUARY 25 2021.STOPPED ON 2/26/21 FINISHED HEADING</t>
  </si>
  <si>
    <t>L05_DPVE_049E_RAISE</t>
  </si>
  <si>
    <t>REPLACEMENT OF L10_JVHW_004E_DE. APPROVED ON MAY 4 2020. STOPPED ON JULY 3 2020 ALREADY HIT THE TARGET VEIN.Resumed on August 6,2020. temporary stopped on August 15 2020. RESUMED ON JANUARY 21 2021.CONVERTED TO DRIFT ON 2/23/21</t>
  </si>
  <si>
    <t>L09_JV_059E_STOPE</t>
  </si>
  <si>
    <t>L09_JVSPLIT_005E_RAISE</t>
  </si>
  <si>
    <t>REPLACEMENT OF L07 JVHW 061E DE. APPROVED ON DEC. 2 2020.STOPPED ON JAN 29 2021</t>
  </si>
  <si>
    <t>L04_CTV_011E_RAISE</t>
  </si>
  <si>
    <t>L06_JVSPLIT_020E_WINZE</t>
  </si>
  <si>
    <t>L07_JVFW_044E_STOPE PREP</t>
  </si>
  <si>
    <t>MARTINEZ, RONALD 1</t>
  </si>
  <si>
    <t>L08_GHV_020W_DW</t>
  </si>
  <si>
    <t>ADDITIONAL PRODUCTION TONNAGE, APPROVED ON OCT 20 2020.STOPPED ON FEB. 26, 2021 FINISHED HEADINGS.</t>
  </si>
  <si>
    <t>REPLACEMENT OF L06_JVSPLIT_016E_DW. APPROVED ON FEB 8 2021.STOPPED ON FEB. 26, 2021 FINISHED HEADINGS.</t>
  </si>
  <si>
    <t>L07_JV_014E_RAISE</t>
  </si>
  <si>
    <t>REPLACEMENT OF LO8_GHVSPLIT_006W_DW APPROVED ON JANUARY 13, 2021 CONVERT TO BREAKING ON FEB 11 2021.RECOMMENDED TO PUL-OUT APPROVED ON 3/2/21</t>
  </si>
  <si>
    <t>REPLACEMENT OF L07_GHVFW_028W_DE. APPROVED ON FEB. 2 2021.STOPPED ON 3/2/21 MADE A BREAKTHROUGH</t>
  </si>
  <si>
    <t>ADDITIONAL SOURCE OF GOOD ORE. APPROVED ON SEPT. 8 2020. TEMPORARY STOPPED ON NOV 10 2020, DUE TO INSUFFICIENT MANPOWER.RESUMED ON 12/8/20.RECOMMENDED FOR ACTIVE STOPE BREAKING APPROVED ON 3/2/21</t>
  </si>
  <si>
    <t>L05_GHV_023W_WINZE STOPE</t>
  </si>
  <si>
    <t>REPLACEMENT OF L07_DPVE_039E_RAISE. APPROVED ON JANUARY 21 2020.TEMP. STOPPED  ON JANUARY 30 2020 DUE TO NO WASTEPASS.RESUME ON JULY 17 2020. stopped on August 20 2020 due to no waste pass available. Resumed on September 1 2020.stopped on Sep 5 2020</t>
  </si>
  <si>
    <t>REPLACEMENT OF L07_JVHW 059E DW. APPROVED ON OCT 23 2020. STOPPED ON NOV 20 2020. VEIN PINCHED POUT</t>
  </si>
  <si>
    <t>FOR VENTILATION PURPOSES. APPROVED ON JULY 20 2020. RENAMED ON JULY 22 2020 FROM 28W TO 029W.STOPPED ON MARCH 3, 2021 already finished ventilation project.</t>
  </si>
  <si>
    <t>ADDITIONAL HORIZONTAL DEVELOPMENT, APPROVED ON JANUARY 11 2021 TO BE USED AS MAINLINE FOR TRAMMING.STOPPED ON MARCH 2, 2021 MADE A BREAKTHROUGH.</t>
  </si>
  <si>
    <t>REPLACEMENT OF L09_JVHW_050E_DE. APPROVED ON FEB. 13 2021. NAME CORRECTED TO JVHW FROM.TRANSFERRED FROM DELOS REYES TO PANCIT ON FEB 18 2021.STOPPED ON MARCH 2, 2021 PINCHED OUT VEIN /NO TEXTURAL IMPROVEMENT.</t>
  </si>
  <si>
    <t>L09_DPVE2_047E_RAISE</t>
  </si>
  <si>
    <t>RENAME FROM L04 CV 014W ROBBING TO AVOID MISCHARGING.APPROVED ON FEB.11,2021. Transfer from BAÑEZ 5 TO MARTINEZ, RONALD 1 on March 1,2021 start blasting sill pillar.STOPPED ON MARCH 3, 2021 DUE TO UNSAFE CONDITION.</t>
  </si>
  <si>
    <t>L06_DPVE_030E_DW</t>
  </si>
  <si>
    <t>ADDITIONAL DEVELOPMENT. APPROVED ON FEB 10, 2021. STOPPED ON FEB 12 2021</t>
  </si>
  <si>
    <t>L10_GHVHW_061E_RAISE</t>
  </si>
  <si>
    <t>L10_GHVHW_077E_RAISE</t>
  </si>
  <si>
    <t>REPLACEMENT OF L10 NONE 074E XCN. APPROVED ON OCT. 14 2020. RENAMED FROM L10 DPVE 074E DE TO L10 DPVE 076E DE ON FEB 20, 2021.STOPPED ON MARCH 4, 2021 DUE TO CONSECUTIVE LOW ASSAY.</t>
  </si>
  <si>
    <t>L10_NONE_076E_XCN</t>
  </si>
  <si>
    <t>REPLACEMENT OF L09_GHV_052E_DW. APPROVED ON NOV. 26 2020.temporarily stopped on Jan 5 2020 to prioritized Stope prep. RESUMED ON JANUARY 29 2021 @ THE SAME TIME TRANSFERRD FROM CANOY 2 TO BABOR.STOPPED ON FEB 11,2021 ALREADY BREAKTHROUGH.</t>
  </si>
  <si>
    <t>REPLACEMENT OF L08_GHVHW_020E_RAISE.APPROVED ON FEB. 9, 2021.STOPPED ON 05/03/2021. FOR DOGHOLE PURPOSES ON STOP ON 5/03/2021 AND ALREADY DONE WITH ITS OBJECTIVE.</t>
  </si>
  <si>
    <t>REPLACEMENT OF L05 CTV 005E WINZE.APPROVED ON FEB.15.2021. TEMP STOP ON 3/03/2021. TO PRIORITIZE L05_CTV_015E_WINZE STOPE PREP</t>
  </si>
  <si>
    <t>ADDITIONAL VERTICAL DEVELOPMENT. APPROVED ON FEB. 13 2021.STOPPED ON MARCH 5, 2021 MADE A BREAKTHROUH.</t>
  </si>
  <si>
    <t>L08_DPVE_075E_DE</t>
  </si>
  <si>
    <t>L08_GHV_023E_DE</t>
  </si>
  <si>
    <t>ADDITIONAL SOURCE OF STOPE ORE. APPROVED ON DEC 21 2020.TRANSFERRED FROM PMC MINERS TO AGLOLO MIGUEL ON JAN 4 2021. STOPPED ON FEB. 2 2021 CONVERTED TO ACTIVE BREAKING.RESUMED ON FEB. 25, 2021 EXTENSION ON SUBLEVEL ADDITIONAL 2 CHUTES WILL BE INSTALLED.STOPPED ON MARCH 5, 2021 RECOMMENDED FOR ACTIVE STOPE BREAKING.</t>
  </si>
  <si>
    <t>REPLACEMENT OF L09_DPVE_081E_STOPE PREP. APPROVED ON DEC 2 2020.STOPPED ON MARCH 5, 2021 CONVERTED TO PULL OUT.</t>
  </si>
  <si>
    <t>REPLACEMENT OF L10_JVFW_068E_DE.APPROVED ON NOV 25, 2019. STOPPED ON 1/14/20 CONVERTED TO STOPE PREPARATION. RESUMED ON FEB 19, 2021 TO DO INCLINED RAISE AS WELL RENAMED FROM L10 JVFW 069E RAISE TO L10 JVFW 067E RAISE AND TRANSFERRED FROM SHEPHERD Q 1 TO BANEZ 2.STOPPED ON MARCH 5, 2021 ALREADY REACHED THE RECOMMENDED STRIKE LENGTH.</t>
  </si>
  <si>
    <t>REPLACEMENT OF L07 JVFW 043E DW. APPROVED ON NOVEMBER 25,2020. stopped on MAr 2 2021 converted to Stope prep</t>
  </si>
  <si>
    <t>L09_GHV_072E_RAISE</t>
  </si>
  <si>
    <t>REPLACEMENT OF L10_JVFW_068E_DE. APPROVED ON JANUARY 13 2020.  Temporary transferred from SHEPHERD Q 2 to BAÑEZ 3 on April 21, 2020. Transfer to Shepherd Q1 from Bañez 3 on May 8,2020.TEMPORARY STOPPED ON MAY 29,2020 DUE TO LOW PERFORMANCE OF THE CURRENT TEAM LEADER.ACTIVELY WORKING ON JUNE 1, 2020 AT THE SAME TIME TRANSFER FROM BAÑEZ TO PMC MINERS. TEMPORARY STOPPED ON JUNE 8 2020 DUE TO LACK OF MANPOWER. Resumed on June 20, 2020 at the same time transferred from PMC MINERS to SHEPHERD V3. Temporary stopped on June 30, 2020 to drive a raise. Resumed on July 13, 2020 at the same time transferred from SHEPHERD V to ALMASA 2; also renamed from L10 JVFW 067E DW to L10 JVFW 064E DW to avoid mischarging.STOPPED ON JULY 23, 2020.RESUME ON 2/26/21. TEMPORARY STOPPED ON MARCH 8 2021 TO DRIVE RAISE.</t>
  </si>
  <si>
    <t>L11_JVFW_060E_DE</t>
  </si>
  <si>
    <t>REPLACEMENT OF L10_DPVE_034E_DE. APPROVED ON SEPT. 14 2020.TEMP STOP. 10/23/2020 TO PRIORITIZE RAISE NEAR THE AREA. RESUMED ON NOV. 9 2020.STOPPED ON MARCH 9, 2021 MADE A BREAKTHTOUGH.</t>
  </si>
  <si>
    <t>L04_CTV_008E_RAISE</t>
  </si>
  <si>
    <t>REPLACEMENT OF L09_DPVE_081E_STOPE PREP. APPROVED ON DEC 2 2020.CONVERTED TO PULL OUT ON MARCH 5, 2021.STOPPED ON MARCH 9, 2021 ALREADY MINED OUT.</t>
  </si>
  <si>
    <t>REPLACEMENT OF L10_JVSPLIT_075E_STOPE. APPROVED ON JANUARY 29 2021.TEMP STOPPED ON FEB. 20, 2021 PRIORITY RAISE PREPARATION.RESUMED ON MARCH 6, 2021.STOPPED ON MARCH 9, 2021.</t>
  </si>
  <si>
    <t>L08_GHVHW_015W_RAISE</t>
  </si>
  <si>
    <t>ADDITIONAL HORIZONTAL DEVELOPMENT. APPROVED ON SEPT. 26 2020.FOLLOWED VEIN WAS CUT BY N-S STRIKING,STTEPLY DIPPING MINERALISE FAULT STRUCTURE TO 80M DEXTRAL DISPLACEMENT APPROVED ON FEB.15,2021. TEMP STOP TO PRIORITIZE L08_GHV_015W_RAISE  ON 3/09/2021.</t>
  </si>
  <si>
    <t>L08_NONE_036E_XCN</t>
  </si>
  <si>
    <t>MAPAYO NOEL</t>
  </si>
  <si>
    <t>RENAME FROM L04 EDV 021W DW TO AVOID MISCHARGING. APPROVED ON FEB.11,2021.STOPPED ON MARCH 4, 2021 DUE TO LOW CONSECUTIVE LOW ASSAY GRADE.</t>
  </si>
  <si>
    <t>L10_DPVE_039E_RAISE</t>
  </si>
  <si>
    <t>REPLACEMENT OF L10_GHVHW_058E_STOPE PREP. APPROVED ON SEPT. 12 2020.ALREADY FINISHED DRIVING INTERNAL PROBE RAISE.RECOMMENDED FOR PULL OUT ON FEB.11,2021.STOPPED ON MARCH 7, 2021 ALREADY MINED OUT.</t>
  </si>
  <si>
    <t>L10_NONE_011E_XCN</t>
  </si>
  <si>
    <t>REPLACEMENT OF L08_JVSPLIT_024E_DW APPROVED ON JAN 13, 2021.STOPPED ON 3/2/21 DUE TO PINCHED OUT VEIN.</t>
  </si>
  <si>
    <t>L04_CTV_019W_STOPE PREP</t>
  </si>
  <si>
    <t>L04_JV_013W_WINZE</t>
  </si>
  <si>
    <t>ADDITIONAL BATTERY CHAMBER APPROVED ON FEB.18,2021.TEMPORARRY STOPPED TO PROCCEED L08_NONE_036E_XCN ON 3/9/21.</t>
  </si>
  <si>
    <t>target old stope @ level 7. Approved on march 1 2021. STOPPED ON 3/5/21 MADE A BREAKTHROUGH</t>
  </si>
  <si>
    <t>L10_DPVE_039E_STOPE PREP</t>
  </si>
  <si>
    <t>REPLACEMENT OF L10_DPVE_033E_DE APPROVED ON MARCH 9, 2021 .STOPPED ON MARCH 12, 2021 CONVERT TO STOPE PREP.</t>
  </si>
  <si>
    <t>L06_CV_004W_STOPE</t>
  </si>
  <si>
    <t>L10_DPVE_043E_DE</t>
  </si>
  <si>
    <t>REPLACEMENT OF L10_048E_XCN. APPROVED ON JANUARY 26 2021.STOPPED ON MARCH 13,2021 ALREADY BREAKTHROUGH AND DONE REGRADING.</t>
  </si>
  <si>
    <t>L04_CTV_025E_WINZE STOPE PREP</t>
  </si>
  <si>
    <t>REPLACEMENT OF L07_JVHW_075E_WINZE STOPE PREP, APPROVED ON DEC 18 2020.converted to pull-out appproved on 2/25/21. STOPPED ON MARCH 13, 2021 FINISHED PULL-OUT.</t>
  </si>
  <si>
    <t>L08_GHVSPLIT_008W_WINZE STOPE PREP</t>
  </si>
  <si>
    <t>L08_GHV_027E_WINZE STOPE PREP</t>
  </si>
  <si>
    <t>L08_GHV_029W_STOPE PREP</t>
  </si>
  <si>
    <t>L10_GHVFW_069E_DE</t>
  </si>
  <si>
    <t>L10_DPVE_042E_DE</t>
  </si>
  <si>
    <t>L10_JVHW_065E_STOPE PREP</t>
  </si>
  <si>
    <t>L09_DPVE2_047E_STOPE PREP</t>
  </si>
  <si>
    <t>RELACEMENT OF L09_JVS_006E_RAISE. APPROVED ON FEB. 10 2021.STOPPED ON MARCH 15, 2021 MADE BREAKTHROUGH.</t>
  </si>
  <si>
    <t>REPLACEMENT OF L10 JV 064E DW. APPROVED ON FEB 21, 2021.STOPPED ON 2/26/21 DUE TO LOW DIPPING ORIENTATION. RESUMED ON MARCH 8 2021.stopped on March 15,2021 to convert to stope preparation.</t>
  </si>
  <si>
    <t>ADDITIONAL SOURCE OF STOPE ORE. APPROVED ON DEC 21 2020.TEMPORARY STOPPEDON JAN 6 2021. TRANSFER from PMC MINERS TO CANOY  ON 1/11/2021, RESUME ON THE SAME DATE. STOPPED ON MARCH 13, 2021 CONVERT TO BREAKING.</t>
  </si>
  <si>
    <t>L09_GHV_062E_STOPE</t>
  </si>
  <si>
    <t>L09_JVHW_010E_DE</t>
  </si>
  <si>
    <t>ADDITIONAL VERTICAL DEVELOPMENT.APPROVED ON JAN.29, 2021.STOPPED ON MARCH 15, 2021 DUE TO LOW GRADE.</t>
  </si>
  <si>
    <t>ADDITIONAL HORIZONTAL DEVELOPMENT,APPROVE ON FEB.9,2021.STOPPED ON MARCH 10, 2021 safety issue to left 5 meters pillar at the opposite mainline/TO DRIVE INCLINED RAISE.</t>
  </si>
  <si>
    <t>L07_NONE_022E_CHAMBER</t>
  </si>
  <si>
    <t xml:space="preserve"> VILLARANTE</t>
  </si>
  <si>
    <t>REPLACEMENT OF L08_NONE_069E_XCN . APPROVED ON 2/23/2021.stopped on march 16, 2021 pinched out vein.</t>
  </si>
  <si>
    <t>L10_JVSPLIT_072E_STOPE PREP</t>
  </si>
  <si>
    <t>REPLACEMENT OF L10_NONE_068E_XCN. APPROVED ON DEC 10 2020.TEMPORARY STOPPED ON MARCH 16,2021 TO FOLLOW UP RAISE.</t>
  </si>
  <si>
    <t>REPLACEMENT OF L06_NONE_005E_XCN. APPROVED ON MAY 25 2020. Transfer from Davocol, Rowel to Bañez 4 on May 26,2020. Temporary stopped due to on going raise prep. Resumed on June 8, 2020. Stop to drive another raise, July 1, 2020. Resumed on July 27, 2020. Temp stopped on Aug 28, 2020; OTW no available waste pass. Resumed on Oct 7, 2020. Renamed from L06 CTV 003E DW to L06 CTV 001E DW to avoid mischarging to L06 CTV 003E STOPE.. temporary stopped on Nov 5 2020. (lack of Manpower). RESUMED ON DEC 3 2020. RENAMED FROM L06 CTV 001E DW TO L06_CTV_003W_DW  ON DEC 10 2020. Transfer from BAÑEZ 4 TO ESPADA 1 on December 24,2020. transferred to banez from espada on Jan 7 2021.  Stopped onFeb 8 2021, already connected to adjacent drive. RESUME ON FEB FEB 12, 2021. HIT VEIN ON BREAKTHROUGH.TEMP.STOPPED ON MARCH 16, 2021 BLOCK BY STOPE PREP.</t>
  </si>
  <si>
    <t>FROM BREAKING TO PULL-OUT.APPROVED ON FEB.15,2021.TRANSFERED FROM CARIKITAN TO DAVOCOL ON MARCH 16 2021.STOPPED ON MARCH 16, 2021 MINE OUT.</t>
  </si>
  <si>
    <t>REPLACEMENT OF L06 CTV 007E RAISE. APPROVED ON OCT 21 2020. transferred from DOLARIZA 1 TO QUIJANO 2 ON NOV. 7 2020. temporary Stopped on Nov. 18 2020. to prioritize fill winze for wastepass. resumed on December 10,2020 at the same time transfer from QUIJANO 3 TO BAÑEZ 1 . transfer from BAÑEZ 1 TO ESPADA  ON 12/21/20 for limited operations. Transfer from ESPADA TO REVITA 1 ON DECEMBER 24,2020.transferred to banez from REVITA on Jan 7 2021. TEMPORARILY STOPPED ON JAN 21 2021 TO DO INCLINED RAISE.RESUME ON FEB.16,2021.STOPPED ON MARCH 16, 2021 OFFVEIN.</t>
  </si>
  <si>
    <t>L06_DPVE_014E_DW</t>
  </si>
  <si>
    <t>REPLACEMENT OF L06_DPVE_036E_RAISE. APPROVED ON FEB. 8 2021.stopped on march 16, 2021 due to low grade.</t>
  </si>
  <si>
    <t>ADDITIONAL VERTICAL DEVELOPMENT BLOCKING RAISE OF LO6_JVSPLIT_018E_RAISE APPROVED ON FEB 10 2021 CORRECTED FROM JVFW TO JVSPLIT.STOPPED ON MARCH 16, 2021 DUE TO LOW GRADE.</t>
  </si>
  <si>
    <t>REPLACEMENT OF L06 JVSPLIT 11W RAISE. APPROVED ON JANUARY 27 2021. Stopped on March 11, 2021 low grade.</t>
  </si>
  <si>
    <t>ADDITIONAL VERTICAL DEVELOPMENT. APPROVED ON JANUARY 25 2021.STOPPED ON MAR 17 2021</t>
  </si>
  <si>
    <t>L07_JVHW_038E_DW</t>
  </si>
  <si>
    <t>REPLACEMENT OF L04_EDV_017W_DE, APPROVED ON FEB. 15 2021.STOPPED ON MARCH 13,2021 ALREADY BREAKTHROUGH</t>
  </si>
  <si>
    <t>REPLACEMENT OF L04_CTV_025E_WINZE APPROAVED ON FEB.23,2021.STOPPED ON MARCH 11,2021 CONVERT TO STOPE PREPARATION.</t>
  </si>
  <si>
    <t>L07_JV_001W_WINZE</t>
  </si>
  <si>
    <t>REPLACEMENT OF L09_DPVE_047E_DE APPROVED ON MARCH 6, 2021.stopped on March 15,2021 convert to stope preparation.</t>
  </si>
  <si>
    <t>L09_JVFW_005E_WINZE</t>
  </si>
  <si>
    <t>REPLACEMENT OF L07 DPVE 045E DW. APPROVED ON DECEMBER 14,2020 .STOPPED ON 2/23/21.RESUMED ON MAR 13 2021.stopped on March 18 2021. consecutuive low assay result.</t>
  </si>
  <si>
    <t>L06_CTV_006W_STOPE PREP</t>
  </si>
  <si>
    <t>L06_GHV_026E_RAISE</t>
  </si>
  <si>
    <t>REPLACEMENT OF L09 DPVE2 077E RAISE.APPROVED ON FEB.13,2021.stopped on march 17, 2021 convert to breaking.</t>
  </si>
  <si>
    <t>L09_DPVE2_073E_STOPE</t>
  </si>
  <si>
    <t>REPLACEMENT OF L08_GHVHW_042E_DW. APPROVED ON NOV. 30 2020.STOPPED ON MARCH 18, 2021 FOR WIREFRAMING AND DESIGN.</t>
  </si>
  <si>
    <t>ADD' VERTICAL. APPROVED ON FEB.16,2021.STOPPED ON MAR 18 2021. VEIN PINCHED OUT.</t>
  </si>
  <si>
    <t>L09_NONE_053E_CHAMBER</t>
  </si>
  <si>
    <t>ADDITIONAL HORIZONTAL DEVELOPMENT. APPROVED ON JANUARY 29 2021.TEMP. STOPPED ON FEB. 20, 2021 PRIORITY RAISE PREPARATION. RESUMED ON MARCH 1, 2021.STOPPED ON MARCH 19, 2021 ALREADY HIT THE TARGET.</t>
  </si>
  <si>
    <t>REPLACEMENT OF L08_GHV_054E_STOPE PREP. APPROVED ON AUGUST 27 2020.recommend  IPR at +10mw.STOPED ON FEB.23,2021 CONVERTED TO PULL-OUT.STOPPED ON MARCH 19, 2021 FINISHED HEADINGS.</t>
  </si>
  <si>
    <t>REPLACEMENT OF L04 JVHW 014E WINZE STOPE PREP. APPROVED ON JULY 11, 2020. TEMP. STOPPED ON JULY 16, 2020 TO PRIORITIZE WINZE FOR RELOCATING MANWAY. Resumed on Oct 6, 2020.MINE GEOLOGY ALREADY GUIDED SPLIT THE MINER AND OFFSET THE BLATING FF THE MASSIVE MAIN VEIN.STOPPED ON MARCH 19, 2021 CONVERT TO PULL OUT.</t>
  </si>
  <si>
    <t>L04_EDV_016W_RAISE</t>
  </si>
  <si>
    <t>REPLACEMENT OF L08_CTV_008E_STOPE. APPROVED ON SEPT. 3, 2019. TEMP. STOPPED ON OCT. 16, 2019 TO PRIORITIZE THE ROBBING.RESUME ON 3/16/2021 AND AT THE SAME DATE TRANSFERRED FROM LERIO TO VILLARANTE TWO BLAST ONLY RESUME INTENDED FOR ADDITIONAL CHUTE FOR STOPE.TEMP. STOPPED ON MARCH 19, 2021 TO PROCEED AND RESUME ON STOPE PREPARATION.</t>
  </si>
  <si>
    <t>026E</t>
  </si>
  <si>
    <t>053E</t>
  </si>
  <si>
    <t>L10_DPVE_063E_DE</t>
  </si>
  <si>
    <t>063E</t>
  </si>
  <si>
    <t>L04_JV_012W_DE</t>
  </si>
  <si>
    <t>L06_GHVFW_042W_WINZE</t>
  </si>
  <si>
    <t>L08_JVSPLIT_064E_DW</t>
  </si>
  <si>
    <t>L08_GHVHW_011W_RAISE</t>
  </si>
  <si>
    <t>REPLACEMENT OF L10_JVSPLIT_073E_STOPE PREP APPROVED ON SEPT. 12 2020.stopped breaking on March 19,2021 at the same time convert to pull out cleaning.</t>
  </si>
  <si>
    <t>L09_DPVE2_034E_RAISE</t>
  </si>
  <si>
    <t>REPLACEMENT OF L09_DPVE2_034E_STOPE PREP. APPROVED ON SEPT. 23 2020.FOR EVALUATION TO PROPOSE INTERNAL PROBE RAISE.APPROVED ON FEB.12,2021.STOPPED ON FEB.19,2021 ALREADY FINISHED CONDUCTING IPR.STOPPED ON 3/20/21 MINED OUT.</t>
  </si>
  <si>
    <t>011W</t>
  </si>
  <si>
    <t>PANSIT</t>
  </si>
  <si>
    <t>055E</t>
  </si>
  <si>
    <t>042W</t>
  </si>
  <si>
    <t>ADDITIONAL VERTICAL DEVELOPMENT APPROVED ON MARCH 4, 2021.STOPPED ON 3/20/21 MADE A BREAKTROUGH</t>
  </si>
  <si>
    <t>REPLACEMENT OF L09_DPVE_018E_RAISE,. APPROVED ON NOV. 25 2020. RAISE PREP 8E RAISE FEB 10.stopped on 3/22/21 low grade.</t>
  </si>
  <si>
    <t>L09_JVSPLIT_014E_RAISE</t>
  </si>
  <si>
    <t>L09_JVFW_073E_WINZE</t>
  </si>
  <si>
    <t>APPROVED ON 3/18/2021, WASTEPASS FOR PROPOSE L09 NONE 012E XCS.temp. stopped on march 19, 2021 not started yet.</t>
  </si>
  <si>
    <t>L08_GHVSPLIT_031E_DW</t>
  </si>
  <si>
    <t>L06_JVFW_037E_WINZE</t>
  </si>
  <si>
    <t>REPLACEMENT OF L06_DPVE_038E_RAISE. APPROVED ON FEB. 12, 2021 sill pillar. Stopped on March 23, 2021, already done robbing pillar.</t>
  </si>
  <si>
    <t>L06_JVSPLIT_032E_RAISE</t>
  </si>
  <si>
    <t>L06_JVSPLIT_022E_DE</t>
  </si>
  <si>
    <t>L06_JVSPLIT_020E_STOPE PREP</t>
  </si>
  <si>
    <t>REPLACEMENT OF L04_JV_012W_DW. APPROVED ON OCT. 6 2020.TEMP STOPPED ON MARCH 20, 2021.</t>
  </si>
  <si>
    <t>REPLACEMENT OF L09_GHVFW-030E_DW APRROVED ON FEB 15, 2021. Stopped on March 23, 2020, low grade.</t>
  </si>
  <si>
    <t>REPLACEMENT OF LO8_GHVSPLIT_006W_DW APPROVED ON JANUARY 13, 2021 CONVERT TO BREAKING ON FEB 11 2021.RECOMMENDED TO PUL-OUT APPROVED ON 3/2/21.STOPPED ON MARCH 22, 2021 ALREADY MINED OUT.</t>
  </si>
  <si>
    <t>L09_GHVFW_030E_DE</t>
  </si>
  <si>
    <t>020E</t>
  </si>
  <si>
    <t>REPLACEMENT OF L06_DPVE_037E_DW. APPROVED ON NOV 21, 2020.ALREADY REACHED THE RECCOMEMDED LENGTH OF THE INCLINE. APPROVED ON FEB.12,2021. RESUMED ON MARCH 1,2021 AT THE SAME TIME TRANSFER FROM BADBADON R5 TO SHEPHERD AC. STOPPED ON MARCH 12, 2021 ALREADY REACHED THE RECOMMENDED HEIGHT.</t>
  </si>
  <si>
    <t>L09_JVHW_071E_DW</t>
  </si>
  <si>
    <t>REPLACEMENT OF L06_CTV_001E_STOPE. APPROVED ON FEB. 8 2021.STOPPED ON MARCH 25, 2021 DUE TO UNSAFE AND PINCHED OUT VEIN.</t>
  </si>
  <si>
    <t>REPLACEMENT OF L07_DPVE_042E_WINZE. APPROVED ON NOV. 30 2020.from DE to DW approved on feb.18,2021.TEMPORARILY STOPPED ON MARCH 23 2021 TO PRIORITIZED RAISE.</t>
  </si>
  <si>
    <t>PANSIT NORMAN</t>
  </si>
  <si>
    <t>REPLACEMENT OF L09_DPVE_020E_RAISE APPROVED ON 2/10/2021. STOPPED ON MARCH 24, 2021 MADE IT BREAKTROUGH.</t>
  </si>
  <si>
    <t>Approved on 2/03/2021. ACTIVITY INCLUDES DEWATERING ONLY, WAIT FOR FURTHER NOTICE ON THE RESUMPTION OF BLASTING ACTIVITY. Stopped on March 15,2021</t>
  </si>
  <si>
    <t>L07_GHVHW_048E_ROBBING</t>
  </si>
  <si>
    <t>L06_JVSPLIT_022E_ROBBING</t>
  </si>
  <si>
    <t>REPLACEMENT OF L06_JVSPLIT_019E_RAISE APPROVED ON MARCH 23, 2021.STOPPED ON 26/03/21 FINISHED HIADING</t>
  </si>
  <si>
    <t>L06_DPVE_015E_DE</t>
  </si>
  <si>
    <t>L06_JVSPLIT_009E_DE</t>
  </si>
  <si>
    <t>L09_GHV_052E_RAISE</t>
  </si>
  <si>
    <t>L05_DPVE_048E_DW</t>
  </si>
  <si>
    <t>REPLACEMENT OF L09 DPVE2 048E RAISE. APPROVED ON FEB.10, 2021. RENAMED FROM L09 DPVE2 047E STOPE PREP TO L09 DPVE2 048E STOPE PREP.RECOMMENDED FOR ACTIVE STOPE BREAKING ON 27/03/21</t>
  </si>
  <si>
    <t>L09_DPVE2_048E_STOPE</t>
  </si>
  <si>
    <t>L06_DPVE_021E_DE</t>
  </si>
  <si>
    <t>REPLACEMENT OF L08 GHV 038E STOPE PREP. APPROVED ON SEPT. 23, 2019. STOPPED ON OCT 17, 2019 CONVERT TO PULL-OUT CLEANING ALREADY REACHED THE DESIGNED PILLAR. STOPPED ON OCT 23, 2019 DUE TO LOW BULK GRADE PERFORMANCE. RESUMED ON FEB 23, 2021 ONE OF THE LIST ON HIGH GRADE STOPE THAT NEEDS TO PULL-OUT. STOPPED ON MARCH 25,2021 ALREADY MINED OUT.</t>
  </si>
  <si>
    <t>REPLACEMENT OF L10 DPVE 029E RAISE. APPROVED ON FEB 21, 2021. Stopped on March 26,2021 convert to stope breaking</t>
  </si>
  <si>
    <t>L10_DPVE_029E_STOPE</t>
  </si>
  <si>
    <t>REPLACEMENT OF L04_EDV_022W_DW APPROVED ON MARCH 8, 2021.STOPPED ON MARCH 25, 2021 DUE TO PINCHED OUT OF VEIN</t>
  </si>
  <si>
    <t>REPLACEMENT OF L04 CTV 011E DE. APPROVED ON MARCH 1, 2021.STOPPED ON MARCH 25, 2021 DUE TO CONSECUTIVE LOW ASSAY GRADE.</t>
  </si>
  <si>
    <t>CATCHMENT SUMP @ DRILLING CHAMBER. APPROVED ON DEC 12 2020. TRANSFERRED FROM DUHIG 3 TO PMC MINERS 1 ON DEC 28 2020. TRANSFER TO DUHIG FROM PMC MINERS ON JAN 13 2021. Stopped on March 28,2021 already finished.</t>
  </si>
  <si>
    <t>PROPOSED MAIN SUMP @ L12_35E_SHAFT. APPROVED ON DEC 12 2020. TRANSFERRED FROM DUHIG TO PMC MINERS 2 ON DEC. 28 2020. Stopped on March 28,2021 already finished.</t>
  </si>
  <si>
    <t>FOR DEWATERING SYSTEM @ LEVEL 11. APPROVED ON DEC 12 2020. TRANSFERRED FROM DUHIG TO COMAINGKING ON JAN 11 2021. Stopped on March 28,2021 already finished.</t>
  </si>
  <si>
    <t>ADDITIONAL HORIZONTAL DEVELOPMENT. APPROVED ON  FEB.11,2021 Transferred from Belican to Villarante on Feb 16, 2021. Stopped March 13,2021</t>
  </si>
  <si>
    <t>L09_GHVHW_011E_RAISE</t>
  </si>
  <si>
    <t>L08_DPVE_065E_DE</t>
  </si>
  <si>
    <t>ADDITIONAL HORIZONTAL DEVELOPMENT. APPROVED ON JANUARY 21 2021.STOPPED ON MARCH 24,2021 ALREADY CONNECTED TO ADJACENT MAINLINE</t>
  </si>
  <si>
    <t>REPLACEMENT OF L07 JV 015E DW. APPROVED ON MAR 2 2021.STOPPED ON MAR 29 2021, VEIN PINCHED OUT</t>
  </si>
  <si>
    <t>L10_DPVE_075E_RAISE</t>
  </si>
  <si>
    <t>REPLACEMENT OF L10_DPVE_076E_DE APPROVED ON MARCH 4, 2021.temporary stopped on March 29,2021 to follow up raise</t>
  </si>
  <si>
    <t>L10_GHVHW_057E_STOPE</t>
  </si>
  <si>
    <t>REPLACEMENT OF L10 GHVHW 057E RAISE. APPROVED ON FEB 21, 2021.RECCOMEMNDED FOR ACTIVE STOPE BREAKING ON 3/26/21.</t>
  </si>
  <si>
    <t>REPLACEMENT OF L07 JVFW 044E RAISE. APPROVED ON MAR 2 2021.TRANSFER FROM SHEPHERD P TO BORERO ARMAN ON MARCH 10, 2021.RECOMMENMDED FOR ACTIVE STOPE BRAKING ON 29/03/21.</t>
  </si>
  <si>
    <t>L07_JVFW_044E_STOPE</t>
  </si>
  <si>
    <t>L04_GHVSPLIT_027W_RAISE</t>
  </si>
  <si>
    <t>027W</t>
  </si>
  <si>
    <t>REPLACEMENT OF L09_DPVE2_046E_DW. APPROVED ON JANUARY 25 2021. TEMPORARY STOPPED ON FEB.15,2021 RAISE PREP@52E RAISE.RESUMED ON FEB 18 2021.STOPPED ON 29/03/21 VEIN WAS CUT BY FAULT.</t>
  </si>
  <si>
    <t>REPLACEMENT OF L09 DPVE2 080E STOPE PREP. APPROVED ON OCT 24 2020. Resumed on November 19,2020.STOPPED ON 29/03/21 VEIN PICHED OUT AT THE SAME TIME CONVERTED TO PULL-OUT.</t>
  </si>
  <si>
    <t>L09_DPVE2_053E_RAISE</t>
  </si>
  <si>
    <t>L04_CTV_025E_WINZE STOPE</t>
  </si>
  <si>
    <t>L10_GHV_052E_RAISE</t>
  </si>
  <si>
    <t>Replacement of L10_JVSPLIT_066E_STOPE PREP. APPROVED ON JULY 23 2020. ON NOV 9 2020 THE LEVEL GEO. OBSERVATION, THIS WORKING PLACES IS RECOMMENDING FOR IPR. TRANSFERRED FROM SHEPHERD V. TO SHEPHERD AE 2 ON NOV. 17 2020. ON FEB 2021 THE CONDUCTING FILL RAISE FOR BREAKTHROUGH AT LEVEL 9 ELEVATION REMAINING BALANCE IS 8.0 METER. STOPPED BREAKING ON FEB. 10 2021 CONVERTED TO PULL OUT CLEANING. Temporary stopped on March 30,2021 for evaluation.</t>
  </si>
  <si>
    <t>REPLACEMENT OF L09_NONE_047E_XCN. APPROVED ON NOV 8 2020. TEMPORARY STOPPED ON NOV 21 2020 TO DRIVE TO EAST. RESUMED ON NOVEMBER 25,2020. TEMP. STOPPED ON JAN 13 2021 TO PROCEED NEW RAISE. RESUMED ON JANUARY 26 2021.STOPPED ON MARCH 2, 2021 ALREADY REACHED THE RECOMMENDED STRIKE LENGTH/CROWN PILLAR. Resumed on March 24, 2021 to breakthrough to old mainline for ventialtion purposes at the same time transferred from  DELOS reyes to REBOTE. Stopped on March 29,2021 already breakthrough.</t>
  </si>
  <si>
    <t>REPLACEMENT OF L09_DPVE_036E_DW. APPROVED ON FEB 5 2021.TRANSFER FROM DELOS REYES  TO SHEPHERD S ON 2/9/2021.temp stopped on march 30, 2021 converted to stope prep.</t>
  </si>
  <si>
    <t>REPLACEMENT OF L06 JVFW 018E DE. APPROVED ON JAN 5 2021 CORRECTED FROM JVFW TOJVSPLIT ON FEB 13, 2021.FROM L06 JVFW 18E RAISE TO L06 JVS 18E RAISE.APPROVED ON FEB.15,2021.STOPPED ON MARCH 30, 2021 REACHED RECOMMENDED LENGTH.</t>
  </si>
  <si>
    <t>L09_JVSPLIT_008E_STOPE PREP</t>
  </si>
  <si>
    <t>REPLACEMENT OF L04_CTVSPLIT_010E_ROBBING. APPROVED ON JANUARY 14 2021,.STOPPED ON MARCH 30, 2021.</t>
  </si>
  <si>
    <t>REPLACEMENT OF L04 CTV 025E DW. APPROVED ON MARCH 13, 2021.STOPPED ON MARCH 30, 2021 CONVERTED TO BREAKING.</t>
  </si>
  <si>
    <t>ADDITIONAL PRODUCTION TONNAGE. APPROVED ON OCT. 13 2020. stopped on Dec. 3 2020, converted to active breaking.resumed on MArch 30, 2021 and transferred from Davacol Rowel 1 to Shepherd AL.</t>
  </si>
  <si>
    <t>SHEPHERD AL</t>
  </si>
  <si>
    <t>L09_JVSPLIT_003E_RAISE</t>
  </si>
  <si>
    <t>L09_DPVE2_075E_DE</t>
  </si>
  <si>
    <t>REPLACEMENT OF L09_DPVE_076E_DE APPROVED ON MARCH 10, 2021.TRANSFER FROM BALANGHIG TO BABOR ON MARCH 15, 2021 3RD SHIFT MANAGEMENT DECISION.STOPPED ON 29/03/21 VEIN PINCHED OUT/LOW GRADE.</t>
  </si>
  <si>
    <t>REPLACEMENT OF L09 NONE 076E XCN. Approved on July 18, 2020. Stopped on Aug 5 to drive raise. Resumed on Aug 13, 2020. Temp stopped on Sept 14, 2020 to drive raise. Resumed onn Sept 18, 2020.TEMPORARY STOPPED ON NOV 5 2020 TO DO RAISE PREP. RESUMED ON NOV. 13 2020. TEMP. STOPPED ON FEBRUARY 10 2021.TEMP.STOPPED ON MARCH 30, 2021 TO DRIVE RAISE.</t>
  </si>
  <si>
    <t>3 BLAST WILL BE USED AS SWITCH.APPROVED ON FEB.10,2021.STOPPED ON MARCH 30, 2021. DUE TO LOW GRADE</t>
  </si>
  <si>
    <t>003E</t>
  </si>
  <si>
    <t>L06_GHV_025E_WINZE</t>
  </si>
  <si>
    <t>REPLACEMENT OF L06 GHVS 033W WINZE. APPROVED ON DEC. 3 2020. STOPPED ON DEC. 11 2020 DUE TO ALREADY REACHED THE RECOMMENDED STRIKE LENGTH / CROWN PILLAR.RESUMED ON FEB 4 2021 STOPPED ON MARCH 31, 2021 PINCHED OUT VEIN. ASK GEO FOR MEO</t>
  </si>
  <si>
    <t>REPLACEMENT OF L05_CTV_012W_RAISE. APPROVED ON JAN. 22 2021.temporary stopped on 3/6/21 due to insufficient manpower.stopped on march 31, 2021 approaching exclusion zone.</t>
  </si>
  <si>
    <t>REPLACEMENT OF L09_GHVHW_022E_RAISE APPROVED ON JAN 14, 2021.STOPPED ON MARCH 26, 2021 DUE TO LOW GRADE.</t>
  </si>
  <si>
    <t>REPLACEMENT OF L10_DPVE_072E_DW. APPROVED ON FEB. 13 2021.STOPPED ON MARCH 31, 2021 ALREADU REACHED THE RECOMMENDED STRIKE LENGTH.</t>
  </si>
  <si>
    <t>REPLACEMENT OF L10_GHVHW_059E_DE. APPROVED ON NOV. 9 2020.renamed from L10 GHVHW 059E RAISE on Nov 14 2020. RENAMED FROM  L10_GHVHW_060E_RAISE TO L10_GHVHW_059E_RAISE ON NOV. 17 2020. STOPPED ON JANUARY 25 2021 DUE TO ALREADY REACVHED THE RECOMMENDED STRIKE LENGTH / CROWN PILLAR. Resumed on March 1,2021.RENAMED FROM L10_GHVHW_059E_RAISE TO L10_GHVHW_061E_RAISE TO AVOID MISCHARGING.STOPPED ON MARCH APRIL 1, 2021 ALREADY REACHED THE RECOMMENDED STRIKE LENGHT.</t>
  </si>
  <si>
    <t>REPLACEMENT OF L10_GHVHW_079E_STOPE PREP. APPROVED ON JANUARY 28 2021.FOR EVALUATION CONSECUTIVE LOW ASSAY GRADES ON CUT SAMPLES.APPROVED ON FEB.11,2021.temp. stopped on march 31, 2021  due to consecutive low assay grade.</t>
  </si>
  <si>
    <t>OLIVEROS 1</t>
  </si>
  <si>
    <t>PARAN 1</t>
  </si>
  <si>
    <t>PARAN 2</t>
  </si>
  <si>
    <t>LARGO 1</t>
  </si>
  <si>
    <t>LARGO 2</t>
  </si>
  <si>
    <t>LARGO 3</t>
  </si>
  <si>
    <t>OLIVEROS 2</t>
  </si>
  <si>
    <t>OLIVEROS 3</t>
  </si>
  <si>
    <t>OLIVEROS 4</t>
  </si>
  <si>
    <t>SHEPHERD AF 1</t>
  </si>
  <si>
    <t>SHEPHERD AF 2</t>
  </si>
  <si>
    <t>SHEPHERD AJ 1</t>
  </si>
  <si>
    <t>SHEPHERD AJ 2</t>
  </si>
  <si>
    <t>SHEPHERD AJ 3</t>
  </si>
  <si>
    <t>SHEPHERD Q 1</t>
  </si>
  <si>
    <t>SHEPHERD AN 1</t>
  </si>
  <si>
    <t>SHEPHERD AL 1</t>
  </si>
  <si>
    <t>MARTINEZ, RON 2</t>
  </si>
  <si>
    <t>MARTINEZ, RON 1</t>
  </si>
  <si>
    <t>SHEPHERD AB 1</t>
  </si>
  <si>
    <t>SHEPHERD AC 1</t>
  </si>
  <si>
    <t>FERNANDEZ 2</t>
  </si>
  <si>
    <t>DAVOCOL 1</t>
  </si>
  <si>
    <t>TURRA 1</t>
  </si>
  <si>
    <t>SHEPHERD AK 1</t>
  </si>
  <si>
    <t>L10_NONE_046E_XCS</t>
  </si>
  <si>
    <t>046E</t>
  </si>
  <si>
    <t>L07_JVFW_048E_ROBBING</t>
  </si>
  <si>
    <t>L07_JVHW_075E_ROBBING</t>
  </si>
  <si>
    <t>ESPADA 3</t>
  </si>
  <si>
    <t>L05_DPVE_046E_RAISE</t>
  </si>
  <si>
    <t>L05_DPVE_034E_STOPE</t>
  </si>
  <si>
    <t>REPLACEMENT OF L05_DPVE_042E_DW APPROVED ON DEC 21, 2020. Temporary stop on Feb 01, 2021 to resume L05_DPVE_033E_STOPE PREP &amp; due to group will temporary assign at level 9 until agsao shaft resume its opearation.-resumed on March 25, 2021.STOPPED ON APRIL 5, 2021 CONVERT TO BREAKING.</t>
  </si>
  <si>
    <t>REPLACEMENT OF L09_DPVE2_086E_STOPE PREP.APPROVED ON JANUARY 26 2021.STOPPED ON APRIL 5, 2021 CONVERT TO PULL OUT CLEANING VEIN HAD ALREADY PINCHED OUT.</t>
  </si>
  <si>
    <t>REPLACEMENT OF L09_DPVE2_034E_STOPE APPROVED ON 3/22/21.STOPPED ON APRIL 5, 2021 CONNECTED TO AN OLD STOPE.</t>
  </si>
  <si>
    <t>REPLACEMENT OF L07_JVHW_054E_STOPE, SILL PILLAR, APPROVED FEB 15 2021.STOPPED ON APRIL 5, 2021 DUE TO LOW GRADE.</t>
  </si>
  <si>
    <t>CAPEX PROJECT. Internal shaft to develop until level 12. Started on July 1 2020.  temporary stopped on November 13, 2020 to resume hoisting at 43E SHAFT.RESUME sinking on March 19,2021.TEMP. STOPPED ON APRIL 5, 2021 TO RESUME OF HOISTING ON LEVEL 9.</t>
  </si>
  <si>
    <t>ADDITIONAL VERTICAL DEVELOPMENT. APPROVE ON JANUARY 14 2021.CHANGE WORK HEADINGS from L04 CTV_017W_RAISE INTO L04 CTV 019W RAISE TO AVOID MISCHARGING.APPROAVED ON FEBRAURY 11,2021.STOPPED ON MARCH 7, 2021 MADE A BREAKTROUGH.</t>
  </si>
  <si>
    <t>L08_JVHW_065E_STOPE PREP</t>
  </si>
  <si>
    <t>REPLACEMENT OF L06_CTV_002W_STOPE PREP APPROVED ON DECEMBER 9, 2020. TEMPORARY STOP ON 1/22/2021 TO PROCEED ON THE INCLINE RAISE WITHIN THE STOPE. RAISE IS COMPLETE, RESUME ON FEB 15 2021.STOPPED ON APRIL 6, 2021 CONVERT TO PULL OUT CLEANING.</t>
  </si>
  <si>
    <t xml:space="preserve">REPLACEMENT OF L07_JVHW_071E_DW. APPROVED ON AUGUST 14 2020. TEMPORARY STOPPED ON AUGUST 20 2020 DUE TO NO WASTEPASS. RESUMED ON AUG 29 2020.TEMPORARY STOPPED ON SEP 7 2020 DUE TO NO WASTEPASS. Renamed to NONE 59E XCN on Oct 3 2020. ALREADY ON VEIN FROM 59E XC RESUMED ON OCT 14 2020. temporary stopped on Oct 24 2020 to do backswitch activity. RESUME ON FEB.23,2021 @ the same time transferred from CAYABAS TO ESPADA.STOPPED ON APRIL 5, 2021 </t>
  </si>
  <si>
    <t>L08_JVHW_068E_ROBBING</t>
  </si>
  <si>
    <t>L10_DPVE_035E_RAISE</t>
  </si>
  <si>
    <t>L10_GHVHW_059E_STOPE PREP</t>
  </si>
  <si>
    <t>035E</t>
  </si>
  <si>
    <t>040E</t>
  </si>
  <si>
    <t>L10_DPVE_040E_RAISE</t>
  </si>
  <si>
    <t>REPLACEMENT OF L05_DPVE_040E_DE APPROVED JAN 13, 2021 TEMPORARY STOPPED ON JAN 30, 2021 MANPOWER TRANSFERRED TO OTHER LEVEL. Resume on Feb 01, 2021.STOPPED ON 04/06/21 CONVERTED TO BREAKING</t>
  </si>
  <si>
    <t>L05_DPVE_033E_STOPE</t>
  </si>
  <si>
    <t xml:space="preserve">SHEPHERD W </t>
  </si>
  <si>
    <t>L06_DPVE_012E_RAISE</t>
  </si>
  <si>
    <t>ADDITIONAL SOURCE OF GOOD ORE RESERVE BLOCKS APPROVED ON MARCH 17, 2021.STOPPED ON APRIL 7, 2021 CONVERT TO ACTIVE BREAKING..</t>
  </si>
  <si>
    <t>ADDITIONAL HORIZONTAL DEVELOPMENT APPROVED ON MARCH 1, 2021.TEMP STOPPED ON APRIL 6, 2021 PRIORITIZED STOPE PREP.</t>
  </si>
  <si>
    <t>L10_JVHW_064E_RAISE</t>
  </si>
  <si>
    <t>SHEPHERD AE 1</t>
  </si>
  <si>
    <t>L09_GHVHW_065E_DW</t>
  </si>
  <si>
    <t>REPLACEMENT OF L09_GHVHW_029E_RAISE APPROVED ON MARCH 25, 2021. Renamed from L09 GHVHW 010E RAISE to L09 GHVHW 011E RAISE on March 28, 2021.STOPPED ON APRIL 7, 2021 MADE A BREAKTHROUGH.</t>
  </si>
  <si>
    <t>REPLACEMENT OF L09 DPVE2 080E STOPE PREP. APPROVED ON OCT 24 2020. Resumed on November 19,2020.STOPPED ON 29/03/21 VEIN PICHED OUT AT THE SAME TIME CONVERTED TO PULL-OUT.STOPPED ON APRIL 7, 2021 FINISHED HEADINGS.</t>
  </si>
  <si>
    <t>ADDITIONAL HORIZONTAL DRIVE APPROVED ON 3/22/2021 EXPLORATORY DRIVE.TEMP STOPPED ON APRIL 7, 2021 NO MUCKING AVAILABLE.</t>
  </si>
  <si>
    <t>APPROVED ON 2/22/2021. REPLACEMENT OF L09_GHVHW_066E_RAISE. Transfer from REBOTE TO PMC MINERS on March 3,2021. TRANSFERRED FROM PMC MINER TO BABOR STARTING ON MARCH 15, 2021.STOPPED ON APRIL 7,2021 DUE TO VEIN PINCHED OUT.</t>
  </si>
  <si>
    <t>REPLACEMENT OF L09_DPVE2_049E_RAISE. APPROVED ON JANUARY 21 2021. TEMPORARY STOPEPD ON JANUARY 25 2021 TO PRIORITIZE LEVEL 8 SUMP PROJECT. RESUME ON 2/2/2021 @ THE SAME TIME TRANSFERRED FROM FROM PMC MINERS TO PANCIT NOEL. STOPPED ON FEB 12 2021.RESUMED ON MARCH 9, 2021.STOPPED ON MARCH 31,2021 VEIN PINCHED OUT.</t>
  </si>
  <si>
    <t>L04_CTV_025E_RAISE</t>
  </si>
  <si>
    <t>REPLACEMENT OF L08 GHV 033W STOPE PREP. APPROVED ON JULY 22,2020. STOPPED ON JANUARY 13 2021 CONVERTED TO PULL OUT CLEANING. Stopped on April 9,2021 already mined out.</t>
  </si>
  <si>
    <t>ADDITIONAL VERTICAL DEVELOPMENT.APPROVED ON NOVEMBER 9,2020.STOPPED ON APRIL 9, 2021 DUE TO CONSECUTIVE LOW ASSAY GRADE ON CUT SAMPLES/BULK SAMPLES.</t>
  </si>
  <si>
    <t>L10_GHVHW_038E_RAISE</t>
  </si>
  <si>
    <t>L10_DPVE_036E_DE</t>
  </si>
  <si>
    <t xml:space="preserve"> BALANGHIG 2</t>
  </si>
  <si>
    <t>REPLACEMENT OF L09_DPVE2_086E_STOPE PREP.APPROVED ON JANUARY 26 2021.CONVERT TO PULL OUT CLEANING ON APRIL 5, 2021.STOPPED ON APRIL 9, 2021 ALREADY MINED OUT.</t>
  </si>
  <si>
    <t>L09_GHVHW_070E_RAISE</t>
  </si>
  <si>
    <t>L09_JV_051E_DW</t>
  </si>
  <si>
    <t>MARTINEZ, RON 3</t>
  </si>
  <si>
    <t>REPLACEMENT OF L04 JVS 024E DW.APPROVED ON FEB 15. 2021. ROBBING SILL PILLAR. Stopped on April 8,2021 already finished heading.</t>
  </si>
  <si>
    <t>ADDITIONAL ALTERNATIVE SUMP @ L04. APPROVED ON FEB 3 2021. TEMP STOPPED ON FEB. 5 2021. FOR EVALUATION.RESUME ON FEB. 12, 2021 AT THE SAME TIME RENAME FROM L04 NONE 007E SUMP TO L04 NONE 005W SUMP.. Stopped on April 9,2021</t>
  </si>
  <si>
    <t>SHEPHERD AK 2</t>
  </si>
  <si>
    <t>PMC MINERS 5</t>
  </si>
  <si>
    <t xml:space="preserve"> PMC MINERS 5</t>
  </si>
  <si>
    <t>PARAN 3</t>
  </si>
  <si>
    <t>BANTAYAN 1</t>
  </si>
  <si>
    <t>CATIGBE 1</t>
  </si>
  <si>
    <t>CATIGBE 2</t>
  </si>
  <si>
    <t>REBOTE, JOSELITO 1</t>
  </si>
  <si>
    <t>REBOTE, JONATHAN 1</t>
  </si>
  <si>
    <t>REBOTE, JONATHAN 2</t>
  </si>
  <si>
    <t>REBOTE, JONATHAN 3</t>
  </si>
  <si>
    <t>051E</t>
  </si>
  <si>
    <t>REPLACEMENT OF L12_NONE_052E_XCN. APPROVED ON DEC. 8 2020. Stopped on February 1,2021.</t>
  </si>
  <si>
    <t>REPLACEMENT OF L09_GHVHW_068E_RAISE. APPROVED ON MARCH 8 2021. Stopped on April 11, 2021, already reached desired length.</t>
  </si>
  <si>
    <t>REPLACEMENT OF L10 GHV 004E STOPE PREP.APPROVED ON MARCH 20, 2019. Stopped breaking on September 25,2019 convert to pull-out cleaning.TRANFER FROM RIPARIP TO  SHEPHERD B ON NOV 15, 2019.TEMP STOPPED ON NOV 26, 2019 AS PER LEVEL GEOLOGIST. RESUMED ON JANUARY 8 2020  CONTROLLED PULL OUT.TEMP STOPPED ON FEB 4, 2020 FOR EVALUATION ABOUT REMAINING MINECARS. resumed on March 16,2021 at the same time transfer from SHEPHERD B1 TO LARGO. Temporary stopped on April 11,2021 for evaluation underground.</t>
  </si>
  <si>
    <t>ADDITIONAL DEVELOPMENT APPROVED ON JAN  16, 2021. RENAMED FROM L10_GHV_038E_RAISE TO L10_GHVHW_038E_RAISE on April 9,2021. Temporary stopped on April 12,2021.</t>
  </si>
  <si>
    <t>ADDITIONAL SOURCE OF GOOD ORE. APPROVED ON DEC. 15 2020. STOPPED  ON JANUARY 27 2021. CONVERTED TO ACTIVE BREAKING.FOR EVALUATION. Resumed on March 12,2021.TEMP STOPPED ON APRIL 8, 2021 REHAB MANWAY. Resumed on April 9,2021. Stopped on April 13,2021 convert to active breaking.</t>
  </si>
  <si>
    <t>REPLACEMENT OF L10_DPVE_039E_RAISE APPROVED ON MARCH 12, 2021. Stopped on April 9,2021 convert to active breaking</t>
  </si>
  <si>
    <t>L09_NONE_085E_XCS</t>
  </si>
  <si>
    <t>L09_DPVE2_053E_STOPE PREP</t>
  </si>
  <si>
    <t>L09_GHVHW_068E_STOPE PREP</t>
  </si>
  <si>
    <t>REPLACEMENT OF L06_CV_006W_STOPE PREP. APPROVED ON JUNE 9 2020. Temporary stopped on June 29, 2020 to drive inclined raise. Resumed on July 3, 2020.STOPPED BREAKING ON AUG 19 2020 AT THE SAME TIME CONVERTED TO PULL OUT ON AUG 19 2020. Temp stopped on Sept 18, 2020; hang-up of ore, on going plastering of hangup portion on stope, to resume after plastering. Resumed on Oct 7, 2020. TEMP. STOPPED ON NOV. 10 2020.  MAN POWER ISSUE. STOPPED ON JAN 12 2021, SAFETY CONCERN.</t>
  </si>
  <si>
    <t>ADDITIONAL VERTICAL DEVELOPMENT. APPORVED ON FEB 9 2021.STOPPED ON APRIL13, 2021 DUE TO LOW CONSECUTIVE LO ASSAY GRADE.</t>
  </si>
  <si>
    <t>ADDITIONAL HORIZONTAL DRIVE APPROVED ON APRIL 7, 2021.TEMPORARY STOPPED ON APRIL 13, 2021 TRANSFER TO STOPE PREPARATION</t>
  </si>
  <si>
    <t>L08_GHV_027E_WINZE STOPE</t>
  </si>
  <si>
    <t>L08_GHV_029W_STOPE</t>
  </si>
  <si>
    <t>REPLACEMENT OF L08_GHV_034W_STOPE PREP. APPROVED ON AUGUST 25 2020.TRANSFERED FROM VERSOSA TO CABONITA ON FEB. 17, 2021. Stopped on April 13,2021 convert to pull out cleaning.</t>
  </si>
  <si>
    <t>ADDITIONAL SOURCE OF STOPE ORE. APPROVED ON MARCH 13,2021. Stopped on April 13,2021 convert to breaking.</t>
  </si>
  <si>
    <t>ADDITIONAL SOURCE OF STOPE ORE. APPROVED ON MARCH 13,2021.TEMPORARY STOPPED ON APRIL 8, 2021 DUE TO UNSAFE CONDITION. Resumed on April 9,2021.Stopped on April 13,2021 convert to breaking.</t>
  </si>
  <si>
    <t>L10_DPVE_039E_STOPE</t>
  </si>
  <si>
    <t>REPLACEMENT OF L06_CTV_002W_STOPE PREP APPROVED ON DECEMBER 9, 2020. TEMPORARY STOP ON 1/22/2021 TO PROCEED ON THE INCLINE RAISE WITHIN THE STOPE. RAISE IS COMPLETE, RESUME ON FEB 15 2021. CONVERT TO PULL OUT CLEANING APPROVED ON APRIL 6, 2021. Mined out on April 14,2021.</t>
  </si>
  <si>
    <t>SHEPHERD AM 1</t>
  </si>
  <si>
    <t>REPLACEMENT OF L06_JV_009E_ROBBING FOR BY PASS OFF VEIN WITH 4 METERS TARGET LENGHT ON 26/03/21. Stopped on April 13,2021 already breakthrough.</t>
  </si>
  <si>
    <t>ADDITIONAL FILLWINZE TO SERVE AS A WASTE APPROVED ON MARCH 23, 2021.STOPPED ON APRIL 144, 2021.</t>
  </si>
  <si>
    <t>REPLACEMENT OF L06_DPVE_021E_WINZE. AUGUST 15 2020. Stopped on Oct 5, 2020 already reached projected strike length. Resumed on Dec 2 2020 transferred from Shepherd AA to DOLARIZA 2. RENAMED TO 21E DW POSITION ON JAN 21 2021. CORRECTED ON MARCH 27, 2021 FROM DW TO DE AS PER LEVEL GEO AT 12M LENGTH.Temporary stopped on April 13,2021 adviced by Mine Geology due to consecutive low assay grade.</t>
  </si>
  <si>
    <t>REPLACEMENT OF L06_DPVE_015E_DW APPROVED ON MARCH 16, 2021.Temporary stopped on April 13,2021 adviced by Mine Geology due to consecutive low assay grade.</t>
  </si>
  <si>
    <t>L09_JVHW_015E_RAISE</t>
  </si>
  <si>
    <t>ADDITIONAL SOURCE OF STOPE ORE. APPROVED ON MARCH 13,2021.STOPPED ON APRIL 14, 2021 CONVERT TO STOPE BREAKING.</t>
  </si>
  <si>
    <t>L08_GHVSPLIT_008W_WINZE STOPE</t>
  </si>
  <si>
    <t>ADDITIONAL VERTICAL DRIVE FOR EXPLORATORY PURPOSES. APPROVED ON 3/22/2021.STOPPED ON APRIL 14, 2021 DUE TO CONSECUTIVE LOW ASSAY GRADE.</t>
  </si>
  <si>
    <t>L05_JV_031E_WINZE STOPE</t>
  </si>
  <si>
    <t>ADDITIONAL VERTICAL DEVELOPMENT. APPROVED ON JANUARY 29 2021.TEMPORARY STOPPED ON FEB.16,2021 LACK OF MANPOWER. RESUMED ON FEB 20, 2021. TRANSFER FROM HUMIDING TO PANCIT NORMAN. STOPPED ON FEB 23, 2021 LAREADY REACHED THE REQUIRED HEIGHT AND DUE TO LOW COSECUTIVE ASSAY GRADE.resume on March 3, 2021. stopped on April 14, 2021. Vein pinched out.</t>
  </si>
  <si>
    <t>ADDITIONAL VERTICAL DEVELOPMENT. GROUP TRNASFERRED FROM LEVEL 5 TO LEVL 9. APPROVED ON 2/2/2021.RENAME FROM  L09 JVSPLIT 007E RAISE TO L09 JVSPLIT 005E RAISE ON 2/27/21. stopped on April 14, 2021. Vein pinched out.</t>
  </si>
  <si>
    <t>REPLACEMENT OF L10_DPVE_045E_RAISE. APPROVED ON NOV. 9 2020.ON DEC 16 2020 EVALUATION FROM GEOLOGIST OBSERVATION THE FOLLOWING LOW DIPPING VEIN AVERAGING 42.STOPPED ON APRIL 14, 2021 CONVERT TO STOPE PREP.</t>
  </si>
  <si>
    <t>REPLACEMENT OF L07 JVHW 075E WINZE STOPE. APPROVED ON MAR 17 2021.Temporary stopped on April 13,2021 adviced by Mine Geology due to consecutive low assay grade.</t>
  </si>
  <si>
    <t>REPLACEMENT OF L08_GHV 18W DE. APPROVED ON FEB. 11 2021.Temporary stopped on April 13,2021 adviced by Mine Geology due to consecutive low assay grade.</t>
  </si>
  <si>
    <t>L07_NONE_009W_XCN</t>
  </si>
  <si>
    <t>SHEPHERD AK</t>
  </si>
  <si>
    <t>ADDITIONAL SOURCE OF GOOD ORE RESERVE BLOCKS APPROVED ON MARCH 17, 2021. transferred from PARAN 1 TO SHEPHERD W surrendered working place and transfer to Level 5 on April 5,2021.STOPPED ON APRIL 15, 2021 CONVERT TO STOPE BREAKING.</t>
  </si>
  <si>
    <t>L10_JVSPLIT_072E_STOPE</t>
  </si>
  <si>
    <t>REPLACEMENTS OF L09_DPVE2_037E_RAISE.APPROVED ON MARCH 30, 2021.STOPPED ON APRIL 14, 2021 CONVERT TO STOPE BREAKING.</t>
  </si>
  <si>
    <t>REPLACEMENT OF L09 DPVE 079E DE. APPROVED ON JAN 27 2021. STOPPED ON FEB. 10 2021 PROCEED STOPE PREP.resumed on March 3,2021 at the same time transfer to DELOS REYES V1 from REBOTE.STOPPED ON APRIL 15, 2021 CONVERT TO DRIFT.</t>
  </si>
  <si>
    <t>L09_DPVE2_054E_DE</t>
  </si>
  <si>
    <t>L07_GHVHW_030E_ROBBING</t>
  </si>
  <si>
    <t>REPLACEMENT OF L04_JVSPLIT_024W_DW APPROVED ON MARCH 9, 2021.STOPPED ON APRIL 15, 2021 APPROACHING TOWARDS THE EXCLUSION ZONE OF E15 SHAFT.</t>
  </si>
  <si>
    <t>L04_CTV_019W_STOPE</t>
  </si>
  <si>
    <t>REPLACEMENT OF L05_JV_031E_RAISE.APPROVED ON NOV. 30 2020. TEMPORARY STOPPED ON JAN 30, 2021 MANPOWER TRANSFERRED TO OTHER LEVEL.resumed on April 7, 2021.TEMPORARY STOPPED ON APRIL 7,2021 SINGLE ENTRY. Resumed on April 9,2021.STOPPED ON APRIL 15, 2021 CONVERT TO BREAKING.</t>
  </si>
  <si>
    <t>L04_JVSPLIT_014E_RAISE</t>
  </si>
  <si>
    <t>L04_GHVSPLIT_027W_STOPE PREP</t>
  </si>
  <si>
    <t>VENTILATION COUNTER DRIVE APPROVED ON MARCH 25, 2021.STOPPED ON APRIL 16, 2021 CONVERT TO ROBBING.</t>
  </si>
  <si>
    <t>REPLACEMENT OF L09_DPVE2_084E_STOPE PREP. APPROVED ON DEC. 10 2020.STOPPED ON APRIL 16, 2021 CONVERT TO PULL OUT CLEANING.</t>
  </si>
  <si>
    <t>ADDITIONAL SOURCE OF GOOD ORE. APPROVED ON JANUARY 24 2021.STOPPED ON FEB. 8, 2021 CONVERT TO BREAKING. Resumed on March 29,2021 for its extension.TEMP STOPPED ON APRIL 16, 2021.</t>
  </si>
  <si>
    <t xml:space="preserve">REPLACEMENT OF L06_DPVE_038E_RAISE APPROVED ON MARCH 23, 2021.STOPPED ON APRIL 16, 2021 DUE TO CONSECUTIVE LOW ASSAY GRADE. </t>
  </si>
  <si>
    <t>L05_DPVE_030E_DE</t>
  </si>
  <si>
    <t>REPLACEMENT OF L05_DPVE_037E_ROBBING. APPROVED ON 1/8/2020. Temporary stopped on MArch 26, 2021 as per LM.RESUMED ON APRIL 5, 2021.STOPPED ON APRIL 16, 2021 DUE TO LOW CONSECUTIVE LOW ASSAY GRADE.</t>
  </si>
  <si>
    <t>003W</t>
  </si>
  <si>
    <t>REPLACEMENT OF L10_JVSPLIT_072E_RAISE. APPROVED ON FEB 13 2021.STOPPED ON APRIL 16, 2021 PINCHED OUT VEIN W/ NO TEXTURAL IMPROVEMENT.</t>
  </si>
  <si>
    <t>L06_JVSPLIT_020E_STOPE</t>
  </si>
  <si>
    <t>REPLACEMENT OF L06_JVSPLIT_019E_RAISE APPROVED ON MARCH 23, 2021.STOPPED ON APRIL 16, 2021 CONVERT TO BREAKING.</t>
  </si>
  <si>
    <t>L10_DPVE_047E_STOPE PREP</t>
  </si>
  <si>
    <t>ADDITIONAL VERTICAL DEVELOPMENT APPROVED ON 03/26/21. RENAMED FROM L04_GHVSPLIT_029W_RAISE TO L04_GHVSPLIT_027W_RAISE ON 29/03/21.STOPPED ON APRIL 17, 2021 CONVERT TO STOPE PREP.</t>
  </si>
  <si>
    <t>ADDITIONAL VERTICAL DEVELOPMENT APPROVED ON APRIL 5, 2021.STOPPED ON APRIL 17, 2021 MANPOWER ISSUE TRANSFER TO 5E DW.</t>
  </si>
  <si>
    <t>REPLACEMENT OF L07_DPVE_042E_DW APPROVED ON MARCH 23, 2021.STOPPED ON APRIL 17, 2021 MADE BREAKTHROUGH.</t>
  </si>
  <si>
    <t>REPLACEMENT OF L09_DPVE2_077E-DE APPROVED ON MARCH 30, 2021.STOPPED ON APRIL 16, 2021 CONVERT TO RAISE.</t>
  </si>
  <si>
    <t>009W</t>
  </si>
  <si>
    <t>L07_GHVFW_033W_ROBBING</t>
  </si>
  <si>
    <t>L06_GHVFW_034W_ROBBING</t>
  </si>
  <si>
    <t>L06_JVSPLIT_016E_WINZE STOPE PREP</t>
  </si>
  <si>
    <t>REPLACEMENT OF L06_CV_004W_STOPE FOR MANWAY ACCESS.TO AVOID MISCHARGING IN L06_CV_004W_STOPE.APPROVED ON APRIL 16, 2021. stopped on april 17 2021 to resume L06 CV 004W STOPE PREP</t>
  </si>
  <si>
    <t>REPLACEMENT OF L06_JVSPLIT_022E_DE ON 26/03/21 Temporary stop on April 18, 2021 to prioritize L06 JVSPLIT 016E WINZE STOPE PREP</t>
  </si>
  <si>
    <t>016E</t>
  </si>
  <si>
    <t>L06_CTV_008W_STOPE PREP</t>
  </si>
  <si>
    <t>REPLACEMENT OF L06_CTV_003E_DW. APPROVED ON FEB. 8 2021.TEMP.STOPPED ON MARCH 16, 2021 BLOCK BY STOPE PREP.RESUMED ON APRIL 6, 2021. STOPPED ON APRIL 19, 2021, CONVERTED TO L06 CTV 008W STOPE PREP</t>
  </si>
  <si>
    <t>L10_GHVHW_060E_STOPE PREP</t>
  </si>
  <si>
    <t>L10_GHVSPLIT_055E_DE</t>
  </si>
  <si>
    <t>L09_DPVE2_047E_STOPE</t>
  </si>
  <si>
    <t>REPLACEMENT OF L09_JVHW_050E_DE APPROVED ON MARCH 25, 2021.STOPPED ON 4/19/21 VEIN PINCHED OUT</t>
  </si>
  <si>
    <t xml:space="preserve">CAYABAS </t>
  </si>
  <si>
    <t xml:space="preserve">ADDITIONAL HORIZONTAL DEVELOPMENT APPROVED ON MARCH 23, 2021.STOPPED ON 4/19/21 PROJECTED TO BREAKTHROUGH AT NEARBY MAINLINE. </t>
  </si>
  <si>
    <t>REPLACEMENT OF L09 DPVE2 047E RAISE. APPROVED ON MARCH 15, 2021.TEMP STOPPED ON MARCH 24, 2021 CONTINUE FRIFT 47E DE FOR VENTILATION PURPOSE. RESUMED ON 29/03/21.STOPPED ON APRIL 19,2021 convert to stope breaking.</t>
  </si>
  <si>
    <t>L07_JVHW_038E_DE</t>
  </si>
  <si>
    <t>REPLACEMENT OF L07_JV_016E_ROBBING. APPROVED ON JANUARY 12 2021.TEMP STOPPED ON APRIL 7, 2021 AIRHOIST DEFECTIVE. Resume on April 17, 2021. STOPPED ON APRIL 20 2021 CONVERTED TO ISL</t>
  </si>
  <si>
    <t>REPLACEMENT OF L10 GHVHW 077E RAISE APPROVED ON MARCH 30,2021. Temp stopped on April 19, 2021.STOPPED ON APRIL 20, 2021 ALREADY REACHED THE RECOMMENDED STRIKE LENGTH.</t>
  </si>
  <si>
    <t>L10_GHVHW_038E_DW</t>
  </si>
  <si>
    <t>L09_DPVE2_021E_DE</t>
  </si>
  <si>
    <t>L09_DPVE_038E_DW</t>
  </si>
  <si>
    <t>L08_DPVE_068E_ROBBING</t>
  </si>
  <si>
    <t>REPLACEMENT OF L06_JV_045E_RAISE. APPROVED ON SEPT. 22 2020. temporary stopped on Oct 7 2020. Resumed on Oct 9, 2020. STOPPED ON OCT 21 2020.LOW GRADE</t>
  </si>
  <si>
    <t>L08_GHVHW_054E_ROBBING</t>
  </si>
  <si>
    <t>L08_JVSPLIT_069E_RAISE</t>
  </si>
  <si>
    <t>L09_DPVE2_076E_DW</t>
  </si>
  <si>
    <t>REPLACEMENT OF L09_GHV_070E_DE. APPROVED APRIL 11,2021.TEMP. STOPPED ON APRIL 21, 2021 ALREADY BREAKTHROUGH.</t>
  </si>
  <si>
    <t>076E</t>
  </si>
  <si>
    <t>L08_DPVE_045E_RAISE</t>
  </si>
  <si>
    <t xml:space="preserve">APPROVED ON 3/22/2021. EXPLORATORY DRIVE.stopped on april 21, 2021  TO AVOID INTERSECTION ON THE  MAINLINE  NEAR THE AREA. </t>
  </si>
  <si>
    <t>L08_GHVHW_058E_ROBBING</t>
  </si>
  <si>
    <t>L10_DPVE_062E_STOPE PREP</t>
  </si>
  <si>
    <t>L07_CTV_015E_DW</t>
  </si>
  <si>
    <t>REPLACEMENT OF L07_JV_056E_WINZE APPROVED ON 3/26/21. ALREADY FINISHED THE RECOMMENDED LENTGHT ON APRIL 21 2021.</t>
  </si>
  <si>
    <t>REPLACEMENT OF L07_GHV_034W STOPE PREP. APPROVED ON NOV 24 2020.STOPPED ON APRIL 21, 2021 COVERTED TO PULL OUT.</t>
  </si>
  <si>
    <t>REPLACEMENT OF L06_CTV_001E_STOPE PREP A+I436:J438PRROVED ON NOV 27 2020, CONVERTED TO PULL OUT AND STOPPED BREAKING ON JANUARY 25 2021.STOPPED ON 2/26/21 FINISHED HEADING</t>
  </si>
  <si>
    <t>REPLACEMENT OF L06_CTV_007W_RAISE APPROVED ON MARCH 17, 2021.RENAMED ON MARCH 18, 2021 FROM 007W TO 006W TO AVOID MISCHARGING.STOPPED ON APRIL 21, 2021.CONVERT TO BREAKING.</t>
  </si>
  <si>
    <t>L06_CTV_006W_STOPE</t>
  </si>
  <si>
    <t>REPLACEMENT OF L08_DPVE_067E_DW ON 24/03/21.stopped on april 22,2021.Pinched out vein.</t>
  </si>
  <si>
    <t>REPLACEMENT OF L09_JVSPLIT_007E_DW APPROVED ON MARCH 30, 2021.STOPPED ON APRIL 22, 2021 DUE TO LOW GRADE.</t>
  </si>
  <si>
    <t>L04_CTV_007W_ROBBING</t>
  </si>
  <si>
    <t>043W</t>
  </si>
  <si>
    <t>085E</t>
  </si>
  <si>
    <t>024W</t>
  </si>
  <si>
    <t>077E</t>
  </si>
  <si>
    <t>ADDITIONAL SOURCE OF TONNAGE. APPROVED ON APRIL 5, 2021. MINED OUT APRIL 23, 2021</t>
  </si>
  <si>
    <t>REPLACEMENT OF L10 NONE 063E XCN. APPROVED ON FEB 21, 2021. STOPPED ON APRIL 23, 2021 ALREADY REACHED THE RECOMMENDED STRIKE LENGTH.</t>
  </si>
  <si>
    <t>REPLACEMENT OF L09_DPVE2_084E_STOPE PREP. APPROVED ON DEC. 10 2020.CONVERT TO PULL OUT CLEANING APPROVED ON APRIL 16, 2021. Declared mined out on April 23, 2021.</t>
  </si>
  <si>
    <t>L09_JV_058E_RAISE</t>
  </si>
  <si>
    <t>L08_CTV_005E_ROBBING</t>
  </si>
  <si>
    <t>L04_NONE_022W_XCS</t>
  </si>
  <si>
    <t>REPLACEMENT OF L05_JV_028E_WINZE. APPROVED ON FEB 5 2021.THE VEINS LATERAL EXTENSION TOWARDS EAST CONTINUES TO PINCHED TO 0.10M VEIN WIDTH DUE TO PARALLEL &amp; CROSS-CUTTING FAULT.STOPPED ON APRIL 24, 2021. OFF VEIN.</t>
  </si>
  <si>
    <t>L09_DPVE2_072E_DW</t>
  </si>
  <si>
    <t>L09_DPVE_072E_DW</t>
  </si>
  <si>
    <t>L10_NONE_012E_SUMP</t>
  </si>
  <si>
    <t>BACK SWITCH OF L06_DPVE_014E_DW  APPROVED ON MARCH 25, 2021. PINCHED OUT VEIN STOPPED ON APRIL 25, 2021</t>
  </si>
  <si>
    <t>L07_JV_052E_WINZE</t>
  </si>
  <si>
    <t>REPLACEMENT OF L07 JVFW 038E DW. APPROVED ON APRIL 15 2021.TEMPORARILY STOPPED ON APRIL 26 2021.CONVERTED TO STOPEPREP</t>
  </si>
  <si>
    <t>REPLACEMENT OF L07 JVFW 044E RAISE. APPROVED ON MAR 2 2021.TRANSFER FROM SHEPHERD P TO BORERO ARMAN ON MARCH 10, 2021.RECOMMENMDED FOR ACTIVE STOPE BRAKING ON 29/03/21.FROM BORRERO TRANSFERRED TO CAYABAS ON 4/19/21.STOPPED BREAKING AND CONVERTED TO PULL OUT ON APRIL 26 2021</t>
  </si>
  <si>
    <t>L09_JVSPLIT_008E_STOPE</t>
  </si>
  <si>
    <t>REPLACEMENTS OF L09_JVSPLIT_014E-RAISE APPROVED ON MARCH 30, 2021.STOPPED ON APRIL 26, 2021 CONVERT TO BREAKING.</t>
  </si>
  <si>
    <t>L06_JVSPLIT_008E_STOPE</t>
  </si>
  <si>
    <t>ADDITIONAL HORIZONTAL DRIVE.APPROVED ON APRIL 21, 2021.STOPPED ON APRIL 26, 2021.STRIKE OF THE VEIN HAD PARALLELED TO THE ADJACENT MAINLINE LEAVINF ONLY 2M PILLAR.</t>
  </si>
  <si>
    <t>REPLACEMENT OF L09_JVSPLIT_008E_RAISE APPROVED ON MARCH 17, 2021.renamed from L09 GHVHW TO L09_GHVFW  on April 7 2021.STOPPED ON APRIL 26, 2021.HAS 5M REMAINING BALANCE TO CONNECT TO OPPOSITE MAINLINE.</t>
  </si>
  <si>
    <t>L09_GHVFW_031E_RAISE</t>
  </si>
  <si>
    <t>L07_GHV_024W_RAISE</t>
  </si>
  <si>
    <t>L08_NONE_019E_SUMP</t>
  </si>
  <si>
    <t>019E</t>
  </si>
  <si>
    <t>REPLACEMENT OF L07 JV 053E ROBBING. APPROVED ON FEB. 4 2021.TEMPORARILY STOPPED ON MAR 2 2021 TO PROCEED RAISE.RESUMED ON MARCH 10, 2021. Temporary stopped on April 9,2021 to prioritized raise. Resumed on APRIL 17, 2021.RENAMED FROM JV TO CTV ON APRIL 21, 2021.STOPPED ON APRIL 27, 2021 MADE BREAKTHROUGH.</t>
  </si>
  <si>
    <t>L09_DPVE2_064E_DE</t>
  </si>
  <si>
    <t>L09_DPVE2_055E_DE</t>
  </si>
  <si>
    <t>REPLACEMENT OF L09_NONE_054E_XCS.APPROVED ON APRIL 16, 2021. Stopped on April 27, 2021 off vein.</t>
  </si>
  <si>
    <t>L10_JVSPLIT_071E_STOPE PREP</t>
  </si>
  <si>
    <t>CAPOY  1</t>
  </si>
  <si>
    <t>L07_JVFW_046E_DE</t>
  </si>
  <si>
    <t>L07_CTV_011E_RAISE</t>
  </si>
  <si>
    <t>TURRA 2</t>
  </si>
  <si>
    <t>ADDITIONAL ALTERNATIVE SUMP @ L05. APPROVED ON JANUARY 16 2021. ALREADY FINISHED ON APRIL 28 2021</t>
  </si>
  <si>
    <t>PROPOSE PUMP STATION AT LEVEL 5 THAT PUMPS DISCHARGE WATER FROM LEVEL 10 TO SURFACE APPROVED ON NOV 5, 2019.Transfer from FERNANDEZ, REX3 TO MARTINEZ, ROGER 1 ON MAY 6, 2020. TRANSFER FROM MARTINEZ ROGER TO PMC MINERS ON JULY 29, 2020.STOPPED ON OCT 10 2020. ALREADY FINISHED AS PER JMON. RESUMED ON JAN 21 2021.ALREADY FINISHED ON APRIL 28 2021</t>
  </si>
  <si>
    <t>REPLACEMENT OF L10_GHVHW_061E_RAISE.APPROVED ON APRIL 6, 2021. STOPPED ON APRIL 26 2021 CONVERTED TO ACTIVE BREAKING.</t>
  </si>
  <si>
    <t>L10_GHVHW_059E_STOPE</t>
  </si>
  <si>
    <t>ALMASA</t>
  </si>
  <si>
    <t>L06_JV_010E_WINZE</t>
  </si>
  <si>
    <t>L09_DPVE_039E_DW</t>
  </si>
  <si>
    <t>REPLACEMENT OF L08_JVS_069E_DE APPROVED ON MARCH 16, 2021. STOPPED ON APRIL 21 2021.</t>
  </si>
  <si>
    <t>L07_JVFW_038E_WINZE STOPE PREP</t>
  </si>
  <si>
    <t>L08_NONE_021E_XCN</t>
  </si>
  <si>
    <t>REPLACEMENT OF L10 JVSPLIT 066E STOPE. APPROVED ON APRIL 7,2021.STOPPED ON APRIL 29, 2021. FROM HIGH DEPTH VEIN.</t>
  </si>
  <si>
    <t>VENTILATION PURPOSES TO BE BREAKTHROUGH TO OPPOSITE MAINLINE.APPROVED ON APRIL APRIL 5, 2021.STOPPED ON APRIL 24, 2021 MADE BREAKTHROUGH.</t>
  </si>
  <si>
    <t>REPLACEMENT OF L09_DPVE_034E_RAISE. APPROVED ON APRIL 11,2021.STOPPED ON APRIL 28, 2021 CONVERT TO BREAKING.</t>
  </si>
  <si>
    <t>REPLACEMENT OF L10_JVSPLIT_073E_STOPE PREP APPROVED ON SEPT. 12 2020.stopped breaking on March 19,2021 at the same time convert to pull out cleaning.STOPPED ON APRIL 30, 2021. ALREADY MINE OUT.</t>
  </si>
  <si>
    <t>REPLACEMENT OF L10 DPVE 063E RAISE. APPROVED ON MAY 20, 2019.STOPPED ON JULY 23, 2019 DUE TO CONSECUTIVE LOW ASSAY GRADES ON CUT SAMPLES/BULK SAMPLES. resumed on March 13,2021 at the same time transfer PARAGUYA 1 TO COMAINGKING 1 AND RENAMED FROM L10_DPVE_060E_RAISE TO L10_DPVE_058E_RAISE. STOPPED ON APRIL 3, 2021 ALREADY REACHED THE RECOMMENDED STRIKE LENGHT.</t>
  </si>
  <si>
    <t>REPLACEMENT OF L07_JV_014E_RAISE.APPROVED ON APRIL 9, 2021.RENAMED FROM JV TO CTV.APPROVED APRIL 16, 2021.STOPPED ON APRIL 30,2021 ALREADY REACHED THE RECOMMENDED STRIKE LENGTH.</t>
  </si>
  <si>
    <t>REPLACEMENT OF L09 JV 051E DW. APPROVED ON APRIL 27, 2021. STOPPED ON APRIL 29, 2021 ALREADY BREAKTHROUGH.</t>
  </si>
  <si>
    <t>L10_JVHW_065E_STOPE</t>
  </si>
  <si>
    <t>022W</t>
  </si>
  <si>
    <t>L05_CTV_015E_WINZE STOPE</t>
  </si>
  <si>
    <t>L11_JV_048E_DE</t>
  </si>
  <si>
    <t>IDEAL COUNT</t>
  </si>
  <si>
    <t>TODAY COUNT</t>
  </si>
  <si>
    <t>LACKING</t>
  </si>
  <si>
    <t>REPLACEMENT OF L05_CTV_013E_WINZE STOPE. APPROVED ON 1/5/2020- rename from 14E TEMPORARY STOPPED ON JAN 20, MANPOWER MERGED WITH L05 CTV 013W RAISE.RESUME ON 2/3/2021. temporary stopped on 3/6/21 due to insuffient manpower. Resume on April 14,2021 at the same time transfer from SHEPHERD W TO SHEPHERD AM. STOPPED ON APRIL 30,2021 CONVERT TO ACTIVE BREAKING.</t>
  </si>
  <si>
    <t>LIST2 AND FINAL LIST CHECKER</t>
  </si>
  <si>
    <t>REPLACEMENT OF L07_GHV_034W STOPE PREP. APPROVED ON NOV 24 2020.APRIL 21, 2021 COVERTED TO PULL OUT. STOPPED ON MAY 1,2021 ALREADY MINED OUT.</t>
  </si>
  <si>
    <t>Replacements of L04_CTV_025E_WINZE STOPE PREP, approved on March 26, 2021.TEMPORARY STOPPED ON APRIL 7, 2021 SINGLE ENTRY. Resumed on April 9,2021. april 17, 2021 has 10m slope distance to connect to the mainline. Stopped on April 30, 2021, converted to Pull Out Cleaning</t>
  </si>
  <si>
    <t>L04_CTV_010E_DW</t>
  </si>
  <si>
    <t>REPLACEMENT OF L04_CTV_019W_STOPE PREP.APPROVED ON APRIL 9, 2021.TRANSFER FROM SHEPHERD AL 1 TO MARTINEZ RON. APPROVED ON APRIL 16, 2021. STOPPED AND CONVERTED TO PULL OUT CLEANING ON MAY 03, 2021</t>
  </si>
  <si>
    <t>L05_DPVE_047E_RAISE</t>
  </si>
  <si>
    <t>L05_DPVE_048E_RAISE</t>
  </si>
  <si>
    <t>REPLACEMENT OF L05_DPVE_040E_DE APPROVED ON JAN 10, 2021.RENAMED FROM L05 DPVE 039E RAISE TO L05 DPVE 049E RAISE ON 2/26/21. Temp stopped on March 26, 2021 to prioritized L05 DPVE 048E DW.resumed on april 20, 2021.STOPPED ON MAY 2, 2021 TRANSFER TO NORMAL RAISE.</t>
  </si>
  <si>
    <t>ADDITIONAL VERTICAL DEVELOPMENT. APPROVED ON OCT. 10 2020. Temporary Stopped on Nov. 12 2020 to priority high grade stope.RESUMED ON JAN 11 2020. Temp Stop on 1/25/2021, to prioritize chamber excavation.RESUMED ON MAR 25 2021. AT THE SAME TIME TRANSFER FROM PANCIT NOEL TO BAYOBAY 1.STOPPED ON MAY 2,2021 TRANSFER TO NORMAL RAISE</t>
  </si>
  <si>
    <t>L11_NONE_054E_SUMP</t>
  </si>
  <si>
    <t>ALMASA 3</t>
  </si>
  <si>
    <t>REPLACEMENT OF L04_GHVFW_018E_WINZE STOPE PREP, APPROVED ON DEC 3 2020.TEMP. STOPPED ON MARCH 7, 2021 DUE TO MANPOWER PROBLEM.resumed on MArch 30, 2021 and transferred from Davacol Rowel 1 to Shepherd AL.STOPPED ON MAY 3, 2021 CONVERTED TO STOPE PULL-OUT</t>
  </si>
  <si>
    <t>PROPOSED BATTERY CHAMBER APPROVED MARCH 16, 2021.STOPPED ON MAY 3, 2021 FINISHED HEADING</t>
  </si>
  <si>
    <t>L09_DPVE2_064E_STOPE PREP</t>
  </si>
  <si>
    <t>REPLACEMENT OF L09 JVHW 012E RAISE. APPROVED ON APRIL 23, 2021. STOPPED ON MAY 1,2021 CONVERTED TO STOPE.</t>
  </si>
  <si>
    <t>TEMPORARY REPLACEMENT OF L08_DPVE_075E_WINZE, APPROVED ON OCT. 5 2020 temp. stopped on Jan 12 2021. lack of manpower.resume on feb.17, 2021 at the same time transferred to shepherd X from cabonita.RENAMED FROM DW TO DE AS PER SDNC ON MARCH 5, 2021. STOPPED ON MAY 3, 2021.</t>
  </si>
  <si>
    <t>REPLACEMENT OF L05_DPVE_040E_DE ON 26/03/21. STOPPED ON MAY 4, 2021 PINCHED OUT VEIN.</t>
  </si>
  <si>
    <t>L06_JVSPLIT_004E_DE</t>
  </si>
  <si>
    <t>`</t>
  </si>
  <si>
    <t>REPLACEMENT OF L06_DPVE_021E_DE.APPROVED ON APRIL 17, 2021.BLASTING ACTIVITIES STOPPED ON APRIL 30, 2021 DUE TO LOWGRADE AND DILUTION DUE TO WIDER BREAKING WIDTH, TRAMMING OF MUCK IS DELAYED DUE TO FLOODING IN INTERNAL SHAFT. TRAMMING IS STILL ON GOING WHEN FLOODING IS MITIGATED.NLC</t>
  </si>
  <si>
    <t>REPLACEMENT OF L06_JVFW_014W_RAISE APPROVED ON MARCH 18, 2021. STOPPED ON APRIL 30, REACHED RECOMMENDED LENGTH.</t>
  </si>
  <si>
    <t>L10_GHVHW_069E_STOPE PREP</t>
  </si>
  <si>
    <t>L10_DPVE_040E_STOPE PREP</t>
  </si>
  <si>
    <t>L07_JVHW_062E_WINZE</t>
  </si>
  <si>
    <t>L07_CTV_014E_STOPE PREP</t>
  </si>
  <si>
    <t>APPROVED ON 2/19/2021. ADDITIONAL PRODUCTION TONNAGE. TRANSFERRED FROM CAYABAS TO OY-YOY ON APRIL 22 2021.TEMP.STOPPED ON APRIL 30, 2021 PINCHED OUT VEIN.</t>
  </si>
  <si>
    <t xml:space="preserve">L05_CTV_005E_ROBBING </t>
  </si>
  <si>
    <t>L05_DPVE_028E_RAISE</t>
  </si>
  <si>
    <t>028E</t>
  </si>
  <si>
    <t>L04_GHVSPLIT_027W_STOPE</t>
  </si>
  <si>
    <t>REPLACEMENT OF L04 _CTV_019W_RAISE APPROVED ON 3/10/21.RENAMED FROM SHEPHERD W TO SHEPHERD AN ON MARCH 19, 2021.TEMPORARY STOPPED ON APRIL 7,2021 SINGLE ENTRY. Resumed on April 9,2021.STOPPED ON APRIL 15, 2021 CONVERT TO BREAKING.STOPPED ON MAY 4, 2021.CONVERTED TO BREAKING.</t>
  </si>
  <si>
    <t>REPLACEMENT OF L04_GHVSPLIT_028W_RAISE APPROAVED ON FEB.23,2021.STOPPED ON MAY 4, 2021. CONVERTED TO RAISE.</t>
  </si>
  <si>
    <t>L07_NONE_011E_XCN</t>
  </si>
  <si>
    <t xml:space="preserve">CARIKITAN 2 </t>
  </si>
  <si>
    <t>BLOCKING RAISE OF GHVHW 013W RAISE. APPROVED ON 3/22/2021.STOPPE ON MAY 4,2021</t>
  </si>
  <si>
    <t>L10_NONE_004E_XCS</t>
  </si>
  <si>
    <t>PMC MINERS 6</t>
  </si>
  <si>
    <t>TO TARGET JEREMY VEIN DRILLING INTERCEPT WITH 6.3 GPT vein grade.approved on april 16, 2021. STOPPED ON MAY 5,2021 AND CONVERTED TO ON VEIN.</t>
  </si>
  <si>
    <t>REPLACEMENT OF L07 JVSPLIT 032E WINZE STOPEPREP. APPROVED ON SEP 29 2020. TEMPORARY STOPPED ON NOV. 13 2020 DUE TO LACK OF MANPOWER.STOPPED BREAKING ON NOV 20 2020 TO CONDUCT FILL RAISE. STOPPED BREAKING ON NOV. 27 2020 CONVERTED TO PULL OUT CLEANING.RESUMED ON MAR 17 2021 AT THE SAME TIME TRANSFER FROM CARIKITAN TO DAVOCOL. Temporary stopped on April 14,2021 for evaluation by safety department for unsafe condition.Permanently stopped on May 5,2021.</t>
  </si>
  <si>
    <t>REPLACEMENT OF L09_DPVE2_048E_STOPE PREP. APPROVED ON MARCH 27,2021.recommending to convert pull-out cleaning on May 5, 2021.</t>
  </si>
  <si>
    <t>REPLACEMENT OF L06_CTV_002W_STOPE.APPROVED ON APRIL 7, 2021. Stopped on May 5,2021 due to consecutive low assay grade.</t>
  </si>
  <si>
    <t>REPLACEMENT OF L06 DPVE 024E ROBBING. APPROVED ON MARCH 20, 2021.Temp stopped on March 21, 2020, not yet started. Resumed on March 26,2021. Stopped on May 5,2021 due to vein pinched out.</t>
  </si>
  <si>
    <t>ADDITIONAL SOURCE OF STOPE ORE. APPROVED ON MARCH 13,2021.APRIL 14, 2021 CONVERT TO STOPE BREAKING. STOPPED ON MAY 5,2021 CONVERT TO PULL-OUT CLEANING.</t>
  </si>
  <si>
    <t>L08_JVSPLIT_049E_DW</t>
  </si>
  <si>
    <t>REPLACEMENT OF L08_GHV 18W DE. APPROVED ON FEB. 11 2021.Temporary stopped on April 13,2021 adviced by Mine Geology due to consecutive low assay grade.RESUMED ON APRIL 15, 2021.stopped on May 3,2021 low grade.</t>
  </si>
  <si>
    <t>026W</t>
  </si>
  <si>
    <t>REPLACEMENT OF L09_DPVE2_073E_STOPE PREP APPROVED ON MARCH 17, 2021.STOPPED ON MAY 5, 2021 MINED OUT.</t>
  </si>
  <si>
    <t>ADDITIONAL VERTICAL DEVELOPMENT APPROVED ON APRIL 5, 2021.STOPPED ON APRIL 17, 2021 MANPOWER ISSUE TRANSFER TO 5E DW.RESUMED ON APRIL 20, 2021 AT THE SAME TIME TRANSFER FROM PARAN TO SHEPHERD AF.STOPPED ON MAY 6, 2021 ALREADY REACH THE RECOMMENDED STRIKE LENGTH.</t>
  </si>
  <si>
    <t>L06_JVHW_014E_DW</t>
  </si>
  <si>
    <t>BAÑEZ  3</t>
  </si>
  <si>
    <t>REPLACEMENT OF L05_GHV_035W_WINZE. APPROVED ON DEC. 5 2020.TEMP STOPPED ON MARCH 25, 2021.resumed on april 16, 2021.CONVERTED TO PULL-OUT CLEANING ON MAY 6,2021.</t>
  </si>
  <si>
    <t>REPLACEMENT OF L09_DPVE_038E_DE.APPROVED ON APRIL 26, 2021.STOPPED ON MAY 6,2021.LOW ASSAY GRADES</t>
  </si>
  <si>
    <t>REPLACEMENT OF L09_DPVE2_075E_RAISE.APPROVED ON APRIL 21, 2021.STOPPED ON MAY 6, 2021. PINCED OUT VEIN.</t>
  </si>
  <si>
    <t>REPLACEMENT OF L06_CV_004W_STOPE PREP APPROVED ON FEB. 8, 2021. Temporary stopped on March 29,2021 resume stope preparation for its extension.STOPPED ON APRIL 16, 2021 TO PRIORITIZE RAISE FOR DOUBLE ENTRY AND AVOID MISCHARGING. resume on April 17, 2021.STOPPED ON MAY 6,2021 UNSAFE CONDITION CONVERTED TO PULL-OUT.</t>
  </si>
  <si>
    <t>L06_DPVE_012E_STOPE PREP</t>
  </si>
  <si>
    <t>L06_GHV_026E_STOPE PREP</t>
  </si>
  <si>
    <t>REPLACEMENT OF L06_DPVE_014E_DW.APPROVED ON APRIL 19, 2021.RENAMED FROM 006W TO 007W TO PREVENT MISCHARGING ON APRIL 20, 2021. MINED OUT ON MAY 7, 2021</t>
  </si>
  <si>
    <t>REPLACEMENT OF L10 GHVHW 057E STOPE PREP APPROVED ON MARCH 26,2021. Stopped on May 4,2021 convert to pull out cleaning as per Level Geo.</t>
  </si>
  <si>
    <t>ADDITIONAL DRIVE FOR L08_NONE_035E_CHAMBER APPROVED ON MARCH 9, 2021.</t>
  </si>
  <si>
    <t>L08_DPVE_036E_ROBBING</t>
  </si>
  <si>
    <t>REPLACEMENT OF L07 JVFW 044E RAISE. APPROVED ON MAR 2 2021.TRANSFER FROM SHEPHERD P TO BORERO ARMAN ON MARCH 10, 2021.RECOMMENMDED FOR ACTIVE STOPE BRAKING ON 29/03/21.FROM BORRERO TRANSFERRED TO CAYABAS ON 4/19/21.STOPPED BREAKING AND CONVERTED TO PULL OUT ON APRIL 26 2021.STOPPED ON MAY 7, 2021 ALREADY MINED OUT.</t>
  </si>
  <si>
    <t>REPLACEMENT OF L06_GHV_026E_RAISE, APPROVED ON MAY 04, 2021. TEMPORARY STOPPED ON MAY 7, 2021 TO PRIORITIZE STOPE PREP</t>
  </si>
  <si>
    <t>ADDITIONAL STOPE ORE TONNAGE APPROVED ON 4/23/21.STOPPED ON MAY 7, 2021 FINISHED HEADINGS.</t>
  </si>
  <si>
    <t xml:space="preserve"> REPLACEMENT OF L08_DPVE_065E_DE. APPROVED ON 4/23/2021.STOPPED ON MAY 6,2021 MADE BREAKTHROUGH.</t>
  </si>
  <si>
    <t xml:space="preserve"> REPLACEMENT OF L08_JVSPLIT 044E_RAISE. APPROVED ON 4/21/2021.STOPPED ON MAY 6, 2021 FINISHED HEADINGS.</t>
  </si>
  <si>
    <t>L07_JV_008W_DE</t>
  </si>
  <si>
    <t>L09_DPVE2_053E_STOPE</t>
  </si>
  <si>
    <t>REPLACEMENT OF L09_DPVE2_053E_RAISE. APPROVED ON APRIL 13,2021.STOPPED ON MAY 7, 2021 CONVERT TO BREAKING.</t>
  </si>
  <si>
    <t>L11_JV_045E_DW</t>
  </si>
  <si>
    <t>L07_DPVE_043E_WINZE STOPE PREP</t>
  </si>
  <si>
    <t>REPLACEMENT OF L09_DPVE2_075E_RAISE ON 29/03/21.STOPPED ON MAY 7, 2021 ALREADY BREAKTHROUGH</t>
  </si>
  <si>
    <t>L05_JV_022E_RAISE</t>
  </si>
  <si>
    <t>L07_JVFW_049E_ROBBING</t>
  </si>
  <si>
    <t>REPLACEMENT OF L10 GHVFW 030E STOPE PREP. APPROVED ON APRIL 18,2020. Stopped Breaking On Nov. 7 2020 converted to pull out cleaning. Stopped on May 8,2021 due to unsafe condition.</t>
  </si>
  <si>
    <t>REPLACEMENT OF L10 JVFW 067E STOPE PREP .APPROVED ON JAN.28,2021.TEMPORARY STOPPED TO PINCH OUT VEIN PROCEED TO RAISE TO TARGET THE VEIN APPROVED ON FEB.19,2021. Resume breaking on March 12,2021. Temporary stopped on March 20,2021 convert to stope preparation on the inclined raise. Resumed on April 13,2021. Temporary stopped on May 7,2021 to breakthrough raise on Level 9.</t>
  </si>
  <si>
    <t>L12_NONE_051E_XCS</t>
  </si>
  <si>
    <t>REPLACEMENT OF L06_GHVSPLIT_031E_ROBBING. APPROVED ON FEB. 5 2021. STOPPED ON MAY 9, 2021. LOW QA/QC RESULTS</t>
  </si>
  <si>
    <t>L08_DPVE_030E_ROBBING</t>
  </si>
  <si>
    <t>L08_JVSPLIT_066E_DW</t>
  </si>
  <si>
    <t>L04_CTV_010E_DE</t>
  </si>
  <si>
    <t>GUNAY 4</t>
  </si>
  <si>
    <t>REPLACEMENT OF L04_CTV_019W_STOPE PREP.APPROVED ON APRIL 9, 2021.TRANSFER FROM SHEPHERD AL 1 TO MARTINEZ RON. APPROVED ON APRIL 16, 2021. CONVERTED TO PULL OUT CLEANING ON MAY 03, 2021.STOPPED ON MAY 10, 2021 MINED OUT.</t>
  </si>
  <si>
    <t>REPLACEMENT OF L04 JVHW 014E WINZE STOPE PREP. APPROVED ON JULY 11, 2020. TEMP. STOPPED ON JULY 16, 2020 TO PRIORITIZE WINZE FOR RELOCATING MANWAY. Resumed on Oct 6, 2020.MINE GEOLOGY ALREADY GUIDED SPLIT THE MINER AND OFFSET THE BLATING FF THE MASSIVE MAIN VEIN.STOPPED ON MARCH 18, 2021 CONVERT TO PULL OUT.STOPPED ON MAY 10,2021 MINED-OUT.</t>
  </si>
  <si>
    <t>L09_NONE_003E_XCN</t>
  </si>
  <si>
    <t>L04_CTV_008E_DE</t>
  </si>
  <si>
    <t xml:space="preserve">REPLACEMENT OF L05 CTV 005E WINZE.APPROVED ON FEB.15.2021. TEMP STOP ON 3/03/2021. TO PRIORITIZE L05_CTV_015E_WINZE STOPE PREP.RESUMED ON APRIL 16, 2021. Transferred from SHEPHERD W to PARAN 1 on April 19, 2021. stopped on May 5, 2021 due to unsafe condition.
</t>
  </si>
  <si>
    <t>013E</t>
  </si>
  <si>
    <t>REPLACEMENT OF L06_CV_007W_ROBBING.APPROVED MAY 6, 2021.STOPPED ON MAY 10, 2021.DUE TO PINCHED OUT VEIN.</t>
  </si>
  <si>
    <t>L06_JVSPLIT_017E_DW</t>
  </si>
  <si>
    <t>017E</t>
  </si>
  <si>
    <t>L06_JV_017E_DW</t>
  </si>
  <si>
    <t>REPLACEMENT OF L09_JVSPLIT_009E_DE APPROVED ON MARCH 22, 2021.temp stopped on march 30, 2021 converted to stope prep.RESUMED ON APRIL 15, 2021.STOPPED ON MAY 10, 2021.PINCHED OUT VEIN.</t>
  </si>
  <si>
    <t>REPLACEMENT OF L05_GHV_023W_STOPE PREP. Started breaking on February 24,2021 but Engineering Notified March 2,2021.TEMP STOPPED ON APRIL 7, 2021 SINGLE ENTRY. Resumed on April 9,2021RECOMMENDED TO CONTINUE BREAKING.STOPPED ON MAY 10, 2021 CONVERTED TO PULL OUT CLEANING.</t>
  </si>
  <si>
    <t>L09_JVHW_063E_DE</t>
  </si>
  <si>
    <t>REPLACEMENT OF L05_JV_031E_WINZE STOPE PREP APPROVED ON APRIL 14, 2021. Stopped on breaking on May 11,2021 convert to pull out cleaning already reached the recommended pillar.</t>
  </si>
  <si>
    <t>REPLACEMENT OF L09_GHVHW_022E_RAISE APPROVED ON 27/03/21. Stopped due to vein pinched out as per OPS on May 11, 2021</t>
  </si>
  <si>
    <t>REPLACEMENT OF L04_JV_013W_WINZE APPROVED ON MARCH 19, 2021.Renamed from L04 JV 013W DE to L04 JV 012W DE on March 20,2021. Stopped on May 11,2021.</t>
  </si>
  <si>
    <t>REPLACEMENTS OF L04_CTV_010E_DW APPROVE ON APRIL 16, 2021.MEMO RECEIVED ON MAY 2, 2021. Stopped on May 6,2021 notified on May 11,2021.</t>
  </si>
  <si>
    <t>L04_JV_028W_WINZE</t>
  </si>
  <si>
    <t>L08_JVHW_054E_ROBBING</t>
  </si>
  <si>
    <t>L09_GHV_051E_DW</t>
  </si>
  <si>
    <t>L09_GHVHW_036E_RAISE</t>
  </si>
  <si>
    <t>REPLACEMENT OF L08_GHV_023E_WINZE, APPROVED ON APRIL 16, 2020. STOPPED ON JUNE 23 2020 DUE TO LOW GRADE.resume on feb.17, 2021.RENAMED FROM DW TO DE AS PER SDNC ON MARCH 5, 2021. STOPPED ON MAY 11, 2021. PINCHED OUT VEIN.</t>
  </si>
  <si>
    <t>L08_GHVHW_024E_ROBBING</t>
  </si>
  <si>
    <t>L08_GHV_045E_ROBBING</t>
  </si>
  <si>
    <t>L08_GHV_028E_DE</t>
  </si>
  <si>
    <t>L11_JVFW_056E_DE</t>
  </si>
  <si>
    <t>L10_DPVE_062E_STOPE</t>
  </si>
  <si>
    <t>REPLACEMENT OF L10_DPVE_062E_RAISE.APPROVED ON APRIL 21, 2021.STOPPED ON MAY 13, 2021 CONVERTED TO BREAKING.</t>
  </si>
  <si>
    <t>replacement of L05_CTV_015E_WINZE STOPE PREP. Approved on April 30, 2021.STOPPED ON MAY 13, 2021 CONVERT TO PULL OUT CLEANING.</t>
  </si>
  <si>
    <t>ADDITIONAL VERTICAL DEVELOPMENT APPROVED ON MARCH 4, 2021.STOPPED ON 3/20/21 MADE A BREAKTROUGH.RESUMED ON APRIL 21, 2021.STOPPED ON MAY 4,2021 TO PRIORITIZED BY PASS AT GHV NOTIFIED ON MAY 13,2021.</t>
  </si>
  <si>
    <t>L10_GHVHW_074E_DE</t>
  </si>
  <si>
    <t>REPLACEMENT OF L05_GHV_035W_WINZE. APPROVED ON DEC. 5 2020.TEMP STOPPED ON MARCH 25, 2021.resumed on april 16, 2021.CONVERTED TO PULL-OUT CLEANING ON MAY 6,2021. STOPPED ON MAY 12,2021 DUE TO LOW GRADE.</t>
  </si>
  <si>
    <t>REPLACEMENTS OF L09_GHVHW_067E_DE. APPROVED ON APRIL 13,2021. Transferred from BALANGHIG to PANSIT NORMAN due to manpower issue, approved on April 23, 2021. STOPPED ON MAY 13,2021 CONVERT TO BREAKING.</t>
  </si>
  <si>
    <t>L09_GHVHW_068E_STOPE</t>
  </si>
  <si>
    <t>L05_NONE_022E_XCS</t>
  </si>
  <si>
    <t>REPLACEMENT OF L05_DPVE_046E_RAISE.APPEOVED ON MAY 7, 2021. Temporary stopped on May 13,2021 to prioritized 22e xcs.</t>
  </si>
  <si>
    <t>L05_DPVE_044E_WINZE</t>
  </si>
  <si>
    <t>REPLACEMENT OF L05_DPVE_034E_STOPE PREP.APPROVED ON APRIL 5, 2021.CONVERT TO PULL OUT CLEANING APPROVED ON APRIL 22, 2021.STOPPED ON MAY 8,2021 FINISHED PULL-OUT CLEANING. RESUMED ON MAY 9,2021. STOPPED ON MAY 14,2021.</t>
  </si>
  <si>
    <t>REPLACEMENT OF L07 CTV 010E WINZE. APPROVED ON APRIL 21 2021. STOPPED ON MAY 3,2021 DUE TO VEIN PINCHED OUT NOTIFIED ON MAY 13,2021.</t>
  </si>
  <si>
    <t>DIVERSION WAY FOR VENTILATION IN ORDER TO ACCESS OTHER BACKUP RAISE. APPROVED ON 4/28/2021. STOPPED ON MAY 13,2021 ALREADY BREAKTHROUGH.</t>
  </si>
  <si>
    <t>035W</t>
  </si>
  <si>
    <t>REPLACEMENT OF L10 GHVHW 036E DE. APPROVED ON OCT 21 2020. STOPPED ON JAN 16 2021.RESUMED ON APRIL 20, 2021 AT THE SAME TIME RENAMED FROM 37E TO 38E.temporary stopped on MAY 15,2021 TO PRIORITIZED L10_NONE_004E_XCS.</t>
  </si>
  <si>
    <t>L07_GHV_035W_DE</t>
  </si>
  <si>
    <t>REPLACEMENT OF L10 JVFW 067E DW. Approved on July 1, 2020. TEMPORARY STOPPED ON OCT 2 2020.LACK F MANPOWER. Permanently stopped on Jan  11 2021. Resumed on May 8,2021 at the same time transfer from Catigbe to BAÑEZ 5. Temporary stopped on May 15,2021 for safety evaluation.</t>
  </si>
  <si>
    <t>REPLACEMENT OF L10_JVSPLIT_075E_STOPE. APPROVED ON JANUARY 29 2021.TEMP STOPPED ON FEB. 20, 2021 PRIORITY RAISE PREPARATION.RESUMED ON MARCH 6, 2021.STOPPED ON MARCH 9, 2021.resumed on May 4,2021 to regrade breakthrough at the same time transfer from DUHIG TO CATIGBE 2. STOPPED ON MAY 14,2021 ALREADY FINISHED REGRADING.</t>
  </si>
  <si>
    <t>L08_DPVE_075E_WINZE STOPE PREP</t>
  </si>
  <si>
    <t>REPLACEMENT OF L06_CV_004W_STOPE PREP APPROVED ON FEB. 8, 2021. Temporary stopped on March 29,2021 resume stope preparation for its extension.STOPPED ON APRIL 16, 2021 TO PRIORITIZE RAISE FOR DOUBLE ENTRY AND AVOID MISCHARGING. resume on April 17, 2021.STOPPED ON MAY 6,2021 UNSAFE CONDITION CONVERTED TO PULL-OUT. MINED OUT ON MAY 06, 2021 MEMO RECEIVED ON MAY 14, 2021.</t>
  </si>
  <si>
    <t xml:space="preserve">REPALCEMENT OF L08_JVSPLIT_066E_RAISE. APPROVED ON 4/21/2021.  STOPPED ON 5/16/2021 DUE TO CONTINOUS PINCHING OUT OF VEIN AND LOW CUT AND BULK GRADE RESULTS. </t>
  </si>
  <si>
    <t xml:space="preserve"> Replacement of L08 GHV 018W DE.  approved on march 9, 2021. STOP ON 5/16/2021  ALREADY REACHED RECOMMENDED SL AND TO BE CONVERTED TO STOPE PREP</t>
  </si>
  <si>
    <t>L08_GHVHW_015W_STOPE PREP</t>
  </si>
  <si>
    <t>REPLACEMENT OF L09_GHVFW_030E_DE.APPROVED ON APRIL 26, 2021. Stopped on May 13, 2021  due to vein pinched out.</t>
  </si>
  <si>
    <t>REPLACEMENT OF L09_JVHW_010E_DE.APPROVED ON APRIL 15, 2021. Stopped on May 13, 2021  due to low grade.</t>
  </si>
  <si>
    <t>L10_DPVE_028E_RAISE</t>
  </si>
  <si>
    <t>REPLACEMENT OF L04_GHVFW_018E_WINZE STOPE PREP, APPROVED ON DEC 3 2020.TEMP. STOPPED ON MARCH 7, 2021 DUE TO MANPOWER PROBLEM.resumed on MArch 30, 2021 and transferred from Davacol Rowel 1 to Shepherd AL.STOPPED ON MAY 3, 2021 CONVERTED TO STOPE PULL-OUT.STOPPED ON MAY 17, 2021 ALREADY MINED OUT.</t>
  </si>
  <si>
    <t>Replacements of L04_CTV_025E_WINZE STOPE PREP, approved on March 26, 2021.TEMPORARY STOPPED ON APRIL 7, 2021 SINGLE ENTRY. Resumed on April 9,2021. april 17, 2021 has 10m slope distance to connect to the mainline. Stopped on May 03, 2021, converted to Pull Out Cleaning.STOPPED ON MAY 17, 2021 ALREADY MINED OUT.</t>
  </si>
  <si>
    <t>REPLACEMENTS OF L04_CTV_010E_DW APPROVE ON APRIL 16, 2021STOPPED ON APRIL 16,2021. Resumed on May 6,2021 notified on May 11,2021.STOPPED ON MAY 17, 2021 DUE TO CONSECUTIVE LOW ASSAY GRADE.STOPPED ON MAY 17, 2021 DUE TO CONSECUTIVE LOW ASSAY GRADE.</t>
  </si>
  <si>
    <t>REPLACEMENT OF L04_EDV_016W_DW APPROVED ON MARCH 13, 2021.renamed from L04_EDV_017W_RAISE to L04_EDV_016W_RAISE effective on 3/19/2021.STOPPED ON MAY 17, 2021 DUE TO LOW CONSECUTIVE ASSAY GRADE.</t>
  </si>
  <si>
    <t>REPLACEMENT OF L10_DPVE_042E_DE.APPROVED ON APRIL 6, 2021.TEMPORARY STOPPED ON MAY 15,2021 GROUP WILL BE TRANSFER TO LEVEL 12.STOPPED PERMANENTLY ON MAY 17, 2021 DUE TO VEIN PINCHED OUT AND LOW CONSECUTIVE ASSAY GRADE.</t>
  </si>
  <si>
    <t>REPLACEMENT OF L09_DPVE_075E_RAISE APPROVED ON MAY 1, 2021.STOPPED ON MAY 17, 2021 CONVERT TO BREAKING.</t>
  </si>
  <si>
    <t>L09_DPVE2_064E_STOPE</t>
  </si>
  <si>
    <t>L09_DPVE2_054E_DW</t>
  </si>
  <si>
    <t>L11_JVFW_053E_DW</t>
  </si>
  <si>
    <t>L11_JVFW_054E_DE</t>
  </si>
  <si>
    <t>L06_CTV_008W_RAISE</t>
  </si>
  <si>
    <t>REPLACEMENT OF L09_DPVE2_048E_STOPE PREP. APPROVED ON MARCH 27,2021.recommending to convert pull-out cleaning on May 5, 2021.STOPPED ON MAY 17, 2021 ALREADY MINED OUT.</t>
  </si>
  <si>
    <t>REPLACEMENT OF L08_DPVE_045E_DE . APPROVED ON 4/21/2021.STOPPED ON 5/17/2021 DUE TO CONTINOUS PINCHING OUT OF VEIN CAUSED BY SERIED OF CROSS FAULT STRUCTURE.</t>
  </si>
  <si>
    <t>Replacement of L09 DPVE 074E RAISE. Approved on May 12, 2021.STOPPED ON MAY 17, 2021 DUE TO VEIN PINCHED OUT.</t>
  </si>
  <si>
    <t>Additional horizontal development drive. Approved on May 8, 2021. Transferred from BALDO 1 to PANSIT 5 on May 11,2021 due to lack of manpower.STOPPED ON MAY 17, 2021 DUE TO VEIN PINCHED OUT.</t>
  </si>
  <si>
    <t>REPLACEMENT OF L11_NONE_049E_XCS. APPROVED ON MAY 15,2021.RENAMED FROM L11JVFW_052E_DE TO L11_JVFW_054E_DE ON MAY 17, 2021 THE SAME TIME TEMPORARY STOPPED FOR EVALUATION UNDERGROUND.</t>
  </si>
  <si>
    <t xml:space="preserve">REPLACEMENT OF L11_NONE_049E_XCS. APPROVED ON MAY 15,2021.RENAMED ON MAY 17, 2021 FROM L11_JVFW_051E_DW TO L11_JVFW_053E_DW AT THE SAME TIME TEMPORARY STOPPED FOR EVALUATION UNDERGROUND. </t>
  </si>
  <si>
    <t>IDEAL</t>
  </si>
  <si>
    <t>TODAY</t>
  </si>
  <si>
    <t>DEVT ORE</t>
  </si>
  <si>
    <t>SC</t>
  </si>
  <si>
    <t>ADJUST</t>
  </si>
  <si>
    <t>REPLACEMENT OF L05_JV_029E_STOPE PREP. APPROVED ON AUGUST 25 2020. TRANSFERRED FROM SHEPHERD AF TO PANCIT NOEL 2 ON NOV. 12 2020. TRANSFERRED FROM PANCIT NOEL 2 TO SHEPHERD MINERS AK ON NOV. 27 2020. TEMPOPRARY STOPPED ON FEB 01, 2021 MANPOWER TRANSFERRED TO LEVEL 7. RESUME ON APRIL 5, 2021.TRANSFERRED FROM SHEPHERD AK1  TO PANCIT NOEL ON 4/29/2021. STOPPED ON MAY 14,2021 DUE TO UNSAFE CONDITION CONVERT TO PULL OUT CLEANING.</t>
  </si>
  <si>
    <t>INCLINED RAISE TOWARS WEST.APPROVED ON APRIL 6,2021.STOPPED ON MAY 17, 2021 DUE TO VEIN PINCHED OUT AND CONSECUTIVE LOW ASSAY GRADE.</t>
  </si>
  <si>
    <t>L05_NONE_051E_XCS</t>
  </si>
  <si>
    <t>L11_GHVHW_053E_DW</t>
  </si>
  <si>
    <t>L11_GHVHW_054E_DE</t>
  </si>
  <si>
    <t>REPLACEMENT OF L05_JV_022E_RAISE. APPROVED ON MAY 14,2021. STOPPED ON MAY 18,2021 ALREADY HIT THE VEIN TARGET.</t>
  </si>
  <si>
    <t>REPLACEMENT OF JVFW 014W WINZE STOPE PREP. APPROAVE ON NOVEMBER 23,2020.TRANSFERED FROM SHEPHERD AB TO MAPAYO NOEL. TRANSFER FROM MAPAYO TO SHEPHERD AB MAR 25 2021.temporary stopped on April 7, 2021 due to lack of manpower. Resumed on April 14,2021 at the same time transfer from SHEPHERD AB 1 TO COMAINGKING 4. STOPPED ON MAY 18,2021 ALREADY BREAKTHROUGH CONVERT TO PULL OUT CLEANING.</t>
  </si>
  <si>
    <t>L09_DPVE2_078E_DE</t>
  </si>
  <si>
    <t>L09_JVSPLIT_060E_DE</t>
  </si>
  <si>
    <t>L09_GHVHW_071E RAISE</t>
  </si>
  <si>
    <t>L10_DPVE_078E_DW</t>
  </si>
  <si>
    <t>078E</t>
  </si>
  <si>
    <t>L05_JV_022E_DE</t>
  </si>
  <si>
    <t>L10_GHVSPLIT_056E_RAISE</t>
  </si>
  <si>
    <t>REPLACEMENT OF L07_GHVFW_029W_STOPE PREP. APPROVED ON JANUARY 25 2021. STOPPED BREAKING ON MAY 18,2021 CONVERT TO PULL OUT.</t>
  </si>
  <si>
    <t>REPLACEMENT OF L04_EDV_016W_RAISE. APPROVED ON MAY 18,2021.TEMP STOPPED ON MAY 19, 2021 (LTS).</t>
  </si>
  <si>
    <t>REPLACEMENT OF L04_JV_012W_WINZE. APPROVED ON SEPT. 30 2020. Stopped on Oct 6, 2020 and converted to robbing. Resumed on May 11,2021.STOPPED ON MAY 19,2021 CONVERT TO ROBBING.</t>
  </si>
  <si>
    <t>REPLACEMENT OF L07_JVSPLIT_032E-WINZE STOPE.APPROVED ON APRIL 16, 2021.STOPPED ON MAY 19, 2021 ALREADY FINISHED (LOC).</t>
  </si>
  <si>
    <t>L04_JV_030E_WINZE</t>
  </si>
  <si>
    <t>L04_JV_011W_ROBBING</t>
  </si>
  <si>
    <t>REPLACEMENT OF L10_GHVHW_059E_STOPE PREP.APPROVED ON APRIL 26, 2021.</t>
  </si>
  <si>
    <t>L07_GHVHW_027E_DW</t>
  </si>
  <si>
    <t>Headings</t>
  </si>
  <si>
    <t>L06_JVSPLIT_016E_WINZE STOPE</t>
  </si>
  <si>
    <t>L08_GHVSPLIT_060E_DW</t>
  </si>
  <si>
    <t>L08_JVSPLIT_071E_RAISE</t>
  </si>
  <si>
    <t>L07_JVFW_038E_WINZE STOPE</t>
  </si>
  <si>
    <t>L07_CTV_014E_STOPE</t>
  </si>
  <si>
    <t>REPLACEMENT OF L07 JVHW 038E WINZE. APPROVED ON APRIL 26 2021.STOPPED ON MAY 20, 2021 CONVERT TO BREAKING</t>
  </si>
  <si>
    <t xml:space="preserve">L07_CTV_014E_STOPE </t>
  </si>
  <si>
    <t>REPLACEMENT OF L07 CTV 012E RAISE. APPROVED ON MAY 3 2021.STOPPED ON MAY 20, 2021 CONVERT TO STOPE BREAKING.</t>
  </si>
  <si>
    <t>ADDITIONAL HORIZONTAL DEVELOPMENT.APPROVED ON APRIL 28, 2021.STOPPED ON MAY 20, 2021 ALREADY REACHED THE RECOMMENDED STRIKE LENGTH.</t>
  </si>
  <si>
    <t>ADDITIONAL VERTICAL DEVELOPMENT .APPROVED ON APRIL 5 2021.renamed from L07_DPVE_046E_RAISE to L07_DPVE_041E_RAISE on April 7 2021.STOPPED ON MAY 20, 2021.ALREADY REACHED THE RECOMMENDED STRIKE LENGTH.</t>
  </si>
  <si>
    <t>L09_JVSPLIT_025E_RAISE</t>
  </si>
  <si>
    <t>L07_CTV_012E_ROBBING</t>
  </si>
  <si>
    <t>L07_GHVFW_030W_STOPE PREP</t>
  </si>
  <si>
    <t>030W</t>
  </si>
  <si>
    <t>REPLACEMENT OF L10_DPVE_031E_STOPE PREP. APPROVED ON DEC. 9 2020.TEMPORARY STOPPED BREAKING ON APRIL 21 2021, APPROACHING TO MAGAZINE CONVERT TO PULL OUT CLEANING.TEMP. STOPPED ON May 21,2021 waiting to transfer explosive magazine at Level 9.</t>
  </si>
  <si>
    <t>REPLACEMENT OF L10_GHVHW_059E_STOPE PREP.APPROVED ON APRIL 26, 2021.CONVERT TO PULL OT CLEANING ON MAY 14, 2021 NOTIFIED ON MAY 19, 2021. stopped on May 21,2021 already mined out.</t>
  </si>
  <si>
    <t>L08_GHV_026E_RAISE_ISL</t>
  </si>
  <si>
    <t>DE_ISL</t>
  </si>
  <si>
    <t>RAISE_ISL</t>
  </si>
  <si>
    <t>REPLACEMENT OF L09_GHVHW_069E_DE.APPROVED ON APRIL 7, 2021.TEMP STOPPED ON APRIL 9, 2021.RESUMED ON APRIL 13, 2021.Temp stopped on May 21, 2021 to be converted to raise.</t>
  </si>
  <si>
    <t>L09_DPVE2_024E_RAISE</t>
  </si>
  <si>
    <t>L09_GHVHW_063E_RAISE</t>
  </si>
  <si>
    <t>L09_DPVE2_073E_RAISE</t>
  </si>
  <si>
    <t>REPLACEMENT OF L10 DPVE 056E DW. APPROVED ON FEB 21, 2021.TRANSFER FROM DUHIG TO COMAINGKING 2 ON MARCH 9,2021 FORMER TEAM LEADER WILL BE TRANSFER TO LEVEL 11. Stopped on April 11, 2021 due to vein pinched out. RESUMED ON APRIL 23, 2021 AS NORMAL RAISE .STOPPED ON MAY 18, 2021 ALREADY MINED OUT NOTIFY ON MAY 21, 2021.</t>
  </si>
  <si>
    <t>REPLACEMENT OF L07_NONE_022E_CHAMBER.APPROVED ON MAY 4, 2021.STOPPED ON MAY 21, 2021 ALREADY MINED OUT.</t>
  </si>
  <si>
    <t>L04_JVSPLIT_013E_DE_ISL</t>
  </si>
  <si>
    <t>L05_JV_027E_RAISE_ISL</t>
  </si>
  <si>
    <t>L06_JVFW_037E_DE_ISL</t>
  </si>
  <si>
    <t>DW_ISL</t>
  </si>
  <si>
    <t>L06_DPVE_024E_DE_ISL</t>
  </si>
  <si>
    <t>L07_CTV_010E_DW_ISL</t>
  </si>
  <si>
    <t>L06_GHVFW_042W_DW_ISL</t>
  </si>
  <si>
    <t>L05_JV_031E_DE_ISL</t>
  </si>
  <si>
    <t>REPLACEMENT OF L05_JV_031E_WINZE STOPE PREP APPROVED ON APRIL 14, 2021. Stopped on breaking on May 11,2021 convert to pull out cleaning already reached the recommended pillar. STOPPED ON MAY 22,2021 ALREADY MINED OUT.</t>
  </si>
  <si>
    <t>Infra Segregation</t>
  </si>
  <si>
    <t>(For Dashboard)</t>
  </si>
  <si>
    <t>TOTAL WORK AREAS - DASHBOARD DATA (RSS)</t>
  </si>
  <si>
    <t>DATE</t>
  </si>
  <si>
    <t>TIMBERMEN</t>
  </si>
  <si>
    <t>CLEANERS</t>
  </si>
  <si>
    <t>Work Place ratio</t>
  </si>
  <si>
    <t>Total WP</t>
  </si>
  <si>
    <t>L05_JV_031E_DW_ISL</t>
  </si>
  <si>
    <t>L10_GHVHW_033E_RAISE</t>
  </si>
  <si>
    <t>REPLACEMENT OF L10GHVHW 036E DE. APPROVED ON FEB 19, 2021. STOPPED ON MAY 24,2021 TO DO BLOCKING RAISE OF L10_GHVHW_038E_RAISE.</t>
  </si>
  <si>
    <t>L05_DPVE_028E_STOPE PREP</t>
  </si>
  <si>
    <t>ADDITIONAL VERTICAL DEVELOPMENT.APPROVED ON MAY 4, 2021. STOPPED ON MAY 24,2021 CONVERT TO STOPE PREPARATION</t>
  </si>
  <si>
    <t>L04_CV_022W_DW</t>
  </si>
  <si>
    <t>REPLACEMENT OF L04_EDVSPLIT_021W_DW. APPROVED ON OCT 15 2020. TRANSFER FROM MANZANO 2 TO MARTINEZ ON 11/5/2020. TEMP STOPPED ON DEC 21 2020 DUE TO UNSERVICEABLE AREA.resumed on March 26,2021 at the same time transfer from MARTINEZ, DN TO BANEZ. TEMPORARY STOPPED ON MARCH 27,2021 TO PRIORITIZED BY PASS FOR VENTILATION.RESUME ON 4/19/21. CHANGED NAME FROM 21E TO 22E APRIL 23, 2021. CHANGED FROM 22E TO 22W AS PER LEVEL GEO ON APRIL 23, 2021. STOPPED ON MAY 24,2021 ALREADY HIT THE TARGET.</t>
  </si>
  <si>
    <t>L05_NONE_008E_SUMP</t>
  </si>
  <si>
    <t>REPLACEMENT OF L05_JV_027E_DE.APPROVED ON APRIL 29, 2021. STOPPED ON MAY 24,2021 CONVERT TO STOPE PREPARATION.</t>
  </si>
  <si>
    <t>L05_JV_027E_WINZE STOPE PREP</t>
  </si>
  <si>
    <t>REPLACEMENT OF L08_DPVE_068E_ROBBING. APPROVED ON MAY 11,2021. STOPPED ON MAY 25,2021 ALREADY FINISHED HEADINGS.</t>
  </si>
  <si>
    <t>REPLACEMENT OF L09_JVHW_015E_RAISE. APPROVED ON MAY 18,2021.STOPPED ON MAY 25, 2021 PINCHED OUT VEIN AT 5MTRS FROM BACK TO MAINLINE.</t>
  </si>
  <si>
    <t xml:space="preserve">REPLACEMENT OF L09 JV 059STOPE PREP. APPROVED ON ON 2/23/21.TRANSFER FROM BALDO TO BABOR ON APRIL 26 2021.CONVERT TO CLEANING ON MAY 17, 2021.STOPPED ON May 25, 2021. Already mined out with 109% pull out.
</t>
  </si>
  <si>
    <t>REPLACEMENT OF L10 GHVHW 057E STOPE PREP APPROVED ON MARCH 26,2021. May 4,2021 convert to pull out cleaning as per Level Geo.STOPPED ON MAY 25,2021 ALREADY MINED OUT.</t>
  </si>
  <si>
    <t>REPLACEMENT OF L07 GHVHW 030E ROBBING. APPROVED ON MAY 19 2021. Temporary stopped on May 20,2021 not yet started.RESUMED ON MAY 21, 2021 (LOC).TEMP.STOPPED ON MAY 21, 2021 NOTIFY ON MAY 23, 2021 DUE TO UNSERVICEABLE AREA.STOPPED ON  MAY 26 2021.VEIN PINCHED OUT</t>
  </si>
  <si>
    <t>ADDITIONAL SOURCE OF STOPE ORE. APPROVED ON MARCH 13,2021.APRIL 14, 2021 CONVERT TO STOPE BREAKING. STOPPED BREAKING ON MAY 5,2021 CONVERT TO PULL-OUT CLEANING.STOPPED ON MAY 26,2021 ALREADY MINED OUT</t>
  </si>
  <si>
    <t>REPLACEMENT OF L10_GHV_056E_STOPE PREP. APPROVED ON DECEMBER 20,2019. Stopped breaking on July 14, 2020 converted to stope cleaning.STOPPED ON MAY 26, 2021 ALREADY MINED OUT.</t>
  </si>
  <si>
    <t>L10_NONE_022W_XCN</t>
  </si>
  <si>
    <t>L10_DPVE_032E_STOPE PREP</t>
  </si>
  <si>
    <t>L10_DPVE_047E_STOPE</t>
  </si>
  <si>
    <t>REPALCEMENT OF L10 DPVE 047E RAISE, APPROVED ON APRIL 14, 2021. STOPPED ON MAY 20,2021 CONVERT TO ACTIVE BREAKING NOTIFIED ON MAY 27,2021.</t>
  </si>
  <si>
    <t>ADDITIONAL HORIZONTAL DEVELOPMENT. APPROVED ON APRIL 10,2021. Temporary stopped on April 12,2021 Group will be transfer to Level 5. RESUMED ON MAY 18,2021 AT THE SAME TIME TRANSFER FROM COMAINGKING 4 TO CATIGBE 1. STOPPED ON MAY 27,2021 NOT TO BREAKTHROUGH TO OPPOSITE MAINLINE.</t>
  </si>
  <si>
    <t>replacement of L10 NONE 076E XCN to follow up raise on March 29,2021. STOPPED ON MAY 27,2021.</t>
  </si>
  <si>
    <t>ADDITIONAL BATTERY CHAMBER FOR L09 APPROVED ON MARCH 19, 2021.STOPPED ON MAY 21, 2021 NOTIFY ON MAY 27, 2021 ALREADY DONE.</t>
  </si>
  <si>
    <t>Replacement of L09 GHV 052E RAISE. Approved on May 11, 2021.STOPPED ON MAY 27,2021 NO FURTHER DRILLING TARGET.</t>
  </si>
  <si>
    <t>L09_JVSPLIT_005E_DW</t>
  </si>
  <si>
    <t>L09_DPVE_016E_DW</t>
  </si>
  <si>
    <t xml:space="preserve">L09_JV_058E_STOPE </t>
  </si>
  <si>
    <t>REPLACEMENT OF L09_JV_058E_RAISE APPROVED ON MAY 1, 2021.ALREADY DONE STOPE PREP ON MAY 26, 2021 CONVERT TO STOPE BREAKING.</t>
  </si>
  <si>
    <t>L10_JVFW_066E_RAISE</t>
  </si>
  <si>
    <t>L10_DPVE_038E_DW</t>
  </si>
  <si>
    <t>L09_GHVFW_023E_STOPE</t>
  </si>
  <si>
    <t>L09_GHVFW_023E_STOPE PREP</t>
  </si>
  <si>
    <t>L08_JVSPLIT_050E_RAISE</t>
  </si>
  <si>
    <t>REPLACEMENT OF L10_DPVE_043E_DE.APPROVED ON APRIL 6, 2021.TEMPORARY STOPPED ON  MAY 28,2021 TO PRIORITIZED L10_JVFW_066E_RAISE.</t>
  </si>
  <si>
    <t>L07_DPVE_009E_DW</t>
  </si>
  <si>
    <t>L07_CTV_010E_DE_ISL</t>
  </si>
  <si>
    <t>REPLACEMENT OF L07 CTV 010E WINZE. APPROVED ON APRIL 21 2021.STOPPED ON MAY 28, 2021 PROCEED TO DRIFT EAST.</t>
  </si>
  <si>
    <t>Replacement of L05_DPVE_049E_RAISE. Approved on May 2, 2021.STOPPED ON MAY 28,2021 DUE TO CONSECUTIVE LOW ASSAY GRADE.</t>
  </si>
  <si>
    <t>L05_DPVE_050E_RAISE</t>
  </si>
  <si>
    <t>L08_GHV_046E_ROBBING</t>
  </si>
  <si>
    <t>ADDITIONAL SOURCE OF GOOD ORE. APPROVED ON MAY 11,2021.TEMP. STOPPED ON MAY 28, 2021 VEDUE TO VENT. ISSUE.</t>
  </si>
  <si>
    <t>IMMEDIATE SOURCE FOR STOPE ORE TONNAGE.APPROVED ON MAY 7, 2021.RENAMED ON 5/10/2021 FROM L08_DPVE_029E_ROBBING TO L08_DPVE_030E_ROBBING TO AVOID MISCHARGING.STOPPED ON MAY 28, 2021 DUE TO CONSECUTIVE LOW ASSAY GRADE.</t>
  </si>
  <si>
    <t>REPLACEMENT OF L06_JVSPLIT_020E_STOPE PREP.AAPPROVED ON APRIL 16, 2021. STOPPED ON BREAKING ON  MAY 28,2021 (3RD SHIFT) did not reach the designed length due to Unsafe condition of the Stope, series of slabbing were observed that resulted to overbreaking  up to 2.6m breaking width AT THE SAME TIME CONVERT TO PULL OUT CLEANING.</t>
  </si>
  <si>
    <t>L08_JV_028E_ROBBING</t>
  </si>
  <si>
    <t>L08_GHVSPLIT_006W_DW_ISL</t>
  </si>
  <si>
    <t>L08_GHVSPLIT_005W_DW_ISL</t>
  </si>
  <si>
    <t>L08_GHV_062E_ROBBING</t>
  </si>
  <si>
    <t>FERNANDEZ</t>
  </si>
  <si>
    <t>ADDITIONAL SUMP IN LEVEL 8.APPROVED ON APRIL 27, 2021. STOPPED ON MAY 29,2021 ALREADY FINISHED.</t>
  </si>
  <si>
    <t>L08-L10 INTERNAL SHAFT,APPROVED ON OCT 3,2016. TRANSFER FROM HUMIDING TO HANGDAAN ON NOV. 21, 2016.STOPPED/FINISHED DOUBLE TRACK ON ON JULY 5, 2018.RESUME ON APRIL 5, 2021 FOR EXCAVATION. STOPPED ON MAY 29,2021 ALREADY FINISHED.</t>
  </si>
  <si>
    <t>ADDITIONAL COMFORT ROOM APPROVED ON FEB. 22, 2021. STOPPED ON MAY 29,2021 ALREADY FINISHED.</t>
  </si>
  <si>
    <t>FILL WINZE TO BE CONNECTED TO OLD STOPE, APPROVED ON MARCH 30, 2020. TEMPORARILY STOPPED ON APRIL 17, 2020 DUE TO LACK OF MANPOWER. RESUMED ON APRIL 30 2020 IN THE SAME TIME TRANSFERRED FROM AGLOLO 5 TO VERSOZA. Stopped on May 20, 2020 already breakthrough as per memo OPS.resumed and transferred from versoza to Revita to add 2 fill winzes April 7, 2021. STOPPED ON MAY 29,2021 ALREADY BREAKTHROUGH.</t>
  </si>
  <si>
    <t>L06_DPVE_012E_STOPE</t>
  </si>
  <si>
    <t>REPLACEMENT OF L06_DPVE_012E_RAISE APPROVED ON MAY 7, 2021. STOPPED ON MAY 27,2021 CONVERT TO ACTIVE BREAKING. NOTIFIED ON MAY 29,2021.</t>
  </si>
  <si>
    <t>REPLACEMENT OF L09_GHVHW_069_DE. APPROVED ON APRIL 11,2021. TEMPORARY STOPPED ON 4/13/21 DUE TO DELAY OF STOPE PREPARATION. Resumed on April 23, 2021 as 2-cpt raise. STOPPED ON JUNE 1,2021 DUE TO CONSECUTIVE LOW ASSAY GRADE.</t>
  </si>
  <si>
    <t>additional horizontal development. approved on April 7, 2021.RENAMED FROM 32E TO L05_DPVE_030E_DE.APPROVED ON APRIL 16, 2021. STOPPED ON JUNE 1,2021 DUE TO VEIN PINCHED OUT.</t>
  </si>
  <si>
    <t>L10_DPVE_027E_STOPE PREP</t>
  </si>
  <si>
    <t>ADDITIONAL HORIZONTAL DEVELOPMENT.APPROVED ON MAY 26, 2021. TEMPORARY STOPPED ON MAY 31,2021 TO PRIORITIZED GHV 004E ROBBING</t>
  </si>
  <si>
    <t>L10_GHV_004E_ROBBING</t>
  </si>
  <si>
    <t>REPLACEMENT OF L09_JVHW_071E_DW.APPROVED ON APRIL 16, 2021.TEMP STOPPED ON APRIL 21, 2021 TRANSFER TO PRIO WP.RESUMED ON APRIL 26, 2021. TEMPORARY STOPPED ON MAY 1, 2021. Resumed on May 5, 2021 at the same time transferred from BALANGHIG to QUIJANO. STOPPED ON JUNE 1,2021 DUE TO LOW GRADE</t>
  </si>
  <si>
    <t>L09_GHVSPLIT_067E_DE</t>
  </si>
  <si>
    <t>REPLACEMENT OF L07 CTV 015E DW. APPROVED ON APRIL 27 2021.Temporarily stopped on May  3 2021 to prioritize stope prep. Resumed on May 10,2021. TEMPORARY STOPPED ON JUNE 1,2021 GROUP WILL BE TRANSFER TO LEVEL 8.</t>
  </si>
  <si>
    <t>REPLACEMENT OF L07_JVHW_064E_ROBBING.APPROVED ON MAY 3, 2021. TEMPORARY STOPPED ON JUNE 1,2021 GROUP WILL BE TRANSFER TO LEVEL 8.</t>
  </si>
  <si>
    <t>REPLACEMENT OF L09_JVHW_071E_DW.APPROVED ON APRIL 20,2021.Temp stopped on May 21, 2021 to be converted to raise.Resumed on May 26, 2021. TEMPORARY STOPPED ON MAY 31,2021 TO PRIORITIZED SPLIT VEIN.</t>
  </si>
  <si>
    <t>REPLACEMENT OF L06_JVSPLIT_009E_DE. APPROVED ON APRIL 14, 2021.STOPPED ON JUNE 1, 2021 ALREADY CONNECTED TO L7 OLD INCLINED RAISE.</t>
  </si>
  <si>
    <t>REPLACEMENT OF L06_GHVFW_042W_WINZE.APPROVED ON MAY 10, 2021.STOPPED ON JUNE 1, 2021 DUE CONSECUTIVE LOW ASSAY GRADE ON CUT SAMPLES.</t>
  </si>
  <si>
    <t>L10_JVSPLIT_071E_STOPE</t>
  </si>
  <si>
    <t>ADDITIONAL SOURCE OF GOOD ORE. APPROVED ON APRIL 30 2021.STOPPED BREAKING ON MAY 28,2021 NOTIFIED ON JUNE 1,2021. AT THE SAME TIME CONVERT TO PULL OUT CLEANING.</t>
  </si>
  <si>
    <t>L06_GHVFW_042W_ROBBING</t>
  </si>
  <si>
    <t>L10_GHVFW_042E_ROBBING</t>
  </si>
  <si>
    <t>L06_JV_010E_DW_ISL</t>
  </si>
  <si>
    <t>L10_DPVE_040E_STOPE</t>
  </si>
  <si>
    <t>REPLACEMENT OF L10_DPVE_040E_RAISE.APPROVED ON MAY 4, 2021.STOPPED ON MAY 28,2021 CONVERT TO ACTIVE BREAKING NOTIFIED ON JUNE 2,2021.</t>
  </si>
  <si>
    <t>L08_DPVE_080E_WINZE</t>
  </si>
  <si>
    <t>OY-OYOY 1</t>
  </si>
  <si>
    <t xml:space="preserve">L08_DPVE_080E_WINZE </t>
  </si>
  <si>
    <t>L08_GHV_025E_ROBBING</t>
  </si>
  <si>
    <t>L05_DPVE_046E_DE</t>
  </si>
  <si>
    <t>L05_JVHW_008W_WINZE</t>
  </si>
  <si>
    <t xml:space="preserve"> REPLACEMENT ON L10_JVSPLIT_072E_STOPE PREP APPROVED ON APRIL 15,2021.STOPPED BREAKING ON JUNE 2, 2021 CONVERT TO PULL OUT CLEANING.</t>
  </si>
  <si>
    <t>REPLACEMENT OF L10 041E XCN APPROVED ON 2/26/21.TEMP. STOPPED TO FOLLOW UP RAISE ON APRIL 9, 2021.RESUMED ON APRIL 27, 2021.AT THE SAME TIME TRANSFER FROM TAÑEZA TO ALMASA. STOPPED ON JUNE 2, 2021 DUE TO CONSECUTIVE LOW ASSAY GRADE.</t>
  </si>
  <si>
    <t>L09_JVFW_061E_DW</t>
  </si>
  <si>
    <t>ADDITIONAL DEVELOPMENT DRIVE.APPROVED ON APRIL 22,2021.Temp stopped on May 21, 2021 to be converted to raise. RESUMED ON JUNE 1,2021 AT THE SAME TIME TRANSFER FROM REBOTE, JONATHAN 1 TO BABOR 1.STOPPED ON JUNE 2, 2021, VEIN PINCHED OUT WITH NO FURTHER TARGET.</t>
  </si>
  <si>
    <t xml:space="preserve">ADDITIONAL VERTICAL DEVELOPMENT. APPROVED ON APRIL 26 2021.STOPPED ON JUNE 3, 2021 RECOMMENDED TO USE THIS WINZE AS WASTE PASS. </t>
  </si>
  <si>
    <t>L10_DPVE_057E_DE</t>
  </si>
  <si>
    <t xml:space="preserve"> OLIVEROS 4</t>
  </si>
  <si>
    <t xml:space="preserve">LARGO 2 </t>
  </si>
  <si>
    <t>REPLACEMENT OF L10_JVFW_063E_STOPE APPROVED JAN 16, 2021.TEMP. STOPPED ON FEB. 20, 2021 PRIORITY RAISE PREPARATION.STOPPED ON MARCH 9, 2021 RAISE PREP.RESUMED ON APRIL 27, 2021.STOPPED ON JUNE 3, 2021 NOT BE ABLE TO BREAKTHROUGH TO OPPOSITE MAINLINE.</t>
  </si>
  <si>
    <t>REPLACEMENT OF L10_GHVHW_074E_RAISE.APPROVED ON APRIL 20, 2021.RENAMED FROM L10_GHVHW_074E_DW TO L10_GHVHW_074E_DE ON MAY 13,2021.STOPPED ON JUNE 3,2021 ALREADY BREAKTHROUGH.</t>
  </si>
  <si>
    <t xml:space="preserve">REPLACEMENT OF L09_DPVE2_047E_STOPE PREP.APPROVED ON APRIL 19, 2021.Temporary stopped breaking on June 2, 2021, for geo evaluation. RESUMED ON JUN3, 2021 Converted to stope pull out. The up-dip extension of the vein was cut by parallel and cross cutting fault, causing to have 6m remaining strike length to break. Single entry stope due to condemned west manway.
</t>
  </si>
  <si>
    <t>L10_DPVE_064E_RAISE</t>
  </si>
  <si>
    <t>L10_JVFW_053E_STOPE PREP</t>
  </si>
  <si>
    <t>L10_GHVHW_073E_RAISE</t>
  </si>
  <si>
    <t>L08_GHVHW_015W_STOPE</t>
  </si>
  <si>
    <t>REPLACEMENT OF L08_GHVHW_015W_RAISE. APPROVED ON MAY 16,2021.STOPPED ON JUNE 2, 2021 AT THE SAME TIME CONVERT TO STOPE BREAKING.</t>
  </si>
  <si>
    <t>replacement of L05_CTV_015E_WINZE STOPE PREP. Approved on April 30, 2021.convert to pull out cleaning on may 13, 2021.STOPPED ON JUNE 2, 2021 FINISHED HEADINGS.</t>
  </si>
  <si>
    <t>REPLACEMENT OF L05_CTV_005E_DW.APPROVED ON MAY 4, 2021.STOPPED ON JUNE 2, 2021 FINISHED HEADINGS.</t>
  </si>
  <si>
    <t>L06_GHV_026E_STOPE</t>
  </si>
  <si>
    <t>REPLACEMENT OF L06_GHV_026E_RAISE.APPROVED ON MAY 7, 2021.Stopped and already finished preparation and converted to breaking on June 3 2021 (3rd shift).</t>
  </si>
  <si>
    <t>L09_GHVHW_076E_RAISE</t>
  </si>
  <si>
    <t>REPLACEMENT OF L06_JVHW_014E_DW.APPROVED ON MAY 10, 2021.Stopped on May 29 2021.vein pinched out</t>
  </si>
  <si>
    <t>L10_JVFW_053E_RAISE</t>
  </si>
  <si>
    <t>REPLACEMENT OF L06_JVSPLIT_022E_ROBBING.APPROVED ON APRIL 19, 2021.STOPPED ON MAY 12, 2021 CONVERTED TO STOPE BREAKING.</t>
  </si>
  <si>
    <t>AGSAO SHAFT</t>
  </si>
  <si>
    <t>BAGUIO SHAFT</t>
  </si>
  <si>
    <t>FROM 300 TO 270 ON  8/28/15. Change quota from 270 to 220 11/6/16. CHANGE FROM 220 TO 240 1/24/2017. CHANGE FROM 240 TO 300 6/20/17. CHANGED QUOTA FROM 300 TO 250 ON 7/19/19. CHANGE FROM 250 TO 160 ON 11/1/19. Change from 150 to 200 on 3/27/20.  Change from 200 to 150 due to depletion of resources.</t>
  </si>
  <si>
    <t>LEVEL 8 SHAFT</t>
  </si>
  <si>
    <t>029E SHAFT</t>
  </si>
  <si>
    <t>012E SHAFT</t>
  </si>
  <si>
    <t>043E SHAFT</t>
  </si>
  <si>
    <t>035E SHAFT</t>
  </si>
  <si>
    <t>MONTH OF MAY 2021</t>
  </si>
  <si>
    <t>L08_JVHW_065E_STOPE</t>
  </si>
  <si>
    <t>REPLACEMENT OF L10 JVHW 065E RAISE. APPROVED ON APRIL 6,2021.STOPPED ON JUNE 5, 2021 AT THE SAME TIME CONVERT TO STOPE BREAKING.</t>
  </si>
  <si>
    <t>L08_JVFW_065E_STOPE</t>
  </si>
  <si>
    <t>REPLACEMENT OF L06_CV_004W_STOPE. APPROVED MAY 7,2021 NOTIFIED ON MAY 16,2021.STOPPED ON JUNE 6, 2021 FINISHED BREAKING CRON PILLARS.</t>
  </si>
  <si>
    <t>REPLACEMENT OF L06_DPVE_015E_DE.APPROVED ON APRIL 26, 2021.renamed from 15e to 16e on april 28,2021.RENAME FROM 16E TO 15E TO PRVENT MISCHARGING ON MAY 6,2021.STOPPED ON JUNE 7, 2021 FOR WIREFRAMING AND DESIGN.</t>
  </si>
  <si>
    <t>TO TARGET DRILLHOLE INTERCEPT.APPROVED ON MAY 4, 2021.STOPPED ON MAY 28, 2021 NOTIFY ON JUNE 7, 2021.ALREADY HIT THE TARGET.</t>
  </si>
  <si>
    <t>L07_GHVHW_027E_RAISE</t>
  </si>
  <si>
    <t>L07_DPVE_026E_WINZE</t>
  </si>
  <si>
    <t>L07_JVSPLIT_001W_ROBBING</t>
  </si>
  <si>
    <t>REPLACEMENT OF L09_GHVHW_023E_STOPE PREP.APPROVED ON APRIL 28, 2021.STOPPED BREAKING ON JUNE 4 DUE TO VEIN PINCHED OUT AND WITH NEGATIVE RESULT ON CONDUCTED IPR AT THE SAME TIME CONVERT TO PULL OUT STAGE.</t>
  </si>
  <si>
    <t>L09_GHVFW_027E_ROBBING</t>
  </si>
  <si>
    <t>REPLACEMENT OF L08_CTV_055E_ROBBING APPROVED ON MAY 11, 2021.STOPPED ON 6/8/2021. MINED -OUT</t>
  </si>
  <si>
    <t>L08_JV_053E_DE_ISL</t>
  </si>
  <si>
    <t>L08_GHV_035W_DW</t>
  </si>
  <si>
    <t>L06_JVSPLIT_033E_DE</t>
  </si>
  <si>
    <t>WASTE DRIVE OF 16.3M FOR THE PROPOSED PUMP CHAMBER @ L10 APPROVED ON MARCH 10, 2021.stopped on June 9,2021 convert to chamber</t>
  </si>
  <si>
    <t>L06_DPVE_015E_STOPE PREP</t>
  </si>
  <si>
    <t>REPLACEMENT OF L08_DPVE_045E_RAISE. APPROVED ON MAY 20,2021.TEMPORARY STOP ON 6/8/2021. TO PRIORITIZE L08_JV_053E_DE_ISL.STOPPED ON 6/6/2021 DUE TO PICHED-OUT OF VEIN DUE TO PARALLEL AND SUB-PARALLEL FAULT.  LATE NOTIFICATION</t>
  </si>
  <si>
    <t>REPALCEMENT OF L10 GHVHW 060E DW. APPROVED ON APRIL 19, 2021.TRANSFER FROM LARGO 2 TO OLIVEROS 4 DUE TO LOW PERFORMANCE ON JUNE 3,2021.RECOMMENDED FOR ACTIVE BREAKING STOPE ON JUNE 9, 2021.</t>
  </si>
  <si>
    <t>L10_GHVHW_060E_STOPE</t>
  </si>
  <si>
    <t>COUNTER DRIVE/BY PASS.APPROVED ON MAY 4, 2021.STOPPED ON JUNE 7, 2021 MADE A BREAKTHROUGH.</t>
  </si>
  <si>
    <t>ADDITIONAL HORIZONTAL DEVELOPMENT. INTERMEDIATE SUBLEVEL OF GHV 001E WINZE. APPROVED 5/29/2021.TEMPORARY STOPPED ON JUNE 9, 2021 NO MAN POWER.</t>
  </si>
  <si>
    <t>L08_NONE_043E_XCN</t>
  </si>
  <si>
    <t>L05_JV_032E_RAISE_ISL</t>
  </si>
  <si>
    <t>REPLACEMENT OF L05_JV_031E_DE.APPROVED ON AUG. 14, 2020.STOPPED ON OCT 15 2020.ALREADY REACH RECOMMENDEND STRIKE LENGTH.RESUMED ON MAY 22,2021.STOPPED ON JUNE 10, 2021 PINCHED OUT VEIN.</t>
  </si>
  <si>
    <t>L10_GHVHW_069E_STOPE</t>
  </si>
  <si>
    <t>REPLACEMENT OF L05_DPVE_028E_RAISE. APPROVED ON MAY 24,2021.recommended o strictly charged broken material into waste from these dutes. STOPPED ON JUNE 11,2021 CONVERT TO ACTIVE BREAKING.</t>
  </si>
  <si>
    <t>L05_DPVE_028E_STOPE</t>
  </si>
  <si>
    <t>REPLACEMENT OF L05_DPVE_048E_RAISE. APPROVED ON MAY 28,2021.STOPPED ON JUNE 11,2021 DUE TO OFF VEIN.</t>
  </si>
  <si>
    <t>REPLACEMENT OF L05_NONE_022E_XCS. APPROVED ON MAY 18,2021.STOPPED ON JUNE 9, 2021 OFF-VEIN DUE TO SUB-PERPENDICULAR.resumed on June 10,2021 (2nd shift) notified on June 11,2021.STOPPED ON JUNE 11,2021 ALREADY BREAKTHROUGH</t>
  </si>
  <si>
    <t>L05_DPVE_047E_STOPE PREP</t>
  </si>
  <si>
    <t>BY PASS FOR BACK-UP ROBBING. APPROVED ON MAY 18,2021.STOPPED ON MAY 26,2021.RESUMED ON JUNE 10 2021.STOPPED ON JUNE 11,2021.</t>
  </si>
  <si>
    <t>REPLACEMENT OF L05_JV_029E_STOPE PREP. APPROVED ON AUGUST 25 2020. TRANSFERRED FROM SHEPHERD AF TO PANCIT NOEL 2 ON NOV. 12 2020. TRANSFERRED FROM PANCIT NOEL 2 TO SHEPHERD MINERS AK ON NOV. 27 2020. TEMPOPRARY STOPPED ON FEB 01, 2021 MANPOWER TRANSFERRED TO LEVEL 7. RESUME ON APRIL 5, 2021.TRANSFERRED FROM SHEPHERD AK1  TO PANCIT NOEL ON 4/29/2021. STOPPED ON MAY 14,2021 DUE TO UNSAFE CONDITION CONVERT TO PULL OUT CLEANING.STOPPED ON JUNE 11, 2021 ALREADY MINED OUT.</t>
  </si>
  <si>
    <t>REPLACEMENT OF L04_GHVSPLIT_028W_DE.APPROVED ON MAY 4, 2021.RENAME FROM L04_GHVSPLIT_028W_RAISE TO L04_GHVSPLIT_026W_RAISE ON MAY 6, 2021. STOPPED ON JUNE 11, 2021 TO PROCEED STOPE PREPARATION.</t>
  </si>
  <si>
    <t>L10_GHVHW_058E_RAISE</t>
  </si>
  <si>
    <t>REPLACEMENT OF L07_JVFW_046E_DE.APPROVED ON MAY 20, 2021.STOPPED ON JUNE 9,2021 NOTIFIED JUNE 11, 2021.</t>
  </si>
  <si>
    <t>L05_JV_021E_DW</t>
  </si>
  <si>
    <t>L05_JV_022E_STOPE PREP</t>
  </si>
  <si>
    <t>L07_JVSPLIT_029E_DW</t>
  </si>
  <si>
    <t>REPLACEMEMENT OF L10_GHVHW_069E_DE.APPROVED ON MAY 4, 2021.stopped on June 9,2021 convert to active breaking</t>
  </si>
  <si>
    <t>REPLACEMENT OF L09_GHVHW_023E_STOPE PREP.APPROVED ON APRIL 28, 2021.STOPPED BREAKING ON JUNE 4 DUE TO VEIN PINCHED OUT AND WITH NEGATIVE RESULT ON CONDUCTED IPR AT THE SAME TIME CONVERT TO PULL OUT STAGE.STOPPED ON JUNE 12, 2021. with 105% pull out and the remaining ores is producing low consecutive grades.</t>
  </si>
  <si>
    <t xml:space="preserve">REPLACEMENT OF L09_DPVE2_047E_STOPE PREP.APPROVED ON APRIL 19, 2021.Temporary stopped breaking on June 2, 2021, for geo evaluation. RESUMED ON JUN3, 2021 Converted to stope pull out. The up-dip extension of the vein was cut by parallel and cross cutting fault, causing to have 6m remaining strike length to break. Single entry stope due to condemned west manway.STOPPED ON JUNE 14 2021 WITH 150% PULL OUT, declared mined-out by level manager, no memo yet.
</t>
  </si>
  <si>
    <t>L05_DPVE_025E_DW</t>
  </si>
  <si>
    <t>L04_JVSPLIT_013E_DW_ISL</t>
  </si>
  <si>
    <t>REPLACEMENT of L04 JVHW 014E WINZE STOPE. Approved on May 10, 2021.RENAME FROM L04_JVSPLIT_013E_DE_ISL TO L04_JVSPLIT_013E_DW_ISL ON 06/14/21.stopped on june 14, 2021 low grades.</t>
  </si>
  <si>
    <t>REPLACEMENT OF L05_GHV_023W_STOPE PREP. Started breaking on February 24,2021 but Engineering Notified March 2,2021.TEMP STOPPED ON APRIL 7, 2021 SINGLE ENTRY. Resumed on April 9,2021RECOMMENDED TO CONTINUE BREAKING.STOPPED ON MAY 10, 2021 CONVERTED TO PULL OUT CLEANING. STOPPED ON 06/14/21 FINISHED HEADING.</t>
  </si>
  <si>
    <t>REPLACEMENT 0F L08_GHV_028E_DE.APPROVED ON MAY 21, 2021.STOPPED ON JUNE 12, 2021 NOTIFIED ON JUNE 14, 2021 MADE A BREAKTHROUGH.</t>
  </si>
  <si>
    <t>Breakdown</t>
  </si>
  <si>
    <t>Count</t>
  </si>
  <si>
    <t>Drift</t>
  </si>
  <si>
    <t>Crosscut</t>
  </si>
  <si>
    <t>Intermediate Sublevel</t>
  </si>
  <si>
    <t>Shrink Stope Prep</t>
  </si>
  <si>
    <t>Shrink Stope Breaking</t>
  </si>
  <si>
    <t>Shrink Stope Pullout</t>
  </si>
  <si>
    <t>Winze Stope Prep</t>
  </si>
  <si>
    <t>Winze Stope Breaking</t>
  </si>
  <si>
    <t>Winze Stope Pullot</t>
  </si>
  <si>
    <t>Raise</t>
  </si>
  <si>
    <t>Winze</t>
  </si>
  <si>
    <t>Robbing Sill</t>
  </si>
  <si>
    <t>Robbing Crown</t>
  </si>
  <si>
    <t>Special Projects</t>
  </si>
  <si>
    <t>L04_CV_025W_RAISE</t>
  </si>
  <si>
    <t>L04_GHVSPLIT_026W_STOPE PREP</t>
  </si>
  <si>
    <t>ADDITIONAL HORIZONTAL DEVELOPMENT. APPROVED ON FEB 2 2021.CHANGE WORK HEADING INTO L04 JVSPLIT 024W DW. APPPROVED ON FEBRUARY 11,2021.STOPPED ON FEB. 11, 2021.resumed on april 16, 2021.STOPPED ON JUNE 10,2021 NOTIFY ON JUNE 15, 2021 ALREADY BREAKTHROUGH.</t>
  </si>
  <si>
    <t>L04_JVSPLIT_014E_DE_ISL</t>
  </si>
  <si>
    <t>REPLACEMENT OF L07 NONE 011E XCN. APPROVED ON MAY 28 2021.STOPPED ON JUNE 15, 2021 ALREADY REACHED THE RECOMMENDED STRIKE LENGTH BEFORE IT CONNECTS TO ADJACENT MAINLINE.</t>
  </si>
  <si>
    <t xml:space="preserve">REPLACEMENT OF L07_DPVE_045E_DE. APPROVED ON MAY 14,2021.STOPPED ON JUNE 15, 23021 PINCHED OUT VEIN AT CURRENT FACE. </t>
  </si>
  <si>
    <t>Replacement of L06_JVSPLIT_017E_DW. APPROVED ON MAY 29 2021.STOPPED ON JUNE 15, 2021 PINCHED OUT VEIN.</t>
  </si>
  <si>
    <t>L10_GHV_059E_STOPE PREP</t>
  </si>
  <si>
    <t>REPLACEMENT OF L06_JVFW_037E_WINZE APPROVED ON MAY 20, 2021.STOPPED ON JUNE 15, 2021 CONNECTED TO OLD STOPE OR LEVEL.</t>
  </si>
  <si>
    <t>ADDITIONAL PRODUCTION TONNAGE. APPROVED ON 5/29/2021.STOPPED ON JUNE 15, 2021 ALREADY FINISHED.</t>
  </si>
  <si>
    <t>L06_JVFW_036E_DW_ISL</t>
  </si>
  <si>
    <t>L09_DPVE2_072E_RAISE</t>
  </si>
  <si>
    <t>L09_DPVE2_087E_DE</t>
  </si>
  <si>
    <t>REPLACEMENT OF L09_JVHW_063E_DE. APPROVED ON MAY 18,2021.STOPPED ON JUNE 8, 2021 DUE TO VEIN PINCHED OUT.</t>
  </si>
  <si>
    <t>087E</t>
  </si>
  <si>
    <t>CHANGE QUOTA TO 180 ON 6/7/15. Change Quota from 180 to 230 as of 11/6/16. CHANGE QUOTA FROM 230 TO 300 1/24/2017. CHANGE FROM 300 TO 240 6/20/17.Change from 240 to 200 on 11/1/19. Change from 200 to 250 including Level 3 on 3/27/20. Change from 250 to 170 on 9/5/20. CHANGE FROM 170 TO 200 5/1/21. CHANGE FROM 200 TO 150 DEPLETION OF RESOURCES AND REMOVAL OF BAGUIO SHAFT.</t>
  </si>
  <si>
    <t>036W</t>
  </si>
  <si>
    <t>L07_GHV_036W_DE</t>
  </si>
  <si>
    <t>L07_DPVE_013E_DE</t>
  </si>
  <si>
    <t>REPLACEMENT OF L04_CTV_019W_ROBBING.APPROVED ON MAY 19, 2021.STOPPED ON JUNE 16, 2021 ALREADY REACHED THE RECOMMENDED STRIKE LENGTH.</t>
  </si>
  <si>
    <t>L07_DPVE_043E_WINZE STOPE</t>
  </si>
  <si>
    <t>REPLACEMENT OF L07_DPVE_042E_DW.APPROVED ON MAY 7, 2021.STOPPED ON JUNE 16,2021 RECOMMENDED FOR ACTIVE STOPE BREAKING</t>
  </si>
  <si>
    <t>REPLACEMENT OF L08_GHV_069E_RAISE.APPROVED ON MAY 20, 2021. STOPPED ON JUNE 15, 2021 NOTIFIED ON JUNE 16,2021 MADE A BREAKTHROUGH</t>
  </si>
  <si>
    <t>L07_JV_032E_ROBBING</t>
  </si>
  <si>
    <t>REPLACEMENT OF L09_JVSPLIT_008E_STOPE PREP. APPROVED ON APRIL 26, 2021. STOPPED ON JUNE 16, 2021 NOTIFIED ON JUNE 17,2021 BREAKTHROUGH TO OLD RAISE BELOW THE STOPE CUTTING.</t>
  </si>
  <si>
    <t>L10_DPVE_036E_RAISE</t>
  </si>
  <si>
    <t>L08_GHV_026E_WINZE STOPE PREP</t>
  </si>
  <si>
    <t>REPLACEMENT OF L10 DPVE 068E DE APPROVED ON MARCH 16,2021.continue exploring its up dip vein extension up to two to thesec more blast. Stopped on June 18,2021 already reached the recommended strike length.</t>
  </si>
  <si>
    <t>REPLACEMENT OF L09_DPVE2_055E_DE APPROVED ON MAY 17,2021. HAS 10m. BALANCE TO CONNECT TO OLD MAINLINE.TEMPORARY STOPPED ON JUNE 18, 2021.</t>
  </si>
  <si>
    <t>L09_DPVE2_052E_RAISE</t>
  </si>
  <si>
    <t>REPLACEMENT OF L07_CTV_014E_STOPE PREP.APPROVED ON MAY 20, 2021.STOPPED ON May 29, 2021 ALREADY REACHED THE RECOMMENDED STRIKE LENGTH/CROWN PILLAR AT THE SAME TIME CONVERTED TO PULL OUT CLEANING.STOPPED ON JUNE 8, 2021 ALREADY MINE OUT.</t>
  </si>
  <si>
    <t>REPLACEMENT OF L07_CTV_014E_STOPE PREP.APPROVED ON MAY 20, 2021.STOPPED ON May 29, 2021 ALREADY REACHED THE RECOMMENDED STRIKE LENGTH/CROWN PILLAR AT THE SAME TIME CONVERTED TO PULL OUT CLEANING.</t>
  </si>
  <si>
    <t>REPLACEMENT OF L07_GHVHW_054E_ROBBING.APPROVED ON MAY 7, 2021.TEMPORARY STOPPED ON JUNE 18,2021 WAITING FOR OLD MUCK TO FALL.SAFETY PURPOSES</t>
  </si>
  <si>
    <t>REPLACEMENT OF L08_DPVE_067E_RAISE on approve on May 10,2021. STOPPED ON JUNE 18, 2021 RECOMMENDED TO DRIVE BLOCKING RAISE.</t>
  </si>
  <si>
    <t>REPLACEMENT OF L08_DPVE_075E_DE APPROVED ON MAY 3, 2021.STOPPED ON JUNE 17,2021 NOTIFIED ON JUNE 18,2021 RECOMMENDED FOR ACTIVE STOPE BREAKING ON THE SAME DATE.</t>
  </si>
  <si>
    <t>L08_DPVE_075E_WINZE STOPE</t>
  </si>
  <si>
    <t>REPLACEMENT OF L06_JVSPLIT_016E_WINZE STOPE PREP. BREAKING STARTED ON MAY 12, 2021, PLANNING WAS INFORMED ON MAY 20, 2021.stopped breaking on June 18 2021 and converted to Pull-out on the same day</t>
  </si>
  <si>
    <t>REPLACEMENT OF L07 GHVFW 029W STOPE. APPROVED ON MAY 21 2021.stopped on June 18, 2021 recommended for active stope breaking on the same date.</t>
  </si>
  <si>
    <t>L07_GHVFW_030W_STOPE</t>
  </si>
  <si>
    <t>REPLACEMENT OF L09_NONE_014E_XCN, APPROVED ON SEPT. 29 2020.RESUMED ON OCT. 14 2020 AT THE SAME TIME RENAMED FROM L09_GHVSPLIT_016E_DW TO L09 JVSPLIT 007E DW. TEMPORARY STOPPED ON OCT 19 2020. TO PRIORITY RAISE PREP. RESUMED ON NOV. 6 2020. TEMPORARY STOPPED ON NOV. 13 2020 PROCEED TO RAISE. RESUMED ON NOV 16 2020 TRANSFERRED FROM PANSIT TO BALDO1. Temp. Stopped on January 30 2021 for further evalaution on the vein characteristics and prioritize work headings near the area. RESUMED ON FEB 24, 2021 AS WELL AS TRANSFERRED FROM BALDO 1 TO BABOR 1.TEMP. STOPPED ON APRIL 7, 2021. RESUMED AND TRANSFER FROM BABOR TO BALDO ON APRIL 28 2021.TRANSFER FROM BALDO TO CAPPUYO 1. ON APRIL 30, 2021 DUE TO MANPOWER ISSUE. Temp stopped on June 3, 2021 to prioritize raise. RESUMED ON JUNE 9, 2021.STOPPED ON JUNE 18, NOTIFIED ON JUNE 19,2021 MADE A BREAKTHROUGH.</t>
  </si>
  <si>
    <t>L05_NONE_051E_XCN</t>
  </si>
  <si>
    <t>L09_GHVHW_079E_RAISE</t>
  </si>
  <si>
    <t>REPLACEMENT OF L08_DPVE_075E_WINZE STOPE PREP. APPROVED ON JUNE 18,2021.</t>
  </si>
  <si>
    <t>079E</t>
  </si>
  <si>
    <t>REPLACEMENT OF L07_CTV_012E_ROBBING APPROVED ON JUNE 12, 2021. STOPPED ON JUNE 19,2021 THE DRIVE HAS 2 METERS PILLAR TO CONNECT TO OLD STOPE AT LEVEL 7 NOT TO BREAKTHROUGH.</t>
  </si>
  <si>
    <t>REPLACEMENT OF L07 CTV 010E DW. APPROVED ON MAY 28 2021.STOPPED ON JUNE 16 2021 VEIN PINCHED OUT</t>
  </si>
  <si>
    <t>ADDITIONAL HORIZONTAL DEVELOPMENT. APPROVED ON OCT 19 2020. TEMP. STOPPED ON DEC 1, 2020 TO PRIORITIZE RAISE L09 JVFW 057E RAISE. Resumed on June 4, 2021 and at the same time rename from L09 JVFW 060E DW to L09 JVFW 061E DW to avoid mischarging, also transferred from SILVOZA to REBOTE JONATHAN.STOPPED ON JUNE 18, 2021 NOTIFIED ON JUNE 21,2021 DUE TO VEIN PINCHED OUT</t>
  </si>
  <si>
    <t>REPLACEMENT OF L09 JVSPLIT 060E DE. APPROVED ON JUNE 8, 2021.STOPPED ON JUNE 21, 2021, BREAKTHROUGH TO OLD MAINLINE</t>
  </si>
  <si>
    <t>L09_JVFW_059E_DW</t>
  </si>
  <si>
    <t>L07_CTV_011E_STOPE PREP</t>
  </si>
  <si>
    <t>REPLACEMENT OF L10_GHVHW_036E_RAISE. APPROVED ON MAY 24,2021. LOW DIPPING. STOPPED ON JUNE 19,2021 ALREADY REACHED ITS RECOMMENDED STRIKE LENGTH. RESUMED ON JUNE 22,2021.STOPPED ON JUNE 22,2021 PINCHED OUT VEIN.</t>
  </si>
  <si>
    <t>ADDITIONAL STOPE ORE TONNAGE APPROVED ON JUNE 2, 2021. STOPPED ON JUNE 22, 2021 RECOMMENDED FOR SILL PILLAR ROBBING.</t>
  </si>
  <si>
    <t>ADDITIONAL VERTICAL DEVELOPMENT.APPROVED ON JUNE 4, 2021. TEMPORARY STOPPED ON JUNE 22,2021 OPERATIONAL PROBLEM.</t>
  </si>
  <si>
    <t>REPLACEMENT OF L10_GHVSPLIT_071E_DE. APPROVED ON JUNE 24 2020. Temp Stopped on July 7, 2020 to prioritize ddrift. Resume on August 5 2020.STOPPED ON AUGUST 26,2020.ALREADY REACHED THE RECOMMENDED STRIKE LENGTH/CROWN PILLAR. Resumed on September 18,2020 to do vertical raise. TEMPORARILY STOPPED ON NOV 23 2020 DUE TO ABSENTEEISM.STOPPED PERMANENTLY ON JUNE 22,2021 AS PER WARNER</t>
  </si>
  <si>
    <t>L10_JVFW_068E_STOPE PREP</t>
  </si>
  <si>
    <t>REPLACEMENT OF L06_GHVFW_034E_ROBBING APPROVED ON MAY 5,2021.CONVERTED TO SILL PILLAR ROBBING ON MAY 29, 2021.STOPPED ON JUNE 22,2021 ALREADY MINED OUT.</t>
  </si>
  <si>
    <t>REPLACEMENT OF L06_DPVE_024E_WINZE. APPROVED ON MAY 5,2021.STOPPED ON JUNE 21,2021 NOTIFIED ON JUNE 2,2021 ALREADY REACHED THE RECOMMENDED STRIKE LENGTH</t>
  </si>
  <si>
    <t>L08_DPVE_064E_RAISE</t>
  </si>
  <si>
    <t>L11_JV_047E_RAISE</t>
  </si>
  <si>
    <t>L11_GHVHW_055E_RAISE</t>
  </si>
  <si>
    <t>L11_JVFW_060E_RAISE</t>
  </si>
  <si>
    <t>L08_GHV_008E_DW</t>
  </si>
  <si>
    <t>TURRA</t>
  </si>
  <si>
    <t>L04_JV_014E_ROBBING</t>
  </si>
  <si>
    <t>L04_CTV_008E_STOPE PREP</t>
  </si>
  <si>
    <t>L07_CTV_012E_DE_ISL</t>
  </si>
  <si>
    <t xml:space="preserve">OLIVEROS 3 </t>
  </si>
  <si>
    <t>L06_DPVE_024E_WINZE STOPE PREP</t>
  </si>
  <si>
    <t>REPLACEMENT of L04 CTV 019W STOPE. Approved on May 10, 2021.STOPPED ON JUNE 23,2021 OFF VEIN.</t>
  </si>
  <si>
    <t>REPLACEMENT OF L05_DPVE_050E_RAISE APPROVED ON JUNE 11, 2021.STOPPED ON JUNE 23,2021 PINCHED OUT VEIN</t>
  </si>
  <si>
    <t>REPLACEMENT OF L04_JVSPLIT_013E_DW. APPROVED ON JUNE 15,2021STOPPED ON JUNE 23,2021, LOW ASSAT GRADES</t>
  </si>
  <si>
    <t>REPLACEMENT OF L06_JVSPLIT_020E_STOPE PREP.AAPPROVED ON APRIL 16, 2021. STOPPED ON BREAKING ON  MAY 28,2021 (3RD SHIFT) did not reach the designed length due to Unsafe condition of the Stope, series of slabbing were observed that resulted to overbreaking  up to 2.6m breaking width AT THE SAME TIME CONVERT TO PULL OUT CLEANING.TEMPORARILY STOPPED ON JUNE 22 2021. FOR SAFETY EVALUATION</t>
  </si>
  <si>
    <t>REPLACEMENT OF L08_JV_049E_DW.APPROVED ON MAY 28, 2021.STOPPED ON JUNE 24, 2021 PINCHED OUT VEIN.</t>
  </si>
  <si>
    <t>REPLACEMENT OF L08_GHVSPLIT_006W_WINZE. APPROVED ON JULY 25 2020. TEMPORARY STOPPED ON OCT. 1 2020. RESUMED ON OCT 6 2020 AT THE SAME TIME TRANSFERRED FROM DEMALATA TO AGLOLO. Temporarily stopped onNov 25 2020 to proceed Raise. RESUMED ON DEC 10 2020.tEMP STOP ON JANUARY 28 2021.RESUMED ON MAY 26,2021.STOPPED ON JUNE 24, 2021 ALREADY REACHED THE RECOMMENDED STRIKE LENGHT/CROWN PILLAR.</t>
  </si>
  <si>
    <t>L05_DPVE_039E_DW</t>
  </si>
  <si>
    <t>REPLACEMENT OF L09 DPVE 072E DW, Approved on May 22, 2021.Transfer team leader from REBOTE, JONATHAN 1 to BABOR 2 due to man power issue, Approved on May 26, 2021. Stopped on JUNE 23, 2021, VEIN PINCHED OUT. FOR PULL OUT.</t>
  </si>
  <si>
    <t>REPLACEMENT OF L09 GHVHW 065E DW, Approved on May 22, 2021. STOPPED ON JUNE 1,2021 DUE TO VEIN PINCHED OUT.Resumed on June 6, 2021 at the same time transferred from BABOR 1 to ESPADA 1.Stopped on JUNE 23, 2021, VEIN PINCHED OUT.</t>
  </si>
  <si>
    <t xml:space="preserve">REPLACEMENT OF L09 DPVE2 054E DE. APPROVED ON APRIL 27, 2021. TEMPORARY STOPPED ON MAY 17,2021 TO PRIORITIZED L09_DPVE2_054E_DW.RESUMED ON JUNE 18, 2021.TEMP STOPPED ON JUNE 24, 2021.
</t>
  </si>
  <si>
    <t>REPLACEMENT OF L09_DPVE2_076E_DW APPROVED ON MAY 6,2021.TEMP. STOPPED NOT YET STARTED  ON MAY 7, 2021. Resumed on May 11,2021.TWMP. STOPPED ON JUNE 15, 2021 TO PRIORITIZE RAISE.RESUMED ON JUNE 21, 2021.TEMP STOPPED ON JUNE 24, 2021.</t>
  </si>
  <si>
    <t>L09_DPVE2_021E_RAISE</t>
  </si>
  <si>
    <t>L08_GHVSPLIT_006W_ROBBING</t>
  </si>
  <si>
    <t>L08_GHVSPLIT_058E_RAISE</t>
  </si>
  <si>
    <t>L05_DPVE_025E_RAISE</t>
  </si>
  <si>
    <t>REPLACEMENT OF L05_JV_029E_STOPE. APPROVED ON JUNE 14,2021.STOPPED ON JUNE 25, 2021</t>
  </si>
  <si>
    <t>REPLACEMENT OF L05_JV_031E_DW_ISL . APPROVED ON JUNE 10 2021.STOPPED ON JUNE 25,2021</t>
  </si>
  <si>
    <t>COUNTER DRIVE TO RECOVER REMAINING ORE @ L10_GHV_004E_STOPE APPROVED ON MAY5,2021. TRANSFER FROM PMC MINERS 6 TO OLIVEROS 1 ON MAY 15,2021. TRANSFER FROM OLIVEROS 1 TO PMC MINERS 6 ON MAY 18,2021.STOPPED ON JUNE 23,2021 NOTIFIED ON JUNE 25, 2021 ALREADY BREAKTHROUGH.</t>
  </si>
  <si>
    <t>L10_NONE_075E_XCN</t>
  </si>
  <si>
    <t>L07_JV_040E_ROBBING</t>
  </si>
  <si>
    <t>CARIKITAN</t>
  </si>
  <si>
    <t>L05_JV_032E_WINZE STOPE PREP</t>
  </si>
  <si>
    <t xml:space="preserve">REPLACEMENT OF L05_CTV_043W_WINZE STOPE. APPROVED ON MAY 12,2021. STOPPED ON 6/24/2021. ALREADY DONE WITH ROBBING ACTIVITY. </t>
  </si>
  <si>
    <t>L09_JV_035E_DW</t>
  </si>
  <si>
    <t>L09_DPVE_012E_RAISE</t>
  </si>
  <si>
    <t>REPLACEMENT OF JVFW 014W WINZE STOPE PREP. APPROAVE ON NOVEMBER 23,2020.TRANSFERED FROM SHEPHERD AB TO MAPAYO NOEL. TRANSFER FROM MAPAYO TO SHEPHERD AB MAR 25 2021.temporary stopped on April 7, 2021 due to lack of manpower. Resumed on April 14,2021 at the same time transfer from SHEPHERD AB 1 TO COMAINGKING 4. STOPPED ON MAY 18,2021 ALREADY BREAKTHROUGH CONVERT TO PULL OUT CLEANING. UNABLE TO HANDMUCK / PULL OUT AT BLOGGING RAISE DUE TO PRESENSE OF BIG CRACK.</t>
  </si>
  <si>
    <t>L04_GHVFW_018E_DE_ISL</t>
  </si>
  <si>
    <t>L09_GHVSPLIT_001W_DW</t>
  </si>
  <si>
    <t>L06_JVSPLIT_016E_ROBBING</t>
  </si>
  <si>
    <t>REPLACEMENT OF L06_JVSPLIT_016E_WINZE STOPE PREP. BREAKING STARTED ON MAY 12, 2021, PLANNING WAS INFORMED ON MAY 20, 2021.stopped breaking on June 18 2021 and converted to Pull-out on the same day.STOOPED ON JUNE 28, 2021 MINED OUT WITH 100% PULLED OUT MINE CARS.</t>
  </si>
  <si>
    <t>REPLACEMENT OF L07 GHV 035W DW. APPROVED ON JUNE 16 2021.STOPPED ON JUNE 28, 2021.VEIN PINCHED OUT.</t>
  </si>
  <si>
    <t xml:space="preserve"> REPLACEMENT OF L06_CTV_008W_STOPE PREP.APPROVED ON MAY 17, 2021.STOPPED ON JUNE 28, 2021 ALREADY CONNECTED TO ISL OF LEVEL 5, FOE WIREFRAME.</t>
  </si>
  <si>
    <t>L07_CTV_031E_DW</t>
  </si>
  <si>
    <t>L09_GHVHW_075E_DE</t>
  </si>
  <si>
    <t>L07_GHVSPLIT_034W_DW</t>
  </si>
  <si>
    <t>STOPPED ON JUNE 22, 2021 FINISHED EXRACTING CROWN AND SILL PILLARS.REPLACEMENT OF L07_JV_001W_WINZE ON APRIL 18, 2021. FROM OY-YOY TRANSFERRED TO BORERO ON 4/19/21.</t>
  </si>
  <si>
    <t>REPLACEMENT OF L07 JVHW 070E STOPE. APPROVED ON SEPT 19, 2020. converted to sill pillar robbing on  March 1 2021.STOPPED ON MARCH 15, 2021 ALREADY MINED OUT.</t>
  </si>
  <si>
    <t>L08_GHVSPLIT_017W_RAISE</t>
  </si>
  <si>
    <t>L06_DPVE_015E_STOPE</t>
  </si>
  <si>
    <t>replacement of L06 DPVE 015E RAISE. APPROVED ON JUNE 9 2021.STOPPED ON JUNE 29, 2021. CONVERT TO STOPE BREAKING.</t>
  </si>
  <si>
    <t>ADDITIONAL SOUCE OF STOPE ORE APPROVED ON JUNE 1,2021. STOPPED ON JUNE 28, 2021 RECOMMENDED FOR ACTIVE STOPE BREAKING.</t>
  </si>
  <si>
    <t>L10_DPVE_027E_STOPE</t>
  </si>
  <si>
    <t>REPLACEMENT OF L10_DPVE_027E_STOPE PREP APPROVED ON JUNE 29, 2021.</t>
  </si>
  <si>
    <t>REPLACEMENT OF L10_JV_064E_DW.APPROVED ON MAY 28, 2021.TEMP.STOPPED ON MAY 28, 2021 (LTS) mainline need to advance 5 meters.RESUMED ON JUNE 4, 2021.RENAMED FROM L10_JVFW_062E_RAISE TO L10_JVFW_053E_RAISE TO AVOID MISCHARGING TO DPVE_062E_STOPE ON JUNE 5,2021. STOPPED ON JUNE 29,2021 CONVERT TO STOPE PREPARATION.</t>
  </si>
  <si>
    <t>REPLACEMENT OF L05_DPVE_030E_DE.APPROVED ON JUNE 2, 2021.STOPPED ON JUNE 28, 2021 DUE TO INSUFFICIENT OF MANPOWER/ABSENTEEISM OF MEN RESULTING TO ABANDONMENT OF WORKPLACE.</t>
  </si>
  <si>
    <t>L05_JV_027E_WINZE STOPE</t>
  </si>
  <si>
    <t>REPLACEMENT OF L05_JV_027E_RAISE. APPROVED ON MAY 24,2021.STOPPED ON JUNE 29,2021 AT THE SAME TIME CONVERTED TO STOPE BREAKING.</t>
  </si>
  <si>
    <t>L05_JVFW_015W_RAISE_ISL</t>
  </si>
  <si>
    <t>REPLACEMENT OF L10_GHV_070E_STOPE PREP. APPROVED ON JUNE 27 2020.STOPPED ON JULY 1, 2021 AT THE SAME TIME CONVERTED TO PULL OUT CLEANING.</t>
  </si>
  <si>
    <t>L05_NONE_023W_XCN</t>
  </si>
  <si>
    <t>REPLACEMENT OF L04 GHVFW 017E WINZE STOPE. APPROVED ON AUGUST 11, 2020. STOPPED ON SEPT. 24 2020 DUE TO OFF VEIN. Resumed on Sept 26, 2020. STOPPED ON OCT. 15 2020 CONVERTED TO WINZE STOPE PREP. RESUMED ON MAY 20,2021 AT THE SAME TIME TRANSFER FROM DAVOCOL ROW 1 TO SHEPHERD AL 1.THIS WORK HEADING HAS 11 METERS REMAINING TO REACH THE RECOMMENDED STRIKE LENGTH. RENAMED FROM L04_GHVHW_018E_DE.STOPPED ON JULY 1, 2021.</t>
  </si>
  <si>
    <t>L04_GHVFW_019E_WINZE STOPE PREP</t>
  </si>
  <si>
    <t>REPLACEMENT OF L04_CTV_010E_DE. APPROVED ON MAY 19,2021.SAFETY CONCER/UNSAFE CONDITION.STOPPED ON JULY 1, 2021.</t>
  </si>
  <si>
    <t>L04_JV_030E_DW_ISL</t>
  </si>
  <si>
    <t xml:space="preserve">REPLACEMENT OF L10 GHV 015W DW. APPROVED ON FEB 21, 2021.STOPPED ON APRIL 20, 2021. RESUMED ON MAY 26,2021 AT THE SAME TIME TRANSFER FROM PARAGUYA 2 TO BAÑEZ 6.TEMPORARY STOPPED ON JUNE 11,2021 DEFECTIVE DRILLING MACHINE. RESUMED ON JUNE 14,2021. STOPPED ON JUNE 29,2021 NOTIFIED ON JULY 1,2021
</t>
  </si>
  <si>
    <t xml:space="preserve"> REPLACEMENT OF L10_DPVE_056E_DW. APPROVED ON MAY 17,2021.STOPPED ON JUNE 29,2021 NOTIFIED ON JULY 1,2021
</t>
  </si>
  <si>
    <t>L10_DPVE_032E_STOPE</t>
  </si>
  <si>
    <t>REPLACEMENT OF L10_DPVE_031E_STOPE.APPROVED ON MAY 27, 2021. MINE PRODUCTION RECOMMENDED FOR ACTIVE STOPE BREAKING ON JUNE 28 , 2021.  STOPPED ON JUNE 28,2021 CONVERT TO ACTIVE BREAKING NOTIFIED ON JULY 1,2021</t>
  </si>
  <si>
    <t xml:space="preserve"> REPLACEMENT OF L07 CTV 010E DW. APPROVED ON JUNE 16 2021.STOPPED ON JUNE 30 2021.VEIN PINCHED OUT</t>
  </si>
  <si>
    <t>REPLACEMENT OF L07 DPVE 009E DW. APPROVED ON JUNE 11 2021.STOPPED ON JULY 2 2021. CONNECTED TO MAINLINE</t>
  </si>
  <si>
    <t>L09_DPVE2_026E_RAISE</t>
  </si>
  <si>
    <t>Raise_ISL</t>
  </si>
  <si>
    <t>REPLACEMENT OF L09_DPVE2_064E_STOPE PREP.APPROVED ON MAY 17, 2021. Stopped breaking on July 2, 2021, vein pinched out, already driven 2 IPR with negative result, proceed to pull out cleaning.</t>
  </si>
  <si>
    <t>REPLACEMENT OF L09_DPVE2_037E_STOPE PREP APPROVED ON APRIL 14, 2021. Stopped breaking on July 2, 2021 convert to pull out cleaning, consecutive low cut grade, already conducted IPR but with no positive result.</t>
  </si>
  <si>
    <t>REPLACEMENT OF L09 DPVE 021E DE, Approved on May 22, 2021.Transfer team leader from DELOS REYES V 2 to PANSIT 4. Delos reyes already done follow up raise on may 26, 2021. Stopped on July 2, 2021 vein already pinched out.</t>
  </si>
  <si>
    <t xml:space="preserve">REPLACEMENT OF L08_GHVHW_020E_RAISE APPROVED ON MAY 6, 2021.STOPPED ON MAY 28, 2021 TO PROCEED TO RAISE DEVELOPMENT.RESUME ON JUNE 24,2021. stopped on 7/03/2021 due to pinching out of vein. </t>
  </si>
  <si>
    <t>L07_DPVE_014E_RAISE</t>
  </si>
  <si>
    <t xml:space="preserve"> CARIKITAN 2</t>
  </si>
  <si>
    <t>ADDITIONAL BATTERY CHAMBER APPROVED ON FEB.18,2021.TEMPORARRY STOPPED TO PROCCEED L08_NONE_036E_XCN ON 3/9/21. STOPPED ON JULY 5,2021 ALREADY FINISHED.</t>
  </si>
  <si>
    <t>L08_JVSPLIT_067E_RAISE</t>
  </si>
  <si>
    <t>L08_JV_061E_ROBBING</t>
  </si>
  <si>
    <t>L09_JVHW_029E_RAISE</t>
  </si>
  <si>
    <t>REPLACEMENT OF L09_DPVE_045E_DE ON 29/03/21.TRANSFER FROM DELOS REYES TO CANOY 1 ON APRIL 7, 2021.STOPPED ON APRIL 13, 2021 CONVERT TO STOPE PREPARATION.resumed on June 25 2021.STOPPED ON JULY 5, 2021 ALREADY BREAKTHROUGH TO OLD SUBLEVEL.</t>
  </si>
  <si>
    <t>L10_DPVE_026E_RAISE</t>
  </si>
  <si>
    <t>REPLACEMENT OF L09_JVSPLIT_008E_STOPE PREP. APPROVED ON APRIL 26, 2021. STOPPED ON JUNE 16, 2021 NOTIFIED ON JUNE 17,2021 BREAKTHROUGH TO OLD RAISE BELOW THE STOPE CUTTING CONVERTED TO PULL-OUT ON THE SAME DAY.STOPPED ON JULY 5, 2021 ALREADY MINED OUT.</t>
  </si>
  <si>
    <t>L05_CTV_033W_ROBBING</t>
  </si>
  <si>
    <t>L04_GHVSPLIT_026W_STOPE</t>
  </si>
  <si>
    <t>REPLACEMENT FROM L04_GHVSPLIT_027W_RAISE.APPROVED ON APRIL 16, 2021. temporary stopped on april 17, 2021 for grade evaluation and wireframe correction of  level geo, The first wireframe used incorrect. Resumed on April 18, 2021. Design was finalized.STOPPED ON MAY 4, 2021 CONVERTED TO STOPE BREAKING.</t>
  </si>
  <si>
    <t>L07_JV_044E_ROBBING</t>
  </si>
  <si>
    <t>REPLACEMENT OF L09 GHV 051E DW. APPROVED ON MAY 28, 2021.STOPPED ON JULY 5, 2021.VEIN CUT BY FAULT.</t>
  </si>
  <si>
    <t>REPLACEMENT OF L10_GHVHW_038E_DW.APPROVED ON MAY 19, 2021.STOPPED ON JULY 6,2021 DUE TO OFF VEIN.</t>
  </si>
  <si>
    <t>REPLACEMENT OF L10_NONE_063E_XCN. APPROVED ON MARCH 19,2021. TRANSFER FROM CATIGBE 1 TO BAÑEZ 5 ON MAY 18,2021.TEMP.STOOPED ON JULY 6, 2021.TO FOLLOW VEIN TARGETING DRILLING INTERCEPTS.</t>
  </si>
  <si>
    <t>ADDITIONAL PRODUCTION. APPROVED ON JUNE 25 2021. STOPPED ON JULY 5,2021 ALREADY FINISHED.</t>
  </si>
  <si>
    <t>L06_JVSPLIT_034E_RAISE</t>
  </si>
  <si>
    <t>L10_DPVE_064E_DE</t>
  </si>
  <si>
    <t>REPLACEMENT OF L06_CV_005W_ROBBING.APPROVED ON JUNE 8, 2021.STOPPED ON JULY 7, 2021</t>
  </si>
  <si>
    <t>REPLACEMENT OF L07 GHV 028W DE.APPROVED ON APRIL 22 2021.TEMP.STOPPED ON APRIL 30, 2021 UNSAFE MAINLINE.RESUMED ON MAY 10, 2021 AT THE SAME TIME TRANSFER FROM FERNANDEZ TO SHEPHERD AK 2.stopped on July 2 2021. vein pinched out</t>
  </si>
  <si>
    <t>REPLACEMNT OF L04_GHVSPLIT_026W_RAISE. APPROVED ON JUNE 15, 2021.STOPPED ON STOPE PREP ON JULY 2,2021 CONVERT TO ACTIVE BREAKING NOTIFIED ON JULY 6, 2021.STOPPED ON JULY 7, 2021 AT THE SAME TIME CONVERTED TO STOPE BREAKING.</t>
  </si>
  <si>
    <t>CROSSCUT TO TARGET RESOURCE BLOCKS. APPROVED ON JUNE 19,2021.STOPPED ON JULY 7,2021</t>
  </si>
  <si>
    <t>L05_DPVE_050E_DE</t>
  </si>
  <si>
    <t>L10_DPVE_074E_RAISE</t>
  </si>
  <si>
    <t>ANGCOG 1</t>
  </si>
  <si>
    <t>REPLACEMENT OF L04_GHVFW_041W_STOPE. APPROVED ON JANUARY 26 2021. STOPPED ON JULY 7,2021.</t>
  </si>
  <si>
    <t>L04_CTV_021W_STOPE</t>
  </si>
  <si>
    <t>TO DEVELOP EAST RESOURCE BLOCKS OF DPVE APPROVED ON MARCH 15, 2021.TEMPORARY STOPPED ON APRIL 6,2021 TO FOLLOW UP RAISE.RESUMED ON APRIL 27, 2021.TEMP.STOPPED ON APRIL 29, 2021 DUE TO LACK OF MANPOWER.resumed on May 3,2021 at the same time transfer from DUHIG 2 TO ALMASA 3. TEMPORARY STOPPED ON MAY 28,2021 TO PRIORITIZED SWITCH L10_DPVE_038E_DW. RESUMED ON JUNE 1,2021.stopped on July 8,2021</t>
  </si>
  <si>
    <t>replacement of L05_DPVE_025E_DW. Approved on June 25, 2021. STOPPED ON JULY 8, 2021 VEIN PINCHED OUT.</t>
  </si>
  <si>
    <t>REPLACEMENT OF L09 DPVE2 077E DW. APPROVED ON JUNE 15, 2021.Stopped on july 6, 2021, vein was cut by fault and already breaking narrow vein structure.</t>
  </si>
  <si>
    <t>REPLACEMENT OF L09_JV_015E_RAISE.APPROVED ON MAY 20, 2021.Stopped on July 6, 2021 NOTIFIED ON JULY 8, 2021, have already reached desired vertical distance and the vein already pinched out.</t>
  </si>
  <si>
    <t>L05_DPVE_050E_DW</t>
  </si>
  <si>
    <t>REPLACEMENT OF L08_GHVHW_015W_STOPE PREP.APPROVED ON JUNE 4, 2021.stopped breaking convert to pull out cleaning on july 9, 2021.</t>
  </si>
  <si>
    <t>REPLACEMENT OF L06_JV_010E_WINZE.APPROVED ON JUNE 2,2021.STOPPED ON JULY 9,2021 ALREADY CONNECTED TO OLD STOPE FOR WIREFRAME.</t>
  </si>
  <si>
    <t>L10_NONE_051E_XCN</t>
  </si>
  <si>
    <t>L09_JVHW_033E_DW</t>
  </si>
  <si>
    <t>TARGETING RESERVE BLOCKS APPROVED ON APRIL 13, 2021.STOPPED ON JUNE 7, 2021. NO FURTHER TARGET.RESUMED ON JUNE 8, 2021.STOPPED ON JUNE 15, 2021.TO BE CONVERTED TO DRIFT.RESUMED ON JUNE 28, 2021.STOPPED ON JULY 9, 2021, ALREADY BREAKTHROUGH TO OLD MAINLINE JULY 5 BUT WITH REMAINING PILLARS FOR WIDENING.</t>
  </si>
  <si>
    <t>REPLACEMENT OF L06_DPVE_012E_STOPE PREP. STARTED BREAKING ON MAY 27,2021 MEMO RECEIVED ON MAY 29,2021.RECOMMENDED TO STRICTLY FOLLOW THE 1.2M STANDARD BREAKING WIDTH TO MINIMIZE SECONDARY. CONVERTED TO PULL OUT CLEANING JULY 11, 2021, MEMO DATED ON JULY 7, 2019, STOPE TRAVERSE FINSIHED ON JULY 10, 2021</t>
  </si>
  <si>
    <t>L08_GHV_007E_RAISE</t>
  </si>
  <si>
    <t>007E</t>
  </si>
  <si>
    <t>ADDITIONAL STOPE ORE TONNAGE APPROVED ON 5/29/2021 ON  CLEANING STAGE. STOPPED ON JULY 12,2021 ALREADY FINISHED ROBBING.</t>
  </si>
  <si>
    <t>APPROVED ON 6/23/2021. REPLACMENT OF L08_GHV_025E_ROBBING HAS A 7 METERS REMAINING BALANCE TO CONNECT TO AN OLD MAINLINE OF LEVEL 8.  Stopped  on July 12,2021 breakthrough to old mainline.</t>
  </si>
  <si>
    <t>REPLACEMENT OF L09_GHVFW_031E_RAISE. APPROVED ON MAY 18,2021.Transfer of team leader from CANOY to BABOR 1, approved on June 3, 2021. Stopped on July 12, 2021. Vein pinched out.</t>
  </si>
  <si>
    <t>L05_NONE_036E_XCN</t>
  </si>
  <si>
    <t>REPLACEMENT OF L08_GHV_026E_RAISE. APPROVED ON 6/17/2021. STOPPED ON JULY 10, 2021 RECOMMENDED FOR ACTIVE STOPE BREAKING.</t>
  </si>
  <si>
    <t>L08_GHV_026E_WINZE STOPE</t>
  </si>
  <si>
    <t xml:space="preserve">L08_DPVE_075E_WINZE STOPE PREP </t>
  </si>
  <si>
    <t>AGOLO 2</t>
  </si>
  <si>
    <t>L10_GHVHW_052E_RAISE</t>
  </si>
  <si>
    <t>L09_JVHW_026E_DW</t>
  </si>
  <si>
    <t>REPLACEMENT OF L10_GHVHW_074E_DE.APPROVED ON JUNE 4, 2021. Temporary stopped on JULY 7,2021 for evaluation notified on July 12,2021. STOPPED ON JULY 12, 2021 DUE TO PINCHED OUT VEIN.</t>
  </si>
  <si>
    <t>L09_DPVE_028E_DE</t>
  </si>
  <si>
    <t>L09_GHVSPLIT_014E_RAISE</t>
  </si>
  <si>
    <t>L07_GHV_029W_RAISE</t>
  </si>
  <si>
    <t>CAYABAS</t>
  </si>
  <si>
    <t>L10_GHVSPLIT_073E_STOPE_PREP</t>
  </si>
  <si>
    <t>REPLACEMENT OF L09 GHVHW 075E DE. APPROVED ON JULY 8, 2021. STOPPED ON JULY 13, 2021, VEIN ALREADY PINCHED OUT, FOLLOW UP ONLY, NO TIMBER INSTALLED.</t>
  </si>
  <si>
    <t xml:space="preserve"> REPLACEMENT ON L10_JVSPLIT_072E_STOPE PREP APPROVED ON APRIL 15,2021.STOPPED ON JUNE 2, 2021 AT THE SAME TIME CONVERT TO PULL OUT CLEANING. MINED OUT ON JULY 12,2021.</t>
  </si>
  <si>
    <t>L09_JVFW_058E_RAISE</t>
  </si>
  <si>
    <t>L09_JVHW_027E_DW</t>
  </si>
  <si>
    <t>L06_JVFW_037E_WINZE STOPE PREP</t>
  </si>
  <si>
    <t>L06_JV_036E_DE</t>
  </si>
  <si>
    <t>L04_CTV_008E_STOPE</t>
  </si>
  <si>
    <t>REPLACEMENT OF L08 CTV 008E DE. APPROVED ON JUNE 23 2021.STOPPED ON JULY 14, 2021.AT THE SAME TIME CONVERT TO STOPE BREAKING.</t>
  </si>
  <si>
    <t>REPLACEMENT OF L06 JVFW 037E DE_ISL. APPROVED ON JUNE 15, 2021.STOPPED ON JULY 14, 2021 (NLC)</t>
  </si>
  <si>
    <t>ADDITIONAL PRODUCTION TONNAGE.APPROVED ON JUNE 28, 2021.RENAME FROM 6W TO L06_CV_004W_ROBBING TO PREVENT MISCHARGING ON JUNE 29, 2021.STOPPED ON JULY 14, 2021.ALREADY MINED OUT.</t>
  </si>
  <si>
    <t>L06_CTV_007E_ROBBING</t>
  </si>
  <si>
    <t>REPLACEMENT OF L07_CTV_032E_ROBBING.APPROVED ON JUNE 28, 2021. STOPPED DUE TO VEIN PINCHED OUT ON JULY 13, 2021.</t>
  </si>
  <si>
    <t>L09_DPVE2_086E_DW</t>
  </si>
  <si>
    <t>L09_JV_069E_WINZE</t>
  </si>
  <si>
    <t>REPLACEMENT OF L09_DPVE2-053E_STOPE PREP.APPROVED MAY 7, 2021.temporarily stopped on June 25 2021 waiting for IPR assay result.RESUMED ON JULY 6, 2021.STOPPED BREAKING ON JULY 14, 2021 ALREADY BREAKTHROUGH TO AN OLD SUBLEVEL ,ADVISED TO CONVERT PULL OUT,ALREADY DONE STOPE TRAVERSE.</t>
  </si>
  <si>
    <t>REPLACEMENT OF L09_DPVE2_037E_STOPE PREP APPROVED ON APRIL 14, 2021. Stopped breaking on July 2, 2021 convert to pull out cleaning, consecutive low cut grade, already conducted IPR but with no positive result.STOPPED ON JULY 14, 2021 ALREADY MINED OUT.</t>
  </si>
  <si>
    <t>REPLACEMENT OF L09 JVFW 059E DE. APPROVED ON JUNE 21, 2021STOPPED ON JULY 14, 2021 ALREADY  BREAKTHROUGH.</t>
  </si>
  <si>
    <t xml:space="preserve">L05_DPVE_047E_STOPE </t>
  </si>
  <si>
    <t>REPLACEMENT OF L05 DPVE 047E RAISE APPROVED ON JUNE 11,2021.STOPPED ON JULY 12, 2021 NOTIFIED ON JULY 14, 2021. RECOMMENDED FOR STOPE BREAKING.</t>
  </si>
  <si>
    <t>L05_DPVE_047E_STOPE</t>
  </si>
  <si>
    <t>REPLACEMENT OF L10 NONE 063E XCN. APPROVED ON FEB 21, 2021. STOPPED ON APRIL 23, 2021 ALREADY REACHED THE RECOMMENDED STRIKE LENGTH. RESUMED ON MAY 27,2021 TO DO NORMAL RAISE AT THE SAME TIME TRANSFER FROM CATIGBE 2 TO OLIVEROS 4.TRANSFER FROM OLIVEROS 4 TO LARGO 2 SWAPPING OF WORKING PLACE ON JUNE 3,2021.TEMP.STOPPED JULY 14, 2021 DUE TO LACK OG MANPOWER.</t>
  </si>
  <si>
    <t>L09_JVSPLIT_025E_STOPE PREP</t>
  </si>
  <si>
    <t>L05_JV_032E_WINZE STOPE</t>
  </si>
  <si>
    <t>replacement of L05 JV 032E RAISE ISL. APPROVED ON JUNE 25, 2021.STOPPED ON JULY 14, 2021.AT THE SAME TIME CONVERT TO STOPE BREAKING.</t>
  </si>
  <si>
    <t>REPLACEMENT OF L09 DPVE 016E DW. APPROVED ON JUNE 28, 2021.TRANFER FROM PANCIT NOEL 1 TO PANSIT 1 ON JUNE 30, 2021, MGMT DECISION PANCIT DONE FOLLOW UP RAISE.STOPPED ON JULY 16, 2021,OFF VEIN.</t>
  </si>
  <si>
    <t>REPLACEMENT OF L09 DPVE 055E DE. APPROVED ON JUNE 26, 2021.STOPPED ON JULY 16, 2021, OFF VEIN.</t>
  </si>
  <si>
    <t>REPLACEMENT OF L06_JVSPLIT_032E_RAISE.APPROVED ON APRIL 19, 2021. FINISHED HEADING ON JULY 16, 2021, MEMO RECEIVED ON JULY 17, 2021</t>
  </si>
  <si>
    <t>L04_JV_042W_ROBBING</t>
  </si>
  <si>
    <t xml:space="preserve">REPLACEMENT of L04 CTV 025E WINZE STOPE. Approved on May 10, 2021.RENAMED FROML04_JV_027W_WINZE TO L04_JV_028W_WINZE ON MAY 11, 2021. STOPPED ON JULY 14, 2021 TO DRIVE INTERMEDIATE SUBLEVEL.
</t>
  </si>
  <si>
    <t>L04_JV_028W_DW_ISL</t>
  </si>
  <si>
    <t>REPLACEMENT OF L09 GHVFW 023E STOPE. APPROVED ON JUNE 18, 2021. Stopped on July 16, 2021 vein pinched out.</t>
  </si>
  <si>
    <t>REPLACEMENT OF L09_DPVE2_064E_STOPE PREP.APPROVED ON MAY 17, 2021. Stopped breaking on July 2, 2021, vein pinched out, already driven 2 IPR with negative result, proceed to pull out cleaning.STOPPED ON JULY 17, 2021 ALREADY MINED OUT.</t>
  </si>
  <si>
    <t>REPLACEMENT OF L08_DPVE_070E_WINZE STOPE PREP. APPROVED ON NOV. 27 2020.STOPPED ON JULY 19, 2021 AT THE SAME TIME CONVERT TO PULL OUT CLEANING.</t>
  </si>
  <si>
    <t>L10_GHVSPLIT_063E_RAISE</t>
  </si>
  <si>
    <t>REPLACEMENT OF L08_GHVSPLIT_006W_DW APPROVED ON JUNE 24, 2021.STOPPED ON JULY 19, 2021.MADE BREAKTHROUGH.</t>
  </si>
  <si>
    <t>REPLACEMENT OF L09_DPVE2_073E_RAISE.APPROVED ON JULY 9, 2021. STOPPED ON JULY 19, 2021 VEIN PINCHED OUT.</t>
  </si>
  <si>
    <t>REPLACEMENT OF L09 GHVHW 069E DE. APPROVED ON JUNE 3, 2021. TRANSFER OF WORKING PLACE FROM CAPPUYO 1 TO BABOR 3, Cappuyo already done follow up raise.TRANSFER FROM BABOR TO PANSIT 4, MGMT DECISION, NO NEGATIVE CONCERN FOR TRANSFERRING. STOPPED ON JULY 19, 2021 DUE TO CONSECUTIVE LOW GRADE.</t>
  </si>
  <si>
    <t>REPLACEMENT OF L09 NONE 085E XCS, APPROVED ON JUNE 15, 2021. TEMP STOPPED ON JUNE 28, 2021. RESUMED ON JULY 7, 2021.TRANSFERED FROM DELOS REYES TO BALANGHIG 1 ON JULY 14, 2021. STOPPED ON JULY 19, 2021 DUE TO VEIN PINCHED OUT.</t>
  </si>
  <si>
    <t>L09_JVHW_030E_DW</t>
  </si>
  <si>
    <t>L09_JV_034E_RAISE</t>
  </si>
  <si>
    <t>L09_GHVSPLIT_066E_RAISE</t>
  </si>
  <si>
    <t>L09_NONE_084E_XCS</t>
  </si>
  <si>
    <t>REPLACEMENT OF L06_DPVE_012E_STOPE PREP. STARTED BREAKING ON MAY 27,2021 MEMO RECEIVED ON MAY 29,2021.RECOMMENDED TO STRICTLY FOLLOW THE 1.2M STANDARD BREAKING WIDTH TO MINIMIZE SECONDARY. CONVERTED TO PULL OUT CLEANING JULY 11, 2021, MEMO DATED ON JULY 7, 2019, STOPE TRAVERSE FINSIHED ON JULY 10, 2021.STOPPED IN JULY 19, 2021 FINISHED HEADINGS.</t>
  </si>
  <si>
    <t>ADDITIONAL HORIZONTAL DEVELOPMENT.APPROVED ON JUNE 28, 2021.TEMP STOPPPED ON JULY 8, 2021 TO PRIORITIZE RAISE. RESUMED ON JULY 12, 2021.STOPPED ON JULY 20, 2021.PINCHED OUT VEIN DUE TO CROSSCUTING FAULTS NO FURTHER VEIN TARGET.</t>
  </si>
  <si>
    <t>L09_GHVHW_075E_RAISE</t>
  </si>
  <si>
    <t>APPROVED ON 6/8/2021. ADDITIONAL HORIZONTAL DEVELOPMENT.TEMP.STOPPED ON JULY 20, 2021.AS PER KGF.</t>
  </si>
  <si>
    <t>REPLACEMENT OF L05_DPVE_028E_RAISE. APPROVED ON MAY 24,2021.recommended o strictly charged broken material into waste from these dutes. CONVERT TO ACTIVE BREAKING ON JUNE 11, 2021..STOPPED BREAKING ON JULY 20, 2021.AT THE SAME TIME CONVERT TO PULL OUT CLEANING.</t>
  </si>
  <si>
    <t>L10_GHV_059E_STOPE</t>
  </si>
  <si>
    <t>L06_JVFW_017E_WINZE</t>
  </si>
  <si>
    <t>REPLACEMENT OF L09 JVFW 059E DW. APPROVED ON JULY 13, 2021.STOPPED ON JUKY 20, 2021.CONVERT TO BLIND STOPE DUE TO HIGH QA/QC GRADE.</t>
  </si>
  <si>
    <t>L10_GHVSPLIT_073E_STOPE PREP</t>
  </si>
  <si>
    <t>REPLACEMENT OF L04 CV 015W ROBBING. START JULY 14, 2021 (SILL PILLAR).STOPPED ON JULY 21, 2021. FINISHED HEADINGS.</t>
  </si>
  <si>
    <t>SHEPEHRD W</t>
  </si>
  <si>
    <t>L07_GHVHW_031E_ROBBING</t>
  </si>
  <si>
    <t>Replacement of L07_GHVHW_027E_DW. Approved on June 2, 2021.STOPPED ON JULY 20, 2021.DUE TO PINCHED OUT VEIN.</t>
  </si>
  <si>
    <t>REPLACEMENT OF L07 JV 052E WINZE. APPROVED ON JUNE 7 2021.STOPPED ON JULY 21, 2021.MADE BREAKTHROUGH.</t>
  </si>
  <si>
    <t>REPLACEMENT OF L10_GHVFW_051E_DW.APPROVED ON APRIL 19, 2021. TEMPORARY STOPPED ON MAY 19,2021 TO FOLLOW UP RAISE. RESUMED ON MAY 27,2021 AT THE SAME TIME TRANSFER FROM MONTEBON 1 TO BAÑEZ 8. TRANSFER FROM BAÑEZ 8 TO SHEPHERD W ON JUNE 4,2021.SAFETY CONCERN\UNSAFE CONDITION.STOPPED ON JULY 21, 2021.ALREADY MADE BREAKTHROUGH.</t>
  </si>
  <si>
    <t>L07_JV_050E_DE_ISL</t>
  </si>
  <si>
    <t>L10_GHVFW_052E_DE</t>
  </si>
  <si>
    <t>L09_GHVFW_039E_DE</t>
  </si>
  <si>
    <t>L09_DPVE2_063E_DE</t>
  </si>
  <si>
    <t>L09_GHVFW_032E_DE</t>
  </si>
  <si>
    <t>COUNTER DRIVE TO TARGET OLDMAINLINE FOR ROBBING AREA. APPROVED ON JULY 3 2021.STOPPED ON JULY 23, 2021.MADE BREAKTHROUGH.</t>
  </si>
  <si>
    <t>L08_DPVE_036E_WINZE</t>
  </si>
  <si>
    <t>L08_GHVFW_002W_WINZE</t>
  </si>
  <si>
    <t>L08_NONE_071E_XCS</t>
  </si>
  <si>
    <t>AGLOLO, MIGUEL 1</t>
  </si>
  <si>
    <t>REPLACEMENT OF L08_JVSPLIT_071E_RAISE. APPROVED ON 6/8/2021.CURRENTLY CLEANING AND REHAB OF OLD WINZE.STOPPED ON JULY 23, 2021.NARROW VEIN TO 0.5M.</t>
  </si>
  <si>
    <t>L12_JV_042E_DE</t>
  </si>
  <si>
    <t xml:space="preserve">SHEPHERED AK </t>
  </si>
  <si>
    <t>REPLACEMENT OF L09_JVHW_033E_DW.APPROVED ON JULY 19, 2021.STOPPED JULY 24, 2021</t>
  </si>
  <si>
    <t>REPLACEMENT OF L09 GHVHW 075E DE. APPROVED ON JULY 20 2021.STOPPED PINCHED OUT JULY 24, 2021</t>
  </si>
  <si>
    <t>REPLACEMENT OF L07 GHV 029W DW. APPROVED ON APRIL 26,2020. TEMPORARY STOPPED ON APRIL 27 2020. RESUMED ON MAY 4 2020 IN THE SAME TIME RENAMED FROM L07_GHV_030W_DE TO L07_GHV_027W_DE. Temporary stopped on June 26 2020 due to no waste pass available.resumed on June 29 2020. stopped on July 7,2020 already off-vein. RESUMED ON FEB 11 2021 @ THE SAME TIME RENAMED FROM L07_GHV_027W_DE TO L07_GHV_028W_DE.STOPPED ON APRIL 14, 2021 DUE TO LOW CONSECUTIVE LOW ASSAY GRADE.RESUMED ON JUNE 26 2021.FROM FERNANDEZ TO SHEPHERD AK(QUISADO).temporarily stopped on JULY 5 2021. Follow Up raise.RESUMED ON JULY 20, 2021.STOPPED, PINCHED OUT VEIN APPROVED JULY 24, 2021</t>
  </si>
  <si>
    <t>REPLACEMENT OF L09_GHVHW_069E_DE. APPROVED ON JUNE 19,2021.TRANSFER FROM CAPPUYO TO ESPADA 1. APPROVED ON JUNE 28, 2021, MGMT DECISION. TRANSFER FROM CAPPUYO TO ESPADA. APPROVED ON JUNE 28, 2021.STOPPED ON JULY 23 2021</t>
  </si>
  <si>
    <t>L09_JVFW_071E_RAISE</t>
  </si>
  <si>
    <t>L06_JVSPLIT_018E_DE</t>
  </si>
  <si>
    <t>L06_CTV_008W_STOPE</t>
  </si>
  <si>
    <t xml:space="preserve"> REPLACEMENT OF L10_GHVSPLIT_055E_DE. APPROVED ON MAY 19,2021.ESTIMATED BALANCE OF 12M TO HIT L9 OLD GHW MAINLINE.STOPPED ON JULY 20, 2021.ALREADY REACHED THE RECOMMENDED ELEVATION NOT TO BREAKTHROUGH TO OAN ACTIVE MAINLINE LEVEL 9. REPORTED LOW DIPPING ON JULY 20,2021.</t>
  </si>
  <si>
    <t>L06_JVFW_009W_DE</t>
  </si>
  <si>
    <t>L05_JV_022E_STOPE</t>
  </si>
  <si>
    <t>REPLACEMENT OF L05_JV_022E_DE APPROVED ON JUNE 11, 2021.STOPPED ON JULY 15, 2021  AT THE SAME TIME CONVERTED TO STOPE BREAKING.</t>
  </si>
  <si>
    <t>APPROVED ON 6/25/2021. ADDITIONAL VERTICAL DEVELOPMENT. STOPPED ON JULY 26,2021 ALREADY REACHED THE RECOMMENDED ELEVATION.</t>
  </si>
  <si>
    <t>L08_GHVSPLIT_063E_RAISE</t>
  </si>
  <si>
    <t>REPLACEMENT OF L05_DPVE_050E_DE APPROVED ON JULY 9,2021.STOPPED ON JULY 26,2021</t>
  </si>
  <si>
    <t>REPLACEMENT OF L09_DPVE2_021E_DE. APPROVED ON MAY 31,2021.TEMP STOPPED ON JUNE 24, 2021.DELOS REYES V 2.RESUMED ON JUNE 28, 2021. TEMPORARY STOPPED ON JULY 27,2021.</t>
  </si>
  <si>
    <t>L09_NONE_040E_XCN</t>
  </si>
  <si>
    <t>DELOS REYES V1</t>
  </si>
  <si>
    <t>L04_JV_011E_DE</t>
  </si>
  <si>
    <t>REPLACEMENT OF L04 NONE 007W XCN. APPROVED ON MARCH 3, 2021.RENAMED FROM CTV TO JV ON APRIL 21, 2021 AS PER LEVEL GEO.CORRECTED TO CTV ON APRIL 22, 2021 AS PER LEVEL GEO. STOPPED ON JULY 27, 2021.</t>
  </si>
  <si>
    <t>L09_DPVE2_020E_DW</t>
  </si>
  <si>
    <t xml:space="preserve">REPLACEMENT OF L09 DPVE2 054E DE. APPROVED ON APRIL 27, 2021. TEMPORARY STOPPED ON MAY 17,2021 TO PRIORITIZED L09_DPVE2_054E_DW.RESUMED ON JUNE 18, 2021.TEMP STOPPED ON JUNE 24, 2021.RESUMED ON JULY 20, 2021.TEMPORARY STOPPED TO PRIORITIZE L09_NONE_040E_XCN ON JULY 26, 2021.
</t>
  </si>
  <si>
    <t>L05_CTV_023W_ROBBING</t>
  </si>
  <si>
    <t>Replacement of L09 DPVE 022E DE. Approved on June 24, 2021.TEMP. STOPPED ON JUNE 28, 2021.RESUMED ON JUNE 29, 2021 AT THE SAME TIME TRANSFERRED FROM DELOS REYES TO REBOTE JONATHAN.rename from L09_DPVE2_021E_RAISE TO L09_DPVE2_026E_RAISE ON JULY 2,2021. STOPPED BREAKING DUE TO CONSECUTIVELY PRODUCING LOW QA/QC GRADE  ON JULY 29, 2021.</t>
  </si>
  <si>
    <t>REPLACEMENT OF L09_GHVHW_079E_RAISE APPROVED ON JULY 23, 2021. STOPPED ON JULY 29, 2021 DUE TO PINCHED OUT VEIN.</t>
  </si>
  <si>
    <t>REPLACEMENT OF L07_NONE_009W_CXN APPROVED ON MAY 5,2021. temporarily stopped on June 25 2021. Miners transferred to L07 GHV 028W DE.RESUMED ON JULY 22 2021 TRANSFER FROM SHEPHERD AK TO DAVOCOL.TRANSFERRED FROM DAVOCOL TO SHEPHERED AK ON JULY 24, 2021. STOPPED ON JULY 27 2021.</t>
  </si>
  <si>
    <t>L07_JV_009W_DW</t>
  </si>
  <si>
    <t>L10_DPVE_055E_RAISE</t>
  </si>
  <si>
    <t xml:space="preserve">ADDITIONAL VERTICAL DEVELOPMENT.APPROVED ON JULY 19, 2021. Stopped on JULY 29,2021 ALREADY HIT THE TARGET. </t>
  </si>
  <si>
    <t>REPLACEMENT OF L10_DPVE_054E_RAISE.APPROVED ON APRIL 20, 2021. Temp stopped, not even started, countinued driving raise 4/23/21.RESUMED ON JUNE 2, 2021 THE SAME TIME TRANSFER FROM CATIGE 2 TO COMAINGKING 1.RENAMED FROM L10_DPVE_054E_DE TO L10_DPVE_057E_DE TO AVOID MISCHARGING TO L10_DPVE_054E_RAISE ON JUNE 3,2021.ESTIMATED BALANCE OF 10M OF CONNECTING TO OLD DPVE MAINLINE.  STOPPED ON JULY 29,2021 ALREADY BREAKTHROUGH.</t>
  </si>
  <si>
    <t>REPLACEMENT OF L10_JVFW_053E_RAISE.APPROVED ON JUNE 29, 2021.  STOPPED ON JULY 26,2021. ALREADY DONE STOPE PREPARATION MEMO RECEIVED ON JULY 29,2021</t>
  </si>
  <si>
    <t>L10_JVFW_053E_STOPE</t>
  </si>
  <si>
    <t xml:space="preserve">REPLACEMENT OF L10_GHVFW_051E_DE.APPROVED ON JULY 9, 2021.  STOPPED ON JULY 29,2021. ALREADY HIT THE TARGET. </t>
  </si>
  <si>
    <t>L10_GHVFW_054E_DE</t>
  </si>
  <si>
    <t>L09_DPVE_084E_DW</t>
  </si>
  <si>
    <t>L05_DPVE_052E_DE</t>
  </si>
  <si>
    <t>REPLACEMENT OF L05_DPVE_028E_RAISE. APPROVED ON MAY 24,2021.recommended o strictly charged broken material into waste from these dutes. CONVERT TO ACTIVE BREAKING ON JUNE 11, 2021..STOPPED BREAKING ON JULY 20, 2021.AT THE SAME TIME CONVERT TO PULL OUT CLEANING. Mined-out on JULY 27, 2021.</t>
  </si>
  <si>
    <t>L05_DPVE_025E_STOPE PREP</t>
  </si>
  <si>
    <t xml:space="preserve">replacement of L07_CTV_011E_RAISE. APPROVED ON JUNE 21 2021. STOPPED ON JULY 30, 2021 RECOMMENDED FOR STOPE BREAKING. </t>
  </si>
  <si>
    <t>L07_CTV_011E_STOPE</t>
  </si>
  <si>
    <t>REPLACEMENT OF L05_JV_032E_WINZE STOPE PREP.APPROVED ON JULY 16, 2021.STOPPED ON JULY 26, 2021 CONVERT TO PULL OUT.</t>
  </si>
  <si>
    <t>ADDITIONAL SOURCE OF STOPE ORE APPROVED ON MAY 10,2021.TEMP. STOPPED ON MAY 10, 2021 ON GOING CLEANING,NOT YET STARTED.RESUMED ON JUNE 8, 2021. MINED OUT JULY 30, 2021.</t>
  </si>
  <si>
    <t>REPLACEMENT OF L09_DPVE2-053E_STOPE PREP.APPROVED MAY 7, 2021.temporarily stopped on June 25 2021 waiting for IPR assay result.RESUMED ON JULY 6, 2021.STOPPED BREAKING ON JULY 14, 2021 ALREADY BREAKTHROUGH TO AN OLD SUBLEVEL ,ADVISED TO CONVERT PULL OUT,ALREADY DONE STOPE TRAVERSE. STOPPED ON JULY 30, 2021 MINED OUT.</t>
  </si>
  <si>
    <t>REPLACEMENT AND BLOCKING RAISE OF L08_DPVE_068E_RAISE APPROVED ON 6/19/2021. TEMPORARY STOPPED ON JUNE 21,2021 NOTIFIED ON JUNE 22, 2021 LACK OF MAN POWER .RESUMED ON JULY 7,2021. STOPPED ON JULY 30, 2021 PINCHED OUT VEIN.</t>
  </si>
  <si>
    <t>REPLACEMENT OF L10_GHVS_056E_RAISE.APPROVED ON JULY 22, 2021. TEMPORARY STOPPED ON JULY 30,2021 DUE HIGHER ELEVATION TO BREAKTHROUGH TO OPPOSITE MAINLINE FOR EVALUATION.</t>
  </si>
  <si>
    <t>L10_NONE_033E_XCN</t>
  </si>
  <si>
    <t>L05_DPVE_049E_DW</t>
  </si>
  <si>
    <t>REPLACEMENT OF L05_JV_021E_DW. APPROVED ON JUNE 24, 2021. STOPPED ON JULY 30, 2021 DUE TO LOW CONSECUTIVE ASSAY GRADE.</t>
  </si>
  <si>
    <t>REPLACEMENT OF L05_DPVE_048E_RAISE.APPROVED ON JUNE 2, 2021. STOPPED ON JULY 30, 2021 DUE TO PINCHED OUT OF VEIN.</t>
  </si>
  <si>
    <t>CROSSCUT FOR EXCAVATION OF 43E SHAFT APPROVED ON JUNE 10, 2021.  STOPPED ON JULY 21,2021. NOTIFIED ON JULY 31,2021</t>
  </si>
  <si>
    <t>L05_DPVE_051E_RAISE</t>
  </si>
  <si>
    <t>REPLACEMENT OF L06_CTV_007W_RAISE.APPROVED ON APRIL 24, 2021. TEMPORARY STOPPED BY PLANNING ON MAY 6, 2021. FOR FURTHER EVALUATION ON SAFETY.RESUMED ON JUNE 29, 2021. STOPPED AND CONVERTED TO BREAKING ON JULY 21, 2021.</t>
  </si>
  <si>
    <t>L09_JVSPLIT_046E_RAISE</t>
  </si>
  <si>
    <t>REPLACEMENT OF L09 JVFW 059E DW. APPROVED ON JULY 13, 2021.STOPPED ON JUKY 20, 2021.CONVERT TO BLIND STOPE DUE TO HIGH QA/QC GRADE.RESUMED ON JULY 20, 2021.  STOPPED ON AUGUST 1,2021 CONVERT TO STOPE PREPARATION.</t>
  </si>
  <si>
    <t>L05_JVFW_015W_WINZE_STOPE PREP</t>
  </si>
  <si>
    <t>COMAINKING 4</t>
  </si>
  <si>
    <t>REPLACEMENT OF L05_JVFW_014W_WINZE STOPE. APPROVED ON JUNE 29, 2021.BROKETHROUGH AN OLD STOPE FROM L6 ON FOOTWALL SIDE. STOPPED ON JULY 28, 2021.</t>
  </si>
  <si>
    <t>REPLACEMENT OF L10 GHVHW 060E DW. APPROVED ON APRIL 19, 2021.TRANSFER FROM LARGO 2 TO OLIVEROS 4 DUE TO LOW PERFORMANCE ON JUNE 3,2021.RECOMMENDED FOR ACTIVE BREAKING STOPE ON JUNE 9, 2021.temporary STOPPED ON JULY 24, 2021. PERMANENTLY STOPPED BREAKING DUE TO VEIN PINCHED OUT ALREADY CONDUCTED IPR BUT POOR GRADE.</t>
  </si>
  <si>
    <t>REPLACEMENT OF L06_JVSPLIT_017E_RAISE. APPROVED ON JUNE 15, 2021, BLOCKING RAISE OF L06_JVSPLIT_017E_RAISE.stopped on july 24,2021.</t>
  </si>
  <si>
    <t>APPROVED ON JUNE 25, 2021.CROSSCUT FOR VENTILATION PURPOSES.stopped on july 25,2021</t>
  </si>
  <si>
    <t>REPLACEMENT OF L09_DPVE2_078E_DE.APPROVED ON JULY 13, 2021. STOPPED ON AUGUST 2, 2021 PINCHED OUT.</t>
  </si>
  <si>
    <t>REPLACEMENT OF L10_DPVE_044E_RAISE.APPROVED ON MAY 28, 2021.TEMPORARY STOPPED ON 6/22/21 TO PRIORITIZED STOPE PREPARATION.RESUMED ON JULY 6, 2021.L10_JVFW_066E_RAISE.STOPPED ON JULY 27,2021  NOTIFIED ON AUG 2,2021 UNSAFE CONDITION</t>
  </si>
  <si>
    <t>L10_DPVE_067E_RAISE</t>
  </si>
  <si>
    <t>REPLACEMENT OF L09_DPVE2_073E_RAISE. APPROVED ON JULY 5, 2021. STOPPED ON AUGUST 3,2021.</t>
  </si>
  <si>
    <t>L09_GHVFW_052E_RAISE</t>
  </si>
  <si>
    <t>REPLACEMENT OF L07 DPVE 013E DE. APPROVED OM JULY 5 2021. STOPPED ON AUGUST 3, 2021.</t>
  </si>
  <si>
    <t>CARITAN</t>
  </si>
  <si>
    <t>L07_JV_052E_RAISE</t>
  </si>
  <si>
    <t>L10_GHVSPLIT_075E_STOPE PREP</t>
  </si>
  <si>
    <t>REPLACEMENT OF L08_GHVSPLIT_060E_DW . APPROVED ON 6/23/2021.TEMP STOP ON 6/25/2021, TO PRIOTRITIZE L08_GHVSPLIT_058E_RAISE.RESUMED ON JULY 5,2021 AT THE SAME TIME TRANSFER FROM BELICAN TO SHEPHERD Q1. Stopped breaking on August 2,2021. Already reached the recommended strike length and vein pinched out.</t>
  </si>
  <si>
    <t>REPLACEMENT OF L08_JVSPLIT_066E_DW. APPROVED ON JULY 5,2021. Stopped breaking on August 2. Off vein at due to perpendicular fault. Already reached the recommended elevation.</t>
  </si>
  <si>
    <t>L07_JV_067E_RAISE</t>
  </si>
  <si>
    <t>REPLACEMENT OF L09 NONE 003E XCN. APPROVED ON MAY 28, 2021.TEMP STOPPED ON JUNE 28, 2021. TO PRIORITIZE RAISE.RESUMED ON JUNE 30, 2021. STOPPED ON AUGUST 3,2021. DUE TO VEIN PINCHED OUT AND ALREADY REACHED THE RECOMMENDED STRIKE LENGTH.</t>
  </si>
  <si>
    <t xml:space="preserve">TARGETING DRILLING INTERCEPT APPROVED ON JULY 27, 2021. STOPPED ON AUGUST 3,2021 ALREADY HIT THE TARGET. </t>
  </si>
  <si>
    <t>L09_DPVE_040E_DE</t>
  </si>
  <si>
    <t>L09_DPVE_013E_DW</t>
  </si>
  <si>
    <t xml:space="preserve">REPLACEMEMENT OF L10_GHVHW_069E_DE.APPROVED ON MAY 4, 2021.stopped on June 9,2021 convert to active breaking.TRANSFER FROM MONTEBON 2 TO OLIVEROS 3 TO PRIORITIZED DEVELOPMENT HEADINGS AT GHVFW AREA ON JUNE 23,2021. STOPPED ON AUGUST 3, 2021 CONVERTED TO PULL-OUT CLEANING STOPPED BREAKING.
</t>
  </si>
  <si>
    <t>REPLACEMENT OF L10_GHVHW_061E_DW. APPROVED ON JUNE 11,2021. STOPPED ON AUGUST 3,2021 NOT RECOMMENDED TO BREAKTHROUGH.</t>
  </si>
  <si>
    <t>REPLACEMENT OF L07_JV_040E_ROBBING.APPROVED ON JULY 5, 2021.STOPPED ON AUG. 3, 2021.ALREADY MINED OUT.</t>
  </si>
  <si>
    <t>L05_JV_032E_ROBBING</t>
  </si>
  <si>
    <t>L06_JVFW_046E_ROBBING</t>
  </si>
  <si>
    <t>REPLACEMENT OF L06_CTV_037E_ROBBING, APPROVED ON JANUARY 14 2021. TEMPORARY STOPPED ON JAN 30, 2021 MANPOWER TRANSFERRED TO OTHER LEVEL. resumed on FEB 1 2021.TEMP. STOPPED ON MARCH 4, 2021 TO PRIORITIZE L05 CTV DW W/A VEIN WIDTH OF 050M @ A GRADE 14.50GPT.RESUMED ON JUNE 2, 2021. it has 4 meters projected vertical distance to btrakthrough the said stope.stopped on july 20, 2021 ALREADY BREAKTHROUGH TO OLD STOPE.</t>
  </si>
  <si>
    <t>L06_DPVE_024E_WINZE STOPE</t>
  </si>
  <si>
    <t>REPLACEMENT OF L06_JVFW_036E_DW_ISL.APPROVED ON JULY 14, 2021.STOPPED ON AUGUST 2, 2021 NOTIFIED ON AUG. 4, 2021 AT THE SAME TIME CONVERTED TO BREAKING.</t>
  </si>
  <si>
    <t>REPLACEMENT OF L06 DPVE 024E DE_ISL.APPROVED ON JUNE 23 2021.STOPPED ON AUG. 2, 2021 NOTIFIED ON AUG. 4, 2021 AT THE SAME TIME CONVERTED TO BREAKING.</t>
  </si>
  <si>
    <t>REPLACEMENT OF L07_CTV_014E_STOPE.APPROVED ON JUNE 7, 2021. TEMPORARY STOPPED ON JUNE 9, 2021 LACK OF MAN POWER NOTIFIED ON JUNE 11,2021. RESUMEDN ON JULY 13 2021 TRANSFER FROM TURRA TO CAYABAS.STOPPED ON AUGUST 3, 2021 ALREADY FINISHED.</t>
  </si>
  <si>
    <t xml:space="preserve"> REBOTE, JOSELITO 1</t>
  </si>
  <si>
    <t>REPLACEMENT OF L09 JVSPLIT 005E DW. APPROVED ON JULY 13, 2021.STOPPED ON AUG. 4, 2021 DUE TO CONSECUTIVE LOW ASSAY GRADE.</t>
  </si>
  <si>
    <t>REPLACEMENT OF L07_DPVE_042E_DW.APPROVED ON MAY 7, 2021.STOPPED ON JUNE 16,2021 RECOMMENDED FOR ACTIVE STOPE BREAKING AT THE SAME DATE.STOPPED ON JULY 29, 2021 NOTIFIED ON AUG. 4, 2021 AT THE SAME TIME CONVERT TO PULL OUT CLEANING.</t>
  </si>
  <si>
    <t>REPLACEMENT OF L07_JVFW_038E_WINZE STOPE PREP.APPROVED ON MAY 20, 2021.STOPPED ON JULY 29, 2021 NOTIFIED ON AUG. 4, 2021 AT THE SAME TIME CONVERT TO PULL OUT CLEANING.</t>
  </si>
  <si>
    <t>REPLACEMENT OF L05_DPVE_050E_DW APPROVED ON JULY 26, 2021. STOPPED ON  AUGUST 4, 2021 NOTIFY ON AUGUST 5, 2021 DUE TO PINCHED OUT VEIN.</t>
  </si>
  <si>
    <t>L09_DPVE_011E_RAISE</t>
  </si>
  <si>
    <t>REPLACEMENT OF L10_DPVE_028E_RAISE. APPROVED ON JULY 5,2021. STOPPED ON AUGUST 5, 2021 DUE TO PINCHED OUT VEIN.</t>
  </si>
  <si>
    <t>L10_NONE_069E_XCN</t>
  </si>
  <si>
    <t>REPLACEMENT OF L05_JV_032E_WINZE STOPE PREP.APPROVED ON JULY 16, 2021. STOPPED BREAKING ON JULY 26, 2021 CONVERTED TO ACTIVE PULL OUT. STOPPED ON AUGUST 2, 2021 FINISHED PULL-OUT CLEANING.</t>
  </si>
  <si>
    <t>REPLACEMENT OF L05_GHVSPLIT_032W_WINZE_STOPE. APPROVED ON JUNE 28, 2021.RENAMED FROM GHVS TO CTV ON JULY 5, 2021 THE VEIN OF WORK HEADINGS IS CATTO VEIN. STOPPED ON AUGUST 4, 2021 FINISHED ROB.</t>
  </si>
  <si>
    <t>L10_JVFW_068E_STOPE</t>
  </si>
  <si>
    <t>REPLACEMENT OF L10_JVFW_066E_RAISE. APPROVED ON JUNE 22,2021.STOPPED ON AUGUST 4, 2021 AT THE SAME TIME CONVERT TO STOPE BREAKING.</t>
  </si>
  <si>
    <t>REPLACEMENT OF L05_NONE_023W_XCN APPROVED ON JULY 27, 2021 SILL PILLAR. STOPPED ON AUGUST 3, 2021 FINISHED ROB.</t>
  </si>
  <si>
    <t>REPLACEMENT OF L04_CV_022W_DW APPROVED ON JUNE 15, 2021. STOPPED ON AUGUST 5, 2021 ALREADY REACHED THE RECOMMENDED PILLARS.</t>
  </si>
  <si>
    <t>L04_CV_023W_DE</t>
  </si>
  <si>
    <t>REPLACEMENT OF L08_GHVHW_015W_STOPE PREP.APPROVED ON JUNE 4, 2021.STOPPED BREAKING CONVERT TO PULL OUT CLEANING ON JULY 9, 2021. MINED OUT ON JULY 30 2021.</t>
  </si>
  <si>
    <t>ADDITIONAL SOURCE OF GOOD ORE. STARTED BREAKING ON JULY 20,2021, NOTIFIED ON AUGUST 3,2021.  TEMPORARY STOPPED ON AUGUST 5,2021 NEED TO DRIVE HORIZONTAL.</t>
  </si>
  <si>
    <t>Replacement of L10 _GHVFW_051E_DW to follow up raise on March 29,2021. Temp stopped on April 19, 2021.RESUMED ON JUNE 25,2021 AT THE SAME TIME RENAMED FROM L10_GHVFW_051E_RAISE TO L10_GHVFW_050E_RAISE. STOPPED ON AUGUST 5,2021 NO TEXTURAL IMPROVEMENT.</t>
  </si>
  <si>
    <t>REPLACEMENT OF L10_NONE_068E_XCN. APPROVED ON DEC 10 2020.TEMPORARY STOPPED ON MARCH 16,2021 TO FOLLOW UP RAISE.RESUMED ON JULY 22 2021 TRANSFER FROM ALMASA TO OLIVEROS. STOPPED ON AUGUST 5,2021 DUE TO LOW GRADE.</t>
  </si>
  <si>
    <t>L05_CTV_018W_ROBBING</t>
  </si>
  <si>
    <t>018W</t>
  </si>
  <si>
    <t>L05_CTV_023W_DE</t>
  </si>
  <si>
    <t>L05_JVFW_008W_DE_ISL</t>
  </si>
  <si>
    <t>L05_CTV_037W_STOPE PREP</t>
  </si>
  <si>
    <t>037W</t>
  </si>
  <si>
    <t>L09_JVSPLIT_025E_STOPE</t>
  </si>
  <si>
    <t>REPLACEMENT OF L09 JVSPLIT 025E RAISE. Approved on July 15, 2021.STOPPED ON AUGUST 6,2021 CONVERTED TO BREAKING</t>
  </si>
  <si>
    <t>L08_DPVE_016E_ROBBING</t>
  </si>
  <si>
    <t>REPLACEMENT OF L08_GHV_045E_ROBBING.APPROVED ON MAY 28, 2021.temporary stopped on june 10,2021 Fernandez 2 group has been transferred to L10 ( L10_GHV_004E_ROBBING ).resumed on june 30, 2021.MINED OUT ON AUGUST 5, 2021</t>
  </si>
  <si>
    <t>L11_GHVHW_057E_DE</t>
  </si>
  <si>
    <t>L10_DPVE_049E_RAISE</t>
  </si>
  <si>
    <t>REPLACEMENT OF L09 DPVE2 077E DW. APPROVED ON JUNE 28, 2021.STOPPPED ON AUGUST 5,2021. CUT BY FAULT</t>
  </si>
  <si>
    <t>L09_JVHW_038E_DE</t>
  </si>
  <si>
    <t>L06_JV_011E_ROBBING</t>
  </si>
  <si>
    <t>REPLACEMENT OF L06_JV_010E_DW_ISL.APPROVED ON JULY 14, 2021. MINED OUT ON AUGUST 9, 2021</t>
  </si>
  <si>
    <t>L05_JVFW_015W_WINZE STOPE PREP</t>
  </si>
  <si>
    <t>L09_JVHW_026E_RAISE</t>
  </si>
  <si>
    <t>L10_DPVE_026E_DW</t>
  </si>
  <si>
    <t>L10_GHVFW_045E_RAISE</t>
  </si>
  <si>
    <t>L09_JV_031E_DW</t>
  </si>
  <si>
    <t>L10_GHVHW_057E_DW</t>
  </si>
  <si>
    <t>L09_NONE_028E_XCS</t>
  </si>
  <si>
    <t>REPLACEMENT of L09 GHVHW 063E RAISE. Approved on June 1, 2021. STOPPED ON AUGUST 9,2021 ALREADY BREAKTHROUGH.</t>
  </si>
  <si>
    <t>L09_DPVE_064E_DE</t>
  </si>
  <si>
    <t>REPLACEMENT OF L09_NONE_084E_XCS. APPROVED ON JULY 29,2021.  STOPPED ON AUGUST 10, 2021, NO FURTHER VEIN TARGET.</t>
  </si>
  <si>
    <t>L10_DPVE_036E_STOPE PREP</t>
  </si>
  <si>
    <t>REPLACEMENT OF L10_DPVE_068E_RAISE APPROVED ON JUNE 17, 2021.Stopped on August 11,2021 convert to stope preparation.</t>
  </si>
  <si>
    <t>Agsao Shaft</t>
  </si>
  <si>
    <t>Level 8 Shaft</t>
  </si>
  <si>
    <t>OP1</t>
  </si>
  <si>
    <t>OP2</t>
  </si>
  <si>
    <t>12E Shaft</t>
  </si>
  <si>
    <t>48E Shaft</t>
  </si>
  <si>
    <t>29E Shaft</t>
  </si>
  <si>
    <t>43E Shaft</t>
  </si>
  <si>
    <t>35E Shaft</t>
  </si>
  <si>
    <t>L07_GHVSPLIT_042E_DW</t>
  </si>
  <si>
    <t>REPLACEMENT OF L09_GHVSPLIT_067E_DE APPROVED ON AUGUST 10, 2021. TEMPORARY STOPPED ON AUGUST 11, 2021 TO PRIRITIZE L09_DPVE2_073E_DW.</t>
  </si>
  <si>
    <t>L09_DPVE2_073E_DW</t>
  </si>
  <si>
    <t>REPLACEMENT OF L08_GHV_027E_WINZE STOPE PREP APPROVED ON APRIL 13, 2021.CONVERT TO BREAKING ON APRIL 13, 2021.TEMP.STOPPED ON APRIL 16, 2021 DUE TO LOW GRADE .RESUMED ON APRIL 17, 2021. STOPPED ON AUGUST 11, 2021 AT THE SAME TIME CONVERT TO PULL-OUT CLEANING, ALREADY FINISHED BREAKTHROUGH.</t>
  </si>
  <si>
    <t>L10_DPVE_030E_RAISE</t>
  </si>
  <si>
    <t>L05_DPVE_025E_STOPE</t>
  </si>
  <si>
    <t>REPLACEMENT OF L05 DPVE 028E STOPE. APPROVED ON JULY 28, 2021. STOPPED ON AUGUST 12, 2021 CONVERT TO STOPE BREAKING.</t>
  </si>
  <si>
    <t>L09_NONE_054E_XCN</t>
  </si>
  <si>
    <t>REPLACEMENT OF L04_CV_025W_RAISE APPROVED ON AUGUST 5, 2021. STOPPED ON AUGUST 12, 2021 WORKHEADING HAS ALREADY BREAKTHROUGH.</t>
  </si>
  <si>
    <t>REPLACEMENT OF L05_CTV_015E_WINZE STOPE.APPROVED ON JUNE 2, 2021. STOPPED ON AUGUST 12, 2021, ALREADY PROCEED TO INTERMEDIATE SUB-LEVEL AS L05_JVW_008W_DE_ISL.</t>
  </si>
  <si>
    <t>TO TARGET JVSPLIT DRILLHOLE INTERCEPT BVW. 21.06 gpt. APPROVED ON JULY 23 2021. STOPPED ON AUGUST 12, 2021.</t>
  </si>
  <si>
    <t>REPLACEMENT OF CTV_006W_STOPE PREP.APPROVED ON APRIL 21, 2021. CONVERTED TO PULL OUT CLEANING ON JULY 11, 2021, MEMO RECEIVED ON JULY 10, STOPE TRAVERSE FINSIHED ON THE SAME DAY. STOPPED ON AUGUST 12, 2021.</t>
  </si>
  <si>
    <t>REPLACEMENT OF L09_GHVHW_076E_RAISE.APPROVED ON JULY 23, 2021. Temp.stopped on Aug 13, 2021 to prioritize vertical drive.</t>
  </si>
  <si>
    <t>REPLACEMENT OF L09_DPVE2_022E_DE. APPROVED ON JULY 27,2021. Stopped on Aug 13, 2021 as per LM.</t>
  </si>
  <si>
    <t>REPLACEMENT OF L08_GHV_029W_STOPE PREP APPROVED ON APRIL 13, 2021. HAS 1OM REMAINING BAL. TO BREAKTROUGH L 7 EVAL. ON AUGUST 11, 2021. STOPPED ON AUGUST 13, 2021 CONVERT TO PULL OUT CLEANING.</t>
  </si>
  <si>
    <t>L10_GHVHW_056E_RAISE</t>
  </si>
  <si>
    <t>L08_GHV_028W_STOPE</t>
  </si>
  <si>
    <t>L10_JVSPLIT_075E_DE</t>
  </si>
  <si>
    <t>REPLACEMENT OF L09_DPVE_012E_RAISE.APRROVED ON JULY 19, 2021.STOPPED ON AUGUST 13, 2021, ALREADY BREAKTHROUGH TO AN OLD INCLINED RAISE.</t>
  </si>
  <si>
    <t>REPLACEMENT OF L08_GHV_060E_ROBBING .APPROVED ON MAY 26 2020. TRANSFERRED FROM BENONGUIL TO AGLOLO ON JUNE 1 2020.STOPPED ON JULY 2, 2020 ALREADY REACHED THE RECOMMENDED STRIKE LENGTH/CROWN PILLAR. Resumed on July 10, 2020. Temp stopped on July 14, 2020 to prioritize on vein drive. RESUMED ON AUGUST 5,2021 AT THE SAME TIME TRANSFER FROM AGLOLO 1 TO SHEPHERD AJ 3.STOPPED ON 8/14/2021. CONVERTED   TO DRIFT</t>
  </si>
  <si>
    <t>Final List</t>
  </si>
  <si>
    <t>REPLACEMENT OF L08_GHV_026E_WINZE STOPE PREP APPROVED ON JULY 13, 2021. REPORTED LOW DIPPING ON JULY 20,2021. CONVERT TO PULL OUT ON AUGUST 9, 2021, ALREADY FINISHED CONDUCTING FILLRAISE AND BREAKTHROUGH.</t>
  </si>
  <si>
    <t>REPLACEMENT OF L06_JVSPLIT_033E_DE APPROVED ON JULY 7, 2021 STARTED BLASTING JULY 6, 2021. STOPPED ON AUGUST 15, 2021 DUE TO LOW GRADE.</t>
  </si>
  <si>
    <t>PMC WORKERS</t>
  </si>
  <si>
    <t>L08_GHV_025E_WINZE STOPE PREP</t>
  </si>
  <si>
    <t>TEMPORARY REPLACEMENT OF L08_JVSPLIT 061E STOPE. ACTIVE 4/21/2021. Temporary stopped on May 5,2021 to prioritized waste pass entry.RESUME ON 6/18/2021.  STOPPED ON AUGUST 16, 2021 ALREADY REACHED THE RECOMMENDED STRIKE LENGTH/CROW PILLAR.</t>
  </si>
  <si>
    <t>REPLACEMENT OF L08_GHV_026E_WINZE STOPE PREP APPROVED ON JULY 13, 2021. REPORTED LOW DIPPING ON JULY 20,2021. CONVERT TO FULL OUT ON AUGUST 9, 2021. STOPPED ON AUGUST 16, 2021 MINED OUT.</t>
  </si>
  <si>
    <t>L04_JV_030E_ROBBING</t>
  </si>
  <si>
    <t xml:space="preserve"> REPLACEMENT OF L04_JV_030E_WINZE APPROVED ON JULY 1,2021. STOPPED ON AUGUST 17, 2021.</t>
  </si>
  <si>
    <t>L08_JVSPLIT_067E_STOPE PREP</t>
  </si>
  <si>
    <t>SHEPHERD AJ1</t>
  </si>
  <si>
    <t>REPLACEMENT OF L09_DPVE2_072E_RAISE. APPROVED ON JULY 9,2021.  STOPPED ON AUGUST 17, 2021.</t>
  </si>
  <si>
    <t>L05_CTV_023W_WINZE</t>
  </si>
  <si>
    <t>L05_JVSPLIT_036E_DW</t>
  </si>
  <si>
    <t>L05_DPVE_035E_DE</t>
  </si>
  <si>
    <t>REPLACEMENT OF L05_JV_027E_RAISE. APPROVED ON MAY 24,2021.STOPPED ON JUNE 29,2021 AT THE SAME TIME CONVERTED TO STOPE BREAKING. STOPPED ON AUGUST 18, 2021 CONVERTED TO PULL OUT.</t>
  </si>
  <si>
    <t>L05_JVFW_008W_DW_ISL</t>
  </si>
  <si>
    <t>ALTERNATE SUMP APPROVED ON MAY 8,2021. STOPPED ON AUGUST 18,2021 AS PER ENGR. SUMAYLO</t>
  </si>
  <si>
    <t>NEW SUMP TO TRANSFER L05_NONE_001E_SUMP. APPROVED ON MAY 24,2021.  STOPPED ON AUG. 2, 2021 AS PER WBO.</t>
  </si>
  <si>
    <t>replacement of L07 CTV 012E DE. APPROVED ON JULY 2 2021. STOPPED ON AUGUST 12, 2021.</t>
  </si>
  <si>
    <t>L07_JV_008W_RAISE</t>
  </si>
  <si>
    <t>L06_GHV_025E_DE_ISL</t>
  </si>
  <si>
    <t>REPLACEMENT OF L05_DPVE_047E_STOPE.APPROVED ON JULY 12, 2021. THIS WORKHEADING AS STOPE BRK. IS BELOW THE OLD INCLINED RAISE EVAL. ON AUGUST 12, 2021.STOPPED ON AUGUST 17,2021 UNSAFE CONDITION</t>
  </si>
  <si>
    <t>REPLACEMENT OF L08_GHVSPLIT_058E_RAISE APPROVED ON JULY 26, 2021.STOPPEDC ON 8/18/21 DUE TOPARALLEL FAULT.</t>
  </si>
  <si>
    <t>REPLACEMENT OF L04_GHVFW_018E_DE_ISL APPROVED ON JULY 1,2021.STOPPED ON 8/18/21 CONVERTED TO STOPE BREAKING</t>
  </si>
  <si>
    <t>L04_GHVFW_019E_WINZE STOPE</t>
  </si>
  <si>
    <t>REPLACEMENT OF L04_GHVSPLIT_027W_STOPE PREP.APPROVED ON MAY 4, 2021.recommended to continue breaking only 6m strike length form east side manway and leave the remaining length as pillar.STOPPED BREAKING ON 18/8/21 CONVERTED TO PULL-OU AT THE SAME DATE</t>
  </si>
  <si>
    <t>L07_JV_040E_WINZE</t>
  </si>
  <si>
    <t>L04_JV_030E_WINZE STOPE PREP</t>
  </si>
  <si>
    <t>L07_DPVE_026E_DE_ISL</t>
  </si>
  <si>
    <t>REPLACEMENT OF L07 JVHW 068E ROBBING.APPROVED JUNE 7, 2021.STOPPED ON AUG 19 2021.CONVERTED TO INTERMEDIATE SUBLEVEL</t>
  </si>
  <si>
    <t>REPLACEMENT OF L07_GHV_028W_RAISE. APPROVED ON JULY 5 2021. RENAMED FROM L07_GHV_026W_RAISE TO L07_GHV_028W_RAISE  ON JULY 9 2021 TO AVOID MISCHARGING. RENAMED FROM L07_GHV_028W_RAISE ON JULY 13 2021. TE,PORARY STOPPED ON AUGUST 16, 2021. RESUME ON AUGUST 18, 2021.STOPPED ON AUG 18 2021. LOWGRADE</t>
  </si>
  <si>
    <t>REPLACEMENT OF L07 JVSPLIT 027E DW. APPROVED ON JUNE 17 2021. TEMP. STOPPED ON JUNE 28, 2021 RO PRIORITIZED DRIFT. RESUMED ON JULY 24, 2021.STOPPED ON AUG 18 2021.ALREADY FINISHED</t>
  </si>
  <si>
    <t>L08_JVSPLIT_067E_STOPE</t>
  </si>
  <si>
    <t>REPLACEMENT OF L06_CV_004W_ROB.APPRIOVED ON JULY 14, 2021. STOPPED ON AUGUST 19, 2021, LOW QA/QC RESULTS</t>
  </si>
  <si>
    <t>REPLACEMENT OF L07_JVSPLIT_001W_ROBBING APPROVED ON AUGUST 3, 2021.STOPPED ON AUG 19 2021.VEIN PINCHED OUT</t>
  </si>
  <si>
    <t>L08_JVSPLIT_072E_DE</t>
  </si>
  <si>
    <t>L08_DPVE_018E_ROBBING</t>
  </si>
  <si>
    <t>FERNADEZ 2</t>
  </si>
  <si>
    <t>REPLACEMENT OF L06_GHV_025E_WINZE APPROVED ON AUGUST 18, 2021.TEMPORARY STOPPED ON 8/19/21</t>
  </si>
  <si>
    <t>L05_DPVE_043E_RAISE</t>
  </si>
  <si>
    <t>L05_NONE_035E_XCS</t>
  </si>
  <si>
    <t>APPROVED ON FEB 11 2021, REP OFL09_GHV_061_DE, BREAKTHROUGH ADDITIONAL VERTICAL DEVELOPMENT.stopped on March 11,2021 due to consecutive low assay grade as per discussion on the coordination meeting.</t>
  </si>
  <si>
    <t>L06_CTV_004W_DW</t>
  </si>
  <si>
    <t>L06_EDV_003W_WINZE</t>
  </si>
  <si>
    <t>L06_DPVE_011E_DW</t>
  </si>
  <si>
    <t>REPLACEMENT OF L06_JVSPLIT_018E_RAISE APPROVED ON JULY 24, 2021. STOPPED ON AUGUST 15, 2021 ALREADY CONNECTED TO THE OPPOSITE MAINLINE. RESUME ON AUGUST 16, 2021 TO CONTINUE REGRADING ACTIVITY.STOPPED ON AUGUST 20, 2021, FINISHED REGRADING</t>
  </si>
  <si>
    <t>ADDITIONAL HORIZONTAL DEVELOPMENT. APPROVED ON AUG. 18, 2021. TEMPORARY STOPPED ON 8/20/2021</t>
  </si>
  <si>
    <t>L08_JVSPLIT_014W_RAISE</t>
  </si>
  <si>
    <t>L06_CTV_004W_WINZE</t>
  </si>
  <si>
    <t>L05_DPVE_034E_WINZE</t>
  </si>
  <si>
    <t xml:space="preserve">ADDITIONAL VERTICAL DEVELOPMENT. APPROVED ON SEPT. 23 2020. STOPPED ON FEB 12 2021.MADE A BREAKTHROUGH.resumed on Feb 18, 2021 to do inclined raise. Temporarily stopped on March 25,2021 for wireframe.resumed on July 7,2021 to drive normal raise. STOPPED ON AUGUST 12, 2021.resume on 18/8/21 as replacement of L08_GVHW_065E_STOPE.STOPPED ON 8/21/2021 FOR FURTHER EVALUATION ON THE SAFETY. </t>
  </si>
  <si>
    <t>L09_DPVE2_024E_STOPE PREP</t>
  </si>
  <si>
    <t>L09_DPVE2_060E_STOPE PREP</t>
  </si>
  <si>
    <t>REPLACEMENT OF L05 DPVE 028E STOPE. APPROVED ON JULY 28, 2021. CONVERT TO STOPE BREAKING ON AUGUST 12, 2021. STOPPED ON AUGUST 21, 2021 DUE TO VERY UNSAFE CONDITION, GEOTECH EVALUATES THE STOPE.</t>
  </si>
  <si>
    <t>REPLACEMENT OF L06_JVFW_036E_DW_ISL.APPROVED ON JULY 14, 2021. STOPPED ON AUGUST 22, 2021 CONVERTED TO STOPE BREAKING.</t>
  </si>
  <si>
    <t>L06_JVFW_037E_WINZE STOPE</t>
  </si>
  <si>
    <t>L08_NONE_079E_XCN</t>
  </si>
  <si>
    <t xml:space="preserve">REPLACEMENT OF L06_JVFW_009W_DE APPROVED ON AUGUST 9, 2021. STOPPED ON AUGUST 21, 2021 OFFVEIN DUE TO PERPENDICULAR FAULT. </t>
  </si>
  <si>
    <t>BANEZ 1</t>
  </si>
  <si>
    <t>L07_JVHW_069E_ROBBING</t>
  </si>
  <si>
    <t>L06_JVSPLIT_030E_DW</t>
  </si>
  <si>
    <t>REPLACEMENT OF L06_DPVE_015E_STOPE PREP.APPROVED ON JUNE 29, 2021. STOPPED ON AUGUST 23, 2021 DUE TO LOW GRADE CONVERT TO PULL OUT.</t>
  </si>
  <si>
    <t>REPLACEMENT OF L09 DPVE 087E DE.APPROVED ON JULY 14, 2021.STOPPED ON AUG. 24, 2021 CUT BY FAULT.</t>
  </si>
  <si>
    <t xml:space="preserve"> REPLACEMENT OF L10_GHVFW_069E_DE. APPROVED ON AUGUST 5,2021.STOPPED ON AUGUST 24,2021. CONVERT TO ON VEIN</t>
  </si>
  <si>
    <t>REPLACEMENT OF  L08_JVSPLIT_066E_DW APPROVED ON 17/8/21. TEMP STOP ON 8/21/2021  TO FURTHER EVLAUTE THE STOPE DESIGN IF CONVERTED TO ROBBING DIRECTLY</t>
  </si>
  <si>
    <t>L08_JV_017W_DW</t>
  </si>
  <si>
    <t>017W</t>
  </si>
  <si>
    <t>L07_JVFW_038E_DE_ISL</t>
  </si>
  <si>
    <t>L07_DPVE_041E_DW_ISL</t>
  </si>
  <si>
    <t>REPLACEMENT OF L07_JVFW_038E_WINZE STOPE PREP.APPROVED ON MAY 20, 2021.STOPPED ON JULY 29, 2021 NOTIFIED ON AUG. 4, 2021 AT THE SAME TIME CONVERT TO PULL OUT CLEANING. STOPPED ON AUGUST 23 2021 ALREADY MINE OUT.</t>
  </si>
  <si>
    <t>REPLACEMENT OF L07_JVSPLIT_032E-WINZE STOPE.APPROVED ON APRIL 16, 2021.STOPPED ON MAY 19, 2021 ALREADY FINISHED (LOC).RESUMED AND AT THE SAME TIME RENAMED FROM 30E TO 31E.APPROVED ON JULY 21, 2021.STOPPED ON JULY 22, 2021.DUE TO INSUFFICIENT SKILL/KNOWLEDGE TO OPERATE THE HEADINGS.RESUMED ON JULY 23, 2021. STOPPED ON AUGUST 23 2021 ALREADY MINE OUT.</t>
  </si>
  <si>
    <t>REPLACEMENT OF L07_DPVE_042E_DW.APPROVED ON MAY 7, 2021.STOPPED ON JUNE 16,2021 RECOMMENDED FOR ACTIVE STOPE BREAKING AT THE SAME DATE.STOPPED ON JULY 29, 2021 NOTIFIED ON AUG. 4, 2021 AT THE SAME TIME CONVERT TO PULL OUT CLEANING. STOPPED ON AUGUST 23 2021 ALREADY MINE OUT.</t>
  </si>
  <si>
    <t>REPLACEMENT OF L07_JVHW 075E DE. APPROVED ON NOV 13 2020 FINISHED PREP ON DEC 18 020</t>
  </si>
  <si>
    <t>REPLACEMENT OF L10 GHVHW 060E DW. APPROVED ON APRIL 19, 2021.TRANSFER FROM LARGO 2 TO OLIVEROS 4 DUE TO LOW PERFORMANCE ON JUNE 3,2021.RECOMMENDED FOR ACTIVE BREAKING STOPE ON JUNE 9, 2021.temporary STOPPED ON JULY 24, 2021. PERMANENTLY STOPPED BREAKING DUE TO VEIN PINCHED OUT ALREADY CONDUCTED IPR BUT POOR GRADE AT THE SAME TIME CONVERT TO PULL-OUT CLEANING ON AUGUST 2,2021. STOPPED ON AUGUST 25, 2021 DUE TO MINED OUT.</t>
  </si>
  <si>
    <t>REPLACEMENT OF L05_NONE_036E_XCN. APPROVED ON AUG. 18, 2021. STOPPED ON AUGUST 25, 2021. DUE TO PINCHED OUT VEIN.</t>
  </si>
  <si>
    <t>L05_JVSPLIT_036E_DE</t>
  </si>
  <si>
    <t>ADDITIONAL SOURCE OF GOOD ORE.APPOROVED ON JUNE 15, 2021.STOPPED ON JULY 16, 2021.AT THE SAME TIME CONVERT TO BREAKING.</t>
  </si>
  <si>
    <t>REPLACEMENT OF L09_DPVE2_026E_RAISE APPROVED ON AUGUST 1, 2021. Stopped on Aug 23, 2021 due to vein pinched out.</t>
  </si>
  <si>
    <t xml:space="preserve"> REPLACEMENT OF L09_GHVSPLIT_001W_DW. APPROVED ON AUGUST 7,2021. Stopped on Aug 25, 2021 due to vein pinched ouT.</t>
  </si>
  <si>
    <t>L08_JVSPLIT_068E_DW</t>
  </si>
  <si>
    <t>REPLACEMENT OF L08_NONE_068E_XCS. APPROVED ON 8/14/2021.STOPPED ON 8/24/21 TO PROCEED WEST SIDE.</t>
  </si>
  <si>
    <t>L10_GHVFW_052E_RAISE</t>
  </si>
  <si>
    <t>ADDITIONAL VERTICAL DEVELOPMENT APPROVED ON JULY 13, 2021.STOPPED ON AUGUST 26,2021 ALREADY REACHED THE PROJECTED STRIKE LENGTH.</t>
  </si>
  <si>
    <t>REPLACEMENT OF L10_DPVE_078E_DW APPROVED ON JULY 7, 2021. STOPPED ON AUGUST 26,2021 ALREADY REACHED THE PROJECTED STRIKE LENGTH.</t>
  </si>
  <si>
    <t>OLIVEROS 5</t>
  </si>
  <si>
    <t>REPLACEMENT OF L10_GHVSPLIT_056E_RAISE.APPROVED ON JULY 20, 2021.STOPPED ON AUGUST 26,2021 CONVERT TO STOPE PREPARATION.</t>
  </si>
  <si>
    <t>REPLACEMENT OF L10_GHVFW_050E_RAISE APPROVED ON AUGUST 9, 2021.STOPPED ON AUGUST 26,2021 CONVERT TO STOPE PREPARATION.</t>
  </si>
  <si>
    <t>L10_GHVSPLIT_063E_STOPE PREP</t>
  </si>
  <si>
    <t>L10_GHVFW_050E_STOPE PREP</t>
  </si>
  <si>
    <t>L10_DPVE_067E_STOPE PREP</t>
  </si>
  <si>
    <t>REPLACEMENT OF L08_GHV_8E_DW APPROVED ON JULY 12,2021.STOPPED ON AUG. 22, 2021 ALREADY REACHED THE RECOMMENDED ELEVATION FOR BREAKING.</t>
  </si>
  <si>
    <t>L07_JVHW_038E_DE_ISL</t>
  </si>
  <si>
    <t>L05_JVHW_008W_ROBBING</t>
  </si>
  <si>
    <t>REPLACEMENT OF L09_JVHW _027E_DW APPROVED ON AUGUST 7,2021. RENAMED FROM L09_NONE_019E_XCN TO L09_NONE_027E_XCN ON AUGUST 9,2021. RENAMED FROM L09_NONE_027E_XCS TO L09_NONE_028E_XCS ON AUGUST 10,2021 TO AVOID MISCHARGING TO L09_GHVHW_027E_ROBBING. STOPPED ON AUG 26, 2021 ALREADY REACHED THE TARGET VEIN, TO BE CONVERTED TO ON VEIN DRIVE.</t>
  </si>
  <si>
    <t>L09_JVHW_028E_DW</t>
  </si>
  <si>
    <t>Target on-vein drive East and West and for ventilation purposes. Approved on July 12, 2021. STOPPED ON AUGUST 16, 2021.</t>
  </si>
  <si>
    <t>L08_GHV_006E_DE</t>
  </si>
  <si>
    <t>006E</t>
  </si>
  <si>
    <t>L09_DPVE2_056E_RAISE</t>
  </si>
  <si>
    <t>L09_JVSPLIT_070E_WINZE</t>
  </si>
  <si>
    <t>ADDITIONAL HORIZONTAL DEVELOPMENT. APPROVED ON MARCH 10 2020. Temporary stopped on march 11 2020 prioritized the crosscut south first. Resumed on April 21,2020. Temporary stopped on July 23,2020 to prioritized crosscut south.  Resumed on April 13,2021.STOPPED ON MAY 1,2021 CONVERT TO ON VEIN.  RESUMED ON AUGUST 9,2021. TEMPORARY STOPPED ON AUGUST 29,2021 EXCEED THE PLANNED ADVANCE.</t>
  </si>
  <si>
    <t>L10_JV_051E_RAISE</t>
  </si>
  <si>
    <t>L08_JVSPLIT_064E_RAISE</t>
  </si>
  <si>
    <t>REPLACEMENT OF L10_DPVE_057E_DE. APPROVED ON JULY 29,2021. TEMP. STOPPED ON AUGUST 16, 2021 DUE TO COVID -19 CASES.RESUMED ON AUGUST 26,2021 AT THE SAME TIME TRANSFER FROM COMAINGKING 1 TO OLIVEROS 1. STOPPED ON AUGUST 30,2021.</t>
  </si>
  <si>
    <t>REPLACEMNT OF L04_GHVSPLIT_026W_RAISE. APPROVED ON JUNE 15, 2021.STOPPED ON STOPE PREP ON JULY 2,2021 CONVERT TO ACTIVE BREAKING NOTIFIED ON JULY 6, 2021.STOPPED ON JULY 7, 2021 AT THE SAME TIME CONVERTED TO STOPE BREAKING. LOW DIPPING REPORTED ON JULY 20, 2021. STOPPED ON AUGUST 30, 2021 RECOMMENDED FOR ACTIVE STOPE BREAKING.</t>
  </si>
  <si>
    <t>L04_CV_025W_STOPE PREP</t>
  </si>
  <si>
    <t>L07_JVFW_049E_RAISE</t>
  </si>
  <si>
    <t>L10_DPVE_020E_RAISE</t>
  </si>
  <si>
    <t>REPLACEMENT OF L06 CV 002W STOPE PREP. APPROVED ON APRIL 25, 2019. STOPPED BREAKING AND WAS CONVERTED TO PULL OUT ON JUNE 17, 2019. STOPPED ON JULY 15, 2019 DUE TO UNSAFE CONDITION AS PER LM.RESUME PULL OUT ON AUGUST 20, 2021. AT THE SAME TIME TRANSFERRED FROM BADBADON TO QUIJANO.TEMPORARY STOP ON AUGUST 20, 2021 BY LEVEL MANAGER, MANPOWER ISSUE. RESUME ON AUGUST 23, 2021, at the same time transfer from QUIJANO to BAÑEZ 5. Temporary stopped on Aug 30, 2021, for rehab.</t>
  </si>
  <si>
    <t>L06_JV_019E_RAISE</t>
  </si>
  <si>
    <t>L09_JV_048E_DW</t>
  </si>
  <si>
    <t>BALANGHIG</t>
  </si>
  <si>
    <t>L09_JV_029E_RAISE</t>
  </si>
  <si>
    <t>REPLACEMENT OF L05_JV_032E_WINZE STOPE. APPROVED ON AUGUST 4, 2021. SILL. STOPPED ON AUGUST 31, 2021.</t>
  </si>
  <si>
    <t>L09_JVSPLIT_074E_STOPE PREP</t>
  </si>
  <si>
    <t>REPLACEMENT OF L09_GHVSPLIT_014E_RAISE. APPROVED ON AUGUST 5,2021.Stopped on Aug 26, 2021. Vein pinched out. Convert to stope prep. STOPPED ON AUGUST 31,2021 CONVERT TO STOPE PREPARATION.</t>
  </si>
  <si>
    <t xml:space="preserve">REPLACEMENT OF L09_DPVE_016E_DW APPROVED ON AUGUST 3, 2021. TEMPORARY STOPPED ON AUGUST 5,2021 TO DO FOLLOW UP RAISE.RESUMED ON AUG. 13, 2021. STOPPED ON AUG 30, 2021. REACHED RECOMMENDED STRIKE LENGTH.
</t>
  </si>
  <si>
    <t>REPLACEMENT OF L09_JVHW_030E_DW APPROVED JULY 24. 2021. RENAMED FROM L09_JVHW_031E_DW TO L09_JV_031E_DW ON AUGUST 9, 2021. STOPPED ON AUG 29, 2021, ALREADY BREAKTHROUGH TO AN OLD MAINLINE.</t>
  </si>
  <si>
    <t>L09_DPVE_008E_DE</t>
  </si>
  <si>
    <t>REPLACEMENT OF L06_JVSPLIT_018E_DE ,APPROVED ON AUGUST 20, 2021.stopped on 8/31/21 vein piched out.</t>
  </si>
  <si>
    <t>L05_CTV_012W_ROBBING</t>
  </si>
  <si>
    <t>REPLACEMENT OF L05 JVFW 008W WINZE. APPROVED ON AUGUST 6, 2021. STOPPED ON AUGUST 26, 2021.</t>
  </si>
  <si>
    <t>L07_JV_027E_ROBBING</t>
  </si>
  <si>
    <t>REPLACEMENT OF L09_JVHW_029E_RAISE APPROVED ON AUGUST 3, 2021.STOPPED ON AUG 31, DUE TO LOW GRADE.</t>
  </si>
  <si>
    <t>L09_JV_032E_DW</t>
  </si>
  <si>
    <t>Replacement of L05_DPVE_045E_RAISE. Approved on May 2, 2021.STOPPED ON JUNE 11,2021 CONVERT TO STOPE PREP. RESUME ON AUGUST 17, 2021 STOPPED ON AUGUST 20, 2021.</t>
  </si>
  <si>
    <t>REPLACEMENT OF L08_JVHW_065E_STOPE PREP.APPROVED ON JUNE 5, 2021.temporary stopped breaking on July 7,2021 to drive normal raise due to single entry. RESUME ON AUGUST 12, 2021. TEMP. STOPPED ON AUGUST 18, 2021 DUE TO SAFETY CONCERN.RESUME ON 8/24/2021 . TO RECOVER REMAINING MUCK. STOPPED ON AUGUST 20, 2021. CONVERT TO PULL OUT.</t>
  </si>
  <si>
    <t>REPLACEMENT OF L06_JVSPLIT_034E_RAISE AND L06_JV_036E_DE. APPROXIMATELY 3M STRIKE LENGTH SWITCH FOR WINZE APPROVED ON AUGUST 20, 2021 FOR WIDENING. STOPPED ON AUGUST 31, 2021. MADE A BREAKTHROUGH.</t>
  </si>
  <si>
    <t>REPLACEMENT OF CTV_006W_STOPE PREP.APPROVED ON APRIL 21, 2021. CONVERTED TO PULL OUT CLEANING ON JULY 11, 2021, MEMO RECEIVED ON JULY 10, STOPE TRAVERSE FINSIHED ON THE SAME DAY. MINED OUT AUGUST 10, 2021. TEMPORARY STOPPED ON AUGUST 31, 2021.</t>
  </si>
  <si>
    <t xml:space="preserve">replacement of L05_JV_032E_ROBBING. sill. Approved on August 31, 2021. Temp. stopped on Sept. 1, 2021 to prioritized cleaning on the area. </t>
  </si>
  <si>
    <t>REPLACEMENT OF  L07_CTV_011E_STOPE_PREP APPROVED ON JULY 30, 2021. STOPPED ON SEPTEMBER 1, 2021 DUE TO UNSAFE CONDITION.</t>
  </si>
  <si>
    <t>REPLACEMENT OF L10_DPVE_062E_STOPE PREP.APPROVED ON MAY 13, 2021.recommended to drive an internal probe raise to explore its up dip vein extension.RECOMMENDED TO CONTINUE THE STOPE BACK BREAKING.STOPPED BREAKING ON SEPTEMBER 2,2021 AT THE SAME TIME CONVERTED TO PULL-OUR CLEANING</t>
  </si>
  <si>
    <t>ADDTIONAL SOURCE OF GOOD ORE. APPROVED ON MAY  7 2021.STOPPED ON SEPTEMBER 1,2021 PINCHED OUT VEIN.</t>
  </si>
  <si>
    <t>REPLACMENT OF L07_JVFW_049E ROBBING. APPROVED ON AUG 30 2021.STOPPED ON SEPTEMBER 1,2021 PINCHED OUT VEIN.</t>
  </si>
  <si>
    <t>REPLACEMENT OF L07 JVFW 038E DW. APPROVED ON APRIL 15 2021.TEMPORARILY STOPPED ON APRIL 26 2021.CONVERTED TO STOPEPREP.RESUMED ON AUG. 24, 2021.STOPPED ON SEPTEMBER 1,2021 PINCHED OUT VEIN</t>
  </si>
  <si>
    <t>REPLACEMENT OF L08_NONE_035E_CHAMBER. APPROVED ON JULY 5,2021.STOPPED ON SEPTEMBER 2,2021 FINISHED ROBBING</t>
  </si>
  <si>
    <t>REPLACEMENT OF L08 GHV 035W DE.APPROVED ON JULY 20 2021.STOPPED ON SEPTEMBER 2,2021 ALREADY REACHED THE RECOMMENDED ELEVATION FOR BREAKING.</t>
  </si>
  <si>
    <t>ADDITIONAL VERTICAL DEVELOPMENT. APPROVED ON 6/2/2021.STARTED BREAKING ON 6/9/2021 HEADROOM.STOPPED ON SEPTEMBER 2,2021 ALREADY REACHED THE RECOMMENDED ELEVATION</t>
  </si>
  <si>
    <t>L07_JV_044E_ WINZE</t>
  </si>
  <si>
    <t>REPLACEMENT OF L06_GHVSPLIT_034W_ROBBING . APPROVED ON MARCH 31, 2021. TO BE USED AS FILLWINZE.stopped on august 13, 2021. Reached recommended strike length.RESUME ON 8/19/21.STOPPED ON AUGUST 31,2021 FINISHED HEADING.</t>
  </si>
  <si>
    <t>REPLACEMENT OF L08_GHV_027E_WINZE STOPE PREP APPROVED ON APRIL 13, 2021.CONVERT TO BREAKING ON APRIL 13, 2021.TEMP.STOPPED ON APRIL 16, 2021 DUE TO LOW GRADE .RESUMED ON APRIL 17, 2021. CONVERT TO PULL OUT ON AUGUST 11, 2021.STOPPED ON SEPTEMBER 2,2021 FINISHED HEADING</t>
  </si>
  <si>
    <t>L08_GHV_021E_DE_ISL</t>
  </si>
  <si>
    <t>REPLACEMENT OF L07_JV_050E_WINZE.APPROVED ON JULY 21, 2021.TEMPORARY STOPPED ON SEPT.2,2021 INSUFFICIENT MAN POWER.</t>
  </si>
  <si>
    <t>L06_JVSPLIT_012E_DE</t>
  </si>
  <si>
    <t>L06_JV_013E_ROBBING</t>
  </si>
  <si>
    <t>REPLACEMENT OF L07_JV_044E_ROBBING. APPROVED ON AUGUST 3 2021.STOPPED ON SEPT.3,2021 PINCHED OUT VEIN</t>
  </si>
  <si>
    <t>REPLACEMENT OF L09_DPVE2_086E_DW. APPROVED ON AUGUST 24,2021.STOPPED ON SEPT 3, 2021. VEIN PINCHED OUT.</t>
  </si>
  <si>
    <t>L09_DPVE2_072E_STOPE PREP</t>
  </si>
  <si>
    <t>REPLACEMENT OF L09_GHV_062E_STIOPE PREP APPROVED ON MARCH 13, 2021.TEMP. STOPPED ON MARCH 23, 2021 DUE TO LACK OF MANPOWER AS PER OPS. RESUMED ON MARCH 24, 2021 AND TRANSFERRED FROM CANOY TO SHEPHERD Z.TEMP.STOPPED BREAKING ON SEPT 3, 2021 DUE TO UNSAFE CONDITION FILL RAISE NOT COMPLETED, CONVERT TO STOPE PULL-OUT, OPS TO PROVIDE MEMO.</t>
  </si>
  <si>
    <t>REPLACEMENT OF L09_DPVE_084E_DW APPROVED ON AUGUST 12,2021.STOPPED ON SEPT 3, 2021, ALREADY AN ON-VEIN DRIVE.</t>
  </si>
  <si>
    <t>L09_GHVFW_054E_DW</t>
  </si>
  <si>
    <t>REPLACEMENT OF L09_GHVFW_041E_RAISE. APPROVED ON DECEMBER 11, 2019.  Stopped on May 30, 2020 due to low grade, stop pull out of broken material; waste.RESUMED ON AUGUST 4,2021 AT THE SAME TIME TRANSFER FROM BALANGHIG 4 TO REBOTE, JOSELITO 1.STOPPED ON SEPT 1, 2021 VEIN PINCHED OUT.</t>
  </si>
  <si>
    <t>L09_GHVSPLIT_010E_RAISE</t>
  </si>
  <si>
    <t>REPLACEMENT OF L06_CTV_007W_RAISE.APPROVED ON APRIL 24, 2021. TEMPORARY STOPPED BY PLANNING ON MAY 6, 2021. FOR FURTHER EVALUATION ON SAFETY.RESUMED ON JUNE 29, 2021. CONVERTED TO BREAKING ON JULY 21, 2021.STOPPED BREAKING ON SEPT.3, 2021 AT THE SAME TINE CONVERTED TO PULL-OUT CLEANING</t>
  </si>
  <si>
    <t>REPLACEMENT OF L06_GHV_026E_STOPE.APPROVED ON JUNE 4, 2021.STOPPED BREAKING ON SEPT 3,2021 AT THE SAME TIME CONVERTED TO POLL-OUT CLEANING</t>
  </si>
  <si>
    <t>L08_JV_074E_WINZE</t>
  </si>
  <si>
    <t>L05_NONE_033E_XCN</t>
  </si>
  <si>
    <t>L05_JV_031E_ROBBING</t>
  </si>
  <si>
    <t>CAPUYAN 1</t>
  </si>
  <si>
    <t>DUHIG, R1</t>
  </si>
  <si>
    <t>DUHIG, R2</t>
  </si>
  <si>
    <t>DUHIG, P5</t>
  </si>
  <si>
    <t>DUHIG, P4</t>
  </si>
  <si>
    <t>DUHIG, P1</t>
  </si>
  <si>
    <t>DUHIG, P2</t>
  </si>
  <si>
    <t>DUHIG, P3</t>
  </si>
  <si>
    <t>DUHIG, P6</t>
  </si>
  <si>
    <t>DUHIG, P7</t>
  </si>
  <si>
    <t>OCAÑA 1</t>
  </si>
  <si>
    <t>OSWAY 1</t>
  </si>
  <si>
    <t>L05_JVFW_015W_WINZE_STOPE</t>
  </si>
  <si>
    <t>L05_DPVE_043E_STOPE PREP</t>
  </si>
  <si>
    <t>ADDITIONAL VERTICAL DEVELOPMENT. APPROVED ON 8/20/2021. STOPPED ON SEPTEMBER 6, 2021.</t>
  </si>
  <si>
    <t>L04_GHVSPLIT_031W_STOPE PREP</t>
  </si>
  <si>
    <t>031W</t>
  </si>
  <si>
    <t>L07_JVHW_036E_RAISE</t>
  </si>
  <si>
    <t>REPLACEMENT OF L09_GHVHW_068E_STOPE PREP. APPROVED ON MAY 13,2021. STOPPED ON SEPTEMBER 6, 2021 CONVERTED TO PULL-OUT CLEANING.</t>
  </si>
  <si>
    <t>REPLACEMENT OF L08 GHV 025E DE. APPROAVED ON NOVEMBER 20,2020. Renamed from L08_GHV_024E_DW TO L08_GHV_021E_DW to avoid mischarging on November 22,2020. TEMP STOP. TO PROCEED TO RAISE. TEMP STOP ON 1/16/2021.resume on feb.17,2021. CHANGE FROM DW TO DE ON MARCH 4, 2021.TEMP.STOPPED ON MARCH 29, 2021 PRIORITY 027E STOPE PREP.RESUME ON SEPTEMBER 2,2021. STOPPED ON SEPTEMBER 6, 2021. ALREADY REACHED THE RECOMMENDED STRIKE LENGHT.</t>
  </si>
  <si>
    <t>L08_DPVE_081E_DE_ISL</t>
  </si>
  <si>
    <t>081E</t>
  </si>
  <si>
    <t>L04_JV_030E_WINZE STOPE</t>
  </si>
  <si>
    <t>REPLACEMENT OF L04_JV_030E_ROBBING APPROVED ON 8/19/21. STOPPED ON SEPTEMBER 7, 2021 CONVERTED TO BREAKING.</t>
  </si>
  <si>
    <t>REPALCEMENT OF L09_NONE_028E_XCS APPROVED ON AUGUST 26, 2021. STOPPED ON SEPT 6, 2021, VEIN PINCHED OUT.</t>
  </si>
  <si>
    <t>L08_GHV_033W_DE</t>
  </si>
  <si>
    <t>REPLACEMENT OF L04_GHVSPLIT_027W_STOPE PREP.APPROVED ON MAY 4, 2021.recommended to continue breaking only 6m strike length form east side manway and leave the remaining length as pillar.STOPPED BREAKING ON 18/8/21 CONVERTED TO PULL-OU AT THE SAME DATE.STOPPED ON SEPTEMBER 7,2021 MINED OUT</t>
  </si>
  <si>
    <t>REPLACEMENT OF L06_DPVE_015E_STOPE PREP.APPROVED ON JUNE 29, 2021. CONVERTED TO PULL OUT ON AUGUST 23, 2021.STOPPED ON AUG. 31, 2021 ALREADY MINED OUT WITH 91% PULL OUT.</t>
  </si>
  <si>
    <t>L06_CV_002W_ROBBING</t>
  </si>
  <si>
    <t>BADBADON</t>
  </si>
  <si>
    <t>L04_NONE_028W_XCN_ISL</t>
  </si>
  <si>
    <t>XCN_ISL</t>
  </si>
  <si>
    <t xml:space="preserve">REPLACEMENT OF L05_DPVE_034E_STOPE. APPROVED ON MAY 14,2021. STOPPED ON SEPTEMBER 7, 2021 </t>
  </si>
  <si>
    <t>REPLACEMENT OF L04 JV 028W WINZE. APPROVED ON JULY 14, 2021. STOPPED ON SEPTEMBER 7, 2021.</t>
  </si>
  <si>
    <t>REPLACEMENT OF L07_GHVFW_030W_STOPE PREP. APPROVED ON JUNE 18,2021. TEMPORARY STOPPED ON AUGUST 16, 2021.resumed on Aug 18 2021.  STOPPED ON SEPTEMBER 6, 2021. CONVERT TO PULL OUT CLEANING.</t>
  </si>
  <si>
    <t>REPLACEMENT OF L09_DPVE_013E_DW. APPROVED ON AUGUST 5,2021. Transferred from PANCIT NOEL to PANSIT NORMAN, NOEL did follow up raise only, NORMAN to drive the raise, approved on Aug 13, 2021. STOPPED ON SEPT 7, 2021 DUE TO CEIN PINCHED OUT.</t>
  </si>
  <si>
    <t>L07_JV_044E_WINZE</t>
  </si>
  <si>
    <t>RESUMED PULL-OUT ON AUG. 25, 2021.  Temporary stopped Aug 25</t>
  </si>
  <si>
    <t>REPLACEMENT OF L05_DPVE_047E_STOPE.APPROVED ON JULY 12, 2021. THIS WORKHEADING AS STOPE BRK. IS BELOW THE OLD INCLINED RAISE EVAL. ON AUGUST 12, 2021.STOPPED ON AUGUST 17,2021 UNSAFE CONDITION.CONVERTO TO PULL-OUT CLEANING STARTING ON 8/20/2021. stopped on Sept. 8, 2021</t>
  </si>
  <si>
    <t>L05_DPVE_042E_RAISE</t>
  </si>
  <si>
    <t>REPLACEMENT OF L04_CTV_008E_STOPE.APPROVED ON JULY 14, 2021. STOPPED ON SEPTEMBER 8, 2021. CONVERT TO PULL OUT CLEANING.</t>
  </si>
  <si>
    <t>REPLACEMENT OF L05 DPVE 046E DE. APPROVED ON JULY 30, 2021. STOPPED ON SEPTEMBER 8, 2021.</t>
  </si>
  <si>
    <t>L08_GHV_025E_WINZE STOPE</t>
  </si>
  <si>
    <t>REPLACEMENT OF  L08_GHV_026E_WINZE STOPE APPROVED ON AUGUST 16, 2021. STOPPED ON SEPTEMBER 8, 2021. CONVERT TO BREAKING</t>
  </si>
  <si>
    <t>L07_JVHW_039E_DW</t>
  </si>
  <si>
    <t xml:space="preserve"> COMAINGKING 2 </t>
  </si>
  <si>
    <t>L09_DPVE2_028E_RAISE</t>
  </si>
  <si>
    <t>REPLACEMENT OF L09_JVFW_071E_RAISE APPROVED ON AUGUST 3, 2021.STOPPED ON SEPT 9, 2021 DUE TO CONSECUTIVE LOW CUT AND BULK GRADE.</t>
  </si>
  <si>
    <t>L07_JVHW_039E_DE</t>
  </si>
  <si>
    <t>REPLACEMENT OF L07_GHVHW_031E_ROBBING APPROVED ON 27/8/21. Corrected from DE to DW on Sep 8 2021.STOPPED ON 9/9/21.</t>
  </si>
  <si>
    <t>REPLACEMENT  OF L09 DPVE 064E DE. APPROVED ON AUG 17, 2021.STOPPED ON 9/9/21 AT THE SAME TIME CONVERTED TO BRAKING</t>
  </si>
  <si>
    <t>L09_DPVE2_060E_STOPE</t>
  </si>
  <si>
    <t>REPLACEMENT OF L09_DPVE2_037E_STOPE PREP. APPROVED ON APRIL 6 2020.Stopped breaking on June 19,2020 at the same time converted to pull out. Stopped on July 24 2020 already finished heading.RESUMED ON AUG. 24, 2021 AT THE SAME TIME TRANSFER FROM CAPPUYO TO BABOR 3.STOPPED ON SEPT 9, 2021. ALREADY MINED OUT WITH 109% PULL OUT.</t>
  </si>
  <si>
    <t>REPLACEMENT OF  L07_CTV_011E_STOPE_PREP APPROVED ON JULY 30, 2021. STOPPED ON SEPTEMBER 1, 2021 DUE TO UNSAFE CONDITION.CONVERTED TO PULL-OUT ON SEPTEMBER 2,2021.STOPPED ON 9/9/21 FINISHED HEADING</t>
  </si>
  <si>
    <t>REPLACEMENT OF L06_CTV_007E_ROBBING APPROVED ON AUGUST 9, 2021. MAN POWER TRANSFER TO L06_DPVE_024E_WINZE STOPE. TEMP. STOPPED DUE TO COVID-19 CASES ON AUGUST 16, 2021. RESUMED ON AUGUST 29, 2021.STOPPED ON SEPT. 9, 2021 ALREADY DONE BREAKING PILLARS.</t>
  </si>
  <si>
    <t>BADBADON 3</t>
  </si>
  <si>
    <t>L06_JV_010E_ROBBING</t>
  </si>
  <si>
    <t>REPLACEMENT OF L06_DPVE_012E_STOPE APPROVED JULY 21, 2021 FOR VENTLATION, EXPLORATION AND ALTERNATE ACCESS.STOPPED ON SEPT 8, 2021. ALREADY BREAKTHROUGH TO AN OLD MAINLINE.</t>
  </si>
  <si>
    <t>001E</t>
  </si>
  <si>
    <t>L05_DPVE_044E_DE_ISL</t>
  </si>
  <si>
    <t>REPLACMENT OF L05 CTV 033W ROBBING. APPROVED ON AUGUST 6, 2021. STOPPED ON AUGUST 18, 2021. RESUME ON SEPTEMBER 1, 2021.STOPPED ON SEPT.10,2021.</t>
  </si>
  <si>
    <t>L09_JV_048E_STOPE PREP</t>
  </si>
  <si>
    <t>REPLACEMENT OF L09 JVHW 038E DE. APPROVED ON AUG 30, 2021. STOPPED ON SEPT. 10 2021 CONVERTED TO STOPE PREP.</t>
  </si>
  <si>
    <t>REBOTE, JOSLITO 1</t>
  </si>
  <si>
    <t>L09_GHVSPLIT_066E_STOPE PREP</t>
  </si>
  <si>
    <t>REPLACEMENT OF L09_GHVHW_076E_RAISE.APPROVED ON JULY 19, 2021.STOPPED ON SEPT 9, 2021 TO BE CONVERTED TO STOPE PREP.</t>
  </si>
  <si>
    <t>L04_JVHW_027W_DW_ISL</t>
  </si>
  <si>
    <t>ADDITIONAL VERTICAL DEVELOPMENT APPROVED ON AUGUST 11, 2021. TEMPORARY STOPPED ON AUGUST 15,2021 BLOCKED BY ON GOING STOPE PREPARATION.  RESUME ON AUGUST 17, 2021.STOPPED ON SEPTEMBER 10,2021.</t>
  </si>
  <si>
    <t>L10_DPVE_025E_RAISE</t>
  </si>
  <si>
    <t>ADDITIONAL SOURCE OF GOOD ORE. APPROVED ON SEPT 10, 2021.TEMP STOPPED ON SEPT 10, 2021 NOT STARTED YET, MAN POWER ISSUE.</t>
  </si>
  <si>
    <t>TO DO DOUBLETROW. APPROVED ON AUG. 25, 2021. STOPPED ON SEPTEMBER 9,2021.</t>
  </si>
  <si>
    <t>REPLACEMENT OF L08 GHVHW 005W ROBBING. Approved on Aug 27, 2021.STOPPED ON 9/11/2021. VEIN OBSERVED TO SWERVE RIGHT AND WILL BREAKTHOUGH TO L8 MAINLINE</t>
  </si>
  <si>
    <t>REPLACEMENT OF L07_DPVE_014E_RAISE.APPROVED ON AUG. 11, 2021. STOPPED ON SEPTEMBER 12, 2021 DUE TO SUB-PERPENDICULAR FAULT.</t>
  </si>
  <si>
    <t>REPLACEMENT OF L05 DPVE 052E DE. APPROVED ON AUGUST 6, 2021. STOPPED ON SEPT. 12, 2021.</t>
  </si>
  <si>
    <t>REPLACEMENT OF L05 JVFW 015W RAISE ISL. APPROVED ON JULY 28, 2021. STOPPED ON SEPTEMBER 5, 2021. CONVERT TO STOPE BREAKING. CONVERT TO BREAKING.</t>
  </si>
  <si>
    <t>L05_CTV_037W_STOPE</t>
  </si>
  <si>
    <t>L08_GHV_007E_STOPE PREP</t>
  </si>
  <si>
    <t>REPLACEMENT OF L10_DPVE_036E_RAISE.APPROVED ON AUG. 11, 2021.STOPPED ON SEPTEMBER 11,2021 ALREADY FINISHED STOPE PREPARATION</t>
  </si>
  <si>
    <t>L10_DPVE_036E_STOPE</t>
  </si>
  <si>
    <t>ADDITIONAL FILL WINZE FOR WASTE PASS. APPROVED ON AUG 27, 2021.TRANSFER FROM ALMEDORA 1 TO CANOY 1 DUE TO MANPOWER ISSUE, APPROVED ON SEPT 10, 2021.TEMPORARY STOPPED ON SEPT. 13 2021. TO PRIORITIZE STOPE PREP.</t>
  </si>
  <si>
    <t>L09_JVSPLIT_070E_STOPE PREP</t>
  </si>
  <si>
    <t>L09_JV_048E_RAISE</t>
  </si>
  <si>
    <t>L09_JVSPLIT_076E_DE</t>
  </si>
  <si>
    <t>L04_GHVSPLIT_029W_STOPE PREP</t>
  </si>
  <si>
    <t>REPLACEMENT OF L04_CTV_007W_ROBBING. APPROVED ON JULY 27, 2021. DRIVE IS TRAVERSING PARALLEL W/ 2-3M PILLAR FROM THE ADJACENT ML EVAL. ON AUGUST 7, 2021. TEMPORARY STOPPED ON AUGUST 9, 2021 DUE TO ABSENTEEISM OF MEN RESULTING TO AABANDONMENT OF WORKPLACE. Resumed on September 7, 2021.transferred from MARTINEZ, RON 1 to COMAINGKING 2 starting on Sept. 7, 2021.STOPPED ON SEPT. 13, 2021</t>
  </si>
  <si>
    <t>REPLACEMENT OF L04_JV_028W_DW_ISL APPROVED ON SEPTEMBER 7, 2021.STOPPED ON SEPT 11, 2021</t>
  </si>
  <si>
    <t>L04_NONE_028W_DE_ISL</t>
  </si>
  <si>
    <t>CATIGBE 3</t>
  </si>
  <si>
    <t>L04_NONE_010E_XCN</t>
  </si>
  <si>
    <t>L04_CTV_005E_DW</t>
  </si>
  <si>
    <t xml:space="preserve"> REPLACEMENT OF L08_GHV_033W_RAISE. APPROVED ON 9/7/2021. STOPPED ON 9/14/21 DUE TO UNSAFE AREA.</t>
  </si>
  <si>
    <t>REPLACEMENT OF L09_JVFW_057E_RAISE. APPROVED ON AUGUST 1,2021. STOPPED ON 9/14/21. CONVERTED TO STOPE BREAKING.</t>
  </si>
  <si>
    <t>PANSIT  5</t>
  </si>
  <si>
    <t>REPLACEMENT OF L04 JVS 013E_ISL. APPORVED ON JUNE 23 2021. STOPPED ON 9/14/21 MINED OUT.</t>
  </si>
  <si>
    <t>REPLACEMENT OF L09 DPVE 013E DW, APPROVED ON AUG 31, 2021. to follow up ang map. STOPPED ON SEPT 14, 2021, VEIN PINCHED OUT.</t>
  </si>
  <si>
    <t>REPLACEMENT OF L09_DPVE_064E_DE APPROVED ON AUGUST 13, 2021.TEMP STOPPED ON AUG 13, 2021. NOT STARTED YET, NO MANPOWER AVAILABLE. RESUMED ON AUG 17, 2021, AT THE SAME TIME TRANSFERRED FROM DELOS REYES TO PANSIT 4. STOPPED ON SEPT 14, 2021, VEIN PINCHED OUT.</t>
  </si>
  <si>
    <t>L04_JVFW_035E_DW</t>
  </si>
  <si>
    <t>L07_JVHW_033E_RAISE</t>
  </si>
  <si>
    <t>L06_CTV_001E_DW</t>
  </si>
  <si>
    <t>L09_DPVE_082E_DE</t>
  </si>
  <si>
    <t>082E</t>
  </si>
  <si>
    <t>REPLACEMENT OF L08_GHV_015W_ROBBING, APPROVED ON JANUARY 18, 2020.  STOPPED ON FEB. 6 2020 MADE A BREAKTHROUGH. (SOURCE-OPERATION MEMO).resumed on July 8,2021 for rehab activity at the same time transfer from LERIO 2 TO ANGCOG 1. STOPPED ON SEPTEMBER 15,2021 ALREADY FINISHED PLASTERING.</t>
  </si>
  <si>
    <t>L10_DPVE_072E_RAISE</t>
  </si>
  <si>
    <t>REPLACEMENT OF L10_GHVHW_061E_DW APRROVED ON JULY 30, 2021.TEMP.STOPPED ON SEPTEMBER 15,2021</t>
  </si>
  <si>
    <t>L09_DPVE_006E_DW</t>
  </si>
  <si>
    <t>L10_GHVHW_060E_RAISE</t>
  </si>
  <si>
    <t>L05_JVSPLIT_036E_RAISE</t>
  </si>
  <si>
    <t>013W</t>
  </si>
  <si>
    <t>REPLACEMENT OF L09 JVHW 026E RAISE, APPROVED ON AUG 31, 2021.STOPPED ON SEPTEMBER 11,2021 PINCHED OUT VEIN</t>
  </si>
  <si>
    <t>L07_GHV_046E_ROBBING</t>
  </si>
  <si>
    <t>L07_JVSPLIT_062E_RAISE</t>
  </si>
  <si>
    <t>L09_DPVE_042E_RAISE</t>
  </si>
  <si>
    <t>L06_JVSPLIT_029E_DW</t>
  </si>
  <si>
    <t>REPLACEMENTOF L09_JVSPLIT_075E_RAISE. APPROVED ON AUGUST 31,2021.STOPPED ON SEPTEMBER 14,2021 CONVERT TO ACTIVE BREAKING.</t>
  </si>
  <si>
    <t>L09_JVSPLIT_074E_STOPE</t>
  </si>
  <si>
    <t>REPLACEMENT OF L04_JV_030E_ROBBING APPROVED ON 8/19/21. CONVERTED TO ACTIVE STOPE BREAKING APPROVED ON SEPTEMBER 7, 2021.stopped breaking on Sept. 16, 2021. convert to stope pull-out starting September 17, 2021.</t>
  </si>
  <si>
    <t>REPLACEMENT OF L10_DPVE_048E_DW. APPROVED ON AUGUST 6,2021.stopped on sep.17,2021.</t>
  </si>
  <si>
    <t>REPLACEMENT OF L09_JVSPLIT_046E_RAISE. APPROVED ON AUG 27, 2021.STOPPED ON SEPT.18,2021.</t>
  </si>
  <si>
    <t>REPLACEMENT OF L07_GHV_029E_RAISE APRROVED ON AUGUST 18, 2021.STOPPED ON SEPT.18,2021</t>
  </si>
  <si>
    <t>ADDITIONAL HORIZONTAL DEVELOPMENT. APPROVED ON NOVEMBER 14,2020. TEMPORARY STOPPED ON NOVEMBER 17,2020. RESUMED ON JANUARY 29 2021 @ THE SAME TIME TRANSFERRED FROM BAÑEZ TO LARGO RICHARD.temp stopped on april 20, 2021 prio stope prep. RESUMED ON AUGUST 10,2021, AT THE SAME TIME RENAMED FROM L10_GHVHW_060E_DW TO L10_GHVHW_057E_DW.STOPPPED ON SEPT.18,2021</t>
  </si>
  <si>
    <t>REPLACEMENT OF L07_GHV_036W_DE.APPROVED ON JUNE 28, 2021.TEMP. STOPPED ON JULY 19, 2021.DUE TO ABSENTEEISM OF MEN.RESUMED ON JULY 23, 2021. TEMPORARY STOPPED ON AUGUST 16, 2021.resumed on Aug 18 2021.STOPPED ON SEPT.18,2021</t>
  </si>
  <si>
    <t xml:space="preserve"> REPLACEMENT OF L07 JVHW 039E DW.APPROVED ON SEP 9 2021.STOPPED ON SEPT.18,2021</t>
  </si>
  <si>
    <t>REPLACEMENT OF L07_DPVE_026E_WINZE. APPROVED ON AUG 19 2021.STOPPED ON SEPT.18,2021</t>
  </si>
  <si>
    <t>ADDITIONAL VERTICAL DEVELOPMENT. APPROVED ON SEP 6 2021.STOPPED ON SEPT.18,2021</t>
  </si>
  <si>
    <t>REPLACEMENT OF L10_DPVE_064E_RAISE APPROVED ON JUNE 23, 2021.TEMPORARY STOPPED ON AUGUST 6,2021 TO DRIVE FOLLOW UP RAISE.RESUMED ON AUGUST 26,2021.STOPPED ON SEPTEMBER 18,2021 DUE TO VEIN PINCHED OUT.</t>
  </si>
  <si>
    <t>ADDITIONAL HORIZONTAL DRIVE TO TARGET GHV 039E WINZE.APPROVED ON MAY 7, 2021. STOPPED ON SEPTEMBER 18,2021 CONVERT TO CROSSCUT.</t>
  </si>
  <si>
    <t>REPLACEMENT OF L06 JV 011E ROBBING. APPROVED ON SEPT 9, 2021, TO BREAK SILL PILLAR. STOPPED ON SETEMBER 19, 2021 ALREADY REACHED THE RECOMMENDED PILLARS TO BREAK.</t>
  </si>
  <si>
    <t>L11_NONE_040E_XCN</t>
  </si>
  <si>
    <t>L09_DPVE2_018E_DW</t>
  </si>
  <si>
    <t>L10_DPVE_046E_DW</t>
  </si>
  <si>
    <t>L10_GHVHW_055E_DW</t>
  </si>
  <si>
    <t>L09_DPVE2_024E_STOPE</t>
  </si>
  <si>
    <t>L07_GHVSPLIT_035W_RAISE</t>
  </si>
  <si>
    <t>REPLACEMENT OF L10_GHVFW_050E_RAISE.APPROVED ON NOV 25, 2019.CHANGE FROM JV TO GHVHW ON NOV 28, 2019. STOPPED ON MAR 4 2020, ALREADY REACHED LEVEL 9 ELEVATION.RESUMED ON AUGUST 13,2021 TO DO NORMAL RAISE. AT THE SAME TIME TRANSFER TAÑEZA 2 TO PARAGUYA 2 AND RENAMED FROM L10_GHVHW_053E_RAISE TO L10_GHVHW_056E_RAISE.stopped on sept.20, 2021 vein piched out</t>
  </si>
  <si>
    <t>REPLACEMENT OF L05_JV_027E_RAISE. APPROVED ON MAY 24,2021.STOPPED ON JUNE 29,2021 AT THE SAME TIME CONVERTED TO STOPE BREAKING.CONVERTED TO PULL OUT ON AUGUST 12, 2021.stopped on september 20,2021 already mined out</t>
  </si>
  <si>
    <t>L06_JVSPLIT_030E_RAISE</t>
  </si>
  <si>
    <t>L06_GHV_014E_DE</t>
  </si>
  <si>
    <t xml:space="preserve">REPLACEMENT OF L04 JV 011E DE. APPROVED ON SEPTEMBER 14, 2021.STOPPED ON SEPT.21,2021 </t>
  </si>
  <si>
    <t xml:space="preserve"> REPLACEMENT OF L11_JV_048E_DE. APPROVED ON JUNE 22,2021. TEMPORARY STOPPED ON SEPTEMBER 8,2021 DUE TO TROUBLE AT 35E SHAFT.RESUMED ON SEPTEMBER 13,2021.STOPPED ON SEPT.21,2021</t>
  </si>
  <si>
    <t>REPLACEMENT OF L05_JVSPLIT_036E_DW APPROVED ON AUGUST 25, 2021.STOPPED ON SEPTEMBER 14,2021.</t>
  </si>
  <si>
    <t>REPLACEMENT OF L10_GHFW_050E_STOPE PREP. APPROVED ON AUGUST 26,2021.  STOPPED ON SEPTEMBER 20,2021 CONVERT TO ACTIVE BREAKING FINISHED STOPE PREPARATION</t>
  </si>
  <si>
    <t>L10_GHVFW_050E_STOPE</t>
  </si>
  <si>
    <t>ADDITIONAL SOURCE OF GOOD ORE APRROVED ON JULY 13, 2021.STOPPED ON SEPTEMBER 18,2021 CONVERT TO ACTIVE BREAKING FINISHED STOPE PREPARATION</t>
  </si>
  <si>
    <t>REPLACEMENT OF L10_DPVE_062E_STOPE PREP.APPROVED ON MAY 13, 2021.recommended to drive an internal probe raise to explore its up dip vein extension.RECOMMENDED TO CONTINUE THE STOPE BACK BREAKING.STOPPED BREAKING ON SEPTEMBER 2,2021 AT THE SAME TIME CONVERTED TO PULL-OUR CLEANING.STOPPED ON SEPTEMBER 20,2021 ALREADY MINED OUT</t>
  </si>
  <si>
    <t>L08_DPVE_036E_DE_ISL</t>
  </si>
  <si>
    <t>REPLACEMENT OF L08_JVHW_065E_STOPE PREP.APPROVED ON JUNE 5, 2021.temporary stopped breaking on July 7,2021 to drive normal raise due to single entry. RESUME ON AUGUST 12, 2021. TEMP. STOPPED ON AUGUST 18, 2021 DUE TO SAFETY CONCERN.TO RECOVER REMAINING MUCK.CONVERT TO PULL OUT ON AUGUST 20, 2021.STOPPED ON SEPT.21,2021 FINISHED HEADING</t>
  </si>
  <si>
    <t>REPLACEMENT OF L06_DPVE_024E_WINZE STOPE PREP.APPROVED ON AUG. 4, 2021.CONVERTED POLL-OUT ON SEPT.21,2021</t>
  </si>
  <si>
    <t>CONVERTED TO PULL-OUT CLEANING ON SEPTEMBER 8, 2021. STOPPED ON SEPT.19,2021 DUE TO LOW QA/QC ON CUT/BULK SAMPLES WITH 61% PULL-OUT.</t>
  </si>
  <si>
    <t xml:space="preserve">TURRA 2 </t>
  </si>
  <si>
    <t>L07_NONE_022E_XCS</t>
  </si>
  <si>
    <t>L04_GHVSPLIT_032W_DE</t>
  </si>
  <si>
    <t>SHEPHERD AR</t>
  </si>
  <si>
    <t>L05_JV_024E_DW_ISL</t>
  </si>
  <si>
    <t>L05_CTV_026E_WINZE_STOPE PREP</t>
  </si>
  <si>
    <t>REPLACEMENT OF L09 DPVE2 074E RAISE. APPROVED ON AUG 17, 2021. STOPPED ON SEPTEMBER 18,2021 ALREADY FINISHED STOPE PREPARATION</t>
  </si>
  <si>
    <t xml:space="preserve">ADDITIONAL HORIZONTAL DEVELOPMENT. APPROVED ON 8/24/2021. TEMPORARY STOPPED ON SEPTEMBER 18, 2021 DUE TO INSUFFICIENT MANPOWER. MANPOWER MERGED TO L08 JVS 014W RAISE AND L08 JVHW 065E STOPE.RESUMED ON SEPTEMBER 21,2021.TEMP STOP . ON  9/22/2021 TO PRIORITIZE L08_JVSPLIT_012W_DE </t>
  </si>
  <si>
    <t>L04_JV_028W_DE_ISL</t>
  </si>
  <si>
    <t>REPLACEMENT OF L06_DPVE_038E_DE. APPROVED ON AUG 23, 2021.STOPPED ON SEPT,21,2021</t>
  </si>
  <si>
    <t>Repalcement of L07_GHVSPLIT 042E DW. approved on Sep 15 2021. stopped on september 23, 2021. made a breakthrough.</t>
  </si>
  <si>
    <t>REPLACEMENT OF L05_DPVE_039E_DW. APPROVED ON JULY 31, 2021. STOPPED ON SEPT. 22, 2021  MADE A BREAKTHROUGH.</t>
  </si>
  <si>
    <t>L04_CV_026W_RAISE</t>
  </si>
  <si>
    <t>REPLACEMENT OF L04 CTV 008E STOPE. APPROVED ON SEPT. 13, 2021.STOPPED ON SEPTEMBER 22, 2021</t>
  </si>
  <si>
    <t>REPLACEMENT OF L04_JVHW_027W_DW_ISL APPROVED ON SEPTEMBER 14, 2021.STOPPED ON SEMPTEBER 22, 2021</t>
  </si>
  <si>
    <t>REPLACEMENT OF L04_NONE_022W_XCS. APPROVED ON MAY 24,2021.TEMP STOPPED ON JUNE 15, 2021 TO PRIORITIZE  L04_CV_025W_RAISE.resumed on June 21 2021.TEMPORARY STOPPED ON AUGUST 6,2021 TURN-OUT PREP FOR 23W DE. RESUMED ON AUGUST 12, 2021. Temporary stopped on August 30, 2021 to prioritized L04 CV 025W STOPE PREP. RESUMED ON SEPTEMBER 14, 2021.TRANSFER FROM BAÑEZ TO SHEPHERD AR ON SEPT.20,2021.STOPPED ON SEPTEMBER 22, 2021. MEMO TO FOLLOW</t>
  </si>
  <si>
    <t>L06_CTV_003E_DW</t>
  </si>
  <si>
    <t>L06_JVSPLIT_012E_RAISE</t>
  </si>
  <si>
    <t>L07_JV_067E_WINZE</t>
  </si>
  <si>
    <t>L04_CTV_009E_DE</t>
  </si>
  <si>
    <t>REPLACEMENT OF L06 DPVE 011E DW. Approved on Aug 31, 2021.STOPPED ON SEPT.24,2021</t>
  </si>
  <si>
    <t>REPLACEMENT OF L06_GHVFW_042W_ROBBING APPROVED ON AUGUST 20, 2021.STOPPED ON SEPT.24,2021</t>
  </si>
  <si>
    <t>REPLACEMENT OF L10_DPVE_067E_RAISE. APPROVED ON AUGUST 26,2021. STOPPED ON SEPTEMBER 22,2021 FINISHED STOPE PREPARATION</t>
  </si>
  <si>
    <t>L10_DPVE_067E_STOPE</t>
  </si>
  <si>
    <t>REPLACEMENT OF L06_CTV_007W_RAISE.APPROVED ON APRIL 24, 2021. TEMPORARY STOPPED BY PLANNING ON MAY 6, 2021. FOR FURTHER EVALUATION ON SAFETY.RESUMED ON JUNE 29, 2021. CONVERTED TO BREAKING ON JULY 21, 2021.STOPPED BREAKING ON SEPT.3, 2021 AT THE SAME TINE CONVERTED TO PULL-OUT CLEANING. STOPPED ON SEPTEMBER 22,2021 ALREADY MINED OUT MEMO RECEIVED SEPTEMBER 24,2021.</t>
  </si>
  <si>
    <t>REPLACEMENT OF L08_GHV_029W_STOPE PREP APPROVED ON APRIL 13, 2021. HAS 1OM REMAINING BAL. TO BREAKTROUGH L 7 EVAL. ON AUGUST 11, 2021. CONVERT TO PULL OUT CLEANING ON AUGUST 13, 2021.STOPPED ON SEPT.24,2021 FINISHED HEADING</t>
  </si>
  <si>
    <t>L06_JVSPLIT_027E_DE</t>
  </si>
  <si>
    <t>L06_DPVE_015E_WINZE</t>
  </si>
  <si>
    <t>REPLACEMENT OF L06_GHVFW_029W_ROBBING APPROVED ON JULY 21, 2021.STOPPED ON SEPT.25,2021</t>
  </si>
  <si>
    <t>REPLACEMENT OF L06 CTV 004W DW. APPROVED ON AUG 24, 2021.STOPPED ON SEPT.25,2021</t>
  </si>
  <si>
    <t>L10_GHV_066E_STOPE PREP</t>
  </si>
  <si>
    <t>ADDITIONAL HORIZONTAL DEVELOPMENT DRIVE APPROVED ON AUGUST 22, 2021.TEMP STOP on sept.25,2021. TO PRIORITIZE INTERSECTED VEIN AND TO PROCEED TO DRIFT</t>
  </si>
  <si>
    <t>Replacement of L04_CV_022W_DW. Approved on August 30, 2021.TRANSFER FROM BAÑEZ TO SHEPHERD AR ON SEPT.20,2021. STOPPED ON SEPTEMBER 25, 2021.</t>
  </si>
  <si>
    <t>L04_CV_025W_STOPE</t>
  </si>
  <si>
    <t>L04_GHVSPLIT_041W_WINZE</t>
  </si>
  <si>
    <t>041W</t>
  </si>
  <si>
    <t>L06_JVFW_018E_DE_ISL</t>
  </si>
  <si>
    <t>REPLACEMENT OF L04_JV_030E_ROBBING APPROVED ON 8/19/21. CONVERTED TO ACTIVE STOPE BREAKING APPROVED ON SEPTEMBER 7, 2021.stopped breaking on Sept. 16, 2021. convert to stope pull-out starting September 17, 2021. STOPPED ON SEPTEMBER 27, 2021. FINISHED HEADING.</t>
  </si>
  <si>
    <t>REPLACEMENT OF L07 JVFW 038E WINZE. APPROVED ON MAR 17 2021.STOPPED ON APRIL 15 2021 CONVERTED TO DRIFT EAST .</t>
  </si>
  <si>
    <t>REPLACEMENT OF L09 JV 031E DW. APPROVED ON AUG 29, 2021 to follow ang map. STOPPED ON 9/25/21 POOR VEIN.</t>
  </si>
  <si>
    <t>L08_DPVE_001E_DE</t>
  </si>
  <si>
    <t>L10_GHVSPLIT_063E_STOPE</t>
  </si>
  <si>
    <t xml:space="preserve">REPLACEMENT OF L10_GHVSPLIT_063E_STOPE PREP. APPROVED ON AUGUST 26,2021. STOPPED AND CONVERTED TO STOPE BREAKING ON 9/25/2021 . </t>
  </si>
  <si>
    <t>L09_JV_032E_STOPE PREP</t>
  </si>
  <si>
    <t>REPLACEMENT OF L10_GHVHW_057E_DW APPROVED ON 9/19/21. STOPPED ON SEPT 28, 2021, VEIN PINCHED-OUT.</t>
  </si>
  <si>
    <t>REPLACEMENT OF L04_NONE_028W_XCN_ISL. APPROVED ON SEPTEMBER 22, 2021. STOPPED ON 9/24/21.</t>
  </si>
  <si>
    <t>REPLACEMENT OF L09 DPVE 011E RAISE. APPROVED ON SEPT 9, 2021. -STOPPED ON 9/28/2021 DUE TO CONSECUTIVE LOW QA/QC GRADE BECAUSE OF THE POOR VEIN TEXTURE AND MINERALIZATION.</t>
  </si>
  <si>
    <t>REPLACEMENT OF L08 JVSPLIT 066E DE.APPROVED ON AUGUST 30 2021. STOPPED ON 9/28/2021 DUE TO QA/QC GRADE DUE TO POOR VEIN TEXTURE.</t>
  </si>
  <si>
    <t>REPLACEMENT OF L09 DPVE2 087E RAISE. APPROVED ON SEPT 3, 2021. CONVERTED TO BREAKING ON 9/28/2021.</t>
  </si>
  <si>
    <t>L09_DPVE2_072E_STOPE</t>
  </si>
  <si>
    <t>REPLACEMENT OF L08_NONE_071E_XCS APPROVED ON AUGUST 12, 2021. TEMPORARILY STOPPED ON AUGUST 26, 2021 TO DO BLOCK RAISE.resume on 9/21/2021.stopped on sept.29,2021</t>
  </si>
  <si>
    <t>REPLACEMENT OF L08_NONE_043E_XCS. APPROVED ON JULY 23 2021.stopped on sept.29,2021</t>
  </si>
  <si>
    <t>REPLACEMENT OF JV 053E DW_ISL. APPROVED ON JULY 23 2021.stopped on sep.29,2021</t>
  </si>
  <si>
    <t xml:space="preserve"> Replacement of L05_DPVE_043E_RAISE. Approved on Sept. 6, 2021.stopped on sept.24,2021 converted to breajing</t>
  </si>
  <si>
    <t>L05_DPVE_043E_STOPE</t>
  </si>
  <si>
    <t>L07_JV_008W_STOPE PREP</t>
  </si>
  <si>
    <t>L06_JV_020E_WINZE</t>
  </si>
  <si>
    <t>REPLACEMENT OF L07 JVFW 049E RAISE. APPROVED ON AUGUST 31 2021. STOPPED ON SEPTEMBER 30, 2021 . FINISHED HEADING.</t>
  </si>
  <si>
    <t>REPLACEMENT OF L05_JVSPLIT_036E_DE. APPROVED ON SEPTEMBER 15, 2022. STOPPED ON 9/30/21 . MADE A BREAKTHROUGH.</t>
  </si>
  <si>
    <t>SHEPHERD AQ</t>
  </si>
  <si>
    <t>L10_NONE_072E_XCN</t>
  </si>
  <si>
    <t>L07_DPVE_014E_WINZE</t>
  </si>
  <si>
    <t>REPLACEMENT OF L07 JVHW 068E ROBBING.APPROVED ON SEP 10 2021.STOPPED ON OCT.1,2021 MADE A BREAKTHROUGH</t>
  </si>
  <si>
    <t>L08_GHV_004W_DW_ISL</t>
  </si>
  <si>
    <t>REPLACEMENT OF L08_GHV_046E_ROBBING APPROVED AUGUST 6, 2021. RENAME from L08_DPVE_016E_ROBBING TO L08_018E_ROBBING.STOPPED ON OCT.1,2021</t>
  </si>
  <si>
    <t>L10_GHVHW_058E_DW</t>
  </si>
  <si>
    <t>L08_DPVE_062E_ROBBING</t>
  </si>
  <si>
    <t>L05_JVSPLIT_036E_STOPE PREP</t>
  </si>
  <si>
    <t>REPLACEMENT OF L05_JV_032E_ROBBING. SILL IN WINZE STOPE. APPROVED ON SEPT. 3, 2021. TEMPORARRY STOPPED ON OCT 2, 2021 TO PRIORITIZE DRIFT.</t>
  </si>
  <si>
    <t>REPLACEMENT OF L10_GHV_032E_RAISE. APPROVED ON JULY 17 2020.TEMPORARY STOPPED ON OCT 3 2020 TO DO FOLLOW UP RAISE. Resumed on Oct. 14 2020. temp Stopped on Dec. 7 2020 due to obstructed follow up raise. resumed on March 15,2021 at the same time transfer from BAÑEZ TO DUHIG 1 and rename from L10_GHVHW_057E_DE TO L10_GHVHW_069E_DE to avoid mischarging. Temporary stopped on April 13,2021 crew will be transfer to Level 11. Resumed on April 19, 2021 at the same time transferred from DUHIG to MONTEBON.TEMPORARY STOPPED ON MAY 4,2021 TO CONVERT STOPE PREPARATION.RESUMED ON AUGUST 4,2021 AT THE SAME TIME TRANSFER FROM MONTEBON 2 TO OLIVEROS 3. STOPPED ON AUGUST 5,2021 CONVERT TO CROSSCUT.ESUMED ON AUGUST 24,2021. STOPPED ON OCT 1, 2021, ALREADY BREAKTHROUGH TO AN OLD MAINLINE.</t>
  </si>
  <si>
    <t>CONVERTED TO STOPE BREAKING ON AUGUST 16, 2021. REPLACEMENT OF L06_JVFW_037E_WINZE STOPE PREP.CONVERTED TO PULL-OUT ON OCT.10,2021</t>
  </si>
  <si>
    <t>REPLACEMENT OF L06 CTV 001E DW. APPROVED ON SEPTEMBER 24, 2021.STOPPED ON OCT.2,2021</t>
  </si>
  <si>
    <t>REPLACEMENT OF L09_JV_032E_DW. APPROVED ON SEPTEMBER 17,2021. STOPPED ON OCT 4, 2021, BREAKTHROUGH TO AN OLD RAISE, NO CONTINUATION.</t>
  </si>
  <si>
    <t>L10_GHVSPLIT_076E_DE</t>
  </si>
  <si>
    <t>REPLACEMENT OF L04_GHVSPLIT_026W_STOPE PREP. APPROVED ON SEPT. 13, 2021. STOPPED ON OCTOBER 4, 2021. CONVERT TO BREAKING.</t>
  </si>
  <si>
    <t>L04_GHVSPLIT_029W_STOPE</t>
  </si>
  <si>
    <t>REPLACEMENT OF L06_CV_002W_STOPE. APPROVED ON AUG 30, 2021 to follow ang map.STOPPED ON SEPT.15,2021.</t>
  </si>
  <si>
    <t>L04_CTV_009E_DW</t>
  </si>
  <si>
    <t>MARTINEZ RON 2</t>
  </si>
  <si>
    <t>L05_DPVE_025E_WINZE</t>
  </si>
  <si>
    <t>REPLACEMENT OF L10_DPVE_068E_DE.approved on august 13, 2021.STOPPED ON OCT 5, 2021, VEIN PINCHED OUT.</t>
  </si>
  <si>
    <t>L10_JVSPLIT_069E_RAISE</t>
  </si>
  <si>
    <t>REPLACEMENT OF L05_JV_031E_WINZE.APPROVED ON JULY 27, 2020. stopped on August 12 2020 due to pinched out vein @ .15m RESUMED ON MAY 22,2021. RESUMED ON OCT 2, 2021.  STOPPED ON OCT 6, 2021, ALREADY BREAKTHROUGH TO AN OLD STOPE.</t>
  </si>
  <si>
    <t>L07_JV_039E_ROBBING</t>
  </si>
  <si>
    <t>REPLACEMENT OF L10_DPVE_064E_DE. APPROVED ON 9/27/2021. STOPPED ON OCT 6, 2021, VEIN PINCHED OUT.</t>
  </si>
  <si>
    <t>L07_DPVE_041E_WINZE STOPE PREP</t>
  </si>
  <si>
    <t>REPLACEMENT OF L07_CTV_010E_ROBBING. ARPPOVED ON AUG 18 2021. STOPPED ON OCT 6 2021,VEIN PINCHED OUT.</t>
  </si>
  <si>
    <t>REPLACEMENT OF L07_GHVSPLIT_034W_DW. APPROVED ON SEPTEMBER 20,2021. TEMPORARILY STOPPED ON OCT 4 2021. LACK OF MANPOWER.</t>
  </si>
  <si>
    <t>ADDITIONAL HORIZONTAL DEVELOPMENT DRIVE. APPROVED ON SEPT 8, 2021.RENAME FROM L06 CTV 003W DW TO L06 CTV 001E DW ON SEPT 9, 2021. STOPPED ON SEPTEMBER 24, 2021.</t>
  </si>
  <si>
    <t>REPLACEMENT OF L04_JVFW_035E_DW APPROVED ON SEPT.21,2021.RENAME FROM L04_GHVSPLIT_026W_DE TO L04_GHVSPLIT_032W_DE ON SEPT.22,2021. STOPPED ON OCT 6, 2021, VEIN PINCHED OUT.</t>
  </si>
  <si>
    <t>REPLACEMENT OF L04_CV_022W_DW. APPROVED ON SEPTEMBER 22, 2021. STOPPED ON OCT 6, 2021, VEIN PINCHED OUT</t>
  </si>
  <si>
    <t>REPPALCEMENT OF L08 JVSPLIT 072E DE.APPROVED ON AUGUST 30 2021. STOPPED ON 10/05/21, PINCHED OUT VEIN, ALREADY REACHED THE RECOMMENDED ADVANCHED.</t>
  </si>
  <si>
    <t>L04_CV_023W_DW</t>
  </si>
  <si>
    <t>L04_GHVSPLIT_032W_RAISE</t>
  </si>
  <si>
    <t>L09_JVSPLIT_059E_DE</t>
  </si>
  <si>
    <t>L08_GHV_007E_STOPE</t>
  </si>
  <si>
    <t xml:space="preserve">REPLACMENT OF L08_GHV_006E_DE. APPROVED ON 9/12/2021. STOPPED ON 10/5/2021 TO BE CONVERTED TO STOPE BREAKING. </t>
  </si>
  <si>
    <t>L04_GHVSPLIT_031W_STOPE</t>
  </si>
  <si>
    <t xml:space="preserve"> Replacement of L04_GHVSPLIT_027W_STOPE. Approved on Sept 6, 2021. STOPPED ON 10/5/2021 TO BE CONVERTED TO STOPE BREAKING. </t>
  </si>
  <si>
    <t>L06_JVFW_021E_ROBBING</t>
  </si>
  <si>
    <t>REPLACEMENT OF L07 JV 008W DE. APPROVED ON JULY 27 2021.temp. stopped on september 11,2021 priority raise prep notified on sept.13,2021.RESUMED ON SEP 15 2021. STOPPED ON OCT 7 2021, CONNECTED TO OPPOSITE MAINLINE.</t>
  </si>
  <si>
    <t>REPLACEMENT OF L07_JV_027E_ROBBING.APPROVED ON OCT 4 2021. STOPPED OCT 7 2021.VEIN PINCHED OUT.</t>
  </si>
  <si>
    <t>REPLACEMENT OF L05_DPVE_051E_RAISE. APPROVED ON SEPT., 8, 2021. STOPPED ON 10/07/21 DUE TO OFF VEIN.</t>
  </si>
  <si>
    <t>REPLACEMENT OF L05_JVFW_008W_DE_ISL APPROVED ON AUGUST 26, 2021. TEMPORARILY STOPPED ON SEP 20 2021. MANPOWER TRANSFERRED TO LEVEL 7</t>
  </si>
  <si>
    <t>REPLACEMENT OF L09_GHVHW_075E_RAISE.APPROVED ON JULY 23, 2021.TEMP.STOPPED ON JULY 23, 2021.DUE TO DEFECTIVE MUCKING MACHINE. RESUMED ON JULY 29,2021. STOPPED ON OCT 8, 2021, VEIN PINCHED OUT.</t>
  </si>
  <si>
    <t>REPLACEMENT OF L08_JVSPLIT_072E_DE AND BLOCKING RAISE L08_JVSPLIT_073E_RAISE OF . APPROVED ON 9/29/2021. TEMP STOP ON 10/8/2021. TO PRIORITIZE ROBBING.</t>
  </si>
  <si>
    <t>ADDITIONAL HORIZONTAL DEVELOPMENT APPROVED ON AUGUST 23, 2021. TEMP STOP ON 10/8/2021, TO PRIORITIZED L08_JV_018W_RAISE</t>
  </si>
  <si>
    <t>REPLACEMENT OF L04 JV 014E ROBBING. APPROVED ON SEPTEMBER 15, 2021. STOPPED ON 10/08/21 MADE A BREAKTHROUGH.</t>
  </si>
  <si>
    <t>L08_JVSPLIT_060E_RAISE</t>
  </si>
  <si>
    <t>L07_JV_011W_DW</t>
  </si>
  <si>
    <t>L09_JVFW_052E_ROBBING</t>
  </si>
  <si>
    <t>L04_EDV_018W_WINZE</t>
  </si>
  <si>
    <t>ANDILAD</t>
  </si>
  <si>
    <t>REPLACEMENT OF L04_JV_012W_DW. APPROVED ON MAY 19,2021.STOPPED ON OCT 7, 2021, ALREADY DONE PILLAR ROBBING</t>
  </si>
  <si>
    <t>REPLACEMENT OF L05 JVSPLIT 036E RAISE. APPROVED ON OCT 1, 2021.STOPPED ON OCT.9,2021</t>
  </si>
  <si>
    <t>L05_JVSPLIT_036E_STOPE</t>
  </si>
  <si>
    <t>PANCIT , NOEL 4</t>
  </si>
  <si>
    <t>REPLACEMENT OF L09_JVSPLIT_074E_STOPE PREP APPROVED ON SEPT.17,2021. TEMPORARY STOPPED ON SEPTEMBER 19, 2021 DUE TO ON-GOING COUNSELING BETWEEN TL AND MINERS.RESUMED ON SEPTEMBER 20,2021.CONVERTED TO PULL-OUT CLEANING ON OCT.9,2021</t>
  </si>
  <si>
    <t>L09_JVSPLIT_070E_STOPE</t>
  </si>
  <si>
    <t>REPLACEMENT OF L09 JVSPLIT 070E WINZE. APPROVED ON SEPT 13, 2021. ADDITIONAL SOURCE OF GOOD ORE.STOPPED ON OCT.8,2021</t>
  </si>
  <si>
    <t>L05_DPVE_051E_STOPE_PREP</t>
  </si>
  <si>
    <t>ADDITIONAL HORIZONTAL DEV'T DRIVE. APPROVED ON SEPT 13, 2021.TEMPORARILY STOPPED ON OCT 12 2021. OFFVEIN</t>
  </si>
  <si>
    <t>REPLACEMENT OF L10_DPVE_048E_DW APPROVED ON 9/19/21.- PINCHED OUT VEIN. STOPPED ON OCT 12 2021</t>
  </si>
  <si>
    <t>ADDITIONAL HORIZONTAL DRIVE. APPROVED ON AUGUST 13,2021.TRANSFER FROM COMAINGKING 2 TO OLIVEROS 5 ON AUGUST 26,2021 DUE TO LACK OF MANPOWER.- PINCHED OUT VEIN. STOPPED ON OCT 12 2021</t>
  </si>
  <si>
    <t>REPLACEMENT OF L10_DPVE_055E_RAISE APPROVED ON AUGUST 30, 2021.PINCHED OUT VEIN. STOPPED ON OCT 12 2021</t>
  </si>
  <si>
    <t>REPLACEMENT OF L09_DPVE_039E_DW.APPROVED ON MAY 10, 2021.TEMP STOPPED ON MAY 27, 2021. TO RE EVALUATE TARGET VEIN.L09_DPVE_01.RESUMED ON OCT 4, 2021.TEMPORARY STOPPED ON OCT 7 2021. TRANSFERRED FROM PANCIT TO BANTAYAN ON THE SAME DATE</t>
  </si>
  <si>
    <t>BANTAYAN</t>
  </si>
  <si>
    <t>REPLACEMENT OF L07_GHVFW_030W_STOPE PREP. APPROVED ON JUNE 18,2021. TEMPORARY STOPPED ON AUGUST 16, 2021.resumed on Aug 18 2021. CONVERTED TO PULL OUT CLEANING ON SEPTEMBER 6, 2021. temporary stopped on Sep 9 2021 to prioriitized pull-out l07 ghvfw 029w stope. Resumed on Sep 30 2021.STOPPED ON OCT 11 2021. UNSAFE CONDITION.</t>
  </si>
  <si>
    <t>L08_GHV_004W_WINZE STOPE PREP</t>
  </si>
  <si>
    <t>L07_JV_008W_STOPE</t>
  </si>
  <si>
    <t>REPLACEMENT OF L07 JVHW 038E DW. APPROVED ON SEP 29 2021.STOPPED ON OCT.12,2021</t>
  </si>
  <si>
    <t>REPLACEMENT OF L04_JV_030E_DW_ISL. APPROVED ON AUGUST 17, 2021.TEMPORARY STOPPED ON 19/8/21. RESUME ON SEPTEMBER 27, 2021.STOPPED ON OCT.13,2021</t>
  </si>
  <si>
    <t>REPLACEMENT OF L08_DPVE_070E_WINZE STOPE PREP. APPROVED ON NOV. 27 2020.STOPPED ON JULY 19, 2021 AT THE SAME TIME CONVERT TO PULL OUT CLEANING. STOPPED ON OCTOBER 2, 2021. MINED OUT. RESUMED ON OCT. 6, 2021. PULL-OUT MUCK.STOPPED ON OCT.13,2021 MINED OUT.</t>
  </si>
  <si>
    <t>REPLACEMENT OF L07_GHVFW_029W_STOPE PREP. APPROVED ON JANUARY 25 2021. STOPPED BREAKING ON MAY 18,2021 CONVERT TO PULL OUT.TEMP. STOPPED ON MAY 21, 2021 (LOC).resumed pull-out on Sep 9 2021. TEMP STOPPED ON SEPT. 30, 2021.MINED OUT ON OCT 13 2021</t>
  </si>
  <si>
    <t>L04_CTV_022W_WINZE</t>
  </si>
  <si>
    <t>CAMAINGKING</t>
  </si>
  <si>
    <t>L10_NONE_081E_XCN</t>
  </si>
  <si>
    <t>L10_DPVE_057E_DW</t>
  </si>
  <si>
    <t>RENAME FROM L10 NONE 037E XCN TO L10 DPVE 037E DW ON 2/26/21. TEMPORARY STOPPED ON APRIL 28 2021. RESUMED ON MAY 27,2021 AT THE SAME TIME TRANSFER FROM PMC MINERS 5 TO CATIGBE 1.temporary stopped on July 5,2021 delay on follow up raise.resumed on July 8,2021. TEMPORARY STOPPED ON AUGUST 30,2021 TO DO FOLLOW UP RAISE. RESUMED ON SEPTEMBER 14,2021.  TEMPORARY STOPPED ON SEPTEMBER 14,2021 NOTIFIED ON SEPTEMBER 21,2021.</t>
  </si>
  <si>
    <t>L07_DPVE_055E_DW</t>
  </si>
  <si>
    <t xml:space="preserve">CARIKITAN </t>
  </si>
  <si>
    <t>REPLACEMENT OF L09_DPVE2_073E_DW. APPROVED ON SEPTEMBER 16,2021. Stopped on OCTOBER 11, 2021, ALREADY BREAKTHROUGH TO AN OLD MAINLINE</t>
  </si>
  <si>
    <t>L09_DPVE2_016E_RAISE</t>
  </si>
  <si>
    <t>L10_GHV_005E_DE</t>
  </si>
  <si>
    <t>REPLACEMENT OF L04_CTV_009E_DE. APPROVED ON OCT 5, 2021.stopped on oct.14,2021.</t>
  </si>
  <si>
    <t>REPLACEMENT OF L04 CV 022W DW. Approved on Oct 7, 2021.stopped on oct.14,2021</t>
  </si>
  <si>
    <t>REPLACEMENT OF L04 GHVSPLIT 032W DE. Approved on Oct 7, 2021.stopped on oct.14,2021.</t>
  </si>
  <si>
    <t>REPLACEMENT OF L09_JV_032E_DW. APPROVED ON SEPTEMBER 17,2021. ADDITIONAL VERTICAL DEVELOPMENT. APPROVED ON 9/25/2021.stopped ion oct.14,2021.</t>
  </si>
  <si>
    <t>REPLACEMENT OF L08_GHV_021E_DE APPROVED ON SEPTEMBER 6, 2021.STOPPED ON OCT.14,2021.</t>
  </si>
  <si>
    <t>L09_NONE_002E_XCS</t>
  </si>
  <si>
    <t>002E</t>
  </si>
  <si>
    <t>L07_GHV_037W_WINZE</t>
  </si>
  <si>
    <t>BORRERO</t>
  </si>
  <si>
    <t>L07_DPVE_018E_DE</t>
  </si>
  <si>
    <t>REPLACEMENT OF L09_NONE_040E_XCN. APPROVED ON AUGUST 3,2021.TEMPORARY STOPPED ON SEPTEMBER 17,2021 TO FOLLOW UP RAISE.resumed on September 21,2021.STOPPED ON OCT 15, 2021. VEIN PINCHED OUT.</t>
  </si>
  <si>
    <t>L04_CTV_009E_RAISE</t>
  </si>
  <si>
    <t>DUHIG P4</t>
  </si>
  <si>
    <t>REPLACEMENT OF L06 JV 010E ROBBING. APPROVED ON SEPTEMEBR 21, 2021.STOPPED ON OCT 16, 2021. VEIN PINCHED OUT.</t>
  </si>
  <si>
    <t>L06_JVFW_008W_DE</t>
  </si>
  <si>
    <t>L04_JVSPLIT_028E_WINZE</t>
  </si>
  <si>
    <t>REPLACEMENT L05_CTV_037W_STOPE PREP. APPROVED ON SEPTEMBER 11, 2021.TEMPORARY STOPPED ON OCT 16, 2021 TO PRIORITIZE L05_JV_022E_STOPE.</t>
  </si>
  <si>
    <t>L09_GHVFW_038E_STOPE PREP</t>
  </si>
  <si>
    <t>REPLACEMENT OF L07 JVHW 036E RAISE. APPROVED ON SEP 22 2021. TEMP STOPPED ON 10/15/21.</t>
  </si>
  <si>
    <t>L04_CV_017W_DE</t>
  </si>
  <si>
    <t>REPLACEMENT OF L10_DPVE_035E_DW APPROVED ON AUGUST 9, 2021. TEMPORARY STOPPED ON AUGUST 15,2021 DUE TO POSITIVE TO COVID AND CLOSE CONTACT REMAINING MEMBER WILL BE MERGE TO OTHER WP OF MR. TAÑEZA.RESUMED ON AUG. 24, 2021. temporary stopped on September 2,2021 due to lack of manpower notified on September 7,2021.RESUMED ON SEPTEMBER 9,2021 AT THE SAME TIME TRANSFER FROM TAÑEZA 8 TO OLIVEROS 2. STOPPED ON OCT 18, 2021 DUE TO VEIN PINCHED OUT.</t>
  </si>
  <si>
    <t>L09_DPVE_044E_RAISE</t>
  </si>
  <si>
    <t>L10_DPVE_026E_STOPE PREP</t>
  </si>
  <si>
    <t>L08_DPVE_052E_DW</t>
  </si>
  <si>
    <t>L11_GHV_058E_DW</t>
  </si>
  <si>
    <t>L06_NONE_013E_XCS</t>
  </si>
  <si>
    <t>CONVERTED TO STOPE BREAKING ON AUGUST 16, 2021. REPLACEMENT OF L06_JVFW_037E_WINZE STOPE PREP.CONVERTED TO PULL-OUT ON OCT.4,2021.STOPPED ON OCT.19, 2021</t>
  </si>
  <si>
    <t>REPLACEMENT OF L07_JV_009W_DW.APPROVED ON SEP 10 2021.TEMP STOPPED ON SEPT.21,2021.RESUME ON SEPT.24 ,2021.STOPPED ON OCT.19,2021.</t>
  </si>
  <si>
    <t>L06_GHV_003W_RAISE</t>
  </si>
  <si>
    <t>REPLACEMENT OF L09_JVSPLIT_074E_STOPE PREP APPROVED ON SEPT.17,2021. TEMPORARY STOPPED ON SEPTEMBER 19, 2021 DUE TO ON-GOING COUNSELING BETWEEN TL AND MINERS.RESUMED ON SEPTEMBER 20,2021.CONVERTED TO PULL-OUT CLEANING ON OCT.9,2021.stopped on OCT.14,2021.</t>
  </si>
  <si>
    <t>L08_GHVFW_002W_DE_ISL</t>
  </si>
  <si>
    <t>REPLACEMENT OF L06_JVSPLIT_030E_DW. APPROVED ON SEPTEMBER 21, 2021.STOPPED ON OCT.20,2021 VEIN PINCHED OUT</t>
  </si>
  <si>
    <t>L04_GHVFW_016E_DW</t>
  </si>
  <si>
    <t>SHEPHERD AQ 2</t>
  </si>
  <si>
    <t>REPLACEMENT OF L04_CTV_009E_DW . APPROVED ON 10/15/2021.STOPPED ON OCT 20, 2021, VEIN PINCHED OUT.</t>
  </si>
  <si>
    <t xml:space="preserve">REPLACEMENT OF L04_JV_028W_DE_ISL.. APPROVED ON SEPTEMBER 27, 2021.STOPPED ON OCT 21, 2021. VEIN PINCHED OUT.
</t>
  </si>
  <si>
    <t>REPLACEMENT OF L06_DPVE_024E_WINZE STOPE PREP.APPROVED ON AUG. 4, 2021.CONVERTED POLL-OUT ON SEPT.21,2021.ALEADY MINED OUT ON OCT 21, 2021 WITH 99% PULL OUT.</t>
  </si>
  <si>
    <t>ADDITIONAL HORIZONTAL DEVELOPMENT. APPROVED ON SEPTEMBER 23, 2021.STOPPED ON OCT 21, 2021. VEIN PINCHED OUT.</t>
  </si>
  <si>
    <t>L07_DPVE_017E_DW</t>
  </si>
  <si>
    <t>REPLACEMENT OF L08_GHV_034W_STOPE PREP. APPROVED ON AUGUST 25 2020.TRANSFERED FROM VERSOSA TO CABONITA ON FEB. 17, 2021. Stopped on April 13,2021 convert to pull out cleaning.STOPPED ON APRIL 16, 2021 DUE TO LOW GRADE.RESUME ON 8/14/2021 AND RECOVERED BY PMC GROUP at the same time tranferred  from cabonita 2 to PMC Workers.TRANSFER FROM PMC WORKERS TO VERSOZA 1 ON SEPTEMBER 21,2021.STOPPED ON OCT 21, 2021. CONSECUTIVE LOW ASSAY RESULT</t>
  </si>
  <si>
    <t>REPLACEMENT OF L09 JVSPLIT 072E RAISE. APPROVED ON SEPT 3, 2021.STOPPED ON OCT 21, 2021. VEIN PINCHED OUT,</t>
  </si>
  <si>
    <t>REPLACEMENT OF L09 GHVFW 052E RAISE. APPROVED ON SEPT 13, 2021.STOPPED ON OCT 21, 2021. ALREADY BREAKTHROUGH TO AN OLD STOPE.</t>
  </si>
  <si>
    <t>REPLACEMENT OF L08_GHVHW_054E_ROBBING APPROVED ON AUGUST 20, 2021.	LERIO 3
STOPPED ON OCT 21, 2021. ALREADY REACHED RECOMMENDED ELEVATION</t>
  </si>
  <si>
    <t>L04_JVFW_012E_ROBBING</t>
  </si>
  <si>
    <t>MARTINEZ RON 3</t>
  </si>
  <si>
    <t>REPLACEMENT OF L07 JVHW 038E_DE_ISL APPROVED ON SEP 1 2021.STOPPED ON OCT 22, 2021, VEIN PINCHED OUT.</t>
  </si>
  <si>
    <t>L07_JV_044E_ DW_ISL</t>
  </si>
  <si>
    <t>L08_JV_016E_WINZE</t>
  </si>
  <si>
    <t>REPLACEMENT OF L09_GHVHW_068E_STOPE PREP. APPROVED ON MAY 13,2021. CONVERTED TO PULL-OUT CLEANING ON  SEPTEMBER 6, 2021.STOPPED ON OCT.23,2021.</t>
  </si>
  <si>
    <t>L04_CTV_024E_ROBBING</t>
  </si>
  <si>
    <t>ADDITIONAL HORIZONTAL DEVELOPMENT DRIVE. APPROVED 10/19/2021. TEMP STOPPED DUE TO LACK OF MANPOWER ON OCTOBER 23, 2021.</t>
  </si>
  <si>
    <t>L04_JV_026W_ROBBING</t>
  </si>
  <si>
    <t>REPLACEMENT OF L06 GHV 025E WINZE, APPROVED ON SEPT 2, 2021. RENAMED FROM L06_JV_013E_ROBBING TO L06_JV_010E_ROBBING. AT THE SAME TIME CONVERTED FROM CROWN PILLAR TO SILL PILLAR ROBBING ON OCT 14, 2021.STOPPED ON OCT 26, 2021, ALREADY DONE ROBBING PILLAR.</t>
  </si>
  <si>
    <t xml:space="preserve"> REPLACEMENT OF L06_JV_019E_RAISE. APPROVED ON SEPTEMBER 17,2021. STOPPED ON OCT 25, 2021, BREAKTHROUGH TO PARALLEL MAINLINE.</t>
  </si>
  <si>
    <t>L06_JVSPLIT_028E_DW</t>
  </si>
  <si>
    <t>REPLACEMENT OF L05_CTV_026E_DE_ISL. APPROVED ON SEPT. 22, 2021.TEMP. STOPPED SEPTEMBER 22, 2021. RESUME ON 9/28/21. STOPPED,  ALREADY DONE STOPE PREPARATION ON OCT 23, 2021. NOT TO CONVERT TO STOPE BREAKING YET.</t>
  </si>
  <si>
    <t>REPLACEMENT OF L10_GHV_070E_STOPE PREP. APPROVED ON JUNE 27 2020.STOPPED ON JULY 1, 2021 AT THE SAME TIME CONVERTED TO PULL-OUT CLEANING. CONVERT FROM STOPE PULL OUT TO ROBBING PILLAR (RECOVERY OF OLD MUCK) ON OCT 26, 2021. MANAGEMENT DECISION.</t>
  </si>
  <si>
    <t>L10_GHV_070E_ROBBING</t>
  </si>
  <si>
    <t>REPLACEMENT OF L08_JVSPLIT_068E_DW APPROVED ON 9/22/2021. STOPPED ON OCT 26, 2021. ALREADY REACHED RECOMMENDED STRIKE LENGTH.</t>
  </si>
  <si>
    <t>REPLACEMENT OF L08_GHVHW_011W_RAISE APPROVED ON MAY 4,2021, from L08_JVSPLIT_064E_DW to L08_JVSPLIT_065E_DW on May 5,2021.RENAMED ON 5/10/2021. RESUMED ON JULY 13,2021 AT THE SAME TIME TRANSFER FROM SHEPHERD AJ 3 TO SHEPHERD AJ 1.TEMPORARY STOPPED ON JULY 5,2021 TO FOLLOW UP RAISE. FROM L08_JVSPLIT_065E_DW TO L08_JVSPLIT_066E_DW TO AVOID MISCHARGING.RESUMED ON JULY 13,2021 AT THE SAME TIME TRANSFER FROM SHEPHERD AJ 3 TO SHEPHERD AJ 1.TEMPORARY STOPPED ON 8/17/21 TO PRIORITIZE 67 STOPE PREP.RESUMED ON AUG. 27, 2021. TEMPORARILY STOPPED ON AUGUST 26, 2021 TO DO BL0CK RAISE.RESUME ON SEPTEMBER 2,2021. STOPPED ON OCTOBER 2, 2021. UNSERVICEABLE AREA.resume on 10/13/2021. STOPPED ON OCT 26, 2021. ALREADY REACHED RECOMMENDED STRIKE LENGTH.</t>
  </si>
  <si>
    <t>L09_DPVE2_046E_RAISE</t>
  </si>
  <si>
    <t>replacement of L07_JV_009W_DW. APPROVED ON OCT 7 2021.TEMPORARRY STOPPED ON OCT 26, 2021 DUE TO ABSENTEEISM.</t>
  </si>
  <si>
    <t>ADDITIONAL VERTICAL DEVELOPMENT. APPROVED ON AUGUST 26,2021.STOPPED ON OCT 26, 2021 ALREADY REACHED ITS EXPECTED ELEVATION.</t>
  </si>
  <si>
    <t>L10_GHVFW_053E_RAISE</t>
  </si>
  <si>
    <t>REPLACEMENT OF L09_JV_058E_STOPE PREP.APPROVED ON MAY 27, 2021. MINE GEOLOGY RECOMMENDS TO ALWAYS MONITOR BREAKING WITH 1.20M DUE TO NARROW VEIN STRUTURE EVAL. ON AUGUST 9, 2021.STOPPED ON OCT.22,2021 CONVERTED TO PULL-OUT CLEANING</t>
  </si>
  <si>
    <t>L05_JV_024E_WINZE STOPE PREP</t>
  </si>
  <si>
    <t>L09_GHVSPLIT_066E_STOPE</t>
  </si>
  <si>
    <t>REPLACEMENT OF L09 GHVSPLIT 066E RAISE. APPROPVED ON SEPT 10, 2021.STOPPED ON OCT.22,2021.</t>
  </si>
  <si>
    <t>L09_JV_032E_STOPE</t>
  </si>
  <si>
    <t>REPLACEMENT OF L09_JV_029E_RAISE. APPROVED ON SEPT 28, 2021.STOPPED ON OCT.25,2021</t>
  </si>
  <si>
    <t>TO TARGET DRILLING INTERCEPT.APPROVED ON 8/20/2021.  TEMPORARY STOPPED ON AUG. 25, 2021 DUE TO PROBLEM ON TRAMMING CONGESTION AS THERE WAS ON-GOING ADVANCEMENT AT L05 DPVE 034E WINZE. resumed on September 8, 2021. TEMPORARY STOPPED ON SEPTEMBER 18, 2021 DUE TO INSUFFICIENT MANPOWER. MANPOWER ON THIS WP WILL BER MERGED TO L05 DPVE 043E STOPE PREP. RESUMED ON OCT 8 2021. TRANSFER FROM BAYOBAY TO SAMBERE.STOPPED ON OCT 26, 2021, CONVERTED TO ON VEIN DRIVE</t>
  </si>
  <si>
    <t>REPLACEMENT OF L05_DPVE_044E_WINZE. APPROVED ON SEPT 7, 2021.STOPPED ON OCT 26, 2021. CONVERTED TO WINZE STOPE PREP</t>
  </si>
  <si>
    <t xml:space="preserve">PANCIT, NOEL </t>
  </si>
  <si>
    <t>PANCIT, NOEL</t>
  </si>
  <si>
    <t>L05_DPVE_044E_WINZE STOPE PREP</t>
  </si>
  <si>
    <t>L05_DPVE_037E_DE</t>
  </si>
  <si>
    <t>REPLACEMENT OF L07_GHVSPLIT_042E_DW.APPROVED ON SEP  10 2021. TRANSFER FROM CARIKITAN TO TURRA ON SEP 13 2021. CARIKITAN WILL DO CLEANING ACTIVITIES FOR PREPARATION FOR NEW WP.RENAMED FORM L07_DPVE_046E_RAISE ON SEPT.16,2021.STOPPED ON OCT.19,2021. RESUMED ON OCTOBER 5, 2021.STOPPED ON OCT 26, 2021 DUE TO VEIN PINCHED OUT.</t>
  </si>
  <si>
    <t>REPLACEMENT OF L10_JV_051E_RAISE, APPROVED ON OCT 14, 2021.STOPPED ON OCT 27, 2021. VEIN PINCHED OUT.</t>
  </si>
  <si>
    <t>REPLACEMENT OF L05_JVSPLIT_036E_STOPE PREP APPROVED ON OCT.9,2021.STOPPED ON OCT.15,2021.ALREADY DONE IPR, RESUMED ON OCT 19, 2021.STOPPED BREAKING, BREAKTHROUGH TO AN OLD STOP, CONVERT TO PULL OUT CLEANING OCT 27, 2021.</t>
  </si>
  <si>
    <t>L08_JV_074E_DW_ISL</t>
  </si>
  <si>
    <t>AGLOLO MIGUEL</t>
  </si>
  <si>
    <t>REPLACEMENT OF L09 JVSPLIT 025E STOPE PREP. APPROVED ON AUGUST 6, 2021.STOPPED STOPE BREAKING ONT OCT 22, 2021. CONVERT TO STOPE PULL OUT CLEANING.</t>
  </si>
  <si>
    <t>L09_DPVE_006E_RAISE</t>
  </si>
  <si>
    <t>REPLACEMENT OF L07 CTV 027E ROBBING.APPROVED ON OCT 13 2021.TEMPORARRY STOPPED ON OCT 25, 2021 DUE TO LACK OF MANPOWER.</t>
  </si>
  <si>
    <t>010W</t>
  </si>
  <si>
    <t>REPLACEMENT OF L08 JV 16E STOPE PREP,APPROVED ON 4/11/19-LTS.STOPPED ON JULY 23, 2019 DUE TO UNSAFE CONDITION CONVERT TO PULL OUT-LTS. RESUMED PULL-OUT ON AUGUST 18,2021 AT SAME TIME TRANSFER FROM AGLOLO 1 TO PMC WORKERS. TRANSFER FROM PMC WORKERS TO REVITA 1 ON SEPTEMBER 21,2021. STOPPED ON OCT 7, 2021 DUE TO CONSECUTIVE LOW GRADE.</t>
  </si>
  <si>
    <t>L08_DPVE_067E_WINZE</t>
  </si>
  <si>
    <t>L08_JV_053E_ROBBING</t>
  </si>
  <si>
    <t>L05_CTV_019W_ROBBING</t>
  </si>
  <si>
    <t>L09_JV_047E_WINZE</t>
  </si>
  <si>
    <t>L09_NONE_067E_XCN</t>
  </si>
  <si>
    <t>REPLACEMENT OF L06_JVSPLIT_016E_WINZE STOPE. APPROVED ON JUNE 28, 2021.STOPPED ON OCT 28, 2021. DUE TO CONSECUTIVE LOW ASSAY RESULT</t>
  </si>
  <si>
    <t>REPLACEMENT OF L06_GHVFW_042W_DW.APPROVED ON JUNE 2, 2021. STOPPED ON AUGUST 12,2021 PRODUCED LOW GRADE.  RESUMED ON OCT 6, 2021 TO BREAK SILL PILLAR, AT THE SAME TIME TRANSFER FROM SHEPHERD AA 1 TO REBOTE 2.STOPPED ON OCT 28, 2021. DUE TO CONSECUTIVE LOW ASSAY RESULT</t>
  </si>
  <si>
    <t>L09_GHV_003E_ROBBING</t>
  </si>
  <si>
    <t>L10_GHV_006W_DW</t>
  </si>
  <si>
    <t>APPROVED ON OCT 19, 2021. SPECIAL PROJECT FOR UNDERGROUND SERVICES LINES.STOPPED ON OCT 29, 2021, ALREADY DONE.</t>
  </si>
  <si>
    <t>L06_NONE_016E_RAISE</t>
  </si>
  <si>
    <t>REPLACEMENT OF L05 JV_027E_WINZESTOPE. APPROVED ON SEPT. 20, 2021.STOPPED ON OCT.24,2021</t>
  </si>
  <si>
    <t>REPLACEMENT OF L04_GHVFW_005E_WINZE STOPE PREP. APPROVED ON JUNE 13, 2019. CONVERTED TO PULL-OUT ON SEPT 13, 2019.</t>
  </si>
  <si>
    <t>REPLACEMENT OF L04_GHVFW_017E_STOPE PREP. APPROVED ON  JUNE 28, 2019.STOPPED CONVERT TO PULL-OUT CLEANING ON AUGUST 1, 2019.</t>
  </si>
  <si>
    <t>REPLACEMENT OF L04_JV_024W_STOPE PREP. APPROVED ON FEB 23, 2019. MZC. STOPPED ON APRIL 25, 2019. CONVERT TO PULL-OUT.</t>
  </si>
  <si>
    <t>REPLACEMENT OF L04_GHVFW_014E_STOPE PREP. APPROVED ON FEB. 13, 2019. RECOMMEND TO IPR STARTING AT 8METERS FROM 14E RAISE. STOPPED BREAKING AND CONVERTED TO STOPE PULL-OUT ON MARCH 19, 2019.</t>
  </si>
  <si>
    <t>REPLACEMENT OF L04_NV_011E_RAISE. APPROVED ON DECEMBER 15, 2018. ON WEST POSITION. CONVERTED TO BREAKING ON JANUARY 21, 2019. STOPPED BREAKING ON JAN 28, 2019.</t>
  </si>
  <si>
    <t>REPLACEMENT AND BLOCKING RAISE OF L08_JVSPLIT_064E_RAISE. APPROVED ON 9/29/2021. RENAMED FROM L08_JVSPLIT_066E_RAISE TO L08_JVSPLIT_060E_RAISE APPROVED ON 10/10/21.TEMPORARRY STOPPED ON OCT 29, 2021 DUE TO ABSENTEEISM.</t>
  </si>
  <si>
    <t>L07_JV_010W_DE</t>
  </si>
  <si>
    <t>L06_JVHW_027W_DW</t>
  </si>
  <si>
    <t>REPLACEMENT OF L06_CTV_001E_DW APPROVED ON Oct 4 2021.STOPPED ON OCT 30. 2021 DUE TO LOW GRADE.</t>
  </si>
  <si>
    <t>L06_JVHW_030W_ROBBING</t>
  </si>
  <si>
    <t>L08_GHV_050E_ROBBING</t>
  </si>
  <si>
    <t>APPROVED ON OCT 14, 2021. ADDITIONAL EXPLORATION TO TARGET DRILLING INTERCEPT.STOPPED ON OCT 29, 2021 CONVERTED TO ONVEIN DRIVE.</t>
  </si>
  <si>
    <t>L04_JVFW_014E_DW</t>
  </si>
  <si>
    <t>REPLACEMENT OF L05_CTV_023W_DE. APPROVED ON AUG. 18, 2021. Temporary stopped on August 30, 2021 to prioritize L05 CTV 024W DW.RESUME ON SEPTEMBER 10,2021.SAFETY CONCERN EVALUATION. STOPPED ON OCT 30, 2021 LOW CUT SAMPLE RESULT, CONVERT TO CROWN PILLAR ROBBING.</t>
  </si>
  <si>
    <t>SHEPHERD RG</t>
  </si>
  <si>
    <t>REPLACEMENT OF L09 JVSPLIT 025E STOPE PREP. APPROVED ON AUGUST 6, 2021.STOPPED STOPE BREAKING ONT OCT 22, 2021. CONVERT TO STOPE PULL OUT CLEANING. STOPPED ON OCT 27, 2021, ALREADY MINED OUT</t>
  </si>
  <si>
    <t>L04_JV_017E_DE</t>
  </si>
  <si>
    <t>REPLACEMENT OF L10 JVSPLIT 075E DE. APPROVED ON OCT. 5, 2021.STOPPED ON NOV 3, 2021 DUE TO CONSECUTIVE LOW ASSAY RESULT.</t>
  </si>
  <si>
    <t>REPLACEMENT OF L10_DPVE_072E_DW APPROVED ON SEPTEMBER 15,2021. RENAMED FROM L10_DPVE_072E_RAISE TO L10_DPVE_074E_RAISE TO AVOID MISCHARGING TO L10_DPVE_072E_DW ON SEPTEMBER 16,2021. STOPPED ON NOV 3, 2021 DUE TO CONSECUTIVE LOW ASSAY RESULT.</t>
  </si>
  <si>
    <t>REPLACEMENT OF L08_DPVE_081E_DE_ISL, APPROVED ON OCT 23, 2021. STOPPED ON NOV 3, 2021. DRIVING TOWARDS EXPLOSIVE MAGAZINE OF LEVEL 9.</t>
  </si>
  <si>
    <t>REPLACEMENT OF L08_GHVFW_002W_WINZE. APPROVED ON 9/29/2021. STOPPED ON NOV 3, 2021. ALREADY REACHED RECOMMENDED STRIKE LENGTH.</t>
  </si>
  <si>
    <t>REPLACEMENT OF L09 DPVE2 046E DW. APPROVED ON OCT 26, 2021.  STOPPED ON NOV 3, 2021. VEIN PINCHED OUT.</t>
  </si>
  <si>
    <t>L08_GHVFW_002W_WINZE STOPE PREP</t>
  </si>
  <si>
    <t>L07_JV_011W_ROBBING</t>
  </si>
  <si>
    <t>L07_CTV_013E_ROBBING</t>
  </si>
  <si>
    <t>L06_JVSPLIT_013E_RAISE</t>
  </si>
  <si>
    <t>REPLACEMENT OF L06_JVSPLIT_012E_DE. APPROVED ON SEPTEMBER 24, 2021. STOPPED ON NOV 4 2021 REPLACED BY BLOCKING RAISE.</t>
  </si>
  <si>
    <t>L08_GHVFW_027E_ROBBING</t>
  </si>
  <si>
    <t>REPLACEMENT OF L09 DPVE 040E DE. APPROVED ON OCT 25, 2021.Rename FROM L09_NONE_056E_XCN TO L09_NONE_067E_XCN ON OCT,27,2021. STOPPED ON NOV 3, 2021 ALREADY HIT TARGET VEIN</t>
  </si>
  <si>
    <t>L09_DPVE_067E_DE</t>
  </si>
  <si>
    <t>REPLACEMENT OF L05_NONE_051E_XCN APPROVED ON JULY 3,2021.STOPPED ON JULy 9,2021.RESUMED ON SEPTEMBER 22, 2021. STOPPED ON NOV. 4, 2021.</t>
  </si>
  <si>
    <t>L05_DPVE_053E_RAISE</t>
  </si>
  <si>
    <t>L05_CTV_021W_ROBBING</t>
  </si>
  <si>
    <t>ADDITIONAL VERTICAL DEVELOPMENT APPROVED ON AUGUST 30, 2021.STOPPED ON NOV 11, 2021. NEAR TO LEVEL 9 ELEVATION, NOT TO BREAKTHROUGH.</t>
  </si>
  <si>
    <t>REPLACEMENT OF L08_GHV_025E_WINZE STOPE PREP. APPROVED ON SEPTEMBER 8,2021.stopped on nov.4,2021 converted to pull-out</t>
  </si>
  <si>
    <t>L09_GHVFW_055E_RAISE</t>
  </si>
  <si>
    <t>L08_DPVE_081E_ROBBING</t>
  </si>
  <si>
    <t xml:space="preserve">REPLACEMENT OF L10_DPVE_030E_RAISE. APPROVED ON SEPTEMBER 1,2021. STOPPED ON NOV 5, 2021, HAS 10 M BALANCE TO LEVEL 9, NOT TO BREAKTHROUGH.
</t>
  </si>
  <si>
    <t>L07_DPVE_045E_STOPE PREP</t>
  </si>
  <si>
    <t>REPLACEMENT OF L07_NONE_002E_XCS. APPROVED ON 10/15/2021.TEMPORARRY STOPPED ON OCT 21, 2021. TO PRIORTIZE DRIFT WEST.RESUMED ON OCT 27, 2021. STOPPED ON NOV 5 2021.VEIN PINCHED OUT.</t>
  </si>
  <si>
    <t>L07_DPVE_017E_RAISE</t>
  </si>
  <si>
    <t>L09_GHVFW_050E_RAISE</t>
  </si>
  <si>
    <t>REPLACEMENT OF L10 GHVHW 053E RAISE. APPROVED ON MARCH 9,2020. Stopped on June 20, 2020. RESUMED ON AUGUST 26,2021 TO DO REHAB AT THE SAME TIME TRANSFER TAÑEZA 2 TO LARGO 1.RENAMED FROM L10_GHVHW_059E_RAISE TO L10_GHVHW_060E_RAISE TO AVOID MISCHARGING TO L10_GHV_059E_STOPE ON SEPTEMBER 16,2021. STOPPED ON NOV 5, 2021 ALREADY NEAR LEVEL 9 ELEVATION.</t>
  </si>
  <si>
    <t>L04_JVFW_010E_STOPE PREP</t>
  </si>
  <si>
    <t>L09_GHV_068E_ROBBING</t>
  </si>
  <si>
    <t>REBOTE JOSELITO</t>
  </si>
  <si>
    <t>REPLACEMENT OF L04_CV_025W_STOPE PREP. APPROVED ON SEPTEMBER 25, 2021. STOPPED BREAKING AND CONVERT TO PULL-OUT STAGE ON NOVEMBER 6, 2021.</t>
  </si>
  <si>
    <t>L10_DPVE_024E_RAISE</t>
  </si>
  <si>
    <t>SHEPHERD AC 2</t>
  </si>
  <si>
    <t xml:space="preserve"> Replacment of L06_JVFW_017E_WINZE.apptoved on Sep 27 2021. STOPPED ON NOV 6, 2021 VEIN PINCHED OUT.</t>
  </si>
  <si>
    <t>REPLACEMENT OF L07_DPVE_018E_DE. APPROVED ON OCT 21, 2021. STOPPED ON NOVEMBER 5, 2021.</t>
  </si>
  <si>
    <t>REPLACEMENT OF L05 JVFW 015W stope prep. CONVERT TO STOPE BREAKING ON SEPTEMBER 5, 2021. STOPPED ON NOV. 4, 2021 CONVERTED TO PULL OUT.</t>
  </si>
  <si>
    <t>REPLACEMENT OF L05 CTV 026E WINZE STOPE PREP, APPROVED ON OCT 28, 2021.STOPPED ON NOV. 6, 2021 FINISHED HEADING.</t>
  </si>
  <si>
    <t>APPROVED ON 11/1/2021 . ADDITIONAL HORIZONTAL DEVELOPMENT DRIVE. FIRST BLAST OCT 27, 2021. Renamed from L04_JV_018E_DE ON NOV. 3, 2021. STOPPED ON NOV. 9, 2021 OFF VEIN.</t>
  </si>
  <si>
    <t>L07_JV_010W_DW</t>
  </si>
  <si>
    <t>L07_JV_012W_RAISE</t>
  </si>
  <si>
    <t>REPLACEMENT OF L09 DPVE 040E DE. APPROVED ON OCT 17, 2021. TRANSFER TEAM LEADER FROM DELOS REYES V1 TO ESPADA 1, MGMT DECISION. APPROVED ON OCT 22, 2021.TRANSFER WORKPLACE FROM ESPADA 1 TO PANSIT 6, ESPADA 1 HAS NO ADVANCE ON THE SAID WORKING PLACE, APPROVED ON OCT 26, 2021. STOPPED ON NOV 9, 2021 DUE TO LOW GRADE.</t>
  </si>
  <si>
    <t>057W</t>
  </si>
  <si>
    <t>L06_CTV_011E_DW_ISL</t>
  </si>
  <si>
    <t>L06_JV_004W_RAISE</t>
  </si>
  <si>
    <t>L06_CTV_006E_WINZE</t>
  </si>
  <si>
    <t>L06_DPVE_019E_DE</t>
  </si>
  <si>
    <t>L05_JVFW_015W_WINZE STOPE</t>
  </si>
  <si>
    <t>L10_GHVFW_052E_DW</t>
  </si>
  <si>
    <t>ADDITIONAL SOURCE OF GOOD ORE. APPROVED ON OCT 29, 2021 (CROWN PILLAR). RENAMED FROM L07_CTV_007E_ROBBING ON NOV 4 2021.  TEMPORARY STOPPED ON NOV 9 2021.</t>
  </si>
  <si>
    <t>REPLACEMENT OF L09_DPVE_039E_DW. APPROVED ON SEPT 28, 2021.TRANSFER FROM DELOS REYES 2 TO BABOR 2 ON OCT 4, 2021. DELOS REYES ALREADY DONE FOLLOW UP RAISE. STOPPED ON NOV 10, 2021, TO BE CONVERTED TO STOPE PREP.</t>
  </si>
  <si>
    <t>L09_DPVE_036E_STOPE PREP</t>
  </si>
  <si>
    <t>REPLACEMENT OF L09 DPVE2 018E DW. APPROVED ON OCT 14, 2021. STOPPED ON NOV 10, 2021 DUE TO LOW GRADE.</t>
  </si>
  <si>
    <t>L09_GHVFW_030E_RAISE</t>
  </si>
  <si>
    <t>CROSSCUT FOR EAST PRIMARY EXHAUST (EPE) PROJECT OF VENTILATION APPROVED ON JULY 30, 2021.TRANSFER FROM MONTEBON 1 TO PMC MINERS 5 ON SEPTEMBER 23,2021. ALREADY DONE ALIMAK NEST, STOPPED ON NOV 9, 2021.</t>
  </si>
  <si>
    <t xml:space="preserve">L10_NONE_033E_RAISE            </t>
  </si>
  <si>
    <t>L10_NONE_033E_RAISE</t>
  </si>
  <si>
    <t>REPLACEMENT OF L08_JV_017W_DW APPROVED ON 10/8/21. STOPPED ON NOV 10, 2021 DUE TO LOW GRADE.</t>
  </si>
  <si>
    <t>L08_JV_018W_STOPE PREP</t>
  </si>
  <si>
    <t>REPLACEMENT OF L05_JVSPLIT_036E_STOPE PREP APPROVED ON OCT.9,2021.STOPPED ON OCT.15,2021.ALREADY DONE IPR, RESUMED ON OCT 19, 2021.STOPPED BREAKING, BREAKTHROUGH TO AN OLD STOP, CONVERT TO PULL OUT CLEANING OCT 27, 2021. MINE OUT ON NOV. 4, 2021.</t>
  </si>
  <si>
    <t>FERNANDEZ, RG</t>
  </si>
  <si>
    <t>L05_DPVE_051E_STOPE</t>
  </si>
  <si>
    <t>REPLACEMENT L05_DPVE_042E_RAISE.APPROVED ON OCT 8 2021. STOPPED ON NOV. 11, 2021 CONVERT TO ACTIVE STOPE BREAKING.</t>
  </si>
  <si>
    <t>L06_JV_010W_DW</t>
  </si>
  <si>
    <t>L08_GHV_004W_WINZE STOPE</t>
  </si>
  <si>
    <t>REPLACMENT OF L08_GHV_004W_DW.APPORVED ON OCT 12 2021. STOPPED ON 11/11/21 CONVERT TO ACTIVE STOPE BREAKING.</t>
  </si>
  <si>
    <t>REPLACEMENT OF L10_DPVE_031E_STOPE PREP. APPROVED ON DEC. 9 2020.TEMPORARY STOPPED BREAKING ON APRIL 21 2021, APPROACHING TO MAGAZINE CONVERT TO PULL OUT CLEANING.TEMP. STOPPED ON May 21,2021 waiting to transfer explosive magazine at Level 9. RESUMED BREAKING ON JUNE 23,2021.RENAMED FROM TAÑEZA 2 TO TAÑEZA 7 ON JUNE 29, 2021. STOPPED BREAKING ON NOVEMBER 6,2021 CONVERT TO PULL OUT CLEANING.</t>
  </si>
  <si>
    <t>ADDITIONAL SOURCE OF GOOD ORE RESERVE BLOCKS APPROVED ON MARCH 17, 2021.CONVERT TO ACTIVE BREAKING ON APRIL 7, 2021.TEMP STOPPED ON APRIL 8, 2021 REHAB MANWAY. Resumed on April 9,2021. STOPPED BREAKING ON OCTOBER 23,2021 CONVERT TO PULL OUT CLEANING.</t>
  </si>
  <si>
    <t>ADDITIONAL VERTICAL DEVELOPMENT. APPROVED ON NOVEMBER 9,2020.renameD from L10 GHVHW 070E WINZE TO L10 GHVHW 071E WINZE on Nov. 19 2020 to avoid mischarging. TEMP. STOPPED ON FEB. 8 2021 DUE TO NO AVAILABLE 13HP PUMP.RESUME ON FEB.16,2021. STOPPED ON OCTOBER 23,2021.</t>
  </si>
  <si>
    <t>REPLACEMENT OF L10_DPVE_046E_DW. APPROVED ON OCT 13, 2021. STOPPED ON NOVEMBER 11,2021 DUE TO OFF VEIN.</t>
  </si>
  <si>
    <t>REPLACEMENT OF L06_JVSPLIT_016E_ROBBING. APPROVED ON OCT 30, 2021. STOPPED ON NOV 11, 2021. LOW GRADE.</t>
  </si>
  <si>
    <t>L06_JVSPLIT_021E_ROBBING</t>
  </si>
  <si>
    <t>L06_JVHW_012W_DE</t>
  </si>
  <si>
    <t>FOR REHAB @ L06, APPROVED ON NOV. 18 2020. REHAB 6 METERS STARTING ON NOV. 30 2020.TEMPORARY STOPPED ON 3/2/21 ENGINEERING PURPOSES.PERMANENTLY STOPPED ON NOV 11 2021</t>
  </si>
  <si>
    <t>ADDITIONAL VERTICAL DEVT DRIVE. APPROVED ON JULY 13, 2021.TEMP.STOPPED ON AUG. 4, 2021 RECOMMEND FOR SAFETY INSPECTIONS.PERMANENTLY STOPPED ON NOV 11 2021</t>
  </si>
  <si>
    <t>REPLACEMENT OF L07_JV_011W_DW. APPROVED ON OCT 29, 2021.stopped on Nov 9 2021</t>
  </si>
  <si>
    <t>L08_DPVE_036E_DW_ISL</t>
  </si>
  <si>
    <t>L08_DPVE_003E_RAISE</t>
  </si>
  <si>
    <t xml:space="preserve"> REPLACEMENT OF L07_DPVE_026E_DE_ISL. APPROVED ON SEPTEMBER 24,2021.stopped on Nov 12 2021</t>
  </si>
  <si>
    <t>L07_DPVE_018E_RAISE</t>
  </si>
  <si>
    <t>Additional horizontal devt drive. APPROVED ON OCT 7, 2021.STOPPED ON NOVEMBER 12,2021 NOT RECOMMENDED FOR BREAKTHROUGH TO OPPOSITE MAINLINE.</t>
  </si>
  <si>
    <t>REPLACEMENT OF L08_GHV_025E_WINZE STOPE PREP. APPROVED ON SEPTEMBER 8,2021.stopped on nov.4,2021 converted to pull-out. STOPPED ON NOVEMBER 12,2021 TO ALREADY MINED OUT (119%)</t>
  </si>
  <si>
    <t>L08_GHV_030E_DE_ISL</t>
  </si>
  <si>
    <t>L09_GHVFW_038E_STOPE</t>
  </si>
  <si>
    <t>APPROVED ON OCT 17, 2021. REPLACEMENT OF L09 GHVFW 038E RAISE.TEMP. STOPPED ON NOVEMBER 13, 2021</t>
  </si>
  <si>
    <t>REPLACEMENT OF L06_GHV_026E_STOPE.APPROVED ON JUNE 4, 2021.STOPPED BREAKING ON SEPT 3,2021 AT THE SAME TIME CONVERTED TO POLL-OUT CLEANINGSTOPE ON NOV.13,2021 MINED OUT.</t>
  </si>
  <si>
    <t>L08_DPVE_070E_DW_ISL</t>
  </si>
  <si>
    <t>REPLACEMENT OF L08_JVSPLIT_006E_DW APPROVED ON OCT.27,2021.stopped on nov.15,2021</t>
  </si>
  <si>
    <t>REPLACEMENT OF L04_CTV_021W_ROBBING APPROVED ON JULY 8,2021.stopped on oct.19 ,2021 unsafe.RESUME ON OCT.20, 2021.stopped on nov. 15,2021 converted to pull-out cleaning</t>
  </si>
  <si>
    <t>ADDITIONAL HORIZONTAL DEVT DRIVE. APPROVED ON OCT 21, 2021. HAS 10 METERS REMAINING TO CONNECT TO ACTIVE MAINLINE STARING NOV. 6, 2021.STOPPED ON NOV. 15,2021.</t>
  </si>
  <si>
    <t>L12_GHVHW_052E_DE</t>
  </si>
  <si>
    <t>REPLACEMENT OF L06_CTV_004W_WINZE. APPROVED ON SEPTEMBER 25, 2021.stopped on NOv 10 2021.Low grade</t>
  </si>
  <si>
    <t>ADDITIONAL SOURCE OF GOOD ORE, FROM L06 CV 002W STOPE. Decided to charge to robbing due to additional activities to be done (with plastering of compacted ore and timbering). APPROVED ON SEPT 7, 2021.STOPPED ON NOV.15,2021.</t>
  </si>
  <si>
    <t>L10_NONE_063E_XCS</t>
  </si>
  <si>
    <t>L11_GHV_063E_DE_ISL</t>
  </si>
  <si>
    <t>REPLACEMENT OF L10_DPVE_026E_RAISE APPROVED ON AUGUST 9, 2021. STOPPED ON OCT 16, 2021, BREAKTHROUGH TO OLD MAINLINE.RESUMED ON OCT 20, 2021 TO CONTINUE VEIN EXTENSION.STOPPED ON NOVEMBER 15,2021 ALREADY BREAKTHROUGH.</t>
  </si>
  <si>
    <t>REPLACEMENT OF L07_DPVE_017E_DW. APPROVED ON NOV 5 2021. STOPPED ON NOV. 12, 2021.</t>
  </si>
  <si>
    <t>REPLACEMENT OF L10_DPVE_061E_DW, APPROVED ON OCT 13, 2021. STOPPED ON NOVEMBER 16, 2021 LOW GRADE.</t>
  </si>
  <si>
    <t>REPLACEMENT OF L10 JVSPLIT 075E DE. APPROVED ON OCT. 5, 2021.  STOPPED ON NOVEMBER 16,2021 CONVERT TO STOPE PREPARATION.</t>
  </si>
  <si>
    <t>L08_NONE_033W_XCS</t>
  </si>
  <si>
    <t>REPLACEMENT OF L07 JV 040E WINZE. APPROVED ON OCT 6 2021.TOPSLICE. STOPPED ON NOVEMBER 12, 2021.</t>
  </si>
  <si>
    <t>L09_NONE_056E_XCS</t>
  </si>
  <si>
    <t>REPLACEMENT OF L05_NONE_035E_XCS, APPROVED ON OCT 27, 2021. STOPPED ON NOV. 17, 2021 PINCHED OUT VEIN.</t>
  </si>
  <si>
    <t>REPLACEMENT OF L09_DPVE_040E_DE. APPROVED ON SEPTEMBER 17,2021. TEMPORARY STOPPED ON SEPTEMBER 21,2021.RESUMED ON OCT 4, 2021 AT THE SAME TIME TRANSFER FROM DELOS REYES 1 TO PANSIT 4. DELOS REYES ALREADY DONE FOLLOW UP RAISE. STOPPED ON NOV. 17, 2021. MEMO TO FOLLOW.</t>
  </si>
  <si>
    <t>L05_DPVE_037E_DW</t>
  </si>
  <si>
    <t>L10_JVSPLIT_068E_RAISE</t>
  </si>
  <si>
    <t>REPLACEMENT OF L05_DPVE_037E_DE. APPROVED ON NOV. 14, 2021. STOPPED ON NOVEMBER 17, 2021.</t>
  </si>
  <si>
    <t>REPLACEMENT OF L07_JV_008W_STOPE PREP ON OCTOBER 12,2021. STOPPED ON NOV. 9, 2021 ,FROM BREAKING TO PULL-OUT. APPROVED ON NOV. 9, 2021.STOPPED ON NOV.13,2021 MINED OUT</t>
  </si>
  <si>
    <t>REPLACEMENT OF L07_JV_008W_STOPE PREP ON OCTOBER 12,2021. STOPPED ON NOV. 9, 2021 converted to breakong</t>
  </si>
  <si>
    <t>L06_JVFW_036E_RAISE_ISL</t>
  </si>
  <si>
    <t>L06_JVFW_026W_RAISE</t>
  </si>
  <si>
    <t>ADDITIONAL HORIZONTAL DEVT DRIVE. APPROVED ON NOV 8, 2021. RENAMED FROM DE TO DW ON NOV 11 2021.TEMPORARY STOPPED NOV 18 2021</t>
  </si>
  <si>
    <t>L05_JV_036E_WINZE</t>
  </si>
  <si>
    <t>L04_JVFW_010E_STOPE</t>
  </si>
  <si>
    <t>BLIND STOPE. REPLACEMENT OF L04 JVFW 014E DW. APPROVED ON NOV. 4, 2021.RENAME FROM L04_JVFW_015E_STOPE PREP TO L04_JVFW_010E_STOPE PREP. STARDTING NOVEMBER 6, 2021.STOPPED ON NOV.18,2021</t>
  </si>
  <si>
    <t>COMAINGLING 2</t>
  </si>
  <si>
    <t>L08_DPVE_076E_RAISE</t>
  </si>
  <si>
    <t>L04_NONE_040W_XCN</t>
  </si>
  <si>
    <t>L07_DPVE_041E_WINZE STOPE</t>
  </si>
  <si>
    <t>REPLACEMENT OF L07 DPVE 041E DE_ISL.APPROVED ON OCT 6 2021.STOPPED ON NOV.16,2021</t>
  </si>
  <si>
    <t>Additional tonnage source. approved on Aug 23 2021.Sill pillar Robbing.TRANSFER FROM CAYABAS TO TURRA 2, APPROVED ON OCT 27, 2021.  TEMP STOPPED ON NOV. 17, 2021 DUE TO ABSENTEESM.RESUME ON NOV.19,2021</t>
  </si>
  <si>
    <t>040W</t>
  </si>
  <si>
    <t>L06_JVSPLIT_027E_RAISE</t>
  </si>
  <si>
    <t>L10_DPVE_026E_STOPE</t>
  </si>
  <si>
    <t>OLIVERS 2</t>
  </si>
  <si>
    <t>L10_GHV_066E_STOPE</t>
  </si>
  <si>
    <t>REPLACEMENT OF L10_GHVHW_056E_RAISE. APPROVED ON SEPTEMBER 25,2021. FINISHED STOPE PREPARATION ON NOVEMBER 15,2021 CONVERT TO ACTIVE BREAKING.</t>
  </si>
  <si>
    <t>L05_CTV_026E_DW_ISL</t>
  </si>
  <si>
    <t>L10_DPVE_073E_WINZE</t>
  </si>
  <si>
    <t>REPLACEMENT OF L08_DPVE_036E_DE_ISL. APPROVED ON NOV. 12, 2021. STOPPED ON NOVEMBER 22, 2021.</t>
  </si>
  <si>
    <t xml:space="preserve"> REPLACEMENT OF L08_DPVE_036E_WINZE. APPROVED ON SEPTEMEBR 21, 2021. stopped on Nov. 12, 2021</t>
  </si>
  <si>
    <t>L06_JV_043E_RAISE</t>
  </si>
  <si>
    <t>ADDITIONAL HORIZONTAL DEVT DRIVE. APPROVED ON OCT 25, 2021. Temporary stopped on Nov 23 2021 to prioritized follow up raise</t>
  </si>
  <si>
    <t>ADDITIONAL VERTICAL DEVELOPMENT Approved on Oct 20, 2021. Temporary stopped on Nov 19, 2021  to priority cleaning Mainline in preparation for Blocking raise.</t>
  </si>
  <si>
    <t>REPLACEMENT OF L10_DPVE_067E_STOPE PREP ON SEPT.22,2021. STOPPED BREAKING ON NOVEMBER 16,2021 CONVERT TO PULL OUT CLEANING ALREADY DONE TRAVERSE.</t>
  </si>
  <si>
    <t>REPLACEMENT OF L05_DPVE_040E_RAISE.APPROVED ON JULY 30, 2020. temporary stopped on July 31 2020. resumed on August 12,2020. TEMPORARY STOPPED ON OCT 9 2020 FOLLOW UP RAISE. RESUMED ON NOV 10 2020 IN THE SAME TIME TRANSFERRED FROM PANCIT NOEL TO SHEPHERD AD.TEMPORARILY STOPPED ON JAN 11 2021. RESUME ON 1/25/2021.  TEMP. STOPPED ON FEB 2 2021.RESUMED on March 26, 2021.TEMPORARY STOPPED ON 27/03/21.RESUMED ON APRIL 26, 2021.temorarily stopped on April 28 2021 to do bypass to rescue Mucking Machine.RESUME ON MAY 3, 2021. STOPPED ON MAY 27,2021 DUE TO CONSECUTIVE LOW ASSAY GRADES.resumed on Oct 28, 2021 at the same time transfer from Shepherd AD to Pancit, Noel. STOPPED ON NOVEMBER 23, 2021 PINCHED OUT VEIN.</t>
  </si>
  <si>
    <t>REPLACEMENT OF L05 CTV 023W WINZE. APPROVED ON OCT 30, 2021. Renamed from L05_CTV_024W_ROBBING. Starting on Nov. 3, 2021.RENAMED FROM L05_CTV_022W_ROBBING. STARTING NOV. 4, 2021. STOPPED ON NOVEMBER 23, 2021. MINED OUT.</t>
  </si>
  <si>
    <t>REPLACEMENT OF L09_DPVE_006E_DW. APPROVED ON OCT 27, 2021. STOPPED ON NOVEMBER 23, 2021.</t>
  </si>
  <si>
    <t>L09_DPVE_005E_RAISE</t>
  </si>
  <si>
    <t>REPLACEMENT OF L09_DPVE_008E_DE. APPROVED ON SEPTEMBER 16,2021. STOPPED ON NOVEMBER 23,2021 DUE TO VEIN PINCHED OUT.</t>
  </si>
  <si>
    <t>L05_DPVE_038E_DE</t>
  </si>
  <si>
    <t>L07_JVFW_040E_ROBBING</t>
  </si>
  <si>
    <t>ADDITIONAL DEVT DRIVE. APPROVED ON OCT 6, 2021.RENAMED FROML06_CTV_011E_DE_ISL ON NOV 9 2021. STOPPED ON NOVEMBER 24, 2021.</t>
  </si>
  <si>
    <t>REPLACEMENT OF L06_JVSPLIT_029E_DW. APPROVED ON OCT 25, 2021. STOPPED ON NOVEMBER 24, 2021 LOW GRADE.</t>
  </si>
  <si>
    <t>REPLACEMENT OF L08_JVSPLIT_061E_STOPE PREP. APPROVED ON FEB 2 2021.TEMP. STOPPED ON FEB. 25, 2021 TRANSFER TO STOPE PREP.RESUMED ON MARCH 5, 2021.TEMP.STOPPED ON APRIL 14, 2021 . STOPPED ON November 24, 2021. DUE TO CONSECUTIVE LOW BULK GRADE RESULTS.</t>
  </si>
  <si>
    <t>REPLACEMENT OF L04_CV_025W_STOPE PREP. APPROVED ON SEPTEMBER 25, 2021. STOPPED BREAKING AND CONVERT TO PULL-OUT STAGE ON NOVEMBER 6, 2021. STOPPED ON NOVEMBER 23, 2021. MINED OUT</t>
  </si>
  <si>
    <t>L08_GHVFW_026E_ROBBING</t>
  </si>
  <si>
    <t>L10_GHVFW_055E_STOPE PREP</t>
  </si>
  <si>
    <t>L10_GHVSPLIT_020E_DE</t>
  </si>
  <si>
    <t>REPLACEMENT OF L05_JV_024E_DE_ISL APPROVED ON OCT.24,2021.stopped on nov.24,2021</t>
  </si>
  <si>
    <t>L05_JV_024E_WINZE STOPE</t>
  </si>
  <si>
    <t>L05_DPVE_044E_WINZE STOPE</t>
  </si>
  <si>
    <t>REPLACEMENT OF L05_DPVE_044_DE_ISL. APPROVED ON OCT 27, 2021.STOPPED ON NOV.24,2021</t>
  </si>
  <si>
    <t>NOEL</t>
  </si>
  <si>
    <t>L08_GHVFW_002W_WINZE STOPE</t>
  </si>
  <si>
    <t>REPLACEMENT OF L08_GHVFW_002W_DE_ISL. APPROVED ON 11/4/2021.STOPPED OBN NOV.26,2021.</t>
  </si>
  <si>
    <t xml:space="preserve"> L12_NONE_048E_WINZE</t>
  </si>
  <si>
    <t>REPLACEMENT OF L09_JVSPLIT_070E_STOPE PREP ON OCT.8,2021. STOPPED BREAKING ON NOVEMBER 18,2021 DUE TO CONSECUTIVE LOW ASSAY GRADE, CONDUCTED TRAVERSE ON NOV 24,2021 AT THE SAME TIME CONVERT TO PULL OUT CLEANING.</t>
  </si>
  <si>
    <t>REPLACEMENT OF L09_DPVE2_060E_STOPE PREP APPROVED ON 9/9/21. STOPPED BREAKING ON NOVEMBER 25,2021 LOW GRADE IPR AND ALREADY REACHED THE STOPE DESIGN CONDUCTED TRAVERSE ON NOVEMBER 26,2021 AT THE SAME TIME CONVERT TO PULL OUT CLEANING.</t>
  </si>
  <si>
    <t>REPLACEMENT  OF L08_DPVE_018E_ROBBING. APPROVED ON 10/2/2021. TEMPORARRY STOPPED ON OCT 26, 2021. DUE TO ABSENTEEISM.RESUMED ON OCT 30, 2021 AT THE SAME TRANSFER TEAM LEADER FROM FERNANDEX REX TO VILLARANTE. STOPPED ON NOVEMBER 26,2021.</t>
  </si>
  <si>
    <t>L05_DPVE_048E_DE</t>
  </si>
  <si>
    <t>REPLACEMENT OF L05_DPVE_050E_DE. APPROVED NOV. 4, 2021.STOPPED ON NOV.29,2021</t>
  </si>
  <si>
    <t>L06_JVHW_029W_DE</t>
  </si>
  <si>
    <t>L06_CTV_011E_DE_ISL</t>
  </si>
  <si>
    <t>L04_EDV_014W_DE</t>
  </si>
  <si>
    <t>L10_GHVSPLIT_074E_STOPE</t>
  </si>
  <si>
    <t>L10_DPVE_081E_DE</t>
  </si>
  <si>
    <t>REPLACEMENT OF L06 JVFW 009W DE. APPROVED ON OCT 16, 2021. STOPPED ON NOV 6, 2021, TO DO FOLLOW UP RAISE.</t>
  </si>
  <si>
    <t>replacemEnt of L05_CTV_018W_ROBBING.APPROVED ON OCT 5 2021.STOPPED ON NOV.29,2021</t>
  </si>
  <si>
    <t>L07_JVSPLIT_016W_DW</t>
  </si>
  <si>
    <t>REPLACEMENT OF L10_GHVHW_059E_STOPE.APPROVED ON MAY 21, 2021.TEMPORARY STOPPED ON JUNE 11,2021 TO FOLLOW UP RAISE. RESUMED ON JUNE 19,2021. Temporary stopped on July 13,2021 to follow up raise.RESUMED ON JULY 21, 2021.Temporary stopped on July 30,2021. RESUMED ON SEPT 30, 2021, RENAMED FROM L10_GHVHW_061E_DW to L10_GHVHW_058E_DW TO AVOID MISCHARGING.STOPPED ON NOVEMBER 30,2021 HIGH ELEVATION DIFFERENCE NOT RECOMMENDED FOR BREAKTHROUGH.</t>
  </si>
  <si>
    <t>REPLACEMENT OF L09_JVFW_057E_STOPE PREP. CONVERTED TO STOPE BREAKING ON 9/14/21.TEMPORARRY STOPPED ON OCT 1, 2021, BREAKTHROUGH TO AN OLD STOPE, NEED TIMBERING. RESUMED ON OCT 8, 2021.STOPPED ON NOVEMBER 27,2021 DUE TO UNSAFE CONDITION (INTENSE SLABBING DUE TO SHEARED AND FAULTED GROUND CONDITION) THIS IS A BLIND STOPE AND NOT ADVISE FOR TRAVERSE ON NOVEMBER 27,2021 AT THE SAME TIME CONVERT TO PULL OUT CLEANING</t>
  </si>
  <si>
    <t>REPLACEMENT OF L07_CTV_013E_ROBBING. APPROVED ON NOV 9 2021.STOPPED ON NOV 25 2021.VEIN PINCHED OUT</t>
  </si>
  <si>
    <t>L07_DPVE_020E_DE</t>
  </si>
  <si>
    <t>L07_JV_067E_DW_ISL</t>
  </si>
  <si>
    <t>L07_JV_043E_RAISE</t>
  </si>
  <si>
    <t>L07_DPVE_045E_STOPE</t>
  </si>
  <si>
    <t>REPLACEMENT OF  L07_DPVE_018E_DE APPROVED ON NOV 5 2021.STOPPED ON NOV.25,2021 CONVERTED TO BREAKING</t>
  </si>
  <si>
    <t>L10_NONE_018E_XCN</t>
  </si>
  <si>
    <t>L04_EDV_018W_DW_ISL</t>
  </si>
  <si>
    <t>L09_GHVFW_049E_RAISE</t>
  </si>
  <si>
    <t>REPLACEMENT OF L04_JV_012W_ROBBING. APPROVED ON OCT 11, 2021. TEMP STOPPED ON NOV. 16, 2021. RESUMED ON NOVEMBER 22,2021. STOPPED ON DECEMBER 1, 2021.</t>
  </si>
  <si>
    <t>L10_DPVE_052E_DW</t>
  </si>
  <si>
    <t>DUHIG R1</t>
  </si>
  <si>
    <t>L08_NONE_029E_XCS</t>
  </si>
  <si>
    <t>L06_JV_020E_DE_ISL</t>
  </si>
  <si>
    <t>L06_CTV_008W_ROBBING</t>
  </si>
  <si>
    <t>FERNANDEZ RG</t>
  </si>
  <si>
    <t>DRIFT+CROSSCUT</t>
  </si>
  <si>
    <t>REPLACEMENT OF L07_JVHW_039E_DE, APPROVED ON OCT 26, 2021 (SILL PILLAR). RENAMED FROM L07_JV_010W_ROBBING ON NOV 4 2021. CONVERTED TO TOPSLICE ON NOV 9 2021. CONVERTED TO SILL PILLAR ROBBING ON NOV 15 2021. STOPPED ON NOVEMBER 27, 2021 FINISHED HEADING.</t>
  </si>
  <si>
    <t>FILL WINZE FOR WASTE PASS. APPROVED ON JULY 14, 2021. MINE GEOLOGY RECOMMEND'S TO RESUME THE FIRST FILL WINZE W/ ONLY 3M REMAINING BAL. TO CONNECTS STOPE EVAL. ON AUGUST 9, 2021. TEMPORARY STOPPED ON SEPT 6, 2021 DUE TO ABSENTEEISM OF MANPOWER.RESUMED ON SEPT 9, 2021 TO CONTINUE FILL WINZE. TEMPORARY STOPPED ON SEPT. 18, 2021 DUE TO INSUFFICIENT MANPOWER. THE GROUP MERGE TO THE OTHER WORKING PLACE. RESUMED ON OCT 23, 2021 AT THE SAME TIME TRANSFERRED FROM CANOY TO ESPADA 1 (MGMT DECISION). TEMP. STOPPED ON NOV 8, 2021. RESUMED ON NOV 11, 2021. AT THE SAME TIME TRANSFERRED FROM ESPADA 1 TO PANSIT 1. TEMPORARY STOPPED ON NOVEMBER 12,2021 TO PRIORITIZED VERTICAL RAISE. RESUMED ON NOVEMBER 23,2021 AT THE SAME TIME TRANSFER FROM PANCIT 1 TO CANOY 1. TEMPORARRY STOPPED ON DEC 2, 2021 TO PRIORITIZE 70E STOPE PULL OUT.</t>
  </si>
  <si>
    <t xml:space="preserve">SHEPHED AK </t>
  </si>
  <si>
    <t>L05_JVFW_015W_ROBBING</t>
  </si>
  <si>
    <t>Converted to stope pull-out on October 15, 2021. STOPPED ON NOVEMBER 27, 2021 MINED OUT.</t>
  </si>
  <si>
    <t>REPLACEMENT OF L08_JV_074E_WINZE APPROVED ON OCT 28, 2021. STOPPED ON DECEMBER 2, 2021 PINCHED OUT VEIN.</t>
  </si>
  <si>
    <t>REPLACEMENT OF L05 JVFW 015W stope prep. CONVERT TO STOPE BREAKING ON SEPTEMBER 5, 2021. CONVERTED TO PULL OUT ON NOV. 4, 2021. STOPPED ON DECEMBER 1, 2021 FINISHED HEADING.</t>
  </si>
  <si>
    <t>REPLACEMENT OF L06_EDW_003W_WINZE. APPROVED ON SEPTEMBER 27, 2021. STOPPED ON DECEMBER 1, 2021</t>
  </si>
  <si>
    <t>L07_JV_009W_RAISE</t>
  </si>
  <si>
    <t>L06_GHV_028E_ROBBING</t>
  </si>
  <si>
    <t>L06_DPVE_019E_RAISE</t>
  </si>
  <si>
    <t>L06_GHV_026E_WINZE</t>
  </si>
  <si>
    <t>L05_DPVE_025E_DE_ISL</t>
  </si>
  <si>
    <t>L06_JVFW_036E_WINZE STOPE PREP</t>
  </si>
  <si>
    <t>L06_CTV_011E_WINZE STOPE PREP</t>
  </si>
  <si>
    <t>L06_CTV_006E_ROBBING</t>
  </si>
  <si>
    <t>REPLACEMENT OF L06_JVFW_037E_WINZE STOPE, APPROVED ON OCT 25, 2021. STOPPED AND CONVERTED TO STOPE ON DEC 3 2021</t>
  </si>
  <si>
    <t>L08_DPVE_078E_DE</t>
  </si>
  <si>
    <t>REPALCMENT OF L06_CTV_011E_DW_ISL.APPROVED ON NOV 27 2021. STOPPED AND CONVERTED TO STOPE PREP ON DEC 3 2021.</t>
  </si>
  <si>
    <t>L04_CV_025W_WINZE</t>
  </si>
  <si>
    <t>REPLACEMENT OF L06_JVFW_018E_DE, APPROVED ON NOV 8, 2021.RENMAED FROM L06_CTV_001E_WINZE ON NOV 9 2021. stopped on Dec 3 2021.vein pinched out.</t>
  </si>
  <si>
    <t>L08_DPVE_068E_DW_ISL</t>
  </si>
  <si>
    <t>REPLACEMENT OF L07_GHVHW_054E_ROBBING.APPROVED ON MAY 7, 2021.TEMPORARY STOPPED ON JUNE 18,2021 WAITING FOR OLD MUCK TO FALL.SAFETY PURPOSES. RESUME ON NOVEMBER 25, 2021 AT THE SAME TIME TRANSFER FROM LERIO TO HANGDAAN 2.TEMPORARY STOPPED ON DECEMBER 3,2021 MANPOWER TRANSFER TO LEVEL 9.</t>
  </si>
  <si>
    <t>REPLACEMENT OF L10 DPVE 025E RAISE. APPROVED ON NOV 6, 2021.  STOPPED ON DECEMBER 3,2021 DUE TO VEIN PINCHED OUT.</t>
  </si>
  <si>
    <t>REPLACEMENT OF L10_JVS_071E_STOPE.APPROVED ON MAY 28, 2021 NOTIFIED ON JUNE 1, 2021. STOPPED ON DECEMBER 3, 2021 AT THE SAME TIME CONVERT TO PULL OUT.</t>
  </si>
  <si>
    <t>REPLACEMENT OF L07_JV_010W_DE.APPROVED ON NOV 9 2021.STOPPED ON NOV 30 2021. LOW GRADE L06_GHV_003W_RAISE BAÑEZ 4. temporary stopped on Nov 19  to priority cleaning Mainline in preparation for Blocking raise. STOPPED ON DECEMBER 2, 2021.</t>
  </si>
  <si>
    <t>ADDITIONAL HORIZONTAL DEVT DRIVE. APPROVED ON NOV 8, 2021.RENAMED FROM L06_JVHW_019E_DE ON NOV 9 2021. STOPPED ON DECEMBER 3, 2021.</t>
  </si>
  <si>
    <t>REPLACEMENT OF L05_DPVE_040E_DE APPROVED ON NOVEMBER 23, 2021.  Rename from L05_DPVE_036E_DE. APPROVED ON NOV. 24, 2021.  STOPPED ON DEC. 6, 2021 DUE TO PINCHED OUT OF VEIN.</t>
  </si>
  <si>
    <t>REPLACEMENT OF L09 JVHW 028E DW. APPROVED ON SEPT 7, 2021. STOPPED ON OCT 26, 2021 DUE TO CONSECUTIVE LOW GRADE RESULT.RESUMED ON NOVEMBER 12,2021. STOPPED ON DEC 6, 2021, ALREADY REACHED RECOMMENDED STRIKE LENGTH.</t>
  </si>
  <si>
    <t>ADDITIONAL VERTICAL DEVELOPMENT ON NOV.5,2021.TRANSFER FROM DELOS REYES V3 TO PANSIT 6 ON NOVEMBER 12,2021 FORMER GROUP WILL DRIVE THE HORIZONTAL DEVT. STOPPED ON DEC 6, 2021 ALREADY REACHED REQUIRED ELEVATION.</t>
  </si>
  <si>
    <t>L09_GHVSPLIT_002E_DW</t>
  </si>
  <si>
    <t>REPLACEMENT OF L06_GHV_014E_DE. APPROVED ON OCT 30, 2021. STOPPED ON DEC  7, 2021.</t>
  </si>
  <si>
    <t>L06_JVHW_025W_RAISE</t>
  </si>
  <si>
    <t>L06_JVHW_014W_RAISE</t>
  </si>
  <si>
    <t>L08_JV_018W_STOPE</t>
  </si>
  <si>
    <t>REPLACEMENT OF L08_JV_018W_RAISE. APPROVED ON NOV 10, 2021.STOPPED ON NOV.27,2021 NOTIFIED ON DEC.6,2021</t>
  </si>
  <si>
    <t>REPLACEMENT OF L08_GHV_007E_STOPE PREP WHICH CONVERTED TO BREAKING ON OCTOBER 6, 2021.STOPPED BREAKING ON NOV.29,2021 PROCEED TO PULL-OUT CLEANING.</t>
  </si>
  <si>
    <t>REPLACEMENT OF L06_JVFW_008W_DE, APPROVED ON NOV 8, 2021.RENAMED FROM L06_JV_009E_RAISE ON NOV  9 2021. STOPPED ON DECEMBER 8, 2021.</t>
  </si>
  <si>
    <t>REPALCEMENT OF L07_JVSPLIT_012E_RAISE. BLOCKING RAISE.APPROVED ON NOV  4, 2021.STOPPED ON DEC.8,2021</t>
  </si>
  <si>
    <t xml:space="preserve"> REPLACEMENT OF L05 DPVE 053E RAISE. APPROVED ON NOV. 29, 2021.STOPPED ON DEC.7,2021</t>
  </si>
  <si>
    <t>CONVERTED TO PULL OUT ON DECEMBER 2, 2021 STOPPED AND MINED-OUT ON DEC. 2, 2021 WITH 156% PULL-OUT.</t>
  </si>
  <si>
    <t>CAPPUYAN 1</t>
  </si>
  <si>
    <t>L08_DPVE_062E_WINZE</t>
  </si>
  <si>
    <t>L08_DPVE_073E_DE_ISL</t>
  </si>
  <si>
    <t xml:space="preserve"> REPLACEMENT OF L04_GHVSPLIT_031W_STOPE PREP APPROVEED ON 10/5/2021. STOPPED ON DECEMBER 9, 2021 DUE TO LOW GRADE BULK SAMPLES.</t>
  </si>
  <si>
    <t>REPLACEMENT OF L06_CTV_006W_STOPEAPPROVED ON JULY 21, 2021. RENAMED FROM L06_CV_009W_DE TO L06_JVFW_009W_DE ON JULY 25,2021. STOPPED AUGUST 9, 2021 PINCHED OUT VEIN.RESUMED ON SEPTEMBER 17,2021.TRANSFER FROM BAÑEZ TO REBOTE ON SEPTEMBER 20,2021.STOPPED ON OCT 16, 2021. ALREADY BREAKTHROUGH TO AN OLD MAINLINE.RESUMED ON NOV 18 2021. STOPPED ON DECEMBER 9, 2021 DUE TO COSECUTIVE LOW GRADE SAMPLES.</t>
  </si>
  <si>
    <t>L06_JVHW_031W_ROBBING</t>
  </si>
  <si>
    <t>L08_GHVSPLIT_033W_DW</t>
  </si>
  <si>
    <t xml:space="preserve"> CROSSCUT TARGETING GHV VEIN. APPROVED ON NOVEMBER 16,2021. STOPPED ON 12/10/2021 CONVERTED TO DRIFT.</t>
  </si>
  <si>
    <t>L08_DPVE_005E_DW</t>
  </si>
  <si>
    <t>L06_JVSPLIT_005W_RAISE</t>
  </si>
  <si>
    <t>REPLACEMENT OF L10_GHVFW_050E_STOPE PREP. APPRVED ON SEPTEMBER 21,2021.STOPPED BREAKING ON DECEMBER 10,2021 DUE TO LOW ASSAY GRADE OF IPR. AT THE SAME TIME CONVERT TO PULL OUT CLEANING</t>
  </si>
  <si>
    <t>L06_JVFW_009W_RAISE</t>
  </si>
  <si>
    <t>REPLACEMENT OF L06_DPVE_019E_DE. APPROVED ON DEC 3 2021.STOPPED ON DEC 9, 2021 DUE TO VEIN PINCHED OUT.</t>
  </si>
  <si>
    <t>L04_CTV_008E_ROBBING</t>
  </si>
  <si>
    <t xml:space="preserve"> REPLACEMENT OF L09_JVSPLIT_059E_DE. APPROVED ON NOVEMBER 13, 2021. STOPPED ON DEC 11, 2021. DUE TO CONSECUTIVE LOW GRADE RESULT.</t>
  </si>
  <si>
    <t>REPLACEMENT OF L09_DPVE_042E_RAISE. APPROVED ON NOV. 17, 2021. ALREADY HIT THE TARGET VEIN, STOPPED ON DEC 11, 2021.</t>
  </si>
  <si>
    <t>L09_DPVE_056E_DE</t>
  </si>
  <si>
    <t>REPLACEMENT OF L04_GHVSPLIT_032W_RAISE, APPROVED ON OCT 21, 2021. RENAME WP FROM L04_JVHW_014E_DW TO L04_JVFW_014E_DW ON OCT 30, 2021.. Stopped on nov.4,2021</t>
  </si>
  <si>
    <t>L09_GHVSPLIT_006E_RAISE</t>
  </si>
  <si>
    <t>REPLACEMENT OF L07_JVHW_069E_ROBBING.APPROVED ON NOV 30 2021. STOPPED ON DEC.13,2021 VEIN PINCH OUT</t>
  </si>
  <si>
    <t>REPLACEMENT OF L08_DPVE_067E_WINZE. APPROVED ON DEC.. 3, 2021.STOPPED ON DEC.13,2021</t>
  </si>
  <si>
    <t>REPLACEMENT OF L10_NONE_037E_XCN.APPROVED ON JULY 1, 2020. Transferred from PMC MINERS to TAÑEZA 1 on July 15, 2020. Temporary stopped on August 15 2020 open follow up raise @ 31e raise. RESUMED ON AUGUST 19 2020.TEMPORARY STOPPED ON OCT 20 2020 TO DO FOLLOW UP RAISE.RESUME ON NOVEMBER 9,2020. temporary Stopped on nov. 18 2020 due to prioritized newly opened stope prep. Resumed on May 11,2021. TEMPORARY STOPPED ON JUNE 1,2021 TO PRIORITIZED DPVE 027E STOPE PREP. resumed on June 29,2021 Change Team Leader from TAÑEZA 4 TO TAÑEZA 8. TEMPORARY STOPPED ON AUGUST 9,2021 TO DRIVE RAISE. RESUMED ON NOVEMBER 11,2021 AT THE SAME TIME TRANSFER FROM TAÑEZA 8 TO OLIVEROS 4. STOPPED ON DEC.13,2021 PINCH OUT VEIN</t>
  </si>
  <si>
    <t>REPLACEMENT OF L10 GHVFW 069E DE. APPROVED ON OCT 4, 2021. STOPPED ON DEC.13,2021 PINCH PIT VEIN</t>
  </si>
  <si>
    <t>REPLACEMENT OF L10_DPVE_031E_STOPE.APPROVED ON MAY 27, 2021. MINE PRODUCTION RECOMMENDED FOR ACTIVE STOPE BREAKING ON JUNE 28 , 2021. STOPPED ON JULY 1, 2021 AT THE SAME TIME CONVERTED TO STOPE BREAKING. TEMPORARY STOPPED ON DECEMBER 9,2021 BY LEVEL MANAGER FOR EVALUATION.PERMANENTLY STOPPED ON DEC.13,2021 ALREADY 100% PULL-OUT OF MINECARS</t>
  </si>
  <si>
    <t>L10_DPVE_015E_DW</t>
  </si>
  <si>
    <t>OLIVERS 4</t>
  </si>
  <si>
    <t>L10_GHVSPLIT_077E_DE</t>
  </si>
  <si>
    <t>REPLACEMENT OF L06_GHV_003W_RAISE. Approved on nov 22 2021.  STOPPED ON DEC 14, 2021. DUE TO CONSECUTIVE LOW GRADE RESULT.</t>
  </si>
  <si>
    <t>REPLACEMNT OF L06 JVSPLIT 028E DW. APPROVED ON NOV 29 2021. TEMPORARILY STOPPED ON DEC 7 2021 TO PRIORITIZED RAISE.RESUMED ON DEC 11, 2021. STOPPED ON DEC 14, 2021, CUT BY FAULT, OFF VEIN.</t>
  </si>
  <si>
    <t>REPLACEMENT OF L08_GHV_023E_DE.APPROVED MAY 12, 2021.TEMPORARY STOP ON 5/21/2021 TO PRIORITIZE RAISE IN NEAR THE AREA WHICH SERVES AS ALTERNATIVE  MANWAY PASSAGE IN THE ISL. RESUMED ON NOVEMBER 12,2021.RENAMED FROM L08_GHV_028E_DE_ISL TO L08_GHV_030E_DE_ISL ON NOVEMBER 13,2021. STOPPED ON DEC 14, 2021 ALREADY REACHED ITS RECOMMENDED STRIKE LENGTH.</t>
  </si>
  <si>
    <t>REPLACEMENT OF L09 NONE 067E XCN. APPROVED ON NOV 4, 2021.STOPPED ON DEC 14, 2021, VEIN PINCHED OUT.</t>
  </si>
  <si>
    <t>L08_GHV_030E_WINZE STOPE PREP</t>
  </si>
  <si>
    <t>L07_NONE_030E_CHAMBER</t>
  </si>
  <si>
    <t>REPALCEMENT OF L07_DPVE_017E_RAISE. APPROVED ON NOV 12 2021.stopped on Dec 14 2021</t>
  </si>
  <si>
    <t>ADDITIONAL VERTICAL DEVELOPMENT. APPORVED ON NOV 30 2021.temporarily stopped on Dec 9 2021.</t>
  </si>
  <si>
    <t>L09_DPVE_064E_RAISE</t>
  </si>
  <si>
    <t>L09_GHVFW_050E_STOPE PREP</t>
  </si>
  <si>
    <t>REPLACEMENT OF L09_JV_032E_STOPE PREP ON OCT.25,2021.STOPPED BREAKING DUE TO LOW GRADE RESULT ON IPR, CONVERTED TO STOPE PULL OUT ON DEC 14, 2021.</t>
  </si>
  <si>
    <t>L10_GHVFW_055E_STOPE</t>
  </si>
  <si>
    <t xml:space="preserve"> REPLACEMENT OF L10_GHVFW_053E_RAISE. APPROVED ON NOVEMEBER 16,2021. RENAMED FROM L10_GHVFW_053E_STOPE PREP TO L10_GHVFW_055E_STOPE PREP ON NOVEMBER 26,2021 TO AVOID MISCHARGING.FINISHED STOPE PREPARATION ON DECEMBER 14,2021 (2ND SHIFT).</t>
  </si>
  <si>
    <t>REPLACEMENT OF L07_JV_039E_ROBBING APPROVED ON NOVEMBER 16, 2021 SILL PILLAR.RENAMED FROM L07_JV_041E_ROBBING ON NOV 18 2021. STOPPED ON DEC.15,2021 FINISHED HEADING</t>
  </si>
  <si>
    <t>REPLACEMENT OF L06 JVHW 027W DW, APPROVED ON NOV 11, 2021 (CROWN PILLAR ROBBING).TEMPORARY STOPPED ON DEC.15,2021 DUE TO INSUFFICIENT MANPOWER</t>
  </si>
  <si>
    <t>ADDITIONAL HORIZONTAL DEVT. APPROVED ON OCT 19, 2021. Temporary stopped on December 13,2021.</t>
  </si>
  <si>
    <t>REPLACEMENT OF L10_GHVFW_052E_DW. APPROVED ON NOVEMBER 27,2021. TEMPORARY STOPPED ON DECEMBER 7,2021 NOTIFIED ON DECEMBER 16,2021.</t>
  </si>
  <si>
    <t>REPLACEMENT OF L07_JV_012W_RAISE ,APPROVED ON DEC 1 2021.STOPPED ON DEC.17,2021</t>
  </si>
  <si>
    <t>REPLACEMENT OF L09_GHVFW_038E_STOPE PREP. APPROVED ON NOVEMBER 13, 2021.TEMPORARY STOPPED ON NOV. 29, 2021. RESUME DECEMBER 1, 2021. STOPPED BREAKING ON DEC 14, 2021 DUE TO CONSECUTIVE LOW GRADE RESULT, CONVERT TO PULL OUT CLEANING,</t>
  </si>
  <si>
    <t>L09_NONE_028E_XCN</t>
  </si>
  <si>
    <t>REPLACMENT OF L06_JV_020E_WINZE.APPROVED ON DEC 1 2021. STOPPED ON DECEMBER 20, 2021 DUE TO SUB-PERPENDICULAR FAULT.</t>
  </si>
  <si>
    <t>Replacement of L09_GHVFW_054E_DW. approved on DEC. 1, 2021.  TRANSFER FROM DELOS REYES V3 TO PANSIT 6 ON DEC 6, 2021. STOPPED ON DEC 15, 2021. CONVERT TO STOPE PREP.</t>
  </si>
  <si>
    <t>REPLACEMENT OG L08_DPVE_001E_DE. APPROVED ON NOV. 12, 2021. ONLY INVOLVES PULLING OUT OF REMAINING BROKEN MATERIALS STARTING ON 12/10/2021.  STOPPED ON 12/10/2021 3RD SHIFT</t>
  </si>
  <si>
    <t>L05_NONE_014E_XCS</t>
  </si>
  <si>
    <t>PANCIT,NOEL</t>
  </si>
  <si>
    <t>REPLACEMENT OF L11_GHVHW_054E_DE. APPROVED ON JUNE 22,2021. Temporary stopped on July 7,2021. RESUMED ON DECEMBER 6,2021. Temporary stopped on December 26,2021 to prioritized L11_GHVHW_054E_DE.</t>
  </si>
  <si>
    <t>REPLACEMENT OF L11_JVFW_054E_DW. APPROVED ON AUGUST 25 2020. TEMPORARY STOPPED ON SEPTEMBER 15,2020 TL will be transferred to other level. Resumed on May 3,2021 at the same time transfer from COMAINGKING TO DUHIG 1.TEMPORARY STOPPED ON SEPTEMBER 8,2021 DUE TO TROUBLE AT 35E SHAFT.RESUME ON OCT.13,2021. STOPPED ON DECEMBER 23,2021 ALREADY BREAKTHROUGH.</t>
  </si>
  <si>
    <t>REPLACEMENT OF L09_JVSPLIT_070E_STOPE PREP ON OCT.8,2021. STOPPED BREAKING ON NOVEMBER 18,2021 DUE TO CONSECUTIVE LOW ASSAY GRADE, CONDUCTED TRAVERSE ON NOV 24,2021 AT THE SAME TIME CONVERT TO PULL OUT CLEANING. STOPPED JAN. 4, MINED OUT.</t>
  </si>
  <si>
    <t>REPLACEMENT OF L09_JV_058E_STOPE PREP.APPROVED ON MAY 27, 2021. MINE GEOLOGY RECOMMENDS TO ALWAYS MONITOR BREAKING WITH 1.20M DUE TO NARROW VEIN STRUTURE EVAL. ON AUGUST 9, 2021.STOPPED ON OCT.22,2021 CONVERTED TO PULL-OUT CLEANING. STOPPED ON JAN. 4, 2022 MINED OUT.</t>
  </si>
  <si>
    <t>REPLACEMENT OF L09_JV_032E_STOPE PREP ON OCT.25,2021.STOPPED BREAKING DUE TO LOW GRADE RESULT ON IPR, CONVERTED TO STOPE PULL OUT ON DEC 14, 2021. STOPPED ON JAN. 4, 2022 MINED OUT.</t>
  </si>
  <si>
    <t>REPLACEMENT OF L09_JVFW_057E_STOPE PREP. CONVERTED TO STOPE BREAKING ON 9/14/21.TEMPORARRY STOPPED ON OCT 1, 2021, BREAKTHROUGH TO AN OLD STOPE, NEED TIMBERING. RESUMED ON OCT 8, 2021.STOPPED ON NOVEMBER 27,2021 DUE TO UNSAFE CONDITION (INTENSE SLABBING DUE TO SHEARED AND FAULTED GROUND CONDITION) THIS IS A BLIND STOPE AND NOT ADVISE FOR TRAVERSE ON NOVEMBER 27,2021 AT THE SAME TIME CONVERT TO PULL OUT CLEANING. STOPPED ON JAN. 4, 2022 MINED OUT.</t>
  </si>
  <si>
    <t>REPLACEMENT OF L09_DPVE2_060E_STOPE PREP APPROVED ON 9/9/21. STOPPED BREAKING ON NOVEMBER 25,2021 LOW GRADE IPR AND ALREADY REACHED THE STOPE DESIGN CONDUCTED TRAVERSE ON NOVEMBER 26,2021 AT THE SAME TIME CONVERT TO PULL OUT CLEANING. STOPPED ON JAN. 4 2022 MINED OUT.</t>
  </si>
  <si>
    <t>WASTEPASS. APPROVED ON DEC 3 2021.TEMPORARY STOPPED ON JAN 6, 2022, UNACESSIBLE.</t>
  </si>
  <si>
    <t>REPLACMENT OF L06_GHV_025E_WINZE APPROVED ON NOV 30 2021.CROWN PILLAR.TEMPORARY STOPPED ON JAN 6, 2022, UNACESSIBLE.</t>
  </si>
  <si>
    <t>REPLACEMENT OF L05 DPVE 037E DW. APPROVED ON NOVEMBER 18, 2021.STOPPED ON JAN 6, 2022, HAS 1M REMAINING BALANCE TO CONNECT TO OLD STOPE.</t>
  </si>
  <si>
    <t>L05_JV_036E_DE_ISL</t>
  </si>
  <si>
    <t xml:space="preserve"> REPLACEMENT OF L04_JVFW_012E_ROBBING. APPROVED ON DEC. 11, 2021. TOPSLICE.TEMP STOPPED ON JAN 6, 2022, DUE TO LACK OF MAN POWER</t>
  </si>
  <si>
    <t>L06_JV_019E_DW_ISL</t>
  </si>
  <si>
    <t>ADDITIONAL HORIZONTAL DRIVE. APPROVED ON NOVEMBER 23,2021. RENAMED FROM L10_GHVSPLIT_007E_DE TO L10_GHVSPLIT_020E_DE TO AVOID MISCHARGING ON NOVEMBER 26,2021.STOPPED ON JAN 6, 2022, HAS 6M REMAINING BALANCE TO REACH AN EXPLOSIVE EXCLUSION ZONE.</t>
  </si>
  <si>
    <t>L06_DPVE_015E_ROBBING</t>
  </si>
  <si>
    <t>L06_NONE_011W_SUMP</t>
  </si>
  <si>
    <t>L10_GHVSPLIT_021E_DE</t>
  </si>
  <si>
    <t>L10_GHVFW_041E_RAISE</t>
  </si>
  <si>
    <t>L07_DPVE_021E_WINZE</t>
  </si>
  <si>
    <t>TURRA 3</t>
  </si>
  <si>
    <t>L09_DPVE_035E_RAISE</t>
  </si>
  <si>
    <t>REPLACEMENT OF L08_GHV_007E_STOPE PREP WHICH CONVERTED TO BREAKING ON OCTOBER 6, 2021.STOPPED BREAKING ON NOV.29,2021 PROCEED TO PULL-OUT CLEANING. STOPPED ON JAN. 10, 2022 MINED OUT.</t>
  </si>
  <si>
    <t>REPLACEMENT OF L11_JVFW_060E_DE.APPROVED ON MAY 13, 2021. TEMPORARY STOPPED ON JUNE 22,2021 TO FOLLOW UP RAISE.resumed on July 9,2021.TEMPORARY STOPPED BREAKING DUE TO ON GOING DEFINITION DRILLING ON 8/18/21. RESUMED ON OCT 7, 2021. TEMP STOPPED ON JAN 10, 2022. TO PRIORITIZE L11 NONE 061E XCS.</t>
  </si>
  <si>
    <t>L11_NONE_061E_XCS</t>
  </si>
  <si>
    <t>L10_GHVHW_049E_STOPE PREP</t>
  </si>
  <si>
    <t>ADDITIONAL VERTICAL DEVELOPMENT. APPROVED ON NOVEMBER 17,2021. STOPPED ON DEC 21, 2021, DUE TO CONSECUTIVE LOW ASSAY RESULT.</t>
  </si>
  <si>
    <t>L04_NONE_016E_XCN</t>
  </si>
  <si>
    <t>REPLACEMENT OF L05_DPVE_048E_DE. APPROVED ON DEC. 10, 2021. STOPPED ON JAN 10, 2022, DUE TO UNSAFE CONDITION (SLABBING AND ROCKFALL) AS OBSERVED BY MINE OPS AND GEO.</t>
  </si>
  <si>
    <t>L05_DPVE_047E_DW</t>
  </si>
  <si>
    <t>L05_CTV_026E_WINZE_STOPE</t>
  </si>
  <si>
    <t>REPLACEMENT OF L06_JVHW_029W_DE.APPROVED ON DEC 7 2021. STOPPED ON JAN 11, 2022. DUE TO VEIN PINCHED OUT.</t>
  </si>
  <si>
    <t>L06_JVSPLIT_013E_STOPE PREP</t>
  </si>
  <si>
    <t>REPLACEMENT OF L04 CTV 009E RAISE. APPROVED ON OCT 22, 2021.stopped on dec.11.2021.RESUMED ON JAN 6, 2022, RECOVERY OF OLD MUCK FROM SILL. STOPPED ON JAN 11, 2022 TO PRIORITIZE L04_CV_007E_DW.</t>
  </si>
  <si>
    <t>L04_CV_007E_DW</t>
  </si>
  <si>
    <t>REPLACEMENT OF L04_GHVFW_019E_WINZE STOPE PREP ON 8/18/21. STOPPED BREAKING ON JAN 6, 2022, NOT TRAVERSED DUE TO UNSAFE CONDITION, WITH MEMO ACKNOWLEDGED BY SAFETY, FOR PULL OUT CLEANING.</t>
  </si>
  <si>
    <t>REPLACMENT OF L07_JV_011W_ROBBING.APPROVED ON NOV 30 2021. TEMP STOPPED ON JAN 10, 2022.</t>
  </si>
  <si>
    <t>MARTINEZ, RON</t>
  </si>
  <si>
    <t>FERNADEZ RG</t>
  </si>
  <si>
    <t>L09_NONE_004W_SUMP</t>
  </si>
  <si>
    <t>REPLACEMENT OF L09_DPVE2_072E_STOPE_PREP APPROVED ON SEPTEMBER 29, 2021.STOPPED ON JAN.8, 2021 FINISHED HEADING</t>
  </si>
  <si>
    <t>L06_JVFW_036E_WINZE STOPE</t>
  </si>
  <si>
    <t>REPLACEMENT OF L06_JVFW_036E_RAISE_ISL.APPROVED ON DEC 3 2021.STOPPED ON JAN.6,2022</t>
  </si>
  <si>
    <t>L08_JV_032E_WINZE</t>
  </si>
  <si>
    <t xml:space="preserve"> REPLACEMENT OF L08_DPVE_076E_DE. APPROVED ON NOVEMBER 18, 2021. STOPPED ON JAN 12, 2022 VEIN PINCHED OUT.</t>
  </si>
  <si>
    <t>REPLACEMENT OF L08_DPVE_062E_ROBBING. APPROVED ON NOVEMBER 26,2021. STOPPED ON DEC 21, 2021 ALREADY DONE PILLAR ROBBING.</t>
  </si>
  <si>
    <t>L09_JV_049E_DW</t>
  </si>
  <si>
    <t>CONVERTED TO PULL OUT ON DECEMBER 09, 2021. STOPPED ON JANUARY 13, 2022 MINED OUT.</t>
  </si>
  <si>
    <t>DELOS REYES 2</t>
  </si>
  <si>
    <t>REPLACEMENT OF L07_GHVSPLIT_042E_DW. APPROVED ON SEP 15 2021. STOPPED ON JAN 14, 2022. ALREADY DONE PILLAR ROBBING.</t>
  </si>
  <si>
    <t>L07_GHVSPLIT_020W_DE</t>
  </si>
  <si>
    <t>REPLACEMENT OF L11_JVFW_056E_DE. APPROVED ON JAN 10, 2022. STOPPED ON JANUARY 14,2022 CONVERT TO ON VEIN.</t>
  </si>
  <si>
    <t>L11_JVFW_061E_DE</t>
  </si>
  <si>
    <t>REPLACEMENT OF L06_JV_004W_RAISE.APPROVED ON DEC 7, 2021.  STOPPED ON JAN 14, 2022 DUE TO LOW GRADE.</t>
  </si>
  <si>
    <t>L06_JV_004W_STOPE PREP</t>
  </si>
  <si>
    <t>REPLACEMENT OF L06_JVFW_009W_DE. APPROVED ON DEC 11, 2021. STOPPED ON JAN 14 2022 DUE TO LOW GRADE.</t>
  </si>
  <si>
    <t>OSWAY, GLEN</t>
  </si>
  <si>
    <t>L09_JV_048E_STOPE</t>
  </si>
  <si>
    <t>REPLACEMENT OF L05 JV 036E WINZE. STOPPED ON JAN 6 2022.STOPPED ON JAN 11, 2022, ISL BREAKTHROUGH TO AN OLD STOPE.</t>
  </si>
  <si>
    <t>L05_JV_036E_DW_ISL</t>
  </si>
  <si>
    <t>REPLACEMENT OF L09 JV 048E DW. APPROVED ON SEPT 10, 2021.TEMP STOPPED ON SEPT 10, 2021 NOT STARTED YET, MAN POWER ISSUE.RESUME ON NOV.15,2021 AT THE SAME TIME TRANFERED FROM BALANGHIG TO PANSIT. TEMPORARY STOPPED ON NOV. 17, 2021. STILL ON-GOING CLEANING. RESUMED ON NOVEMBER 26,2021.STOPPED ON JAN.15, 2022.</t>
  </si>
  <si>
    <t>L09_DPVE_036E_STOPE</t>
  </si>
  <si>
    <t>REPLACEMENT OF L09_DPVE_016E_RAISE, APPROVED ON NOV 10, 2021. CONVERTED TO BREAKING ON JAN 14, 2022.</t>
  </si>
  <si>
    <t>L06_JVSPLIT_035E_RAISE</t>
  </si>
  <si>
    <t>REPLACEMENT OF L06_JVSPLIT_028E_DW APPROVED ON NOV 19 2021. STOPPED ON JAN 14, 2022, ALREADY REACHED 30M SLOPE LENGTH</t>
  </si>
  <si>
    <t>REPLACEMENT OF L11_JVFW_056E_DE. APPROVED ON JUNE 22,2021.temporary stopped on July 9,2021.RESUME ON OCT.13,2021. STOPPED ON JANUARY 16,2022 DUE TO CONSECUTIVE LOW ASSAY GRADE.</t>
  </si>
  <si>
    <t>L11_GHVSPLIT_059E_DE</t>
  </si>
  <si>
    <t>L11_GHV_062E_DE</t>
  </si>
  <si>
    <t>ADDITIONAL SOURCE OF GOOD ORE APPROVED ON DECEMBER 8, 2021. STOPPED ON JAN 11, 2022 ALREADY DONE ROBBING PILLAR</t>
  </si>
  <si>
    <t>REPLACEMENT OF L06_CTV_019E_ROBBING.APPROVED ON AUG. 4, 2021.SILL. Temporarily stopped on August 5 2021 for Rehab.RESUME ON AUGUST 6,2021.TEMPORARY STOPPED ON SEPT.10,2021 LACK OF MANPOWER. RESUMED ON OCTOBER 25, 2021. STOPPED ON JAN 8, 2022 ALREADY DONE ROBBING PILLAR.</t>
  </si>
  <si>
    <t>REPLACEMENT OF L08_NONE_033W_XCS. APPROVED ON 12/10/2021. STOPPED ON JAN 16, 2022 DUE TO VEIN PINCHED OUT.</t>
  </si>
  <si>
    <t>REPLACEMENT OF L09_GHVFW_038E_STOPE PREP. APPROVED ON NOVEMBER 13, 2021.TEMPORARY STOPPED ON NOV. 29, 2021. RESUME DECEMBER 1, 2021. STOPPED BREAKING ON DEC 14, 2021 DUE TO CONSECUTIVE LOW GRADE RESULT, CONVERT TO PULL OUT CLEANING. STOPPED ON JAN 17, 2022. ALREADY MINED OUT WITH 91% PULL OUT.</t>
  </si>
  <si>
    <t>REPLACEMENT OF L09_GHV_062E_STIOPE PREP APPROVED ON MARCH 13, 2021.TEMP. STOPPED ON MARCH 23, 2021 DUE TO LACK OF MANPOWER AS PER OPS. RESUMED ON MARCH 24, 2021 AND TRANSFERRED FROM CANOY TO SHEPHERD Z.TEMP.STOPPED BREAKING ON SEPT 3, 2021 DUE TO UNSAFE CONDITION FILL RAISE NOT COMPLETED, CONVERT TO STOPE PULL-OUT, OPS TO PROVIDE MEMO. STOPPED ON JAN 15, 2022, WITH 89% PULL OUT.</t>
  </si>
  <si>
    <t>REPLACEMENT OF L10_DPVE_067E_STOPE. APPROVED ON DECEMBER 1,2021. STOPPED ON JANUARY 17, 2022, ALREADY REACHED THE RECCOMENDED STRIKE.</t>
  </si>
  <si>
    <t>L06_DPVE_037E_WINZE</t>
  </si>
  <si>
    <t>REPLACEMENT OF L04_CTV_027E_DW. APPROVED ON JAN. 21 2021. TEMPORARY STOPPED ON FEB 15, 2021, vein was cut by a fault, temporarily stopped to avoid dilution and unavailability of wastepass. RESUME ON NOVEMBER 9, 2021.temp stopped ON JAN.18, 2022 DUE TO PERMANENT ABSENTISM</t>
  </si>
  <si>
    <t>L08_GHVSPLIT_031W_DE</t>
  </si>
  <si>
    <t>REPLACEMENT OF L05 DPVE 037E RAISE. APPROVED ON JAN 11, 2022.TEMP.STOPPED ON JAN.18, 2022 FOR EVALUATION</t>
  </si>
  <si>
    <t>REPLACEMENT OF L08_GHVHW_005W_ROBBING. APPROVED ON OCT 27, 2021.TEMP. STOPPED ON JAN.18,2022 TO DRIVE RAISE</t>
  </si>
  <si>
    <t>L08_JV_074E_RAISE_ISL</t>
  </si>
  <si>
    <t>REPLACEMENT OF L09_DPVE_006E_RAISE APPROVED ON NOVEMBER 23, 2021.STOPPED ON JAN.18,2022</t>
  </si>
  <si>
    <t>REPLACEMENT OF L10_JVHW_065E_STOPE. APPROVED ON DECEMBER 1,2021.STOPPED ON JAN.18,2022</t>
  </si>
  <si>
    <t>L06_JVHW_010E_DW</t>
  </si>
  <si>
    <t>L04_GHV_057E_ROBBING</t>
  </si>
  <si>
    <t>L08_GHV_037E_DE_ISL</t>
  </si>
  <si>
    <t xml:space="preserve">REPLACEMENT OF L08_GHVFW_027E_ROBBING. APPROVED ON DECEMBER 1,2021.STOPPED ON JANUARY 20,2022 CONVERT TO ON VEIN. </t>
  </si>
  <si>
    <t>L08_GHVFW_029E_DE</t>
  </si>
  <si>
    <t>REPLACEMENT OF L08 NONE 037E XCS. FOR VENTILATION PURPOSES. APPROVED ON MAY 29, 2019.STOPPED ON _______(FOR CLARIFICATIONS).RESUMED ON JUNE 4, 2021 CONTINUATION OF ACTIVITY OF VENTILATION PROJECT.STOPPED ON JANUARY 20,2022</t>
  </si>
  <si>
    <t>L08_GHVHW_006W_ROBBING</t>
  </si>
  <si>
    <t>REPLACEMENT OF L10 DPVE 052E DW. APPROVED ON JANUARY 20,2022</t>
  </si>
  <si>
    <t>REPLACEMENT OF L10_JVFW_068E_STOPE PREP.APPROVED ON AUG. 4, 2021.TEMP.STOPPED ON AUG.5, 2021.WAITING FOR THE DESIGN FROM ENGINEERING. RESUMED ON AUGUST 7,2021. CHARGE TO STOPE PREP CURRENT BILLING UNTIL TARGET VEIN OF JVFW 067E STOPE IS REACHED.TEMP STOPPED ON JAN.19, 2022 FOR EVALUATION.PERMANENTLY STOPPED BREAKING ON JANUARY 20,2022 DUE TO UNSAFE CONDITION ALREADY SUBMITTED UNSAFE REPORT AT THE SAME TIME CONVERT TO PULL OUT CLEANING.</t>
  </si>
  <si>
    <t>REPLACEMENT OF L06_GHV_028E_ROBBING. APPROVED ON JAN 7, 2021. CROWN PILLAR ROBBING.STOPPED ON JAN 20, 2022 DUE TO LOW GRADE.</t>
  </si>
  <si>
    <t>L05_CTV_032W_WINZE STOPE PREP. APPROVED ON DEC 8 2020. LOW DIPPING VEIN W/ 2M REMAINING BALANCE . Temp stopped on April 19, 2021 due to low grade for evaluation.PERMANENTLY STOPPED ON JANUARY 21,2022 AS PER EVALUATION OF MINE GEOLOGY DUE TO LOW QA/QC GRADES AND THERE WERE NO PLANS TO RESUME BREAKING AND NOT RECOMMENDED FOR PULL OUT. RETENTION IS FOR RELEASE.</t>
  </si>
  <si>
    <t xml:space="preserve">REPLACEMENT OF L10_GHVSPLIT_063E_STOPE PREP APPROVED ON 9/25/2021 . TEMPORARY STOPPED ON NOVEMBER 26,2021 FOR SAFETY EVALUATION. </t>
  </si>
  <si>
    <t>Replacement of L07_DPVE_018e raise approved on Dec 14 2021. STOPPED ON JANUARY 21, 2022 PRODUCED LOW GRADE.</t>
  </si>
  <si>
    <t xml:space="preserve"> REPLACEMENT OF L07_JVHW_033E_RAISE. APPROVED ON SEP 23 2021.STOPPED ON SEP 29 2021.PINCHED OUT VEIN. resumed on Dec 17 2021. from catikitan to Shepherh AK. STOPPED ON JANUARY 20, 2022 PINCHED OUT.</t>
  </si>
  <si>
    <t>REPLACEMENT OF L07_DPVE_045E_STOPE PREP ON NOV.25,2021. STOPPED ON JANUARY 7, 2022 RECOMMEDED FOR STOPE PULL-OUT.</t>
  </si>
  <si>
    <t>ADDITIONAL SOURCE OF STOPE ORE. APPROVED ON MAY 31,2021. TEMPORARY STOPPED ON JUNE 1,2021 FOR EVALUATION.RESUMED ON JUNE 4, 2021  AT THE SAME TRANSFER FROM COMAINGKING 1 TO FERNANDEZ, REX 1. STOPPED ON JANUARY 22, 2022 MINED OUT.</t>
  </si>
  <si>
    <t>L06_CTV_011E_WINZE STOPE</t>
  </si>
  <si>
    <t>REPLACMENT OF L06_CTV_011E_DE_ISL.APPROVED ON DEC 3 2021. STOPPED ON JANUARY 18, CONVERT TO STOPE BREAKING.</t>
  </si>
  <si>
    <t>L07_DPVE_036E_RAISE</t>
  </si>
  <si>
    <t>L07_GHVSPLIT_034E_RAISE</t>
  </si>
  <si>
    <t>L07_JVSPLIT_015W_WINZE</t>
  </si>
  <si>
    <t>REPLACEMENT OF L10_GHVSPLIT_076E_DE APPROVED ON DECEMBER 14, 2021. STOPPED ON JANUARY 22, 2022 DUE TO PINCHED VEIN SUB-PARALLEL TO PARALLEL FAULTS.</t>
  </si>
  <si>
    <t>L11_JVFW_047E_RAISE</t>
  </si>
  <si>
    <t>DUHIG P1</t>
  </si>
  <si>
    <t>Replacement of L07_JV_ 010W_DW. approved on nov 24 2021. Sill Pillar. STOPPED ON JAN 21, 2022. ALREADY DONE PILLAR ROBBING.</t>
  </si>
  <si>
    <t>REPLACEMENT OF L05_DPVE_051E_STOPE PREP APPROVED ON NOV. 11, 2021. STOPPED BREAKING ON JANUARY 23,2022 DUE TO CONSECUTIVE LOW ASSAY GRADE.</t>
  </si>
  <si>
    <t>TURRA 4</t>
  </si>
  <si>
    <t>L09_DPVE_074E_DE</t>
  </si>
  <si>
    <t>L06_JVHW_009W_RAISE</t>
  </si>
  <si>
    <t>L06_JV_029E_WINZE</t>
  </si>
  <si>
    <t>REPLACEMENT OF L06 DPVE 037E DW. APPROVED ON FEB. 8 2021. STOPPED ON FEB. 8 2021. TRANSFER FROM BADBADON TO GONZALES. SPECIAL PROJECT OF VENTILATION APPROVED ON .  , ALREADY DONE PULL OUT CLEANING STOPPED ON JAN 24, 2022.</t>
  </si>
  <si>
    <t>REPLACEMENT OF L08_DPVE_003E_RAISE. APPROVED ON 12/10/2021. STOPPED ON JAN 24, 2022, DUE TO CONSECUTIVE LOW ASSAY RESULT.</t>
  </si>
  <si>
    <t>ADDITIONAL VERTICAL DEVELOPMENT, APPROVED ON OCT 28, 2021. TEMP STOPPED ON JAN 24, 2022 DUE TO LACK OF MANPOWER.</t>
  </si>
  <si>
    <t>REPALCEMENT OF L04_EDV_018W_DW_ISL. APPROVED ON JAN 19, 2022. TEMP STOPPED ON JAN 24, 2022 TO PRIORITIZE WINZE</t>
  </si>
  <si>
    <t>L04_CTV_008E_WINZE</t>
  </si>
  <si>
    <t>L12_JV_040E_RAISE</t>
  </si>
  <si>
    <t>L11_GHVHW_064E_RAISE</t>
  </si>
  <si>
    <t>DUIHIG P8</t>
  </si>
  <si>
    <t>REPLACEMENT OF L08_JV_018W_STOPE PREP ON NOV.27,2021.STOPPED BREAKING ON JAN 24, 2022, NOT RECOMMENDED FOR PULL OUT CLEANING DUE TO LOW BULK SAMPLES.</t>
  </si>
  <si>
    <t>L08_NONE_011W_XCN</t>
  </si>
  <si>
    <t>REPLACEMENT OF L07_JV_067E_WINZE. APPROVED ON NOV 12 2021.STOPPED ON JAN 25, 2022. TO CONVERT TO WINZE STOPE PREP</t>
  </si>
  <si>
    <t>L07_JV_067E_WINZE STOPE PREP</t>
  </si>
  <si>
    <t>L04_CTV_022W_DE_ISL</t>
  </si>
  <si>
    <t>REPLACEMENT OF L09_GHVSPLIT_066E_STOPE PREP ON OCT.22,2021.STOPPED BREAKING, VEIN PINCHED OUT, CONVERT TO PULL OUT CLEANING ON JAN 22, 2022.</t>
  </si>
  <si>
    <t>REPLACEMENT OF L09_DPVE_016E_RAISE. APPROVED ON NOV 11, 2021. TEMP STOPPED ON DEC 2, 2021 TO PRIORITIZE L09 JV 058E STOPE.RESUMED ON JAN 6, 2022.STOPPED ON JAN 25, 2022 DUE TO LOW GRADE.</t>
  </si>
  <si>
    <t>REPLACEMENT OF L10_GHVFW_052E_DW. APPROVED ON NOVEMBER 27,2021. TEMPORARY STOPPED ON DECEMBER 7,2021 NOTIFIED ON DECEMBER 16,2021. RESUMED ON JAN 10, 2022, AT THE SAME TIME TRANSFERRED FROM MONTEBON 1 TO OLIVEROS 4.STOPPED ON JANUARY 24,2022 NOT TO BREAKTHROUGH TO OPPOSITE MAINLINE.</t>
  </si>
  <si>
    <t>REPLACEMENT OF L08_DPVE_064E_RAISE APPROVED ON AUGUST 5, 2021.Temp stopped on Aug 27, 2021. RESUME ON 10/8/2021 AT THE SAME TIME TRANSFERRRED FROM REVITA TO AGLOLO, MIGUEL 1. STOPPED ON OCT 26, 2021, ALREADT DONE PILLAR ROBBING.RESUME ON JAN.18, 2022 AT THE SAME TIME FROM AGLOLO1 TO REVITA 1.RENAMED FROM L08_GHVHW_005W_ROBBING TO L08_GHVHW_006W_ROBBING TO AVOID MISCHARGING ON JANUARY 19,2022. TEMP STOPPED ON JAN 24, 2022, ROBBING PILLAR FOR EVALUATION.</t>
  </si>
  <si>
    <t>L10_DPVE_025E_STOPE PREP</t>
  </si>
  <si>
    <t>L04_JV_033E_ROBBING</t>
  </si>
  <si>
    <t>NARTINEZ, RON 2</t>
  </si>
  <si>
    <t>L05_DPVE_051E_WINZE</t>
  </si>
  <si>
    <t>L07_JV_044E_DW_ISL</t>
  </si>
  <si>
    <t>L06_GHV_030E_RAISE</t>
  </si>
  <si>
    <t>L06_GHV_033E_WINZE</t>
  </si>
  <si>
    <t>REPLACEMENT OF L07_DPVE_045E_STOPE PREP ON NOV.25,2021. STOPPED ON JANUARY 7, 2022 RECOMMEDED FOR STOPE PULL-OUT.STOPPED ON Jan.26,2022 memo to be followed</t>
  </si>
  <si>
    <t>REPLACEMENT OF L07_JVFW_040E_ROBBING. APPROVED ON JANUARY 22,2022.STOPPED DUE TO LOW GRADE ON JAN 26 2022 (MEMO TO FOLLOW)</t>
  </si>
  <si>
    <t xml:space="preserve"> REPLACEMENT OF L07_DPVE_039E_RAISE. APPROVED ON JANUARY 22,2022.STOPPED DUE TO LOW GRADE ON JAN 26 2022 (MEMO TO FOLLOW)</t>
  </si>
  <si>
    <t>REPLACEMENT OF L07_GHV_037W_WINZE. APPROVED ON JANUARY 22,2022.STOPPED DUE TO LOW GRADE ON JAN 26 2022 (MEMO TO FOLLOW)</t>
  </si>
  <si>
    <t>L07_GHVFW_030W_ROBBING</t>
  </si>
  <si>
    <t xml:space="preserve">REPLACEMENT OF L09_GHVFW_054E_DW APPROVED ON DEC 18, 2021.STOPPED ON JAN 25, 2022. CONVERTED TO ONVEIN DRIVE.
</t>
  </si>
  <si>
    <t>L09_JVHW_029E_DW</t>
  </si>
  <si>
    <t xml:space="preserve">ADDITIONAL HORIZONTAL DEVT. APPROVED ON JAN 25, 2022.STOPPED ON JAN 26, 2022, VEIN PINCHED OUT. </t>
  </si>
  <si>
    <t>REPLACEMENT OF L07 GHV 046E ROBBING. APPROVED ON JAN 14, 2021.STOPPED ON JAN.26,2022</t>
  </si>
  <si>
    <t xml:space="preserve"> REPLACEMENT OF L07_GHVFW_030W_STOPE . APPROVED ON 10/15/2021.TEMPORARY STOPPED ON NOV 18 2021. VACCINATION. RESUME ON NOVEMBER 21, 2021.STOPPED DUE TO LOW GRADE ON JAN 21 2022 (MEMO TO FOLLOW)</t>
  </si>
  <si>
    <t>REPLACEMENT OF L06 JVHW 025W RAISE. APPROVED ON JAN 11, 2022.STOPPED ON JAN.24,2022</t>
  </si>
  <si>
    <t>L06_JVSPLIT_013E_STOPE</t>
  </si>
  <si>
    <t>REPLACEMENT OF L08_DPVE_070E_WINZE STOPE APPROVED ON NOVEMBER 13,2021.TEMP STOPPED ON JAN.26,2022 DUE TO MAN POWER PROBLEM</t>
  </si>
  <si>
    <t>L08_DPVE_060E_DW</t>
  </si>
  <si>
    <t>REPLACEMENT OF L07_DPVE_018E_RAISE, APPROVED ON JAN 8, 2022. STOPPED ON JAN.27, 2022</t>
  </si>
  <si>
    <t>L10_GHVFW_048E_RAISE</t>
  </si>
  <si>
    <t>REPLACEMENT OF L10_DPVE_040E_STOPE.APPROVED ON MAY 28, 2021.STOPPED ON JAN.27, 2022 CPNVERTED TO PULL-OUT CLEANING</t>
  </si>
  <si>
    <t>REPLACEMENT OF L09 GHVFW 049E RAISE. APPROVED ON DEC 15, 2021.STOPPED ON JAN.25,2022</t>
  </si>
  <si>
    <t>L09_GHVFW_050E_STOPE</t>
  </si>
  <si>
    <t>Replacement of L05_JV_022E_STOPE PREP. approved on July 15, 2021. 6.0M INTERVAL AT 4TH FLOOR BLASTED EVAL. ON AUGUST 7, 2021. THIS WORKHEADING AS STOPE BRK. IS BELOW THE OLD INCLINED RAISE EVAL. ON AUGUST 12, 2021. TEMPORARY STOPPED ON SEPTEMBER 18, 2021 DUE TO ABSENTEEISM OF MEN RESULTING TO ABANDONMENT OF WORKING PLACE.RESUMED ON SEPT. 21, 2021. TEMPORARILY STOPPED ON OCT 1 2021. LACK OF MANPOWER.RESUMED ON OCT 18, 2021. AT THE SAME TIME TRANSFERRED FROM SHEPHERD AF 1 TO SHEPHERD AD 2 DUE TO MANPOWER ISSUE. STOPPED BREAKING AND CONVERT TO PULL-OUT CLEANING ON JAN. 26, 2022</t>
  </si>
  <si>
    <t>L07_JV_009W_STOPE PREP</t>
  </si>
  <si>
    <t>REPLACEMENT OF L07_DPVE_041E_WINZE STOPE PREP ON NOV.16,2021.CONVERT TO PULL OUT. APPROVED ON JAN 18 2022</t>
  </si>
  <si>
    <t>L06_JV_004W_STOPE</t>
  </si>
  <si>
    <t>REPLACEMENT OF L06 JVSPLIT 005W RAISE. APPROVED ON JAN 14, 2022.stopped on jan.28,2022</t>
  </si>
  <si>
    <t>L10_NONE_045E_XCS</t>
  </si>
  <si>
    <t>L08_JV_015W_RAISE</t>
  </si>
  <si>
    <t>REPLACEMENT OF L08_GHV_026W_STOPE PREP. APPROVED ON JULY 7 2020. TEMPORARY stopped  on August 2 2020.RESUME ON 8/13/2021 AT THE SAME DATE TRANSFERRED TO AGLOLO AND RENAME FROM L08_GHV_026W_STOPE TO L08_GHV_028W_STOPE.IPR. ALREADY FINISHED IPR RESUMED BREAKING ON SEPTEMBER 21,2021.STOPPED BREAKING ON JAN 28, 2022, ALREADY DONE WITH FILL RAISE AND STOPE  TRAVERSE. CONVERT TO PULL OUT CLEANING.</t>
  </si>
  <si>
    <t>REPLACEMENT OF L06_JVSPLIT_027E_RAISE. APPROVED ON JAN 19, 2022. TEMPORARY STOPPED ON JANUARY 29,2022 DUE TO LACK OF MANPOWER.</t>
  </si>
  <si>
    <t>L06_JV_025E_DW</t>
  </si>
  <si>
    <t>L09_DPVE_053E_RAISE</t>
  </si>
  <si>
    <t>REPLACEMENT OF L06_JVSPLIT_027E RAISE. APPROVED ON JAN 14, 2022. STOPPED ON JANUARY 29,2022 DUE TO BREAKTHROUGH TO OLD RAISE.</t>
  </si>
  <si>
    <t>REPLACEMENT OF L04_JV_017E_DE APPROVED ON NOVEMBER 9, 2021. STOPPED ON JANUARY 29,2022 ALREADY HIT THE TARGET VEIN.</t>
  </si>
  <si>
    <t>replacement of L05_DPVE_025E_STOPE. Approved on August 21, 2021. STOPPED ON JANUARY 29,2022 DUE TO CONSECUTIVE LOW ASSAY GRADE.</t>
  </si>
  <si>
    <t>L09_GHVHW_004W_RAISE</t>
  </si>
  <si>
    <t>L10_DPVE_085E_DE</t>
  </si>
  <si>
    <t>REPLACEMENT OF L10_GHVHW_056E_DE, APPROVED ON JAN 10, 2022. STOPPED ON JANUARY 31,2022 (1ST SHIFT) ALREADY FINISHED STOPE PREPARATION.</t>
  </si>
  <si>
    <t>L10_GHVHW_049E_STOPE</t>
  </si>
  <si>
    <t>REPLACEMENT OF L06_JVSPLIT_035E_RAISE. APPROVED ON JANUARY 29,2022. STOPPED ON JANUARY 31,2022 DUE TO VEIN PINCHED OUT.</t>
  </si>
  <si>
    <t>ADDITIONAL HORIZONTAL DEVELOPMENT DRIVE. APPROVED ON NOVEMBER 29,2021. STOPPED ON JANUARY 31,2022 DUE TO VEIN PINCHED OUT.</t>
  </si>
  <si>
    <t>REPLACEMENT OF L10_GHVSPLIT_077E_DE. APPROVED ON JANUARY 22,2022. STOPPED ON JANUARY 31,2022 ALREADY HIT THE TARGET VEIN.</t>
  </si>
  <si>
    <t>L10_JVHW_037E_DW</t>
  </si>
  <si>
    <t>REPLACEMENT OF L09 NONE 028E XCN. APPROVED ON JUNE 26, 2022. STOPPED ON JAN 31, 2022 DUE TO VEIN PINCHED OUT</t>
  </si>
  <si>
    <t>REPLACEMENT OF L09 DPVE2 063E DE. APPROVED ON OCT 11, 2021. TEMP STOPPED ON DEC 2, 2021 DUE TO LACK OF MANPOWER. RESUMED ON DEC 6. 2021 AT THE SAME TIME TRANSFER FROM CAPPUYO 1 TO HANGDAAN 1. TRANSFER WORKING PLACE FROM HANGDAAN 1 TO BALANGHIG 1, APPROVED ON JAN 10, 2022. STOPPED ON JAN 31, 2022 ALREADY DONE BREAKING CROWN PILLAR.</t>
  </si>
  <si>
    <t>L09_JVFW_055E_ROBBING</t>
  </si>
  <si>
    <t>L10_JVFW_032E_DW</t>
  </si>
  <si>
    <t>L09_DPVE_030E_DE</t>
  </si>
  <si>
    <t>L07_JV_044E_ DE_ISL</t>
  </si>
  <si>
    <t>REPLACEMENT OF L07_JV_044E_DW_ISL. APPROVED ON JANUARY 20,2022. TEMPORARY STOPPED ON JANUARY 24,2022 DUE TO VEIN PINCHED OUT.</t>
  </si>
  <si>
    <t>L06_DPVE_032E_WINZE</t>
  </si>
  <si>
    <t>L10_NONE_008W_XCS</t>
  </si>
  <si>
    <t>REPLACEMENT OF L10_GHV_005E_DE. APPROVED ON OCT 28, 2021. STOPPED ON FEBRUARY 1,2022 DUE TO VEIN PINCHED OUT.</t>
  </si>
  <si>
    <t>L10_JVFW_023E_DW</t>
  </si>
  <si>
    <t>L04_JVHW_023E_DE</t>
  </si>
  <si>
    <t>L10_DPVE_045E_STOPE PREP</t>
  </si>
  <si>
    <t>L10_JVFW_018E_DW</t>
  </si>
  <si>
    <t>EXPLORATORY DRIVE APPROVED ON JAN.19,2022. TEMP STOPPED ON FEB 2, 2022. TO PRIORITIZE ROBBING.</t>
  </si>
  <si>
    <t>L08_DPVE_071E_WINZE STOPE PREP</t>
  </si>
  <si>
    <t>REPLACEMENT OF L06_JVHW_012W_DE. APPROVED ON DEC 7 2021.STOPPED ON JAN 24, 2022 LOW GRADE LATE NOTIFICATION.</t>
  </si>
  <si>
    <t>REPLACEMENT OF L08 GHVS 033W DW, APPROVED ON JAN 17, 2022.STOPPED ON JAN 31, 2022 DUE TO CONSECUTIVE LOW GRADE RESULT.</t>
  </si>
  <si>
    <t>L08_DPVE_072E_WINZE STOPE PREP</t>
  </si>
  <si>
    <t>ADDITIONAL PRODUCTION TONNAGE - ON CLEANING STAGE. APPROVED ON 11/4/2021. TEMPORARY STOPPED ON NOV 4, 2021 MANPOWER WILL TEMP. MERGE TO WORKPLACE L08_GHV_050E_ROBBING.RESUMED ON NOVEMBER 19,2021 AT THE SAME TIME TRANSFER FROM LERIO 3 TO SHEPHERD AJ1. STOPPED ON DECEMBER 1,2021 ALREADY MINED OUT.RESUMED SILL PILLAR ROBBING ON FEB 2, 2022.</t>
  </si>
  <si>
    <t>REPLACEMENT OF L10_GHVSPLIT_020E_DE, APPROVED ON JAN 8, 2022. STOPPED ON FEBRUARY 1,2022 DUE TO VEIN PINCHED OUT.</t>
  </si>
  <si>
    <t>L07_DPVE_020E_RAISE</t>
  </si>
  <si>
    <t>L08_NONE_034E_XCN</t>
  </si>
  <si>
    <t>ADDITIONAL HORIZONTAL DEVELOPMENT APPROVED ON JANUARY 13, 2022.STOPPED ON FEB 4, 2022. HAS 4 METERS REMAINING PILLAR TO BREAKTHROUGH TO AN OLD MAINLINE.</t>
  </si>
  <si>
    <t>L09_JV_045E_RAISE</t>
  </si>
  <si>
    <t>L09_NONE_005W_XCS</t>
  </si>
  <si>
    <t>REPLACEMENT OF L07_DPVE_041E_WINZE STOPE PREP ON NOV.16,2021.CONVERT TO PULL OUT. APPROVED ON JAN 26 2022.STOPPED ON FEBRUARY 4,2022 ALREADY MINED OUT.</t>
  </si>
  <si>
    <t>L10_JVHW_046E_DW</t>
  </si>
  <si>
    <t>L08_GHV_030E_WINZE STOPE</t>
  </si>
  <si>
    <t xml:space="preserve"> APPROVED ON 12/14/2021. REPLACEMENT OF L08_GHV_030E_DE_ISL.STOPPED ON FEBRUARY 3,2022 ALREADY FINISHED STOPE PREPARATION.</t>
  </si>
  <si>
    <t>ADDITIONAL HORIZONTAL DEVELOPMENT TARGETING JV VEIN. APPROVED ON JANUARY 28,2022. NOT IN RESERVE.STOPPED ON FEBRUARY 5,2022 ALREADY HIT THE TARGET VEIN</t>
  </si>
  <si>
    <t>REPLACEMENT OF L10_JVFW_053E_STOPE PREP. APPROVED ON JULY 29,2021. STOPPED BREAKING ON FEBRUARY 2,2022 DUE TO VEIN PINCHED OUT ON UPPER FLOORS ALREADY DONE TRAVERSE ON FEBRUARY 3,2022 AT THE SAME TIME CONVERT TO PULL OUT CLEANING.</t>
  </si>
  <si>
    <t>L05_GHV_019W_WINZE</t>
  </si>
  <si>
    <t>L09_GHV_032E_DW_ISL</t>
  </si>
  <si>
    <t>L11_NONE_048E_CHAMBER</t>
  </si>
  <si>
    <t>1 CPT SUMP. APPROVED ON JAN 12, 2022. STOPPED ON FEBRUARY 5,2022 ALREADY DONE EXCAVATION.</t>
  </si>
  <si>
    <t>L05_DPVE_034E_DW_ISL</t>
  </si>
  <si>
    <t>CROSSCUT FOR VENTILATION PURPOSES ON NOV.15,2021.STOPPED ON FEBRUARY 4,2022 ALREADY BREAKTHROUGH.</t>
  </si>
  <si>
    <t>L10_DPVE_038E_RAISE</t>
  </si>
  <si>
    <t>REPLACEMENT OF L06 DPVE 015E ROBBING. APPROVED ON JAN 21, 2022.RENAMED FROM L06_GHV_029E_RAISE TO L06_GHV_030E_RAISE ON JAN.26,2022.STOPPED ON FEB 7, 2022 DUE TO LOW GRADE.</t>
  </si>
  <si>
    <t>L06_GHV_030E_WINZE</t>
  </si>
  <si>
    <t>REPLACEMENT OF L06_JVSPLIT_027E_RAISE, APPROVED ON JAN 24, 2022.STOPPED ON FEB 7, 2022. TO CONVERT TO CROWN PILLAR ROBBING.</t>
  </si>
  <si>
    <t>L06_JV_029E_ROBBING</t>
  </si>
  <si>
    <t>L05_DPVE_025E_RAISE_ISL</t>
  </si>
  <si>
    <t>SHAPHERD AF 2</t>
  </si>
  <si>
    <t>REPLACEMENT OF L09 NONE 002E XCS. APPROVED ON OCT 30, 2021. TEMPORARY STOPPED ON NOVEMBER 26,2021 INSUFFICIENT MANPOWER.RESUME ON NOV.27,2021.TEMPORARY STOPPED ON NOV. 29, 2021. TEAM LEADER SURRENDER. RESUMED ON DEC 7, 2021. AT THE SAME TIME TRANSFER FROM BANTAYAN TO BABOR 2 AS COMMON AREA FOR L09 DPVE 036E STOPE PREP DUE TO FREQUENT FLOODING AT 29E SHAFT.RENAME FROM L09_GHVHW_002E_DW TO L09_GHVSPLIT_002E_DW ON DEC 7, 2021.TEMP STOPPED ON DEC 13,2021 TO DO FOLLOW UP RAISE. RESUME ON JAN.15, 2022 MAN POWER CAME FROM L09_DPVE_082E_DE.STOPPED ON FEB 7,2022 DUE TO VEIN PINCHED OUT.</t>
  </si>
  <si>
    <t>REPLACEMENT OF L05 JV 036E DE ISL. APPROVED ON JAN 12, 2022.STOPPED ON FEBRUARY 7,2022 DUE TO OFF VEIN.</t>
  </si>
  <si>
    <t>L09_GHVSPLIT_002E_DE</t>
  </si>
  <si>
    <t>REPLACEMENT OF L05_DPVE_038E_DE. APPROVED ON DEC. 7, 2021.STOPPED ON FEBRUARY 7,2022 DUE TO VEIN PINCHED OUT</t>
  </si>
  <si>
    <t>L05_JV_036E_ROBBING</t>
  </si>
  <si>
    <t>REPLACEMENT OF L05_DPVE_025E_WINZE. APPROVED ON NOV. 30, 2021.STOPPED ON FEBRUARY 7,2022 DUE TO VEIN PINCHED OUT</t>
  </si>
  <si>
    <t xml:space="preserve"> Approved on Dec. 23, 2021. Special project for Dewatering.TRANSFERRED FROM PANCIT, NOEL TO FERNANDEZ RG STARTING ON JAN. 17, 2021.STOPPED ON FEBRUARY 7,2022 ALREADY BREAKTHROUGH.</t>
  </si>
  <si>
    <t>REPLACEMENT OF L07_JVFW_037E_RAISE. APPROVED ON JAN 26 2022.STOPPED ON FEB 7, 2022, BREAKTHROUGH TO AN OLD STOPE. CONVERTED TO SILL PILLAR ROBBING.</t>
  </si>
  <si>
    <t>L07_DPVE_029E_ROBBING</t>
  </si>
  <si>
    <t>REPLACEMENT OF L08 JV 012W DE, APPROVED ON OCT 30 2021 (SILL PILLAR).STOPPED ON FEB 7, 2022 ALREADY DONE PILLAR ROBBING.</t>
  </si>
  <si>
    <t>REPLACEMENT OF L08_GHVFW_002W_WINZE STOPE PREP ON NOV.26,2021.CONVERT STATUS FROM BREAKING TO PULL OUT, ALREADY DONE DRIVING FILL RAISE. DONE STOPE  TRAVERSE FEB 7, 2022.</t>
  </si>
  <si>
    <t>REPLACEMENT OF L10_NONE_018E_XCN. APPROVED ON JANUARY 31,2022.STOPPED ON FEB.8,2022 PICHED OUT VEIN</t>
  </si>
  <si>
    <t>ADDITIONAL SOURCE OF STOPE ORE. APPROVED ON FEBRUARY 2,2022. TEMPORARY STOPPED ON FEBRUARY 6,2022.RESUMED ON FEBRUARY 8,2022</t>
  </si>
  <si>
    <t>L10_JVFW_020E_DE</t>
  </si>
  <si>
    <t>L10_GHVFW_058E_DE</t>
  </si>
  <si>
    <t>REPLACEMENT OF L10_GHVFW_050E_STOPE PREP. APPRVED ON SEPTEMBER 21,2021.STOPPED BREAKING ON DECEMBER 10,2021 DUE TO LOW ASSAY GRADE OF IPR. AT THE SAME TIME CONVERT TO PULL OUT CLEANING.STOPPED ON FEBRUARY 8,2022 DECLARED MINED OUT 99% PULL OUT.</t>
  </si>
  <si>
    <t xml:space="preserve"> PANCIT,NOEL 4</t>
  </si>
  <si>
    <t>REPLACEMENT OF L06 JV 020E DE ISL. APPROVED ON JAN 6, 2022.STOPPED ON FEB 9, 2022 DUE TO LOW GRADE.</t>
  </si>
  <si>
    <t>L06_JV_019E_ROBBING</t>
  </si>
  <si>
    <t>REPLACEMENT OF L06 JVSPLIT 021E ROBBING. APPROVED ON JAN 7, 2022, SILL PILLAR ROBBING.STOPPED ON FEB 9, 2022 ALREADY FINISHED ROBBING.</t>
  </si>
  <si>
    <t>L06_JVSPLIT_023E_ROBBING</t>
  </si>
  <si>
    <t>ADDITIONAL HORIZONTAL DEVT APPROVED ON JAN 10, 2022.STOPPED ON FEB.9,2022</t>
  </si>
  <si>
    <t>REPLACEMENT OF L04 GHV 057E ROBBING. APPROVED ON JAN 24, 2022.STOPPED ON FEB.9, 2022</t>
  </si>
  <si>
    <t>L04_JVSPLIT_028E_DW_ISL</t>
  </si>
  <si>
    <t>REPLACEMENT OF L09 JVHW 029E DW. APPROVED ON JAN 31, 2022.STOPPED ON FEB 9, 2022 TO TRANSFER TO OTHER PRIORITY HEADING.</t>
  </si>
  <si>
    <t>L09_JVHW_062E_DE</t>
  </si>
  <si>
    <t>L09_DPVE_084E_DE</t>
  </si>
  <si>
    <t>L09_GHVSPLIT_052E_DE</t>
  </si>
  <si>
    <t>REPLACEMENT OF L07_DPVE_021E_WINZE. APPROVED ON JAN 27 2022.stopped on feb.9,2022</t>
  </si>
  <si>
    <t>L07_JV_009W_STOPE</t>
  </si>
  <si>
    <t>L09_GHVFW_046E_RAISE</t>
  </si>
  <si>
    <t>ADDITIONAL VERTICAL DEVELOPMENT. APPROVED ON JANUARY 27,2022.TEMPORARY STOPPED ON FEBRUARY 3,2022 PRIORITIZED PULL OUT OF JVSPLIT_071E_STOPE.RESUMED ON FEBRUARY 5,2022. TEMPORARY STOPPED ON FEBRUARY 11, 2022.</t>
  </si>
  <si>
    <t>L08_GHVFW_005E_WINZE</t>
  </si>
  <si>
    <t>L08_JV_074E_WINZE STOPE PREP</t>
  </si>
  <si>
    <t>REPLACEMENT OF L08_JV_074E_DW_ISL ON JAN.18, 2022.STOPPED ON FEBRUARY 12,2022. CONVERT TO STOPE PREPARATION.</t>
  </si>
  <si>
    <t>REPLACEMENT OF L05_DPVE_025E_DE_ISL. APPROVED ON FEBRUARY 7,2022. STOPPED ON FEB. 12, 2022 DUE TO LOW CONSECUTIVE ASSAY GRADE.</t>
  </si>
  <si>
    <t xml:space="preserve"> replacement of L05_DPVE_043E_STOPE PREP. converted to stope breaking September 24, 2021. Stopped breaking on Feb. 4, 2022.</t>
  </si>
  <si>
    <t xml:space="preserve"> replacement of L05_JV_024E_WINZE STOPE PREP ON. NOV.24,2021. STOPPED BREAKING ON JAN. 28, 2022.</t>
  </si>
  <si>
    <t>L11_GHV_063E_RAISE_ISL</t>
  </si>
  <si>
    <t>L10_GHVFW_041E_STOPE PREP</t>
  </si>
  <si>
    <t>ADDITIONAL VERTICAL DRIVE. APPROVED ON JAN 8, 2022. STOPPED ON FEBRUARY 13,2022 CONVERT TO STOPE PREPARATION.</t>
  </si>
  <si>
    <t>REPLACEMENT OF L04_GHVSPLIT_029W_STOPE_PREP APPROVED ON OCTOBER 4, 2021. STOPPED STOPE BREAKING AND CONVERTED TO PULL-OUT FEB. 12, 2021.</t>
  </si>
  <si>
    <t>L04_GHVFW_019E_ROBBING</t>
  </si>
  <si>
    <t>SHEPHERD AL 2</t>
  </si>
  <si>
    <t>REPLACEMENT OF L08_GHV_029W_STOPE. APPROVED ON 9/27/2021 AND ON MAINLINE CLEANING STAGE, QUOTA WILL START UNTIL NOTICE. Started breaking on 10/8/2021.TEMPORARRY STOPPED ON OCT 29, 2021 TO PRIORITIZE ROBBING HEADING.  RESUME ON 11/4/2021 STOPPED ON NOVEMBER 12,2021 TO DRIVE VERTICAL RAISE. resume on jan. 25, 2022 .TEMPORARY STOPPED ON FEBRUARY 14,2022 TO FOLLOW UP RAISE.</t>
  </si>
  <si>
    <t>REPLACEMENT OF L08 JV 018W STOPE. APPROVED ON JAN 25, 2022.STOPPED ON FEBRUARY 14,2022 CONVERT TO ON VEIN DRIVE.</t>
  </si>
  <si>
    <t>L08_JV_011W_DE</t>
  </si>
  <si>
    <t>L09_DPVE_035E_STOPE PREP</t>
  </si>
  <si>
    <t>L08_DPVE_001E_RAISE</t>
  </si>
  <si>
    <t>L05_JVSPLIT_009W_DE</t>
  </si>
  <si>
    <t xml:space="preserve"> ADDITIONAL DEVELOPMENT DRIVE. APPROVED ON FEBRUARY 10,2022. STOPPED ON FEBRUARY 14,2022 ALREADY BREAKTHROUGH.</t>
  </si>
  <si>
    <t>ADDITIONAL VERTICAL DEVELOPMENT. APPROVED ON JANUARY 26,2022.STOPPED ON FEB.12, 2022</t>
  </si>
  <si>
    <t>REPLACEMENT OF L06_JV_004W_STOPE PREP APPROVED ON JAN.28,2022.STOPPED BREAKING CONVECTED TO PULL-OUT CLEANING ON FEB.12, 2022</t>
  </si>
  <si>
    <t>L07_NONE_026E_SUMP</t>
  </si>
  <si>
    <t>L07_JVSPLIT_008W_DW</t>
  </si>
  <si>
    <t>REPLACEMENT OF L04_GHVFW_019E_WINZE STOPE PREP ON 8/18/21. STOPPED BREAKING ON JAN 6, 2022, NOT TRAVERSED DUE TO UNSAFE CONDITION, WITH MEMO ACKNOWLEDGED BY SAFETY, FOR PULL OUT CLEANING.MINED OUT FEB.14,2022</t>
  </si>
  <si>
    <t>GONZALEZ 1</t>
  </si>
  <si>
    <t xml:space="preserve">SHEPHERD AQ </t>
  </si>
  <si>
    <t>REPLACEMENT OF L07_GHV_037W_WINZE. APPROVED ON JAN 26 2022.STOPPED ON FEBRUARY 15,2022 ALREADY MINED OUT.</t>
  </si>
  <si>
    <t>BORRERO 2</t>
  </si>
  <si>
    <t>REPLACEMENT OF L08_GHVHW_006W_ROBBING. APPROVED ON JAN 27, 2022.STOPPED ON FEBRUARY 15,2022 DUE TO VEIN PINCHED OUT.</t>
  </si>
  <si>
    <t>L08_NONE_060E_XCN</t>
  </si>
  <si>
    <t>L11_NONE_057E_XCS</t>
  </si>
  <si>
    <t>L07_JV_010W_WINZE</t>
  </si>
  <si>
    <t>REPLACEMENT OF L04_023E_XCN APPROVED ON JAN.29,2022.STOPPED ON FEB. 16, 2022 DUE TO LOW QA/QC RESULT.</t>
  </si>
  <si>
    <t>L04_JVHW_023E_RAISE</t>
  </si>
  <si>
    <t>REPLACEMENT OF L10_JVFW_068E_STOPE PREP.APPROVED ON AUG. 4, 2021.TEMP.STOPPED ON AUG.5, 2021.WAITING FOR THE DESIGN FROM ENGINEERING. RESUMED ON AUGUST 7,2021. CHARGE TO STOPE PREP CURRENT BILLING UNTIL TARGET VEIN OF JVFW 067E STOPE IS REACHED.TEMP STOPPED ON JAN.19, 2022 FOR EVALUATION.PERMANENTLY STOPPED BREAKING ON JANUARY 20,2022 DUE TO UNSAFE CONDITION ALREADY SUBMITTED UNSAFE REPORT AT THE SAME TIME CONVERT TO PULL OUT CLEANING.stopped on February 17,2022 already mined out</t>
  </si>
  <si>
    <t>L10_GHVFW_061E_RAISE</t>
  </si>
  <si>
    <t xml:space="preserve">REPLACEMENT OF L06_JVFW_036E_WINZE STOPE PREP APPROVED ON JAN.6,2022.CONVERTED TO PULL-OUT ON FEB.08,2022
</t>
  </si>
  <si>
    <t>REPLACEMENT OF L06 GHV 030E RAISE. APPROVED ON FEB 7, 2022, 1-CPT WINZE FILL WINZE TO SERVE AS WASTE PASS.STOPPED ON FEB.13, 2022</t>
  </si>
  <si>
    <t>REPLACEMENT OF L10_JVFW_053E_STOPE PREP. APPROVED ON JULY 29,2021. STOPPED BREAKING ON FEBRUARY 2,2022 DUE TO VEIN PINCHED OUT ON UPPER FLOORS ALREADY DONE TRAVERSE ON FEBRUARY 3,2022 AT THE SAME TIME CONVERT TO PULL OUT CLEANING. STOPPED ON FEBRUARY 17,2022 ALREADY MINED OUT.</t>
  </si>
  <si>
    <t>L10_GHVFW_051E_STOPE PREP</t>
  </si>
  <si>
    <t>REPLACEMENT OF L10_DPVE_042E_DE APPROVED ON JULY 8, 2021.Temporary stopped on August 11,2021 delay on follow up of stope preparation.  RESUMED ON DECEMBER 3,2021.TEMPORARY STOPPED ON DECEMBER 8,2021 TO DO FOLLOW UP OF RAISE
L10_GHVFW_051E_DW MONTEBON 1- TEMPORARY STOPPED ON DECEMBER 8,2021 PRIORITIZED 54E DE. RESUMED ON FEBRUARY 2,2022 AT THE SAME TIME TRANSFER FROM ALMASA 3 TO BAÑEZ 5. TEMPORARY STOPPED ON FEBRUARY 17,2022.</t>
  </si>
  <si>
    <t>L10_JVFW_057E_RAISE</t>
  </si>
  <si>
    <t>REPLACEMENT OF L07_JV_009W_STOPE PREP ON FEB.9, 2022.TEMPORARY STOPPED ON FEBRUARY 15,2022 DUE TO VEIN PINCHED OUT AND NOT RECOMMENDED FOR PULL OUT WAITING FOR TRAVERSE REPORT.  PERMANENTLY STOPPED ON FEBRUARY 17,2022 ALREADY TRAVERSE.</t>
  </si>
  <si>
    <t>L04_JVSPLIT_016E_DE</t>
  </si>
  <si>
    <t>REPLACEMENT OF L04_NONE_016E_XCN. APPROVED ON FEB 9, 2022.  STOPPED ON FEB. 18, 2022 DUE TO PINCHED OUT OF VEIN</t>
  </si>
  <si>
    <t>L04_CV_006E_DE</t>
  </si>
  <si>
    <t>L05_JV_022E_DW</t>
  </si>
  <si>
    <t>L05_DPVE_025E_WINZE STOPE PREP</t>
  </si>
  <si>
    <t>L06_JVSPLIT_007E_WINZE</t>
  </si>
  <si>
    <t>L10_NONE_083E_XCN</t>
  </si>
  <si>
    <t>083E</t>
  </si>
  <si>
    <t xml:space="preserve">L07_DPVE_045E_DE </t>
  </si>
  <si>
    <t>REPLACEMENT OF L07_DPVE_045E_STOPE. APPEOVED ON JAN 26 2022. STOPPED ON FEBRUARY 18, 2022.</t>
  </si>
  <si>
    <t xml:space="preserve">REPLACEMENT OF L11_GHV_062E_DE TAGETING LATERAL EXTENSION OF L11_GHV_063E_WINZE. APPROVED ON FEBRUARY 15,2022. Temporary stopped on February 19,2022.
</t>
  </si>
  <si>
    <t>REPLACEMENT OF L09 JVSPLIT 070E STOPE, APPROVED ON JAN 8, 2021. STOPPED ON FEBRUARY 14,2022 CONVERT TO STOPE PREPARATION.</t>
  </si>
  <si>
    <t>L08_NONE_049E_XCS</t>
  </si>
  <si>
    <t>FERNANDEZX REX 3</t>
  </si>
  <si>
    <t>L04_GHVSPLIT_041W_ROBBING</t>
  </si>
  <si>
    <t>ADDITIONAL VERTICAL DEVELOPMENT.APPROVED ON SEP 30 2021. TRANSFER FROM SHEPHERD AM TO TURRA 4 ON JANUARY 23,2022 DUE TO ABSENTEEISM. TEMPORARY STOPPED ON FEBRUARY 14,2022 TO PRIORITIZED ALTERNATE SUMP.RESUMED ON FEBRUARY 15,2022. STOPPED ON FEBRUARY 19,2022 CONVERT TO ISL.</t>
  </si>
  <si>
    <t>L07_DPVE_014E_DE_ISL</t>
  </si>
  <si>
    <t>L09_GHVHW_001W_DW</t>
  </si>
  <si>
    <t>REPLACEMENT OF L06 JV 029E WINZE. APPROVED ON FEB 7, 2022, CROWN PILLAR ROBBING. STOPPED ON FEB. 19, 2022.</t>
  </si>
  <si>
    <t>L06_NONE_005W_XCS</t>
  </si>
  <si>
    <t>L05_DPVE_052E_STOPE PREP</t>
  </si>
  <si>
    <t>REPLACEMENT OF L05_JV_036E_DW_ISL. APPROVED ON FEBRUARY 7,2022 TOPSLICE WITH AIRHOIST.MINED-OUT ON FEB 21, 2022. MEMO TO FOLLOW.</t>
  </si>
  <si>
    <t>OSWAY</t>
  </si>
  <si>
    <t>REPLACEMENT OF L08_DPVE_076E_RAISE, APPROVED ON JAN 12, 2022.STOPPED ON FEB 21, 2022 DUE TO LOW CONSECUTIVE ASSAY GRADE</t>
  </si>
  <si>
    <t>APPROVED ON NOVEMBER 19, 2021. VENTILATION PROJECT. TEMPORARY STOPPED ON DECEMBER 2, 2021. AREA UNDER REHAB. RESUMED ON DEC. 13, 2021.STOPPED ON FEB.21, 2022</t>
  </si>
  <si>
    <t>ADDITIONAL VERTICAL DEVELOPMENT. APPROVED ON FEB. 9 2021.TRANSFER FROM SAMBERE TO GUNAY ON APRIL 7, 2021, FILLWINZE STOPPED ON MAY 20, 2021 TO BE CONVERTED TO ISL. RESUME ON FEB. 2, 2022 FILL WINZE. STOPPED ON FEB 6, 2022.</t>
  </si>
  <si>
    <t>REPLACEMENT OF L10_DPVE_035E_DW APPROVED ON DECEMBER 14, 2021.TRANSFER WORKING FROM OLIVEROS 4 TO TAÑEZA 2,APPROVED ON JAN 7, 2022.  TEMPORARY STOPPED ON FEBRUARY 22,2022 TO FOLLOW UP RAISE.</t>
  </si>
  <si>
    <t>L07_NONE_040E_XCS</t>
  </si>
  <si>
    <t>L10_DPVE_012E_RAISE</t>
  </si>
  <si>
    <t>L11_GHV_060E_DW</t>
  </si>
  <si>
    <t>REPLACEMENT OF L10_DPVE_028E_RAISE. APPROVED ON JANUARY 25,2022.stopped on feb.22,2022</t>
  </si>
  <si>
    <t>L10_DPVE_025E_STOPE</t>
  </si>
  <si>
    <t xml:space="preserve">ADDITIONAL HORIZONTAL DEVELOPMENT. APPROVED ON MARCH 10 2020.STOPPED ON MAY 4,2020 ALREADY HIT THE VEIN TARGET. RESUMED ON MAY 18 2020. stopped on July 24 2020 due to lack of man power. RESUMED ON OCT 8 2020. TRANSAFFERED ON OCT 26 2020 FROM DUHIG TO PMC MINERS. transfer from PMC MINERS TO DUHIG 1 on NOVEMBER 9,2020. Notified only on November 25,2020. TEMP STOP ON 3/13/2021, BECAUSE OF 035E SHAFT WINDER PROBLEM. Resumed on April 13,2021.TEMPORARY STOPPED ON MAY 4,2021 REMAINING BALANCE OF 8 METERS.NOTIFY ON MAY 13, 2021.RESUMED ON MAY 21, 2021.STOPPED ON FEB.22,2022
</t>
  </si>
  <si>
    <t>L09_NONE_004E_XCN</t>
  </si>
  <si>
    <t>Replacement of L05_JV_022E_STOPE PREP. approved on July 15, 2021. 6.0M INTERVAL AT 4TH FLOOR BLASTED EVAL. ON AUGUST 7, 2021. THIS WORKHEADING AS STOPE BRK. IS BELOW THE OLD INCLINED RAISE EVAL. ON AUGUST 12, 2021. TEMPORARY STOPPED ON SEPTEMBER 18, 2021 DUE TO ABSENTEEISM OF MEN RESULTING TO ABANDONMENT OF WORKING PLACE.RESUMED ON SEPT. 21, 2021. TEMPORARILY STOPPED ON OCT 1 2021. LACK OF MANPOWER.RESUMED ON OCT 18, 2021. AT THE SAME TIME TRANSFERRED FROM SHEPHERD AF 1 TO SHEPHERD AD 2 DUE TO MANPOWER ISSUE. STOPPED BREAKING AND CONVERT TO PULL-OUT CLEANING ON JAN. 26, 2022. STOPPED ON FEBRUARY 17, 2022.</t>
  </si>
  <si>
    <t>REPLACEMENT OF L09 GHVSPLIT 002E DW. APPROVED ON FEB 7, 2022. STOPPED ON FEB 22, 2022 DUE TO LOW CONSECUTIVE ASSAY GRADE.</t>
  </si>
  <si>
    <t>REPLACEMENT OF L10_DPVE_063E_DE APPROVE ON JULY 7, 2021. TEMPORARY STOPPED ON AUGUST 2,2021 DUE TO DELAY OF RAISE PREP. RESUMED ON AUGUST 10,2021.TEMPORARY STOPPED ON AUGUST 26,2021 DELAY ON STOPE PREPARATION. RESUMED ON SEPTEMBER 17,2021. Temp stop on 9/24/2021 to prioritize  L10_DPVE_062E_DE. RESUMED ON OCT 6, 2021. TEMPORARY STOPPED ON FEBRUARY 18, 2022.</t>
  </si>
  <si>
    <t>REPLACEMENT OF L10_GHVFW_050E_STOPE. APPROVED ON FEBRUARY 8,2022. TEMPORARY STOPPED ON FEBRUARY 18,2022 FOR DISCUSSION OF MANPOWER.</t>
  </si>
  <si>
    <t>REPLACEMENT OF L06_JVHW_025W_RAISE, APPROVED ON JAN 24, 2022. STOPPED ON FEBRUARY 22, 2022 ALREADY BREAKTHROUGH.</t>
  </si>
  <si>
    <t>REPLACEMENT OF L06_JV_004W_STOPE PREP APPROVED ON JAN.28,2022.STOPPED BREAKING CONVECTED TO PULL-OUT CLEANING ON FEB.12, 2022. STOPPED ON FEBRUARY 22, 2022, FINISHED HEADING.</t>
  </si>
  <si>
    <t>REPLACEMENT OF L05_NONE_014E_XCS. APPROVED ON FEBRUARY 7,2020. TRANSFER FROM FERNANDEZ RG TO PANCIT,NOEL 4 ON FEBRUARY 8,2022.  STOPPED ON FEB 23, 2022 ALREADY BREAKTHROUGH.</t>
  </si>
  <si>
    <t xml:space="preserve"> REPLACEMENT OF L04_JVHW_023E_DE. APPROVED ON FEB. 16, 2022. STOPPED ON FEBRUARY 23, 2022  DUE TO LOW CONSECUTIVE ASSAY GRADE.</t>
  </si>
  <si>
    <t>CROSSCUT TARGETING DRILLING INTERCEPT. APPROVED ON FEBRUARY 19,2022. RENAMED FROM L07_NONE_041E_XCS TO L07_NONE_040E_XCS TO AVOID MISCHARGING ON FEBRUARY 22,2022.-STOPPED, HIT THE TARGET VEIN.ON FEB.23,2022.</t>
  </si>
  <si>
    <t>L07_DPVE_040E_DW</t>
  </si>
  <si>
    <t>TEMPORARY REPLACEMENT OF L08_JVSPLIT 061E STOPE. ACTIVE 4/21/2021. Temporary stopped on May 5,2021 to prioritized waste pass entry.RESUME ON 6/18/2021.  STOPPED ON AUGUST 16, 2021 ALREADY REACHED THE RECOMMENDED STRIKE LENGTH/CROW PILLAR. RESUMED ON FEBRUARY 11,2022 TO DO SILL PILLAR ROBBING.ALREADY FINISHED BREAKING THE SILL PILLARS.STOPPED ON FEBRUARY 20, 2022</t>
  </si>
  <si>
    <t xml:space="preserve"> REPLACEMENT OF L08_GHVHW_054E_ROBBING APPROVED ON FEB.19, 2022.STOPPED ON FEBRUARY 24, 2022</t>
  </si>
  <si>
    <t>REPLACEMENT OF L10_GHV_006W_DW. APPROVED ON FEBRUARY 1,2022.  STOPPED ON FEB 24, 2022. MEMO TO FOLLOW.</t>
  </si>
  <si>
    <t>REPLACEMENT OF L07_JV_009W_STOPE. APPROVED ON FEBRUARY 15,2022. -STOPPED ON FEB 21 2022 GEO MEMO TO FOLLOW.</t>
  </si>
  <si>
    <t>REPLACEMENT OF L10_NONE_037E_XCN. APPROVED ON JANUARY 31,2022. STOPPED ON FEBRUARY 25, 2022 PINCHED OUT VEIN.</t>
  </si>
  <si>
    <t>REPLACEMENT OF L08_004W_WINZE STOPE PREP APPROVED ON 11/11/21.. STOPPED ON FEBRUARY 25, 2022. ALREADY FINISHED DRILLING FILL RAISE.</t>
  </si>
  <si>
    <t xml:space="preserve"> ADDITIONAL HORIZONTAL DEVELOPMENT ON JANUARY 18, 2019.TEMP. STOPPED TO PRIORITIZED L09 DPVE 051E DE.APPROVED ON JANUARY 21, 2019.RESUMED ON NOV. 29, 2021. STOPPED ON FEBRUARY 26, 2022.</t>
  </si>
  <si>
    <t>EXPLORATORY DRIVE APPROVED ON JAN.19,2022. STOPPED ON JANUARY 26, 2022 ALREADY REACHED RECOMMENDED LENGTH.</t>
  </si>
  <si>
    <t>L05_JVSPLIT_007W_DW</t>
  </si>
  <si>
    <t>L05_JVSPLIT_009W_RAISE</t>
  </si>
  <si>
    <t xml:space="preserve"> REPLACEMENT OF L05_DPVE_042E_DE. APPROVED ON FEBRUARY 7,2022.TRANSFER FROM PANCIT,NOEL 4 TO FERNANDEZ, RG ON FEBRUARY 8,2022.TRANSFERRED FROM FERNANDEZ, RG TO SAMBERE ON FEB 21, 2022. STOPPED ON FEB 25, 2022. MEMO TO FOLLOW.</t>
  </si>
  <si>
    <t>L06_NONE_042E_XCN</t>
  </si>
  <si>
    <t>L05_JV_024E_DE_ISL</t>
  </si>
  <si>
    <t>L10_DPVE_038E_DE_ISL</t>
  </si>
  <si>
    <t xml:space="preserve">BLOCKING RAISE OF L10_DPVE_039E_RAISE.APPROVED ON APRIL 6, 2021.STOPPED ON MAY 4,2021 CONVERT TO STOPE PREPARATION.RESUMED ON FEBRUARY 7,2022 TO DO 1CPT RAISE AT THE SAME TIME RENAMED FROM L10_DPVE_040E_RAISE TO L10_DPVE_038E_RAISE. STOPPED ON FEB 27, 2022.
</t>
  </si>
  <si>
    <t>L07_GHVHW_019W_DE</t>
  </si>
  <si>
    <t>L07_JV_067E_WINZE STOPE</t>
  </si>
  <si>
    <t>REPLACEMENT OF L07 JV 067E DW ISL, APPROVED ON JAN 25, 2022.STOPPED ON FEB.23, 2022</t>
  </si>
  <si>
    <t>REPLACEMENT OF L08_GHVFW_002W_WINZE STOPE PREP ON NOV.26,2021.CONVERT STATUS FROM BREAKING TO PULL OUT, ALREADY DONE DRIVING FILL RAISE. DONE STOPE  TRAVERSE FEB 7, 2022.STOPPED ON FEB.24, 2022 FINISHED HEADING</t>
  </si>
  <si>
    <t>L05_JVHW_009W_RAISE</t>
  </si>
  <si>
    <t>L05_JVHW_007W_DE</t>
  </si>
  <si>
    <t>L06_JVFW_004W_RAISE</t>
  </si>
  <si>
    <t>L08_DPVE_078E_DW</t>
  </si>
  <si>
    <t>REPLACEMENT OF L09_JV_048E_DW. APPROVED ON SEPT 15, 2021. TEMPORARY STOPPED ON SEPTEMBER 18, 2021 DUE TO INSUFFICIENT MANPOWER. MANPOWER MERGED TO OTHER WORKING PLACE. RESUME TRANSFER FROM BALANHIG TO BABOR 1 APPROVED ON DECEMBER 6, 2021.TRANSFER TO PMC MINERS 1 FROM BABOR 1 ON JAN.15, 2022. TRANSFERRED FROM PMC MINERS 1 TO ALMASA 1 ON FEB. 20, 2022.STOPPED ON FEB.28,2022</t>
  </si>
  <si>
    <t xml:space="preserve"> REPLACEMENT OF L10_JVFW_018E_DE. APPROVED ON FEBRUARY 8,2022. TEMPORARY STOPPED ON FEBRUARY 17,2022. RESUMED ON FEBRUARY 18,2022.STOPPED ON FEB.28,2022</t>
  </si>
  <si>
    <t>REPLACEMENT OF L09 DPVE 056E DE. APPROVED ON JAN 26, 2022. RENAMED FROM L09_DPVE_054E_RAISE TO L09_DPVE_053E_RAISE ON JANUARY 28,2022.STOPPED ON FEB.28, 2022</t>
  </si>
  <si>
    <t>L08_JV_016E_ROBBING</t>
  </si>
  <si>
    <t>ADDITIONAL PRODUCTION TONNAGE - ON CLEANING STAGE. APPROVED ON 11/4/2021. TEMPORARY STOPPED ON NOV 4, 2021 MANPOWER WILL TEMP. MERGE TO WORKPLACE L08_GHV_050E_ROBBING.RESUMED ON NOVEMBER 19,2021 AT THE SAME TIME TRANSFER FROM LERIO 3 TO SHEPHERD AJ1. STOPPED ON DECEMBER 1,2021 ALREADY MINED OUT.RESUMED SILL PILLAR ROBBING ON FEB 2, 2022.STOPPED ON FEBRUARY 28, 2022</t>
  </si>
  <si>
    <t>L08_GHV_037E_DW_ISL</t>
  </si>
  <si>
    <t>L08_GHVFW_002W_DW_ISL</t>
  </si>
  <si>
    <t>L09_DPVE_053E_DW</t>
  </si>
  <si>
    <t>REPLACEMENT OF L09_GHVSPLIT_010E_RAISE, APPROVED ON NOV 6, 2021 (sill pillar robbing).STOPPED ON FEBRAURY 28, 2022</t>
  </si>
  <si>
    <t>OLIVEROS</t>
  </si>
  <si>
    <t>L09_DPVE_030E_STOPE PREP</t>
  </si>
  <si>
    <t>REPLACEMENT OF L08_DPVE_001E_DE. APPROVED ON FEBRUARY 14,2022.STOPPED ON MARCH 1, 2022 VEIN PINCHED OUT</t>
  </si>
  <si>
    <t>REPLACEMENT OF L06_JVSPLIT_013E_STOPE PREP ON JAN.24,2022.CONVERT TO PUILL-OUT CLEANING ON MARCH 1, 2022.</t>
  </si>
  <si>
    <t>REPLACEMENT OF L06_CTV_011E_WINZE_STOPE PREP APPROVED JANUARY 18, 2021.CONVERT TO PULL-OUT CLEANING ON MARCH 1, 2022</t>
  </si>
  <si>
    <t>REPLACEMENT OF L06_JVHW_031W_ROBBING, APPROVED ON JAN 18, 2022.stopped on march 2, 2022 vein pinch out</t>
  </si>
  <si>
    <t>L08_DPVE_058E_RAISE</t>
  </si>
  <si>
    <t>ADDITIONAL HORIZONTAL DEVELOPMENT APPROVED ON MARCH 13, 2021.TEMPORARY STOPPED ON APRIL 6,2021 TO FOLLOW UP RAISE.RESUMED ON FEB 28, 2022.TEMP. STOPPED ON MARCH 1, 2022.PERMANENT STOPPED ON MERCH 2,2022</t>
  </si>
  <si>
    <t>REPLACEMENT OF L08_GHV_026W_STOPE PREP. APPROVED ON JULY 7 2020. TEMPORARY stopped  on August 2 2020.RESUME ON 8/13/2021 AT THE SAME DATE TRANSFERRED TO AGLOLO AND RENAME FROM L08_GHV_026W_STOPE TO L08_GHV_028W_STOPE.IPR. ALREADY FINISHED IPR RESUMED BREAKING ON SEPTEMBER 21,2021.STOPPED BREAKING ON JAN 28, 2022, ALREADY DONE WITH FILL RAISE AND STOPE  TRAVERSE. CONVERT TO PULL OUT CLEANING.STOPPED ON MARCH 2,2022</t>
  </si>
  <si>
    <t>ADDITIONAL SOURCE OF GOOD ORE, APPROVED ON OCT 22, 2021. RENAMED FROM L04_CTV_025E_ROBBING TO L04_CTV_024E_ROBBING TO AVOID MISCHARGING TO L04_CV_025W_STOPE, OCT 24, 2021. TEMP STOPPED ON JAN 22, 2022, DUE TO LACK OF MANPOWER, MERGE TO 026E ROBBING.RESUMED ON JAN. 26, 2022 AS WELL AS TRANSFERRED FROM MARTINEZ DN 3 TO SHEPHERD AL 1.stopped on march 2, 2022</t>
  </si>
  <si>
    <t xml:space="preserve"> REPLACEMENT OF L10_JVFW_068E_STOPE. APPROVED ON FEBRUARY 17,2022. TRANSFER FROM BAÑEZ 7 TO MONTEBON 1 ON FEBRUARY 18,2022.STOPPED ON MARCH 2, 2022.
</t>
  </si>
  <si>
    <t xml:space="preserve">REPLACEMENT OF L07_DPVE_042E_WINZE. APPROVED ON NOV. 30 2020.from DE to DW approved on feb.18,2021.TEMPORARILY STOPPED ON MARCH 23 2021 TO PRIORITIZED RAISE. RESUMED ON APRIL 21 2021,STOPPED ON MAY 7, 2021 CONVERTED TO WINZE STOPE PREP.RESUMED ON AUGUST 24 2021. RENAMED FROM L07 DPVE 042E DW TO DPVE 41E DW. TEMP STOPPED ON 10/06/21. RECOMMENDED FOR STOPE PREP.RESUMED ON FEB 4, 2022.STOPPED DUE TO PINCHING OUT OF VEIN ON MARCH 2 2022 </t>
  </si>
  <si>
    <t>L07_DPVE_042E_DW_ISL</t>
  </si>
  <si>
    <t>L05_JVSPLIT_008W_DW_ISL</t>
  </si>
  <si>
    <t>L05_DPVE_025E_DW_ISL</t>
  </si>
  <si>
    <t>REPLACEMENT OF L05_DPVE_025E_DE_ISL. APPROVED ON FEB 8, 2022.STOPPED ON FEB 17, 2022.</t>
  </si>
  <si>
    <t>L07_GHVHW_004W_DW</t>
  </si>
  <si>
    <t>L08_GHVHW_068E_DE</t>
  </si>
  <si>
    <t>L08_GHV_018E_RAISE</t>
  </si>
  <si>
    <t>L04_GHVFW_005E_WINZE</t>
  </si>
  <si>
    <t>L04_CTV_023W_DE</t>
  </si>
  <si>
    <t xml:space="preserve"> replacement of L05_DPVE_043E_STOPE PREP. converted to stope breaking September 24, 2021. Stopped breaking and converted to pull-out on Feb. 4, 2022.stopped on march 2,2022</t>
  </si>
  <si>
    <t xml:space="preserve"> replacement of L05_DPVE_044E_WINZE STOPE ON NOV.24,2021.stopped on march 2, 2022</t>
  </si>
  <si>
    <t>L04_GHVFW_005W_WINZE</t>
  </si>
  <si>
    <t>REPLACEMENT OF L06_JVFW_036E_WINZE STOPE PREP APPROVED ON JAN.6,2022.CONVERTED TO PULL-OUT ON FEB.08,2022.STOPPED ON FEB.20, 2022 MINED OUT</t>
  </si>
  <si>
    <t>L04_CTV_022W_RAISE_ISL</t>
  </si>
  <si>
    <t>REPLACEMENT OF L10_DPVE_039E_STOPE PREP APPROVED ON APRIL 13, 2021.STOPPED ON MARCH 2, 2022.</t>
  </si>
  <si>
    <t xml:space="preserve">L06_JVHW_015E_WINZE </t>
  </si>
  <si>
    <t>L06_JVHW_015E_WINZE</t>
  </si>
  <si>
    <t>REPLACEMENT OF L04_EDV_018W_WINZE. APPROVED ON NOV. 30, 2021 TEMP STOPPED ON JAN 08, 2022 DUE TO LACK OF MANPOWER. RESUMED ON FEB 23, 2022 AND TRANSFERRED FROM ANDILAB 1 TO SHEPHERD AR. STOPPED ON FEB 28, 2022.</t>
  </si>
  <si>
    <t>L04_EDV_018W_DE_ISL</t>
  </si>
  <si>
    <t>REPLACEMENT OF L05_DPVE_042E_RAISE. APPROVED ON FEB 25, 2022. TEMP STOPPED ON MARCH 5, 2022.</t>
  </si>
  <si>
    <t>L04_JVSPLIT_028E_DE_ISL</t>
  </si>
  <si>
    <t>REPLACEMENT OF L10_DPVE_036E_STOPE PREP APPROVED ON SEPTEMBER 13,2021. STOPPED ON MARCH 5, 2022 CONVERT TO PULL OUT CLEANING.</t>
  </si>
  <si>
    <t>REPLACEMENT OF L05 CTV 026E DW, APPROVED ON JAN 11, 2022.CONVERT TO PULL-OUT CLEANING ON MARCH 5, 2022</t>
  </si>
  <si>
    <t>L05_JVSPLIT_024E_DW_ISL</t>
  </si>
  <si>
    <t xml:space="preserve"> replacement of L05_JV_024E_WINZE STOPE PREP ON. NOV.24,2021. STOPPED BREAKING AND CONVERTED TO STOPE PULL-OUT ON JAN. 28, 2022 MINED-OUT ON MARCH 6, 2022.</t>
  </si>
  <si>
    <t>REPLACEMENT OF L04 JVSPLIT 028E WINZE. APPROVED ON FEB 9, 2022. STOPPED ON FEB 28, 2022.</t>
  </si>
  <si>
    <t>L08_DPVE_071E_WINZE STOPE</t>
  </si>
  <si>
    <t>ADDITIONAL SOURCE OF GOOD ORE. APPROVED ON FEBRUARY 3,2022. STOPPED ON MARCH 4, 2022.</t>
  </si>
  <si>
    <t>ADDITIONAL VERTICAL DEVELOPMENT. APPROVED ON JANUARY 28,2022.TRANSFER TEAM LEADER FROM DELOS REYES 2 TO BABOR 2, MGMT DECISION, APPROVED ON FEB 3, 2022. STOPPED ON MARCH 7, 2022.</t>
  </si>
  <si>
    <t>REPLACEMENT OF L09 JVFW 052E ROBBING. APPROVED ON JAN 31, 2022, SILL PILLAR ROBBING. Stopped on March 07, 2022. Already reached the recommended strike length of sill pillars to break.</t>
  </si>
  <si>
    <t>REPLACEMENT OF L08_GHVSPLIT_031W_DE, APPROVED ON FEB 4, 2022. already hit the target vein, stopped on March 07, 2022.</t>
  </si>
  <si>
    <t>REPLACEMENT OF L09 NONE 054E XCN. APPROVED ON SEPT 3, 2021.  Temporary stopped on Dec. 1, 2021 to prioritized follow up raise.  RESUMED ON DEC 6, 2021. TEMP STOPPED ON DEC 17, 2021 DUE TO FOLLOW UP RAISE.RESUMED ON JAN 28, 2022 AT THE SAME TIME TRANSFERRED FROM DELOS REYES V3 TO PANCIT, NOEL 1. TEMPORARY STOPPED ON FEBRUARY 11, 2022.RESUMED ON FEB 19, 2022. Pinched out vein w/ no fUrther vein target, stopped on March 07, 2022.</t>
  </si>
  <si>
    <t>REPLACEMENT OF L07_JVSPLIT_008W_DW. APPROVED ON MARCH 3 2022. STOPPED DUE TO ITS NEARING APPROACH TO AN OLD MAINLINE ON MARCH 7 2022.</t>
  </si>
  <si>
    <t xml:space="preserve">L07_GHVHW_004W_DE </t>
  </si>
  <si>
    <t>L07_GHVHW_004W_DE</t>
  </si>
  <si>
    <t>L09_DPVE_055E_STOPE PREP</t>
  </si>
  <si>
    <t xml:space="preserve">REPLACEMENT OF L09_GHVFW_054E_DW APPROVED ON FEBRUARY 11, 2022.TRANSFERRED FROM PANCIT, NOEL TO FERNANDEZX REX 3 ON FEB 19, 2022. The Vein's up-dip extension continues to pinched-out, stopped on March 07, 022. </t>
  </si>
  <si>
    <t>L09_GHVFW_047E_DW</t>
  </si>
  <si>
    <t>L09_DPVE_035E_STOPE</t>
  </si>
  <si>
    <t>REPLACEMENT OF L10_GHV_059E_STOPE PREP.APPROPVED ON JULY 20, 2021.TEMPARARY STOPPED ON 8/18/21 UNSAFE CONDITION.  RESUMED BREAKING ON AUGUST 30,2021.TEMPORARY STOPPED ON DECEMBER 14,2021 ABANDONMENT OF WORKING PLACE.RESUMED ON JAN 7, 2022. STOPPED BREAKING AND CONVERTED TO PULL-OUT ON MARCH 7, 2022.</t>
  </si>
  <si>
    <t>REPLACEMENT OF L10_DPVE_025E_STOPE PREP APPROVED ON FEB.22, 2022. STOPPED BREAKING AND CONVERTED TO PULL-OUT ON MARCH 7, 2022.</t>
  </si>
  <si>
    <t>REPLACEMENT OF L04_JV_013W_WINZE. APPROVED ON OCT 13, 2021. TEMPORARY STOPPED ON 11/15/21.  RESUMED ON NOV. 17, 2021. GROUP FORM L04 GHV 057W ROBBING WILL BE MERGED TO L04 CTV 022W WINZE. STOPPED ON JANUARY 25, 2022 RECOMMENDED FOR SUB LEVEL. RESUMED ON FEB 24, 2022 AS FILL WINZE . STOPPED ON FEBRUARY 28, 2022, FINISHED FILL WINZE.</t>
  </si>
  <si>
    <t>DRIVE 10 METERS RAISE IN PREPARATION FOR STOPE PREPARATION. APPROVED ON FEBRUARY 8,2022. STOPPED ON FEB 23, 2022 CONVERTED TO STOPE PREP</t>
  </si>
  <si>
    <t>REPLACEMENT OF L06_JVSPLIT_013E_STOPE PREP ON JAN.24,2022.CONVERT TO PUILL-OUT CLEANING ON MARCH 1, 2022. MINED OUT ON MARCH 7, 2022.</t>
  </si>
  <si>
    <t>REPLACEMENT OF L10_JVFW_069E_DW. APPROVED ON FEBRUARY 18,2022. STOPPED DUE TO NEARING BREAKTHROUGH TO OLD STOPE ON MARCH 8, 2022.</t>
  </si>
  <si>
    <t>L09_GHVHW_002W_DE</t>
  </si>
  <si>
    <t xml:space="preserve"> REPLACEMENT OF L08_NONE_011W_XCN. APPROVED ON FEBRUARY 14,2022.STOPPED ON MAR.9,2022</t>
  </si>
  <si>
    <t>L08_DPVE_072E_WINZE STOPE</t>
  </si>
  <si>
    <t>REPLACEMENT OF L08 DPVE 073E DE ISL, APPROVED ON FEB 3, 2022.STOPPED ON MARCH 9, 2022</t>
  </si>
  <si>
    <t>CAPUYAN</t>
  </si>
  <si>
    <t xml:space="preserve"> REPLACEMENT OF L08_JV_074E_RAISE_ISL. APPROVED ON FEBRUARY 12,2022.STOPED ON MARCH 9,2022</t>
  </si>
  <si>
    <t>L08_JV_074E_WINZE STOPE</t>
  </si>
  <si>
    <t>L08_JV_011W_DW</t>
  </si>
  <si>
    <t>REPLACEMENT OF L05 CTV 026E DW, APPROVED ON JAN 11, 2022.CONVERT TO PULL-OUT CLEANING ON MARCH 5, 2022.MINED OUT ON MARCH 9 2022</t>
  </si>
  <si>
    <t>L05_CTV_027E_WINZE_STOPE PREP</t>
  </si>
  <si>
    <t>REPLACEMENT OF L07_DPVE_42E_DW. ON FEB.18, 2022.STOPPED DUE TO BREAKTHROUGH (MEMO TO FOLLOW) ON MARCH 8 2022</t>
  </si>
  <si>
    <t>REPLACEMENT OF L05_DPVE_025E_RAISE_ISL. APPROVED ON FEB 18, 2022..STOPPED ON MARCH 9</t>
  </si>
  <si>
    <t>L05_DPVE_025E_WINZE STOPE</t>
  </si>
  <si>
    <t>REPLACEMENT OF L10 DPVE 042E RAISE. APPROVED ON FEB 27, 2022.STOPPED ON MARCH 9, 2022</t>
  </si>
  <si>
    <t>REPLACEMENT OF L09_DPVE_035E_RAISE. APPROVED ON FEBRUARY 14, 2022.STOPPED ON MARCH 7, 2022</t>
  </si>
  <si>
    <t>ADDITIONAL HORIZONTAL DEVT DRIVE. APPROVED ON NOV 11, 2021. TEMPORARILY STOPPED ON DEC 8 2021 TO PRIORITIZED RAISE.RESUMED ON DEC 11, 2021.STOPPED ON FEB 7, 2022, BREAKTHROUGH TO AN OLD MAINLINE.RESUMED ON FEBRUARY 15,2022 AT THE SAME TIME TRANSFER FROM BAÑEZ 2 TO REBOTE 2 TO DO REGRADE FOR DRILLING PUPROSES.STOPPED ON MARCH 10, 2022</t>
  </si>
  <si>
    <t>REPLACEMENT OF L05_DPVE_051E_RAISE. APPROVED ON FEB 21, 2022.STAPPED ON MARCH 10, 2022</t>
  </si>
  <si>
    <t>L05_DPVE_052E_STOPE</t>
  </si>
  <si>
    <t>L08_DPVE_034E_DE</t>
  </si>
  <si>
    <t>L04_CV_003E_DE</t>
  </si>
  <si>
    <t>ADDITIONAL HORIZONTAL DEVELOPMENT. APPROVED ON NOV. 25 2020. Temporary stopped on March 13,2021 defective 35e shaft. Resumed on May 11,2021.TEMP STOPPED-LESS PRIORITY. RESUMED ON NOVEMBER 15,2021 NOTIFIED ON NOVEMBER 20,2021.STOPPED ON MARCH 10 2022</t>
  </si>
  <si>
    <t>L06_GHV_031E_ROBBING</t>
  </si>
  <si>
    <t>REPLACEMENT OF L09 DPVE JV 049E DW. APPROVED ON FEB 4, 2022.ALREADY DONE FOLLOW UP RAISE. TEMP STOPPED ON FEB 9, 2022.RESUMED ON FEB. 14, 2022 AS WELL AS TRANSFERRED FROM DELOS REYES 1 TO PARAN 3.Already passed the wireframe and stope design, stopped on March 10, 2022.</t>
  </si>
  <si>
    <t xml:space="preserve">ADDITIONAL SOURCE OF GOOD ORE. APPROVED ON JUNE 7, 2021.CHANGE ROBBING TYPE FROM SILL PILLAR TO CROWN PILLAR ON JULY 5, 2021 2ND SHIFT.STOPPED ON SEPT 9, 2021. ALREADY DONE BREAKING CROWN PILLARS.RESUMED ON JAN 24, 2022, AT THE SAME TIME TRANSFERRED FROM CANOY 1 TO QUIJANO 1 CONVERT TO SILL PILLAR ROBBING.Already reached the recommended length of pillars to break, stopped on March 10, 2022
</t>
  </si>
  <si>
    <t xml:space="preserve"> REPLACEMENT OF L11_GHVHW_057E_DE. APPROVED ON JANUARY 21,2022.STOPPED DUE TO CONSECUTIVE LOW ASSAY GRADES AND PINCHING OUT OF VEIN ON MARCH 3 2022</t>
  </si>
  <si>
    <t>L09_GHV_063E_ROBBING</t>
  </si>
  <si>
    <t xml:space="preserve"> REPLACEMENT OF L08_DPVE_060E_DW. APPROVED ON FEBRUARY 15,2022. STOPPED ON MARCH 11, 2022 ALREADY HIT THE TARGET VEIN.</t>
  </si>
  <si>
    <t>ADDITIONAL VERTICAL DEVT DRIVE. APPROVED ON JAN 28, 2022. STOPPED ON MARCH 11, 2022 DUE TO LOW CONSECUTIVE ASSAY GRADE.</t>
  </si>
  <si>
    <t>L08_JVSPLIT_070E_DW</t>
  </si>
  <si>
    <t>REPLACEMENT OF L05_JV_022E_STOPE. APPROVED ON FEB 18, 2022. STOPPED ON MARCH 11, 2022 ALREADY BREAKTHROUGH TO OLD MAINLINE.</t>
  </si>
  <si>
    <t>L05_JV_019E_DE</t>
  </si>
  <si>
    <t>CONVERTED TO PULL-OUT ON FEBRUARY 12, 2022. MINED-OUT ON MARCH 12, 2022 WITH 105% PULL-OUT.</t>
  </si>
  <si>
    <t>L10_DPVE_038E_STOPE PREP</t>
  </si>
  <si>
    <t>REPLACEMENT OF L06_CTV_011E_WINZE_STOPE PREP APPROVED JANUARY 18, 2021.CONVERT TO PULL-OUT CLEANING ON MARCH 1, 2022. MINED-OUT ON MARCH 12, 2022.</t>
  </si>
  <si>
    <t>L12_GHVHW_053E_DE</t>
  </si>
  <si>
    <t>L11_JVFW_069E_DE</t>
  </si>
  <si>
    <t>L10_GHVFW_051E_STOPE</t>
  </si>
  <si>
    <t>REPLACEMENT OF L10_GHVFW_048E_RAISE. APPROVED ON FEBRUARY 17,2022.stopped on march 14, 2022</t>
  </si>
  <si>
    <t>REPLACEMENT OF L08_GHVFW_054E_ROBBING ON MARCH 3,2022.STOPPED ON MARCH 14,2022</t>
  </si>
  <si>
    <t>REPLACEMENT OF L04 JV 030E ROBBING. APPROVED ON OCT 16, 2021.STOPPED ON FEB 9, 2022. ALREADY REACHED DESIRED ELEVATION, RECOMMENDED FOR ISL. RESUME ON MARCK 4, 2022.STOPPED ON MARCH 14,2022</t>
  </si>
  <si>
    <t>ADDITIONAL VERTICAL DEVELOPMENT APPROVED ON MARCH 3, 2022. FILL WINZE.stopped on march 14, 2022</t>
  </si>
  <si>
    <t>L10_JVHW_046E_DE</t>
  </si>
  <si>
    <t xml:space="preserve"> REPLACEMENT OF L10_NONE_045E_XCS. APPROVED ON FEBRUARY 5,2022.STOPPED ON MARCH 9, 2022 ALREADY BREAKTHROUGH</t>
  </si>
  <si>
    <t>L08_DPVE_032E_DW</t>
  </si>
  <si>
    <t>REPLACEMENT OF L09 DPVE 030E DE. APPROVED ON FEB 9, 2022.STOPPED ON MAR 12, 2022. VEIN PINCHED OUT.</t>
  </si>
  <si>
    <t>DELOS</t>
  </si>
  <si>
    <t>L09_GHV_060E_ROBBING</t>
  </si>
  <si>
    <t>L09_GHVSPLIT_057E_RAISE</t>
  </si>
  <si>
    <t>L04_CTV_020W_STOPE</t>
  </si>
  <si>
    <t>REPLACEMENT OF L08_NONE_079E_XCN . APPROVED ON 9/25/2021.STOPPED ON NOV. 18, 2021. MEMO TO FOLLOW.  RENAMED FROM L08_DPVE_076E_DE REVITA 1. RESUMED ON DEC. 3, 2021 AT THE SAME TIME TRANSFER  FROM SHEPHERD Q TO REVITA. STOPPED ON JAN 12, 2022 DUE TO VEIN PINCHED OUT.RESUMED ON FEB 21, 2022. AS WELL AS TRANSFERRED FROM REVITA 1 TO OSWAY, GLEN.RENAME FROM DE TO DW ON FEB.28, 2022.PINCHING OUT OF VEIN, ALREADY REACHED THE RECOMMENDED STRIKE LENGTH FOR ADVANCE, STOPPED ON MARCH 15, 2022</t>
  </si>
  <si>
    <t>L08_DPVE_079E_DW</t>
  </si>
  <si>
    <t>L10_NONE_037E_WINZE</t>
  </si>
  <si>
    <t>DUHIG R2</t>
  </si>
  <si>
    <t>L08_DPVE_033E_DW</t>
  </si>
  <si>
    <t>L08_DPVE_001W_RAISE</t>
  </si>
  <si>
    <t>REPLACEMENT OF L08_JV_011W_DE, ON MARCH 09, 2022.Temporary Stopped, proceed follow up Raise, on March 15, 2022</t>
  </si>
  <si>
    <t>REPLACEMENT OF L07_NONE_020W_XCS. APPROVED ON EB 28 2022.TEMPORARILY STOPPED ON MARCH 15, 2022 TO PRIORITIZEL07_NONE_020W_XCS</t>
  </si>
  <si>
    <t>L08_JV_010W_RAISE</t>
  </si>
  <si>
    <t>REPLACEMENT OF L10_GHVFW_041E_RAISE. APPROVED ON FEBRUARY 14,2022.STOPPED AND CONVERTED TO STOPE BREAKING ON MARCH 8, 2022.</t>
  </si>
  <si>
    <t>L10_GHVFW_041E_STOPE</t>
  </si>
  <si>
    <t>REPLACEMENT OF L05_DPVE_025E_WINZE STOPE PREP ON MARCH 9, 2022.STOPPED ON MARCH 15, 2022 DUE TO LOW CONSECUTIVE ASSAY GRADE</t>
  </si>
  <si>
    <t>REPLACEMENT OF L10_NONE_063E_XCS. APPROVED ON FEBRUARY 7,2022. stopped on march 16, 2022 vein pinched out</t>
  </si>
  <si>
    <t>REPLACEMENT OF L05 DPVE 043E STOPE. APPROVED ON MAR 2, 2022. ON GOING CLEANING ON ML.stopped on march 16, 2022</t>
  </si>
  <si>
    <t>ADDITIONAL SOURCE OF GOOD ORE. APPROVED ON SEPT. 2 2021.stopped on march 16, 2022</t>
  </si>
  <si>
    <t>L06_GHV_043E_RAISE</t>
  </si>
  <si>
    <t>REPLACEMENT OF L07_GHVHW_004W_DW. APPROVED ON MARCH 7 2022.STOPPED ON MARCH 14 2022 DUE TO PINCHING OUT OF VEIN</t>
  </si>
  <si>
    <t>L07_GHVSPLIT_030W_DW</t>
  </si>
  <si>
    <t>REPLACEMENT OF L04_CTV_021W_ROBBING APPROVED ON JULY 8,2021.stopped on oct.19 ,2021 unsafe.RESUME ON OCT.20, 2021.stopped on nov. 15,2021 converted to pull-out cleaning.TEMP STOPPED ON MARCH 16, 2022.</t>
  </si>
  <si>
    <t>L05_JVSPLIT_008W_ROBBING</t>
  </si>
  <si>
    <t>L10_DPVE_063E_DW</t>
  </si>
  <si>
    <t>L04_GHVSPLIT_027W_ROBBING</t>
  </si>
  <si>
    <t>SHEPHERD AQ 3</t>
  </si>
  <si>
    <t>ADDITIONAL HORIZONTAL DEVELOPMENT. APPROVED ON FEB 25, 2022.STOPPED ON MARCH 17, 2022 DUE TO PINCHED OUT OF VEIN</t>
  </si>
  <si>
    <t>ADDITIONAL HORIZONTAL DRIVE AT GHV 063E WINZE. APPROVED ON NOVEMBER 15,2021.STOPPED ON FEB.8, 2022. RESUMED ON FEBRUARY 13,2022 SIMULTANEOUS BLASTING TO GHV 063E RAISE.TOPPED ON FEBRUARY 28,2022 LATE NOTIFIED NOT WORKED OUT DUE TO STOPE PREPARATION.</t>
  </si>
  <si>
    <t>L11_GHVHW_051E_DW</t>
  </si>
  <si>
    <t>FILL WINZE AS ADDITIONAL WASTE PASS. APPROVEDON FEBRUARY 21,2022.STOPPED ON MARCH 14 2022 UPON REACHING RECOMMENDED VERTICAL DISTANCE.</t>
  </si>
  <si>
    <t>BANEZ 3</t>
  </si>
  <si>
    <t>L06_GHV_025E_DW_ISL</t>
  </si>
  <si>
    <t>CHANGE QUOTA from 350 to 300 on 11/10/17. CHANGE QUOTA from 300 to 320 on 12/12/18. FROM 320 TO 390 ON 1/28/19 (350 ORE). Changed from 390 to 350 on 7/13/19. Change from 350 to 300 on 3/27/20. Change from 300 to 280 on 8/24/20. Change from 280 to 220 12/1/21. Change from 220 to 200 due to depletion of resources 3/1/22.</t>
  </si>
  <si>
    <t>Replacement to L09_GHVFW_054E_DW, on March 07, 2022.TEMP STOPPED ON MAR 17, 2022 DUE TO LACK OF MAN POWER</t>
  </si>
  <si>
    <t xml:space="preserve"> SHEPHERD AR</t>
  </si>
  <si>
    <t>REPLACEMENT OF L04 JVSPLIT 028E WINZE. APPROVED ON FEB 9, 2022.STOPPED ON FEB 28, 2022</t>
  </si>
  <si>
    <t>REPLACEMENT OF L10_JVHW_037E_DW. APPROVED ON FEB 24, 2022. RENAME FROM L10_NONE_015E_XCN TO L10_NONE_030E_XCN APPROVED ON FEB 25, 2022.STOPPED ON MARCH 18,2022 CONVERT TO ON VEIN.</t>
  </si>
  <si>
    <t>ADDITIONAL VERTICAL DEVELOPMEMENT APPROVED ON JAN.25,2022.STOPPED ON MARCH 18, 2022.</t>
  </si>
  <si>
    <t>L04_GHVFW_027W_ROBBING</t>
  </si>
  <si>
    <t>REPLACEMENT OF L10 DPVE 029E STOPE PREP. APPROVED ON MARCH 26,2021.CONVERT TO PULL-OUT ON MARCH 18,2022</t>
  </si>
  <si>
    <t>NOEL 1</t>
  </si>
  <si>
    <t>L06_GHV_025E_ROBBING</t>
  </si>
  <si>
    <t>L04_CV_004W_ROBBING</t>
  </si>
  <si>
    <t>REPLACEMENT OF L10_GHVSPLIT_073E_STOPE PREP. APPRVED ON SEPTEMBER 18,2021.TEMPORARY STOPPED ON OCT 28, 2021 TO PRIORITIZE L10 GHV 070E ROBBING.RESUMED BREAKING ON NOVEMBER 29,2021 AT THE SAME TIME RENAMED FROM L10_GHVSPLIT_073E_STOPE TO L10_GHVSPLIT_074E_STOPE TO AVOID MISCHARGING. TEMPORARY STOPPED ON DECEMBER 16,2021 LACK OF MANPOWER. RESUMED ON FEBRUARY 3,2022.CONVERTED TO PULL-OUT CLEANING ON MARCH 19, 2022</t>
  </si>
  <si>
    <t>L04_GHVFW_005E_DE_ISL</t>
  </si>
  <si>
    <t>L09_GHVFW_046E_STOPE PREP</t>
  </si>
  <si>
    <t xml:space="preserve">ADDITIONAL SOURCE OF PRODUCTION.APPROVED ON DEC 1 2021. STOPPED ON MARCH 19,2022 UPON REACHING STRIKE LENGTH OF CROWN PILLAR AND SHOWING INDICATIONS OF VEIN PINCH OUT </t>
  </si>
  <si>
    <t xml:space="preserve">REPLACEMENT OF L09_JV_048E_STOPE PREP ON DECEMBER 17, 2021 NOTIFY ON JAN. 15,2022. STOPPED BREAKING ON MAR 19, 2022, VEIN PINCHED OUT, WITH APPROX LESS THAN 8 METERS PILLAR FROM CURRENT BACK TO LEVEL 8 MAINLINE, PROCEED TO PULL OUT CLEANING. </t>
  </si>
  <si>
    <t>L06_JVHW_057E_WINZE</t>
  </si>
  <si>
    <t>L09_GHV_049E_STOPE PREP</t>
  </si>
  <si>
    <t>L11_NONE_068E_XCN</t>
  </si>
  <si>
    <t>L10_JVHW_048E_RAISE</t>
  </si>
  <si>
    <t>ADDITIONAL SOURCE OF GOOD ORE. APPROVED ON NOV. 9, 2021. SILL. TEMPORARY STOPPED ON NOV. 17, 2021.RESUMED ON FEB 19, 2022 AS WELL AS TRANSFERRED FROM COMAINGKING 3 TO NOCOS.STOPPED ON MARCH 21 2022. FINISHED HEADING</t>
  </si>
  <si>
    <t>L04_GHVHW_052W_WINZE</t>
  </si>
  <si>
    <t>052W</t>
  </si>
  <si>
    <t>REPLACEMENT OF L08 NONE 060E XCN. APPROVED ON MARCH 11, 2022.stopped on march 15, 2022.RESUMED ON MAR 16, 2022.STOPPED ON MAR 21, 2022. VEIN PINCHED OUT.</t>
  </si>
  <si>
    <t>REPLACEMENT OF L05_DPVE_034E_WINZE. APPROVED ON JAN. 26, 2022.STOPPED ON MARCH 15, 2022.resumed on March 16, 2022.STOPPED ON MARCH 21,2022 CONVERT TO STOPE PREPARATION.</t>
  </si>
  <si>
    <t>L05_DPVE_034E_WINZE STOPE PREP</t>
  </si>
  <si>
    <t>ADDITIONAL HORIZONTAL DRIVE. APPROVED ON FEBRUARY 1,2022.STOPPED ON MARCH 21,2022 NOT RECOMMENDED TO BREAKTHROUGH TO ADJACENT MAINLINE.</t>
  </si>
  <si>
    <t>L06_DPVE_059E_DW</t>
  </si>
  <si>
    <t xml:space="preserve">L06_JVFW_006W_RAISE </t>
  </si>
  <si>
    <t>L11_GHV_058E_STOPE PREP</t>
  </si>
  <si>
    <t>Replacement of L08_GHVHW_068E_DE, on March 15, 2022.TEMPORARY STOPPED ON MARCH 22,2022 TO PRIORITIZED WORKPLACE FOR ROBBING.</t>
  </si>
  <si>
    <t>L09_GHVFW_038E_ROBBING</t>
  </si>
  <si>
    <t>L08_JV_014E_ROBBING</t>
  </si>
  <si>
    <t>L08_GHVHW_053E_ROBBING</t>
  </si>
  <si>
    <t>L08_DPVE_056E_ROBBING</t>
  </si>
  <si>
    <t>REPLACEMENT OF L08_GHVFW_027E_ROBBING. ON FEB. 28, 2022.STOPPED ON MARCH 22,2022 DUE TO CONSECUTIVE LOW ASSAY GRADE.</t>
  </si>
  <si>
    <t>REPLACEMENT OF L07_DPVE_021E_WINZE, APPROVED ON FEB 4, 2022.STOPPED ON MARCH 18 2022 FOR CONVERSION TO STOPE PREP</t>
  </si>
  <si>
    <t>L07_DPVE_020E_STOPE PREP</t>
  </si>
  <si>
    <t>REPLACEMENT OF L10_DPVE_015E_DW. APPROVED ON FEBRUARY 22,2022.STOPPED ON MARCH 22,2022 DUE TO VEIN PINCHED OUT AND CONSECUTIVE LOW ASSAY GRADE.</t>
  </si>
  <si>
    <t>L12_NONE_057E_CHAMBER</t>
  </si>
  <si>
    <t>L06_JVFW_002W_WINZE</t>
  </si>
  <si>
    <t xml:space="preserve">REPLACEMENT OF L06_GHV_025E_DE_ISL. APPROVED ON FEBRUARY 21,2022.STOPPED ON MARCH 23 2022 AFTER HITTING TARGET VEIN WITH NO FURTHER VEIN TARGET </t>
  </si>
  <si>
    <t>REPLACEMENT OF L06_DPVE_037E_WINZE. APPROVED ON MARCH 3, 2022.STOPPED ON MARCH 16, 2022 DUE TO (GEO MEMO TO FOLLOW)</t>
  </si>
  <si>
    <t>L09_GHV_004E_WINZE</t>
  </si>
  <si>
    <t xml:space="preserve"> REPLACEMENT OF L05_JV_024E_WINZE_STOPE. APPROVED ON FEB 26, 2022. RENAME FROM L05_JVSPLIT_025E_DW ISL TO L05_JVSPLIT_024E_DW ISL ON MARCH 6, 2022.STOPPED ON MARCH 22 2022. BREAKTHROUGH (OPS MEMO TO FOLLOW)
</t>
  </si>
  <si>
    <t>REPLACEMENT OF L05_JVFW_015W_WINZE_STOPE. APPROVED ON DEC. 2, 2021.SILL.STOPPED ON MARCH 23 2022. FINISHED HEADING. (OPS MEMO TO FOLLOW)</t>
  </si>
  <si>
    <t>L06_JVHW_008W_RAISE</t>
  </si>
  <si>
    <t>L06_CTV_009W_ROBBING</t>
  </si>
  <si>
    <t>REPLACEMENT OF L06_GHV_025E_DW_ISL. CROWN PILLAR ROBBING. APPROVED ON MARCH 18 2022.TEMPORARILY STOPPED TO PRIORITIZE L06_GHV_025E_DW_ISL ON MARCH 24 2022. GOAL IS TO MAXIMIZE THE EXTENT BEFORE PROCEEDING TO ROBBING</t>
  </si>
  <si>
    <t>REPLACEMENT OF L10_DPVE_064E_DE. APPROVED ON FEBRUARY 18,2022.STOPPED ON MARCH 24,2022 ALREADY HIT THE TARGET.</t>
  </si>
  <si>
    <t>L10_DPVE_083E_DE</t>
  </si>
  <si>
    <t>L04_GHVFW_005E_DW</t>
  </si>
  <si>
    <t>L04_GHVFW_005E_DE</t>
  </si>
  <si>
    <t>REPLACEMENT OF L04_GHVFW_005E_WINZE. APPROVED ON MARCH 14, 2022.STOPPED ON MARCH 23,2022 MADE A BREAKTHROUGH.</t>
  </si>
  <si>
    <t>BATTERY CHAMBER AT LEVEL 11. APPROVED ON FEBRUARY 6,2022.STOPPED ON MARCH 24,2022 ALREADY FINISHED.</t>
  </si>
  <si>
    <t>L09_GHV_033E_DE_ISL</t>
  </si>
  <si>
    <t>REPLACEMENT OF L09 GHV 066E STOPE. APPROVED ON FEB 9, 2022. TRANSFERRED FROM CANOY 1 TO DELOS REYES 2 ON FEB 28, 2022.STOPPED ON MAR 25, 2022. VEIN CUT BY FAULT.</t>
  </si>
  <si>
    <t>REPLACEMENT OF L07 DPVE 029E RAISE. APPROVED ON FEB 7, 2022. (SILL PILLAR ROBBING).STOPPED ON MAR 23, 2022, ALREADY DONE ROBBING PILLAR</t>
  </si>
  <si>
    <t>ADDITIONAL VERTICAL DEVT DRIVE. APPROVED ON  FEBRUARY 1, 2022. 2CPT WINZE.STOPPED ON MARCH 25 2022 DUE TO PINCHING OUT OF VEIN</t>
  </si>
  <si>
    <t>L11_GHVFW_066E_DE</t>
  </si>
  <si>
    <t>L05_JV_026E_WINZE STOPE PREP</t>
  </si>
  <si>
    <t>APPROVED ON OCT 1, 2021. SPECIAL PROJECT GOING TO PROPOSED DRILLING CHAMBER.STOPPED ON MARCH 25,2022 PROCEED TO DRILLING CHAMBER EXCAVATION.</t>
  </si>
  <si>
    <t>L10_NONE_072E_CHAMBER</t>
  </si>
  <si>
    <t>L06_DPVE_033E_DW_ISL</t>
  </si>
  <si>
    <t>L09_DPVE_086E_DW</t>
  </si>
  <si>
    <t>REPLACEMENT OF L08_GHV_037E_DE_ISL ON FEBRUARY 28, 2022. STOPPED ON MARCH 26,2022 ALREADY REACHED THE RECOMMENDED STRIKE LENGTH.</t>
  </si>
  <si>
    <t>L08_GHVSPLIT_037E_WINZE STOPE PREP</t>
  </si>
  <si>
    <t>L10_NONE_070E_XCS</t>
  </si>
  <si>
    <t>L04_CV_006E_RAISE</t>
  </si>
  <si>
    <t>REPLACEMENT OF L08_GHVFW_002W_WINZE STOPE. APPROVED ON FEBRUARY 28, 2022.STOPPED ON MAR 28, 2022. TO BE CONVERTED TO STOPE PREP.</t>
  </si>
  <si>
    <t>REPLACEMENT OF L10 JVFW 057E RAISE. APPROVED ON MARCH 15, 2022, 5 METER ADV ONLY TO SERVE AS SEPTIC TANK FOR CR.STOPPED ON MARCH 28,2022 ALREADY FINISHED.</t>
  </si>
  <si>
    <t>REPLACEMENT OF L10 JVFW 069E DW. APPROVED ON MARCH 15, 2022, 5 METER ADV ONLY TO SERVE AS SEPTIC TANK FOR CR.STOPPED ON MARCH 28,2022 ALREADY FINISHED.</t>
  </si>
  <si>
    <t>REPLACEMENT OF L11_NONE_061E_XCS. APPROVED ON JANUARY 14,2022. STOPPED ON FEB.14, 2022. RESUMED ON MAR 6, 2022.STOPPED ON MARCH 28,2022 ALREADY REACHED THE RECOMMENDED STRIKE LENGTH.</t>
  </si>
  <si>
    <t>REPLACEMENT OF L06_GHV_025E_WINZE ON MARCH 14 2022.STOPPED ON MARCH 18, 2022.RESUMED ON MARCH 24 2022.stopped on march 28, 2022</t>
  </si>
  <si>
    <t>SHEPHERD AR 1</t>
  </si>
  <si>
    <t>FERNANDEZ, RG 1</t>
  </si>
  <si>
    <t>FERNANDEZ, RG 2</t>
  </si>
  <si>
    <t>FERNANDEZ, RG 3</t>
  </si>
  <si>
    <t>PANCIT, NOEL  1</t>
  </si>
  <si>
    <t>PANCIT,NOEL 3</t>
  </si>
  <si>
    <t>SHEPHERD AT 1</t>
  </si>
  <si>
    <t>PANSIT, NORMAN 4</t>
  </si>
  <si>
    <t>PANSIT, NORMAN 1</t>
  </si>
  <si>
    <t>PANSIT, NORMAN 2</t>
  </si>
  <si>
    <t>PANSIT, NORMAN 3</t>
  </si>
  <si>
    <t>REPLACEMENT OF L08_JVSPLIT_070E_DW. APPROVED ON MARCH 22,2022. SILL PILLAR.STOPPED ON MAR 26, 2022. ALREADY DONE PILLAR ROBBING.</t>
  </si>
  <si>
    <t>L04_GHVFW_010E_WINZE</t>
  </si>
  <si>
    <t>REPLACEMENT OF L09_DPVE_82E_DE FEBRUARY 28, 2022.STOPPED ON MAR 28, 2022. ALREADY DONE STOPE PREP. CONVERT TO STOPE BREAKING</t>
  </si>
  <si>
    <t>L09_DPVE_030E_STOPE</t>
  </si>
  <si>
    <t>L08_GHVFW_003W_WINZE STOPE PREP</t>
  </si>
  <si>
    <t xml:space="preserve">REPLACEMENT OF L07_GHVHW_004W_DE. APPROVED ON MARCH 16 2022.STOPPED ON MAR 29, 2022. VEIN PINCHED OUT. </t>
  </si>
  <si>
    <t>REPLACEMENT OF L09_JV_045E_RAISE. APPROVED ON FEB 9, 2022.TEMP STOPPED ON MARCH 29, 2022. TO DRIVE VERTICAL DEVT WITHIN THIS MAINLINE.</t>
  </si>
  <si>
    <t>REPLACEMENT OF L09 DPVE 067E DE APPROVED ON DEC 15, 2021.TEMPORARY STOPPED ON JAN. 13,2022 TO PRIORITIZE DRIFT.RESUMED ON JAN 19, 2022 AT THE SAME TIME TRANSFERRED FROM DELOS REYES V1 TO PANCIT, NOEL.TEMP STOPPED ON JAN 19, 2022. NO MANPOWER YET.RESUMED ON MARCH 3, 2022. TRANSFERRED FROM PANCIT, NOEL TO BABOR 1 ON MARCH 3, 2022.STOPPED ON MAR 29, 2022. VEIN PINCHED OUT.</t>
  </si>
  <si>
    <t>L06_JV_003W_DE</t>
  </si>
  <si>
    <t xml:space="preserve"> REPLACEMENT OF L06_JV_004W_STOPE. APPROVED ON FEB 26, 2022.STOPPED ON MARCH 29 2022. FOR STOPE PREP</t>
  </si>
  <si>
    <t>REPLACEMENT OF L04_CTV_008E_ROBBING. APPROVED ON MARCH 10, 2022.STOPPED AFTER MAKING BREAKTHROUGH ON MARCH 29 2022.</t>
  </si>
  <si>
    <t>L06_JVFW_004W_STOPE PREP</t>
  </si>
  <si>
    <t>REPLACEMENT OF L10_NONE_008W_XCS. APPROVED ON FEB 24, 2022.STOPPED ON MARCH 30,2022 DUE TO SAFETY CONCERN IN LEVEL 9 GHV 001E WINZE.</t>
  </si>
  <si>
    <t>REPLACEMENT OF L07_GHVSPLIT_020W_DE APPROVED ON JAN.26,2022.STOPPED ON FEB 28 2022.RESUMED ON MARCH 15, 2022 WITH TARGET ROBBING .STOPPED AFTER MAKING BREAKTHROUGH ON MARCH 24, 2022</t>
  </si>
  <si>
    <t>REPLACEMENT OF L09 GHVSPLIT 002E DW. APPROVED ON DEC 13, 2021. STOPPED ON JANUARY 28,2022 DUE TO VEIN PINCHED OUT.RESUME ON MARCH 9, 2022 AT THE SAME TIME TRANSFER FROM BABOR 2 TO REBOTE .change teamleader, from Rebote to Norman Pancit ON MARCH 10, 2022.STOPPED ON MARCH 30,2022 DUE TO CONSECUTIVE LOW ASSAY GRADE</t>
  </si>
  <si>
    <t>ADDITIONAL EXPLORATORY VERTICAL DEVELOPMENT. APPROVED ON MARCH 16 2022.STOPPED ON MARCH 30,2022 DUE TO VEIN PINCHED OUT.</t>
  </si>
  <si>
    <t>L06_GHV_043E_ROBBING</t>
  </si>
  <si>
    <t>REPLACEMENT OF L10_DPVE_043E_DE. APPROVED ON FEBRUARY 18,2022.STOPPED ON MARCH 30,2022 DUE TO VEIN PINCHED OUT.</t>
  </si>
  <si>
    <t>L06_JVFW_003W_DW</t>
  </si>
  <si>
    <t>L04_CV_003E_RAISE</t>
  </si>
  <si>
    <t>SHEPHERD AS</t>
  </si>
  <si>
    <t xml:space="preserve"> replacement of L05_DPVE_044E_WINZE STOPE ON NOV.24,2021.stopped on march 2, 2022 convert to pull-out cleaning.STOPPED ON MARCH 31 2022. MINED OUT.</t>
  </si>
  <si>
    <t>L05_DPVE_044E_DW_ISL</t>
  </si>
  <si>
    <t>L05_NONE_015E_SUMP</t>
  </si>
  <si>
    <t>L06_DPVE_060E_DE</t>
  </si>
  <si>
    <t>REPLACEMENT OF L06 JVSPLIT 022E ROBBING APPROVED ON FEB.9,2022. SILL PILLAR ROBBING.STOPPED ON MARCH 31 2022. FINISHED HEADING.</t>
  </si>
  <si>
    <t>REPLACEMENT OF L09 JVHW 062E DE. APPROVED ON MAR 30, 2022.STOPPED ON APRIL 1, 2022, VEIN PINCHED OUT.</t>
  </si>
  <si>
    <t xml:space="preserve">REPLACEMENT OF L07_DPVE_045E_DE . APPROVED ON MARCH 9 2022.STOPPED ON APRIL 1, 2022 VEIN PINCHED OUT.
</t>
  </si>
  <si>
    <t>REPLACEMENT OF L09_DPVE_056E_DE ON FEB.28,2022. RENAME FROM L09_DPVE_056E_STOPE PREP to avoid mischarging on L09_DPVE_056E_DE.ALREADY DONE STOPE PREP, CONVERT TO STOOPE BREAKING APPROVED ON MAR 31, 2022.</t>
  </si>
  <si>
    <t>L09_DPVE_055E_STOPE</t>
  </si>
  <si>
    <t>NORMAN PANSIT 4</t>
  </si>
  <si>
    <t>L07_GHV_035W_ROBBING</t>
  </si>
  <si>
    <t>REPLACEMENT OF L09_DPVE2_020E_DW. APPROVED ON AUG 13, 2021.  TEMPORARRY STOPPED ON SEPT 28, 2021. TO DO FOLLOW UP RAISE. Resumed on Oct 4, 2021.TEMP STOPPED ON DEC 21, 2021.RESUMED ON JAN 18, 2022, AT THE SAME TIME TRANSFERRED FROM DELOS REYES V 2 TO PARAN 3.-TEMPORARY STOPPED ON FEB. 14, 2022 TO PRIORITIZED L09 JV 045E RAISE.RESUMED ON MAR 17, 2022 AT THE SAME TIME TRANSFERRED FROM PARAN3 TO DELOS REYES V3. STOPPED ON APRIL 3,2022 DUE TO VEIN PINCHED OUT DUE TO PARALLEL FAULT.</t>
  </si>
  <si>
    <t>L06_JVFW_003W_DE</t>
  </si>
  <si>
    <t>L08_DPVE_079E_DE</t>
  </si>
  <si>
    <t>ADDITIONAL VERTICAL DEVELOPMENT ON FEB. 28, 2022.STOPPED ON APRIL 4,2022 DUE TO VEIN PINCHED OUT.</t>
  </si>
  <si>
    <t>L09_GHV_061E_WINZE</t>
  </si>
  <si>
    <t>REPLACEMENT OF L06_JVHW_009W_RAISE. APPROVED ON FEB 26, 2022.STOPPED ON APRIL 4 2022 UPON HITTING TARGET VEIN</t>
  </si>
  <si>
    <t>REPLACEMENT OF L10_DPVE_024E_RAISE. APPROVED ON MARCH 31,2022.STOPPED ON APRIL 5,2022 DUE TO VEIN PINCHED OUT AND NO FURTHER DRILLING INTERCEPT TO TARGET.</t>
  </si>
  <si>
    <t>L10_DPVE_082E_DW</t>
  </si>
  <si>
    <t>REPLACEMENT OF L06_NONE_005W_XCS. APPROVED ON MARCH 24 2022.STOPPED ON APRIL 4 2022. FOR STOPE PREP.</t>
  </si>
  <si>
    <t>L06_JVHW_008W_STOPE PREP</t>
  </si>
  <si>
    <t>L06_DPVE_042E_DW</t>
  </si>
  <si>
    <t xml:space="preserve">REPLACEMENT OF L07 GHVSPLIT 030W DW. APPROVED ON APR 1, 2022.TEMP STOPPED ON APR 6, 2022. CONDUCTED CLEANING ONLY, PILLAR ROBBING NOT STARTED, </t>
  </si>
  <si>
    <t>ALTERNATE SUMP AT LEVEL 7. APPROVED ON FEBRUARY 14,2022.RENAMED FROM L07_NONE_042E_SUMP TO L07_NONE_026E_SUMP ON FEBRUARY 15,2022.STOPPED ON APR 6, 2022. ALREADY DONE EXCAVATION</t>
  </si>
  <si>
    <t>L07_JV_043E_ROBBING</t>
  </si>
  <si>
    <t>Replacement of L08_JV_011W_DW on March 15, 2022.STOPPED ON APRIL 6 2022, VEIN PINCHED OUT.</t>
  </si>
  <si>
    <t>L08_JV_011W_RAISE</t>
  </si>
  <si>
    <t>L08_JVFW_007E_ROBBING</t>
  </si>
  <si>
    <t>REPLACEMENT OF L10_DPVE_024E_RAISE. APPROVED ON DECEMBER 8,2021.TEMP STOPPED ON JAN.25,2022.STOPPED PERMANENTLY ON APRIL 7,2022</t>
  </si>
  <si>
    <t>REPLACEMENT OF L04_EDV_018W_DW_ISL. APPROVED ON MARCH 4, 2022.STOPPED ON APRIL 5 2022 DUE TO UNSAFE WORKING CONDITION</t>
  </si>
  <si>
    <t>L04_GHVFW_008W_WINZE</t>
  </si>
  <si>
    <t>APPROVED ON JAN 8, 2022, CATCH BASIN SUMP WITH 1X2X1.5 DIAMETER.STOPPED LAST FEBRUARY 2022</t>
  </si>
  <si>
    <t>REPLACEMENT OF L06_NONE_013E_XCS. APPROVED ON OCT 29, 2021.TRANSFER FROM BAÑEZ 2 TO GONZALEZ 1 ON FEBRUARY 15,2022. NEW TEAM LEADER WILL PULL OUT THE REMAINING MUCK OF THE RAISE AND PAYMENT WILL BE DEDUCTED TO BAÑEZ 2.STOPPED LAST MARCH 2022 (LEVEL MANAGER FAILED TO PROVIDE EXACT DATE)</t>
  </si>
  <si>
    <t>L05_JVHW_004E_RAISE</t>
  </si>
  <si>
    <t>MAIN SUMP AT 048E SUMP. APPROVED ON FEBRUARY 14,2022.TRANFERRED FROM DUHIG R1 TO SUAZO 1 ON MARCH 7, 2022.STOPPED ON APRIL 3,2022 ALREADY FINISHED.</t>
  </si>
  <si>
    <t>L10_DPVE_090E_RAISE</t>
  </si>
  <si>
    <t>REPLACEMENT OF L06_JVFW_036E_WINZE STOPE ON FEB.18,2022.STOPPED ON APRIL 7 2022 DUE TO LOW GRADE</t>
  </si>
  <si>
    <t>REPLACEMENT OF L06_JVHW_015E_WINZE. APPROVED ON MARCH 23 2022.STOPPED ON APRIL 7 2022 DUE TO PINCHING OUT OF VEIN</t>
  </si>
  <si>
    <t>L06_JVFW_002W_ROBBING</t>
  </si>
  <si>
    <t>REPLACEMENT OF L07 JV 044E WINZE. APPROVED ON OCT 22, 2021. STOPPED ON OCT 25 2021. MANPOWER TRANSFER TO LEVEL 9. RESUMED ON DEC 17 2021 FROM FABROA TO UDLOS. TEMPORARY STOPPED ON JANUARY 20,2022 TO FOLLOW EAST LATERAL EXTENSION OF JV 044E WINZE. RESUMED ON JANUARY 24,2022. TEMPORARY STOPPED ON FEBRUARY 24, 2022 DUE TO INSUFFICIENT MANPOWER. TRANSFERRED FROM UDLOS TO DAVOCOL. RESUMED FROM TEMPORARY STOPPAGE MARCH 8 2022.EMPORARY STOPPED ON APRIL 7,2022 TO FOLLOW UP RAISE.</t>
  </si>
  <si>
    <t>REPLACEMENT OF L08_JV_028E_ROBBING APPROVED JULY 13, 2021. TEMP. STOPPED ON AUGUST 12, 2021, TO MERGE WORKFORCE TO L08_GHVHW_004W_DW.RESUMED ON JAN 11 2022, AT THE SAME TIME TRANSFER FROM AGLOLO 3 TO HANGDAAN 1 (MGMT DECISION), ALSO RENAME FROM L08 JV 030E WINZE TO L08 JV 032E WINZE TO AVOID MISCHARGING TO OTHER WORKING PLACE. TRANSFER FROM HANGDAAN 1 TO OY-YOY1 ON FEB, 3, 2022  FORMER TEAMLEADER WILL BE TRANSFER TO 43E SHAFT. STOPPED ON FEBRUARY 26, 2022.</t>
  </si>
  <si>
    <t>REPLACEMENT OF L05_CTV_026E_WINZE_STOPE. APPROVED ON MARCH 9 2022.STOPPED ON APRIL 6 2022. CONVERT TO STOPE BREAKING.</t>
  </si>
  <si>
    <t>L05_CTV_027E_WINZE_STOPE</t>
  </si>
  <si>
    <t>L05_CTV_027E_WINZE</t>
  </si>
  <si>
    <t xml:space="preserve">REPLACEMENT OF L05_JVHW_009W_RAISE. APPROVED ON MARCH 11, 2022.TEMPORARY STOPPED ON MARCH 27,2022 TO FOLLOW UP RAISE.RESUMED ON MARCH 30,2022.STOPPED ON APRIL 7 2022. OFF-VEIN. </t>
  </si>
  <si>
    <t>L05_JVHW_005W_DE</t>
  </si>
  <si>
    <t>L07_JV_009W_ROBBING</t>
  </si>
  <si>
    <t>REPLACEMENT OF L08_GHV_028W_STOPE ON MARCH 3,2022.STOPPED ON APRIL 8, 2022. ALREADY REACHED ITS RECOMMENDED ELEVATION.</t>
  </si>
  <si>
    <t>L10_DPVE_045E_STOPE</t>
  </si>
  <si>
    <t>L10_DPVE_038E_STOPE</t>
  </si>
  <si>
    <t>ADDITIONAL SOURCE OF STOPE ORE. APPROVED ON FEBRUARY 2,2022. TEMPORARY STOPPED ON FEBRUARY 6,2022.RESUMED ON FEBRUARY 8,2022. STOPPED ON APRIL 6,2022 BREAKTHROUGH SUBLEVEL ON MARCH 18,2022 REMAINING DAYS ARE FOR THE TEAR OUT OF CHINAMAN CHUTES AND INSTALLATION OF CHUTES.</t>
  </si>
  <si>
    <t>ADDITIONAL STOPE PREPARATION HEADING. SAME GROUP WITH L10 DPVE 040E STOPE. APPROVED ON MARCH 12, 2022. STOPPED ON APRIL 6,2022 BREAKTHROUGH SUBLEVEL ON MARCH 15,2022 REMAINING DAYS ARE FOR THE REHAB FOR 3CPT RAISE.</t>
  </si>
  <si>
    <t>L05_JVSPLIT_003E_DE</t>
  </si>
  <si>
    <t>L05_JVSPLIT_015W_DW_ISL</t>
  </si>
  <si>
    <t>090E</t>
  </si>
  <si>
    <t>L05_CTV_027E_WINZE STOPE</t>
  </si>
  <si>
    <t>REPLACEMENT OF L10_DPVE_047E_STOPE PREP. START BREAKING ON MAY 20,2021. NOTIFIED ON MAY 27,2021. STOPPED BREAKING ON APRIL 8,2022 STOPE TRAVERSE ON APRIL 9,2022 AT THE SAME TIME CONVERT TO PULL OUT CLEANING.</t>
  </si>
  <si>
    <t>REPLACEMENT OF L11_JVFW_060E_RAISE APPROVED ON JANUARY 17, 2022.TEMPORARY STOPPED ON FEBRUARY 15,2022 TO PRIORITIZED NEWLY OPENED CROSSCUT TARGETING LATERAL EXTENSION OF L11_GHV_063E_WINZE. RESUMED ON FEBRUARY 19,2022. STOPPED ON APRIL 1,2022 ALREADY BREAKTHROUGH.</t>
  </si>
  <si>
    <t xml:space="preserve"> ON GOING FOLLOW UP OF STOPE PREPARATION WHILE DRIVING GHV 062E DE. APPROVED ON MARCH 22,2022. TEMPORARY STOPPED ON APRIL 10,2022.</t>
  </si>
  <si>
    <t>L11_GHV_063E_STOPE PREP</t>
  </si>
  <si>
    <t>L06_JV_007E_ROBBING</t>
  </si>
  <si>
    <t>L04_CV_002E_DE</t>
  </si>
  <si>
    <t>REPLACEMENT OF L04_GHVFW_005E_DE. APPROVED ON MARCH 24 2022.TEMPORARILY STOPPED ON MARCH 25 2022 DUE TO TURN OUT PREP. NO ADVANCE YET. ERROR IN NAMING: REMOVE ISL SINCE IT IS STILL ON THE MAINLINE (L04_GHVFW_005E_DE_ISL TOO).RESUMED ON MARCH 28 2022.STOPPED ON APRIL 5 2022 DUE TO A SUB-PERPENDICULAR FAULT. OFF VEIN.</t>
  </si>
  <si>
    <t>REPLACEMENT OF L07_DPVE_020E_RAISE. SOURCE OF GOOD ORE. APPROVED ON MARCH 18 2022. STOPPED ON APRIL 8,2022</t>
  </si>
  <si>
    <t>L07_DPVE_020E_ROBBING</t>
  </si>
  <si>
    <t>REPLACEMENT OF L06_JVFW_006W_RAISE. APPROVED ON MARCH 30 2022.STOPPED ON APRIL 8 2022 DUE TO LOW GRADE.</t>
  </si>
  <si>
    <t>L06_JVSPLIT_005W_DW</t>
  </si>
  <si>
    <t>REPLACEMENT OF L10_JVHW_046E_DE. APPROVED ON MARCH 21,2022. STOPPED ON APRIL 8,2022 DUE TO VEIN PINCHED OUT</t>
  </si>
  <si>
    <t>REBOTE, JOS 4</t>
  </si>
  <si>
    <t>REPLACEMENT OF L04_CTV_022W_DE_ISL. APPROVED ON MARCH 2, 2022.STOPPED ON APRIL 12 2022. BREAKTHROUGH.</t>
  </si>
  <si>
    <t>L10_DPVE_024E_STOPE PREP</t>
  </si>
  <si>
    <t>L09_DPVE_054E_RAISE</t>
  </si>
  <si>
    <t>WP W/ NO MAP</t>
  </si>
  <si>
    <t>NEW WP W/ MAP</t>
  </si>
  <si>
    <t>TEMP. STOPPED</t>
  </si>
  <si>
    <t>COLOR CODING</t>
  </si>
  <si>
    <t>L04_CTV_022W_WINZE STOPE PREP</t>
  </si>
  <si>
    <t>REPLACEMENT OF L09_DPVE_056E_DE ON FEB.28.2022.TEMP STOPPED ON MARCH 10, 2022.RESUMED ON MAR 31, 2022. AT THE SAME TIME TRANSFERRED FROM PANCIT 4 TO PANSIT, NORMAN 3.STOPPED ON APRIL 12,2022 ALREADY REACHED THE RECOMMENDED STRIKE LENGTH.</t>
  </si>
  <si>
    <t>REPLACEMENT OF L07_JV_067E_WINZE STOPE PREP ON FEB. 23,2022.STOPPED BREAKING THEN CONVERTED TO PULL-OUT ON MARCH 31, 2022.</t>
  </si>
  <si>
    <t>REPLACEMENT OF L07_NONE_031E_XCS APPROVED ON SEPT 2, 2019. Temp. Stopped on March 30 2020 due to manpower issue. Resumed on Dec 7 2021.STOPPED ON MARCH 26,2022 NOTIFIED ON APRIL 13,2022.</t>
  </si>
  <si>
    <t>REPLACEMENT OF L04_CV_003E_DE ON MARCH 29 2022.STOPPED ON APRIL 13 2022. OFF-VEIN.</t>
  </si>
  <si>
    <t>L11_GHV_063E_STOPE</t>
  </si>
  <si>
    <t>REPLACEMENT OF L11_GHV_063E_DE_ISL. APPROVED ON FEBRUARY 8,2022. Temporary stopped on February 13,2022 not yet started.RESUMED ON FEB 23. 2022. RENAMED FROM L11_GHV_063E_WINZE STOPE PREP TO L11_GHV_063E_STOPE PREP CONVERTED TO NORMAL STOPE ON APRIL 10,2022. STOPPED ON APRIL 12,2022 ALREADY BREAKTHROUGH.</t>
  </si>
  <si>
    <t>PROPOSED L8 TO L12 INTERNAL SHAFT,APPROVED ON SEPT 11,2016. TRANSFERRED FROM HUMIDING 1 TO TAÑEZA 4 DUE TO INEFFICIENT PERFORMANCE OF THE FORMER GROUP.STOPPED/FINISHED DOUBLE TRACK ON ON JULY 5, 2018.- RESUMED ON SEPTEMBER 15,2021 TO DUE WIDENING ON THE DUMPING AREA AT LEVEL 11. AT THE SAME TIME TRANSFER FROM MAPAYO TO DUHIG, P7. TRANSFER FROM DUHIG,P7 TO HANGDAAN 1 ON FEBRUARY 3,2022.TRANSFERRED TO LEVEL 11 FROM LEVEL 10 ON FEB. 28, 2022. STOPPED ON APRIL 8,2022.</t>
  </si>
  <si>
    <t>L07_JV_044E_RAISE_ISL</t>
  </si>
  <si>
    <t>REPLACEMENT OF L08_DPVE_001E_DE ON MARCH 02, 2022. STOPPED ON APRIL 8,2022 DUE TO PINCHING OUT OF VEIN.</t>
  </si>
  <si>
    <t>L08_DPVE_056E_RAISE</t>
  </si>
  <si>
    <t>L05_JV_026E_WINZE STOPE</t>
  </si>
  <si>
    <t>REPLACEMENT OF L05_JVSPLIT_024E_DW_ISL. APPROVED ON MARCH 25,2022. STOPPED ON APRIL 13,2022 ALREADY FINISHED.</t>
  </si>
  <si>
    <t>TRANSFERED TEAM LEADER</t>
  </si>
  <si>
    <t>L12_NONE_057E_RAISE</t>
  </si>
  <si>
    <t>REPLACEMENT OF L06_JVFW_004W_RAISE. APPROVED ON MARCH 30 2022. TEMPORARILY STOPPED TO PRIORITIZE L06_JVFW_006W_RAISE ON APRIL 15 2022.</t>
  </si>
  <si>
    <t>REPLACEMENT OF L10_NONE_032E_XCN. APPROVED ON JANUARY 31,2022. STOPPED ON APRIL 13,2022 DUE TO CONSECUTIVE LOW ASSAY GRADE.</t>
  </si>
  <si>
    <t>L08_NONE_043E_CHAMBER</t>
  </si>
  <si>
    <t>L10_DPVE_016E_DW</t>
  </si>
  <si>
    <t>REPLACEMENT OF L10_NONE_051E_XCN. APPROVED ON JULY 29,2021. TEMPORARY STOPPED ON AUGUST 26,2021 TO FOLLOW UP RAISE.RESUMED ON SEPTEMBER 2,2021 AT THE SAME TIME TRANSFER FROM MONTEBON 2 TO PMC MINERS 5. TRANSFER FROM PMC MINERS 5 TO MONTEBON 1 ON SEPTEMBER 23,2021.STOPPED ON OCT 27, 2021 VEIN PICHED OUT. RESUMED ON DECEMBER 7,2021 NOTIFIED ON DECEMBER 8,2021.TEMPORARY STOPPED ON FEBRUARY 3,2022 PRIORITIZED PULL OUT OF GHVFW_050E_STOPE.RESUMED ON FEB 28, 2022. TEMPORARY STOPPED ON APRIL 20, 2022 TO PROCEED STOPE PREP OF L10 GHVFW 058E STOPE.</t>
  </si>
  <si>
    <t>L10_GHVFW_058E_STOPE PREP</t>
  </si>
  <si>
    <t>L08_NONE_023E_XCN</t>
  </si>
  <si>
    <t>L06_JVHW_057E_ROBBING</t>
  </si>
  <si>
    <t>L05_JVHW_008W_DW</t>
  </si>
  <si>
    <t>L06_JV_023W_ROBBING</t>
  </si>
  <si>
    <t>L08_GHVFW_003W_WINZE STOPE</t>
  </si>
  <si>
    <t xml:space="preserve">REPLACEMENT OF L08 GHVFW 002W DW ISL. APPROVED ON MAR 28, 2022.RENAME FROM L08 GHVFW 002W WINZE STOPE PREP to L08_GHVFW_003W_WINZE STOPE PREP. TO SEPARATE MINE CARS DRAWN FROM OLD MINED OUT WINZE STOPE  WITH THE SAME NAME. STOPPED STOPE PREP ON APRIL 20, 2022. </t>
  </si>
  <si>
    <t>L09_NONE_082E_XCS</t>
  </si>
  <si>
    <t>L10_GHVHW_056E_STOPE PREP</t>
  </si>
  <si>
    <t>L09_GHVFW_046E_STOPE</t>
  </si>
  <si>
    <t>REPLACEMENT OF L09 GHVSPLIT 052E DE. APPROVED ON MAR 12, 2022.TEMP STOPPED ON MAR 17, 2022. ALREADY DONE FOLLOW UP RAISE. RESUMED ON APRIL 5,2022 AT THE SAME TIME TRANSFER FROM DELOS REYES V3 TO REBOTE 4. STOPPED ON APRIL 20, 2022 DUE TO PINCHED OUT OF VEIN.</t>
  </si>
  <si>
    <t>REBOTE JOS 4</t>
  </si>
  <si>
    <t>REPLACEMENT OF L08_DPVE_078E_DW ON MARCH 15, 2022.RENAMED FROM L08_DPVE_079E_DW TO L08_DPVE_079E_DE ON APRIL 4,2022 TO FOLLOW THE INTERCEPTED VEIN E-W TREND.STOPPED ON APRIL 22, 2022 DUE TO PINCHED OUT OF VEIN.</t>
  </si>
  <si>
    <t>L11_GHVHW_058E_RAISE</t>
  </si>
  <si>
    <t>REPLACEMENT OF L04_GHV_057W_ROBBING. APPROVED ON MARCH 21 2022. TEMPORARY STOPPED ON APRIL 11,2022 DUE TO LACK OF MANPOWER.RESUMED ON APRIL 20, 2022.STOPPED DUE TO CONSECUTIVE LOW GRADE ON CUT SAMPLES ON APRIL 22, 2022.</t>
  </si>
  <si>
    <t>L04_GHVHW_052W_ROBBING</t>
  </si>
  <si>
    <t xml:space="preserve">L05_DPVE_034E_WINZE STOPE </t>
  </si>
  <si>
    <t>SHEPHERD AQ3</t>
  </si>
  <si>
    <t>MARTINEZ DN</t>
  </si>
  <si>
    <t>SHEPHERD AQ3.</t>
  </si>
  <si>
    <t>L05_JV_020E_RAISE</t>
  </si>
  <si>
    <t>REPLACEMENT OF L05_DPVE_034E_DW_ISL. APPROVED ON MARCH 21,2022. STOPPED ON APRIL 22, 2022 AND CONVERTED TO WINZE STOPE BREAKING .</t>
  </si>
  <si>
    <t>REPLACEMENT OF L06_JVHW_008W_RAISE. APPROVED ON APRIL 6 2022.STOPPED ON APRIL 21, 2022 AND CONVERTED TO STOPE BREAKING.</t>
  </si>
  <si>
    <t xml:space="preserve">L06_JVHW_008W_STOPE </t>
  </si>
  <si>
    <t>L08_JV_032E_RAISE_ISL</t>
  </si>
  <si>
    <t>L07_JV_067E_ROBBING</t>
  </si>
  <si>
    <t>REPLACEMENT OF L07_JV_067E_WINZE STOPE PREP ON FEB. 23,2022.STOPPED BREAKING THEN CONVERTED TO PULL-OUT ON MARCH 31, 2022. MINED-OUT ON APRIL 25, 2022 WITH 114% PULL-OUT MC.</t>
  </si>
  <si>
    <t>L11_GHV_063E_WINZE</t>
  </si>
  <si>
    <t>REPLACEMENT OF L10_DPVE_025E_STOPE PREP APPROVED ON FEB.22, 2022. STOPPED BREAKING AND CONVERTED TO PULL-OUT ON MARCH 7, 2022. MINED-OUT ON APRIL 25, 2022.</t>
  </si>
  <si>
    <t>REPLACEMENT OF L09_GHVFW_047E_DW, APPROVED ON MAR 18, 2022.STOPPED ON APRIL 22, 2022, RECOMMENDED FOR ACTIVE BREAKING.</t>
  </si>
  <si>
    <t>ADDITIONAL SOURCE OF GOOD ORE, APPROVED ON APRIL 21, 2022.MADE A BREAKTHROUGH AND STOPPED ON APRIL 25, 2022 .</t>
  </si>
  <si>
    <t>L05_JVHW_001W_RAISE</t>
  </si>
  <si>
    <t>BAYOBAY</t>
  </si>
  <si>
    <t>REPLACEMENT OF L08_JV_010W_RAISE. APPROVED ON APRIL 6,2022. STOPPED ON APRIL 26, 2022 DUE TO PINCHED OUT OF VEIN</t>
  </si>
  <si>
    <t>L04_JV_024W_ROBBING</t>
  </si>
  <si>
    <t>REPLACEMENT OF L04_JVSPLIT_016E_DE. APPROVED ON FEB. 19, 2022.RESUMED ON APRIL 25, 2022, CHANGE TEAM LEADER FROM COMAINGKING TO SHEPHERD AQ3.STOPPED ON APRIL 26, 2022, ALREADY REACHED THE RECOMMENDED STRIKE LENGTH.</t>
  </si>
  <si>
    <t>REPLACEMENT OF L08_GHV_037E_DW_ISL. APPROVED ON MARCH 26,2022.STOPPED ON APRIL 26, 2022, CONVERTED TO ACTIVE STOPE BREAKING.</t>
  </si>
  <si>
    <t xml:space="preserve">L08_GHVSPLIT_037E_WINZE STOPE </t>
  </si>
  <si>
    <t>L07_DPVE_040E_RAISE</t>
  </si>
  <si>
    <t>L07_DPVE_042E_WINZE STOPE PREP</t>
  </si>
  <si>
    <t>REPLACEMENT OF L06_JVFW_003W_DE. APPROVED ON APRIL 11 2022.STOPPPED ON APRIL 27, 2022, DUE TO CONSECUTIVE LOW ASSYA GRADE ON CUT/BULK SAMPLES, AND PINCHED OUT VEIN.</t>
  </si>
  <si>
    <t>L06_JVSPLIT_004W_DW</t>
  </si>
  <si>
    <t xml:space="preserve"> FILL WINZE TO BE CONNECTED TO OLD STOPE. APPROVED ON APRIL 5,2022.STOPPED ON APRIL 27, 2022 ALREADY BREAKTHROUGH.</t>
  </si>
  <si>
    <t>L11_GHVHW_061E_DE</t>
  </si>
  <si>
    <t>L09_GHVHW_001W_STOPE PREP</t>
  </si>
  <si>
    <t xml:space="preserve"> REPLACEMENT OF L05_JVHW_008W_DW. APPROVED ON APRIL 26, 2022.TEMPORARY STOPPED ON APRIL 29, 2022 SINCE ALONG THE EXCLUSION OF EXPOSIVE MAGAZINE AT LEVEL 4</t>
  </si>
  <si>
    <t>L05_JVSPLIT_001E_RAISE</t>
  </si>
  <si>
    <t>L05_JVFW_030E_DW</t>
  </si>
  <si>
    <t>L05_JVHW_006W_DW</t>
  </si>
  <si>
    <t>PANCIT, NOEL  3</t>
  </si>
  <si>
    <t>PANCIT,NOEL 2</t>
  </si>
  <si>
    <t>L09_GHV_049E_STOPE</t>
  </si>
  <si>
    <t>ADDITIONAL SOURCE OF GOOD ORE, APPROVED ON MAR 19, 2022.STOPPED AND CONVERTO TO STOPE BREAKING APRIL 28, 2022</t>
  </si>
  <si>
    <t>REPLACEMENT OF L09_JV_048E_STOPE PREP ON DECEMBER 17, 2021 NOTIFY ON JAN. 15,2022. STOPPED BREAKING ON MAR 19, 2022, VEIN PINCHED OUT, WITH APPROX LESS THAN 8 METERS PILLAR FROM CURRENT BACK TO LEVEL 8 MAINLINE, PROCEED TO PULL OUT CLEANING. MINED-OUT ON APRIL 28, 2022 WITH 90% PULL-OUT</t>
  </si>
  <si>
    <t>REPLACEMENT OF L05_JVHW_005W_DE ON APRIL 7 2022.TEMPORARY STOPPED ON APRIL 29, 2022 TO PRIORITIZED RAISE</t>
  </si>
  <si>
    <t>L05_JVHW_002E_RAISE</t>
  </si>
  <si>
    <t>REPLACEMENT OF L05_JVSPLIT_009W_DW. APPROVED IN FEB 25, 2022.STOPPED ON APRIL 26, 2022, DUE TO MAINLINE BREAKTHROUGH.RESUMED APRIL 26, 2022.STOPPED ON APRIL 29, 2022. ALREADY BREAKTHROUGH</t>
  </si>
  <si>
    <t>ALIMAK CHAMBER AND NEST AT 43E SHAFT. APPROVED ON MARCH 23,2022. IN BACK UP. TRANSFER FROM DUHIG, P6 TO PMC MINERS 2 ON APRIL 6,2022. STOPPED ON APRIL 13,2022.</t>
  </si>
  <si>
    <t>REPLACEMENT OF L06_CTV_011E_WINZE STOPE. APPROVED ON MARCH 20,2022.STOPPED ON APRIL 20, 2022 MEMO TO FOLLOW</t>
  </si>
  <si>
    <t>L08_GHVFW_005E_DE_ISL</t>
  </si>
  <si>
    <t>L06_DPVE_033E_ROBBING</t>
  </si>
  <si>
    <t>L10_JVHW_050E_RAISE</t>
  </si>
  <si>
    <t>REPLACEMENT OF L06 DPVE 032E WINZE. APPROVED ON MAR 26, 2022.stopped on april 28, 2022</t>
  </si>
  <si>
    <t>L06_JVHW_008W_STOPE</t>
  </si>
  <si>
    <t>REPLACEMENT OF L08_GHV_030E_WINZE STOPE PREP. APPROVED ON FEBRUARY 3,2022.STOPPED BREAKING AND CONVERT TO PULL-OUT ON MAY 1, 2022.</t>
  </si>
  <si>
    <t>L09_DPVE_076E_DW</t>
  </si>
  <si>
    <t>REPLACEMENT OF L09 JV 059STOPE PREP. APPROVED ON 2/23/21.TRANSFER FROM BALDO TO BABOR ON APRIL 26 2021.STOPPED ON MAY 17, 2021 CONVERT TO CLEANING.</t>
  </si>
  <si>
    <t xml:space="preserve"> REPLACEMENT OF L05_JVHW_005W_DE. APPROVED ON MARCH 28,2022.TRANSFER FROM SAMBERE 1 TO BAYOBAY 1 ON MARCH 30,2022.RENAMED FROM L05_JVHW_004W_RAISE TO L05_JVHW_004E_RAISE ON APRIL 7 2022. STOPPED ON APRIL 26, 2022.STOP PULL OUT ON APRIL 30, 2022, ALREADY DEPLETED ITS BROKEN MATERIAL THROUGH PULL OUT CLEANING.
</t>
  </si>
  <si>
    <t>ADDITIONAL SOURCE OF GOOD ORE. APPROVED ON APRIL 6,2022. STOPPED ON APRIL 29,2022 FINISHED HEADING.</t>
  </si>
  <si>
    <t>ON-GOING CLEANING FOR REGRADING. LM WILL NOTIFY THE MINE ENGINEERING ONCE THE CLEANING WILL BE FINISHED. APPROVED ON MARCH 18, 2022. STOPPED ON MAY 2, 2022, ALREADY REACHED ITS RECOMMENDED STRIKE LENGTH.</t>
  </si>
  <si>
    <t>REPLACEMENT OF L09_GHVHW_04W_RAISE, ON MARCH 08, 2022.TEMP STOPPED ON MAR 17, 2022 DUE TO LACK OF MANPOWER.RESUMED ON APR 4, 2022. AT THE SAME TIME TRANSFERRED FROM BABOR TO DELOS REYES V3.STOPPED ALREADY BREAKTHROUGH ON MAY 2, 2022.</t>
  </si>
  <si>
    <t xml:space="preserve"> REPLACEMENT OF L04_JVFW_010E_STOPE. APPROVED ON DEC. 3, 2021.TEMP. TEMPORARY STOPPED ON JANUARY 10,2022 MEMO RECEIVED ON JANUARY 18,2022 DUE TO LACK OF MANPOWER.RESUMED ON FEB 21, 2022 AND TRANSFERRED FROM COMAINGKING 2 TO NOCOS 2.TEMP. STOPPED ON MARCH 10, 2022 INSUFFICIENT MAN POWER. RESUMED ON MARCH 15 2022.STOPPED ON MAY 3, 2022, HAS 4 METERS REMAINING DISTANCE TO CONNECT TO OLD STOPE OF LEVEL 5.</t>
  </si>
  <si>
    <t>REPLACEMENT OF L05_DPVE_052E_STOPE PREP.APPROVED ON MARCH 10, 2022.RECOMMENDED TO CONVERT TO PULL-OUT CLEANING ON MAY 2, 2022.</t>
  </si>
  <si>
    <t>L06_DPVE_033E_RAISE_ISL</t>
  </si>
  <si>
    <t>ADDITIONAL SOURCE OF ORE APPROVED ON MARCH 10 2022.CONVERTED TO SILL PILLAR ROBBING ON MARCH 23 2022 .STOPPED ON MAY 3, 2022, ALREADY FINISHED HEADING.</t>
  </si>
  <si>
    <t>L04_GHVFW_031W_ROBBING</t>
  </si>
  <si>
    <t>MARTINEZ,RON 2</t>
  </si>
  <si>
    <t>REPLACEMENT OF L08_JV_016E_ROBBING. APPROVED ON MARCH 22,2022. SILL PILLAR ROBBING.STOPPED ON MAY 3, 2022, ALREADY REACHED ITS RECOMMENDED LENGTH.</t>
  </si>
  <si>
    <t xml:space="preserve"> REPLACEMENT OF L06_DPVE_033E_DW_ISL. APPROVED ON APRIL 26, 2022.STOPPED ON MAY 1, 2022</t>
  </si>
  <si>
    <t>L09_DPVE_022E_DE</t>
  </si>
  <si>
    <t>REPLACMENT OF L06_CTV_008W_ROBBING. APPROVED ON MARCH 24 2022.STOPPED ON MAY 4, 2022, ALREADY REACHED THE RECOMMENDED TOP-SLICE AREA, AND PROCEED TO BREAKING SILL PILLARS.</t>
  </si>
  <si>
    <t>L06_CTV_010W_ROBBING</t>
  </si>
  <si>
    <t xml:space="preserve">REPLACEMENT OF L06_JVHW_012W_DE. APPROVED ON MARCH 22 2022.STOPPED ON MAY 4, 2022, PINCHED OUT DUE TO THE FAULT BOUNDING BOTH CONTACT OF THE VEIN. </t>
  </si>
  <si>
    <t>L08_JVFW_023E_DE</t>
  </si>
  <si>
    <t>L09_DPVE_085E_DE</t>
  </si>
  <si>
    <t>APPROVED ON APRIL 22, 2022 TO TARGET DRILLING INTERCEPT. STOPPED ON MAY 4, 2022. ALREADY REACHED THE TARGET VEIN.</t>
  </si>
  <si>
    <t>APPROVED ON APRIL 20, 2022. TARGET THE JEREMY VEIN.STOPPED ON MAY 4, 2022 ALREADY REACHED THE TARGET VEIN.</t>
  </si>
  <si>
    <t>L06_JVHW_063E_ROBBING</t>
  </si>
  <si>
    <t>REPLACEMENT OF L08_NONE_034E_XCN, ON MARCH 10,2022.Temporary Stopped to Priority L08_DPVE_033E_DW on March 15, 2022.RESUMED ON APRIL 4,2022.STOPPED ON MAY 4, 2022 ALREADY REACHED THE RECOMMENDED STRIKE LENGTH.</t>
  </si>
  <si>
    <t>L08_DPVE_035E_RAISE</t>
  </si>
  <si>
    <t>L08_JVFW_068E_ROBBING</t>
  </si>
  <si>
    <t>REPLACEMENT OF L08_DPVE_062E_WINZE. APPROVED ON FEBRUARY 12,2022.STOPPED ON APRIL 30, 2022.</t>
  </si>
  <si>
    <t>L04_CV_025W_DE_ISL</t>
  </si>
  <si>
    <t>L08_DPVE_020E_DE</t>
  </si>
  <si>
    <t>L09_DPVE_084E_RAISE</t>
  </si>
  <si>
    <t>L04_JVSPLIT_028E_WINZE_STOPE PREP</t>
  </si>
  <si>
    <t>REPLACEMENT OF L05_DPVE_052E_STOPE PREP.APPROVED ON MARCH 10, 2022.RECOMMENDED TO CONVERT TO PULL-OUT CLEANING ON MAY 2, 2022.RECOMMENDED TO CONVERT TO PULL-OUT CLEANING ON MAY 2, 2022.stopped on may 5, 2022</t>
  </si>
  <si>
    <t>REPLACEMENT OF L09 NONE 004E XCN. APPROVED ON MAR 23, 2022, 1CPT WINZE TO SERVE AS WASTE PASS.stopped on may 5, 2022</t>
  </si>
  <si>
    <t>REPLACEMENT OF L06_JVFW_002W_WINZE. APPROVED ON APRIL 7 2022. STOPPED ON MAY 6, 2022 DUE TO CONSECUTIVE LOW GRADE ON GRAB AND BULK SAMPLES.</t>
  </si>
  <si>
    <t>REPLACEMENT OF L06_GHV_043E_RAISE. APPROVED ON MARCH 30,2022.STOPPED ON MAY 6, 2022 DUE TO CONSECUTIVE LOW GRADE ON GRAB AND BULK SAMPLES.</t>
  </si>
  <si>
    <t>L04_GHVHW_053W_ROBBING</t>
  </si>
  <si>
    <t>053W</t>
  </si>
  <si>
    <t>L07_JV_041E_WINZE</t>
  </si>
  <si>
    <t>PANCIT NORMAN 3</t>
  </si>
  <si>
    <t>REPLACEMENT OF L04_CV_003E_RAISE. APPROVED ON APRIL 26, 2022. SILL (A1).STOPPED ON MAY 7, 2022 DUE TO LOW CONSECUTIVE ASSAY GRADE</t>
  </si>
  <si>
    <t>REPLACEMENT OF L07_GHVFW_030W_ROBBING. APPROVED ON FEBRUARY 15,2022, TRANSFERD FROM BORERO TO SHEPHERD AT  ON FEB.23, 2022.STOPPED DUE TO LOW GRADE ON MAY 10 2022. FOR ISL.</t>
  </si>
  <si>
    <t>REPLACEMENT OF L07_JVSPLIT_016W_DW. APPROVED ON JANUARY 22,2022. TEMPORARILY STOPPED DUE TO REALIGNMENT OF MANPOWER. APPROVED ON FEB 25 2022 .TRANSFERRED TO UDLOS from davocol AND RESUMED FROM TEMPORARY STOPPAGE ON MARCH 1, 2022.STOPPED DUE TO LOW GRADE ON MAY 10 2022. FOR ISL.</t>
  </si>
  <si>
    <t>REPLACEMENT OF L10_JVHW_046E_DW. APPOVED MARCH 9, 2022.TEMPORARY STOPPED ON MARCH 21,2022 TO FOLLOW UP RAISE. RESUMED ON APRIL 4,2022. STOPPED ON april 30, 2022 ALREADY REACH THE DESIRED/RECOMMENDED STRIKE LENGTH OF THE DRIVE.</t>
  </si>
  <si>
    <t xml:space="preserve">REPLACEMENT OF L09 DPVE 064E RAISE. APPROVED ON MAR 30, 2022.STOPPED ON MAY 10 2022.ALREADY REACHED DESIRED ELEVATION. </t>
  </si>
  <si>
    <t>REPLACEMENT OF L10_DPVE_085E_DE. APPROVED ON APRIL 7,2022.STOPPED ON MAY 6,2022 DUE TO VEIN PINCHED OUT MEMO RECEIVED ON MAY 11,2022.</t>
  </si>
  <si>
    <t>L10_JVHW_049E_DW</t>
  </si>
  <si>
    <t>L06_DPVE_041E_DE</t>
  </si>
  <si>
    <t>ADDITIONAL SOURCE OF GOOD ORE. APPROVED ON APRIL 12,2022.TEMPORARY STOPPED ON MAY 11,2022 MANPOWER NOT RESUME WORK FROM VACATION.</t>
  </si>
  <si>
    <t>REPLACEMENT OF L11_JVFW_061E_DE. APPROVED ON FEBRUARY 14,2022. RENAMED FROM L11 JVFW 064E DE TO L11 JVFW 069E DE ON MAR 13, 2022.STOPPED ON MARCH 21,2022 DUE TO PINCHED OUT OF VEIN.RESUMED ON MARCH 28,2022.TRANSFERRED FROM DUHIG P3 TO DUHIG R1. APPROVED ON APRIL 21, 2022.STOPPED ON MAY 5, 2022. LOW GRADE AND NO FURTHER TARGET.</t>
  </si>
  <si>
    <t>L06_JVFW_003W_ROBBING</t>
  </si>
  <si>
    <t>CROSSCUT AS MILL HOLE TO ACCESS L10_GHV_070E_ROBBING. APPROVED ON MARCH 28,2022.STOPPED ON APRIL 28,2022 ALREADY BREAKTHROUGH.</t>
  </si>
  <si>
    <t>L10_GHV_065E_DW</t>
  </si>
  <si>
    <t>L03_JVSPLIT_030W_ROBBING</t>
  </si>
  <si>
    <t>L10_DPVE_084E_RAISE</t>
  </si>
  <si>
    <t>REPLACEMENT OF L09 GHV 032E DW ISL, APPROVED ON MAR 25, 2022.TEMPORARY STOPPED ON MAY 12, 2022 TO CONDUCT WINZE STOPE PREP.</t>
  </si>
  <si>
    <t>L09_GHV_033E_WINZE STOPE PREP</t>
  </si>
  <si>
    <t>L07_JVSPLIT_015W_DE_ISL</t>
  </si>
  <si>
    <t>L07_JV_010W_DE_ISL</t>
  </si>
  <si>
    <t>REPLACEMENT OF L08_GHVFW_003W_WINZE STOPE PREP. APPROVED ON APRIL 20, 2022.STOPPED BREAKING ON MAY 7,2022 ALREADY REACHED THE RECOMMENDED STRIKE LENGTH AT THE SAME TIME CONVERT TO PULL-OUT CLEANING. TRAVERSE ON MAY 5,2022.</t>
  </si>
  <si>
    <t>L06_GHV_032E_ROBBING</t>
  </si>
  <si>
    <t>L05_JVHW_004E_STOPE PREP</t>
  </si>
  <si>
    <t>REPLACEMENT OF ON L06_NONE_058E_XCN APRIL 27, 2022.STOPPED ON MAY 10, 2022 DUE TOTHE FAULT BOUNDING THE VEIN</t>
  </si>
  <si>
    <t>L07_GHVFW_019W_ROBBING</t>
  </si>
  <si>
    <t>REPLACEMENT OF L07_DPVE_014E_WINZE. APPROVED ON FEBRUARY 19,2022. TEMPORARILY STOPPED DUE TO THE PRIORITIZATION OF L07_NONE_026E_SUMP ON MARCH 1 2022.RESUMED ON MAR 28, 2022.STOPPED ON MAY 13, 2022 DUE TO LOW CONSECUTIVE ASSAY GRADE.</t>
  </si>
  <si>
    <t>L07_DPVE_013E_DE_ISL</t>
  </si>
  <si>
    <t>ADDITIONAL HORIZONTAL DEVELOPMENT. APPROVED ON APRIL 27, 2022. TEMPORARY STOPPED ON MAY 14,2022 SINCE DRIVE IS EXPECTED TO CONNECT TO 54E MAINLINE. NO FURTHER TARGET.</t>
  </si>
  <si>
    <t>L11_JVFW_062E_DE</t>
  </si>
  <si>
    <t>ADDITIONAL SOURCE OF GOOD ORE. APPROVED ON MAY 5, 2021. TOPSLICE.TEMP STOPPED ON MAY 14, 2022 DUE TO LACK OF SKILL AND MANPOWER</t>
  </si>
  <si>
    <t>L11_GHVHW_065E_STOPE PREP</t>
  </si>
  <si>
    <t>L06_DPVE_040E_RAISE</t>
  </si>
  <si>
    <t>REPLACEMENT OF L06_DPVE_059E_DW. APPROVED ON MAY 4, 2022.RENAMED FROM L06_DPVE_041E_DW TO L06_DPVE_041E_DE  ON MAY 11, 2022.STOPPED ON MAY 16, 2022 DUE TO PINCHED OUT OF VEIN</t>
  </si>
  <si>
    <t>L06_JV_023W_WINZE</t>
  </si>
  <si>
    <t>REPLACEMENT OF L10_DPVE_027E_STOPE PREP APPROVED ON JUNE 29, 2021. STOPPED BREAKING ON APRIL 1,2022 AT THE SAME TIME CONVERT TO PULL OUT CLEANING. STOPE TRAVERSE ON APRIL 4,2022.MINED OUT ON MAY 17,2022.</t>
  </si>
  <si>
    <t xml:space="preserve"> REPLACEMENT OF L05_JVSPLIT_003E_DE. APPROVED ON APRIL 29, 2022.STOPPED ON MAY 17 2022 DUE TO CONSECUTIVE LOW ASSAY GRADE. </t>
  </si>
  <si>
    <t>L05_JVHW_005E_DE</t>
  </si>
  <si>
    <t xml:space="preserve">REPLACEMENT OF L04_CV_025W_WINZE. APPROVED ON MAY 3, 2022.STOPPED ON MAY 17 2022 DUE TO PINCHING OUT OF VEIN. </t>
  </si>
  <si>
    <t xml:space="preserve">REPLACEMENT OF L04_CV_006E_DE. APPROVED ON MARCH 28 2022. JUSTIFICATION FOR ITS LOW DIPPING AT 42 DEGREES FROM 9 METER ELEVATION TO ITS CURRENT BACK (17 METERS) ON MAY 2, 2022.STOPPED ON MAY 17 2022 DUE TO PINCHING OUT OF VEIN. </t>
  </si>
  <si>
    <t>REPLACEMENT OF L05_JVFW_015W_ROBBING. APPROVED ON APRIL 9 2022.TEMPORARILY STOPPED DUE TO TRANSFER OF MANPOWER TO L11 AND L12 ON APRIL 20, 2022.RESUMED ON APRIL 29, 2022.AT THE SAME TIME TRANSFER FROM COMAINGKING TO PANCIT NOEL 2.STOPPED ON MAY 13 2022 TO PRIORITIZE OTHER HEADING</t>
  </si>
  <si>
    <t>REPLACEMENT L10_JVFW_053E_STOPE. APPROVED ON FEBRUARY 17,2022.LEAST PRIORITY TEMP STOPPED ON MARCH 15, 2022 REDUCE LOW GRADE MINE CARS TRAMMED AT LEVEL 10.RESUMED ON MARCH 28,2022.STOPPED ON MAY 17,2022 DUE TO CONSECUTIVE LOW ASSAY GRADE.</t>
  </si>
  <si>
    <t>REPLACEMENT OF L09_GHVFW_050E_STOPE PREP ON JAN.25,2022.ALREADY DONE STOPE BREAKING, DONE STOPE TRAVERSE, CONVERT TO PULL OUT CLEANING ON MAY 17, 2022.</t>
  </si>
  <si>
    <t>L08_GHVSPLIT_026E_RAISE</t>
  </si>
  <si>
    <t>ADDITIONAL VERTICAL DEVELOPMENT. APPROVED ON APRIL 26, 2022.CHANGE FROM 002W TO 002E ON APRIL 29, 2022.STOPPED ON MAY 13,2022 CONVERT TO STOPE PREPARATION</t>
  </si>
  <si>
    <t>REPLACEMENT OF L05_DPVE_051E_WINZE. APPROVED ON APRIL 29, 2022.STOPPED ON MAY 18,2022 DUE TO VEIN PINCHED OUT.</t>
  </si>
  <si>
    <t xml:space="preserve">DRILLING CHAMBER AT LEVEL 10. APPROVED ON MARCH 25,2022. IN BACK UP. TRANSFER FROM PMC MINERS 4 TO BAÑEZ 8 ON APRIL 11,2022. STOPPED ON APRIL 13,2022 ALREADY FINISHED.RESUMED ON APRIL 13, 2022.STOPPED ON MAY 19,2022 ALREADY FINISHED.
</t>
  </si>
  <si>
    <t xml:space="preserve">ADDITIONAL DEVELOPMENT. APPROVED ON APRIL 10 2022.STOPPED ON MAY 18 2022 DUE TO PINCHING OUT OF VEIN. 
</t>
  </si>
  <si>
    <t>L04_CV_002E_RAISE</t>
  </si>
  <si>
    <t>L05_JVHW_018W_ROBBING</t>
  </si>
  <si>
    <t xml:space="preserve">REPLACEMENT OF L06_DPVE_033E_DW_ISL. APPROVED ON APRIL 30, 2022. TOPSLICE W/ AIRHOIST.FINISHED ROBBING ON MAY 18, 2022
</t>
  </si>
  <si>
    <t>L06_DPVE_034E_ROBBING</t>
  </si>
  <si>
    <t xml:space="preserve">REPLACEMENT OF L07_DPVE_042E_DW_ISL. APPROVED ON APRIL 27, 2022.STOPPED STOPE PREP ON MAY 19, 2022
</t>
  </si>
  <si>
    <t>L07_DPVE_042E_WINZE STOPE</t>
  </si>
  <si>
    <t>ADDITIONAL VERTICAL DEVELOPMENT. BLOCKING RAISE OF  OF L06_JVFW_004W_RAISE. APPROVED ON MARCH 22 2022.STOPPED TO PRIORITIZE L06_JV_003W_DE ON MARCH 29 2022. RESUMED BREAKING ON APRIL 15,2022. STOPPED ON MAY 19, 2022. MEMO TO FOLLOW.</t>
  </si>
  <si>
    <t>REPLACEMENT OF L06_CTV_009W_ROBBING APPROVED ON MAY 4, 2022, SILL PILLARS.STOPPED ON MAY 19, 2022 SINCE THE ROBBING WAS ALREADY INSIDE THE EXCLUSION ZONE OF L06 7W INTERNAL SHAFT</t>
  </si>
  <si>
    <t>REPLACEMENT OF L11_JVFW_053E_DW. APPROVED ON MAY 18,2021.TEMPORARY STOPPED ON JUNE 24,2021. Resumed on July 7,2021. Temporary stopped on July 20,2021 to prioritized GHVHW 054E_DE. RESUMED ON SEPTEMBER 1,2021.TEMPORARY STOPPED ON SEPTEMBER 8,2021 DUE TO TROUBLE AT 35E SHAFT.  RESUMED ON SEPTEMBER 15,2021. TEMPORARY STOPPED ON NOVEMBER 27,2021.resumed on March 17,2022 AT THE SAME TIME RENAMED FROM L11_GHVHW_053E_DW TO L11_GHVHW_051E_DW.STOPPED ON MAY 19,2022 INTERCEPTED MAJOR FAULT WITH NO GOOD VEIN TARGETS FURTHER TO WEST.</t>
  </si>
  <si>
    <t>L05_JVFW_030E_RAISE</t>
  </si>
  <si>
    <t>REPLACEMENT OF L05_DPVE_044E_DW_ISL. APPROVED ON APRIL 29, 2022.STOPPED ON MAY 20, 2022 CONVERT TO RAISE.</t>
  </si>
  <si>
    <t>REPLACEMENT OF L06_JVFW_002W_ROBBING. APPROVED ON MAY 11 2022. SILL PILLAR. STOPPED ON MAY 20,2022 CONSECUTIVE LOW ASSAY GRADE</t>
  </si>
  <si>
    <t>REPLACEMENT OF L06_JVSPLIT_007E_WINZE. TOPSLICE. APPROVED ON APRIL 9 2022.STOPPED ON CONSECUTIVE LOW ASSAY GRADE ON MAY 20,2022.</t>
  </si>
  <si>
    <t>STOPPED ON MAY 20,2022 DUE TO VEIN PINCHED OUT.</t>
  </si>
  <si>
    <t>L06_JV_006E_ROBBING</t>
  </si>
  <si>
    <t>L06_JVHW_006W_DW</t>
  </si>
  <si>
    <t>REPLACEMENT OF L10_JVHW_046E_DE. APPROVED ON APRIL 30, 2022.STOPPED ON MAY 20,2022 CONVERT TO STOPE PREPARATION.</t>
  </si>
  <si>
    <t>L10_JVHW_046E_STOPE PREP</t>
  </si>
  <si>
    <t xml:space="preserve">REPLACEMENT OF L09_GHVHW_002W_DE ON MAY 4, 2022.STOPPED ON MAY 20, 2022 DUE TO PINCHED OUT OF VEIN.
</t>
  </si>
  <si>
    <t>REPLACEMENT OF L08_DPVE_058E_RAISE. APPROVED ON APRIL 8,2022.STOPPED ON MAY 20, 2022. ALREADY REACHED RECOMMENDED RELEVATION LOW GRADE</t>
  </si>
  <si>
    <t>REPLACEMENT OF L10_GHVSPLIT_073E_STOPE PREP. APPRVED ON SEPTEMBER 18,2021.TEMPORARY STOPPED ON OCT 28, 2021 TO PRIORITIZE L10 GHV 070E ROBBING.RESUMED BREAKING ON NOVEMBER 29,2021 AT THE SAME TIME RENAMED FROM L10_GHVSPLIT_073E_STOPE TO L10_GHVSPLIT_074E_STOPE TO AVOID MISCHARGING. TEMPORARY STOPPED ON DECEMBER 16,2021 LACK OF MANPOWER. RESUMED ON FEBRUARY 3,2022.CONVERTED TO PULL-OUT CLEANING ON MARCH 19, 2022.STOPPED ON MAY 20,2022 DUE TO CONSECUTIVE LOW ASSAY GRADE.</t>
  </si>
  <si>
    <t>L08_NONE_057E_XCN</t>
  </si>
  <si>
    <t>Replacement of L08_GHVHW_068E_DE, on March 15, 2022. TEMPORARY STOPPED ON MARCH 22,2022 TO PRIORITIZED WORKPLACE FOR ROBBING.RESUMED ON APRIL 22, 2022 AND TRANSFERRED FROM LERIO TO OSWAY 1.STOPPED ON MAY 20, 2022 DUE TO VEIN PINCHED OUT</t>
  </si>
  <si>
    <t>REPLACEMENT OF L11_GHVFW_065E_DW. APPROVED ON MARCH 25,2022. IN RESOURCE.TRANSFERRED FROM DUHIG P1 TO CARIKITAN STARTING ON APRIL 22, 2022. CHANGE FROM CARIKITAN TO DUHIG 1 STARTING ON APRIL 24, 2022. TRANSFERRED FROM DUHIG P1 TO CARIKITAN STARTING ON APRIL 27,2022.tranfer from duhig to carikitan on april 29, 2022.STOPPED ON MAY 21,2022 CURRENTLY OFF VEIN DUE TO SUB-PARALLEL FAULT.</t>
  </si>
  <si>
    <t>L11_GHVFW_066E_DW</t>
  </si>
  <si>
    <t>L04_CV_030W_DW_ISL</t>
  </si>
  <si>
    <t>REPLACEMENT OF L04_GHVHW_052W_ROBBING APPROVED ON MAY 6, 2022. SILL PILLAR.MARKING OF PILLARS.ON MAY,6,2022.STOPPED ON MAY 21 2022 DUE TO LOW GRADE AND REDISTRIBUTION OF MANPOWER.</t>
  </si>
  <si>
    <t>REPLACEMENT OF L04 GHVSPLIT 041W WINZE. APPROVED ON OCT 25, 2021, SILL PILLAR.STOPPED ON MAY 21 2022 DUE TO LOW GRADE AND REDISTRIBUTION OF MANPOWER TO 10E WINZE.</t>
  </si>
  <si>
    <t>ADDITIONAL SOURCE OF GOOD ORE. APPROVED ON JANUARY 22 2021. CLEANING AND SECONDARY BLASTING OF BOULDERS ALONG HAULAGE AREA.CHANGE WORK HEADING INTO L04 CV 015W ROBBING.APPROVED ON FEB.11,2021.RESUMED ON APRIL 16, 2021.RENAMED FROM 14W TO 15W ROBBING ON APRIL 20, 2021. Temporary stopped on May 11,2021 due to lack of manpower.RESUMED ON JUNE 23 2021 AT THE SAME TIME TRANSFER FROM BANEZ TO MARTINEZ RONALD. TEMP. STOPPED ON JULY 14, 2021 AS PER LM.RESUMED ON JULY 21, 2021 2ND SHIFT.STOPPED ON JANUARY 23,2022 DUE TO CONSECUTIVE LOW ASSAY GRADE.RESUMED ON MARCH 17, 2022 AS WELL AS TRANSFERRED FROM MARTINEZ RONALD TO SHEPGERD AQ 2. SILL.STOPPED ON MAY 21 2022 DUE TO LOW GRADE AND REDISTRIBUTION OF MANPOWER.</t>
  </si>
  <si>
    <t>L08_DPVE_002E_DE</t>
  </si>
  <si>
    <t>L09_GHVSPLIT_034E_DW</t>
  </si>
  <si>
    <t>L06_JV_011W_ROBBING</t>
  </si>
  <si>
    <t>EXCAVATION AT 43E SHAFT. APPROVED ON APRIL 19,2022.STOPPED ON MAY 13,2022 ALREADY FINISHED</t>
  </si>
  <si>
    <t xml:space="preserve">L04_CTV_023W_ROBBING </t>
  </si>
  <si>
    <t>REPLACEMENT OF L04_CV_007E_DW MARTINEZ, RON 3. APPROVED ON FEB. 17, 2022.STOPPED ON MARCH 25 2022. OFF-VEIN DUE TO SUB-PARALLEL FAULT.RESUMED AS REPLACEMENT OF L04_CV_006E_RAISE. APPROVED ON MAY 17 2022.TEMPORARILY STOPPED ON MAY 20 2022. CONVERTED TO STOPE PREP.</t>
  </si>
  <si>
    <t>L04_CV_006E_STOPE PREP</t>
  </si>
  <si>
    <t>REPLACEMENT OF L09_GHVFW_046E_STOPE PREP. APPROVED ON APRIL 22, 2022.AS WELL AS TRANSFERRED FROM PANCIT, NOEL 4 TO PANSIT, NORMAN 3. STOPPED BREAKING DUE TO VEIN PINCHED OUT ON MAY 21, 2022, CONVERT TO PULL OUT CLEANING.</t>
  </si>
  <si>
    <t>REPLACEMENT OF L08_GHVFW_003W_WINZE STOPE PREP. APPROVED ON APRIL 20, 2022.STOPPED BREAKING ON MAY 7,2022 ALREADY REACHED THE RECOMMENDED STRIKE LENGTH AT THE SAME TIME CONVERT TO PULL-OUT CLEANING. TRAVERSE ON MAY 5,2022.STOPPED ON MAY 20, 2022. ALREADY DONE PULL OUT CLEANING WITH 80% ACHIEVEMENT 85 MC REMAINING.</t>
  </si>
  <si>
    <t>REPLACEMENT OF L04_CV_002E_DE. APPROVED ON MAY 18 2022.TEmPORARILY STOPPED ON MAY 23 2022 DUE TO MANPOWER TRANSFER.</t>
  </si>
  <si>
    <t>REPLACEMENT OF L08_JV_074E_WINZE STOPE PREP ON MARCH 9, 2022.ALREADY DONE STOPE BREAKING, CONVERT TO PULL OUT CLEANING ON MAY 23, 2022.</t>
  </si>
  <si>
    <t>ADDITIONAL SOURCE OF GOOD ORE. APPROVED ON APRIL 12,2022.ALREADY DONE STOPE PREPARATION ON MAY 20, 2022., CONVERT TO STOPE BREAKING</t>
  </si>
  <si>
    <t>L10_DPVE_024E_STOPE</t>
  </si>
  <si>
    <t xml:space="preserve">REPLACEMENT OF L05_JVHW_007W_DE. APPROVED ON APRIL 29, 2022.STOPPED ON MAY 23 2022. BREAKTHROUGH. </t>
  </si>
  <si>
    <t>L05_JVHW_006W_RAISE</t>
  </si>
  <si>
    <t>L10_DPVE_006E_DE</t>
  </si>
  <si>
    <t>REPLACEMENT OF L08_NONE_023E_XCN. APPROVE ON MAY 4, 2022.STOPPED ON MAY 25, 2022. TO DRIVE DRIFT WEST</t>
  </si>
  <si>
    <t>L08_JVFW_023E_DW</t>
  </si>
  <si>
    <t>ADDITIONAL SOURCE OF GOOD ORE, APPROVED ON APRIL 8, 2022. SILL PILLAR. STOPPED ON MAY 16, 2022, ALREADY DONE PILLAR ROBBING.</t>
  </si>
  <si>
    <t xml:space="preserve">REPLACEMENT OF L08_DPVE_032E_DE_ISL. APPROVED ON APRIL 21, 2022.CHANGED VEIN NAME FROM DPVE TO JV.STOPPED ON MAY 25, 2022, ALREADY BREAKTHROUGH TO LEVEL 8 MAINLINE.
</t>
  </si>
  <si>
    <t>REPLACEMENT OF L08_DPVE_001W_RAISE. APPROVED ON MARCH 22,2022. SILL PILLAR.CONSECUTIVELY PRODUCING LOW QA/QC GRADE ON BULK SAMPLES DUE TO OLD MUCK AND SLABBING OF HANGING WALL PORTION OF THE VEIN.ON MAY 8, 2022.STOPPED ON MAY 25, 2022 DUE TO LOW GRADE.</t>
  </si>
  <si>
    <t>L08_JV_032E_DE_ISL</t>
  </si>
  <si>
    <t>L08_DPVE_031E_RAISE</t>
  </si>
  <si>
    <t>REPLACEMENT OF L10_JVFW_032E_DW. APPROVED ON APRIL 20,2022.STOPPED ON MAY 26,2022 DRIVE STILL FOLLOWING POOR VEIN MINERALIZATION WITHOUT ANY FURTHER GOOD TARGETS.</t>
  </si>
  <si>
    <t>ADDITIONAL VERTICAL DEVELOPMEMENT APPROVED ON JAN.25,2022.RECOMMENDED FOR 4X6X6 TIMBER INSTALLATION DUE TO TYPE B GROUND CONDITION STARTING MARCH 21,2022.TRANSFER FROM DUHIG, P2 TO COMAINGKING 2 ON MAY 16, 2022 SWAPPING OF TEAM LEADERS DUE TO AVAILABILITY OF EQUIPMENT.STOPPED ON MAY 26,2022 ESTIMATED @ LEVEL 10 ELEVATION FOR TRAVERSE.</t>
  </si>
  <si>
    <t>L08_DPVE_036E_RAISE</t>
  </si>
  <si>
    <t>REPLACEMENT OF L08_DPVE_033E_DW. APPROVED ON MAY 5, 2022.STOPPED ON MAY 26, 2022. VEIN PINCHED OUT.</t>
  </si>
  <si>
    <t xml:space="preserve">ADDITIONAL SOURCE OF STOPE ORE. APPROVED ON APRIL 20,2022.STOPPED ON MAY 25 2022. RECOMMENDED FOR STOPE BREAKING. FOR CHECKING OF SURVEY CREW.
</t>
  </si>
  <si>
    <t>ADDITIONAL SOURCE OF GOOD ORE. APPROVED ON APRIL 12,2022.TEMPORARY STOPPED ON MAY 11,2022 MANPOWER NOT RESUME WORK FROM VACATION.STOPPED ON MAY 25 2022. RECOMMENDED FOR STOPE BREAKING. FOR CHECKING OF SURVEY CREW.</t>
  </si>
  <si>
    <t>REPLACEMENT OF L06_JVHW_008W_STOPE PREP ON APRIL 21, 2022. JUSTIFICATION OF LOW DIPPING FROM 5TH FLOOR TO 7TH FLOOR WITH AN AVERAGE DIP OF 44 DEGREES, ON MAY 4, 2022.MINED OUT ON MAY 26 2022.</t>
  </si>
  <si>
    <t>ADDITIONAL SOURCE OF GOOD ORE. APPROVED ON MAY 23,2022. TOPSLICE.TEMP STOP ON 5/27/2022</t>
  </si>
  <si>
    <t>L06_CTV_005E_ROBBING</t>
  </si>
  <si>
    <t>L04_GHVFW_018E_ROBBING</t>
  </si>
  <si>
    <t>L08_GHVFW_003W_ROBBING</t>
  </si>
  <si>
    <t>REPLACEMENT OF L08_GHVFW_005E_WINZE. APPROVED ON APRIL 30, 2022.STOPPED ON MAY 27, 2022 VEIN PINCHED OUT.</t>
  </si>
  <si>
    <t>L08_GHVFW_005E_DW_ISL</t>
  </si>
  <si>
    <t>L10_DPVE_015E_RAISE</t>
  </si>
  <si>
    <t>REPLACEMENT OF L10_DPVE_040E_STOPE.APPROVED ON MAY 28, 2021.STOPPED ON JAN.27, 2022 CPNVERTED TO PULL-OUT CLEANING.STOPPED ON MAY 27,2022 ALREADY MINED-OUT.</t>
  </si>
  <si>
    <t>ADDITIONAL VERTICAL WINZE AT LEVEL 10. APPROVED ON NOVEMBER 22, 2021.STOPPED ON MAY 26,2022 ALREADY FINISHED SUBLEVEL NOT RECOMMENDED TO CONTINUE TO LEVEL 12.</t>
  </si>
  <si>
    <t>L10_GHVHW_056E_STOPE</t>
  </si>
  <si>
    <t>L10_GHVFW_058E_STOPE</t>
  </si>
  <si>
    <t>ADDITIONAL SOURCE OF GOOD ORE, Sill robbing, on March 10, 2022.TEMP. STOPPED ON APRIL 1, 2022. TO BALANCE STOPE ORE PRODUCTION. RESUMED ON APRIL 22, 2022. STOPPED ON MAY 27,2022 ALREADY FINISHED.</t>
  </si>
  <si>
    <t xml:space="preserve"> REPLACEMENT OF L09_GHVHW_001W_RAISE AND TRANSFER FROM CANOY 2 TO OCAÑA 1 APPROVED ON APRIL 29, 2022.ALREADY DONE STOPE PREPARATION ON MAY 26, 2022. CONVERT TO STOPE BREAKING.</t>
  </si>
  <si>
    <t>L09_GHVHW_001W_STOPE</t>
  </si>
  <si>
    <t>L05_JVSPLIT_015W_RAISE_ISL</t>
  </si>
  <si>
    <t>L06_JVFW_007W_STOPE PREP</t>
  </si>
  <si>
    <t>REPLACEMENT OF L05_JVHW_006W_DW. APPROVED ON MAY 24 2022.TEMPORARILY STOPPED ON MAY 30 2022 TO PRIORITIZE STOPE PREP</t>
  </si>
  <si>
    <t>REPLACEMENT OF L10 DPVE 029E STOPE PREP. APPROVED ON MARCH 26,2021.CONVERT TO PULL-OUT ON MARCH 18,2022.MINED OUT MAY 30,2022.</t>
  </si>
  <si>
    <t>L05_JVHW_006W_STOPE PREP</t>
  </si>
  <si>
    <t>REPLACEMENT OF L06 JVFW 009W RAISE. APPROVED ON JAN 14, 2022.RENAMED TO L06_JVFW_003W_DW.STOPPED ON MARCH 30 2022 DUE TO CONSECUTIVE LOW QA/QC RESULT.RESUMED ON MAY 19, 2022.TRANSFER FROM REBOTE 1 TO SHEPHERD AC 1 ON MAY 20,2022.STOPPED ON MAY 30, 2022 DUE TO VEIN PINCHED OUT.</t>
  </si>
  <si>
    <t>L06_JVHW_015E_ROBBING</t>
  </si>
  <si>
    <t>REPLACEMENT OF L09_GHVFW_046E_STOPE PREP. APPROVED ON APRIL 22, 2022.AS WELL AS TRANSFERRED FROM PANCIT, NOEL 4 TO PANSIT, NORMAN 3. STOPPED BREAKING DUE TO VEIN PINCHED OUT ON MAY 21, 2022, CONVERT TO PULL OUT CLEANING.STOPPED AND DECLARED MINED OUT ON MAY 30, 2022 WITH MORE THAN 100% PULL OUT.</t>
  </si>
  <si>
    <t>L09_DPVE_053E_STOPE PREP</t>
  </si>
  <si>
    <t>L09_JV_045E_STOPE PREP</t>
  </si>
  <si>
    <t>REPLACEMENT OF L09_DPVE_036E_STOPE PREP. APPROVED ON JAN 14, 2022.STOPPED BREAKING ON MAY 30, 2022 ALREADY DONE STOPE TRAVERSE, CONVERT TO PULL OUT CLEANING.</t>
  </si>
  <si>
    <t>L09_GHVHW_057E_DW</t>
  </si>
  <si>
    <t>REPLACEMENT OF L08 DPVE 056E RAISE. APPROVED ON MAY 20, 2022.TEMP STOPPED ON MAY 30, 2022.</t>
  </si>
  <si>
    <t>L08_DPVE_057E_STOPE PREP</t>
  </si>
  <si>
    <t>L10_NONE_080E_XCN</t>
  </si>
  <si>
    <t>L06_JV_008W_WINZE</t>
  </si>
  <si>
    <t>L06_DPVE_064E_RAISE</t>
  </si>
  <si>
    <t>REPLACEMENT OF L06_JV_007E_ROBBING. APPROVED ON MAY 20,2022. SILL PILLAR ROBBING.STOPPED ON MAY 30, 2022, ALREADY DONE PILLAR ROBBING</t>
  </si>
  <si>
    <t>L10_GHV_057E_STOPE PREP</t>
  </si>
  <si>
    <t>FERNADEZ, REX 3</t>
  </si>
  <si>
    <t>ADDITIONAL HORIZONTAL DEVELOPMENT. APPROVED ON 17/9/2021.TEMPORARY STOPPED ON SEPTEMBER 21,2021 TO PRIORITIZED PULL OUT. RESUMED ON APRIL 26, 2022 AS WELL AS TRANSFERRED FROM REVITA 1 TO BELICAN 1.STOPPED ON MAY 31, 2022.</t>
  </si>
  <si>
    <t>L08_JV_009W_RAISE</t>
  </si>
  <si>
    <t>REPLACEMENT OF L04_GHVFW_027W_ROBBING AND L04_GHVSPLIT_041W_ROBBING RESUMED APRIL 25, 2022, CHANGE TEAM LEADER FROM COMAINGKING TO SHEPHERD AQ3.STOPPED ON MAY 31,2022 ALREADY BREAKTHROUGH.</t>
  </si>
  <si>
    <t>L04_CTV_022W_WINZE STOPE</t>
  </si>
  <si>
    <t>REPLACEMENT OF L08_JVFW_023E_DE. APPROVED ON MAY 25, 2022.STOPPED ON JUNE 1, 2022. ALREADY REACHED ITS RECOMMENDED STRIKE LENGTH.</t>
  </si>
  <si>
    <t>L08_JVFW_022E_RAISE</t>
  </si>
  <si>
    <t>L12_DPVE_038E_DE</t>
  </si>
  <si>
    <t>DUHIG P5</t>
  </si>
  <si>
    <t>ADDITIONAL VERTICAL DEVT DRIVE. APPROVED ON APRIL 9, 2022.STOPPED ON JUNE 1, 2022. ALREADY REACHED ITS DESIRED ELEVATION.</t>
  </si>
  <si>
    <t>L09_DPVE_031E_RAISE</t>
  </si>
  <si>
    <t xml:space="preserve"> PANSIT, NORMAN 2</t>
  </si>
  <si>
    <t xml:space="preserve">L05_JVHW_004E_STOPE </t>
  </si>
  <si>
    <t>ADDITIONAL SOURCE OF STOPE ORE AT LEVEL 5. APPROVED ON MAY 13,2022.ALREADY DONE STOPE PREPARATION ON MAY 28, 2022. CONVERT TO STOPE BREAKING.</t>
  </si>
  <si>
    <t xml:space="preserve">REPLACEMENT OF L04_CV_025W_DE_ISL. APPROVED ON MAY 17 2022.STOPPED ON JUNE 2, 2022, PINCHED OUT VEIN. </t>
  </si>
  <si>
    <t>L04_CV_026W_DW</t>
  </si>
  <si>
    <t>L10_DPVE_031E_WINZE</t>
  </si>
  <si>
    <t>REPLACEMENT OF L08_GHV_030E_WINZE STOPE PREP. APPROVED ON FEBRUARY 3,2022.CHANGE STATUS TO PULL OUT STOPE EFFECTIVE ON APRIL 30, 2022.STOPPED ON JUNE 2,2022 ALREADY MINED OUT.</t>
  </si>
  <si>
    <t>REPLACEMENT OF L08_004W_WINZE STOPE PREP APPROVED ON 11/11/21.. STOPPED ON FEBRUARY 25, 2022. ALREADY FINISHED DRILLING FILL RAISE.CONVERT TO PULL-OUT CLEANING ON FEBRUARY 25, 2022. STOPPED ON JUNE 2,2022 ALREADY MINED OUT.</t>
  </si>
  <si>
    <t>L06_DPVE_056E_DW</t>
  </si>
  <si>
    <t>REPLACEMENT OF L06_DPVE_033E_ROBBING. APPROVED ON MAY 18, 2022.. SILL. ALREADY DONE PILLAR ROBBING. STOPPED ON JUNE 3, 2022.</t>
  </si>
  <si>
    <t>L11_DPVE_036E_DW</t>
  </si>
  <si>
    <t>L11_GHVHW_067E_STOPE PREP</t>
  </si>
  <si>
    <t>L06_JV_028E_WINZE</t>
  </si>
  <si>
    <t>L05_CTV_028E_ROBBING</t>
  </si>
  <si>
    <t xml:space="preserve">REPLACEMENT OF L10_DPVE_062E_DW. APPROVED ON MARCH 16,2022. TEMPORARY STOPPED ON MAY 16,2022 TO FOLLOW UP RAISE.
</t>
  </si>
  <si>
    <t>REPLACEMENT OF L08_JVFW_007E_ROBBING. APPROVED ON MAY 5, 2022.STOPPED ON JUNE 4, BREAKTHROUGH TO AN OLD MAINLINE.</t>
  </si>
  <si>
    <t>L08_DPVE_021E_RAISE</t>
  </si>
  <si>
    <t>L06_DPVE_066E_RAISE</t>
  </si>
  <si>
    <t>L06_DPVE_041E_RAISE</t>
  </si>
  <si>
    <t xml:space="preserve">L04_CV_025W_ROBBING  </t>
  </si>
  <si>
    <t>ADDITIONAL HORIZONTAL DEVT. APPROVED ON OCT 19, 2021. RENAMED FROM L11_GHV_059E_DE TO L11_GHVSPLIT_059E_DE ON JANUARY 16,2022.TRANSFERRED FROM DUHIG P1 TO COMAINGKING. APPROVED ON APRIL 21, 2022.TEMPORARY STOPPED ON APRIL 23, 2022 TO PRIORITY RAISE.RESUMED ON APRIL 27, 2022.TRANSFERRED FROM DUHIG, PETER TO COMAINGKING RICS. APPROVED ON APRIL 27,2022.STOPPED ON MAY 9, 2022. APPROACHING 063E MAINLINE, NOT TO BREAK THROUGH.RESUMED ON MAY 12,2022 DECIDED TO BREAKTHROUGH TO 63E MAINLINE. TRANSFER FROM COMAINGKING TO CARIKITAN 1 ON MAY 16,2022  SWAPPING OF TEAM LEADERS DUE TO AVAILABILITY OF EQUIPMENT.STOPPED ON JUNE 6,2022 ALREADY CONNECTED TO 63E MAINLINE</t>
  </si>
  <si>
    <t>VERTICAL WINZE TO TARGET RESOURCES AT LEVEL 12. Approved on December 6,2019.Temporary stopped on MAr 9 2020. airhoist defect. Resumed on March 15,2020. Stopped on May 26 2020.RESUMED ON APRIL 22, 2021. TRANSFERRED FROM MAPAYO, NOEL TO COMAINGKING, RICS. APPROVED ON APRIL 27,2022.TRANSFER FROM COMAINGKING 1 TO MAPAYO 2 ON MAY 16,2022 CONTINUE SINKING UP TO LEVEL 13.STOPPED ON JUNE 6,2022 MANPOWER SURRENDERED DUE TO INEVITABLE FLOWING OF WATER.</t>
  </si>
  <si>
    <t>REPLACEMENT OF L04_CV_030W_DW_ISL, APPROVED ON JUNE 2, 2022.STOPPED ON JUNE 6, 2022, WILL MERGE INTO THE MAINLINE.</t>
  </si>
  <si>
    <t>L04_CTV_023W_ROBBING</t>
  </si>
  <si>
    <t>L04_CV_025W_ROBBING</t>
  </si>
  <si>
    <t xml:space="preserve">REPLACEMENT OF L06_JVHW_057E_WINZE. APPROVED ON APRIL 20, 2022. TOPSLICE.STOPPED ON JUNE 6, 2022 CONSECUTIVE LOW Q/A / QC ASSAY GRADE ON BULK &amp; TO BE CONVERTED INTO SILL PILLAR. </t>
  </si>
  <si>
    <t>REPLACEMENT OF L06_DPVE_060E_DE. APPROVED ON MAY 25 2022. EXPLORATORY RAISE.STOPPED ON JUNE 6, 2022 PINCHED OUT VEIN.</t>
  </si>
  <si>
    <t>REPLACEMENT OF L06_DPVE_042E_DW. APPROVED ON MAY 16, 2022.STOPPED ON JUNE 6, 2022 LOW QA/QC ASSY GRADE</t>
  </si>
  <si>
    <t>REPLACEMENT OF L09_GHVFW_050E_STOPE PREP ON JAN.25,2022.ALREADY DONE STOPE BREAKING, DONE STOPE TRAVERSE, CONVERT TO PULL OUT CLEANING ON MAY 17, 2022.STOPPED PULL OUT CLEANING ON JUNE 7, 2022. WITH REMAINING MINE CARS ABOVE SILL PILLARS, DID NOT ATTAIN 90% ALLOWABLE PULL OUT, FOR PENALTY ON RETENTION.</t>
  </si>
  <si>
    <t>REPLACEMENT OF L09_DPVE_030E_STOPE PREP ON MARCH 28, 2022.STOPPED BREAKING ON JUNE 6, 2022, AT THE SAME TIME CONVERT TO PULL OUT CLEANING.</t>
  </si>
  <si>
    <t>L08_NONE_026E_REHAB</t>
  </si>
  <si>
    <t>REHAB</t>
  </si>
  <si>
    <t xml:space="preserve"> REPLACEMENT OF L09_NONE_082E_XCS. APPROVED ON MAY 4, 2022.TEMP. STOPPED ON JUNE 7, 2022 TO PRIORITIZE ROBBING HEADING.</t>
  </si>
  <si>
    <t>L06_JV_027E_ROBBING</t>
  </si>
  <si>
    <t>REPLACEMENT OF L05_CTV_027E_WINZE_STOPE PREP. STOPE BREAKING. APPROVED ON APRIL 6 2022. JUSTIFICATION FOR ITS LOW DIPPING AT 36 DEGREES FROM ITS FLOOR UP TO ITS CURRENT BACK ON MAY 2, 2022. STOPPED ON JUNE 6,2022 ALREADY MINED OUT. STOPE TRAVERSED ON JUNE 6,2022.</t>
  </si>
  <si>
    <t>REPLACEMENT OF L10_GHVHW_049E_STOPE PREP. APPROVED ON JANUARY 31,2022.STOPPED ON JUNE 6,2022 LOW GRADE IPR'S AT THE SAME TIME CONVERT TO PULL OUT CLEANING. ALREADY TRAVERSED ON JUNE 7,2022.</t>
  </si>
  <si>
    <t>REPLACEMENT OF L05_JV_026E_WINZE STOPE PREP. APPROVED ON APRIL 13,2022.stopped on may 5, 2022.RESUMED ON MAY 10, 2022 AND TRANSFERRED FROM MAPAYO 1 TO PANCIT, NOEL 5. BY MANAGEMENT DECISION MAPAYO WAS TRANSFERRED TO L11. STOPPED ON JUNE 7, 2022 AT THE SAME TIME CONVERTED TO PULL OUT CLEANING. ALREADY TRAVERSED ON JUNE 6,2022.</t>
  </si>
  <si>
    <t>REPLACEMENT OF L10_DPVE_012E_RAISE. APPROVED ON MARCH 29,2022.STOPPED ON MAY 2, 2022, FOR IT IS DRIVING TOWARDS THE EXCLUSION ZONE OF THE PUMP STATION.RESUMED ON MAY 17,2022.STOPPED ON JUNE 8,2022 CONVERT TO ON VEIN</t>
  </si>
  <si>
    <t>REPLACEMENT OF L09_NONE_056E_XCS. APPROVED ON DEC 11, 2021.TEMP STOPPED ON JAN 26, 2022 TO DO FOLLOW UP RAISE. RESUMED ON JANUARY 29,2022.TEMP STOPPED ON FEB.28, 2022 TP PRIORITIZE STOPE PREP.RESUMED ON APR 1, 2022 AT THE SAME TIME TRANSFERRED FROM PANSIT 4 TO DELOS REYES 1.STOPPED ON JUNE8, 2022. VEIN PINCHED OUT.</t>
  </si>
  <si>
    <t>L10_GHVFW_005E_DW</t>
  </si>
  <si>
    <t>REPLACEMENT OF L09 DPVE 020E RAISE. APPROVED ON JUNE 2, 2022.STOPPED ON JUNE8, 2022. VEIN PINCHED OUT.</t>
  </si>
  <si>
    <t>L09_DPVE_056E_STOPE PREP</t>
  </si>
  <si>
    <t>L09_DPVE_083E_ROBBING</t>
  </si>
  <si>
    <t>REPLACEMENT OF L04_EDV_018W_DE_ISL. APPROVED ON APRIL 6 2022.STOPPED ON JUNE 9, 2022 DUE TO CONSECUTIVE LOW ASSAY GRADES ON CUT SAMPLES/BULK SAMPLE.</t>
  </si>
  <si>
    <t>REPLACEMENT OF L10_GHV_066E_STOPE PREP APPROVED ON NOVEMBER 21, 2021.STOPPED BREAKING AND CONVERT TO PULL OUT CLEANING ON JUNE 8,2022.</t>
  </si>
  <si>
    <t>CROSSCUT TARGETING RESOURCE AND RESERVE BLOCKS. APPROVED ON MARCH 23,2022. TEMPORARY STOPPED ON JUNE 6,2022 TO PRIORITIZED ON VEIN DRIVE</t>
  </si>
  <si>
    <t>REPLACEMENT OF L10_DPVE_047E_STOPE PREP. START BREAKING ON MAY 20,2021. NOTIFIED ON MAY 27,2021. STOPPED BREAKING ON APRIL 8,2022 STOPE TRAVERSE ON APRIL 9,2022 AT THE SAME TIME CONVERT TO PULL OUT CLEANING. STOPPED ON JUNE 9,2022 ALREADY MINED OUT.</t>
  </si>
  <si>
    <t>REPLACEMENT OF L10_DPVE_090E_RAISE. APPROVED ON MAY 11,2022.STOPPED ON JUNE 9,2022 APPROACHING TO EXCLUSION ZONE OF 35E SHAFT.</t>
  </si>
  <si>
    <t>REPLACEMENT OF L08 NONE 057E XCN. APPROVED ON MAY 30, 2022.ALREADY DONE STOPE PREPARATION ON JUNE 7, 2022. CONVERT TO STOPE BREAKING</t>
  </si>
  <si>
    <t>L08_DPVE_057E_STOPE</t>
  </si>
  <si>
    <t>ADDITIONAL SOURCE OF GOOD ORE. APPROVED ON OCTOBER 24, 2021.RENAME FROM L09_GHV_004E_ROBBING TO L09_GHV_003E_ROBBING ON OCT.29,2021. MIND OUT ON JUNE 7, 2022</t>
  </si>
  <si>
    <t xml:space="preserve">REPLACEMENT OF L06_CTV_010W_ROBBING. APPROVED ON 5/27/22. CONVERTED TO topslice ON 6/1/2022. STOPPED ON 6/9/2022 DUE TO LOW ASSAY GRADES ON GRAB  AND BULK SAMPLES. </t>
  </si>
  <si>
    <t>REPLACEMENT  OF L06 JV 019E DW ISL, APPROVED ON FEB 9, 2022 CROWN PILLAR ROBBING.STOPPED ON 6/9/2022 DUE TO LOW ASSAY GRADES ON GRAB  AND BULK SAMPLES.</t>
  </si>
  <si>
    <t>L06_CTV_004E_ROBBING</t>
  </si>
  <si>
    <t>L10_JVHW_044E_RAISE</t>
  </si>
  <si>
    <t>L06_JV_020E_ROBBING</t>
  </si>
  <si>
    <t xml:space="preserve">SHEPHERD AA1 </t>
  </si>
  <si>
    <t xml:space="preserve">L04_CV_009W_WINZE </t>
  </si>
  <si>
    <t>REPLACEMENT OF L09_DPVE_022E_DE. APPROVED ON MAY 22,2022.STOPPED ON JUNE 9, 2022 VEIN PINCHED OUT</t>
  </si>
  <si>
    <t>L10_JVHW_046E_STOPE</t>
  </si>
  <si>
    <t>REPLACEMENT OF L10_JVHW_050E_RAISE. APPROVED ON MAY 20,2022.STOPPED ON JUNE 9, 2022 AND CONVERT TO BREAKING.</t>
  </si>
  <si>
    <t>L09_DPVE_080E_WINZE</t>
  </si>
  <si>
    <t>L05_JVHW_005E_RAISE</t>
  </si>
  <si>
    <t>L04_GHVFW_008W_DE_ISL</t>
  </si>
  <si>
    <t>SHEPHERD AR1</t>
  </si>
  <si>
    <t>L09_DPVE_081E_DE</t>
  </si>
  <si>
    <t>L06_JVFW_007W_STOPE</t>
  </si>
  <si>
    <t>REPLACEMENT OF L06 JVSPLIT 004W RAISE. APPROVED ON MAY 30, 2022. STOPPED ON JUNE 12, 2022. CONVERT TO BREAKING.</t>
  </si>
  <si>
    <t>L06_GHV_003W_STOPE PREP</t>
  </si>
  <si>
    <t>L09_GHV_033E_WINZE STOPE</t>
  </si>
  <si>
    <t>REPLACEMENT OF L09_GHV_033E_DE_ISL. APPROVED ON MAY 12, 2022.CONVERT TO BREAKING ON JUNE 10, 2022.</t>
  </si>
  <si>
    <t>L09_GHVHW_002E_DW</t>
  </si>
  <si>
    <t xml:space="preserve">REPLACEMENT OF L09_DPVE2_024E_STOPE PREP APPROVED ON SEPT.20, 2021.IPR DONE. TEMPORARILY STOPPED ON JUNE 13 2022. FOR 2 DAYS WHILE AWAITING CUT SAMPLE RESULTS. </t>
  </si>
  <si>
    <t>REPLACEMENT OF L08_GHVSPLIT_006W_ROBBING. APPROVED ON JULY 29,2021.RENAME FROM L08_GHVHW_004W_DW_ISL TO L08_GHV_004W_DW_ISL ON OCT.1,2021.RESUMED ON JUNE 2, 2022. STOPPED ON JUNE 13, 2022 SINCE IT WAS ALREADY CONNECTED TO OLD RAISE OF LEVEL 9.</t>
  </si>
  <si>
    <t>REPLACEMENT OF L08_JV_032E_WINZE. APPROVED ON FEB 27, 2022. STOPPED ON APRIL 21, 2022.RESUMED ON MAY 25, 2022 AT THE SAME TIME RENAME FROM  L08_DPVE_032E_DE_ISL TO L08_JV_032E_DE_ISL. STOPPED ON JUNE 13, 2022 ALREADY REACHED THE RECOMMENDED STRIKE LENGTH.</t>
  </si>
  <si>
    <t>L08_JV_032E_DW_ISL</t>
  </si>
  <si>
    <t>L09_JV_045E_STOPE</t>
  </si>
  <si>
    <t>ADDITIONAL GOOD SOURCE OF ORE (SHORT STOPE). APPROVED ON MAY 30, 2022.STOPPED ON JUNE 13, 2022</t>
  </si>
  <si>
    <t>L08_GHVFW_056E_WINZE</t>
  </si>
  <si>
    <t>REPLACEMENT OF L05_CTV_027E_WINZE STOPE. APPROVED ON JUNE 6,2022. TOPSLICE WITH AIRHOIST.STOPPED ON JUNE 14, 2022 DUE TO CONSECUTIVE LOW ASSAY GRADES ON CUT/BULK SAMPLES.</t>
  </si>
  <si>
    <t>REPLACEMENT OF L05_JVFW_030E_DW.APPROVE ON MAY 21, 2022.STOPPED ON JUNE 14, 2022 DUE TO CONSECUTIVE LOW ASSAY GRADES ON CUT/BULK SAMPLES.</t>
  </si>
  <si>
    <t>L05_JVFW_031E_RAISE</t>
  </si>
  <si>
    <t>TEMPORARY REPLACEMENT OF L06_JV_028E_WINZE. APPROVED ON 6/7/2022.STOPPED ON 6/14/2022 LOW ASSAY GRADE.</t>
  </si>
  <si>
    <t>ADDITIONAL SOURCE OF GOOD ORE. APPROVED ON MAY 4, 2022. SILL.STOPPED ON 6/14/2022  CONSECUTIVE LOW ASSAY GRADE</t>
  </si>
  <si>
    <t>REPLACEMENT OF L06 JVFW 003W DW. APPROVED ON MAY 30, 2022. (TOPSLICE).STOPPED ON 6/14/2022 CONSECUTIVE LOW ASSAY GRADE</t>
  </si>
  <si>
    <t>L09_GHV_003W_DW_ISL</t>
  </si>
  <si>
    <t>003w</t>
  </si>
  <si>
    <t>L09_GHV_003w_DW_ISL</t>
  </si>
  <si>
    <t>L06_JVHW_064E_ROBBING</t>
  </si>
  <si>
    <t>L06_JVHW_016E_ROBBING</t>
  </si>
  <si>
    <t xml:space="preserve">REPLACEMENT OF L08_GHVSPLIT_037E_WINZE STOPE PREP. APPROVED ON APRIL 26, 2022.STOPPED BREAKING ON JUNE 14, 2022 AND NOT CONVERTED TO PULL-OUT DUE TO LOW CONSECUTIVE ASSAY GRADE. </t>
  </si>
  <si>
    <t>REPLACEMENT OF L05_JV_026E_WINZE STOPE PREP. APPROVED ON APRIL 13,2022.stopped on may 5, 2022.RESUMED ON MAY 10, 2022 AND TRANSFERRED FROM MAPAYO 1 TO PANCIT, NOEL 5. BY MANAGEMENT DECISION MAPAYO WAS TRANSFERRED TO L11. STOPPED ON JUNE 7, 2022 AT THE SAME TIME CONVERTED TO PULL OUT CLEANING. ALREADY TRAVERSED ON JUNE 6,2022.STOPPED ON JUNE 15, 2022 DUE TO CONSECUTIVE LOW ASSAY GRADES ON CUT/BULK SAMPLES.</t>
  </si>
  <si>
    <t>REPLACEMENT OF L04_GHVFW_019E_ROBBING. APPROVED ON MAY 27 2022. SILL.STOPPED ON JUNE 16, 2022 DUE TO CONSECUTIVE LOW ASSAY GRADES ON CUT SAMPLES/BULK SAMPLES.</t>
  </si>
  <si>
    <t>L07_JVSPLIT_015W_DW</t>
  </si>
  <si>
    <t>REPLACEMENT OF L05_JVSPLIT_015W_DW_ISL. APPROVED ON MAY 17 2022.TEMPORARILY STOPPED ON MARCH 19 2022. NO ADVANCE YET. CLEANING. RESUME ON MAY 20, 2022. LACKED ISL IDENTIFICATION. ON MAY 29 2022.STOPPED ON JUNE 13, 2022, ALREADY MADE A BREAKTHROUGH, FINISHED HEADING.</t>
  </si>
  <si>
    <t>L05_JV_025E_ROBBING</t>
  </si>
  <si>
    <t>L07_JVSPLIT_015W_DW_ISL</t>
  </si>
  <si>
    <t>L05_JVSPLIT_016W_WINZE STOPE PREP</t>
  </si>
  <si>
    <t>L10_DPVE_086E_DW</t>
  </si>
  <si>
    <t>REPLACEMENT ON L09_DPVE_035E_STOPE_PREP APPROVED ON MARCH 7, 2022.STOPPED BREAKING ON JUNE 17, 2022 AS WELL AS CONVERT TO PULL-OUT.</t>
  </si>
  <si>
    <t>L04_GHVFW_016E_ROBBING</t>
  </si>
  <si>
    <t>L12_NONE_057E_XCS</t>
  </si>
  <si>
    <t>ADDITIONAL SOURCE OF GOOD ORE. APPROVED ON MARCH 16, 2022. TEMPORARILY STOPPED DUE TO LACK OF MANPOWER ON APRIL 23, 2022.RESUMED ON APRIL 26, 2022 AS WELL AS TRANSFERRED FROMSHEPHERD AQ 3 TO ANDILAB 1.RENAMED FROM L04_GHVFW_027W_ROBBING TO L04_GHVSPLIT_027W_ROBBING ON MAY 3, 2022.TRANSFERRED FROM ANDILAB 1 TO MARTINEZ, RON 2 ON MAY 23 2022.CONVERTED TO SILL ON MAY 26 2022. FINISHED ROBBING ON JUNE 14, 2022.</t>
  </si>
  <si>
    <t>L05_JVHW_006W_STOPE</t>
  </si>
  <si>
    <t>REPLACEMENT OF L05_JVHW_006W_RAISE. APPROVED ON MAY 30 2022. STOPE PREP. STOPPED STOPE PREP AND CONVERT TO BREAKING ON JUNE 17, 2022.</t>
  </si>
  <si>
    <t>REPLACEMENT OF L05_JV_019E_DE APPROVED APRIL 25, 2022.TEMPORARY STOPPED ON MAY 16,2022 TO PRIORITIZED ROBBING .RESUMED ON MAY 18,2022. STOPPED ON JUNE 13, 2022 ALREADY REACHED THE RECOMMENDED HEIGHT.</t>
  </si>
  <si>
    <t>L09_JV_074E_ROBBING</t>
  </si>
  <si>
    <t>L11_GHVHW_057E_DW</t>
  </si>
  <si>
    <t>DUHIG P2</t>
  </si>
  <si>
    <t>ADDITIONAL HORIZONTAL DEVELOPMENT. APPROVED ON FEBRUARY 22,2022.TRANSFERRED FROM DUHIG P1 TO CARIKITAN. STARTING ON APRIL 22, 2022.TRANSFER FROM CARIKITAN 1 TO DUHIG, P2 ON MAY 16,2022 SWAPPING OF TEAM LEADERS DUE TO AVAILABILITY OF EQUIPMENT.STOPPED ON JUNE 20, 2022 DUE TO VEIN PINCHED OUT.</t>
  </si>
  <si>
    <t>REPLACEMENT OF L10_JVFW_057E_RAISE. APPROVED ON MAY 24,2022.TEMPORARY STOPPED ON JUNE 20, 2022 TO PRIORITIZE THE SPLIT VEIN.</t>
  </si>
  <si>
    <t xml:space="preserve"> REPLACEMENT OF L04_CV_004W_ROBBING. APPROVED ON MAY 3, 2022. SILL.TRANSFERRED FRAM MARTINEZ RON 2 TO SHEPHERD AQ 2 ON MAY 23 2022. STOPPED ON JUNE 18, 2022, ALREADY REACHED THE RECOMMENDED STRIKE LENGTH/CROWN PILLAR.</t>
  </si>
  <si>
    <t>REPLACEMENT OF L09 DPVE 085E DE, APPROVED ON JUNE 8, 2022.(SILL ROBBING).STOPPED AND MINED-OUT ON JUNE 20, 2022 ALREADY REACHED THE RECOMMENDED STRIKE LENGTH.</t>
  </si>
  <si>
    <t>REPLACEMENT OF L04_CV_007E_DW. APPROVED ON JUNE 16, 2022.TEMPORARY STOPPED ON JUNE 20, 2022 TO PRIORITIZE THE OTHER DEVELOPMENTS AND LESSEN THE TRAFFIC OF THE MINE CARS.</t>
  </si>
  <si>
    <t>L10_DPVE_078E_RAISE</t>
  </si>
  <si>
    <t>L11_GHVHW_065E_STOPE</t>
  </si>
  <si>
    <t>ADDITIONAL SOURCE OF GOOD ORE. APPROVED ON MAY 16,2022.STOPPED ON JUNE 18.</t>
  </si>
  <si>
    <t>REPLACEMENT OF L06_NONE_058E_XCN. APPROVED ON JUNE 3, 2022.STOPPED ON JUNE 20, 2022 DUE TO CONSECUTIVE LOW ASSAY GRADES ON CUT SAMPLES/BULK SAMPLES.</t>
  </si>
  <si>
    <t>L04_GHVFW_024W_ROBBING</t>
  </si>
  <si>
    <t>REPLACEMENT OF L10_NONE_080E_XCN. APPROVED ON JUNE 18, 2022.STOPPED ON 6/21/2022 DUE TO PINCHING OUT OF VEIN.</t>
  </si>
  <si>
    <t>L10_DPVE_086E_DE</t>
  </si>
  <si>
    <t xml:space="preserve">OLIVEROS 4 </t>
  </si>
  <si>
    <t>ADDITIONAL VERTICAL DEVELOPMENT. APPROVED ON MAY 16,2022. STOPPED ON 6/21/2022 ALREADY REACHED THE RECOMMENDED LENGTH.</t>
  </si>
  <si>
    <t>L08_NONE_020E_SUMP</t>
  </si>
  <si>
    <t>L04_CV_006E_STOPE</t>
  </si>
  <si>
    <t xml:space="preserve">L04_CV_006E_STOPE </t>
  </si>
  <si>
    <t>REPLACEMENT OF L04_CV_006E_DE . APPROVED ON MAY 23 2022.STOPPED ON JUNE 22 2022.</t>
  </si>
  <si>
    <t xml:space="preserve">TARGETING DPVE RESERVE BLOCKS, APPROVED ON APRIL 23, 2022.STOPPED ON JUNE 18, 2022.
</t>
  </si>
  <si>
    <t>L07_JV_041E_DW_ISL</t>
  </si>
  <si>
    <t>REPLACEMENT OF L08_JVFW_068E_ROBBING, APPROVED ON MAY 18, 2022. TEMPORARY STOPPED ON MAY 28,2022 DUE TO ABSENTEEISM. RESUMED ON MAY 30,2022 (1ST SHIFT).STOPPED ON 6/22/2022 ALREADY REACHED RECOMMENDED ELEVATION.</t>
  </si>
  <si>
    <t>L04_CV_004E_DE</t>
  </si>
  <si>
    <t>REPLACEMENT OF L08 JV 012W DE. APPROVED ON MAY 31, 2022.STOPPED ON JUNE 23, 2022 ALREADY REACHED THE RECOMMENDED ELEVATION.</t>
  </si>
  <si>
    <t>REPLACEMENT OF L09 GHVFW 046E STOPE. APPROVED ON MAY 30, 2022.STOPPED STOPE PREP ON JUNE 18, 2022</t>
  </si>
  <si>
    <t>L09_DPVE_053E_STOPE</t>
  </si>
  <si>
    <t>L07_GHVHW_043E_WINZE</t>
  </si>
  <si>
    <t>REPLACEMENT OF L10_DPVE_036E_STOPE PREP APPROVED ON SEPTEMBER 13,2021. STOPPED ON MARCH 5, 2022 AT THE SAME TIME CONVERT TO PULL OUT CLEANING.temp stopped on arpil 29, 2022 to prioritize L10_DPVE_024E_STOPE PREP.RESUMED ON MAY 12,2022.MINED-OUT ON JUNE 19, 2022 WITH 94% PULL-OUT CLEANING.</t>
  </si>
  <si>
    <t>REPLACEMENT OF L10_DPVE_039E_STOPE PREP APPROVED ON APRIL 13, 2021.STOPPED ON MARCH 2, 2022. CONVERTED TO PULL OUT CLEANING ON MARCH 2, 2022.STOPPED ON JUNE 9,2022 ALREADY MINED OUT.</t>
  </si>
  <si>
    <t>REPLACEMENT OF L10_GHV_059E_STOPE PREP.APPROPVED ON JULY 20, 2021.TEMPARARY STOPPED ON 8/18/21 UNSAFE CONDITION.  RESUMED BREAKING ON AUGUST 30,2021.TEMPORARY STOPPED ON DECEMBER 14,2021 ABANDONMENT OF WORKING PLACE.RESUMED ON JAN 7, 2022. STOPPED BREAKING AND CONVERTED TO PULL-OUT ON MARCH 7, 2022 AT THE SAME TIME CONVERTED TO PULL-OUT 2.MINED OUT ON MAY 18,2022.</t>
  </si>
  <si>
    <t>REPLACEMENT OF L10_JVS_071E_STOPE.APPROVED ON MAY 28, 2021 NOTIFIED ON JUNE 1, 2021. STOPPED ON DECEMBER 3, 2021 AT THE SAME TIME CONVERT TO PULL OUT. RECOMMENDED CONTROL PULL OUT EVALUATE ON 1/22/22. TEMPORARY STOPPED ON FEBRUARY 5,2022. RESUMED ON FEBRUARY 11, 2022. STOPPED ON FEBRUARY 17,2022 ALREADY MINED OUT.</t>
  </si>
  <si>
    <t>REPLACEMENT OF L10_DPVE_067E_STOPE PREP ON SEPT.22,2021. STOPPED BREAKING ON NOVEMBER 16,2021 CONVERT TO PULL OUT CLEANING ALREADY DONE TRAVERSE.CONVERTED TO PULL OUT  ON NOVEMBER 16, 2021.TEMPORARY STOPPED ON NOVEMBER 29,2021 DECLARED MINED OUT BUT WAITING FOR THE FINAL BILLING OF BREAKING. MNED OUT PERMANENTLY ON NOVEMBER 27,2021</t>
  </si>
  <si>
    <t>REPLACEMENT OF L10_DPVE_031E_STOPE PREP. APPROVED ON DEC. 9 2020.TEMPORARY STOPPED BREAKING ON APRIL 21 2021, APPROACHING TO MAGAZINE CONVERT TO PULL OUT CLEANING.TEMP. STOPPED ON May 21,2021 waiting to transfer explosive magazine at Level 9.CONVERTED TO PULL-OUT CLEANING ON NOV. 11, 2021. STOPPED ON NOVEMBER 25, 2021. MINED OUT.</t>
  </si>
  <si>
    <t>ADDITIONAL SOURCE OF GOOD ORE RESERVE BLOCKS APPROVED ON MARCH 17, 2021.CONVERT TO ACTIVE BREAKING ON APRIL 7, 2021.TEMP STOPPED ON APRIL 8, 2021 REHAB MANWAY. Resumed on April 9,2021. STOPPED BREAKING ON OCTOBER 23,2021 CONVERT TO PULL OUT CLEANING.CONVERTED TO PULL-OUT CLEANING ON NOV. 11, 2021. STOPPED ON NOVEMBER 25, 2021. MINED OUT.</t>
  </si>
  <si>
    <t>REPLACEMEMENT OF L10_GHVHW_069E_DE.APPROVED ON MAY 4, 2021.stopped on June 9,2021 convert to active breaking.TRANSFER FROM MONTEBON 2 TO OLIVEROS 3 TO PRIORITIZED DEVELOPMENT HEADINGS AT GHVFW AREA ON JUNE 23,2021. STOPPED ON AUGUST 3, 2021 CONVERTED TO PULL-OUT CLEANING STOPPED BREAKING.CONVERTED TO PULL OUT CLEANING STOPPED BREAKING ON AUGUST 3, 2021. STOPPED ON AUGUST 23, 2021 MINED OUT.</t>
  </si>
  <si>
    <t>L10_GHVFW_004E_RAISE</t>
  </si>
  <si>
    <t>L10_NONE_012E_XCN</t>
  </si>
  <si>
    <t>L04_CV_005E_DW</t>
  </si>
  <si>
    <t>L06_JVHW_005W_DW</t>
  </si>
  <si>
    <t>REPLACEMENT OF L08_JV_032E_DE_ISL. APPROVED ON JUNE 13, 2022.STOPPED ON JUNE 24, 2022 ALREADY REACHED THE RECOMMENDED STRIKE LENGTH.</t>
  </si>
  <si>
    <t>REPLACEMENT OF L10_DPVE_026E_STOPE. APPROVED ON APRIL 20,2022.TEMPORARY STOPPED ON MAY 26,2022 NOTIFIED ON MAY 28,2022 TO FOLLOW UP RAISE.RESUMED ON JUNE 1,2022. STOPPED ON JUNE 24, 2022 DUE TO LOW CONSECUTIVE ASSAY GRADE</t>
  </si>
  <si>
    <t>L10_NONE_028E_XCN</t>
  </si>
  <si>
    <t>L08_GHVSPLIT_025E_RAISE</t>
  </si>
  <si>
    <t>L06_JVHW_005W_RAISE</t>
  </si>
  <si>
    <t>L06_JVHW_004W_DW</t>
  </si>
  <si>
    <t>REPLACEMENT OF L06_GHV_025E_DW_ISL. APPROVED ON APRIL 1 2022.TEMPORARILY STOPPED TO PRIORITIZE L06_DPVE_064E_RAISE ON MAY 25 2022.RESUMED ON MAY 30, 2022 ALREADY DONE RAISE PREP.RESUME ON 6/9/2022. STOPPED ON JUNE 25, 2022, ALREADY REACHED THE RECOMMENDED STRIKE LENGTH AND DUE TO CONSECUTIVE LOW ASSAY GRADES ON CUT SAMPLES/BULK SAMPLES.</t>
  </si>
  <si>
    <t>REPLACEMENT OF L06_NONE_042E_XCN. APPROVED ON APRIL 5 2022.TEMPOR ARY STOPPED ON MAY 16, 2022 TO PRIORITIZED RAISE.RESUMED ON MAY 19, 2022.TEMPORARY STOPPED ON 6/6/2022. TO PRIORITIZE RAISE EXCAVATION.RESUME ON 6/9/2022.TRANSFER FROM BAÑEZ TO CARIKITAN 2 ON 6/21/2022. STOPPED ON JUNE 25, 2022, DUE TO CONSECUTIVE LOW ASSAY GRADES ON CUT SAMPLES/BULK SAMPLES.</t>
  </si>
  <si>
    <t>REPLACEMENT OF L06_JVFW_006W_RAISE . APPROVED ON MAY 20,2022.STOPPED ON JUNE 24, 2022. ALREADY BREAKTHROUGH.</t>
  </si>
  <si>
    <t>L10_GHVSPLIT_007E_DE</t>
  </si>
  <si>
    <t>REPLACEMENT OF L08_JV_074E_WINZE STOPE PREP ON MARCH 9, 2022.ALREADY DONE STOPE BREAKING, CONVERT TO PULL OUT CLEANING ON MAY 23, 2022.STOPPED ON JUNE 25, 2022, FINISHED HEADING.</t>
  </si>
  <si>
    <t xml:space="preserve">REPLACEMENT OF L08 DPVE 001W RAISE, APPROVED ON MAY 20, 2022.RENAME FROM L08_DPVE_003E_DE TO L08_DPVE_002E_DE to avoid mischarging, renamed on MAY 21, 2022.STOPPED ON JUNE 25, 2022, ALREADY MADE A BREAKTHROUGH.
</t>
  </si>
  <si>
    <t>REPLACEMENT OF L08_GHVFW_003W_WINZE STOPE. APPROVED ON MAY 27, 2022.STOPPED ON JUNE 25, 2022 ALREADY FINISHED HEADING</t>
  </si>
  <si>
    <t>REPLACEMENT OF L06_JVHW_006W_DW. APPROVED ON JUNE 24, 2022.STOPPED ON 6/27/2022. PINCHED OUT VEIN.</t>
  </si>
  <si>
    <t>L10_DPVE_059E_STOPE PREP</t>
  </si>
  <si>
    <t>START RECOVERY OF OLD MUCK FROM L10 GHV 070E STOPE ON OCT 26, 2021.TEMP.STOPPED ON JAN.25, 2022.RESUMED ON MAY 20,2022.STOPPED ON JUNE 27, 2022 ALREADY REACHED THE RECOMMENDED STRIKE LENGTH.</t>
  </si>
  <si>
    <t xml:space="preserve"> REPLACEMENT OF L10_DPVE_016E_DW. APPROVED ON MAY 26,2022. STOPPED ON JUNE 27, 2022 DUE TO CONSECUTIVE LOW ASSAY GRADE.</t>
  </si>
  <si>
    <t>REPLACEMENT OF L05_JV_022E_DW. APPROVED ON MARCH 11, 2022.TEMPORARILY STOPPED ON APRIL 26, 2022 DUE TO RAISE PREPARATION.RESUMED ON MAY 3, 2022. TEMPORARY STOPPED ON JUNE 1,2022 DELAY BY FOLLOW UP RAISE.RESUMED ON JUNE 7 2022 AS REPLACEMENT OF L05_JV_022E_RAISE.STOPPED ON JUNE 20, 2022, PINCHED OUT VEIN.</t>
  </si>
  <si>
    <t>L05_JVHW_005E_DW</t>
  </si>
  <si>
    <t>L06_JV_029W_DE</t>
  </si>
  <si>
    <t xml:space="preserve">REPLACEMENT OF L09_DPVE_086E_DW. APPROVED ON JUNE 10, 2022. STOPPED ON JUNE 28,2022 DUE TO BREAKTHROUGH TO ADJACENT MAINLINE.
</t>
  </si>
  <si>
    <t>REPLACEMENT OF L09_GHV_004E_WINZE. TARGETING RESOURCE BLOCKS. APPROVED ON MAY 11,2022. STOPPED ON JUNE 28,2022 CONVERT TO ON VEIN.</t>
  </si>
  <si>
    <t>L09_DPVE_081E_DW</t>
  </si>
  <si>
    <t>L09_JV_004E_DW</t>
  </si>
  <si>
    <t>REPLACEMENT OF L09 DPVE 031E RAISE. APPROVED ON JUNE 8, 2022.STOPPED ON JUNE 23,2022 ALREADY FINISHED STOPE PREPARATION.</t>
  </si>
  <si>
    <t>L09_DPVE_056E_STOPE</t>
  </si>
  <si>
    <t>REPLACEMENT OF L08 JVFW 023E DW. APPROVED ON JUNE 1, 2022.STOPPED ON JUNE 27,2022 DUE TO SAFETY ISSUE ON THE EXCLUSION ZONE OF CHAMBER AT LEVEL 7.</t>
  </si>
  <si>
    <t>L08_JVFW_027E_RAISE</t>
  </si>
  <si>
    <t>L08_JV_075E_DE_ISL</t>
  </si>
  <si>
    <t>L10_DPVE_022E_STOPE PREP</t>
  </si>
  <si>
    <t>L05_GHVFW_010E_DE</t>
  </si>
  <si>
    <t>L03_RYV_003W_DE</t>
  </si>
  <si>
    <t>RYV</t>
  </si>
  <si>
    <t xml:space="preserve">FERNANDEZ, RE </t>
  </si>
  <si>
    <t>L06_DPVE_012E_WINZE</t>
  </si>
  <si>
    <t xml:space="preserve">REPLACEMENT OF L11_NONE_048E)_XCN ON May 1, 2021. TEMPORARY STOPPED ON JUNE 22,2021 TO FOLLOW UP RAISE.Resume on July 13,2021. TEMPORARY stopped ON AUGUST 5,2021 TO PRIORITIZED CROSSCUT FOR DEFINITION DRILLING.RESUMED ON AUGUST 31,2021. TEMPORARY STOPPED ON SEPTEMBER 8,2021 DUE TO TROUBLE AT 35E SHAFT.RESUMED ON SEPTEMBER 13,2021. TEMP STOPPED ON OCT 6, 2021 DUE TO DRILLING ACTIVITY. RESUMED ON MAY 21,2022.STOPPED ON JUNE 29, 2022 DUE TO PINCHED OUT VEIN.
</t>
  </si>
  <si>
    <t>L08_GHV_024E_ROBBING</t>
  </si>
  <si>
    <t>REPLACEMENT OF L09_DPVE_086E_DW. APPROVED ON MAY 5, 2022.TEMPORARY STOPPED ON MAY 11,2022 FOR FOLLOW UP ONLY TO RESUME HORIZONTAL DRIVE.RESUMED ON MAY 30, 2022 AT THE SAME TIME TRANSFER WORKING PLACE FROM DELOS REYES V2 TO PANSIT, NORMAN 1. SAME MANPOWER WITH L09_GHVFW_050E_STOPE BUT TO PRIORITIZE STOPE PULL OUT.TEMPORARY STOPPED ON MAY 31,2022.RESUMED ON JUNE 7, 2022 AT THE SAME TIME TRANSFERRED FROM DELOS REYES TO PANSIT, NORMAN 1.
STOPPED ON JUNE 29, 2022 ALREADY REACHED THE RECOMMENDED STOPE</t>
  </si>
  <si>
    <t>REPLACEMENT OF L05 CTV 023W ROBBING. APPROVED AUGUST 6, 2021.stopped on oct.4,2021 finished heading.RESUMED ON MAY 16,2022 AT THE SAME TIME TRANSFER FROM SHEPHERD AF 2 TO FERNANDEZ, RG 2 SILL.RENAMED VEIN FROM CTV TO L05_JVHW_018W_ROBBING ON MARCH 19 2022. WRONG VEIN. STOPPED ON JUNE 29, 2022 ALREADY REACHED THE RECOMMENDED STRIKE LENGTH.</t>
  </si>
  <si>
    <t>REPLACEMENT OF L05_JVHW_005E_DE. APPROVED ON JUNE 11, 2022. STOPPED ON JUNE 25, 2022 DUE TO PINCHED OUT OF VEIN</t>
  </si>
  <si>
    <t>REPLACEMENT OF L09_GHVFW_027E_ROBBING. APPROVED ON MARCH 22,2022. CROWN PILLAR ROBBING W/O AIRHOIST.TEMP STOPPED ON MAR 25, 2022. MAINLINE REHAB ON GOING.RESUMED PILLAR BREAKING ON MAR 28, 2022.ALREADY DONE BREAKING TOPSLICE, CONVERT TO SILL PILLAR ROBBING ON MAY 30, 2022.STOPPED ON JUNE 29,2022 ALREADY FINISHED ROBBING.</t>
  </si>
  <si>
    <t>L09_JV_068E_ROBBING</t>
  </si>
  <si>
    <t>L07_GHVSPLIT_056E_DW</t>
  </si>
  <si>
    <t>REPLACEMENT OF L09_GHV_049E_STOPE PREP. APPROVED ON APRIL 28, 2022.TEMPORARY STOPPED ON JUNE 30, 2022 DUE TO UNSAFE CONDITION.</t>
  </si>
  <si>
    <t>L09_DPVE_085E_RAISE</t>
  </si>
  <si>
    <t>REPLACEMENT OF L09_DPVE_030E_STOPE PREP ON MARCH 28, 2022.STOPPED BREAKING ON JUNE 6, 2022, AT THE SAME TIME CONVERT TO PULL OUT CLEANING.STOPPED ON JUNE 29, 2022, ALREADY MINED OUT WITH 104% PULLOUT.</t>
  </si>
  <si>
    <t>REPLACEMENT OF L10_DPVE_025E_STOPE PREP APPROVED ON FEB.22, 2022. TEMPORARY STOPPED ON MAY 25,2022 DUE TO LACK OF MANPOWER AND PRIORITIZED PULL OUT OF L10_DPVE_036E_STOPE.RESUMED ON JUNE 19, 2022.CONVERTED TO PULL-OUT ON  JUNE 27, 2022.</t>
  </si>
  <si>
    <t>ADDITIONAL SOURCE OF GOOD ORE. APPROVED ON JUNE 13, 2022.STOPPPED ON JUNE 30, 2022, RECOMMENDED FOR STOPE BREAKING.</t>
  </si>
  <si>
    <t xml:space="preserve">L06_GHV_003W_STOPE </t>
  </si>
  <si>
    <t>L08_NONE_023E_XCS</t>
  </si>
  <si>
    <t>L04_GHVFW_010E_DW_ISL</t>
  </si>
  <si>
    <t>L09_GHVHW_005E_RAISE</t>
  </si>
  <si>
    <t>REPLACEMENT OF L04_CTV_020W_ROBBING ON MARCH 28 2022.TEMPORARY STOPPED ON APRIL 11,2022 DUE TO TRANSITION OF MANPOWER.RESUMED APRIL 25, 2022 AS WELL AS CHANGE TEAM LEADER FROM NOCOS TO MARTINEZ DN.STOPPED ON JUNE 30, 2022, ALREADY REACHED THE RECOMMENDED STRIKE LENGTH/CROWN PILLAR.</t>
  </si>
  <si>
    <t>ADDITIONAL VERTICAL DEVELOPMENT. APPROVED ON MAY 12,2022. STOPPED ON JUNE 20, 2022 ALREADY REACHED THE RECOMMENDED HEIGHT.RESUME ON JUNE 21, 2022. STOPPED ON JULY 1, 2022 ALREADY REACHED THE RECOMMENDED HEIGHT.</t>
  </si>
  <si>
    <t>L05_CTV_012E_DW</t>
  </si>
  <si>
    <t>REPLACEMENT OF L05_JVFW_030E_RAISE. APPROVED ON APRIL 14, 2022. STOPPED ON JULY 1, 2022 DUE TO PINCHED OUT VEIN.</t>
  </si>
  <si>
    <t>REPLACEMENT OF L09_GHV_049E_STOPE. APPROVED ON JUNE 30, 2022.TEMPORARY STOPPED ON JULY 3,2022 MANPOWER TRANSFER TO LEVEL 5.</t>
  </si>
  <si>
    <t>REPLACEMENT OF L09_GHVFW_038E_ROBBING. APPROVED ON JUNE 30,2022. TOPSLICE W/O AIRHOIST.TEMPORARY STOPPED ON JULY 3,2022 ON GOING REHAB UG CHUTES.</t>
  </si>
  <si>
    <t>L07_JV_010W_DW_ISL</t>
  </si>
  <si>
    <t>REPLACEMENT OF L07_JV_010W_WINZE. APPROVED ON MAY 10, 2022.STOPPED ON JULY 3, 2022.</t>
  </si>
  <si>
    <t>REPLACEMENT OF L07_JV_044E DW_ISL. APPROVED ON APRIL 7,2022.STOPPED ON 6/7/22. INTERSECTED TO MAINLINE . NOT CONVERTIBLE TO WINZE STOPE.</t>
  </si>
  <si>
    <t>REPLACEMENT OF L04_JVSPLIT_028E_DE_ISL. APPROVED ON MAY 5, 2022.STOPPED ON JULY 2,2022 CONVERT TO ACTIVE BREAKING.</t>
  </si>
  <si>
    <t>L09_DPVE_025E_RAISE</t>
  </si>
  <si>
    <t>ADDITIONAL PRODUCTION SOURCE. APPROVED ON 6/6/22. TEMPORARY STOPPED ON JUNE 23, 2022. ON-GOING CLEANING IN COLLAPSED OLD CHUTE AT MAINLINE.RESUMED ON JUNE 16, 2022.STOPPED ON JULY 4,2022 ALREADY MINED OUT.</t>
  </si>
  <si>
    <t>L07_NONE_005W_XCS</t>
  </si>
  <si>
    <t>L05_NONE_032W_XCN</t>
  </si>
  <si>
    <t xml:space="preserve">SHEPHERD AF </t>
  </si>
  <si>
    <t xml:space="preserve"> REPLACEMENT OF L08_GHV_004W_DW_ISL. APPROVED ON JUNE 14, 2022.ALREADY DONE STOPE PREPARATION ON JUNE 30, 2022. CHANGE STATUS TO STOPE BREAKING ON JULY 1, 2022.</t>
  </si>
  <si>
    <t>TARGET DRILLHOLE L5-242-001. APPROVED ON JULY 3, 2022.TEMP. STOPPED ON JULY 4, 2022.</t>
  </si>
  <si>
    <t>REPLACEMENT OF L10_DPVE_034E_DE. APPROVED ON MAY 31,2022 STARTED BLASTING ON MAY 28,2022.STOPPED ON JULY 4, 2022, DUE TO CONSECUTIVE LOW ASSAY GRADES ON CUT SAMPLES/BULK SAMPLES, FOR WIREFRAMING AND DESIGN</t>
  </si>
  <si>
    <t xml:space="preserve">REPLACEMENT OF  L10_DPVE_086E_DW. APPROVED ON 6/21/2022 .STOPPED ON JULY 4, 2022, PINCHED OUT VEIN.
</t>
  </si>
  <si>
    <t>L08_JVSPLIT_047E_DW</t>
  </si>
  <si>
    <t>REPLACEMENT OF L10_GHV_066E_STOPE PREP APPROVED ON NOVEMBER 21, 2021.STOPPED BREAKING AND CONVERT TO PULL OUT CLEANING ON JUNE 7,2022.STOPPED ON JULY 4, 2022, ALREADY MINED OUT WITH 98% PULLED OUT MINECARS.</t>
  </si>
  <si>
    <t>REPLACEMENT OF L10_NONE_070E_XCS. APPROVED ON MAY 7,2022.TEMPORARY STOPPED ON MAY 20,2022 TO PRIORITIZED GHV 070E ROBBING. RESUMED ON MAY 28,2022.STOPPED ON JUNE 23, 2022, ALREADY MADE A BREAKTHROUGH.</t>
  </si>
  <si>
    <t>REPLACEMENT OF L09_DPVE2_024E_STOPE PREP APPROVED ON SEPT.20, 2021.IPR DONE. TEMPORARILY STOPPED ON JUNE 13 2022. FOR 2 DAYS WHILE AWAITING CUT SAMPLE RESULTS. CONVERTED TO PULL-OUT CLEANING.STOPPED ON JULY 4,2022 ALREADY MINED OUT</t>
  </si>
  <si>
    <t>L10_GHVSPLIT_066E_DE</t>
  </si>
  <si>
    <t>L08_GHVFW_005E_WINZE_STOPE PREP</t>
  </si>
  <si>
    <t xml:space="preserve">REPLACEMENT OF L08 GHVFW 005E DE ISL. APPROVED ON MAY 27, 2022.STOPPED ON JULY 5, 2022. CONVERT TO STOPE PREP.
</t>
  </si>
  <si>
    <t>L03_RYV_005W_DE</t>
  </si>
  <si>
    <t>FERNANDEZ REX 1</t>
  </si>
  <si>
    <t>L03_RYV_007W_ROBBING</t>
  </si>
  <si>
    <t>FERNANDEX REX 1</t>
  </si>
  <si>
    <t xml:space="preserve"> FERNANDEZ, RG 2 </t>
  </si>
  <si>
    <t>0Y - YOY 2</t>
  </si>
  <si>
    <t>L08_GHV_003E_WINZE</t>
  </si>
  <si>
    <t>REPLACEMENT OF L10_GHVSPLIT_071E_DE. APPROVED ON MAY 31,2022.STOPPED ON JUNE 24,2022 CONVERT TO STOPE BREAKING.</t>
  </si>
  <si>
    <t>TEMPORARY REPLACEMENT OF L06_DPVE_060E_DE. APPROVED ON 6/6/2022.STOPPED ON 8/7/2022. NOTE PLEASE SEE THE LAST BLAST FOR THE ACTUAL NON-OPERATION OF THE WORKING AREA</t>
  </si>
  <si>
    <t>L09_GHVFW_052E_STOPE PREP</t>
  </si>
  <si>
    <t>REPLACEMENT OF L09_DPVE_036E_STOPE PREP. APPROVED ON JAN 14, 2022.STOPPED BREAKING ON MAY 30, 2022 ALREADY DONE STOPE TRAVERSE, CONVERT TO PULL OUT CLEANING.STOPPED ON JULY 8,2022 ALREADY MINED OUT. 90% PULL OUT</t>
  </si>
  <si>
    <t>L10_GHV_057E_STOPE</t>
  </si>
  <si>
    <t>L11_GHVHW_067E_STOPE</t>
  </si>
  <si>
    <t>L10_GHVSPLIT_007E_DW</t>
  </si>
  <si>
    <t>L10_GHVSPLIT_008E_RAISE</t>
  </si>
  <si>
    <t>REPLACEMENT OF L10_DPVE_006E_DE. APPROVED ON JUNE 27, 2022. STOPPED ON JULY 8,2022.</t>
  </si>
  <si>
    <t>L10_DPVE_028E_DW</t>
  </si>
  <si>
    <t xml:space="preserve">REPLACEMENT OF L10_DPVE_016E_DW. 20 METERS TO HIT THE TARGET VEIN. APPROVED ON JUNE 24, 2022. RENAME FROM L10_NONE_012E_XCN TO L10_NONE_028E_XCN. ON JUNE 25, 2022. STOPPED ON JULY 9,2022 ALREADY HIT THE TARGET VEIN.
</t>
  </si>
  <si>
    <t>REPLACEMENT OF L05 JVHW 004E STOPE PREP, APPROVED ON MAY 28, 2022. STOPPED BREAKING AND CONVERT TO PULL-OUT ON JULY 8, 2022.</t>
  </si>
  <si>
    <t xml:space="preserve"> REPLACEMENT OF L06_JVFW_007W_STOPE PREP. APPROVED ON JUNE 12, 2022. STOPPED BREAKING AND CONVERT TO STOPE PULL-OUT ON JULY 8, 2022.</t>
  </si>
  <si>
    <t>L05_CTV_026E_ROBBING</t>
  </si>
  <si>
    <t>L07_GHVFW_005W_DW</t>
  </si>
  <si>
    <t>REPLACEMENT OF L05_JVSPLIT_001E_RAISE. APPROVED ON MAY 17 2022. TEMPORARY STOPPED ON JUNE 11, 2022 TO PRIORITIZED RAISE. RESUMED ON JUNE 25, 2022.STOPPED ON JULY 8, 2022, ALREADY CONNECTED TO THE OPPOSITE MAINLINE, PROCEED TO BREAKING BLOCKING RAISE.</t>
  </si>
  <si>
    <t>REPLACEMENT OF L05_CTV_026E_WINZE. APPROVED ON JULY 20, 2021.RENAME FROM L05_CTV_026E_DE_ISL TO L05_CTV_024E_DE_ISL ON SEPT.20,2021. STOPPED ON 9/28/21.resumed on Nov. 6, 2021. Rename from L05_CTV_024E_DE_ISL to L05_CTV_026E_DE_ISL at the same date. THIS WORKHEADING HAS A POSSIBILY TO BREAKTHROUGH AN OLD STOPE. EVALUATED ON 11/23/21. TEMP STOPPED ON JAN 11, 2022 TO CONTINUE BREAKING L05_CTV_026E_WINZE_STOPE.RESUMED ON JUNE 14, 2022 IN REPLACEMENT OF L05_CTV_028E_ROBBING. STOPPED ON JULY 11,2022 DUE TO VEIN PINCHED OUT .</t>
  </si>
  <si>
    <t>L06_DPVE_059E_DE</t>
  </si>
  <si>
    <t>REPLACEMENT OF L06_JV_019E_ROBBING. APPROVED ON 6/9/2022. TOPSLICE.ALREADY DONE PILLAR ROBBING, STOPPED ON JULY 12, 2022.</t>
  </si>
  <si>
    <t>TARGET DRILLING INTERCEPT. APPROVED ON MARCH 3, 2022.STOPPED ON APRIL 27, 2022, PROCEED TO ON-VEIN DRIFT. TEMP STOPPED ON JUNE 3, 2022. TO DRIVE ON VEIN. RESUMED ON JUNE 25, 2022.
RESUMED ON MAY 10, 2022.STOPPED ON JULY 12,2022 ALREADY HIT THE TARGET VEIN.</t>
  </si>
  <si>
    <t>REPLACEMENT OF L04_GHVSPLIT_027W_ROBBING. APPROVED ON JUNE 16, 2022.RENAMED FROM L04_JV_004E_DE to L04_CV_004E_DE ON JUNE 23, 2022. TEMPORARY STOPPED ON JUNE 24, 2022.RESUMED ON JULY 4,2022.TEMPORARILY STOPPED ON JULY 11, 2022 DUE TO TRANSFER OF MANPOWER TO PRIORITIZE L04_CV_006E_STOPE.</t>
  </si>
  <si>
    <t>L10_NONE_006E_XCS</t>
  </si>
  <si>
    <t>L06_JV_024W_ROBBING</t>
  </si>
  <si>
    <t>REPLACEMENT OF L08_DPVE_002E_DE. APPROVED ON JUNE 30, 2022.RENAME FROM L08_NONE_033E_XCS TO L08_NONE_023E_XCS ON JUNE 30, 2022.STOPPED ON 7/12/2022. ALREADY INTERCEPTED THE TARGET VEIN.</t>
  </si>
  <si>
    <t>L08_JVSPLIT_023E_DE</t>
  </si>
  <si>
    <t>REPLACEMENT OF L09_JV_045E_STOPE PREP. APPROVED ON JUNE 13, 2022.STOPPED BREAKING ON JULY 11,2022 ALREADY REACHED THE RECOMMENDED STRIKE LENGTH. STOPE TRAVERSE ON JULY 12,2022 AT THE SAME TIME CONVERT TO PULL-OUT CLEANING.</t>
  </si>
  <si>
    <t>L07_GHVFW_005W_DE</t>
  </si>
  <si>
    <t>REPLACEMENT OF L07_DPVE_042E_WINZE STOPE PREP. APPROVED ON MAY 19, 2022.STOPPED BREAKING AND CONVERT TO STOPE PULL-OUT ON JULY 11, 2022.</t>
  </si>
  <si>
    <t>REPLACEMENT ON L09_DPVE_035E_STOPE_PREP APPROVED ON MARCH 7, 2022.STOPPED BREAKING ON JUNE 17, 2022 AS WELL AS CONVERT TO PULL-OUT.STOPPED BREAKING DUE TO LOW CONSECUTIVE ASSAY GRADE AND CONVERT TO PULL-OUT ON JUNE 18, 2022.MINED OUT ON JULY 11,2022 WITH 100% PULL OUT.</t>
  </si>
  <si>
    <t>L09_DPVE_040E_RAISE</t>
  </si>
  <si>
    <t>REPLACEMENT OF L10_DPVE_024E_STOPE PREP, APPROVED ON MAY 20, 2022.STOPPED BREAKING ON JULY 11,2022 DUE TO VEIN PINCHED OUT AND BELOW CUT-OFF GRADE ON 2 IPR'S. TRAVERSE ON JULY 12,2022 AT THE SAME TIME CONVERT TO PULL OUT CLEANING.</t>
  </si>
  <si>
    <t>L06_CV_014W_DE</t>
  </si>
  <si>
    <t>L10_DPVE_085E_RAISE</t>
  </si>
  <si>
    <t>REPLACEMENT OF L10_DPVE_037E_DW. APPROVED ON APRIL 5,2022.TEMPORARY STOPPED ON MAY 12,2022 TO FOLLOW UP RAISE. RESUMED ON JUNE 3,2022.TEMPORARY STOPPED ON 6/21/2022 TO PRIORITIZE L10_DPVE_078E_RAISE EXCAVATION. RESUMED ON JULY 1, 2022.STOPPED ON JULY 13,2022 DUE TO OFF VEIN.</t>
  </si>
  <si>
    <t>REPLACEMENT OF L04_CV_003E_RAISE. APPROVED ON JUNE 24, 2022.TEMPORARY STOPPED ON JULY 12,2022 MADE A BREAKTHROUGH.</t>
  </si>
  <si>
    <t>REPLACEMENT OF L08 DPVE 020E DE. APPROVED ON JUNE 6, 2022.STOPPED ON JULY 13, 2022. ALREADY REACHED RECOMMENDED STRIKE LENGTH. FOR PULL OUT BEFORE BLOCKING RAISE.</t>
  </si>
  <si>
    <t>L10_NONE_053E_XCS</t>
  </si>
  <si>
    <t>DUHIG, PETER</t>
  </si>
  <si>
    <t>REPLACEMENT OF L10_JVHW_049E_DW. APPROVED ON JUNE 9,2022.STOPPED ON JULY 14,2022 ALREADY REACHED THE RECOMMENDED STRIKE LENGTH OF RAISE.</t>
  </si>
  <si>
    <t>L10_NONE_064E_XCN</t>
  </si>
  <si>
    <t>L08_DPVE_020E_RAISE</t>
  </si>
  <si>
    <t xml:space="preserve">ADDITIONAL SOURCE OF GOOD ORE. APPROVED ON JUNE 7, 2022. (CROWN PILLAR ROBBING).TEMPORARY STOPPED ON JULY 15,2022.
</t>
  </si>
  <si>
    <t xml:space="preserve">FERNANDEZ, REX </t>
  </si>
  <si>
    <t>REPLACEMENT OF L09_DPVE_056E_STOPE PREP. APPROVED ON JUNE 23,2022.STOPPED BREAKING ON JULY 12,2022 . DONE STOPE TRAVERSE ON JULY 13,2022 AT THE SAME TIME CONVERT TO PULL-OUT CLEANING</t>
  </si>
  <si>
    <t>REPLACEMENT OF L07_GHVFW_004W_ROBBING NO ADVANCE FOR WIDENING PURPOSES ONLY OF MAINLINE TO ACCESS PROPOSED ROBBING.APPROVED ON JULY 4, 2022.</t>
  </si>
  <si>
    <t>L10_JVHW_044E_STOPE PREP</t>
  </si>
  <si>
    <t>L10_DPVE_068E_STOPE PREP</t>
  </si>
  <si>
    <t>L10_GHVSPLIT_066E_DW</t>
  </si>
  <si>
    <t xml:space="preserve"> REPLACEMENT OF L10_NONE_030E_XCN. APPROVED ON MARCH 18,2022. NOT IN RESERVE.TEMPORARY STOPPED ON APRIL 21, 2022. RESUMED AND TRANSFERRED FROM DUHIG R1 TO TAÑEZA 2 ON MAY 4, 2022.TEMPORARY STOPPED ON MAY 28,2022 TO FOLLOW UP RAISE NOTIFIED ON MAY 31,2022.RESUMED ON JUNE 10, 2022.TEMPORARY STOPPED ON JULY 6,2022 DELAY ON FOLLOW UP RAISE. RESUMED ON JULY 11,2022.STOPPED ON JULY 15,2022 ALREADY REACHED THE RECOMMENDED STRIKE LENGTH.
</t>
  </si>
  <si>
    <t>L06_DPVE_064E_DE</t>
  </si>
  <si>
    <t>L07_JV_041E_DE_ISL</t>
  </si>
  <si>
    <t>L06_JV_013E_WINZE</t>
  </si>
  <si>
    <t>APPROVED ON 6/17/2022. ADDITIONAL PRODUCTION TONNAGE.STOPPED ON JULY 16, 2022 ALREADY FINISHED HEADING</t>
  </si>
  <si>
    <t>REPLACEMENT OF L06_JVHW_015E_ROBBING. APPROVED ON JUNE 15, 2022. SILL.STOPPED ON JULY 16, 2022 ALREADY FINISHED HEADING</t>
  </si>
  <si>
    <t>REPLACEMENT L04_CV_026W_DW, APPROVED ON JUNE 6, 2022, TOP SLICE. STOPPED TOPSLICE JUNE 9, 2022 AND CONVERT TO SILL ON JUNE 9, 2022.STOPPED ON JUNE 17, 2022.CANCEL STOPPED. RESUMED ON JUNE 17, 2022. ALREADY FINISHED ON JULY 16, 2022.</t>
  </si>
  <si>
    <t>L09_GHVSPLIT_065E_DW</t>
  </si>
  <si>
    <t>ADDITIONAL DEVELOPMENT. APPROVED ON MAY 31 2022. EXPLORATORY RAISE.TEMPORARILY STOPPED ON JUNE 7 2022 TO PRIORITIZE HORIZONTAL DRIVE.RESUMED ON JUNE 14, 2022. STOPPED ON JULY 15, 2022, DUE TO PINCHED OUT VEIN, FOR BLOCKING RAISE.</t>
  </si>
  <si>
    <t>REHAB MAINLINE FOR FUTURE ROBBING. APPROVED ON JUNE 29, 2022. STOPPED ON JULY 16, 2022.no advance not yet started.</t>
  </si>
  <si>
    <t>L04_CV_003E_ROBBING</t>
  </si>
  <si>
    <t>L10_GHVFW_003E_RAISE</t>
  </si>
  <si>
    <t>REPLACEMENT OF L10_DPVE_038E_STOPE PREP. APPROVED ON APRIL 6,2022.JUSTIFICATION FOR LOW DIPPING AT 43 DEGREES ON MAY 3, 2022.STOPPED BREAKING ON JULY 15,2022 DUE TO VEIN PINCHED OUT. STOPE TRAVERSE ON JULY 16,2022 AT THE SAME TIME CONVERT TO PULL OUT CLEANING.</t>
  </si>
  <si>
    <t>REPLACEMENT OF L08 GHVFW 053E ROBBING. APPROVED ON MAY 25, 2022.STOPPED ON JULY 17, 2022. CONVERT TO STOPE PREPARATION.</t>
  </si>
  <si>
    <t>L08_DPVE_031E_STOPE PREP</t>
  </si>
  <si>
    <t>REPLACEMENT OF L09_DPVE_056E_STOPE PREP. APPROVED ON JUNE 23,2022.STOPPED BREAKING ON JULY 12,2022 . DONE STOPE TRAVERSE ON JULY 13,2022 AT THE SAME TIME CONVERT TO PULL-OUT CLEANING.STOPPED ON JULY 18,2022 ALREADY MINED OUT. 121% PULL OUT OF MINE CARS.</t>
  </si>
  <si>
    <t>REPLACEMENT OF L09_JV_045E_STOPE PREP. APPROVED ON JUNE 13, 2022.STOPPED BREAKING ON JULY 11,2022 ALREADY REACHED THE RECOMMENDED STRIKE LENGTH. STOPE TRAVERSE ON JULY 12,2022 AT THE SAME TIME CONVERT TO PULL-OUT CLEANING. STOPPED ON JULY 18,2022 ALREADY MINED OUT. 122% PULL OUT OF MINE CARS.</t>
  </si>
  <si>
    <t>L09_GHV_003W_ROBBING</t>
  </si>
  <si>
    <t>FERNANDEZ. REX 3</t>
  </si>
  <si>
    <t>FERNANDEZ REX 3</t>
  </si>
  <si>
    <t>L06_JVSPLIT_006W_RAISE</t>
  </si>
  <si>
    <t>L10_DPVE_021E_DW</t>
  </si>
  <si>
    <t>L04_CV_009W_WINZE</t>
  </si>
  <si>
    <t>L10_GHVFW_062E_RAISE</t>
  </si>
  <si>
    <t>REPLACEMENT OF L04_GHVFW_031W_ROBBING. APPROVED ON JUNE 21, 2022. SILL.FINISHED HEADING ON JULY 18, 2022.</t>
  </si>
  <si>
    <t>L04_JVFW_018E_DE</t>
  </si>
  <si>
    <t>L08_GHVFW_007E_RAISE_ISL</t>
  </si>
  <si>
    <t>L10_NONE_090E_XCS</t>
  </si>
  <si>
    <t>TEMPORARY REPLACEMENT OF L06_DPVE_042E_DW. APPROVED ON 6/6/2022.STOPPED ON JULY 12, 2022 TO PRIORITIZE HORIZONTAL DEVELOPMENT.</t>
  </si>
  <si>
    <t>L07_DPVE_040E_DE</t>
  </si>
  <si>
    <t>REPLACEMENT AND BLOCKING RAISE OG L07_DPVE_040E_RAISE. APPROVED ON 5/31/2022.STOPPED ON JULY 20, 2022 ALREADY REACHED THE RECOMMENDED HEIGHT.</t>
  </si>
  <si>
    <t>L05_DPVE_051E_DE_ISL</t>
  </si>
  <si>
    <t>L09_GHV_006W_ROBBING</t>
  </si>
  <si>
    <t>REPLACEMENT OF L06_DPVE_034E_ROBBING. APPROVED ON JUNE 5, 2022.temp stop on 6/7/2022. to prioritize robbing excavation.RESUME ON 6/21/2022. AT THE SAME DAY TRANSFERRED FROM QUIJANO TO CARIKITAN. STOPPED ON JULY 15, 2022, PINCHED OUT VEIN</t>
  </si>
  <si>
    <t xml:space="preserve">TARGETING HIGH GRADE GHVHW RAISE FROM LEVEL 11. APPROVED ON JULY 14,2022.STOPPED ON JULY 20,2022 ALREADY HIT THE TARGET. 
</t>
  </si>
  <si>
    <t>L10_GHVHW_064E_DW</t>
  </si>
  <si>
    <t>FERNANDEZ,RG 3</t>
  </si>
  <si>
    <t>L05_JV_024E_RAISE</t>
  </si>
  <si>
    <t>ACTIVE ON 5/14/2022 ADDITIONAL HORIZONTAL DEVELOPMENT. STOPPED ON JULY 21, 2022 ALREADY REACHED THE RECOMMENDED STRIKE LENGTH.</t>
  </si>
  <si>
    <t>Lift 2</t>
  </si>
  <si>
    <t>Lift 3</t>
  </si>
  <si>
    <t>D-2</t>
  </si>
  <si>
    <t>D-3</t>
  </si>
  <si>
    <t>X-2</t>
  </si>
  <si>
    <t>X-3</t>
  </si>
  <si>
    <t>L05_CTV_012E_RAISE</t>
  </si>
  <si>
    <t>REPLACEMENT OF L07_NONE_005W_XCS. APPROVED ON JULY 18, 2022. STOPPED ON JULY 23,2022.</t>
  </si>
  <si>
    <t>REPLACEMENT OF L10_GHVHW_056E_STOPE PREP. APPROVED ON MAY 25,2022. STOPPED ON JULY 18,2022 LOW GRADE IPRS AT THE SAME TIME CONVERT TO PULL OUT CLEANING.</t>
  </si>
  <si>
    <t>LEVEL 3</t>
  </si>
  <si>
    <t>Level 3</t>
  </si>
  <si>
    <t>L03</t>
  </si>
  <si>
    <t>REPLACEMENT OF L10_DPVE_028E_RAISE. APPROVED ON OCT 19, 2021. FINISHED STOPE PREPARATION ON NOVEMBER 17,2021 CONVERT TO ACTIVE BREAKING. TRANSFERRED FROM OLIVEROS 2 TO TAÑEZA ON FEB. 22 2022.</t>
  </si>
  <si>
    <t>L05_JVSPLIT_032W_DW</t>
  </si>
  <si>
    <t xml:space="preserve"> REPLACEMENT OF L06_JVFW_007W_STOPE PREP. APPROVED ON JUNE 12, 2022. STOPPED BREAKING AND CONVERT TO STOPE PULL-OUT ON JULY 8, 2022.- MINED-OUT ON JULY 25, 2022 WITH 113% PULLED-OUT MC.</t>
  </si>
  <si>
    <t>ADDITIONAL HORIZONTAL DRIVE. APPROVED ON JULY 1,2022.STOPPED ON JULY 19, 2022 ALREADY REACHED THE RECOMMENDED STRIKE LENGTH.</t>
  </si>
  <si>
    <t>EXPLORATORY DRIFT. APPROVED ON JUNE 29, 2022.STOPPED ON JULY 19, 2022 ALREADY REACHED THE RECOMMENDED STRIKE LENGTH.</t>
  </si>
  <si>
    <t>L06_GHVHW_035W_DE</t>
  </si>
  <si>
    <t>L06_CV_011W_DE</t>
  </si>
  <si>
    <t>TARGETING EXTENSION OF GHV MAIN. APPROVED ON JULY 14,2022.STOPPED ON JULY 26,2022 ALREADY HIT THE TARGET.</t>
  </si>
  <si>
    <t>L10_GHV_053E_DW</t>
  </si>
  <si>
    <t>L08_JVSPLIT_048E_DW</t>
  </si>
  <si>
    <t>REPLACEMENT OF L06_NONE_058E_XCN. APPROVED ON JULY 12,2022.RENAMED FROM L06_DPVE_058E_DE TO L06_DPVE_064E_DE FOR PROPER BLOCK NAMING ON JULY 15, 2022.TEMP STOP ON 7/26/2022. WAITING FOR THE STOPPAGE MEMO.</t>
  </si>
  <si>
    <t>L10_DPVE_027E_RAISE</t>
  </si>
  <si>
    <t>REPLACEMENT OF L09_DPVE_081E_DE. APPROVED ON JUNE 28,2022.TEMPORARILY STOPPED ON JULY 1, 2022 TO PRIORITIZE RAISE PREP. RESUMED ON JULY 7,2022.TEMPORARY STOPPED ON JULY 26,2022 DUE TO VEIN PINCHED OUT.</t>
  </si>
  <si>
    <t>FILL WINZE TO SERVE AS WASTE PASS. APPROVED ON JULY 8, 2022.STOPPED ON JULY 26,2022 ALREADY BREAKTHROUGH.</t>
  </si>
  <si>
    <t>ADDITIONAL SOURCE OF GOOD ORE. APPROVED ON JUNE 29,2022.STOPPED ON JULY 26,2022 ALREADY DONE STOPE PREPARATION.</t>
  </si>
  <si>
    <t>L10_DPVE_022E_STOPE</t>
  </si>
  <si>
    <t>REPLACEMENT OF L10_GHVFW_055E_STOPE PREP ON DEC.14,2021.TEMPORARY STOPPED ON JULY 20,2022 FOR SAFETY INVESTIGATION.resumed on July 27,2022 at the same time convert to pull out cleaning.</t>
  </si>
  <si>
    <t>REPLACEMENT OF L10_GHVFW_051E STOPE PREP APPROVED ON MARCH 14, 2022.TEMPORAY STOPPED ON APRIL 28, 2022 DUE TO ABSENTEEISM. RESUMED ON MAY 4, 2022.TRANSFER FROM CAPOY 1 TO LARGO 1 TO DUE TO LACK OF MANPOWER AND LOW PEFORMANCE ON JULY 12,2022.STOPPED BREAKING ON JULY 27,2022 DUE TO UNSAFE CONDITION AT THE SAME TIME CONVERT TO PULL OUT CLEANING.</t>
  </si>
  <si>
    <t>REPLACEMENT OF L05_CTV_026E_DW_ISL APPROVED ON JULY 8, 2022, TOPSLICE.TEMPORARY STOPPED ON JULY 27, 2022.</t>
  </si>
  <si>
    <t xml:space="preserve">REPLACEMENT OF L10 GHVFW 041E STOPE PREP. APPROVED ON MARCH 8, 2022.CONVERTED TO PULL-OUT ON 7/27/2022. </t>
  </si>
  <si>
    <t>ADDITIONAL VERTICAL DEVELOPMENT. APPROVED ON JULY 9,2022.TEMPORARY STOPPED ON JULY 18, 2022 DUE TO LACK OF TIMBER.RESUMED ON JULY 20,2022.TEMP STOP ON 7/27/2022.TO BE REPLACED WITH HORIZONTAL DRIVE</t>
  </si>
  <si>
    <t>L09_DPVE_081E_RAISE</t>
  </si>
  <si>
    <t>L10_GHVSPLIT_009E_DW</t>
  </si>
  <si>
    <t>REPLACEMENT OF L07_DPVE_038E_RAISE. APPROVED ON JULY 20, 2022.STOPPED ON JULY 27, 2022 DUE TO VEIN CUT BY FAULT.</t>
  </si>
  <si>
    <t xml:space="preserve">REPLACEMENT OF L05 JVHW 004E STOPE PREP, APPROVED ON MAY 28, 2022. STOPPED BREAKING AND CONVERT TO PULL-OUT ON JULY 8, 2022.STOPPED ON JULY 22,2022 ALREADY MINED OUT.
</t>
  </si>
  <si>
    <t>L05_CTV_028E_RAISE_ISL</t>
  </si>
  <si>
    <t>REPLACEMENT OF L11_GHVSPLIT_059E_DE. APPROVED ON APRIL 23, 2022.TRANSFER FROM COMAINGKING TO CARIKITAN 2 ON MAY 16, 2022 SWAPPING OF TEAM LEADERS DUE TO AVAILABILITY OF EQUIPMENT. TRANSFERRED FFROM CARIKITAN 2 TO BAÑEZ 2. APPROVED ON JUNE 20, 2022.STOPPED ON JULY 28,2022 ALREADY BREAKTHROUGH.</t>
  </si>
  <si>
    <t>REPLACEMENT OF L05_DPVE_051E_STOPE. APPROVED ON JAN. 26, 2022.TEMPORARY STOPPED ON APRIL 29, 2022 AS PER ADVISED BY MGT ALL DPVE AT L05. PERMANENTLY STOPPED ON JULY 20,2022 ALREADY CONVERTED TO ISL.</t>
  </si>
  <si>
    <t>L06_CV_002W_RAISE</t>
  </si>
  <si>
    <t xml:space="preserve">REPLACEMENT OF L09_DPVE_053E_STOPE PREP. APPROVED ON JUNE 18, 2022.STOPPED BREAKING ON JULY 29,2022 DUE TO VEIN PINCHED OUT AT THE SAME TIME CONVERT TO PULL OUT CLEANING.
</t>
  </si>
  <si>
    <t xml:space="preserve">REPLACEMENT OF L05_JVHW_005E_DW. APPROVED ON JULY 11, 2022.STOPPED ON JULY 29,2022 DUE TO VEIN PINCHED OUT. </t>
  </si>
  <si>
    <t>REPLACEMENT OF L07_DPVE_042E_WINZE STOPE PREP. APPROVED ON MAY 19, 2022.STOPPED BREAKING AND CONVERT TO STOPE PULL-OUT ON JULY 11, 2022.STOPPED AND DECLARED MINE-OUT ON 7/29/2022</t>
  </si>
  <si>
    <t>L10_GHVSPLIT_009E_DE</t>
  </si>
  <si>
    <t>REPLACEMENT OF L04_GHVFW_010E_WINZE APPROVED ON JUNE 30, 2022.STOPPED ON JULY 30,2022 BREAKTHROUGH TO OLD STOPE.</t>
  </si>
  <si>
    <t>L04_GHVFW_010E_DE_ISL</t>
  </si>
  <si>
    <t>L08_JVHW_075E_WINZE STOPE PREP</t>
  </si>
  <si>
    <t>REPLACEMENT OF L10_GHV_066E_STOPE. APPROVED ON JULY 12,2022. STOPPED ON JULY 30,2022 ALREADY HIT THE TARGET VEIN.</t>
  </si>
  <si>
    <t>REPLACEMENT OF L10_GHVSPLIT_066E_DE. APPROVED ON JULY 15,2022. STOPPED ON JULY 30,2022 DUE TO PINCHING OUT OF VEIN.</t>
  </si>
  <si>
    <t>REPLACEMENT OF L10_GHVHW_056E_STOPE PREP. APPROVED ON MAY 25,2022. STOPPED ON JULY 18,2022 LOW GRADE IPRS AT THE SAME TIME CONVERT TO PULL OUT CLEANING. STOPPED ON JULY 30,2022 DUE TO CONSECUTIVE LOW ASSAY GRADE WITH 90% PULL OUT OF REMAINING MINE CARS.</t>
  </si>
  <si>
    <t xml:space="preserve">REPLACEMENT OF L10_GHVHW_049E_STOPE PREP. APPROVED ON JANUARY 31,2022.STOPPED ON JUNE 6,2022 LOW GRADE IPR'S AT THE SAME TIME CONVERT TO PULL OUT CLEANING. ALREADY TRAVERSED ON JUNE 7,2022. STOPPED PULL- OUT ON JULY 31, 2022 DUE TO SUCCESSIVE LOW BULK GRADE RESULTS MAINLY CAUSED BY ROCK SLABBING. </t>
  </si>
  <si>
    <t>L09_JVFW_004E_DE</t>
  </si>
  <si>
    <t>L10_GHVHW_006E_DW</t>
  </si>
  <si>
    <t>REPLACEMENT OF L08_NONE_023E_XCS . APPROVED ON 7/12/2022.stopped on 8/1/2022. TO PROCEED TO WEST SIDE</t>
  </si>
  <si>
    <t>L08_JVFW_022E_DW</t>
  </si>
  <si>
    <t>REPLACEMENT OF L08 DPVE 021E RAISE. APPROVED ON JULY 14, 2022.STOPPED ON 8/1/2022. TO BE CONVERTED AS STOPE PREP</t>
  </si>
  <si>
    <t>L08_DPVE_020E_STOPE PREP</t>
  </si>
  <si>
    <t>REPLACEMENT OF L04_CV_006E_DE APPROVED ON JULY 19, 2022. TEMPORARY STOPPED ON AUGUST 2,2022 TRANSFER TO PRIORITY WORKPLACE.</t>
  </si>
  <si>
    <t>REPLACEMENT OF L07 JV 067E ROBBING. APPROVED ON MAY 6, 2022.TEMPORARY STOPPED ON 6/22/2022. EXCAVATE ISL . PERMANENTLY STOPPED AS PER GEO ON AUGUST 2,2022.</t>
  </si>
  <si>
    <t>REPLACEMENT OF L07_DPVE_040E_DW APPROVED ON APRIL 26, 2022.TEMP STOP ON 5/31/2022  TO ACTIVATE BLOCKING RAISE.  PERMANENTLY STOPPED AS PER GEO ON AUGUST 2,2022.</t>
  </si>
  <si>
    <t>REPLACEMENT OF L09_DPVE_081E_DW. APPROVED ON JULY 27, 2022. TEMPORARY STOPPED ON JULY 28,2022.</t>
  </si>
  <si>
    <t>REPLACEMENT OF L06_CTV_005E_ROBBING. APPROVED ON 6/9/2022.CHANGE TEAM LEADER FROM BADBADON 2 TO GUNAY 2 EFFECTIVE ON JULY 20, 2022. STOPPED ON AUGUST 1,2022 ALREADY MINED OUT.</t>
  </si>
  <si>
    <t>ADDITIONAL HORIZONTAL DEVELOPMENT DRIVE. APPROVED ON 7/12/2022.RENAMED FROM L06_JV_001W_DE TO L06_CV_014W_DE FOR PROPER NAMING ON JULY 13, 2022. STOPPED OM AUGUST 1,2022 TO PRIORITIZED WEST DRIVE.</t>
  </si>
  <si>
    <t>L06_CV_014W_DW</t>
  </si>
  <si>
    <t>REPLACEMENT OF L07_GHVFW_005W_DW. APPROVED ON JULY 22, 2022. STOPPED ON AUGUST 3,2022 BREAKTHROUGH TO OLD RAISE.</t>
  </si>
  <si>
    <t>REPLACEMENT OF L07_JV_010W_DE_ISL. APPROVE ON JUNE 28, 2022.STOPPED ON AUGUST 3,2022 CONVERT TO STOPE PREPARATION.</t>
  </si>
  <si>
    <t>L07_JV_010W_WINZE STOPE PREP</t>
  </si>
  <si>
    <t>REPLACEMENTOF L09_DPVE2_024E_STOPE APPROVED ON JULY 4, 2022.STOPPED ON AUGUST 3,2022 CONVERT TO STOPE PREPARATION.</t>
  </si>
  <si>
    <t>L09_DPVE_025E_STOPE PREP</t>
  </si>
  <si>
    <t>L08_GHV_032E_WINZE_STOPE PREP</t>
  </si>
  <si>
    <t>ADDITIONAL VERTICAL DEVELOPMENT. APPROVED ON JUNE 14, 2022.STOPPED ON 8/3/2022. ALREADY REACH RECOMMENDED ELEVATION</t>
  </si>
  <si>
    <t>REPLACEMENT OF L08 JV 009W RAISE. APPROVED ON JULY 4, 2022.STOPPED ON 7/28/2022 DUE TO PUNCHING-OUT OF VEIN</t>
  </si>
  <si>
    <t>L08_JVSPLIT_055E_DW</t>
  </si>
  <si>
    <t xml:space="preserve">BELICAN 1 </t>
  </si>
  <si>
    <t xml:space="preserve">APPROVED ON 6/28/2022. ADDITIONAL HORIZONTAL DEVELOPMENT.STOPPED ON 8/3/2022 IN ORDER TO PROCEED ON WEST SIDE DRIVE </t>
  </si>
  <si>
    <t>L06_JV_029W_DW</t>
  </si>
  <si>
    <t xml:space="preserve">REPLACEMENT OF L06_JV_011W_ROBBING. APPROVED ON 5/27/2022.TEMPORARY STOP ON 6/8/2022. TO PRIORITIZE CLEANING IN DRILLING CHAMBER.RESUMED ON JUNE 10, 2022.TRANSFER OF WORKPLACE FROM GONZALES TO SHEPHERD AA1, APPROVED ON JULY 13, 2022 DUE TO INSUFFICIENT MANPOWER AND SKILL TO OPERATE THE HEADING.STOPPED ON 8/3/2022 DUE TO PINCHING OUT OF VEIN. </t>
  </si>
  <si>
    <t>L07_GHV_005W_ROBBING</t>
  </si>
  <si>
    <t>REPLACEMENT OF L10_GHVSPLIT_007E_DE. APPROVED ON JULY 9,2022. STOPPED ON JULY 25,2022 DUE TO VEIN PINCHED OUT. RESUMED ON JULY 28,2022.STOPPED ON AUGUST 3,2022 DUE TO VEIN PINCHED OUT</t>
  </si>
  <si>
    <t>L06_JV_022E_ROBBING</t>
  </si>
  <si>
    <t>L06_GHVHW_035W_DW</t>
  </si>
  <si>
    <t xml:space="preserve"> REPLACEMENT OF L05_JVHW_004E_STOPE. APPROVED ON JULY 25, 2022. TOPSLICE W/O AIRHOIST.STOPPED ON AUGUST 4, 2022 DUE TO ITS UNSAFE CONDITION, TO BE REPLACED BY SILL ROBBING.</t>
  </si>
  <si>
    <t>L05_CTV_038E_ROBBING</t>
  </si>
  <si>
    <t>L06_DPVE_059E_RAISE</t>
  </si>
  <si>
    <t>ADDITIONAL SOURCE OF GOOD ORE. APPROVED ON JUNE 6,2022. STOPPED ON JULY 30,2022 CONVERT TO STOPE BREAKING.</t>
  </si>
  <si>
    <t>L09_GHVHW_007E_RAISE</t>
  </si>
  <si>
    <t>L09_DPVE_083E_RAISE</t>
  </si>
  <si>
    <t>REPLACEMENT OF L08_DPVE_072E_WINZE STOPE ON MARCH 9,2022. STOPPED BREAKING ON AUGUST 1,2022. STOPE TRAVERSE ON AUGUST 5,2022 AT THE SAME TIME CONVERT TO PULL OUT CLEANING.</t>
  </si>
  <si>
    <t>L06_JV_008W_DW_ISL</t>
  </si>
  <si>
    <t>L10_JVSPLIT_040E_DE</t>
  </si>
  <si>
    <t>L05_DPVE_051E_DW_ISL</t>
  </si>
  <si>
    <t>REPLACEMENT OF L06_DPVE_041E_RAISE. APPROVED ON JULY 12,2022. STOPPED ON AUGUST 7,2022 DUE TO VEIN PINCHED OUT.</t>
  </si>
  <si>
    <t>ACTIVATE ON JULY 26,2022 PLANNING WAS INFORMED ON AUGUST 6,2022. REPLACEMENT OF L05_DPVE_051E_DE_ISL AS ADDITIONAL HORIZONTAL DEVELOPMENT DRIVE.TEMPORARY STOPPED ON AUGUST 8, 2022, TO PRIORITIZE EAST SIDE.</t>
  </si>
  <si>
    <t>L04_CV_014W_ROBBING</t>
  </si>
  <si>
    <t>REPLACEMENT OF L10_GHVFW_005E_DW. APPROVED ON JUNE 24, 2022.STOPPED ON AUGUST 8,2022 DUE TO CONSECUTIVE LOW ASSAY GRADE.</t>
  </si>
  <si>
    <t>REPLACEMENT OF L04_CV_005E_DW. APPROVED ON JULY 18, 2022. TEMPORARY STOPPED ON JULY 31,2022 DUE TO ABSENTEEISM OF CREW. RESUMED ON AUGUST 2,2022 AT THE SAME TIME TRANSFER FROM SHEPHERD AL TO MARTINEZ, RONALD.STOPPED ON AUGUST 8, 2022.</t>
  </si>
  <si>
    <t>L05_GHVFW_010E_ROBBING</t>
  </si>
  <si>
    <t xml:space="preserve">ADDITIONAL VERTICAL DEVELOPMENT DRIVE. APPROVED ON JUNE 29,2022.RENAMED FROM L09_GHVHW_001E_RAISE TO L09_GHVHW_005E_RAISE TO AVOID MISCHARGING. APPROVED ON JUNE 30,2022.STOPPED ON AUGUST 8, 2022 DUE TO PINCHED OUT VEIN
</t>
  </si>
  <si>
    <t>REPLACEMENT OF L09_JV_068E_ROBBING. APPROVED ON JULY 13,2022.STOPPED ON AUGUST 8, 2022, ALREADY REACHED THE RECOMMENDED SLOPE DISTANCE.</t>
  </si>
  <si>
    <t>L09_JVFW_008E_RAISE</t>
  </si>
  <si>
    <t xml:space="preserve">REPLACEMENT OF L08_JVFW_022E_RAISE. APPROVED ON JUNE 28,2022.STOPPED ON AUGUST 8, 2022 DUE ITS UNSFAE CONDITION, ESTIMATED VERTICAL BALANCE OF 13 METERS IS EXPECTED TO BREAKTHROUGH AN ACTIVE MAINLINE AT LEVEL 7. </t>
  </si>
  <si>
    <t>L10_JVSPLIT_036E_DW</t>
  </si>
  <si>
    <t>REPLACEMENT OF L09_JV_068E_ROBBING. APPROVED ON JULY 8,2022.TEMPORARY STOPPED ON JULY 13,2022 NOT YET STARTED.RESUMED ON JULY 15,2022 AT THE SAME TIME TRANSFER FROM QUIJANO 1 TO PANSIT,NORMAN 2.STOPPED ON AUGUST 6, 2022, CONVERTED TO ACTIVE BREAKING</t>
  </si>
  <si>
    <t>L09_GHVFW_052E_STOPE</t>
  </si>
  <si>
    <t>L05_CTV_029E_RAISE_ISL</t>
  </si>
  <si>
    <t>L09_GHVFW_053E_DE</t>
  </si>
  <si>
    <t>REPLACEMENT OF L10_GHVHW_058E_DW. APPROVED ON DECEMBER 1,2021.TEMPORARRY STOPPED ON JAN 8, 2022 TO DO STOPE PREPARATION.RESUMED ON JULY 12,2022 AT THE SAME TIME RENAMED FROM L10_GHVHW_056E_DE TO L10_GHVHW_054E_DE AND TRANSFER FROM LARGO 1 TO CAPOY 1.STOPPED ON AUGUST 9,2022 CUT BY FAULT.</t>
  </si>
  <si>
    <t>APPROVED ON 6/28/2022 . ADDITIONAL VERTICAL DEVELOPMENT .STOPPED ON AUG.9, 2022 PICH OUT VEIN</t>
  </si>
  <si>
    <t>ADDITIONAL SOURCE OF GOOD ORE. APPROVED ON MAY 13, 2022.STOPPED SILL AND CONVERT TO TOPSLICE STARTING ON MAY 16, 2022.STOPPED ON AUG.9, 2022 DUE TO LOW ASSAY GRADES.</t>
  </si>
  <si>
    <t>REPLACEMENT OF L06_CV_014W_DE. APPROVED ON AUGUST 1,2022.STOPPED ON AUG.9, 2022 PINCHED OUT VEIN.</t>
  </si>
  <si>
    <t>L06_DPVE_012E_DE_ISL</t>
  </si>
  <si>
    <t>REPLACEMENT OF L09_DPVE_084E_RAISE. APPROVED ON JUNE 30, 2022.STOPPED ON AUGUST 10, 2022, ALREADY REACHED THE RECOMMENDED SLOPE DISTANCE (UP-DIP EXTENSION) OF VEIN</t>
  </si>
  <si>
    <t>L09_GHVHW_005E_STOPE PREP</t>
  </si>
  <si>
    <t>L08_JVSPLIT_048E_RAISE</t>
  </si>
  <si>
    <t>L08_JVFW_026E_DE</t>
  </si>
  <si>
    <t xml:space="preserve">ADDITIONAL HORIZONTAL DRIVE  DEVELOPMENT. APPROVED ON 7/26/2022. STOPPED ON AUGUST 9, 2022 DUE TO SAFETY CONCERN, HAS 10 METER BALANCE TO ENTER 43E SHAFT EXCLUSION ZONE.
</t>
  </si>
  <si>
    <t>L08_GHVFW_056E_DW_ISL</t>
  </si>
  <si>
    <t xml:space="preserve"> REPLACEMENT OF L10_DPVE_035E_RAISE. APPROVED ON JULY 5,2022.TEMPORARY STOPPED ON JULY 13, 2022 DUE TO LACK OF TIMBER.RESUMED ON JULY 20,2022.STOPPED ON AUGUST 10, 2022 DUE TO CONSECUTIVE LOW ASSAY GRADES ON CUT/BULK SAMPLES AND VEIN PINCHED OUT.
</t>
  </si>
  <si>
    <t>REPLACEMENT OF L10_GHV_065E_DW. APPROVED ON JULY 5,2022. STOPPED ON JULY 15,2022 DUE TO VEIN PINCHED OUT. resumed on August 1,2022.STOPPED ON AUGUST 10, 2022 DUE TO PINCHED OUT VEIN DUE TO CROSS CUTTING FAULT.</t>
  </si>
  <si>
    <t>REPLACEMENT OF L10_DPVE_038E_STOPE PREP. APPROVED ON APRIL 6,2022.JUSTIFICATION FOR LOW DIPPING AT 43 DEGREES ON MAY 3, 2022.STOPPED BREAKING ON JULY 15,2022 DUE TO VEIN PINCHED OUT. STOPE TRAVERSE ON JULY 16,2022 AT THE SAME TIME CONVERT TO PULL OUT CLEANING.MINED OUT ON AUGUST 6, 2022</t>
  </si>
  <si>
    <t>REPLACEMENT OF L06_JVSPLIT_004W_DW . APPROVED ON MAY 20,2022.TEMPORRARY STOPPED ON MAY 30, 2022. TO PRIORITIZE STOPE PREP.RESUMED ON JULY 19, 2022 AND RENAMED TO L06_JVSPLIT_006W_RAISE FROM L06_JVSPLIT_004W_RAISE AND CHANGE TEAM LEADER FROM REBOTE 3 TO SHEPHERD AC. STOPPED ON AUGUST 11, 2022 DUE TO PINCH OUT VEIN.</t>
  </si>
  <si>
    <t>REPLACEMENT OF L07_NONE_040E_XCS ON FEB.23, 2022.STOPPED ON APRIL 28, 2022, PINCHED OUT VEIN.  RESUMED ON JULY 27, 2022. STOPPED ON AUG. 11 2022 ALREADY BREAKTHROUGH.</t>
  </si>
  <si>
    <t>REPLACEMENT OF L04_GHVFW_008W_WINZE. APPROVED ON JUNE 11, 2022. STOPPED ON AUG.11 2022 PINCHED OUT VEIN.</t>
  </si>
  <si>
    <t>REPLACEMENT OF L05_CTV_012E_DW. APPROVED ON JULY 22, 2022. STOPPED ON AU.11 2022, PINCHED OUT VEIN.</t>
  </si>
  <si>
    <t>REPLACEMENT OF L05_CTV_026E_ROBBING. APPROVED ON JULY 27, 2022.STOPPED ON AUG.11,2022 TO PRIORITIZE STOPE PREP.</t>
  </si>
  <si>
    <t>L05_CTV_024E_WINZE_STOPE PREP</t>
  </si>
  <si>
    <t>REPLACEMENT OF L07_GHVSPLIT_030W_DW. APPROVED ON APR 5, 2022. SILL PILLAR ROBBING, IN RESERVE.STOPPED ON APRIL 24, 2022 DUE TO LOW CONSECUTIVE ASSAY GRADE.</t>
  </si>
  <si>
    <t>REPLACEMENT OF L05_JVSPLIT_008W_DW_ISL. APPROVED ON MARCH 16, 2022. TOPSLICE.TEMPORARY STOPPED ON MARCH 29,2022 LACK OF MANPOWER.RESUMED ON MAY 10, 2022 AT THE SAME TIME TRANSFER TO PANCIT NOEL FROM BAYOBAY.TEMPORARILY STOPPED ON MAY 12 2022. MANPOWER TRANSFER TO 26E WINZE STOPE.RESUMED ON JUNE 29, 2022.CHANGE TEAM LEADER FROM PANCIT, NOEL 4 TO FERNANDEZ, RG 2 ON JUNE 29, 2022.MINED-OUT ON JULY 19, 2022.</t>
  </si>
  <si>
    <t>REPLACEMENT OF L10_DPVE_024E_STOPE PREP, APPROVED ON MAY 20, 2022.STOPPED BREAKING ON JULY 11,2022 DUE TO VEIN PINCHED OUT AND BELOW CUT-OFF GRADE ON 2 IPR'S. TRAVERSE ON JULY 12,2022 AT THE SAME TIME CONVERT TO PULL OUT CLEANING.STOPPED ON AUGUST 10, 2022 ALREADY MINED OUT</t>
  </si>
  <si>
    <t>L08_JVFW_018E_RAISE</t>
  </si>
  <si>
    <t>L06_CV_009W_DE</t>
  </si>
  <si>
    <t xml:space="preserve"> ADDITIONAL SOURCE OF STOPE ORE. APPROVED ON JULY 15,2022.STOP ON 8/5/2022. CONVERTED TO BREAKING  ON THE SAME DATE</t>
  </si>
  <si>
    <t>L10_DPVE_068E_STOPE</t>
  </si>
  <si>
    <t>REPLACEMENT OF L06_DPVE_064E_DE. APPROVED ON 7/26/22. STOPPED ON AUGUST 13, 2022, ALREADY MADE A BREAKTHROUGH.</t>
  </si>
  <si>
    <t xml:space="preserve">REPLACEMENT OF L10_JVHW_046E_STOPE PREP. APPROVED ON JUNE 9, 2022. RECOMMENDED FOR PULL-OUT ON 8/12/2022.
</t>
  </si>
  <si>
    <t>L10_JVHW_044E_STOPE</t>
  </si>
  <si>
    <t>REPLACEMENT OF L09 GHVHW 001W STOPE PREP, APPROVED ON MAY 26, 2022.TRANSFER FROM OCAÑA 1 TO ANDILAB 1 ON JULY 14,2022 DUE TO ABSENTEEISM.RECOMMENDED FOR PULL-OUT CLEANING DUE TO ITS UNSAFE GROUND TYPE APPROVED ON AUGUST 13, 2022.</t>
  </si>
  <si>
    <t>L06_JVHW_007W_RAISE</t>
  </si>
  <si>
    <t>L06_JVFW_001W_DE</t>
  </si>
  <si>
    <t xml:space="preserve">SHEPHERD AC </t>
  </si>
  <si>
    <t>REPLACEMENT OF L05_CTV_028E_RAISE_ISL. APPROVED ON AUGUST 9, 2022.STOPPED ON AUGUST 10, 2022, REPLACEMENT OF L05_CTV_026E_WINZE_STOPE PREP.</t>
  </si>
  <si>
    <t xml:space="preserve"> REPLACEMENT OF L04_GHVFW_010E_DW_ISL. APPROVED ON JULY 30,2022.STOPPED ON AUGUST 15, 2022, ALREADY REACHED THE RECOMMENDED STRIKE LENGTH.</t>
  </si>
  <si>
    <t>L04_GHVFW_010E_WINZE STOPE PREP</t>
  </si>
  <si>
    <t>REPLACEMENT OF L06_JVHW_005W_DW. APPROVED ON JUNE 25, 2022.STOPPED ON AUGUST 11, 2022, PINCHED OUT VEIN.</t>
  </si>
  <si>
    <t xml:space="preserve"> REPLACEMENT OF L05_GHVFW_010E_DE. APPROVED ON JULY 21, 2022.STOPPED ON AUGUST 15, 2022, PINCHED OUT VEIN
</t>
  </si>
  <si>
    <t>REPLACEMENT OF L05_JVFW_031E_RAISE. APPROVED ON JULY 1,2022.STOPPED IN AUGUST 15, 2022, PINCHED OUT VEIN AND DUE TO CONSECUTIVE LOW ASSAY GRADE.</t>
  </si>
  <si>
    <t>STOPPED ON AUGUST 15, 2022 RECOMMENDED FOR ACTIVE BREAKING.REPLACEMENT OF L05_CTV_028E_RAISE_ISL. APPROVED ON AUGUST 11, 2022.RENAME FROM L05_CTV_024E_WINZE_STOPE PREP TO L05_CTV_026E_WINZE_STOPE PREP ON AUG.12, 2022.</t>
  </si>
  <si>
    <t xml:space="preserve">REPLACEMENT OF L08 GHVFW 005E WINZE STOPE  PREP, AS IS LANG SA NI DRE BY PALT.APPROVED ON JULY 7, 2022.STOPPED ON AUGUST 12, 2022, TO RESUME WINZE STOPE.
</t>
  </si>
  <si>
    <t>REPLACEMENT OF L08_JVFW_023E_DE. APPROVED ON 8/1/2022.STOPPED ON AUGUST 8, 2022, HAS 5M REMAINING BALANCE TO CONNECT TO AN OLD MAINLINE.</t>
  </si>
  <si>
    <t>REPLACEMENT OF L08 DPVE 035E RAISE. APPROVED ON MAY 26, 2022 BLOCKING RAISE OF L08 DPVE 035E RAISE.STOPPED ON AUGUST 5, 2022, HAS 5M REMAINING BALANCE TO CONNECT TO LEVEL 7 MAINLINE.</t>
  </si>
  <si>
    <t>REPLACEMENT OF L09_GHVFW_052E_DE. APPROVED ON JULY 17,2022.STOPPED ON AUGUST 16, 2022 DUE TO CONSECUTIVE LOW ASSAY GRADE, AND PINCHED OUT VEIN.</t>
  </si>
  <si>
    <t xml:space="preserve">REPLACEMENT OF L09_DPVE_053E_STOPE PREP. APPROVED ON JUNE 18, 2022.STOPPED BREAKING ON JULY 29,2022 DUE TO VEIN PINCHED OUT AT THE SAME TIME CONVERT TO PULL OUT CLEANING.STOPPED ON JULY 29, 2022, ALREADY REACHED THE RECOMMENDED PULL-OUT PERCENTAGE.
</t>
  </si>
  <si>
    <t xml:space="preserve">REPLACEMENT OF L10_DPVE_025E_STOPE PREP APPROVED ON FEB.22, 2022. TEMPORARY STOPPED ON MAY 25,2022 DUE TO LACK OF MANPOWER AND PRIORITIZED PULL OUT OF L10_DPVE_036E_STOPE.RESUMED ON JUNE 19, 2022.CONVERTED TO PULL-OUT ON  JUNE 27, 2022.STOPPED ON AUGUST 13, 2022, MINED OUT.
</t>
  </si>
  <si>
    <t xml:space="preserve">REPLACEMENT OF L07_JV_044E_RAISE_ISL. APPROVED ON JUNE 30, 2022.CHANGE TEAM LEADER FROM DAVOCOL 1 TO FABROA EFFECTIVE ON JULY 13, 2022, MERGED/TRANSFERRED THE GROUP DUE TO CONSTANT ABSENTEEISM.STOPPED ON AUGUST 16, 2022 DUE TO CONSECUTIVE LOW ASSAY GRADE.STOPPED ON AUGUST 13, 2022 BREAKTHROUGH TO OLD MAINLINE.
</t>
  </si>
  <si>
    <t>L10_GHVHW_050E_RAISE</t>
  </si>
  <si>
    <t>REPLACEMENT OF L08_GHVSPLIT_026E_RAISE. APPROVED ON JUNE 25, 2022.STOPPED ON AUGUST 16, 2022, DUE TO PINCHED OUT VEIN AND CONSECUTIVE LOW ASSAY GRADE.</t>
  </si>
  <si>
    <t>REPLACEMENT OF L08_GHV_025E_WINZE STOPE. APPROVED ON JUNE 29, 2022. TOPSLICE.STOPPED ON JULY 30,2022 ALREADY MINED OUT.</t>
  </si>
  <si>
    <t>REPLACEMENT OF L08 DPVE 031E RAISE. APPROVED ON JULY 18, 2022.STOPPED ON AUGUST 13, 2022, CONVERT TO STOPE BREAKING.</t>
  </si>
  <si>
    <t xml:space="preserve">L08_DPVE_031E_STOPE </t>
  </si>
  <si>
    <t>L08_DPVE_031E_STOPE</t>
  </si>
  <si>
    <t>REPLACEMENT OF L10_DPVE_015E_RAISE. APPROVED ON JUNE 27, 2022.STOPPED ON AUGUST 8, 2022, CONVERT TO STOPE BREAKING.</t>
  </si>
  <si>
    <t>L10_DPVE_059E_STOPE</t>
  </si>
  <si>
    <t>APPROVED ON 8/1/2022. REPLACEMENT OF L08_DPVE_020E_RAISE.STOPPED ON AUGUST 13, 2022, CONVERT TO STOPE BREAKING.</t>
  </si>
  <si>
    <t xml:space="preserve">L08_DPVE_020E_STOPE </t>
  </si>
  <si>
    <t xml:space="preserve">REPLACEMENT OF L04_GHVFW_018E_ROBBING. APPROVED ON JUNE 18, 2022. SILL.STOPPED ON AUGUST 17, 2022 ALREADY REACHED THE RECOMMENDED STRIKE LENGTH/CROWN PILLAR. </t>
  </si>
  <si>
    <t>REPLACEMENT OF L08_JVFW_027E_RAISE APPROVED ON AUGUST 10, 2022.TEMP STOP ON 8/17/2022. TO PROCEED TO RAISE.</t>
  </si>
  <si>
    <t>L08_JVFW_026E_RAISE</t>
  </si>
  <si>
    <t xml:space="preserve">REPLACEMENT OF L10_JVHW_046E_STOPE PREP. APPROVED ON JUNE 9, 2022. RECOMMENDED FOR PULL-OUT ON 8/12/2022.STOPPED ON 8/17/2022 DUE TO THE LOW QUALITY GRADE OF THE REMAINING MATERIALS.
</t>
  </si>
  <si>
    <t>REPLACEMENT OF L09_GHV_033E_WINZE STOPE PREP. APPROVED ON JUNE 11, 2022.STOPPED BREAKING ON AUGUST 17, 2022, AT THE SAME TIME CONVERTED TO PULLOUT CLEANING.</t>
  </si>
  <si>
    <t>L09_JVFW_008W_ROBBING</t>
  </si>
  <si>
    <t>L08_DPVE_020E_STOPE</t>
  </si>
  <si>
    <t>REPLACEMENT L06_JVSPLIT_006W_RAISE APPROVED ON AUGUST 15, 2022.STOPPED ON AUGUST 17, 2022, PINCHED OUT VEIN.</t>
  </si>
  <si>
    <t>L06_JVFW_001W_RAISE</t>
  </si>
  <si>
    <t>REPLACEMENT OF L05_JVHW_006W_STOPE PREP. APPROVED ON JUNE 17, 2022.STOPPED ON AUGUST 16, 2022, AT THE SAME TIME CONVERTED TO ACTIVE PULLOUT.</t>
  </si>
  <si>
    <t>L06_CV_011W_RAISE</t>
  </si>
  <si>
    <t>ADDITIONAL HORIZONTAL DEVT DRIVE. APPROVED ON JULY 30,2022.STOPPED ON AUGUST 18, 2022, PINCHED OUT VEIN.</t>
  </si>
  <si>
    <t xml:space="preserve">APPROVED ON MAR 14, 2022. ADDITIONAL GOOD SOURCE OF SOURE, SILL PILLAR.TEMP STOPPED ON APR 1, 2022.RESUMED ON APRIL 22, 2022.TEMPORARY STOPPED TO PRIORITIZED L09_GHV_061E_WINZE. APPROVED ON APRIL 25, 2022.resume on june 10, 2022.STOPPED ON AUGUST 18, 2022, ALREADY REACHED THE RECOMMENDED SILL PILLAR. </t>
  </si>
  <si>
    <t xml:space="preserve"> ADDITIONAL SOURCE OF GOOD ORE. APPROVED ON JULY 19,2022 STILL ON GOING REHAB.RENAMED FROM L09_GHV_003W_ROBBING TO L09_GHV_006W_ROBBING TO AVOID MISCHARGING ON JULY 20,2022.STOPPED ON AUGUST 18, 2022, ALREADY REACHED THE RECOMMENDED SILL PILLAR. </t>
  </si>
  <si>
    <t>L09_JVFW_073E_ROBBING</t>
  </si>
  <si>
    <t>REPLACEMENT OF L07_JV_041E_DW_ISL. APPROVED ON JULY 10,2022.STOPPED ON 8/1/2022. TO PROCEED TO WEST SIDE OF THE ISL</t>
  </si>
  <si>
    <t xml:space="preserve">REPLACEMENT OF L08_JVFW_022E_DW APPROVED ON AUGUST 12, 2022.STOPPED ON 8/18/2022 DUE TO PINCHING OUT OF VEIN. </t>
  </si>
  <si>
    <t>REPLACEMENT OF L08_JVSPLIT_047E_DW . APPROVED ON 8/3/2022.TEMPORARY STOPPED ON 8/18/2022 DUE TO INSUFFICIENCY OF MANPOWER TO OPERATE THE HEADING.</t>
  </si>
  <si>
    <t>L09_DPVE_043E_WINZE</t>
  </si>
  <si>
    <t>L09_GHV_062E_ROBBING</t>
  </si>
  <si>
    <t>REPLACEMENT OF L06_GHV_003W_STOPE PREP. APPROVED ON JUNE 30, 2022. STOPPED ON AUGUST 17, 2022, CONVERTED TO PULL OUT CLEANING.</t>
  </si>
  <si>
    <t>L06_DPVE_012E_DW_ISL</t>
  </si>
  <si>
    <t>L03_RYV_004W_RAISE</t>
  </si>
  <si>
    <t>L03_RYV_005W_DW</t>
  </si>
  <si>
    <t>REPLACEMENT OF L10_NONE_064E_XCN. APPROVED ON JULY 20,2022.TEMPORARY STOPPED ON AUGUST 21, 2022 GROUP SHALL BE TRANSFERRED TO LEVEL 11.</t>
  </si>
  <si>
    <t>REPLACEMENT OF L07_JV_041E_WINZE. APPROVED ON 6/22/2022. TEMPORARY STOPPED ON JULY 14,2022 TO FOCOS ON EAST SUBLEVEL.RESUME ON 8/1/2022. STOPPED ON AUGUST 20, 2022 DUE TO ITS CONSECUTIVE LOW ASSAY GRADE ON CUT SAMPLES/BULK SAMPLES.</t>
  </si>
  <si>
    <t>L07_DPVE_043E_DE_ISL</t>
  </si>
  <si>
    <t xml:space="preserve"> ADDITIONAL HORIZONTAL DRIVE. APPROVED ON JULY 7,2022.STOPPED ON AUGUST 5, 2022 DUE TO ITS CONSECUTIVE LOW ASSAY GRADE ON CUT SAMPLES/BULK SAMPLES.</t>
  </si>
  <si>
    <t>REPLACEMENT OF L06_JVFW_007W_STOPE. APPROVED ON 7/26/2022. STOPPED ON AUGUST 20, 2022 PINCHED OUT VEIN.</t>
  </si>
  <si>
    <t>REPLACEMENT OF L10_GHVFW_004E_RAISE. APPROVED ON AUGUST 10,2022. STOPPED ON AUGUST 21, 2022 DUE TO PINCHED OUT OF VEIN.</t>
  </si>
  <si>
    <t>ADDITIONAL VERTICAL DEVELOPMENT. APPROVED ON JULY 19,2022.TEMP STOP ON 8/3/2022 LACK OF MANPOWER AND TO DO CLEANING AND DRILLING ACTIVITY.RESUME ON 8/12/2022. STOPPED ON AUGUST 21, 2022 DUE TO CONTINOUS PINCHED OUT OF VEIN.</t>
  </si>
  <si>
    <t>L10_DPVE_082E_STOPE PREP</t>
  </si>
  <si>
    <t>L10_DPVE_061E_STOPE_PREP</t>
  </si>
  <si>
    <t>L10_DPVE_061E_STOPE PREP</t>
  </si>
  <si>
    <t>L08_GHVFW_024E_ROBBING</t>
  </si>
  <si>
    <t>L10_JVSPLIT_066E_ROBBING</t>
  </si>
  <si>
    <t>L10_GHV_053E_DE</t>
  </si>
  <si>
    <t>L11_JV_048E_STOPE PREP</t>
  </si>
  <si>
    <t>DUHIG P3</t>
  </si>
  <si>
    <t>L11_GHV_061E_DE</t>
  </si>
  <si>
    <t>L11_GHVFW_068E_RAISE</t>
  </si>
  <si>
    <t>L07_JVSPLIT_015W_WINZE STOPE PREP</t>
  </si>
  <si>
    <t>REPLACEMENT OF L07_JVSPLIT_015W_WINZE. APPROVED ON MAY 10, 2022.TEMP STOP ON 6/4/2022. TO EXCAVATE DW .RESUMED ON JULY 20,  2022.STOPPED ON AUGUST 22, 2022, CONVERTED TO WINZE STOPE PREP.</t>
  </si>
  <si>
    <t>L07_DPVE_013E_WINZE STOPE PREP</t>
  </si>
  <si>
    <t xml:space="preserve">REPLACEMENT OF L07_GHVFW_005W_RAISE APPROVED AUGUST 3, 2022.STOPPED ON AUGUST 22, 2022, DUE TO CONSECUTIVE LOW ASSAY GRADE.
</t>
  </si>
  <si>
    <t>L07_DPVE_020E_WINZE</t>
  </si>
  <si>
    <t>REPLACEMENT OF L09_DPVE_025E_RAISE. APPROVED ON AUGUST 3,2022.STOPPED ON AUGUST 20, 2022, CONVERTED TO STOPE BREAKING.</t>
  </si>
  <si>
    <t>L09_DPVE_025E_STOPE</t>
  </si>
  <si>
    <t>ADDITIONAL VERTICAL DEVELOPMENT APPROVED ON JUNE 23, 2022. TEMPORARY STOPPED ON JULY 21,2022 DUE TO LACK OF MANPOWER THE GROUP WILL BE MERGE TO OTHER WORKING PLACE.RESUMED ON JULY 26, 2022.STOPPED ON AUGUST 22, 2022 DUE TO LOW GRADE.</t>
  </si>
  <si>
    <t>L07_GHVHW_043E_DW_ISL</t>
  </si>
  <si>
    <t>L11_GHVHW_058E_STOPE PREP</t>
  </si>
  <si>
    <t>L07_DPVE_022E_DW</t>
  </si>
  <si>
    <t xml:space="preserve">STARTED ON JUNE 7, 2022 TO USE FOR EXPLOSIVE WITHDRAWAL FOR EXCAVATION OF NEW HEADROOM,ALREADY STOPPED ON AUGUST 20, 2022
</t>
  </si>
  <si>
    <t>ADDITIONAL HORIZONTAL DEVELOPMENT. APPROVED ON AUGUST 22, 2022.TEMPORARY STOPPED ON AUGUST 23, 2022.</t>
  </si>
  <si>
    <t>L05_JVSPLIT_032W_RAISE</t>
  </si>
  <si>
    <t>REPLACEMENT OF L09 JVSPLIT 025E RAISE. APPROVED ON JULY 13, 2021.STOPPED ON AUGUST 7,2021 DUE TO LOW GRADE. MANPOWER WILL BE MERGE TO OTHER WP.</t>
  </si>
  <si>
    <t xml:space="preserve">REPLACEMENT OF L09_GHV_061E_WINZE.APPROVE ON MAY 2, 2022.TEMP STOPPED ON JUNE 9, 2022 TO PRIORITIZE ROBBING.RESUMED ON AUGUST 16, 2022 IN REPLACEMENT OF L09_GHVSPLIT_065E_DW AT THE SAME TIME CHANGE TEAM LEADER FROM BALANGHIG 3 TO DELOS REYES V3. ON CLEANING STAGE  NO QUOTA UNTIL FURTHER NOTIFICATION AND FIRST BLAST.STOPPED ON AUGUST 23, 2022 DUE TO CONSECUTIVE LOW ASSAY GRADE AT THE SAME TIME PINCHED OUT VEIN.
</t>
  </si>
  <si>
    <t>L05_DPVE_038E_DW</t>
  </si>
  <si>
    <t>L07_DPVE_044E_ROBBING</t>
  </si>
  <si>
    <t>L04_GHVFW_008W_DW_ISL</t>
  </si>
  <si>
    <t>L11_DPVE_020E_ROBBING</t>
  </si>
  <si>
    <t>REPLACEMENT OF L05_NONE_032W_XCN. APPROVED ON JULY 4, 2022.RENAME FROM L05_JVSPLIT_032W_DE TO L05_JVSPLIT_032W_DW ON JULY 25, 2022.TRANSFER FROM SHEPHERD AF TO SAMBERE 1 DUE TO LOW PERFORMING ON JULY 28,2022.TEMPORARY STOPPED ON AUGUST 23, 2022 TO PRIORITIZE L05_JVSPLIT_032W_RAISE.</t>
  </si>
  <si>
    <t>L10_GHV_060E_ROBBING</t>
  </si>
  <si>
    <t xml:space="preserve">REPLACEMENT OF L09_DPVE_053E_DW. APPROVED ON APRIL 13,2022.TEMPORARY STOPPED ON APRIL 22, 2022 TO PRIORITIZED L09_GHVFW_046E_STOPE .RESUMED ON AUGUST 8, 2022 AT THE SAME TIME TRANSFERRED FROM PANCIT TO ALMASA.STOPPED ON AUGUST 25, 2022 FOR WF.
</t>
  </si>
  <si>
    <t xml:space="preserve"> REPLACEMENT OF L04_CV_006E_STOPE PREP. APPROVED ON JUNE 22, 2022.STOPPED ON AUGUST 24, 2022 AT THE SAME TIME CONVERTED TO PULLOUT CLEANING.</t>
  </si>
  <si>
    <t>L05_CTV_028E_WINZE STOPE</t>
  </si>
  <si>
    <t>APPROVED ON 8/1/2022. REPLACEMENT OF L06_CTV_004E_ROBBING.STOPPED ON AUGUST 25, 2022 DUE TO CONSECUTIVE LOW ASSAY GRADE.</t>
  </si>
  <si>
    <t>REPLACEMENT OF L04_GHVFW_016E_ROBBING APPROVED ON AUGUST 11, 2022. SILL.FROM AUGUST 11-20, 2022 CATEGORIZED AS A3 (SILL, MUCKING OLD MUCK) AND ON AUGUST 21, 2022 START ROBBING ON SILL NEW MUCK WITH MUCKING MACHINE (A1).STOPPED ON AUGUST 26, 2022 DUE TO CONSECUTIVE LOW ASSAY GRADE.</t>
  </si>
  <si>
    <t>ADDITIONAL SOURCE OF GOOD ORE. APPROVED ON APRIL 20, 2022.STOPPED ON MAY 16, 2022 TO PRIORITIZE WINZE.RESUMED ON JULY 12, 2022. TOPSLICE.TEMPORARY STOPPED ON JULY 18, 2022 DUE TO LACK OF MANPOWER.RESUMED ON JULY 20, 2022.STOPPED ON AUGUST 26, 2022, ALREADY REACHED THE RECOMMENDED STRIKE LENGTH.</t>
  </si>
  <si>
    <t>REPLACEMENT OF L10_DPVE_084E_RAISE. APPROVED ON JUNE 20, 2022.STOPPED ON AUGUST 16, 2022 DUE TO PINCHED OUT OF VEIN DUE TO CROSS-CUTTING FAULT.</t>
  </si>
  <si>
    <t>L08_NONE_012E_XCN</t>
  </si>
  <si>
    <t>L06_JV_021E_ROBBING</t>
  </si>
  <si>
    <t>ADDITIONAL VERTICAL DEVELOPMENT. APPROVED ON JULY 20,2022.TEMPORARY STOPPED ON JULY 26, 2022 TO PRIORITIZED L09_GHVHW_057E_DW.RESUMED ON JULY 27, 2022.STOPPED ON AUG. 17, 2022. MEMO TO FOLLOW.</t>
  </si>
  <si>
    <t>SPECIAL PROJECT TO SERVE AS BYPASS AND ALTERNATIVE ROUTE, APPROVED ON FEB 4, 2022. STOPPED ON AUGUST 26, 2022. MP SURRENDERED.</t>
  </si>
  <si>
    <t xml:space="preserve">CAPEX PROJECT. ALIMAK RAISE FROM LEVEL 9 TO 8. APPROVED ON SEPT 22, 2020. TEMP STOPPED ON DECEMBER 16 2020.RESUMED ON JUNE 15, 2022.STOPPED ON AUGUST 26, 2022 AS PER LM.
</t>
  </si>
  <si>
    <t>REPLACEMENT OF L09_DPVE_055E_STOPE PREP ON MARCH 31, 2022.STOPPED BREAKING AND CONVERT TO STOPE PULL-OUT ON AUGUST 26, 2022.</t>
  </si>
  <si>
    <t>REPLACEMENT OF L10_DPVE_082E_DW. APPROVED ON JULY 13,2022.TEMPORARY STOPPED ON JULY 20, 2022 DUE TO UNSERVICEABLE AREA. RESUMED ON JULY 29,2022. STOPPED ON AUGUST 25, 2022 ALREADY REACHED THE RECOMMENDED HEIGHT.</t>
  </si>
  <si>
    <t>REPLACEMENT OF L08_GHVFW_005E_DW_ISL. APPROVED ON JULY 5, 2022.TEMPORARY STOP ON 7/22/2022, NEED TO PRIORITTIZE RAISE EXCAVATION IN ORDER TO DETERMINE WHETHER THE PILLAR IN THE DESIGN CAN BE MINED OR NOT. RESUMED ON AUGUST 11, 2022. STOPPED ON AUGUST 17 2022 CONVERTED TO ACTIVE BREAKING</t>
  </si>
  <si>
    <t>L08_GHVFW_005E_WINZE STOPE</t>
  </si>
  <si>
    <t xml:space="preserve">REPLACEMENT OF L08_NONE_026E_REHAB. APPROVED ON 8/3/2022 STOPPED ON AUGUST 25, 2022 CONVERTED INTO ACTIVE BREAKING </t>
  </si>
  <si>
    <t>REPLACEMENT OF L05_CTV_026E_WINZE STOPE PREP APPROVED ON AUGUST 15, 2022.CHANGE NAME FROM L05_CTV_026E_WINZE STOPE TO L05_CTV_028E_WINZE STOPE FOR PROPER NAMING APPROVED ON AUGUST 25, 2022. STOPPED BREAKING AND CONVERT TO STOPE PULL OUT ON AUGUST 27, 2022.</t>
  </si>
  <si>
    <t>ADDITIONAL SOURCE OF ORE. APPROVED ON JULY 7,2022.STOPPED ON AUGUST 28, 2022 DUE TO LOW CONSECUTIVE ASSAY GRADE.</t>
  </si>
  <si>
    <t>REPLACEMENT OF L10_DPVE_063E_DE. APPROVED ON JULY 22,2022.STOPPED ON AUGUST 18, 2022 CONVERT TO STOPE PREP.</t>
  </si>
  <si>
    <t>L07_DPVE_018E_WINZE</t>
  </si>
  <si>
    <t>REPLACEMENT OF L09 GHVHW 001W STOPE PREP, APPROVED ON MAY 26, 2022.TRANSFER FROM OCAÑA 1 TO ANDILAB 1 ON JULY 14,2022 DUE TO ABSENTEEISM.RECOMMENDED FOR PULL-OUT CLEANING DUE TO ITS UNSAFE GROUND TYPE APPROVED ON AUGUST 13, 2022.STOPPED ON AUGUST 29, 2022 WITH 75% PULL-OUT  MC.</t>
  </si>
  <si>
    <t>L09_DPVE_037E_WINZE</t>
  </si>
  <si>
    <t>REPLACEMENT OF L09_GHVHW_002E_DW. APPROVED ON AUGUST 5,2022.CHANGE TEAM LEADER FROM DELOS REYES TO PANSIT, NORMAN 1 ON AUGUST 12, 2022.STOPPED ON AUGUST 29, 2022 FOR WF.</t>
  </si>
  <si>
    <t>L09_GHVHW_008E_RAISE</t>
  </si>
  <si>
    <t>REPLACEMENT OF L05_JVHW_006W_STOPE PREP. APPROVED ON JUNE 17, 2022.STOPPED ON AUGUST 16, 2022, AT THE SAME TIME CONVERTED TO ACTIVE PULLOUT.APPROVED ON AUGUST 16, 2022. STOPPED AND MINED-OUT ON AUGUST 27, 2022 WITH 96% PULL-OUT MC.</t>
  </si>
  <si>
    <t>ADDITIONAL SOURCE OF GOOD ORE, APPROVED ON AUGUST 9, 2022. SILL. CONVERT TO TOPSLICE APPROVED ON AUGUST 22, 2022. STOPPED ON AUGUST 27, 2022. MINED-OUT.</t>
  </si>
  <si>
    <t>L09_JVFW_009E_RAISE</t>
  </si>
  <si>
    <t>ADDITIONAL VERTICAL DEVELOPMENT. APPROVED ON AUGUST 29, 2022. STOPPED ON AUGUST 29, 2022 DUE TO EXCLUSION ZONE AT EXPLOSIVES CHAMBER.</t>
  </si>
  <si>
    <t>REPLACEMENT OF L06_JVFW_001W_DE APPROVED ON AUGUST 17, 2022. STOPPED ON AUGUST 30, 2022 DUE TO PINCHED OUT OF VEIN.</t>
  </si>
  <si>
    <t>L10_GHVFW_001E_RAISE</t>
  </si>
  <si>
    <t>L06_CTV_003E_ROBBING</t>
  </si>
  <si>
    <t>REPLACEMENT OF L10 GHVFW 041E STOPE PREP. APPROVED ON MARCH 8, 2022.CONVERTED TO PULL-OUT ON 7/27/2022. STOPPED ON AUGUST 29,2022 ALREADY MINED OUT.</t>
  </si>
  <si>
    <t>REPLACEMENT OF L10_GHVHW_054E_DE. APPROVED ON AUGUST 9,2022.STOPPED ON AUGUST 31,2022 ALREADY HIT THE TARGET VEIN.</t>
  </si>
  <si>
    <t>L10_DPVE_092E_DE</t>
  </si>
  <si>
    <t>092E</t>
  </si>
  <si>
    <t>Replacement of L08_DPVE_034E_DE. APPROVED on March 15, 2022. TEMPORARY STOPPED ON APRIL 4,2022.RESUME ON 8/9/2022 TO CHECK ON THE FIRST RESUMPTION BLASTING.STOPPED ON AUGUST 30,2022 BREAKTHROUGH TO OLD MAINLINE.</t>
  </si>
  <si>
    <t>L08_DPVE_028E_RAISE</t>
  </si>
  <si>
    <t xml:space="preserve">REPLACEMENT OF L10_NONE_006E_XCS. APPROVED ON JULY 30,2022.STOPPED ON AUGUST 27,2022 GROUP WILL BE TRANSFER TO ROBBING.
</t>
  </si>
  <si>
    <t>L10_GHVHW_064E_ROBBING</t>
  </si>
  <si>
    <t>L10_GHVHW_065E_ROBBING</t>
  </si>
  <si>
    <t>L09_DPVE_076E_WINZE</t>
  </si>
  <si>
    <t>L11_JV_061E_DE</t>
  </si>
  <si>
    <t>APPROVED ON JULY 19, 2022, REPLACEMENT OF L04_CV_025W_ROBBING.STOPPED ON AUGUST 31, 2022 DUE TO UNSAFE CONDITION.</t>
  </si>
  <si>
    <t>L12_NONE_042E_WINZE</t>
  </si>
  <si>
    <t>L05_DPVE_046E_DW</t>
  </si>
  <si>
    <t>L04_GHVFW_010E_WINZE STOPE</t>
  </si>
  <si>
    <t>L08_JVHW_075E_WINZE STOPE</t>
  </si>
  <si>
    <t>ACTIVE ON 7/30/2022 AS REPLACEMENT OF L08_JV_075E_DE_ISL.STOPPED AND CONVERT TO BREAKING ON AUGUST 31, 2022.</t>
  </si>
  <si>
    <t>REPLACEMENT OF L04_GHVFW_010E_DE_ISL APPROVED ON AUGUST 15, 2022.STOPPED AND CONVERT TO BREAKING ON AUGUST 31, 2022.</t>
  </si>
  <si>
    <t>REPLACEMENT OF L12_JV_042E_DE. APPROVED ON JUNE 17, 2022.STOPPED ON AUGUST 31,2022.</t>
  </si>
  <si>
    <t>REPLACEMENT OF L10_GHVFW_051E_STOPE. APPROVED ON AUGUST 16, 2022.STOPPED ON AUGUST 31,2022 BREAKTHROUGH TO OLD RAISE.</t>
  </si>
  <si>
    <t>L10_GHVHW_063E_RAISE</t>
  </si>
  <si>
    <t>REPLACEMENT OF L10_GHVFW_051E STOPE PREP APPROVED ON MARCH 14, 2022.TEMPORAY STOPPED ON APRIL 28, 2022 DUE TO ABSENTEEISM. RESUMED ON MAY 4, 2022.TRANSFER FROM CAPOY 1 TO LARGO 1 TO DUE TO LACK OF MANPOWER AND LOW PEFORMANCE ON JULY 12,2022.STOPPED BREAKING ON JULY 27,2022 DUE TO UNSAFE CONDITION AT THE SAME TIME CONVERT TO PULL OUT CLEANING.STOPPED ON SEPTEMBER 1,2022 ALREADY MINED OUT.</t>
  </si>
  <si>
    <t>REPLACEMENT OF L07_GHVHW_043E_WINZE. APPROVED  ON AUGUST 22, 2022.STOPPED ON SEPTEMBER 1,2022 MANPOWER WILL BE TRANSFER TO LEVEL 11.</t>
  </si>
  <si>
    <t>ADDITIONAL VERTICAL DEVELOMENT DRIVE. APPROVED ON 7/29/2022.STOPPED ON SEPTEMBER 2,2022 DUE TO VEIN PINCHED OUT AND CONSECUTIVE LOW ASSAY GRADE.</t>
  </si>
  <si>
    <t>REPLACEMENT OF L06_CV_011W_DE APPROVED ON AUGUST 18, 2022.STOPPED ON SEPTEMBER 2,2022 DUE TO VEIN PINCHED OUT AND CONSECUTIVE LOW ASSAY GRADE.</t>
  </si>
  <si>
    <t>REPLACEMENT OF L06_JV_028E_WINZE APPROVED ON JULY 16, 2022.STOPPED ON SEPTEMBER 2,2022 DUE TO CONSECUTIVE LOW ASSAY GRADE.</t>
  </si>
  <si>
    <t>TEMPORARY REPLACEMENT OF L10_GHVSPLIT_008E_RAISE. APPROVED ON JULY 27,2022.STOPPED ON SEPTEMBER 2,2022 DUE TO VEIN PINCHED OUT AND CONSECUTIVE LOW ASSAY GRADE.</t>
  </si>
  <si>
    <t>REPLACEMENT OF L05_CTV_026E_WINZE STOPE PREP APPROVED ON AUGUST 15, 2022.CHANGE NAME FROM L05_CTV_026E_WINZE STOPE TO L05_CTV_028E_WINZE STOPE FOR PROPER NAMING APPROVED ON AUGUST 25, 2022. STOPPED BREAKING AND CONVERT TO STOPE PULL OUT ON AUGUST 27, 2022.STOPPED ON AUGUST 30,2022 DECLARED MINED OUT NOTIFIED ON SEPTEMBER 2,2022.</t>
  </si>
  <si>
    <t>ADDITIONAL ALTERNATIVE SUMP @ L05. APPROVED ON MARCH 31 2022.STOPPED ON SEPTEMBER 2,2022.</t>
  </si>
  <si>
    <t>L05_CTV_029E_ROBBING</t>
  </si>
  <si>
    <t>L05_DPVE_051E_WINZE STOPE PREP</t>
  </si>
  <si>
    <t xml:space="preserve">REPLACEMENT OF L08_JVFW_026E_DE. APPROVED ON 8/17/2022. STOPPED ON AUGUST 24,2022 ONLY DO FOLLOW UP OF RAISE.
</t>
  </si>
  <si>
    <t xml:space="preserve"> REPLACEMENT OF L11 GHV 060E DW. APPAROVED ON JUNE 20, 2022. STOPPED ON SEPTEMBER 3,2022 DUE TO CONSECUTIVE LOW ASSAY GRADE.</t>
  </si>
  <si>
    <t>REPLACEMENT OF L04_CV_003E_ROBBING APPROVED ON AUGUST 8, 2022. SILL.STOPPED ON SEPTEMEBR 2, 2022 DUE TO LOW ASSAY GRADE.</t>
  </si>
  <si>
    <t>L04_CV_005E_DE</t>
  </si>
  <si>
    <t>REPLACEMENT OF L07_DPVE_040E_DW. APPROVED ON AUGUST 12, 2022. STOPPED AUGUST 25, 2022 DUE TO PINCHED OUT VEIN.</t>
  </si>
  <si>
    <t>MARTINEZ RON 1</t>
  </si>
  <si>
    <t>ADDITIONAL HORIZONTAL DEVELOPMENT DRIVE. APPROVED ON AUGUST 6,2022.STOPPED ON SEPTEMBER 5, 2022 ALREADY REACHED THE RECOMMENDED HEIGHT.</t>
  </si>
  <si>
    <t>L10_JVSPLIT_040E_RAISE</t>
  </si>
  <si>
    <t>REPLACEMENT OF L10_GHVFW_055E_STOPE PREP ON DEC.14,2021.TEMPORARY STOPPED ON JULY 20,2022 FOR SAFETY INVESTIGATION.resumed on July 27,2022 at the same time convert to pull out cleaning. STOPPED ON SEPTEMBER 5,2022 ALREADY MINED OUT.</t>
  </si>
  <si>
    <t>L10_GHVSPLIT_015E_RAISE</t>
  </si>
  <si>
    <t>REPLACEMENT OF L05_JVSPLIT_032W_DW. APPROVED ON AUGUST 23, 2022. STOPPED ON SEPTEMBER 5, 2022 MEMO TO FOLLOW.</t>
  </si>
  <si>
    <t>L11_GHV_064E_STOPE PREP</t>
  </si>
  <si>
    <t>L05_JVSPLIT_033W_RAISE</t>
  </si>
  <si>
    <t>L09_GHVFW_053E_RAISE</t>
  </si>
  <si>
    <t>REPLACEMENT OF L04 JVFW 012E ROBBING. APPROVED ON JAN 11, 2022.TEMP STOPPED ON JAN 14, 2022 TO REHAB MINE RAILS TOWARDS WORKING AREA.RESUMED ON JAN 19, 2022. STOPPED ON FEB. 17, 2022 DUE TO LOW GRADE.RESUMED ON MAY 11, 2022 AND TRANSFERRED FROM MARTINEZ, RON 3 TO SHEPHERD AL.TEMPORARY STOPPED ON JUNE 16, 2022 TO PRIORITIZE THE FUTURE STOPES AND REPLACE IT BY A VERTICAL DEVELOPMENT.RESUMED ON AUGUST 11, 2022.STOPPED SEPTEMBER 1, 2022 DUE TO PINCHED OUT OF VEIN.</t>
  </si>
  <si>
    <t>L04_CV_007E_DE</t>
  </si>
  <si>
    <t>L04_JVSPLIT_027E_DW</t>
  </si>
  <si>
    <t>L04_CV_009W_ROBBING</t>
  </si>
  <si>
    <t>REPLACEMENT OF L07_GHV_005W_ROBBING. APPROVED ON AUGUST 23, 2022. STOPPED SEPTEMBER 2, 2022 DUE TO LOW GRADE.</t>
  </si>
  <si>
    <t>REPLACEMENT OF L04_CV_007E_DW. APPROVED ON SEPTEMBER 5, 2022.STOPPED ON SEPTEMBER 6, 2022 DUE TO PNCHED OUT OF VEIN.</t>
  </si>
  <si>
    <t>L04_CV_007E_RAISE</t>
  </si>
  <si>
    <t>REPLACEMENT OF L05_DPVE_040E_DW APPROVED ON AUGUST 15, 2022.STOPPED ON SEPTEMBER 7, 2022 DUE TO LOW GRADE AND PINCHED OUT OF VEIN.</t>
  </si>
  <si>
    <t>REPLACEMENT OF L10_GHV_053E_DW. APPROVED ON AUGUST 16, 2022. STOPPED ON SEPT 7, 2022. CONVERT TO BREAKING.</t>
  </si>
  <si>
    <t xml:space="preserve">REPLACEMENT OF L06_GHV_003W_STOPE PREP. APPROVED ON JUNE 30, 2022. STOPPED ON AUGUST 17, 2022, CONVERTED TO PULL OUT CLEANING. APPROVED ON AUGUST 17, 2022, CONVERTED TO PULL OUT CLEANING. TEMPORARY STOPPED ON SEPTEMBER 2, 2022.
</t>
  </si>
  <si>
    <t>L06_CV_011W_ROBBING</t>
  </si>
  <si>
    <t>REPLACEMENT OF L10_GHVSPLIT_066E_DE.APPROVED OF AUGUST 22, 2022. SILL. STOPPED ON SEPTEMBER 7,2022. ALREADY MINED OUT.</t>
  </si>
  <si>
    <t>REPLACEMENT OF L08_DPVE_031E_STOPE PREP. APPROVED ON  AUGUST 13, 2022.STOPPED BREAKING ON SEPT 7, 2022. VEIN PINCHED OUT, CONVERT TO PULL-OUT, CONTROL PULL OUT ONLY BULK GRADE FOR MONITORING.</t>
  </si>
  <si>
    <t xml:space="preserve"> ADDITIONAL VERTICAL DEVELOPMENT. APPROVED ON DECEMBER 8,2021.TEMPORARY STOPPED ON FEBRUARY 12,2022 DUE TO LOW GRADE.RESUMED ON AUGUST 29, 2022 AS WELL AS TRANSFERRED FROM OY-YOY TO AGLOLO 1.STOPPED ON SEPT 6, 2022. ALREADY REACHED RECOMMENDED SLOPE LENGTH, TO CONVERT TO ISL
</t>
  </si>
  <si>
    <t>REPLACEMENT OF L06_JVHW_005W_RAISE APPROVED ON AUGUST 15, 2022. BLOCKING RAISE OF L06_JVHW_005W_RAISE.STOPPED SEPTEMBER 1, 2022 DUE TO LOW GRADE.</t>
  </si>
  <si>
    <t>L09_GHVHW_005E_STOPE</t>
  </si>
  <si>
    <t>REPLACEMENT OF L09_GHVHW_005E_RAISE. APPROVED ON AUGUST 9, 2022. STOPPED ON SEPTEMBER 5, 2022.</t>
  </si>
  <si>
    <t>REPLACEMENT ON L04_CTV_022W_WINZE STOPE PREP. APPROVED ON MAY 31,2022.STOPPED BREAKING ON SEPTEMBER 6, 2022 AND CONVERT TO PULL-OUT.</t>
  </si>
  <si>
    <t>L05_JV_005W_ROBBING</t>
  </si>
  <si>
    <t>L05_JV_012E_ROBBING</t>
  </si>
  <si>
    <t>L05_DPVE_043E_WINZE STOPE PREP</t>
  </si>
  <si>
    <t>L04_GHV_042W_ROBBING</t>
  </si>
  <si>
    <t>L04_JVSPLIT_028E_WINZE STOPE</t>
  </si>
  <si>
    <t>L08_GHVFW_002E_ROBBING</t>
  </si>
  <si>
    <t>REPLACEMENT OF L06_JV_029W_DE. APPROVED ON 8/3/2022.STOPPED ON SEPTEMEBER 9, 2022, ALREADY BREAKTHROUGH TO THE OLD MAINLINE.</t>
  </si>
  <si>
    <t>L06_JV_030W_DW</t>
  </si>
  <si>
    <t>REPLACEMENT OF L04_GHVFW_008W_DE_ISL APPROVED ON AUGUST 12, 2022.STOPPED ON SEPTEMBER  9, 2022, HAS BEEN CUT OFF BY A FAULT</t>
  </si>
  <si>
    <t>REPLACEMENT OF L03_RYV_005W_DE APPROVED ON AUGUST 20, 2022.STOPPED ON SEPTEMBER 9, 2022 ALREADY REACHED THE RECOMMEND STRIKE LENGTH AS IT BREAKTHROUGH TO THE OLD MAINLINE.</t>
  </si>
  <si>
    <t>L10_DPVE_082E_STOPE</t>
  </si>
  <si>
    <t>REPLACEMENT OF L08 JV 032E DW ISL. APPROVED ON JULY 8, 2022. STOPPED ON SEPT 9, 2022. VEIN PINCHED OUT.</t>
  </si>
  <si>
    <t>L08_GHV_003E_DE_ISL</t>
  </si>
  <si>
    <t>L08_DPVE_062E_DE_ISL</t>
  </si>
  <si>
    <t>REPLACEMENT OF L05_CTV_037E_ROBBING. APPROVED ON AUGUST 4,2022. ALREADY DONE PILLAR ROBBING. STOPPED ON SEPT 10, 2022.</t>
  </si>
  <si>
    <t>L06_JVSPLIT_006W_WINZE</t>
  </si>
  <si>
    <t>REPLACEMENT OF L08_GHV_006W_WINZE STOPE PREP ON JULY 1, 2022.STOPPED BREAKING ON SEPTEMBER 1, 2022 AND CONVERT TO STOPE PULL-OUT.</t>
  </si>
  <si>
    <t>REPLACEMENT OF L08 DPVE 057E STOPE PREP, APPROVED ON JUNE 7, 2022. STOPPED BREAKING AND CONVERT TO PULL-OUT ON SEPTEMBER 8, 2022 ALREADY REACHED THE RECOMMENDED HEIGHT.</t>
  </si>
  <si>
    <t>L07_JV_010W_WINZE STOPE</t>
  </si>
  <si>
    <t xml:space="preserve">REPLACEMENT OF L07_JV_010W_DW_ISL. APPROVED ON AUGUST 3,2022. STOPPED AND CONVERT TO STOPE BREAKING ON SEPTEMBER 12, 2022.
</t>
  </si>
  <si>
    <t>L10_DPVE_020E_DW</t>
  </si>
  <si>
    <t xml:space="preserve">ADDITIONAL SOURCE OF GOOD ORE. APPROVED ON AUGUST 22, 2022.STOPPED ON SEPTEMBER 9, 2022, CONVERTED TO STOPE BREAKING.
</t>
  </si>
  <si>
    <t xml:space="preserve">L11_JV_048E_STOPE </t>
  </si>
  <si>
    <t>L11_JV_048E_STOPE</t>
  </si>
  <si>
    <t>L11_NONE_042E_XCS</t>
  </si>
  <si>
    <t>REPLACEMENT OF L06_JV_013E_WINZE. APPROVED ON SEPTEMBER 5, 2022.STOPPED ON SEPTEMBER 12, 2022 PINCHED OUT VEIN</t>
  </si>
  <si>
    <t>L06_JVSPLIT_006W_ROBBING</t>
  </si>
  <si>
    <t>REPLACEMENT OF L06_CV_014W_DW APPROVED ON AUGUST 10, 2022.rename FROM L06_CV_009W_DW TO L06_CV_009W_DE ON AUG.12, 2022.STOPPED ON SEPTEMBER 12, 2022, PINCHED OUT VEIN.</t>
  </si>
  <si>
    <t>L04_JV_040W_DW</t>
  </si>
  <si>
    <t xml:space="preserve"> REPLACEMENT OF L04_CV_004W_ROBBING. APPROVED ON SEPTEMBER 2, 2022. RENAME FROM L04_JV_040W_DW TO L04_JVSPLIT_027E_DW. APPROVED ON SEPTEMBER 5, 2022. STOPPED ON SEPTEMBER 12, 2022 DUE TO PINCHED OUT OF VEIN.</t>
  </si>
  <si>
    <t xml:space="preserve"> REPLACEMENT OF L04_CV_006E_STOPE PREP. APPROVED ON JUNE 22, 2022.STOPPED ON AUGUST 24, 2022 AT THE SAME TIME CONVERTED TO PULLOUT CLEANING.MINED OUT ON SEPTEMBER 12, 2022 WITH 87% PULL-OUT MC.</t>
  </si>
  <si>
    <t>ADDITIONAL SOURCE OF GOOD ORE. APPROVED ON SEPTEMBER 1, 2021. STOPPED ON SEPTEMBER 14, 2021. FINISHED HEADING. RESUMED ON OCT 6, 2021, TO BREAK SILL PILLAR, AT THE SAME TIME TRANSFER FROM GONZALES 2 TO GUNAY 2. renamed from L06_JVFW_020E_ROBBING on OCT 7 2021 TO AVOID MISCHARGING OF L06 JV 020E WINZE. STOPPED ON OCT 23, 2021, ALREADY DONE ROBBING PILLAR.</t>
  </si>
  <si>
    <t>REPLACEMENT OF L06_JVHW_064E_ROBBING. APPROVED ON JULY 13,2022 TOPSLICE WITH AIRHOIST.STOPPED ON SEPTEMBER 9, 2022 ALREADY REACHED THE RECOMMENDED CROWN PILLAR.</t>
  </si>
  <si>
    <t>REPLACEMENT OF L06_JVHW_063E_ROBBING. APPROVED ON JUNE 15, 2022. SILL.STOPPED ON JULY 6, 2022 ALREADY DONE PILLAR ROBBING.</t>
  </si>
  <si>
    <t>REPLACEMENT OF  L06_CTV_006E_WINZE .approved on Dec 3 2021. TOPSLICE. STOPPED ON JAN 22, 2022 ALREADY DONE PILLAR ROBBING. RESUMED ON JAN 24, 2022, CONVERT TO SILL PILLAR ROBBING.stopped on march 2, 2022</t>
  </si>
  <si>
    <t>ADDITIONAL PRODUCTION OF GOOD ORE. APPROVE ON SEPT. 1, 2020. TEMPORARY STOPPED ON NOV 13 2020.</t>
  </si>
  <si>
    <t>ADDITIONAL SUMP AT LEVEL 6. APPROVED ON DECEMBER 1,2020. ALREADY DONE EXCAVATION FOR SUMP.</t>
  </si>
  <si>
    <t xml:space="preserve"> REPLACEMENT OF L10_DPVE_078E_RAISE. APPROVED ON AUG. 22, 2022.STOPPED ON SEPTEMBER 9,2022 ALREADY BREAKTHROUGH.</t>
  </si>
  <si>
    <t>L06_JV_022W_ROBBING</t>
  </si>
  <si>
    <t>APPROVED ON 8/3/2022 AS A REPLACEMENT OF L06_JV_008W_WINZE.STOPPED ON SEPTEMBER 13, 2022 DUE TO LOW ASSAY GRADE.</t>
  </si>
  <si>
    <t>L06_JV_029W_RAISE</t>
  </si>
  <si>
    <t>L06_JV_008W_ROBBING</t>
  </si>
  <si>
    <t>L06_NONE_009W_XCS</t>
  </si>
  <si>
    <t>L11_DPVE_035E_RAISE</t>
  </si>
  <si>
    <t>L08_GHVFW_056E_WINZE STOPE PREP</t>
  </si>
  <si>
    <t>REPLACEMENT OF L05_JVSPLIT_032W_RAISE. APPROVED ON SEPTEMBER 5, 2022.STOPPED ON SEPTEMBER 14, 2022, PINCHED OUT VEIN.</t>
  </si>
  <si>
    <t>REPLACEMENT OF L10_DPVE_061E_RAISE APPROVED ON 8/22/2022.STOPPED ON SEPTEMBER 13,2022 ALREADY BREAKTHROUGH.</t>
  </si>
  <si>
    <t>L10_DPVE_061E_STOPE</t>
  </si>
  <si>
    <t>ADDITIONAL VERTICAL DEVELOPMENT. APPROVED ON AUGUST 5,2022.STOPPED ON SEPTEMBER 14, 2022 DUE TO LOW GRADE.</t>
  </si>
  <si>
    <t>L09_DPVE_083E_STOPE PREP</t>
  </si>
  <si>
    <t>PASIT NORMAN 3</t>
  </si>
  <si>
    <t>ADDITIONAL HORIZONTAL DEVT DRIVE. APPROVED ON MAY 31, 2022.RENAMED from L09_GHV_001E_DW_ISL TO L09_GHV_003W_DW_ISL TO PREVENT MISCHARGING WITH 1W STOPE.TEMPORARILY STOPPED ON JUNE 15, 2022, UNSERVICEABLE AREA.RESUMED ON JUNE 22, 2022. TRANSFER FROM FERNANDEZ, REX 3 TO BABOR 3 DUE TO INSUFFIENT MANPOWER. TEMPORARY STOPPED ON JULY 11,2022 DUE TO DEFECTIVE AIRHOIST. RESUMED ON JULY 14,2022.STOPPED ON SEPTEMBER 14, 2022 TO CONVERT TO STOPE PREP.</t>
  </si>
  <si>
    <t>L09_GHV_003W_WINZE STOPE PREP</t>
  </si>
  <si>
    <t>SHEPHERD AR 2</t>
  </si>
  <si>
    <t>L09_DPVE_080E_DW_ISL</t>
  </si>
  <si>
    <t>L07_CTV_011E_ROBBING</t>
  </si>
  <si>
    <t>REPLACEMENT OF L06_JV_023W_ROBBING. APPROVED ON AUG 8, 2022. SILL PILLAR ROBBING.STOPPED ON SEPTEMBER 12, 2022 ALREADY FINISHED HEADING.</t>
  </si>
  <si>
    <t>REPLACEMENT OF L10_GHV_053E_DW. APPROVED ON AUGUST 22, 2022.STOPPED ON SEPTEMBER 1,2022.</t>
  </si>
  <si>
    <t>Change from 24 to 32 mc effective Sept 1. New incentive scheme.</t>
  </si>
  <si>
    <t>L10_GHVHW_002W_DW</t>
  </si>
  <si>
    <t>L06_GHVHW_031W_RAISE</t>
  </si>
  <si>
    <t>REPLACEMENT OF L06_GHV_043E_ROBBINGAPPROVED ON MAY 6, 2022.  SILL PILLARS.TEMPORARY STOPPED ON MAY 11, 2022. RENAME FROM L06_GHV_040E_ROBBING. APPROVED ON MA Y 12, 2022. TOPSLICE W/O AIRHOIST.TEMPORARY STOPPED ON AUGUST 20, 2022, MANPOWER TRANSFERRED TO LEVEL 11 AS PER MGT.RESUMED ON AUG 30, 2022.TEMPORARY STOPPED ON SEPTEMBER 12, 2022, MANPOWER TRANSFERRED TO LEVEL 11.</t>
  </si>
  <si>
    <t>L06_GHVSPLIT_013E_DW</t>
  </si>
  <si>
    <t>REPLACEMENT OF L10_NONE_090E_XCS. APPROVED ON AUGUST 31,2022.TEMPORARY STOPPED ON SEPTEMBER 16, 2022 PINCHED OUT VEIN.</t>
  </si>
  <si>
    <t>REPLACEMENT OF L10_JVSPLIT_040E_DE. APPROVED ON SEPTEMBER 5, 2022.STOPPED ON SEPTEMBER 16, 2022 PINCHED OUT VEIN DUE TO CUTTING FAULT</t>
  </si>
  <si>
    <t>L10_JVSPLIT_042E_RAISE</t>
  </si>
  <si>
    <t>L09_GHV_049E_WINZE</t>
  </si>
  <si>
    <t>L09_GHVFW_050E_WINZE</t>
  </si>
  <si>
    <t xml:space="preserve"> REPLACEMENT OF L09_DPVE_054E_RAISE. APPAROVED ON AUGUST 26, 2022.CHANGED VEIN FROM GV TO JVFW.TEMPORARY STOPPED ON SEPTEMBER 12,2022 FOR SAFETY EVALUATION.</t>
  </si>
  <si>
    <t>CHANGE QUOTA from 400 to 350 on 6/1/17. CHANGE QUOTA  from 350 to 250 on 4/9/18. CHANGE QUOTA from 250 to 280 on 12/12/18. CHANGE FROM 200 TO 180 GROUP TRANSFER TO LEVEL 8 AND DEPLETION OF RESOURCES 12/1/21. CHANGE FROM 180 TO 150 DUE TO DEPLETION OF RESOURCES 2/1/22. Change from 150 to 60 groups transfer to Level 11 9/19/22.</t>
  </si>
  <si>
    <t xml:space="preserve">REPLACEMENT OF L09_GHVHW_057E_DW. APPROVED ON AUGUST 17, 2022.L09_GHVHW_055E_RAISE. RENAME TO L09_GHVHW_051E_RAISE. TEMPORARY STOPPED ON SEPTEMBER 16, 2022 DUE TO CONSECUTIVE LOW ASSAY GRADE AT THE SAME TIME TO PRIORITIZE WINZE.TEMPORARY STOPPED ON SEPTEMBER 16, 2022 DUE TO CONSECUTIVE LOW ASSAY GRADE AT THE SAME TIME TO PRIORITIZE WINZE.
</t>
  </si>
  <si>
    <t>L11_GHV_069E_DE</t>
  </si>
  <si>
    <t>L11_JVFW_061E_RAISE</t>
  </si>
  <si>
    <t>ADDITIONAL VERTICAL DEVELOPMENT. APPROVED ON SEPTEMBER 1,2022. TEMPORARY STOPPED ON SEPTEMBER 6,2022.</t>
  </si>
  <si>
    <t>ADDITIONAL VERTICAL DEVELOPMENT. APPROVED ON JUNE 10, 2022. STOPPED ON SEPTEMBER 9,2022</t>
  </si>
  <si>
    <t>REPLACEMENT OF L06_JV_029W_DW. APPROVED ON SEPTEMBER 9, 2022.STOPPED ON SEPTEMBER 13, 2022 ALREADY BREAKTHROUGH.</t>
  </si>
  <si>
    <t>REPLACEMENT OF L04_CV_014W_ROBBING. APPROVED ON SEPTEMBER 2, 2022.TEMPORARY STOPPED ON SEPTEMBER 6, 2022 TO PRIORITIZE L04 CV 009W ROBBING.RESUMED ON SEPTEMBER 9, 2022 AS WELL AS TRANSFERRED FROM MARTINEZ, RON 1 TO SHEPHERD AR 1.TEMPORARY STOPPED ON SEPTEMBER 17, 2022 TO PRIORITIZE ANOTHER HORIZONTAL DEVELOPMENT.</t>
  </si>
  <si>
    <t>L04_CV_001E_DW</t>
  </si>
  <si>
    <t>REPLACEMENT OF L05_CTV_012E_RAISE. APPROVED ON 8/12/2022.STOPPED ON SEPTEMBER 17, 2022 PINCHED OUT VEIN.</t>
  </si>
  <si>
    <t xml:space="preserve">REPLACEMENT OF L09 GHV 063E ROBBING. APPROVED ON MAY 30, 2022.STOPPED ON JUNE 9, 2022 DUE TO VEIN PINCHED OUT.RESUMED ON  JUNE 22, 2022 AND AT THE SAME TIME CHANGE FROM REBOTE JOS 4 TO CANOY 2.TEMPORARY STOPPED ON JULY 20,2022 TO FOLLOW UP RAISE.TEMP STOPPED ON 8/18/2022.RESUMED ON AUGUST 23, 2022.STOPPED ON SEPTEMBER 15, 2022 DUE TO SAFETY CONCERNS, HAS ONLY 8 METERS TO BREAKTHROUGH.
</t>
  </si>
  <si>
    <t>REPLACEMENT OF L08_DPVE_031E_STOPE PREP. APPROVED ON  AUGUST 13, 2022.STOPPED BREAKING ON SEPT 7, 2022. VEIN PINCHED OUT, CONVERT TO PULL-OUT, CONTROL PULL OUT ONLY BULK GRADE FOR MONITORING.STOPPED ON SEPTEMBER 18, 2022, DUE TO CONSECUTIVE LOW BULK ASSAY GRADE.</t>
  </si>
  <si>
    <t>REPLACEMENT OF L04_GHVFW_024W_ROBBING APPROVED ON JULY 19, 2022, SILL.STOPPED ON SEPTEMBER 19, 2022, ALREADY REACHED THE RECOMMENDED SILL PILLAR.</t>
  </si>
  <si>
    <t>L04_NONE_005E_XCN</t>
  </si>
  <si>
    <t>REPLACEMENT OF L04_CV_014W_ROBBING. APPROVED ON SEPTEMBER 2, 2022.TEMPORARY STOPPED ON SEPTEMBER 6, 2022 TO PRIORITIZE L04 CV 009W ROBBING.RENAME L04_CV_005E_DE TO L04_NONE_005E_XCN APPROVED ON SEPTEMBER 20, 2022.</t>
  </si>
  <si>
    <t>ADDITIONAL VERTICAL DEVELOPMENT APPROVED ON AUGUST 20, 2022.STOPPED ON SEPTEMBER 20,2022 DUE TO CONSECUTIVE LOW ASSAY GRADE.</t>
  </si>
  <si>
    <t>REPLACEMENT OF L06_JV_056E_ROBBING. APPROVED ON SEPTEMBER 9, 2022. SILL.STOPPED ON SEPTEMBER 20,2022 DUE TO CONSECUTIVE LOW ASSAY GRADE.</t>
  </si>
  <si>
    <t>REPLACEMENT OF L09 GHVSPLIT 034E DW, APPROVED ON JUNE 10, 2022.STOPPED ON JULY 15,2022 ALREADY REACHED THE RECOMMENDED STRIKE LENGTH. RESUMED ON AUGUST 6,2022.RENAMED FROM L09_GHVFW_052E_DE TO L09_GHVFW_053E_DE ON AUGUST 9,2022.TEMPORARY STOPPED ON SEPTEMBER 5, 2022 TO PRIORITIZED RAISE.RESUMED ON  SEPT 9, 2022, AT THE SAME TIME RENAME FROM L09_GHVFW_053E_DE TO L09_GHVFW_054E_DE TO AVOID MISCHARGING TO L09_GHVFW_053E_RAISE.STOPPED ON SEPTEMBER 20,2022 DUE TO OFF VEIN AND UNCERTAINTY OF VEIN EXTENSION.</t>
  </si>
  <si>
    <t>REPLACEMENT OF L10_NONE_053E_XCS. APPROVED ON JULY 26,2022.TEMPORARY STOPPED ON AUGUST 21, 2022 GROUP SHALL BE TRANSFERRED TO LEVEL 11. RESUMED ON SEPTEMBER 1,2022 AT THE SAME TIME TRANSFER FROM DUHIG, PETER TO TAÑEZA 2.STOPPED ON SEPTEMBER 20,2022 NOT TO BREAKTHROUGH.</t>
  </si>
  <si>
    <t>L07_DPVE_013E_WINZE STOPE</t>
  </si>
  <si>
    <t>REPLACEMENT OF L07_GHV_005W_ROBBING APPROVED ON AUGUST 22, 2022. STOPPED ON SEPT. 20, 2022.</t>
  </si>
  <si>
    <t>ADDITIONAL VERTICAL RAISE APPROVED ON 8/5/2022. TEMPORARY STOPPED ON AUGUST 22, 2022, MANPOWER TRANSFERRED TO LEVEL 11 AS PER MGT. RESUMED ON SEPTEMBER 5, 2022 AS WELL AS TRANSFERRED FROM BAÑEZ 3.
TO REBOTE 3.STOPPED ON SEPTEMBER 19, 2022 DUE TO CONSECUTIVE LOW ASSAY GRADE</t>
  </si>
  <si>
    <t>REPLACEMENT OF L06_JV_021E_ROBBING. APPROVED ON SEPTEMBER 14, 2022.TEMPORARY STOPPED ON SEPTEMBER 19, 2022, MANPOWER TRANSFERRED TO LEVEL 11.</t>
  </si>
  <si>
    <t>REPLACEMENT OF L06_CV_009W_DE. APPROVED ON SEPTEMBER 12, 2022.TEMPORARY STOPPED ON SEPTEMBER 14, 2022, MANPOWER TRANSFERRED TO LEVEL 11.</t>
  </si>
  <si>
    <t>REPLACEMENT OF L06_JV_022E_ROBBING. APPROVED ON AUGUST 26, 2022. TOPSLICE W/O AIRHOIST.STOPPED ON SEPTEMBER 13, 2022, MINED OUT.</t>
  </si>
  <si>
    <t>L04_NONE_001E_XCN</t>
  </si>
  <si>
    <t>L11_JVSPLIT_070E_DW</t>
  </si>
  <si>
    <t>REPLACEMENT OF L08_GHVSPLIT_025E_RAISE. APPROVED ON AUGUST 22, 2022.SILL.STOPPED ON SEPT 21, 2022. ALREADY DONE PILLAR ROBBING.</t>
  </si>
  <si>
    <t>REPLACEMENT OF L08_DPVE_072E_WINZE STOPE ON MARCH 9,2022. STOPPED BREAKING ON AUGUST 1,2022. STOPE TRAVERSE ON AUGUST 5,2022 AT THE SAME TIME CONVERT TO PULL OUT CLEANING.STOPPED ON SEPT 21, 2022. ALREADY MINED OUT WITH 124% PULL OUT.</t>
  </si>
  <si>
    <t xml:space="preserve"> REPLACEMENT OF L05_DPVE_039E_DW. APPROVED ON SEPTEMBER 7, 2022. SILL WITH MUCKING.RENAME FROM L05_JV_005E_ROBBING TO L05_JV_012E_ROBBING. APPROVED ON SEPTEMBER 9, 2022.STOPPED ON SEPTEMBER 23,2022 ALREADY MINED OUT.</t>
  </si>
  <si>
    <t>REPLACEMENT OF L05_DPVE_034E_DW_ISL. APPROVED ON MARCH 21,2022. RECOMMENDED FOR ACTIVE STOPE BREAKING. APPROVED ON APRIL 22, 2022.TEMPORARY STOPPED ON APRIL 29, 2022 AS PER ADVISED BY MGT ALL DPVE AT L05.RESUMED ON JUNE 29, 2022. STOPPED ON SEPTEMBER 23,2022 ALREADY DONE BREAKING AT THE SAME TIME CONVERT TO PULL-OUT CLEANING.</t>
  </si>
  <si>
    <t>L05_JVSPLIT_033W_DE</t>
  </si>
  <si>
    <t>L06_JV_023E_ROBBING</t>
  </si>
  <si>
    <t>L09_DPVE_039E_RAISE</t>
  </si>
  <si>
    <t>REPLACEMENT OF L09_GHV_033E_WINZE STOPE PREP. APPROVED ON JUNE 11, 2022.STOPPED BREAKING ON AUGUST 17, 2022, AT THE SAME TIME CONVERTED TO PULLOUT CLEANING.STOPPED ON SEPTEMBER 23,2022 DUE TO CONSECUTIVE LOW ASSAY GRADE.</t>
  </si>
  <si>
    <t>REPLACEMENT OF L11_GHVFW_066E_DE. APPROVED ON MAY 21,2022.TEMPORARY STOPPED ON SEPTEMBER 23,2022 DELAY BY FOLLOW UP RAISE.</t>
  </si>
  <si>
    <t>L04_JVSPLIT_024E_DE</t>
  </si>
  <si>
    <t>L11_GHVFW_066E_STOPE PREP</t>
  </si>
  <si>
    <t xml:space="preserve"> ADDITIONAL VERTICAL DEVELOPMENT. APPROVED ON AUGUST 22, 2022.STOPPED SEPTEMBER 23,2022 CONVERT TO BLIND STOPE PREPARATION.</t>
  </si>
  <si>
    <t>REPLACEMENT OF L11_NONE_048E)_XCN ON May 1, 2021. TEMPORARY STOPPED ON JUNE 22,2021 TO FOLLOW UP RAISE.Resume on July 13,2021. TEMPORARY stopped ON AUGUST 5,2021 TO PRIORITIZED CROSSCUT FOR DEFINITION DRILLING.RESUMED ON AUGUST 31,2021. TEMPORARY STOPPED ON SEPTEMBER 8,2021 DUE TO TROUBLE AT 35E SHAFT.RESUMED ON SEPTEMBER 13,2021. TEMP STOPPED ON OCT 6, 2021 DUE TO DRILLING ACTIVITY. RESUMED ON MAY 21,2022.STOPPED ON JUNE 29, 2022 DUE TO PINCHED OUT VEIN.
RESUMED ON SEPTEMBER 23,2022 AT THE SAME TIME RENAMED FROM L11_JV_048E_DE TO L11_JV_055E_DE TO AVOID MISCHARGING.</t>
  </si>
  <si>
    <t>L11_JV_055E_DE</t>
  </si>
  <si>
    <t>L04_CV_006E_WINZE</t>
  </si>
  <si>
    <t>REPLACEMENT OF L04_CV_014W_ROBBING. APPROVED ON SEPTEMBER 6, 2022. TOPSLICE WITH AIRHOIST.STOPPED ON SEPTEMBER 24, 2022 DUE TO ITS UNSAFE CONDITION.</t>
  </si>
  <si>
    <t>L05_JV_020E_STOPE PREP</t>
  </si>
  <si>
    <t>TOPSLICE</t>
  </si>
  <si>
    <t>REPLACEMENT OF L08 DPVE 057E STOPE PREP, APPROVED ON JUNE 7, 2022. STOPPED BREAKING AND CONVERT TO PULL-OUT ON SEPTEMBER 8, 2022 ALREADY REACHED THE RECOMMENDED HEIGHT.STOPPED ON SEPTEMBER 25, 2022, WITH 91% PULL-OUT MC,  DUE TO ITS CONSECUTIVE LOW ASSAY GRADE ON CHUTE SAMPLES.</t>
  </si>
  <si>
    <t>L08_GHVFW_025E_ROBBING</t>
  </si>
  <si>
    <t>L10_GHVFW_048E_DW</t>
  </si>
  <si>
    <t>REPLACEMENT OF L10_DPVE_022E_STOPE PREP. APPROVED ON JULY 26,2022. STOPPED BREAKING ON SEPTEMBER 22,2022 ALREADY DONE STOPE TRAVERSE ON SEPT 23,2022 AT THE SAME TIME CONVERT TO PULL OUT CLEANING.</t>
  </si>
  <si>
    <t xml:space="preserve">REPLACEMENT OF L09_JV_004E_DW. APPROVED ON JULY 26,2022.TEMPORARY STOPPED ON SEPTEMBER 1,2022 TO PRIORITY OPEN OF VERTICAL RAISE. RESUMED ON SEPTEMBER 5, 2022.STOPPED ON SEPTEMBER 26,2022 DUE TO PINCHED OUT OF VEIN AND CONSECUTIVE LOW ASSAY GRADE.
</t>
  </si>
  <si>
    <t>L09_JVFW_006W_DW</t>
  </si>
  <si>
    <t>REPLACEMENT OF L06_DPVE_057E_DW APPROVED ON AUGUST 9, 2022.CHANGE TEAM LEADER FROM BAÑEZ 4 TO REBOTE 1 APPROVED ON SEPTEMBER 14, 2022.STOPPED ON SEPTEMBER 20,2022 DUE TO CONSECUTIVE LOW ASSAY GRADE.TEMPORARY STOPPED ON SEPTEMBER 21, 2022, MANPOWER TRANSFERRED TO LEVEL 11.PERMANENTLY STOPPED ON SEPTEMBER 26,2022 LOW ASSAY GRADE AND DID NOT PASSED THE WIREFRAME.</t>
  </si>
  <si>
    <t>REPLACEMENT OF L06_JVSPLIT_006W_WINZE. APPROVED ON SEPTEMBER 12, 2022. TOPSLICE. STOPPED ON SEPTEMBER 26,2022 DUE TO LOW ASSAY GRADE AND PINCHED OUT OF VEIN.</t>
  </si>
  <si>
    <t xml:space="preserve">ADDITIONAL INTERMEDIATE SUBLEVEL. APPROVED ON AUGUST 20,2022 TEMPORARY STOPPED ON AUGUST 30,2022 NOTIFIED ON AUGUST 31,2022. NOT IN RESERVE.RESUMED ON SEPTEMBER 9, 2022, IN REPLACEMENT OF L06_DPVE_012E_DW_ISL. STOPPED ON SEPTEMBER 10, 2022 DUE TO LOW GRADE.RESUME ON SEPTEMBER 7, 2022.STOPPED ON SEPTEMBER 26,2022 DUE TO CONSECUTIVE LOW ASSAY AND CUT GRADE 
</t>
  </si>
  <si>
    <t>L06_GHV_003W_ROBBING</t>
  </si>
  <si>
    <t>REPLACEMENT OF L10_DPVE_042E_DE. APPROVED ON MAY 28,2021.Temporary stopped on August 11,2021 to follow up raise. RESUMED ON SEPTEMBER 1,2021.TEMPORARY STOPPED ON SEPTEMBER 10,2021 TO DO FOLLOW UP RAISE. RESUMED ON SEPTEMBER 20,2021 NOTIFIED ON SEPTEMBER 23,2021.TEMP STOPPED ON JAN.25, 2022.RESUMED ON MARCH 22,2022. AT THE SAME TIME TRANSFER FROM ALMASA 3 TO BAÑEZ 8 AND RENAMED FROM L10_DPVE_038E_DW TO L10_DPVE_022E_DW.TEMPORARY STOPPED ON APRIL 12,2022 DELAY ON STOPE PREPARATION.RESUMED ON JULY 19,2022 AT THE SAME TIME RENAMED FROM L10_DPVE_022E_DW TO L10_DPVE_021E_DW AND TRANSFER FROM BAÑEZ 7 TO ALMASA 2. TEMPORARY STOPPED ON AUGUST 1,2022 DUE TO INADEQUTE SKILL TO OPERATE THE HEADING AND ABSENTEEISM. RESUMED ON AUGUST 6,2022 AT THE SAME TIME TRANSFER FROM ALMASA 2 TO TAÑEZA 6.STOPPED ON SEPTEMBER 12, 2022, PINCHED OUT VEIN. RESUMED ON SEPTEMBER 21,2022 AT THE SAME TIME TRANSFER FROM TAÑEZA 6 TO ALMASA 2.TEMPORARY STOPPED ON SEPTEMBER 22,2022 FOR EVALUATION.</t>
  </si>
  <si>
    <t>ADDITIONAL INTERMEDIATE SUBLEVEL. APPROVED ON AUGUST 20,2022 TEMPORARY STOPPED ON AUGUST 30,2022 NOTIFIED ON AUGUST 31,2022. NOT IN RESERVE.RESUMED ON SEPTEMBER 9, 2022, IN REPLACEMENT OF L06_DPVE_012E_DW_ISL.STOPPED ON SEPTEMBER 26,2022 DUE TO CONSECUTIVE LOW ASSAY AND CUT GRADE</t>
  </si>
  <si>
    <t>REPLACEMENT OF L06_DPVE_012E_WINZE APPROVED ON AUGUST 9, 2022.CHANGE NAME FROM L06_DPVE_012E_DE_ISL to L06_DPVE_012E_DW_ISL.STOPPED ON SEPTEMEBER 9, 2022 DUE TO ITS NARROW VEIN AND CONSECUTIVE LOW ASSAY GRADE. RESUMED ON SEPTEMBER 10,2022.STOPPED ON SEPTEMBER 12, 2022 PINCHED OUT VEIN.</t>
  </si>
  <si>
    <t xml:space="preserve">ADDITIONAL VERTICAL WINZE AT LEVEL 10 DOWN TO LEVEL 11. APPROVED ON JUNE 3,2022. STOPPED ON SEPTEMBER 27,2022.
</t>
  </si>
  <si>
    <t xml:space="preserve"> DEWATERING PROJECT HAS 3 COMPARTMENTS FOR 1 PUMP CHAMBER AND 2 SILT COMPARTMENTS.  APPROVED ON JUNE 22, 2022.STOPPED ON SEPT 24, 2022. ALREADY DONE.</t>
  </si>
  <si>
    <t>ADDITIONAL HORIZONTAL DEVELOPMENT. APPROVED ON MAY 14,2022.STOPPED ON JULY 1, 2022 DUE TO MANPOWER ISSUE.RESUMED ON JULY 19,2022 AT THE SAME TIME TRANSFER FROM DUHIG, R1 TO BAÑEZ 2.STOPPED ON SEPT 26, 2022 BREAKTHROUGH TO AN OLD MAINLINE.</t>
  </si>
  <si>
    <t xml:space="preserve"> REPLACEMENT OF L11_GHVHW_058E_RAISE. APPROVED ON AUGUST 23, 2022. STOPPED ON SEPTEMBER 20,2022 CONVERTED TO STOPE BREAKING.</t>
  </si>
  <si>
    <t>L11_GHVHW_058E_STOPE</t>
  </si>
  <si>
    <t>FERNANDEZ, RM 1</t>
  </si>
  <si>
    <t>FERNANDEZ, RM 3</t>
  </si>
  <si>
    <t>SHEPHERD AQ 1</t>
  </si>
  <si>
    <t>L05_DPVE_034E_WINZE STOPE</t>
  </si>
  <si>
    <t>SHEPHERD AA 1</t>
  </si>
  <si>
    <t>MONTEBON 4</t>
  </si>
  <si>
    <t>DUHIG, P8</t>
  </si>
  <si>
    <t>L11_NONE_057E_CHAMBER</t>
  </si>
  <si>
    <t xml:space="preserve"> SILVOZA 1</t>
  </si>
  <si>
    <t>L04_NONE_012W_XCS</t>
  </si>
  <si>
    <t>Change from 5 to 6 effective Oct 1 quota adjustment for winze stope.</t>
  </si>
  <si>
    <t>Change from 8 to 10 effective Oct 1 quota adjustment for winze stope.</t>
  </si>
  <si>
    <t>Change from 12 to 20 effective Oct 1 quota adjustment for winze stope.</t>
  </si>
  <si>
    <t>3W Shaft</t>
  </si>
  <si>
    <t>L11_JVFW_062E_STOPE PREP</t>
  </si>
  <si>
    <t>L10_GHV_066E_ROBBING</t>
  </si>
  <si>
    <t>REPLACEMENT OF L04_JV_040W_DW APPROVED ON SEPTEMBER 23, 2022.TEMPORARY STOPPED ON OCT 3, 2022 TO PRIORITIZE ROBBING HEADING.</t>
  </si>
  <si>
    <t>L03_JVSPLIT_015W_RAISE</t>
  </si>
  <si>
    <t>FERNANDEZ, RM 2</t>
  </si>
  <si>
    <t xml:space="preserve"> ADDITIONAL SOURCE OF GOOD ORE. APPROVED ON AUGUST 24, 2022. TOPSLICE WITH AIRHOIST.TEMPORARY STOPPED ON OCOTBER 4, 2022. MP TRANSFERRED TO LEVEL 8 AS PER MGT.</t>
  </si>
  <si>
    <t>L07_JVSPLIT_015W_WINZE STOPE</t>
  </si>
  <si>
    <t>REPLACEMENT OF L08_DPVE_071E_WINZE_STOPE PREP APPROVED ON MARCH 4, 2022.STOPPED BREAKING ON SEPTEMBER 26,2022 DUE TO UNFAVORABLE HEAT CONDITION  AT THE SAME TIME CONVERT TO PULL-OUT CLEANING. TRAVERSE ON SEPTEMBER 26,2022.</t>
  </si>
  <si>
    <t>TARGETING RESOURCE BLOCKS OF DPVE. APPROVED ON JULY 19,2022.STOPPED ON AUGUST 31,2022 ALREADY HIT THE TARGET VEIN.RESUMED ON SEPTEMBER 16, 2022.TEMPORARY STOPPED ON OCTOBER 4,2022  PRIORITIZED DRIFT GOING TO PROPOSED DRILLING CHAMBER.</t>
  </si>
  <si>
    <t>L06_JVSPLIT_007W_ROBBING</t>
  </si>
  <si>
    <t>TARGET DRILL HOLE OF JVHW. APPROVED ON AUGUST 26, 2022.STOPPED ON OCTOBER 5, 2022 ALREADY HIT THE TARGET VEIN.</t>
  </si>
  <si>
    <t>L08_JVSPLIT_012E_DW</t>
  </si>
  <si>
    <t>L07_GHVFW_028W_ROBBING</t>
  </si>
  <si>
    <t>REPLACEMENT OF L10_GHVSPLIT_009E_DE. APPROVED ON SEPTEMBER 5,2022.STOPPED ON OCTOBER 5, 2022 DUE TO PINCHED OUT OF VEIN.</t>
  </si>
  <si>
    <t>REPLACEMENT OF L10_GHVHW_050E_RAISE. APPROVED ON SEPTEMBER 1,2022.STOPPED ON OCTOBER 5, 2022 DUE TO PINCHED OUT OF VEIN.</t>
  </si>
  <si>
    <t>REPLACEMENT OF L07_DPVE_014E_DE_ISL. APPROVED ON MAY 13, 2022. TEMPORARY STOPPED ON 6/2/2022. MANPOWER WILL BE REALLOCATED TO OTHER WORKING AREA (2 DRIFTS).RESUME ON 6/16/2022 . AT THE SAME DATE TRANSFERRED FROM TURRA 4 TO MAPAYO.TEMPORARILY STOPPED ON AUGUST 8, 2022 DUE TO ABSENTEEISM OF MEN RESULTING TO WORKPLACE ABANDONMENT, GROUP WILL BE MERGED TO L07_GHVHW_043E_WINZE.</t>
  </si>
  <si>
    <t>REPLACEMENT OF L10_JVHW_044E_RAISE. APPROVED ON JULY 15,2022.STOPPED ON AUGUST 1,2022 CONVERT TO ACTIVE BREAKING ALREADY FINISHED.</t>
  </si>
  <si>
    <t>L08_GHV_032E_WINZE STOPE</t>
  </si>
  <si>
    <t xml:space="preserve">REPLACEMENT OF L07_JV_041E_DE_ISL. APPROVED ON AUGUST 22, 2022.STOPPED ON AUGUST 25, 2022 ALREADY BREAKTHROUGH. </t>
  </si>
  <si>
    <t>L08_DPVE_036E_DE</t>
  </si>
  <si>
    <t xml:space="preserve">L10_NONE_063E_XCN </t>
  </si>
  <si>
    <t xml:space="preserve">REPLACEMENT OF L09_GHVHW_002E_DW. APPROVED ON AUGUST 29, 2022. TRANSFERRED FROM DELOS REYES 1 TO PANSIT, NORMAN 1 ON SEPTEMBER 7, 2022.STOPPED ON OCTOBER 6, 2022 ALREADY REACHED THE RECOMMENDED ELEVATION.
</t>
  </si>
  <si>
    <t>REPLACEMENT OF L08_DPVE_033E_DW. APPROVED ON AUGUST 30,2022. STOPPED ON OCTOBER 6, 2022 SINCE IT WAS ALREADY ENTERED THE EXCLUSION ZONE OF 29E SHAFT.</t>
  </si>
  <si>
    <t>REPLACEMENT ON L04_CTV_022W_WINZE STOPE PREP. APPROVED ON MAY 31,2022.STOPPED BREAKING ON SEPTEMBER 6, 2022 AND CONVERT TO PULL-OUT.MINED-OUT ON SEPTEMBER 26, 2022 WITH 105% PULL-OUT MC.</t>
  </si>
  <si>
    <t>L05_DPVE_051E_WINZE STOPE</t>
  </si>
  <si>
    <t>L08_GHV_003E_DW_ISL</t>
  </si>
  <si>
    <t>REPLACEMENT OF L08 GHV 003E WINZE. APPROVED ON SEPT 10, 2022. TEMPORARY STOPPED ON OCTOBER 7, 2022 TO PRIORITIZED L08_GHV_003E_DW_ISL.</t>
  </si>
  <si>
    <t>REPLACEMENT OF L05_DPVE_051E_DE_ISL. APPROVED ON SEPTEMBER 1,2022.STOPPED ON OCTOBER 6, 2022, CONVERTED TO ACTIVE BREAKING.</t>
  </si>
  <si>
    <t>REPLACEMENT OF L10_DPVE_021E_DW APPROVED ON SEPTEMBER 12, 2022.STOPPED ON OCTOBER 7, 2022, ALREADY REACHED THE RECOMMENDED STRIKE LENGTH.</t>
  </si>
  <si>
    <t>L10_DPVE_032E_DW</t>
  </si>
  <si>
    <t xml:space="preserve"> REPLACEMENT OF L10_DPVE_028E_DW. APPROVED ON JULY 26,2022. TEMPORARY STOPPED ON AUGUST 1,2022 DUE TO INADEQUTE SKILL TO OPERATE THE HEADING.RESUMED ON AUGUST 9,2022 AT THE SAME TIME TRANSFER FROM TAÑEZA 7 TO DUHIG, R2.TEMP STOP  8/13/2022 DUE TO INSUFFICIENCY OFMANPOWER. RESUMED ON SEPTEMBER 8,2022 AT THE SAME TIME TRANSFER FROM DUHIG,R2 TO BELICAN 2.STOPPED ON OCTOBER 7, 2022 DUE TO ITS CONSECUTIVE LOW ASSAY GRADE.
</t>
  </si>
  <si>
    <t xml:space="preserve"> REPLACEMENT OF L10_GHVFW_003E_RAISE. APPROVED ON AUGUST 30,2022.STOPPED ON OCTOBER 7, 2022 DUE TO ITS CONSECUTIVE LOW ASSAY GRADE.</t>
  </si>
  <si>
    <t>L10_GHV_053E_RAISE</t>
  </si>
  <si>
    <t>L10_DPVE_040E_RAISE_</t>
  </si>
  <si>
    <t xml:space="preserve"> REPLACEMENT OF L09_GHVHW_005E_STOPE PREP. APPROVED ON SEPTEMBER 5, 2022.CONVERTED TO PULL OUT CLEANING ON OCT 6 2022.</t>
  </si>
  <si>
    <t>REPLACEMENT OF L09_GHVFW_052E_STOPE PREP APPROVED ON AUG.6, 2022.CONVERTED TO PULL OUT CLEANING OCT 8 2022. (STANDBY FOR STOPE TRAVERSE)</t>
  </si>
  <si>
    <t>L08_NONE_035E_XCN</t>
  </si>
  <si>
    <t>L11_DPVE_041E_RAISE</t>
  </si>
  <si>
    <t>REPLACEMENT OF L11_GHV_064E_DE. APPROVED ON SEPTEMBER 5, 2022.STOPPED ON OCTOBER 8, 2022, CONVERTED TO STOPE BREAKING.</t>
  </si>
  <si>
    <t>L11_GHV_064E_STOPE</t>
  </si>
  <si>
    <t xml:space="preserve"> REPLACEMENT OF L05_CTV_038E_ROBBING. APPROVED ON SEPTEMBER 13,2022. TEMPORARY STOPPED ON OCTOBER 5, 2022.</t>
  </si>
  <si>
    <t>L05_CTV_035E_ROBBING</t>
  </si>
  <si>
    <t xml:space="preserve">L04_JVSPLIT_028E_WINZE STOPE </t>
  </si>
  <si>
    <t>REPLACEMENT OF L04_JVSPLIT_028E_WINZE_STOPE PREP.APPROVED ON JULY 3,2022.STOPPED ON OCTOBER 7, 2022, CONVERTED TO STOPE PULLOUT.</t>
  </si>
  <si>
    <t>REPLACEMENT OF L09_GHV_033E_WINZE STOPE. APPROVED ON SEPTEMBER 25,2022. FILL WINZE.STOPPED ON OCTOBER 8,2022 ALREADY BREAKTHROUGH.</t>
  </si>
  <si>
    <t>ADDITIONAL SOURCE OF GOOD ORE. APPROVED ON AUGUST 31,2022.STOPPED ON OCT 6 2022. ALREADY REACHED RECOMMENDED LENGTH.</t>
  </si>
  <si>
    <t>REPLACEMENT OF L10_NONE_083E_XCN. APPROVED ON MARCH 24,2022. TEMPORARY STOPPED ON JULY 13,2022 DELAY BY FOLLOW UP RAISE.RESUMED ON OCTOBER 4,2022.STOPPED ON OCT 10 2022. ALREADY HIT TARGET DRILL HOLE.</t>
  </si>
  <si>
    <t>L09_NONE_055E_REHAB</t>
  </si>
  <si>
    <t>REPLACEMENT OF L09_GHV_006W_ROBBING. RENAME FROM L09_JVFW_008W_ROBBING TO L09_JVFW_073E_ROBBING ON 8/18/2022.SILL. TRANSFER FERNANDEZ, REX TO  QUIJANO 1 ON SEPTEMBER 19,2022 FORMER TEAM LEADER WILL BE TRANSFER TO LEVEL 3.STOPPED ON OCTOBER 10,2022 ALREADY MINED OUT.</t>
  </si>
  <si>
    <t>REPLACEMENT OF L09_DPVE_056E_DE. APPROVED ON JUNE 13, 2022.TEMPORARILY STOPPED DUE TO UNSERVICABILITY OF THE AREA ON JUNE 14 2022.RESUME ON JUNE 22,2022. TEMPORARY STOPPED ON AUGUST 5,2022 TO FOLLOW UP RAISE.RESUME ON 8/16/2022.STOPPED ON AUGUST 29, 2022 DUE TO LOW CONSECUTIVE ASSAY GRADE. RESUMED ON SEPTEMBER 7, 2022.STOPPED ON OCTOBER 10,2022.</t>
  </si>
  <si>
    <t xml:space="preserve">DELOS REYES V1 </t>
  </si>
  <si>
    <t>ADDITIONAL HORIZONTAL DEVT, APPROVED ON FEBRUARY 7,2022.STOPPED ON MAR 25, 2022 DUE TO LOW GRADE.</t>
  </si>
  <si>
    <t xml:space="preserve"> CAPPUYO 1 </t>
  </si>
  <si>
    <t xml:space="preserve">ADDITIONAL HORIZONTAL OFF-VEIN DEVELOPMENT FOR VENTILATION. APPROVED ON OCTOBER 7, 2022.TEMPORARY STOPPED ON OCTOBER 11,2022
</t>
  </si>
  <si>
    <t xml:space="preserve">L10_GHVFW_051E_RAISE </t>
  </si>
  <si>
    <t>L10_GHVFW_051E_RAISE</t>
  </si>
  <si>
    <t>L10_JVFW_067E_ROBBING</t>
  </si>
  <si>
    <t>ADDITIONAL SOURCE OF GOOD ORE. APPROVED ON SEPT 26, 2022. SILL PILLAR IN RESERVE.STOPPED ON OCTOBER 11, 2022, DUE TO CONSECUTIVE LOW ASSAY GRADE.</t>
  </si>
  <si>
    <t>ADDITIONAL VERTICAL RAISE. APPROVED ON SEPTEMBER 9, 2022.CHANGE TEAM LEADER FROM REBOTE 3 TO QUIJANO 2, MANPOWER TRANSFERRED TO LEVEL 11, APPROVED ON SEPTEMBER 19, 2022.STOPPED ON OCTOBER 11, 2022 DUE TO BREAKTROUGH TO AN OLD STOPE.</t>
  </si>
  <si>
    <t xml:space="preserve"> REPLACEMENT OF L09_GHVHW_005E_STOPE PREP. APPROVED ON SEPTEMBER 5, 2022.CONVERTED TO PULL OUT CLEANING ON OCT 6 2022.STOPPED ON OCTOBER 11,2022 ALREADY MINED OUT. CHANGE FROM ALMASA 1 TO SHEPHERD AY 1 ON OCTOBER 12,2022.</t>
  </si>
  <si>
    <t>SHEPHERD AY 1</t>
  </si>
  <si>
    <t>L09_JV_065E_ROBBING</t>
  </si>
  <si>
    <t>L09_JVSPLIT_068E_ROBBING</t>
  </si>
  <si>
    <t>ADDITIONAL VERTICAL WINZE. APPROVED ON SEPTEMBER 16, 2022. FILL WINZE.STOPPED ON OCTOBER 11,2022 ALREADY BREAKTHROUGH.</t>
  </si>
  <si>
    <t>L10_NONE_091E_XCN</t>
  </si>
  <si>
    <t>091E</t>
  </si>
  <si>
    <t>REPLACEMENT OF L04_CV_007E_DE. APPROVED ON SEPTEMBER 6, 2022.TEMPORARY STOPPED ON OCTOBER 11,2022. LACK OF MANPOWER.</t>
  </si>
  <si>
    <t>L04_JVSPLIT_024E_ROBBING</t>
  </si>
  <si>
    <t>L09_DPVE_061E_WINZE</t>
  </si>
  <si>
    <t xml:space="preserve"> REPLACEMENT OF L07_DPVE_022E_DW. APPROVED ON SEPTEMBER 2, 2022.STOPPED ON OCTOBER 12, 2022, ALREADY REACHED ITS RECOMMENDED STRIKE LENGTH AND HEIGHT.</t>
  </si>
  <si>
    <t>REPLACEMENT OF L05_CTV_028E_WINZE STOPE APPROVED ON AUGUST 21,2022 Notified on September 2,2022. TOPSLICE WITH AIRHOIST.STOPPED ON OCTOBER 8,2022 ALREADY FINISHED HEADING.</t>
  </si>
  <si>
    <t>L03_NONE_005W_XCS</t>
  </si>
  <si>
    <t>L06_JV_004W_WINZE</t>
  </si>
  <si>
    <t xml:space="preserve"> REPLACEMENT OF L08_GHVFW_056E_DW_ISL. APPROVED ON SEPTEMBER 14,2022. STOPPED ON OCTOBER 13,2022 RECOMMENDED FOR ACTIVE BREAKING FOR CHECK STOPE PREP TRAVERSE SURVEY.</t>
  </si>
  <si>
    <t>REPLACEMENT OF L06_JVSPLIT_006W_ROBBING. APPROVED ON OCTOBER 4,2022. SILL PILLAR.STOPPED OCTOBER 13,2022 ALREADY MINED OUT.</t>
  </si>
  <si>
    <t>L08_GHVFW_056E_WINZE STOPE</t>
  </si>
  <si>
    <t>SHEPHERD AV 1</t>
  </si>
  <si>
    <t>DUHIG P7</t>
  </si>
  <si>
    <t>DUHIG, P9</t>
  </si>
  <si>
    <t>DUHIG , P7</t>
  </si>
  <si>
    <t>L10_DPVE_030E_DE</t>
  </si>
  <si>
    <t>ADDITIONAL HORIZONTAL DEVELOPMENT. APPROVED ON OCTOBER 12,2022.RENAMED FROM L03_JV_005W_DE TO L03_NONE_005W_XCS FOR PROPER NAMING ON OCTOBER 13, 2022. TEMPORARY STOPPED ON OCTOBER 14, TO PRIORITIZE ROBBING.</t>
  </si>
  <si>
    <t>L03_RYV_003W_ROBBING</t>
  </si>
  <si>
    <t>ALIMAK RAISE TO BE CONNECTED TO 43E SHAFT. APPROVED ON APRIL 13,2022.STOPPED ON SEPTEMBER 25,2022.</t>
  </si>
  <si>
    <t xml:space="preserve">REPLACEMENT OF L10_NONE_004E_XCS. APPROVED ON JUNE 8,2022.TEMPORARY STOPPED ON JULY 18,2022 TO FOLLOW UP RAISE.RESUMED ON JULY 20,2022.TEMPORARY STOPPED ON AUGUST 29, 2022 TO PRIORITIZED RAISE. RESUME ON AUGUST 30,2022.STOPPED ON OCTOBER 12,2022 DUE TO VEIN PINCHED OUT.
</t>
  </si>
  <si>
    <t>L08_DPVE_065E_WINZE</t>
  </si>
  <si>
    <t>REPLACEMENT OF L07_DPVE_013E_WINZE STOPE PREP. APPROVED ON SEPTEMBER 20, 2022.STOPPED ON OCTOBER 15, 2022, DUE TO ITS UNSAFE CONDITION.</t>
  </si>
  <si>
    <t>L09_JVFW_004E_RAISE</t>
  </si>
  <si>
    <t>REPLACEMENT OF L10_NONE_051E_XCS.APPROVED ON JUNE 15, 2021.STOPPED ON JULY 9, 2021 DUE TO CONSECUTIVE LOW ASSAY GRADE.RESUMED ON AUGUST 3,2022 AT THE SAME TIME RENAMED FROM L10_GHVFW_051E_DE TO L10_GHVFW_052E_DE.TEMPORARY STOPPED ON SEPTEMBER 24,2022 TO FOLLOW UP RAISE.RESUMED ON OCTOBER 11,2022.TEMPORARY STOPPED ON OCTOBER 16,2022 TO PRIORITIZED L10_NONE_092E_XCN.</t>
  </si>
  <si>
    <t>REPLACEMENT OF L08_DPVE_031E_STOPE APPROVED ON SEPTEMBER 9, 2022, SILL.  STOPPED ON OCTOBER 15,2022 ALREADY MINED OUT.</t>
  </si>
  <si>
    <t>L10_DPVE_020E_STOPE PREP</t>
  </si>
  <si>
    <t>L11_GHV_060E_STOPE PREP</t>
  </si>
  <si>
    <t>L03_CTV_024W_DW</t>
  </si>
  <si>
    <t>FERNANDEZ, RM 4</t>
  </si>
  <si>
    <t>REPLACEMENT OF L09_GHVHW_001W_STOPE. APPROVED ON AUGUST 29, 2022. FILL WINZE.TEMPORARY STOPPED ON SEPTEMBER 25,2022 DUE TO ABSENTEEISM.RESUMED ON OCTOBER 4,2022. NOTIFIED ON OCTOBER 10,2022.STOPPED ON OCTOBER 14, 2022. ALREADY BREAKTHROUGH.</t>
  </si>
  <si>
    <t>L09_JVFW_070E_WINZE</t>
  </si>
  <si>
    <t>L10_DPVE_036E_ROBBING</t>
  </si>
  <si>
    <t>REPLACEMENT OF L08_JVSPLIT_048E_DW APPROVED ON AUGUST 11, 2022.STOPPED ON SEPTEMBER 5,2022 GROUP TRANSFER TO LEVEL 10.RESUMED ON SEPT 24, 2022 AT THE SAME TIME TRANSFERRED FROM BELICAN TO LERIO 3. RESUMED ON SEPT 24, 2022 AT THE SAME TIME TRANSFERRED FROM BELICAN TO LERIO 2.TEMPORARY STOPPED ON OCTOBER 17,2022 PRIORITIZED ROBBING.</t>
  </si>
  <si>
    <t>L06_GHVHW_035W_ROBBING</t>
  </si>
  <si>
    <t xml:space="preserve">ON-GOING CLEANING OF MAINLINE. HENCE, AFTER ML CLEANING PROCEED TO SILL ROBBING. APPROVED ON SEPTEMBER 14, 2022.STOPPED ON OCTOBER 17, 2022 ALREADY REACHED THE RECOMMENDED PILLAR. </t>
  </si>
  <si>
    <t>ADDITIONAL SOURCE OF GOOD ORE. APPROVED ON AUGUST 31,2022.STOPPED ON OCT 10 2022. ALREADY REACHED RECOMMENDED LENGTH.RESUMED ON OCTOBER 11,2022 CONTINUE MUCKING REMAINING MUCK NO MORE BLASTING. STOPPED ON OCTOBER 13,2022 ALREADY MINED OUT.</t>
  </si>
  <si>
    <t>L10_NONE_008E_XCN</t>
  </si>
  <si>
    <t>L09_DPVE_036E_WINZE</t>
  </si>
  <si>
    <t>REPLACEMENT OF L10_JVSPLIT_040E_RAISE APPROVE ON SEPTEMBER 16, 2022.TEMPORARY STOPPED ON SEPTEMBER 19,2022 TO RESUME MUCKING OF OLD MUCK FROM BREAKTHROUGH. RESUMED ON SEPTEMBER 27,2022. STOPPED ON OCTOBER 18,2022 CUT BY PARALLEL FAULTS.</t>
  </si>
  <si>
    <t>REPLACEMENT OF L09_DPVE_080E_WINZE APPROVED ON SEPTEMBER 9, 2022.TEMPORARY STOPPED ON OCTOBER 18,2022 LACK OF MANPOWER.</t>
  </si>
  <si>
    <t>REPLACEMENT OF L09_DPVE_055E_STOPE PREP ON MARCH 31, 2022.STOPPED BREAKING AND CONVERT TO STOPE PULL-OUT ON AUGUST 26, 2022. STOPPED ON OCTOBER 11,2022 ALREADY MINED OUT.</t>
  </si>
  <si>
    <t>L09_DPVE_078E_ROBBING</t>
  </si>
  <si>
    <t>L09_GHVHW_001W_DW_ISL</t>
  </si>
  <si>
    <t xml:space="preserve"> REPLACEMENT OF L05_JV_012E_ROBBING. APPROVED ON SEPTEMBER 23,2022.RENAMED FROM L05_JV_010E_STOPE PREP TO L05_JV_020E_STOPE PREP ON SEPTEMBER 25,2022.STOPPED ON OCTOBER 18, 2022. RECOMMENDED TO BE CONVERTED TO STOPE BREAKING.</t>
  </si>
  <si>
    <t xml:space="preserve">L05_JV_020E_STOPE </t>
  </si>
  <si>
    <t>L05_JV_020E_STOPE</t>
  </si>
  <si>
    <t>CROSSCUT TO BREAKTHROUGH TO OPPOSITE MAINLINE TO TARGET BACK UP ROBBING. APPROVED ON SEPTEMBER 20,2022.STOPPED ON OCTOBER 18, 2022 ALREADY BREAKTHROUGH TO THE OLD MAINLINE.</t>
  </si>
  <si>
    <t>SHEPHERD AX 2</t>
  </si>
  <si>
    <t>SHEPHERD AX 1</t>
  </si>
  <si>
    <t xml:space="preserve">REPLACEMENT OF L04_GHVFW_010E_WINZE STOPE PREP. APPROVED ON SEPTEMBER 1, 2022.CONDUCTED FILL RAISE ON OCTOBER 19, 2022.
</t>
  </si>
  <si>
    <t>REPLACEMENT OF L06_JV_023W_ROBBING APPROVED ON SEPTEMBER 13, 2022, SILL.STOPPED ON OCTOBER 19, 2022 DUE TO ITS CONSECUTIVE LOW ASSAY GRADE.</t>
  </si>
  <si>
    <t>L09_DPVE_080E_DE_ISL</t>
  </si>
  <si>
    <t>REPLACEMENT OF L09_DPVE_080E_DW_ISL APPROVED ON OCTOBER 10, 2022.  STOPPED ON OCTOBER 11, 2022, TO PRIORITIZE WEST SIDE.</t>
  </si>
  <si>
    <t>L05_DPVE_043E_WINZE STOPE</t>
  </si>
  <si>
    <t>REPLACEMENT OF L05_DPVE_044E_DW_ISL. APPROVED ON SEPTEMBER 5, 2022.RENAME FROM L05_DPVE_044E_WINZE_STOPE_PREP. APPROVED ON SEPTEMBER 9, 2022.STOPPED ON OCTOBER 20, 2022, CONVERTED TO ACTIVE BREAKING.</t>
  </si>
  <si>
    <t>L10_JVSPLIT_042E_STOPE PREP</t>
  </si>
  <si>
    <t>L10_GHVFW_062E_STOPE PREP</t>
  </si>
  <si>
    <t>L07_CTV_012W_ROBBING</t>
  </si>
  <si>
    <t xml:space="preserve"> REPLACEMENT OF L08_DPVE_072E_WINZE STOPE. APPROVED ON DECEMBER 8,2021.3.STOPPED ON FEB 2, 2022. TO CONVERT TO WINZE STOPE.RESUMED ON SEPT 24, 2022.STOPPED ON OCTOBER 18, 2022, ALREADY BREAKTHROUGH TO AN OLD STOPE.</t>
  </si>
  <si>
    <t>L08_DPVE_073E_WINZE STOPE PREP</t>
  </si>
  <si>
    <t>L10_GHVFW_038E_STOPE PREP</t>
  </si>
  <si>
    <t>REPLACEMENT OF L08 DPVE 062E WINZE, APPROVED ON SEPT 10, 2022.STOPPED ON OCTOBER 20, 2022, PINCHED OUT VEIN.</t>
  </si>
  <si>
    <t>L08_DPVE_062E_DW_ISL</t>
  </si>
  <si>
    <t>REPLACEMENT OF L10_DPVE_045E_STOPE PREP. APPROVED ON APRIL 6,2022.STOPPED ON OCTOBER 16, 2022, CONVERTED TO STOPE TO PULLOUT CLEANING, CONTROLLED PULLOUT AT 16 MCD.</t>
  </si>
  <si>
    <t>REPLACEMENT OF L05_JVHW_006W_STOPE. APPROVED ON SEPTEMBER 1, 2022.STOPPED ON OCTOBER 22, 2022, MADE A BREAKTHROUGH.</t>
  </si>
  <si>
    <t>L06_GHVHW_032W_RAISE</t>
  </si>
  <si>
    <t>L06_JV_018E_ROBBING</t>
  </si>
  <si>
    <t>REPLACEMENT OF L03_NONE_005W_XCS. APPROVED ON OCTOBER 14, 2022. SILL.STOPPED ON OCTOBER 24, 2022, DUE TO CONSECUTIVE LOW ASSAY GRADE.</t>
  </si>
  <si>
    <t>REPLACEMENT OF L09_DPVE_083E_RAISE. APPROVED ON SEPTEMBER 14, 2022.STOPPED ON OCTOBER 24, 2022, RECOMMENDED FOR STOPE BREAKING.</t>
  </si>
  <si>
    <t xml:space="preserve">L09_DPVE_083E_STOPE </t>
  </si>
  <si>
    <t>L09_DPVE_083E_STOPE</t>
  </si>
  <si>
    <t>L09_DPVE_056E_ROBBING</t>
  </si>
  <si>
    <t xml:space="preserve">REPLACEMENT OF L06_JV_022W_ROBBING APPROVED ON OCTOBER 20, 2022.RENAMED FROM L06_JV_018W_ROBBING TO L06_JV_018E_ROBBING FOR PROPER NAMING.STOPPED ON OCTOBER 25, 2022, DUE TO CONSECUTIVE LOW ASSAY GRADE. </t>
  </si>
  <si>
    <t>L06_JVSPLIT_019E_DE</t>
  </si>
  <si>
    <t xml:space="preserve">ADDITIONAL HORIZONTAL DEVELOPMENT DRIVE. APPROVED ON AUGUST 25,2022 NOTIFIED ON AUGUST 31,2022. TEMPORARY STOPPED ON AUGUST 30,2022.RESUMED ON SEPTEMBER 23,2022.STOPPED ON OCTOBER 24, 2022, TO AVOID BREAKTHROUGH AT L11_JVFW_062E_STOPE PREP.
</t>
  </si>
  <si>
    <t xml:space="preserve">REPLACEMENT OF L05_JVSPLIT_015W_DW_ISL APPROVED ON JUNE 17, 2022.TEMPORARILY STOPPED ON JUNE 28, 2022 TO PRIORITIZE L05_DPVE_034E_WINZE STOPE.RESUMED ON OCTOBER 14,2022 AT THE SAME TIME TRANSFER FROM PANCIT,NOEL 2 TO PARAN 1.STOPPED ON OCTOBER 22, 2022. CONVERTED TO ACTIVE BREAKING.
</t>
  </si>
  <si>
    <t xml:space="preserve">L05_JVSPLIT_016W_WINZE STOPE </t>
  </si>
  <si>
    <t>L05_JVSPLIT_016W_WINZE STOPE</t>
  </si>
  <si>
    <t>REPLACEMENT OF L08_NONE_012E_XCN. APPROVED ON OCTOBER 5, 2022.STOPPED ON OCTOBER 16,2022 DUE TO CONSECUTIVE LOW ASSAY GRADE.RESUMED ON OCTOBER 17,2022.STOPPED ON OCT 21, 2022 DUE TO LOW GRADE.</t>
  </si>
  <si>
    <t>L08_JVSPLIT_012E_DE</t>
  </si>
  <si>
    <t>REPLACEMENT OF L05_JVSPLIT_033W_DE. APPROVED ON OCTOBER 11,2022.STOPPED ON OCTOBER 25, 2022 PINCHED OUT VEIN.</t>
  </si>
  <si>
    <t>L05_DPVE_034E_DE_ISL</t>
  </si>
  <si>
    <t>L05_DPVE_037E_DW_</t>
  </si>
  <si>
    <t>REPLACEMENT OF L05_DPVE_034E_DW_ISL. APPROVED ON MARCH 21,2022. RECOMMENDED FOR ACTIVE STOPE BREAKING. APPROVED ON APRIL 22, 2022.TEMPORARY STOPPED ON APRIL 29, 2022 AS PER ADVISED BY MGT ALL DPVE AT L05.RESUMED ON JUNE 29, 2022. STOPPED ON SEPTEMBER 23,2022 ALREADY DONE BREAKING AT THE SAME TIME CONVERT TO PULL-OUT CLEANING.STOPPED ON OCTOBER 26, 2022. ALREADY MINED OUT WITH 99% PULL OUT MC.</t>
  </si>
  <si>
    <t>REPLACEMENT OF L05_JV_025E_ROBBING APPROVED ON OCTOBER 7, 2022. SILL.STOPPED ON OCTOBER 26, 2022 DUE TO CONSECUTIVE LOW ASSAY GRADE</t>
  </si>
  <si>
    <t xml:space="preserve">REPLACEMENT OF L08_GHVFW_005E_WINZE_STOPE PREP APPROVED ON AUGUST 17 2022.CONDUCTED 2 FILL RAISE ON OCTOBER 10,2022.STOPPED BREAKING ON OCT 17, 2022. ALREADY REACHED ITS DESIGNED ELEVATION ALREADY DONE IPR AND TRAVERSE, CONVERT TO STOPE PULL OUT.
</t>
  </si>
  <si>
    <t>REPLACEMENT OF L06_DPVE_056E_DW. APPROVED ON JUNE 22, 2022.TEMPORARILY STOPPED ON AUGUST 5, 2022 TO PRIORITIZE RAISE.RESUMED ON AUGUST 8, 2022.TEMPORARILY STOPPED ON AUGUST 9, 2022 TO PRIORITIZE RAISE PREP AT L06_DPVE_058E_RAISE.RESUMED ON AUGUST 15, 2022.CHANGE TEAM LEADER FROM BAÑEZ 4 TO REBOTE 1 APPROVED ON SEPTEMBER 14, 2022.TEMPORARY STOPPED ON SEPTEMBER 21, 2022, MANPOWER TRANSFERRED TO LEVEL 11.RESUMED ON SEPT 26, 2022, AT THE SAME TIME TRANSFERRED FROM REBOTE 1 TO QUIJANO 1.STOPPED ON OCT 27, 2022 DUE TO LOW GRADE.</t>
  </si>
  <si>
    <t>ADDITIONAL SOURCE OF GOOD ORE AS PART OF DECOMISSIONING PLAN. APPROVED ON OCTOBER 5, 2022. SILL WITH MUCKING.STOPPED ON OCT 27, 2022. ALREADY DONE PILLAR ROBBING.</t>
  </si>
  <si>
    <t>REPLACEMENT OF L07_GHVFW_019W_ROBBING APPROVED ON AUGUST 10, 2022.STOPPED ON AUGUST 18, 2022, DUE TO CONSECUTIVE LOW ASSAY GRADE.RESUMED ON OCTOBER 17, 2022.RENAME FROM L07_GHVFW_012W_ROBBING TO L07_CTV_012W_ROBBING.STOPPED ON OCT 27, 2022. ALREADY DONE PILLAR ROBBING.</t>
  </si>
  <si>
    <t>REPLACEMENT OF L06_JV_008W_DW_ISL APPROVED ON SEPTEMBER 13, 2022. TOPSLICE. TEMPORARY STOPPED ON OCTOBER 15, 2022, FOR EVALUATION.RESUMED ON OCTOBER 18, 2022.STOPPED ON OCT 27, 2022 DUE TO LOW GRADE.</t>
  </si>
  <si>
    <t xml:space="preserve">REPLACEMENT OF L10_DPVE_020E_DW APPROVED ON OCTOBER 7, 2022.STOPPED ON OCT 27, 2022 DUE TO CONSECUTIVE LOW GRADE RESULT, </t>
  </si>
  <si>
    <t>L08_GHV_063E_ROBBING</t>
  </si>
  <si>
    <t>L10_DPVE_032E_RAISE</t>
  </si>
  <si>
    <t>REPLACEMENT OF L06_JV_030W_DW. APPROVED ON SEPTEMBER 13, 2022.STOPPED ON OCT 28 2022. FOR BLOCKING.</t>
  </si>
  <si>
    <t>L06_JV_033W_RAISE</t>
  </si>
  <si>
    <t>REPLACEMENT OF L06_CV_011W_ROBBING APPROVED ON OCTOBER 17, 2022. TOPSLICE.STOPPED ON OCT 28 2022.</t>
  </si>
  <si>
    <t xml:space="preserve">L06_GHVHW_035W_DE </t>
  </si>
  <si>
    <t>L04_JVSPLIT_025E_ROBBING</t>
  </si>
  <si>
    <t>REPLACEMENT OF L10_GHVFW_005E_DW. APPROVED ON OCTOBER 14,2022.STOPPED ON OCT 27 2022.</t>
  </si>
  <si>
    <t>REPLACEMENT OF L04_JV_011W_ROBBING APPROVED ON OCTOBER 19, 2022.TEMPORARRY STOPPED ON OCT 27, 2022. DUE TO UNSAFE CONDITION.</t>
  </si>
  <si>
    <t>REPLACEMENT OF L10_DPVE_082E_DW. APPROVED ON JULY 13,2022.STOPPED ON OCT 20 2022. MADE A BREAKTHROUGH.</t>
  </si>
  <si>
    <t xml:space="preserve">REPLACEMENT OF L10_GHV_053E_DW. APPROVED ON SEPTEMBER 26,2022.STOPPED ON OCTOBER 22, 2022 </t>
  </si>
  <si>
    <t xml:space="preserve"> REPLACEMENT OF  L05_GHVFW_010E_ROBBING. APPROVED ON SEPTEMBER 1, 2022. SILL WITH MUCKING.RENAME FROM L05_JV_011E_ROBBING TO L05_JV_005W_ROBBING. APPROVED ON SEPTEMBER 9, 2022. STOPPED ON OCT. 27 2022 ALREADY MINED OUT</t>
  </si>
  <si>
    <t>REPLACEMENT OF L11_JVFW_062E_DE. APPROVED ON OCTOBER 3, 2022.STOPPED ON OCT. 28 2022 FOR EVALUATION</t>
  </si>
  <si>
    <t>REPLACEMENT OF L11_GHVFW_068E_RAISE. APPROVED ON SEPTEMBER 23,2022.STOPPED ON OCT. 28 2022 FOR EVALUATION</t>
  </si>
  <si>
    <t>L11_JVFW_062E_STOPE</t>
  </si>
  <si>
    <t>L07_JVSPLIT_017W_WINZE STOPE PREP</t>
  </si>
  <si>
    <t>L10_JVHW_064E_DW</t>
  </si>
  <si>
    <t>REPLACEMENT OF L09_DPVE_076E_DW APPROVED ON AUGUST 23, 2022.TEMPORARY STOPPED ON SEPTEMBER 20,2022 TO FOLLOW UP RAISE.RESUMED ON OCTOBER 6, 2022.STOPPED ON OCT 29, 2022. DUE TO VEIN PINCHED OUT.</t>
  </si>
  <si>
    <t>L10_DPVE_093E_DW</t>
  </si>
  <si>
    <t>093E</t>
  </si>
  <si>
    <t>L06_JV_011E_WINZE</t>
  </si>
  <si>
    <t>L07_DPVE_013E_ROBBING</t>
  </si>
  <si>
    <t>L07_JV_042E_ROBBING</t>
  </si>
  <si>
    <t>L08_GHV_030E_ROBBING</t>
  </si>
  <si>
    <t>L08_DPVE_062E_DE</t>
  </si>
  <si>
    <t>ADDITIONAL VERTICAL DEVELOPMENT. APPROVED ON SEPTEMBER 24,2022.STOPPED ON NOVEMBER 4, 2022 DUE TO UNSAFE CONDITION.</t>
  </si>
  <si>
    <t>L03_JVSPLIT_016W_RAISE</t>
  </si>
  <si>
    <t>L05_JV_027E_DW</t>
  </si>
  <si>
    <t>REPLACEMENT OF L10_JVSPLIT_042E_RAISE APPROVE DON OCTOBER 20, 2022.STOPPED ON NOVEMBER 4, 2022 TO CONVERT ON BREAKING.</t>
  </si>
  <si>
    <t>REPLACEMENT OF L07_JV_010W_WINZE STOPE PREP. APPROVED ON SEPTEMBER 7, 2022. STOPPED BREAKING AND CONVERT TO PULL-OUT ON NOV. 3, 2022. TRAVERSED ON NOV. 4, 2022.</t>
  </si>
  <si>
    <t>REPLACEMENT OF L06_JV_021E_ROBBING APPROVED ON SEPTEMBER 23, 2022. SILL. MINED-OUT ON NOVEMBER 4, 2022.</t>
  </si>
  <si>
    <t>L05_CTV_009E_DW</t>
  </si>
  <si>
    <t>L06_GHV_025W_ROBBING</t>
  </si>
  <si>
    <t>REPLACEMENT OF L09_GHVFW_054E_DE. APPROVED ON SEPTEMBER 23,2022.TEMP STOPPED ON OCT 26, 2022. TO INSTALL TRACK TIES.RESUMED ON OCT 28 2022.STOPPED ON NOVEMBER 7, 2022 ALREADY HIT THE TARGET VEIN.</t>
  </si>
  <si>
    <t>L09_DPVE_029E_DE</t>
  </si>
  <si>
    <t xml:space="preserve">REPLACEMENT L09_DPVE_038E_DW. APPROVED ON SEPTEMBER 20,2022.RENAMED FROM L09_DPVE_037E_RAISE TO L09_DPVE_039E_RAISE ON SEPTEMBER 23,2022 TO AVOID MISCHARGING.TEMPORARY STOPPED ON OCTOBER 6, 2022 TO PRIORITIZED L09_DPVE_038E_DW. RESUMED ON OCTOBER 17,2022 AT THE SAME TIME TRANSFER FROM DELOS REYES V3 TO SHEPHERD AY 1.STOPPED ON NOVEMBER 7, 2022 TO PROCEED BLOCKING RAISE.
</t>
  </si>
  <si>
    <t>L08_DPVE_064E_WINZE</t>
  </si>
  <si>
    <t>REPLACEMENT OF L10_GHV_063E_WINZE. APPROVED ON APRIL 8 2020. Temporary stopped on April 24,2020 resumed winze driving.RESUMED ON JUNE 6,2022 AT THE SAME TIME TRANSFER FROM MAPAYO 1 TO CARIKITAN 1 AND RENAME FROM L11_GHV_063E_DE TO L11_GHV_064E_DE. TRANSFERRED FROM CARIKITAN 1 TO BAÑEZ 1 ON JUNE 20, 2022.TEMPORARY STOPPED ON SEPTEMBER 5, 2022 TO PRIORITIZED STOPE PREP.RESUMED ON SEPTEMBER 17,2022 AT THE SAME TIME RENAMED FROM L11_GHV_064E_DE TO L11_GHV_069E_DE. TEMPORARY STOPPED ON SEPTEMBER 23,2022 DELAY BY FOLLOW UP RAISE.RESUMED ON OCTOBER 10,2022 AT THE SAME TIME TRANSFER FROM BAÑEZ 8 TO TORMIS 2.STOPPED ON NOV 7, 2022 DUE TO PINCHED OUT VEIN.</t>
  </si>
  <si>
    <t>L10_JVSPLIT_042E_STOPE</t>
  </si>
  <si>
    <t>L09_DPVE_037E_RAISE</t>
  </si>
  <si>
    <t>L10_GHVFW_055E_RAISE</t>
  </si>
  <si>
    <t xml:space="preserve">Crosscut for ventilation purposes at 35E Shaft. APPROVED ON OCTOBER 10,2022.TRANSFER FROM ANGCOG 1 TO CAPPUYO 1 ON OCTOBER 11,2022. BLASTING DURING 1ST AND 3RD SHIFT ONLY.STOPPED ON NOVEMBER 4, 2022 ALREADY FINISHED.
</t>
  </si>
  <si>
    <t xml:space="preserve">REPLACEMENT OF L08_GHVFW_005E_WINZE_STOPE PREP APPROVED ON AUGUST 17 2022.CONDUCTED 2 FILL RAISE ON OCTOBER 10,2022.STOPPED BREAKING ON OCT 17, 2022. ALREADY REACHED ITS DESIGNED ELEVATION ALREADY DONE IPR AND TRAVERSE, CONVERT TO STOPE PULL OUT.STOPPED AND MINED-OUT ON NOVEMBER 5, 2022 WITH 104% PULL-OUT MC.
</t>
  </si>
  <si>
    <t>L05_CTV_010E_DW</t>
  </si>
  <si>
    <t>REPLACEMENT OF L10_GHVFW_001E_RAISE. APPROVED ON OCTOBER 7, 2022.STOPPED ON NOV 8, 2022 VEIN PINCHED OUT.</t>
  </si>
  <si>
    <t>L04_RYV_001E_DW</t>
  </si>
  <si>
    <t>REPLACEMENT OF L04_CV_005E_DE APPROVED ON SEPTEMBER 17, 2022.RENAMED FROM L04_CV_001E_DW TO L04_NONE_001E_XCN APPROVED ON SEPTEMBER 20, 2022.STOPPED ON NOVEMBER 8, 2022 ALREADY HIT THE TARGET VEIN.</t>
  </si>
  <si>
    <t>L04_CTV_022W_ROBBING</t>
  </si>
  <si>
    <t>REPLACEMENT OF L06_GHVHW_031W_RAISE APPROVED ON OCTOBER 11, 2022.RENAMED FROM L06_GHVHW_025W_RAISE TO L06_GHVHW_032W_RAISE FOR PROPER POSITION NAMING.STOPPED ON NOVEMBER 8, 2022 DUE TO PINCH OUT OF VEIN.</t>
  </si>
  <si>
    <t>REPLACEMENT OF L05_DPVE_046E_DW APPROVED ON OCTOBER 25, 2022. RENAME VEIN FROM CV TO CTV. STOPPED ON NOVEMBER 8, 2022 DUE TO EXCLUSION ZONE OF E15 SHAFT.</t>
  </si>
  <si>
    <t>L09_DPVE_080E_DE ISL</t>
  </si>
  <si>
    <t>L11_JVFW_059E_DW</t>
  </si>
  <si>
    <t xml:space="preserve"> PROPOSED CROSSCUT FOR EXPLOSIVE MAGAZINE AT LEVEL 11. APPROVED ON SEPTEMBER 12,2022.STOPPED ON NOV 9, 2022. ALREADY DONE.
</t>
  </si>
  <si>
    <t>REPLACEMENT OF L10_DPVE_022E_STOPE PREP. APPROVED ON JULY 26,2022. STOPPED BREAKING ON SEPTEMBER 22,2022 ALREADY DONE STOPE TRAVERSE ON SEPT 23,2022 AT THE SAME TIME CONVERT TO PULL OUT CLEANING.STOPPED PULL OUT ON NOV 9, 2022 WITH 77% PULL OUT AND 335 MINE CARS REMAINING, DUE TO LOW GRADE, WITH JUSTIFICATION FROM GEO.</t>
  </si>
  <si>
    <t>REPLACEMENT OF L10 GHVFW 052E DE. APPROVED ON OCT 21, 2022. (STOPE DESIGN L10 GHVFW 039E STOPE)STOPPED ON NOV 9, 2022 ALREADY DONE STOPE PREPARATION, CONVERT TO STOPE BREAKING.</t>
  </si>
  <si>
    <t>L10_GHVFW_038E_STOPE</t>
  </si>
  <si>
    <t>REPLACEMENT OF L04_GHVHW_052W_WINZE. APPROVED ON APRIL 22, 2022.stopped on may 5, 2022.RESUMED ON OCTOBER 6, 2022 AT THE SAME TIME TRANSFERRED FROM NOCOS 1 TO SHEPHERD AQ 3. SILL.STOPPED ON NOVEMBER 10, 2022 DUE TO LOW CONSECUTIVE ASSAY GRADE.</t>
  </si>
  <si>
    <t>REPLACEMENT OF L09_GHV_003W_DW_ISL. APPROVED ON SEPTEMBER 14, 2022.STOPPED ON NOV. 9, 2022 AND CONVERT TO BREAKING.</t>
  </si>
  <si>
    <t>L09_GHV_003W_WINZE STOPE</t>
  </si>
  <si>
    <t>REPLACEMENT OF L07_JV_010W_WINZE STOPE PREP. APPROVED ON SEPTEMBER 7, 2022. STOPPED BREAKING AND CONVERT TO PULL-OUT ON NOV. 3, 2022. TRAVERSED ON NOV. 4, 2022.MINED-OUT ON  NOVEMBER 11, 2022 WITH 100% PULL-OUT MC</t>
  </si>
  <si>
    <t>L07_JV_010W_ROBBING</t>
  </si>
  <si>
    <t>L06_GHV_034W_DW</t>
  </si>
  <si>
    <t xml:space="preserve"> REPLACEMENT OF L05_JVSPLIT_016W_WINZE_STOPE PREP. CONVERTED TO ACTIVE BREAKING APPROVED ON OCTOBER 22, 2022.STOPPED BREAKING ON NOVEMBER 11, 2022.
</t>
  </si>
  <si>
    <t>L11_GHVFW_055E_DE</t>
  </si>
  <si>
    <t>REPLACEMENT OF L09_DPVE_039E_RAISE. APPROVED ON NOVEMBER 7, 2022. TEMP. STOPPED ON NOV 12, 2022. TO PRIORITIZE STOPE PREPARATION</t>
  </si>
  <si>
    <t xml:space="preserve">REPLACEMENT OF L07_JVSPLIT_015W_DE_ISL APPROVED ON AUGUST 22, 2022.STOPPED AND CONVERT TO BREAKING ON SEPTEMBER 23, 2022. </t>
  </si>
  <si>
    <t>REPLACEMENT OF L07_JVSPLIT_015W_WINZE STOPE PREP. APPROVED ON SEPTEMBER 23, 2022.STOPPED ON OCTOBER 12, 2022, CONVERTED TO STOPE PULLOUT. STOPPED ON OCTOBER 24 2022. FINISHED HEADING. MINED OUT</t>
  </si>
  <si>
    <t xml:space="preserve">REPLACEMENT OF L09_JVFW_073E_ROBBING. APPROVED ON OCTOBER 12,2022. SILL WITH MUCKING. STOPPED ON NOVEMBER 12, 2022 ALREADY REACHED THE RECOMMENDED SILL PILLAR.
</t>
  </si>
  <si>
    <t xml:space="preserve">L09_DPVE_039E_STOPE PREP	</t>
  </si>
  <si>
    <t>L04_JVFW_008E_ROBBING</t>
  </si>
  <si>
    <t>REPLACEMENT OF L04 CTV 008E WINZE. APPROVED ON FEB 9, 2022.STOPPED ON MARCH 9 ,2022.</t>
  </si>
  <si>
    <t>REPLACEMENT OF L04_JVSPLIT_024E_ROBBING. APPROVED ON OCT 28, 2022. SILL PILLAR ROBBING. STOPPED ON NOVEMBER 12, 2022 DUE TO CONSECUTIVE LOW ASSAY GRADE.</t>
  </si>
  <si>
    <t>REPLACEMENT OF L07_JVSPLIT_015W_WINZE STOPE PREP. APPROVED ON SEPTEMBER 23, 2022.STOPPED ON OCTOBER 12, 2022, CONVERTED TO STOPE PULLOUT.APPROVED ON OCTOBER 12, 2022, TRAVERSED ON OCTOBER 13, 2022 AT THE SAME TIME CONVERTED TO STOPE PULLOUT.STOPPED ON OCTOBER 24 2022. FINISHED HEADING. MINED OUT.</t>
  </si>
  <si>
    <t>REPLACEMENT OF L10_GHVFW_052E_DE. APPROVED ON SEPTEMBER 26,2022. RENAMED FROM L10_GHVFW_052E_RAISE TO L10_GHVFW_051E_RAISE TO AVOID MISCHARGING ON OCTOBER 11,2022.TRANSFER FROM MONTEBON 4 TO LARGO 2 ON OCTOBER 11,2022.STOPPED ON NOVEMBER 13, 2022 DUE TO CONSECUTIVE LOW ASSAY GRADE.</t>
  </si>
  <si>
    <t>REPLACEMENT OF L10 DPVE 032E DW. APPROVED ON OCT 27, 2022.STOPPED ON NOVEMBER 13, 2022 ALREADY ENTERED IN 30M EXCLUSION ZONE OF 29E SHAFT.</t>
  </si>
  <si>
    <t>SPW</t>
  </si>
  <si>
    <t>L10_GHVFW_048E_DE</t>
  </si>
  <si>
    <t>REPLACEMENT OF L10_GHVFW_058E_STOPE. APPROVED ON NOV 7, 2022. TO DRIVE 10-15 METERS TO BREAKTHROUGH TO LEVEL 9 TO SERVE AS 2ND ACCESS OF STOPE, FOR SAFETY PURPOSES.STOPPED ON NOVEMBER 14,2022 TO RESUMED BREAKING OG L10_GHVFW_058E_STOPE.TEMPORARY STOPPED ON NOVEMBER 14,2022 TO RESUMED GHVFW_058E_STOPE.</t>
  </si>
  <si>
    <t>L04_GHVHW_050W_ROBBING</t>
  </si>
  <si>
    <t>L06_DPVE_057E_WINZE</t>
  </si>
  <si>
    <t>L09_DPVE_082E_ROBBING</t>
  </si>
  <si>
    <t>050W</t>
  </si>
  <si>
    <t>REPLACEMENT OF L08_DPVE_073E_DE_ISL APPROVED ON OCTOBER 21, 2022.STOPPED ON NOVEMBER 12, 2022 CONVERTED TO ACTIVE BREAKING.</t>
  </si>
  <si>
    <t>L08_DPVE_073E_WINZE STOPE</t>
  </si>
  <si>
    <t>L08_JVSPLIT_012E_RAISE</t>
  </si>
  <si>
    <t>REPLACEMENT OF L10_GHVHW_056E_DE. APPROVED ON OCTOBER 18,2022.RENAMED FROM L10_GHVFW_060E_STOPE PREP TO L10_GHVFW_062E_STOPE PREP TO PREVENT MISCHARGING. APPROVED ON OCTOBER 20, 2022.TEMPORARY STOPPED ON OCTOBER 21, 2022, DUE TO SUSPENSION OF MANPOWER AND BOOSTER SHOTS APPOINTMENT WILL RESUME ON OCTOBER 24, 2022.STOPPED ON NOVEMBER 14, 2022 CONVERTED TO ACTIVE BREAKING.</t>
  </si>
  <si>
    <t xml:space="preserve">L10_GHVFW_062E_STOPE </t>
  </si>
  <si>
    <t>L10_GHVFW_062E_STOPE</t>
  </si>
  <si>
    <t>REPLACEMENT OF L04_JVSPLIT_027E_DW. APPROVED ON SEPTEMBER 12, 2022.TEMPORARY STOPPED ON SEPTEMBER 13, 2022.RESUMED ON SEPTEMBER 15, 2022.RESUMED ON SEPTEMBER 15, 2022 AT THE SAME TIME CHANGE TEAM LEADER FROM  SHEPHERD AL 1 TO NOCOS.TEMPORARY STOPPED ON OCTOBER 4,2022 DUE TO LACK OF MANPOWER.RESUMED ON OCT 5, 2022. TRANSFERRED MANPOWER FROM NOCOS 2 SHEPHERD AQ 2 ON OCT 5 2022.STOPPED ON OCTOBER 19, 2022 DUE TO CONSECUTIVE LOW ASSAY GRADE.TRANSFERRED TO SHEPHERD AL. RESUMED ON OCTOBER 26. AS PER LEVEL GEO, HAS GOOD CUT SAMPLE.TEMPORARY STOPPED ON NOVEMBER 15, 2022 DUE TO INSUFFICIENT MANPOWER AND ABSENTEEISM RESULTING TO ABANDONEMENT OF WORKPLACE, THIS GROUP WILL BE MERGED TO SHEPHERD AL 1.</t>
  </si>
  <si>
    <t>REPLACEMENT OF L06 DPVE 057E DW. APPROVED ON OCT 27, 2022.STOPPED ON NOVEMBER 15, 2022 PINCHED OUT VEIN.</t>
  </si>
  <si>
    <t>REPLACEMENT OF L06_JV_018E_ROBBING, APPROVED ON OCTOBER 25, 2022.STOPPED ON NOVEMBER 15, 2022 ALREADY REACHED THE RECOMMENDED STRIKE LENGTH.</t>
  </si>
  <si>
    <t xml:space="preserve"> REPLACEMENT OF L05_JVSPLIT_016W_WINZE_STOPE PREP. CONVERTED TO ACTIVE BREAKING APPROVED ON OCTOBER 22, 2022.STOPPED BREAKING ON NOVEMBER 11, 2022.PUL-OUT ON NOVEMBER 11, 2022. WAITING FOR STOPE TRAVERSE.MINED OUT ON NOVEMBER 15, 2022.
</t>
  </si>
  <si>
    <t>REPLACEMENT OF L04_CTV_022W_WINZE. APPROVED ON JAN. 25, 2022.temp. stopped on march 2,2022.RESUMED ON OCTOBER 19, 2022 AT THE SAME TIME CHANGE TEAM LEADER FROM COMAINGKING TO SHEPHERD AQ 2.STOPPED ON NOVEMBER 8, 2022 DUE TO CUT BY FAULT WITH TWO FURTHER TARGET.</t>
  </si>
  <si>
    <t>L09_JV_051E_ROBBING</t>
  </si>
  <si>
    <t>L09_DPVE_030E_DW</t>
  </si>
  <si>
    <t>L06_GHV_034W_ROBBING</t>
  </si>
  <si>
    <t>REPLACEMENT OF L08_GHV_006W_WINZE STOPE PREP ON JULY 1, 2022.STOPPED BREAKING ON SEPTEMBER 1, 2022 AND CONVERT TO STOPE PULL-OUT.MINED OUT ON NOVEMBER 16, 2022.</t>
  </si>
  <si>
    <t>L05_JV_004W_WINZE</t>
  </si>
  <si>
    <t>REPLACEMENT OF L09_GHVHW_051E_RAISE APPROVED ON SEPTEMBER 16, 2022.RENAMED ON OCTOBER 6, 2022 FROM L09_DPVE_048E_WINZE TO L09_DPVE_062E_WINZE.RENAMED FROM L09_DPVE_062E_WINZE TO L09_DPVE_061E_WINZE ON OCTOBER 12,2022. STOPPED ON NOVEMBER 16, 2022 ALREADY REACHED THE RECOMMENDED STOPE LENGTH AND DUE TO MANPOWER ISSUE.</t>
  </si>
  <si>
    <t>REPLACEMENT OF L05_JV_020E_STOPE PREP APPROVED ON OCTOBER 18, 2022 CONVERTED TO ACTIVE BREAKING. RECOMMENDED IPR AT 8TH FLOOR ON NOVEMBER 12, 2022.STOPPED ON NOVEMBER 15, 2022, TRAVERSE ON NOVEMBER 16, 2022, CONVERTED TO ACTIVE PULLOUT</t>
  </si>
  <si>
    <t>REPLACEMENT OF L10_DPVE_030E_DE ON OCT 28 2022.STOPPED ON NOV 8, 2022 DUE TO CONSECUTIVE LOW GRADE RESULT.RESUMED ON NOVEMBER 11, 2022.STOPPED ON NOVEMBER 16,2022 DUE TO CONSECUTIVE LOW ASSAY GRADE.</t>
  </si>
  <si>
    <t>L11_JVFW_050E_DE</t>
  </si>
  <si>
    <t>REPLACEMENT OF L11_JV_061E_DE APPROVED ON OCTOBER 24, 2022.TEMPORARY STOPPED ON NOVEMBER 16,2022.</t>
  </si>
  <si>
    <t>REPLACEMENT OF L05_JV_005W_ROBBING. APPROVED ON NOVEMBER 4, 2022.STOPPED ON NOVEMBER 16, 2022 TO PRIORITIZE ROBBING.</t>
  </si>
  <si>
    <t>REPLACEMENT OF L06_GHVHW_032W_RAISE. APPROVED ON NOVEMBER 11, 2022.STOPPED ON NOVEMBER 16,2022 ALREADY BREAKTHROUGH.</t>
  </si>
  <si>
    <t>REPLACEMENT OF L11_GHVHW_065E_STOPE PREP. APPROVED ON JUNE 18, 2022.STOPPED BREAKING ON NOVEMBER 17,2022 AT THE SAME TIME CONVERT TO PULL-OUT CLEANING. CONDUCTED IPR NOVEMBER 13,2022.</t>
  </si>
  <si>
    <t>REPLACEMENT OF L06_GHVHW_035W_ROBBING ON OCT 28 2022.STOPPED ON NOVEMBER 17, 2022 DUE TO CONSECUTIVE LOW ASSAY GRADE.</t>
  </si>
  <si>
    <t>L05_DPVE_034E_ROBBING</t>
  </si>
  <si>
    <t>REPLACEMENT OF L05_DPVE_034E_WINZE. APPROVED ON JAN. 26, 2022.STOPPED ON MARCH 15, 2022.resumed on March 16, 2022.STOPPED ON MARCH 21,2022 CONVERT TO STOPE PREPARATION.RESUMED ON NOVEMBER 10, 2022.STOPPED ON NOVEMBER 17, 2022 DUE TO CONSECUTIVE LOW ASSAY GRADE</t>
  </si>
  <si>
    <t>L08_GHV_003E_WINZE STOPE PREP</t>
  </si>
  <si>
    <t>REPLACEMENT OF L08_GHV_003E_DE_ISL. APPROVED ON OCTOBER 7, 2022.TEMPORARRY STOPPED ON OCT 25, 2022 TO PRIORITIZE L08_GHVFW_005E_WINZE STOPE.TRANSFERRED FROM OY-YOY 1 TO LERIO 3 EFFECTIVE ON NOVEMBER 3, 2022.RESUMED ON NOV 4, 2022.STOPPED ON NOVEMBER 18,2022 CONVERT TO STOPE PREPARATION.</t>
  </si>
  <si>
    <t>REPLACEMENT OF L10_GHVHW_002W_DW. APPROVED ON OCTOBER 3,2022.TEMPORARY STOPPED ON OCT 5 2022 DUE TO VENTILATION CONCERNS.RESUMED ON OCTOBER 11,2022.STOPPED ON NOVEMBER 18,2022 ALREADY MINED OUT.</t>
  </si>
  <si>
    <t>REPLACEMENT OF  L10_GHVHW_065E_ROBBING. APPROVED ON OCTOBER 11,2022.STOPPED ON NOVEMBER 18,2022 ALREADY MINED OUT.</t>
  </si>
  <si>
    <t>L10_DPVE_050E_RAISE</t>
  </si>
  <si>
    <t>REPLACEMENT OF L04_CV_009W_ROBBING. APPROVED ON SEPTEMBER 24, 2022.TEMPORARY STOPPED ON NOVEMBER 18, 2022 TO PRIORITIZE NORMAL WORKPLACES.</t>
  </si>
  <si>
    <t>L04_JV_042W_RAISE</t>
  </si>
  <si>
    <t>L04_CV_002W_ROBBING</t>
  </si>
  <si>
    <t>L09_NONE_008W_XCS</t>
  </si>
  <si>
    <t>REPLACEMENT OF L09_DPVE_037E_WINZE. APPROVED ON OCTOBER 19,2022.TEMPORARRY STOPPED ON OCT 29, 2022 DUE TO RAMPANT ABSENTEEISM AND AWOL OF TEAM LEADER.RESUMED ON NOV 4, 2022 AT THE SAME TIME TRANSFERRED FROM ANDILAB 1 TO DELOS REYES V3.STOPPED ON NOVEMBER 18, 2022, PINCHED OUT VEIN.</t>
  </si>
  <si>
    <t>REPLACEMENT OF L06_JV_029W_RAISE ON OCT 28 2022. BLOCKING RAISE. STOPPED ON NOVEMBER 18, 2022 MADE A BREAKTHROUGH.</t>
  </si>
  <si>
    <t>REPLACEMENT OF  L08_JVSPLIT_012E_DW. APPROVED ON OCT 21, 2022.TEMPORARY STOPPED ON NOVEMBER 15, 2022 TO PRIORITIZE RAISE.</t>
  </si>
  <si>
    <t>L10_DPVE_094E_DE</t>
  </si>
  <si>
    <t>094E</t>
  </si>
  <si>
    <t>REPLACEMENT OF L05_JVSPLIT_033W_RAISE APPROVED ON SEPTEMBER 14, 2022.RENAMED FROM L05_JVSPLIT_034W_DE TO L05_JVSPLIT_033W_DE ON SEPTEMBER 23,2022 TO AVOID MISCHARGING.TEMPORARY STOPPED ON OCTOBER 11,2022 TO FOLLOW UP RAISE.RESUMED ON OCTOBER 26, 2022.STOPPED ON NOVEMBER 21, 2022, ALREADY REACHED THE RECOMMENDED STRIKE LENGTH</t>
  </si>
  <si>
    <t>L05_JVSPLIT_030W_RAISE</t>
  </si>
  <si>
    <t>L07_JVHW_041E_ROBBING</t>
  </si>
  <si>
    <t>L07_DPVE_045E_ROBBING</t>
  </si>
  <si>
    <t>UDLOS 2</t>
  </si>
  <si>
    <t>L03_RYV_010W_ROBBING</t>
  </si>
  <si>
    <t>L06_JV_012E_ROBBING</t>
  </si>
  <si>
    <t>L04_CV_003W_RAISE</t>
  </si>
  <si>
    <t>REPLACEMENT OF L04_CTV_022W_DE_ISL. APPROVED ON NOVEMBER 8, 2022. TOPSLICE WITH AIRHOIST.TEMPORARY STOPPED ON NOV. 21, 2022 DUE TO UNAVAILABILITY OF WASTE PASS.</t>
  </si>
  <si>
    <t>REPLACEMENT OF L04_JVSPLIT_028E_WINZE_STOPE PREP.APPROVED ON JULY 3,2022.STOPPED ON OCTOBER 7, 2022, CONVERTED TO STOPE PULLOUT.MINED-OUT ON NOVEMBER 21, 2022 WITH 107% PULL-OUT MC.</t>
  </si>
  <si>
    <t>ADDITIONAL HORIZONTAL HEADING. APPROVED ON OCTOBER 17, 2022.STOPPED ON NOVEMBER 21, 2022, PINCHED OUT VEIN.</t>
  </si>
  <si>
    <t>ADDITIONAL SOURCE OF GOOD ORE, APPROVED ON NOVEMBER 18, 2022.SILL.TEMPORARY STOPPED ON NOV. 21, 2022 DUE TO UNAVAILABILITY OF WASTE PASS.</t>
  </si>
  <si>
    <t>L05_DPVE_048E_WINZE STOPE PREP</t>
  </si>
  <si>
    <t>L09_GHVHW_005W_RAISE</t>
  </si>
  <si>
    <t>L09_DPVE_090E_RAISE</t>
  </si>
  <si>
    <t>L06_JV_033W_ROBBING</t>
  </si>
  <si>
    <t>L10_DPVE_018E_RAISE</t>
  </si>
  <si>
    <t>L10_JVFW_056E_ROBBING</t>
  </si>
  <si>
    <t>ADDITIONAL VERTICL RAISE. APPROVED ON NOV. 18, 2022.TEMPORARILY STOPPED ON NOVEMBER 21, 2022, DUE TO UNAVAILABILITY OF WASTE PASS.</t>
  </si>
  <si>
    <t>ADDITIONAL HORIZONTAL DEVT, APPROVED ON FEBRUARY 7,2022.STOPPED ON MAR 25, 2022 DUE TO LOW GRADE.RESUMED ON OCTOBER 12,2022. STOPPED ON NOVEMBER 22,2022 DUE TO ACTIVELY DRIVING NARROW VEIN AND ERRATIC GRADE.</t>
  </si>
  <si>
    <t xml:space="preserve"> REPLACEMENT OF L05_CTV_009E_DW. APPROVED ON NOVEMBER 8, 2022.STOPPED ON NOVEMBER 22, 2022, ALREADY MADE A BREAKTHROUGH.</t>
  </si>
  <si>
    <t>ADDITIONAL VERTICAL RAISE. APPROVED ON SEPTEMBER 15,2022. STOPPED ON NOVEMBER 22,2022 ALREADY CONNECTED TO LEVEL 10</t>
  </si>
  <si>
    <t xml:space="preserve">REPLACEMENT OF L04_GHVFW_010E_WINZE STOPE PREP. APPROVED ON SEPTEMBER 1, 2022.CONDUCTED FILL RAISE ON OCTOBER 19, 2022. STOPPED BREAKING AND CONVERT TO PULL-OUT ON NOV. 5, 2022. TRAVERSED ON NOVEMBER 4, 2022.STOPPED ON NOVERMBER 22, 2022 MINED OUT @ 94%
</t>
  </si>
  <si>
    <t>L04_GHVFW_010E_ROBBING</t>
  </si>
  <si>
    <t>REPLACEMENT OF L05_DPVE_034E_DW_ISL APPROVED ON NOVEMBER 18, 2022. SILL.TEMPORARY STOPPED ON NOVEMBER 23, 2022 TO PRIORITIZE DRIFT.</t>
  </si>
  <si>
    <t>L04_NONE_037W_SUMP</t>
  </si>
  <si>
    <t>REPLACEMENT OF L05_JV_020E_STOPE , CONVERTED TO ACTIVE PULLOUT ON NOVEMBER 16, 2022.STOPPED ON NOVEMBER 23, 2022 DUE TO CONSECUTIVE LOW ASSAY GRADE @ 120% PULLOUT MC.</t>
  </si>
  <si>
    <t>REPLACEMENT OF L06_JVSPLIT_007W_ROBBING APROVED ON OCTOBER 13, 2022.STOPPED ON NOVEMBER 23, 2022 PINCHED OUT VEIN,</t>
  </si>
  <si>
    <t>L06_DPVE_013E_ROBBING</t>
  </si>
  <si>
    <t>REPLACEMENT OF L06_GHV_034W_DW. APPROVED ON NOVEMBER 16, 2022. SILL.STOPPED ON NOBVEMBER 23, 2022. ALREADY FINISHED HEADING.</t>
  </si>
  <si>
    <t>REPLACEMENT OF L11_NONE_068E_XCN. APPROVED ON OCTOBER 17,2022.STOPPED ON NOVEMBER 19, 2022, RECOMMENDED FOR ACTIVE STOPE BREAKING.</t>
  </si>
  <si>
    <t>REPLACEMENT OF L06_JV_023E_ROBBING. APPROVED ON NOVEMBER 6, 2022. TOPSLICE.STOPPED ON NOVERMBER 23, 2022 ALREADY FINISHED HEADING.</t>
  </si>
  <si>
    <t>REPLACEMNET OF L06_GHVHW_035W_DE, APPROVED ON NOVEMEBR 17, 2022.STOPPED ON NOVERMBER 23, 2022 ALREADY FINISHED HEADING.</t>
  </si>
  <si>
    <t>REPLACEMENT OF L10_GHVFW_052E_DE. DRIVE TO BREAKTHROUGH TO OPPOSITE MAINLINE. APPROVED ON NOVEMBER 14,2022.STOPPED ON NOVEMBER 24, 2022 MADE A BREAKTHROUGH.</t>
  </si>
  <si>
    <t>REPLACEMENT OF L05_DPVE_051E_WINZE STOPE PREP, CONVERTED TO ACTIVE BREAKING ON OCTOBER 6, 2022.TEMPORARRY STOPPED BREAKING ON OCT 27, 2022. DUE TO CONSECUTIVE LOW GRADE RESULT. NO PULL OUT OF MINE CARS. TO BE DONE YET.RESUMED ON NOVEMBER 11, 2022, TO CONDUCT IPR.TEMPORARILY STOPPED ON NOVEMBER 24, 2022 ALREADY FINISHED IPR.</t>
  </si>
  <si>
    <t>L09_DPVE_061E_DW_ISL</t>
  </si>
  <si>
    <t>ADDITIONAL VERTICAL DEVT. APPROVED ON NOV 7, 2022. SAME MANPOWER WITH L09_GHVFW_052E_STOPE CONTROL PULLOUT.TEMPORARY STOPPED ON NOVEMBER 22,2022 DUE TO VEIN PINCHED OUT AND CONSECUTIVE LOW ASSAY GRADE.PERMANENTLY STOPPED ON 11/24/2022. REMAINING MATERIALS IS RECOMMENDED TO BE PULLED OUT DUE TO LOW GRADE</t>
  </si>
  <si>
    <t>L04_CTV_027W_ROBBING</t>
  </si>
  <si>
    <t>SPECIAL PROJECT. ADDITIONAL SUMP TO PREVENT FLOODING AT ML. APPROVED ON NOV. 23, 2022.STOPPED ON NOVEMBER 24, 2022, FINISHED HEADING.</t>
  </si>
  <si>
    <t>REPLACEMENT OF L03_JVSPLIT_015W_RAISE. APPROVED ON NOVEMBER 4, 2022.STOPPED ON NOVEMBER 25, 2022 TO PRIORITIZE SILL PILLAR ROBBING.</t>
  </si>
  <si>
    <t>REPLACEMENT OF L10_JVHW_044E_STOPE PREP. APPROVED ON AUGUST 1, 2022.STOPPED BREAKING ON NOVEMBER 23,2022 CANNOT BE TRAVERSE DUE TO UNSAFE CONDITION AT THE SAME TIME CONVERT TO PULL-OUT CLEANING.</t>
  </si>
  <si>
    <t>REPLACEMENT OF L10_GHV_057E_STOPE PREP. APPROVED ON JUNE 24,2022.TEMPORARY STOPPED GROUP SURRENDERED DUE TO LACK OF MANPOWER.RESUMED ON NOV 8, 2022 TO CONTINUE BREAKING.STOPPED BREAKING ON NOVEMBER 23,2022 CANNOT BE TRAVERSE DUE TO UNSAFE CONDITION AT THE SAME TIME CONVERT TO PULL-OUT CLEANING.</t>
  </si>
  <si>
    <t>L06_JV_004W_DW_ISL</t>
  </si>
  <si>
    <t>L06_NONE_072E_XCS</t>
  </si>
  <si>
    <t>ADDITIONAL VERTICAL DEVT. APPROVED ON NOV 3, 2022.STOPPED ON NOVEMBER 25, 2022 DUE TO PINCHED OUT OF VEIN.</t>
  </si>
  <si>
    <t>REPLACEMENT OF L06_JVSPLIT_019E_DE. APPROVED ON NOVEMBER 18, 2022.STOPPED ON NOVEMBER 25, 2022 DUE TO LOW CONSECUTIVE ASSAY GRADE.</t>
  </si>
  <si>
    <t>L05_JVSPLIT_015W_ROBBING</t>
  </si>
  <si>
    <t>L11_GHV_060E_STOPE</t>
  </si>
  <si>
    <t>L10_GHVFW_048E_STOPE PREP</t>
  </si>
  <si>
    <t>L09_DPVE_018E_STOPE PREP</t>
  </si>
  <si>
    <t>REPLACEMENT OF L08_GHV_032E_WINZE_STOPE PREP. APPROVED ON AUGUST 25, 2022. STOPPED BREAKING AND CONVERT TO PULL-OUT ON NOVEMBER 25, 2022 AS WELL TRAVERSE ON THE SAME DAY.</t>
  </si>
  <si>
    <t>ADDITIONAL SOURCE OF GOOD ORE. APPROVED ON NOVEMBER 21, 2022. SILL.STOPPED ON NOV. 28, 2022 DUE TO LOW CONSECUTIVE ASSAY GRADE.</t>
  </si>
  <si>
    <t>L06_JV_007W_ROBBING</t>
  </si>
  <si>
    <t>ADDITIONAL SOURCE OF GOOD ORE. APPROVED ON NOVEMBER 4, 2022. TOPSLICE.STOPPED ON NOV. 28, 2022 DUE TO LOW CONSECUTIVE ASSAY GRADE.</t>
  </si>
  <si>
    <t>REPLACEMENT OF L07_JV_042E_ROBBING, SILL APPROVED ON NOVEMBER 11, 2022.changed vein from JV to JVHW.TEMPORARY STOPPED ON NOV. 28, 2022 SINCE MP WAS TRANSFERRED TO NEW PRIORITY ROBBING.</t>
  </si>
  <si>
    <t>REPLACEMENT OF L05_JV_027E_DW APPROVED ON NOVEMBER 16, 2022.RESUMED ON NOVEMBER 16, 2022, AT THE SAME TIME CHANGE TEAM LEADER FROM BAYOBAY TO SHEPHERD AF 1.STOPPED ON NOVEMBER 27,2022 DUE TO CONSECUTIVE LOW ASSAY GRADE</t>
  </si>
  <si>
    <t>REPLACEMENT OF L09_JVFW_006W_DW. APPROVED ON NOVEMBER 16, 2022.TEMPORARY STOPPED ON NOVEMBER 28,2022 DUE TO CONSECUTIVE LOW ASSAY GRADE.</t>
  </si>
  <si>
    <t>REPLACEMENT OF L10_GHVSPLIT_015E_RAISE. APPROVED ON OCTOBER 7, 2022.TEMPORARRY STOPPED ON NOV 7, 2022 DUE TO INSUFFICIENT MANPOWER TO MERGE WITH L10 JVFW 067E ROBBING, RETENTION TO BE FORFEITED.RESUMED ON NOV 8, 2022. AT THE SAME TIME TRANSFERRED FROM DUHIG R1 TO TAÑEZA 1, DUHIG RETENTION WILL BE FORFEITED.STOPPED ON NOVEMBER 28,2022 DUE TO VEIN PINCHED OUT AND CONSECUTIVE LOW ASSAY GRADE.</t>
  </si>
  <si>
    <t>L06_GHV_032W_ROBBING</t>
  </si>
  <si>
    <t>L07_JVHW_043E_ROBBING</t>
  </si>
  <si>
    <t>REPLACEMENT OF L08_JVSPLIT_012E_DE. APPROVED ON NOVEMBER 15,2022.STOPPED ON NOV. 29, 2022 DUE TO PINCHED OUT OF VEIN.</t>
  </si>
  <si>
    <t xml:space="preserve">ADDITIONAL SOURCE OF GOOD ORE. APPROVED ON NOVEMBER 4, 2022. SILL.STOPPED ON NOVEMBER 17,2022 CONVERT TO SILL PILLAR ROBBING.STOPPED ON NOV. 29, 2022 DUE TO LOW CONSECUTIVE ASSAY GRADE.
</t>
  </si>
  <si>
    <t>REPLACEMENT OF L05_DPVE_046E_DW. APPROVED ON NOVEMBER 4, 2022. MANPOWER CAME FROM L05_CTV_035E_ROBBING. STOPPED ON NOVEMBER 29,2022 DUE TO CONSECUTIVE LOW ASSAY GRADE.</t>
  </si>
  <si>
    <t>L05_JV_028E_ROBBING</t>
  </si>
  <si>
    <t>L05_DPVE_047E_ROBBING</t>
  </si>
  <si>
    <t>L10_GHVFW_054E_RAISE</t>
  </si>
  <si>
    <t xml:space="preserve">TAÑEZA 1 </t>
  </si>
  <si>
    <t>L10_GHVHW_002W_RAISE</t>
  </si>
  <si>
    <t>L10_DPVE_071E_DE</t>
  </si>
  <si>
    <t>REPLACEMENT OF L10_GHVFW_058E_STOPE PREP. APPROVED ON MAY 25,2022.TEMPORARY STOPPED ON JULY 13,2022 DUE TO INSUFFIENT MANPOWER FORFEITED RETENTION.RESUMED ON JULY 27,2022.TEMPORARY STOPPED ON NOVEMBER 6, 2022 TO PRIORITIZE.RESUMED BREAKING ON NOVEMBER 14,2022. BREAKTHROUGH OF 55E RAISE.STOPPED BREAKING NOVEMBER 29,2022 DECLARED UNSAFE DUE TO 1 ACCESS ONLY FOLLOW UP SAFETY REPORT FROM LM AND SAFETY AT THE SAME TIME CONVERT TO PULL OUT CLEANING.</t>
  </si>
  <si>
    <t>REPLACEMENT OF L04_GHVHW_053W_ROBBING. APPROVED ON MAY 23 2022.TEMPORARY STOPPED ON JULY 2,2022 TO REHAB MANWAY.RESUMED ON JULY 6, 2022.STOPPED ON NOV. 28, 2022 DUE TO UNSAFE WORKING PLACE.</t>
  </si>
  <si>
    <t>L10_DPVE_020E_STOPE</t>
  </si>
  <si>
    <t>ADDITIONAL SOURCE OF GOOD ORE. APPROVED ON OCTOBER 17,2022. STOPPED ON NOV. 30, 2022 AND CONVERT TO STOPE BREAKING.</t>
  </si>
  <si>
    <t>REPLACEMENT OF L09_GHVFW_052E_STOPE PREP APPROVED ON AUG.6, 2022.CONVERTED TO PULL OUT CLEANING OCT 8 2022. (STANDBY FOR STOPE TRAVERSE).TEMPORARY STOPPED ON OCTOBER 30, 2022 DUE TO ITS CONSECUTIVE LOW BULK GRADE AND TO PRIORITY L09_DPVE_080E_DE_ISL. RESUMED ON NOV 3, 2022 BUT CONTROL PULL OUT ONLY. TEMPORARY STOPPED ON NOVEMBER 30,2022 DUE TO CONSECUTIVE LOW ASSAY GRADE WAITING FOR GEO JUSTIFICATION 76% Pull-out.</t>
  </si>
  <si>
    <t xml:space="preserve">CROSSCUT TO TARGET DRILLING INTERCEPT.APPROVED ON MAY 8, 2021.TEMPORARY STOPPED ON SEPTEMBER 8,2021 DUE TO TROUBLE AT 35E SHAFT. RESUMED ON SEPTEMBER 13,2021.TEMPORARY STOPPED ON MARCH 23,2022 TO PRIORITIZED BLASTING OF ALIMAK NEST AT 43E SHAFT. RESUMED ON JUNE 6,2022.TEMPORARY STOPPED ON JUNE 23, 2022 SINCE IT WAS ALREADY FULL OF MUCK ALONG THE MAINLINE DUE TO DOUBLE MUCKING.RESUMED ON AUGUST 1,2022.TEMPORARY STOPPED ON DEC 1,2022
</t>
  </si>
  <si>
    <t>L04_RYV_001E_RAISE</t>
  </si>
  <si>
    <t>L10_JVSPLIT_070E_ROBBING</t>
  </si>
  <si>
    <t xml:space="preserve">L04_CTV_012W_ROBBING </t>
  </si>
  <si>
    <t>L04_CTV_012W_ROBBING</t>
  </si>
  <si>
    <t>REPLACEMENT OF L09_GHVFW_050E_WINZE. APPROVED ON OCTOBER 13,2022.RENAMED FROM L09_JVFW_050E_WINZE TO L09_JVFW_070E_WINZE ON OCTOBER 17,2022. TEMPORARY STOPPED ON NOVEMBER 9, 2022 TO PRIORITIZE ISL. RESUMED AND TRANSFERRED FROM FABROA TO SHEPHERD AC ON NOV 10, 2022. TEMPORARRY STOPPED ON NOV 16, 2022, DUE TO LACK OF MANPOWER, MANPOWER TRANSFERRED TO LEVEL 6.</t>
  </si>
  <si>
    <t>L09_DPVE_028E_DW</t>
  </si>
  <si>
    <t>L09_DPVE_076E_DE_ISL</t>
  </si>
  <si>
    <t>REPLACEMENT OF L09_DPVE_025E_STOPE PREP APPROVED ON AUGUST 20, 2022.PULL-OUT ON NOVEMBER 18, 2022 AS WELL AS TRAVERSE ON THE SAME DAY.MINED OUT ON DECEMBER 2,2022.</t>
  </si>
  <si>
    <t xml:space="preserve"> WINZE SHAFT BOTTOM AT 43E SHAFT. APPROVED ON SEPTEMBER 1,2022. STOPPED ON DECEMBER 2,2022.
</t>
  </si>
  <si>
    <t>ADDITIONAL VERTICAL DEVELOPMENT. APPROVED ON AUGUST 31, 2022.STOPPED ON NOVEMBER 24,2022 CONVERT TO ISL</t>
  </si>
  <si>
    <t xml:space="preserve"> REPLACEMENT OF L07_JV_010W_WINZE STOPE. APPROVED ON NOVEMBER 11, 2022. TOPSLICE WITH AIRHOIST.STOPPED ON DEC 1 2022. MINED OUT.</t>
  </si>
  <si>
    <t>L09_DPVE_058E_WINZE</t>
  </si>
  <si>
    <t>L06_DPVE_012E_ROBBING</t>
  </si>
  <si>
    <t>REPLACEMENT OF L06_GHV_025W_ROBBING APPROVED ON NOVEMBER 23, 2022.STOPPED ON DEC. 2, 2022 FINSHED ROBBING OF CROWN PILLAR.</t>
  </si>
  <si>
    <t>SHEPHERD AQ 4</t>
  </si>
  <si>
    <t>ADDITIONAL SOURCE OF GOOD ORE APPROVED ON NOVEMBER 14, 2022. SILL.STOPPED ON DEC 2, 2022, DUE TO UNSAFE CONDITION</t>
  </si>
  <si>
    <t>L10_DPVE_009E_DE</t>
  </si>
  <si>
    <t>REPLACEMENT OF L08_GHVFW_056E_WINZE STOPE PREP. APPROVED ON OCTOBER 13,2022.ALREADY DONE FILL RAISE AND STOPE TRAVERSE, CONVERT TO STOPE CLEANING ON DEC 3, 2022.</t>
  </si>
  <si>
    <t xml:space="preserve">REPLACEMENT OF L06_JV_013E_WINZE. APPROVED ON SEPTEMBER 9,2022.CONDUCTED IPR ON NOVEMBER 16,2022.STOPPED BREAKING DUE TO LOW GRADE, ALREADY DONE STOPE TRAVERSE. CONVERT TO STOPE CLEANING ON DEC 3, 2022
</t>
  </si>
  <si>
    <t>ADDITIONAL SOURCE OF GOOD ORE. APPROVED ON OCTOBER 17,2022.STOPPED ON DECEMBER 3,2022 ALREADY MINED OUT TO BE REPLACED BY L10_DPVE_023E_ROBBING.</t>
  </si>
  <si>
    <t xml:space="preserve"> REPLACEMENT OF L08_DPVE_028E_RAISE. APPROVED ON OCTOBER 7, 2022.STOPPED ON OCT 29, 2022 VEIN PINCHED OUT.RESUMED ON NOVEMBER 17,2022 AT THE SAME TIME TRANSFER FROM LERIO 3 TO AGLOLO 1.STOPPED ON DEC 5 2022 (1ST SHIFT). OFF VEIN.</t>
  </si>
  <si>
    <t>P</t>
  </si>
  <si>
    <t>L08_GHVFW_034E_DW</t>
  </si>
  <si>
    <t>L09_JVSPLIT_070E_ROBBING</t>
  </si>
  <si>
    <t>L09_DPVE_048E_ROBBING</t>
  </si>
  <si>
    <t>REPLACEMENT OF L06_JV_008W_ROBBING. APPROVED ON NOV. 28, 2022.MINED-OUT ON DEC. 5, 2022.</t>
  </si>
  <si>
    <t xml:space="preserve"> REPLACEMENT OF L08_GHVFW_024E_ROBBING. APPROVED ON SEPTEMBER 26, 2022. SILL.TEMPORARY STOPPED ON OCTOBER 15,2022 DUE TO ABSENTEEISM.RESUMED ON OCTOBER 17,2022 AT THE SAME TIME TRANSFER FROM SHEPHERD AJ 1 TO LERIO 2.ALREADY DONE PILLA ROBBING. STOPPED ON OCT 29, 2022. RESUMED ON NOVEMBER 22,2022 AT THE SAME TIME TRANSFER FROM LERIO 2 TO LERIO 4.STOPPED ON DECEMBER 5 2022 (3RD SHIFT). ALREADY REACHED RECOMMENDED STRIKE.</t>
  </si>
  <si>
    <t>L08_GHVFW_005E_ROBBING</t>
  </si>
  <si>
    <t>REPLACEMENT OF L06_JV_033W_RAISE. APPROVED ON NOVEMBER 22, 2022. SILL.STOPPED ON DEC. 2, 2022 FINSHED HAEDING RECOMMENDED PILLARS.MINED-OUT ON DEC. 6, 2022.</t>
  </si>
  <si>
    <t>REPLACEMENT OF L10_JVSPLIT_042E_STOPE PREP. APPROVED ON NOV 4, 2022.RECOMMENDED FOR IPR ON NOVEMBER 28,2022 DUE TO OFF VEIN AT THE WEST SIDE.STOPPED BREAKING ON DECEMBER 3,2022, TRAVERSED ON DECEMBER 5,2022 AT THE SAME TIME CONVERT TO PULL-OUT CLEANING.</t>
  </si>
  <si>
    <t>L08_DPVE_057E_WINZE</t>
  </si>
  <si>
    <t>L03_CTV_020W_ROBBING</t>
  </si>
  <si>
    <t>REPLACEMENT OF L04_CV_006E_WINZE APPROVED ON NOVEMBER 18, 2022.STOPPED ON DEC 6 2022 (3RD SHIFT) DUE TO LOW GRADE ASSAYS.</t>
  </si>
  <si>
    <t>MAPAYO 4</t>
  </si>
  <si>
    <t>L10_DPVE_023E_ROBBING</t>
  </si>
  <si>
    <t>L04_JVSPLIT_028E_ROBBING</t>
  </si>
  <si>
    <t>L12_GHVHW_068E_STOPE PREP</t>
  </si>
  <si>
    <t>CAPUYAN 2</t>
  </si>
  <si>
    <t>REPLACEMENT OF L10_JVSPLIT_042E_STOPE PREP. APPROVED ON NOV 4, 2022.RECOMMENDED FOR IPR ON NOVEMBER 28,2022 DUE TO OFF VEIN AT THE WEST SIDE.STOPPED BREAKING ON DECEMBER 3,2022, TRAVERSED ON DECEMBER 5,2022 AT THE SAME TIME CONVERT TO PULL-OUT CLEANING.MINED OUT DECEMBER 7,2022.ALREADY DONE PULL OUT ON DEC 7, 2022 WITH 120% PULL OUT.</t>
  </si>
  <si>
    <t>L05_DPVE_048E_WINZE STOPE</t>
  </si>
  <si>
    <t>REPLACEMENT OF L05_DPVE_051E_DW_ISL APPROVED ON NOVEMBER 22, 2022.STOPPED AND CONVERT TO STOPE BREAKING ON DEC. 8, 2022.</t>
  </si>
  <si>
    <t>REPLACEMENT OF L06_JV_012E_ROBBING. APPROVED ON NOV. 28, 2022. SILL.MINED-OUT ON DEC. 8, 2022.</t>
  </si>
  <si>
    <t>L10_DPVE_065E_RAISE</t>
  </si>
  <si>
    <t xml:space="preserve">REPLACEMENT OF L08_DPVE_062E_DW_ISL. APPROVED ON NOVEMBER 4, 2022.STOPPED ON DEC 9 2022 DUE TO LOW GRADE.
</t>
  </si>
  <si>
    <t xml:space="preserve">REPLACEMENT OF L06_JV_013E_WINZE. APPROVED ON SEPTEMBER 9,2022.CONDUCTED IPR ON NOVEMBER 16,2022.STOPPED BREAKING DUE TO LOW GRADE, ALREADY DONE STOPE TRAVERSE. CONVERT TO STOPE CLEANING ON DEC 3, 2022.STOPPED ON DEC. 9, 2022 DUE TO LOW CONSECUTIVE ASSAY GRADE W/ 79% PULL-OUT MC.
</t>
  </si>
  <si>
    <t>L08_GHV_003E_WINZE STOPE</t>
  </si>
  <si>
    <t>L09_DPVE_068E_ROBBING</t>
  </si>
  <si>
    <t>PANSIT , NORMAN 2</t>
  </si>
  <si>
    <t>L06_JV_005W_WINZE</t>
  </si>
  <si>
    <t xml:space="preserve">REPLACEMENT OF L08_GHV_003E_DW_ISL APPROVED ON NOVEMBER 18, 2022.STOPPED AND CONVERT TO STOPE BREAKING ON DEC. 9, 2022.STOPPED ON 12-9-2022 AND AT THE SAME DAY CONVERTED TO STOPE BREAKING. </t>
  </si>
  <si>
    <t>L06_GHVHW_036W_ROBBING</t>
  </si>
  <si>
    <t>REPLACEMENT OF L06_DPVE_013E_ROBBING. APPROVED ON DEC. 2, 2022. SILL. MINED-OUT ON DEC. 12, 2022.STOPPED ON DECEMBER 12, 2022, ALREADY FINISHED HEADING.</t>
  </si>
  <si>
    <t>REPLACEMENT OF L05_CTV_010E_DW. APPROVED ON NOVEMBER 22, 2022.STOPPED ON DECEMBER 12, 2022, PINCHED OUT VEIN</t>
  </si>
  <si>
    <t xml:space="preserve">REPLACEMENT OF L05_DPVE_046E_RAISE. APPROVED ON NOVEMBER 29,2022 SILL.STOPPED ON DECEMBER 12, 2022 ALREADY REACHED THE RECOMMENDED SILL PILLAR. </t>
  </si>
  <si>
    <t>L07_JVHW_039E_ROBBING</t>
  </si>
  <si>
    <t>REPLACEMENT OF L07_JVHW_041E_ROBBING. APPROVED ON NOV. 29, 2022. SILL.STOPPED ON DEC. 13, 2022 ALREADY MINED-OUT.</t>
  </si>
  <si>
    <t xml:space="preserve">L09_DPVE_030E_RAISE </t>
  </si>
  <si>
    <t>L09_DPVE_030E_RAISE</t>
  </si>
  <si>
    <t>L05_JV_022E_ROBBING</t>
  </si>
  <si>
    <t>L05_GHVHW_037W_ROBBING</t>
  </si>
  <si>
    <t>REPLACEMENT OF L08_GHV_032E_WINZE_STOPE PREP. APPROVED ON AUGUST 25, 2022. STOPPED BREAKING AND CONVERT TO PULL-OUT ON NOVEMBER 25, 2022 AS WELL TRAVERSE ON THE SAME DAY.STOPPED ON DEC. 14, 2022 DUE TO LOW GRADE.</t>
  </si>
  <si>
    <t>REPLACEMENT OF L05_JVSPLIT_033W_DE APPROVED ON NOVEMBER 21, 2022.TRANSFERRED FROM SAMBERE 1 TO SHEPHERD AQ 4. APPROVED ON DEC. 1, 2022.STOPPED ON DEC 14, 2022. DUE TO LOW GRADE.STOPPED ON DECEMBER 14, 2022 ALREADY REACHED THE RECOMMENDED SLOPE LENGTH.</t>
  </si>
  <si>
    <t>REPLACEMENT OF L06_JV_004W_WINZE. APPROVED ON NOVEMBER 25, 2022.STOPPED ON DEC. 8, 2022 DUE TO LOW GRADE.</t>
  </si>
  <si>
    <t>L10_GHVFW_054E_STOPE PREP</t>
  </si>
  <si>
    <t xml:space="preserve">REPLACEMENT OF L06_GHV_034W_ROBBING. APPROVED ON NOV. 29, 2022. TOPSLICE.STOPPED ON DEC 15 2022 DUE TO CONSECUTIVE LOW GRADE ASSAYS.
</t>
  </si>
  <si>
    <t>REPLACEMENT AND BLOCKING RAISE OF L10_GHVFW_051E_RAISE . APPROVED ON NOVEMBER 14,2022.STOPPED ON DEC. 15, 2022 TO PRIORITIZE STOPE PREP.</t>
  </si>
  <si>
    <t>L08_GHV_031E_DE_ISL</t>
  </si>
  <si>
    <t>ADDITIONAL HORIZONTAL DEVELOPMENT TARGET DRILLING INTERCEPTS. APPROVED ON OCTOBER 18,2022.TEMPORARY STOPPED ON OCTOBER 20, 2022.RESUMED ON OCTOBER 25, 2022, AT THE SAME TIME CHANGE TEAM LEADER FROM BELICAN TO TAÑEZA 3.TEMPORARY STOPPED ON DEC. 2, 202 TO PRIORITIZE DRIFT SINCE THEY ALREADY HIT THE FIRST TARGET VEIN.RESUMED ON DECEMBER 6,2022.STOPPED ON DEC. 16, 2022 ALREADY HIT THE TARGET VEIN.</t>
  </si>
  <si>
    <t>L10_DPVE_010E_DE</t>
  </si>
  <si>
    <t xml:space="preserve"> ADDITIONAL VERTICAL DEVELOPMENT. APPROVED ON OCTOBER 18,2022.TEMOPRARY STOPPED ON NOV. 18, 2022 TO PRIORITIZED 042E WINZE.RESUMED ON DECEMBER 2,2022.STOPPED ON DEC 16, 2022. VEIN PINCHED OUT.</t>
  </si>
  <si>
    <t>L09_DPVE_036E_DE_ISL</t>
  </si>
  <si>
    <t>L05_GHVFW_010E_RAISE</t>
  </si>
  <si>
    <t>L06_JV_004W_DE_ISL</t>
  </si>
  <si>
    <t>REPLACEMENT OF L07_JV_057E_ROBBING.APPROVED ON APRIL 6, 2021.STOPPED ON JUNE 7, 2021 ALREADY FINISHED ROBBING PILLARS. RESUME ON AUGUST 18, 2021.FROM Frabroa to Cayabas approved on 8/19/21.FINISHED ON SEP 9 2021. RESUMED ON NOV. 29, 2022 AS WELL AS TRANSFERRED FROM CAYABAS TO FABROA 3. SILL.STOPPED AND FINISHED HEADING ON NOV. 16, 2022.</t>
  </si>
  <si>
    <t xml:space="preserve"> REPLACEMENT OF L06_JV_004W_DW_ISL. APPROVED ON DEC. 8, 2022.STOPPED ON DEC. 11, 2022 LOW GRADE.</t>
  </si>
  <si>
    <t>L12_GHVHW_067E_STOPE PREP</t>
  </si>
  <si>
    <t>DUHIG P9</t>
  </si>
  <si>
    <t>ADDITIONAL SOURCE OF STOPE ORE. APPROVED ON NOVEMBER 30,2022.STOPPED ON DEC. 19, 2022 AND CONVERT TO BREAKING.</t>
  </si>
  <si>
    <t>L09_DPVE_018E_STOPE</t>
  </si>
  <si>
    <t>REPLACEMENT OF L10_JVFW_067E_ROBBING. APPROVED ON NOVEMBER 22,2022.STOPPED ON DECEMBER 16, 2022, ALREADY FINISHED HEADING.</t>
  </si>
  <si>
    <t>REPLACEMENT OF L06_JV_033W_ROBBING. APPROVED ON DEC. 6, 2022. SILL.STOPPED ON DEC. 20, 2022 DUE TO LOW CONSECUTIVE ASSAY GRADE OF 1.41GPT.</t>
  </si>
  <si>
    <t xml:space="preserve">REPLACEMENT OF L06_JV_010E_ROBBING. APPROVED ON DEC. 8, 2022. SILL.STOPPED ON DEC. 20, 2022 DUE TO LOW CONSECUTIVE ASSAY GRADE OF 1.70GPT.
</t>
  </si>
  <si>
    <t>REPLACEMENT OF L06_CV_002W_RAISE. APPROVED ON SEPTEMBER 7, 2022. TOPSLICE W/O AIRHOIST. STOPPED ON OCTOBER 10,2022 ALREADY MINED OUT.RESUMED ON NOV. 29, 2022 AS WELL AS TRANSFERRED FROM SHEPHERD AC 1 TO SHEPHERD AA 1. TOPSLICE.STOPPED ON DEC. 20, 2022 DUE TO LOW CONSECUTIVE ASSAY GRADE OF 1.74GPT.</t>
  </si>
  <si>
    <t>REPLACEMENT OF L06_GHVHW_035W_ROBBING. APPROVED ON DEC. 12, 2022. SILL.STOPPED ON DEC. 20, 2022 DUE TO LOW CONSECUTIVE ASSAY GRADE OF 2.78GPT.</t>
  </si>
  <si>
    <t>REPLACEMENT OF L10_GHV_057E_STOPE PREP. APPROVED ON JUNE 24,2022.TEMPORARY STOPPED GROUP SURRENDERED DUE TO LACK OF MANPOWER.RESUMED ON NOV 8, 2022 TO CONTINUE BREAKING.STOPPED BREAKING ON NOVEMBER 23,2022 CANNOT BE TRAVERSE DUE TO UNSAFE CONDITION AT THE SAME TIME CONVERT TO PULL-OUT CLEANING.STOPPED ON DECEMBER 20,2022 DUE TO CONSECUTIVE LOW ASSAY GRADE 93% PULL-OUT CLEANING.</t>
  </si>
  <si>
    <t>REPLACEMENT OF L09 DPVE 037E RAISE. APPROVED ON NOV 12, 2022.STOPPED ON DECEMBER 20,2022 ALREADY BREAKTHROUGH.</t>
  </si>
  <si>
    <t>L09_DPVE_039E_STOPE</t>
  </si>
  <si>
    <t>L10_NONE_040E_XCS</t>
  </si>
  <si>
    <t>ADDITIONAL VERTICAL DEVELOPMENT. APPROVED ON APRIL 23, 2019. TRANSFER TO PANCIT 8 FROM DELOS, REYES V.2 ALREADY DONE FOLLOW UP APPROVED ON MAY 7, 2019. STOPPED ON JULY 10, 2019 ALREADY PASSED THE WIREFRAME AND PART OF L09_GHV_030W_STOPE PREP. RESUMED ON MARCH 17 2020 IN THE SAME TIME TRANSFERRED FROM PANCIT 8 TO HUMIDING. STOPPED ON APRIL 7 2020 DUE TO CONSECUTIVE LOW ASSAY GRADE ON CUT SAMPLE/ BULK SAMPLES.</t>
  </si>
  <si>
    <t>L11_GHVFW_045E_RAISE</t>
  </si>
  <si>
    <t>L08_NONE_024E_XCS</t>
  </si>
  <si>
    <t>L09_DPVE_076E_DW_ISL</t>
  </si>
  <si>
    <t>REPLACEMENT OF L05_DPVE_034E_WINZE STOPE APPROVED ON OCTOBER 26, 2022.TEMPORARY STOPPED ON NOVEMBER 10, 2022 TO PRIORITIZED DW.RESUMED ON NOVEMBER 23, 2022.STOPPED ON DECEMBER 22, 2022 DUE TO CONSECUTIVE LOW ASSAY GRADE.</t>
  </si>
  <si>
    <t>L03_JVSPLIT_023W_ROBBING</t>
  </si>
  <si>
    <t>CHANGE QUOTA TO 180 ON 6/7/15. Change Quota from 180 to 230 as of 11/6/16. CHANGE QUOTA FROM 230 TO 300 1/24/2017. CHANGE FROM 300 TO 240 6/20/17.Change from 240 to 200 on 11/1/19. Change from 200 to 250 including Level 3 on 3/27/20. Change from 250 to 170 on 9/5/20. CHANGE FROM 170 TO 200 5/1/21. CHANGE FROM 200 TO 150 DEPLETION OF RESOURCES AND REMOVAL OF BAGUIO SHAFT. CHANGE FROM 20 TO 30 1/1/23 additional group to open robbings.</t>
  </si>
  <si>
    <t>CHANGE QUOTA from 330 to 300 on 6/1/17. CHANGE QUOTA from 300 to 250 on 11/10/17. CHANGE QUOTA from 250 to 280 on 12/12/18. CHANGE FROM 200 TO 180 DEPLETION OF RESOURCES 12/1/21. Change from 180 to 100 group transfer to Level 11 10/1/22. Change from 100 to 90 1/1/23 depletion of resources.</t>
  </si>
  <si>
    <t xml:space="preserve">ADDITIONAL VERTICAL DEVELOPMENT .ACTIVE ON 8/19/2022.TEMPORARY STOPPED ON NOVEMBER 15,2022 DISSOLVED GROUP BROWNLISTED.RESUMED ON NOVEMBER 16,2022 ADVISED BY EMS TO GIVE ONE MORE CHANCE.STOPPED ON JANUARY 03, 2023
DUE TO CONSECUTIVE LOW ASSAY GRADE.
</t>
  </si>
  <si>
    <t xml:space="preserve"> REPLACEMENT OF L09_JVFW_070E_WINZE. APPROVED ON NOVEMBER 9, 2022.TEMPORARY STOPPED ON NOVEMBER 22,2022 4 MANPOWER INVOLVED IN HIGH GRADING. RESUMED ON DECEMBER 2,2022 AT THE SAME TIME TRANSFER FROM FABROA 2 TO PANSIT,NORMAN 1,STOPPED ON JANUARY 03, 2023 RECOMMENDED TO CONVERT THE ISL TO STOPE PREP.</t>
  </si>
  <si>
    <t>L09_DPVE_080E_WINZE STOPE PREP</t>
  </si>
  <si>
    <t>REPLACEMENT OF L08_GHVFW_056E_WINZE STOPE PREP. APPROVED ON OCTOBER 13,2022.ALREADY DONE FILL RAISE AND STOPE TRAVERSE, CONVERT TO STOPE CLEANING ON DEC 3, 2022.MINED OUT ON JANUARY 9, 2023.</t>
  </si>
  <si>
    <t>L06_GHV_033W_ROBBING</t>
  </si>
  <si>
    <t>L06_CV_010W_ROBBING</t>
  </si>
  <si>
    <t>L06_JV_020E_RAISE</t>
  </si>
  <si>
    <t>L08_DPVE_064E_DW_ISL</t>
  </si>
  <si>
    <t xml:space="preserve">REPLACEMENT OF L06_JV_007W_ROBBING. APPROVED ON DEC. 5, 2022.STOPPED ON JANUARY 10, 2023, PINCHED OUT VEIN.
</t>
  </si>
  <si>
    <t>REPLACEMENT OF L08_GHVFW_005E_WINZE STOPE, APPROVED ON NOV 7, 2022.STOPPED ON JANUARY 10, 2023, ALREADY REACHED THE RECOMMENDED SLOPE LENGTH, CONVERTED TO ISL.</t>
  </si>
  <si>
    <t>L06_CV_003W_ROBBING</t>
  </si>
  <si>
    <t xml:space="preserve">REPLACEMENT OF L04_JVSPLIT_025E_ROBBING APPROVED ON NOVEMBER 12, 2022. SILL.STOPPED ON JANUARY 10, 2023 ALREADY FINISHED HEADING.
</t>
  </si>
  <si>
    <t>L04_CV_006E_DE_ISL</t>
  </si>
  <si>
    <t>REPLACEMENT OF L10_DPVE_030E_RAISE. APPROVED ON NOVEMBER 18,2022.STOPPED ON DECEMBER 21, 2022 DUE TO CONSECUTIVE LOW ASSAY GRADE.</t>
  </si>
  <si>
    <t>L09_DPVE_088E_STOPE PREP</t>
  </si>
  <si>
    <t>088E</t>
  </si>
  <si>
    <t>L10_DPVE_006E_DW</t>
  </si>
  <si>
    <t>L05_DPVE_035E_WINZE STOPE PREP</t>
  </si>
  <si>
    <t>REPLACEMENT OF L10_NONE_008E_XCN. APPROVED ON DEC. 16, 2022.STOPPED ON JANUARY 11, 2023 PINCHED OUT VEIN.</t>
  </si>
  <si>
    <t>L10_DPVE_007E_DW</t>
  </si>
  <si>
    <t xml:space="preserve"> ADDITIONAL VERTICAL RAISE. APPROVED ON NOVEMBER 22,2022.TRANSFER FROM CANOY 1 TO HANGDAAN 1 ON DECEMBER 2,2022 DUE ABSENTEEISM OF FORMER TEAM LEADER.TRANSFER FROM HANGDAAN 1 TO CAPUYAN 2 ON DECEMBER 7,2022. HANGDAAN DID NOT PROCEED TO THIS WORK PLACE.STOPPED ON JANUARY 11, 2023 PINCHED OUT VEIN.</t>
  </si>
  <si>
    <t xml:space="preserve">REPLACEMENT OF L08_DPVE_062E_DE_ISL, APPROVED ON OCTOBER 20, 2022.STOPPED ON OCT 21, 2022 DUE TO LOW GRADE. RESUME ON OCT.27, 2022.TEMPORARY STOPPED ON NOVEMBER 4, 2022 TO PRIORITIZE EAST PORTION.RESUMED ON DEC. 9, 2022.STOPPED ON JANUARY 11, 2023, ALREADY REACHED THE RECOMMENDED STRIKE LENGTH WITH CONSECUTIVE LOW ASSAY GRADE.
</t>
  </si>
  <si>
    <t>L10_GHVFW_056E_DE</t>
  </si>
  <si>
    <t>L10_DPVE_019E_STOPE PREP</t>
  </si>
  <si>
    <t>L07_JVHW_038E_ROBBING</t>
  </si>
  <si>
    <t>REPLACEMENT OF L07_JVHW_043E_ROBBING. APPROVED ON DEC. 13, 2022. TOPSLICE W/O AIRHOIST.MINED OUT JANUARY 12, 2023.</t>
  </si>
  <si>
    <t>L06_DPVE_058E_ROBBING</t>
  </si>
  <si>
    <t>L04_JV_005E_DW</t>
  </si>
  <si>
    <t>REPLACEMENT OF L06_DPVE_058E_DW. APPROVED ON NOVEMBER 15, 2022.STOPPED ON JANUARY 13, 2023 DUE TO CONSECUTIVE LOW ASSAY GRADE.</t>
  </si>
  <si>
    <t>TARGETING THE DRILLING INTERCEPT. APPROVED ON SEPTEMBER 20, 2022.TEMPORARY STOPPED ON SEPT 20, 2022 REHAB MAINLINE.RESUMED ON OCTOBER 3,2022.SPECIAL PROJECT FOR VENTILATION PURPOSES.STOPPED ON JANUARY 13, 2023 ALREADY FINISHED</t>
  </si>
  <si>
    <t>L05_DPVE_033E_DW</t>
  </si>
  <si>
    <t>L09_DPVE_061E_DE_ISL</t>
  </si>
  <si>
    <t>L07_GHVFW_066E_ROBBING</t>
  </si>
  <si>
    <t>REPLACEMENT OF L08_DPVE_071E_WINZE_STOPE PREP APPROVED ON MARCH 4, 2022.STOPPED BREAKING ON SEPTEMBER 26,2022 DUE TO UNFAVORABLE HEAT CONDITION  AT THE SAME TIME CONVERT TO PULL-OUT CLEANING. TRAVERSE ON SEPTEMBER 26,2022.TEMPORARY STOPPED ON OCTOBER 12,2022 DUE TO DEFECTIVE AIRHOIST.RESUMED ON OCTOBER 18,2022.MINED OUT ON JANUARY 14, 2023.</t>
  </si>
  <si>
    <t>L10_DPVE_095E_DE</t>
  </si>
  <si>
    <t>095E</t>
  </si>
  <si>
    <t>REPLACEMENT OF L10_GHVFW_058E_STOPE PREP. APPROVED ON MAY 25,2022.TEMPORARY STOPPED ON JULY 13,2022 DUE TO INSUFFIENT MANPOWER FORFEITED RETENTION.RESUMED ON JULY 27,2022.TEMPORARY STOPPED ON NOVEMBER 6, 2022 TO PRIORITIZE.RESUMED BREAKING ON NOVEMBER 14,2022. BREAKTHROUGH OF 55E RAISE.STOPPED BREAKING NOVEMBER 29,2022 DECLARED UNSAFE DUE TO 1 ACCESS ONLY FOLLOW UP SAFETY REPORT FROM LM AND SAFETY AT THE SAME TIME CONVERT TO PULL OUT CLEANING.MINED OUT ON DECEMBER 21, 2022.</t>
  </si>
  <si>
    <t>REPLACEMENT OF L06_GHV_032W_ROBBING APPROVED ON JANUARY 10, 2023. SILL.STOPPED ON JANUARY 15, 2023, ALREADY FINISHED HEADING.</t>
  </si>
  <si>
    <t xml:space="preserve">REPLACEMENT OF L06_JV_019E_RAISE APPROVED ON JANUARY 10, 2023, BLOCKING RAISE.TEMPORARILY STOPPED ON JANUARY 15, 2023 </t>
  </si>
  <si>
    <t>REPLACEMENT OF L06_GHVHW_036W_ROBBING APPROVED ON JANUARY 10, 2023. SILL.STOPPED ON JANUARY 15, 2023, ALREADY FINISHED HEADING.</t>
  </si>
  <si>
    <t>REPLACEMENT L10_GHVFW_062E_RAISE .APPROVED OF AUGUST 22, 2022. SILL.L10_GHV_060E_ROBBING. ON AUG.25 2022.CHANGE NAME FROM L10_GHVFW_060E_ROBBING TO L10_GHV_060E_ROBBING.STOPPED ON JANUARY 12, 2023 ALREADY REACHED THE RECOMMENDED SILL PILLAR.</t>
  </si>
  <si>
    <t>ADDITIONAL VERTICAL DEVELOPMENT. APPROVED ON NOVEMBER 22,2022.STOPPED ON JANUARY 14, 2023, ALREADY REACHED THE RECOMMENDED SLOPE LENGTH, CONVERTED TO STOPE PREP.</t>
  </si>
  <si>
    <t>REPLACEMENT OF L06_CV_002W_ROBBING APPROVED ON JANUARY 10, 2023. SILL.STOPPED ON JANUARY 17, 2023 DUE TO CONSECUTIVE LOW ASSAY GRADES ON BULK SAMPLES.</t>
  </si>
  <si>
    <t>REPLACEMENT OF L09_GHVHW_001W_DW APPROVED ON NOVEMBER 18, 2022.TEMPORARY STOPPED ON NOVEMBER 11,2022 TO PRIORITIZED FOLLOW UP OF ADJACENT RAISE.RESUMED ON NOVEMBER 25,2022.STOPPED ON JANUARY 16, 2023, THE TARGET VEIN HAS ALREADY BEEN INTERCEPTED, CONVERT TO DRIFT L09_GHVHW_010W_DW.</t>
  </si>
  <si>
    <t>L09_GHVHW_010W_DW</t>
  </si>
  <si>
    <t>REPLACMENT OF L10_GHVFW_048E_DE. APPROVED ON 11/26/2022.STOPPED ON JANUARY 14,2023 ALREADY BREAKTHROUGH CONVERT TO ACTIVE BREAKING.</t>
  </si>
  <si>
    <t>L10_GHVFW_048E_STOPE</t>
  </si>
  <si>
    <t>REPLACEMENT OF L05 JVSPLIT 030W RAISE. APPROVED ON DEC 14, 2022.RENAMED FROM L05_DPVE_010W_RAISE TO L05_GHVFW_010E_RAISE APPROVED ON DECEMBER 16, 2022 FOR PROPER NAMING.STOPPED ON JANUARY 17, 2023 DUE TO BREAKTHROUGH AT OLD STOPE.</t>
  </si>
  <si>
    <t xml:space="preserve">REPLACEMENT OF L11_JVFW_054E_DE. APPROVED ON MAY 18,2021. TEMPORARY STOPPED ON JUNE 22,2021 TO FOLLOW UP RAISE.RESUMED ON JULY 20, 2021.  TEMPORARY ON AUGUST 5,2021 DUE TO ON GOING DRILLING. RESUMED ON AUGUST 25 2021.TEMPORARY STOPPED ON SEPTEMBER 8,2021 DUE TO TROUBLE AT 35E SHAFT. RESUMED ON SEPTEMBER 13,2021. TEMPORARY STOPPED ON JANUARY 25,2022 DELAY ON FOLLOW UP RAISE. RESUMED ON FEBRUARY 1,2022. TRANSFER FROM DUHIG, P6 TO COMAINGKING 3 ON MAY 16,2022 SWAPPING OF TEAM LEADERS DUE TO AVAILABILITY OF EQUIPMENT.TEMPORARY STOPPED MAY 16,2022. DELAY BY STOPE PREPARATION.RESUMED ON NOVEMBER 23,2022. AT THE SAME TIME TRANSFER FROM COMAINGKING 3 TO COMAINGKING 1.TEMPORARY STOPPED DECEMBER 17,2022
</t>
  </si>
  <si>
    <t>REPLACEMENT OF L04_GHVFW_010E_WINZE STOPE. APPROVED ON NOVEMBER 22, 2022. B5 - TOPSLICE WITH AIRHOIST AND MUCKING MACHINE,STOPPED ON DECEMBER 21,2022.</t>
  </si>
  <si>
    <t>L08_GHVSPLIT_014W_RAISE</t>
  </si>
  <si>
    <t>L09_GHV_063E_RAISE</t>
  </si>
  <si>
    <t xml:space="preserve">PROPOSED CROSSCUT AND 26E MAINLINE WIDENING FOR DOUBLE TRACK AND L8 LOCO REROUTING. APPROVED ON DEC 22 2022. SPECIAL PROJECT.STOPPED ON JANUARY 11,2023
</t>
  </si>
  <si>
    <t>CHAMBER EXCAVATION UPGRADE OF 35E Shaft. APPROVED ON OCTOBER 11,2022. BLASTING DURING 2ND SHIFT ONLY.STOPPED ON JANUARY 9,2023.</t>
  </si>
  <si>
    <t>REPLACEMENT OF L10_GHVFW_048E_STOPE PREP. APPROVED ON JANUARY 14,2023.</t>
  </si>
  <si>
    <t>REPLACEMENT OF L08_DPVE_064E_WINZE APPROVED ON JANUARY 10, 2023.STOPPED ON JANUARY 14, 2023 DUE TO BREAKTHROUGH AT OLD STOPE.</t>
  </si>
  <si>
    <t>REPLACEMENT OF L10_GHV_066E_ROBBING. APPROVED ON NOVEMBER 30,2022. SILL WITH MUCKING.STOPPED ON JANUARY 19, 2023. ALREADY FINISHED THE RECOMMENDED LENGTH TO BREAK.</t>
  </si>
  <si>
    <t>REPLACEMENT OF L10_NONE_054E_XCS. APPROVED ON AUGUST 31,2022.TEMPORARY STOPPED ON SEPTEMBER 1,2022 DUE TO HIGH GRADING ISSUE.RESUMED ON SEPTEMBER 8,2022 AT THE SAME TIME TRANSFER FROM CAPOY 1 TO BELICAN 2.TEMPORARY STOPPED ON OCTOBER 17,2022 TO PRIORITIZED STOPE PREP. RESUMED ON JANUARY 12, 2023, AT THE SAME TIME CHANGE TEAM LEADER FROM BELICAN 1 TO MONTEBON 1.TEMPORARY STOPPED ON JANUARY 19, 2023 TO PRIORITIZED L10_GHVFW_052E_DW.</t>
  </si>
  <si>
    <t xml:space="preserve">REPLACEMENT OF L10_GHVHW_002W_DW. APPROVED ON NOVEMBER 30,2022.TEMPORARILY STOPPED ON DEC 6 2022. ALTERNATING SUSPENSION OF MANPOWER DUE TO ABSENTEEISM.RESUMED ON DEC 9 2022 (3RD SHIFT).STOPPED ON JANUARY 19, 2023 DUE TO PINCHED OUT OF VEIN CAUSED BY HIGH DIPPING FAULT
</t>
  </si>
  <si>
    <t xml:space="preserve">REPLACEMENT OF L10_DPVE_068E_STOPE PREP. APPROVED ON 8/5/2022.STOPPED BREAKING AND CONVERT TO PULL-OUT ON JANUARY 18, 2023. TRAVERSED ON THE SAME DAY. </t>
  </si>
  <si>
    <t xml:space="preserve">REPLACEMENT OF L10_DPVE_059E_STOPE PREP.APPROVED ON AUGUST 8, 2022.CONDUCTED 2 IPRS ON OCTOBER 11,2022.ALREADY DONE IPR ABOVE CUT OFF GRADE RESUME BREAKING ON OCTOBER 18,2022.TRANSFER FROM TAÑEZA 5 TO TAÑEZA 1 FORMER GROUP WAS DISSOLVED/BROWNLISTED EFFECTIVE ON NOVEMBER 29,2022.STOPPED BREAKING AND CONVERT TO PULL-OUT ON JANUARY 17, 2023. TRAVERSED ON THE SAME DAY.
L10_DPVE_059E_STOPE TAÑEZA 5- ALREADY DONE IPR ABOVE CUT OFF GRADE RESUME BREAKING ON OCTOBER 18,2022.
Liezel Salomon, Today at 2:56 PM
</t>
  </si>
  <si>
    <t>L10_GHV_053E_STOPE PREP</t>
  </si>
  <si>
    <t>REPLACEMENT OF L07_JVHW_039E_ROBBING APPROVED ON JANUARY 12, 2023. SILL.STOPPED ON JANUARY 19, 2023 DUE TO CONSECUTIVE LOW GRADE PRODUCED</t>
  </si>
  <si>
    <t xml:space="preserve">SHEPHERD AY 1 </t>
  </si>
  <si>
    <t>REPLACEMENT OF L07_JVSPLIT_017W_WINZE STOPE PREP. APPROVED ON NOVEMBER 21, 2022.Temporary stopped on Jan 20, 2023 @ 3rd shift. Transfer of manpower to priority heading L07_JVSPLIT_017W_WINZE STOPE PREP</t>
  </si>
  <si>
    <t xml:space="preserve">REPLACEMENT OF L06_JV_004W_WINZE. APPROVED ON DEC. 12, 2022.Stopped on Jan 18, 223 2nd shift
</t>
  </si>
  <si>
    <t>L04_GHVFW_011E_ROBBING</t>
  </si>
  <si>
    <t>L03_RYV_007W_WINZE</t>
  </si>
  <si>
    <t xml:space="preserve">FERNANDEZ, RM 5 </t>
  </si>
  <si>
    <t>REPLACEMENT OF L05_NONE_028E_XCS APPROVED ON JANUARY 13, 2023.STOPPED ON JANUARY 19, 2023 DUE TO UNSAFE CONDITION OF THE WORKING PLACE.</t>
  </si>
  <si>
    <t>REPLACEMENT OF L10 GHVHW 054E DE. APPROVED ON OCT 27, 2021. RENAME FROM L10_GHVFW_051E_DW ON 10/11/21. STOPPED ON NOVEMBER 16, 2021, LOW GRADE.RESUME ON NOV.19,2021. STOPPED ON NOVEMBER 26,2021 ALREADY BREAKTHROUGH,</t>
  </si>
  <si>
    <t>APA 2</t>
  </si>
  <si>
    <t>APA 1</t>
  </si>
  <si>
    <t>CAYMAN 2</t>
  </si>
  <si>
    <t>CAYMAN 1</t>
  </si>
  <si>
    <t xml:space="preserve">REPLACEMENT OF L08_GHV_032E_WINZE STOPE, APPROVED ON DEC 16, 2022.STOPPED ON JANUARY 23, 2023 DUE TO CONSECUTIVE LOW ASSAY GRADE
</t>
  </si>
  <si>
    <t>L10_DPVE_092E_RAISE</t>
  </si>
  <si>
    <t xml:space="preserve">ADDITIONAL HORIZONTAL DEVT. APPROVED ON NOV 4, 2022.TEMPORARY STOPPED ON JANUARY 23, 2023 TO PRIORITIZED RAISE.
</t>
  </si>
  <si>
    <t>REPLACEMENT OF L05_JVSPLIT_016W_WINZE STOPE APPROVED ON NOVEMBER 16, 2022.STOPPED ON JANUARY 23, 2023, BREAKTHROUGH TO AN OLD STOPE</t>
  </si>
  <si>
    <t xml:space="preserve">REPLACEMENT OF L10_DPVE_050E_RAISE APPROVED ON JANUARY 11, 2023.STOPPED ON JANUARY 23, 2023 DUE TO OFF-VEIN.
</t>
  </si>
  <si>
    <t>L05_NONE_032E_RAISE</t>
  </si>
  <si>
    <t>L05_NONE_050E_XCN</t>
  </si>
  <si>
    <t>L10_DPVE_005E_RAISE</t>
  </si>
  <si>
    <t>L08_GHV_028E_ROBBING</t>
  </si>
  <si>
    <t>L05_JV_004W_DW_ISL</t>
  </si>
  <si>
    <t>L10_GHV_046E_RAISE</t>
  </si>
  <si>
    <t xml:space="preserve">GUNAY 1 </t>
  </si>
  <si>
    <t xml:space="preserve">MAPAYO 1 </t>
  </si>
  <si>
    <t>REPLACEMENT OF L04_RYV_001E_DW.  APPROVED  ON NOV 28 2022.TEMPORARILY STOPPED ON DEC 5 2022 DUE TO MAINLINE COLLAPSE.RESUMED ON DEC. 10, 2022.TEMPORARILY STOPPED ON DECEMBER 14, 2022 DUE TO LACK OF MANPOWER.RESUMED ON JANUARY 10, 2023.CHANGE NAME OF TEAM LEADER FROM SHEPHERD AR 1 TO APA 1, FULL PLEDGED TEAM LEADER APPROVED ON DECEMBER 20,2022.STOPPED ON JANUARY 25,2023 DUE TO CONSECUTIVE LOW ASSAY GRADE</t>
  </si>
  <si>
    <t>REPLACEMENT OF L04_CTV_022W_DE_ISL. APPROVED ON NOVEMBER 8, 2022. TOPSLICE WITH AIRHOIST.CHANGE NAME OF TEAM LEADER FROM SHEPHERD AQ 2 TO CAYMAN 2, FULL PLEDGED TEAM LEADER APPROVED ON DECEMBER 20,2022. STOPPED ON JANUARY 26,2023 ALREADY MINED OUT.</t>
  </si>
  <si>
    <t>L04_CTV_022W_DW_ISL</t>
  </si>
  <si>
    <t>REPLACEMENT OF L08_GHVFW_025E_ROBBING. APPROVED ON DECEMBER 6,2022.RESUMED ON DEC 9, 2022.STOPPED ON JANUARY 24, 2023. ALREADY FINISHED THE RECOMMENDED LENGTH TO BREAK.</t>
  </si>
  <si>
    <t>L06_GHV_024E_ROBBING</t>
  </si>
  <si>
    <t>REPLACEMENT OF L06_CV_011W_ROBBING APPROVED ON JANUARY 10, 2023. SILL.STOPPED ON JAN 26, 2023 DUE TO CONSECUTIVE LOW GRADE.</t>
  </si>
  <si>
    <t>REPLACEMENT OF L06_CV_003W_ROBBING. APPROVED ON JANUARY 17, 2023. SILL.STOPPED ON JAN 26, 2023 DUE TO CONSECUTIVE LOW GRADE.</t>
  </si>
  <si>
    <t>REPLACEMENT OF L11_JV_048E_STOPE PREP APPROVED ON SEPTEMBER 9, 2022.STOPPED ON JANUARY 23,2023 ALREADY DONE IPR BUT NO TEXTURAL AND VEIN IMPROVEMENT REMAINING BROKEN MATERIALS WERE FROM OFF-VEIN IPR RECOMMENDED NOT TO PULL OUT. HAS 93% PULL OUT ATTAINMENT</t>
  </si>
  <si>
    <t>REPLACEMENT OF L11_JV_045E_DW. CROSSCUT TO BREAKTHROUGH TO GHV 039E WINZE. APPROVED ON SEPTEMBER 19,2021. STOPPED ON OCT 14, 2021. RESUMED ON AUGUST 13, 2022.STOPPED ON JANUARY 26,2023 ALREADY HIT THE VEIN TARGET.</t>
  </si>
  <si>
    <t>ADDITIONAL SOURCE OF GOOD ORE. APPROVED ON DECEMBER 6,2022.STOPPED ON JANUARY 26,2023 MAINLINE NEARBY ALREADY REACHED THE FILL WINZE/WASTE PASS.</t>
  </si>
  <si>
    <t>L04_RYV_001W_RAISE</t>
  </si>
  <si>
    <t>L09_JV_032E_DE</t>
  </si>
  <si>
    <t>L06_CV_006W_ROBBING</t>
  </si>
  <si>
    <t>ADDITIONAL HORIZONTAL DEVELOPMENT. APPROVED ON SEPTEMBER 12,2022.TEMPORARY STOPPED ON OCTOBER 3,2022. RESUMED ON OCTOBER 18,2022.TEMPORARY STOPPED ON NOVEMBER 30,2022 TO FOLLOW UP RAISE. RESUMED ON JANUARY 19, 2023.STOPPED ON JANUARY 27, 2023 DUE TO PINCHED OUT OF VEIN.</t>
  </si>
  <si>
    <t>L10_GHVHW_003E_DW</t>
  </si>
  <si>
    <t>REPLACEMENT OF L09_DPVE_083E_STOPE PREP APPROVED ON OCTOBER 24, 2022, CONVERTED TO ACTIVE BREAKING.ALREADY DONE IPR BUT CANNOT BE TRAVERSED DUE TO UNSAFE CONDITION. WAITING FOR SAFETY REPORT FROM LM AND SAFETY DEPT
-CONVERTED TO STOPE PULL OUT ON JAN 22, 2023</t>
  </si>
  <si>
    <t>L12_NONE_043E_SHAFT STATION</t>
  </si>
  <si>
    <t>SHAFT STATION</t>
  </si>
  <si>
    <t>L06_JV_004W_ROBBING</t>
  </si>
  <si>
    <t>L11_GHVFW_054E_STOPE</t>
  </si>
  <si>
    <t>L11_GHVSPLIT_071E_RAISE</t>
  </si>
  <si>
    <t>L09_JV_057E_DW</t>
  </si>
  <si>
    <t xml:space="preserve"> ADDITIONAL SOURCE OF GOOD ORE. APPROVED ON OCTOBER 12,2022. SILL WITH MUCKING.STOPPED ON NOVEMBER 16, 2022, MINED OUT.RESUMED ON NOVEMBER 17,2022 MISCOMMUNICATION ON STOPPAGE NAMING. STOPPED ON JANUARY 29, 2023 ALREADY REACHED THE RECOMMENDED STRIKE LENGTH.</t>
  </si>
  <si>
    <t>L09_GHVFW_045E_ROBBING</t>
  </si>
  <si>
    <t xml:space="preserve"> REPLACEMENT OF L10_DPVE_039E_STOPE PREP. APPROVED ON SEPTEMBER 7, 2022.adjust quota short stope to  10 mcd (14 meters strike length) off-set due to off vein. STOPPED BREAKING AND CONVERT TO PULL-OUT ON JANUARY 26, 2023 AS WELL AS TRAVERSED IN THE SAME DAY.</t>
  </si>
  <si>
    <t>REPLACEMENT OF L10_DPVE_068E_STOPE PREP. APPROVED ON 8/5/2022.STOPPED BREAKING AND CONVERT TO PULL-OUT ON JANUARY 18, 2023. TRAVERSED ON THE SAME DAY.STOPPED ON JANUARY 28, 2023 DUE TO LOW GRADE.</t>
  </si>
  <si>
    <t xml:space="preserve">REPLACEMENT OF L04_RYV_001E_RAISE. APPROVED ON JANUARY 27,2023.STOPPED ON JAN 30, 2023. VEIN PINCHED OUT.
</t>
  </si>
  <si>
    <t xml:space="preserve">REPLACEMENT OF L10_GHVFW_054E_RAISE. APPROVED ON DEC.15, 2022.ALREADY DONE STOPE PREPARATION ON JAN 30, 2023.
</t>
  </si>
  <si>
    <t>L10_GHVFW_054E_STOPE</t>
  </si>
  <si>
    <t>L08_GHV_048E_ROBBING</t>
  </si>
  <si>
    <t>REPLACEMENT OF L09_DPVE_080E_DE_ISL. APPROVED IN JANUARY 9,2023.STOPPED ON JANUARY 27, 2023 AND CONVERT TO BREAKING.</t>
  </si>
  <si>
    <t>L09_DPVE_080E_WINZE STOPE</t>
  </si>
  <si>
    <t xml:space="preserve">REPLACEMENT OF L08_GHVFW_025E_ROBBING. TOPSLICE. APPROVED ON NOV 4, 2022.STOPPED ON JAN 27, 2023. ALREADY REACHED THE RECOMMENDED LENGTH. MEMO TO BE FOLLOWED.STOPPED ON JANUARY 27, 2023 ALREADY MINED-OUT.
</t>
  </si>
  <si>
    <t xml:space="preserve">ADDITIONAL STOPE PREPARATIONS . APPROVED ON JANUARY 11,2023. CHINAMAN CHUTES (5 CHUTES).STOPPED ON JANUARY 27, 2023 TO CONVERT TO STOPE BREAKING.
</t>
  </si>
  <si>
    <t>L09_DPVE_088E_STOPE</t>
  </si>
  <si>
    <t>L10_JVHW_060E_RAISE</t>
  </si>
  <si>
    <t>REPLACEMENT OF L05_JV_025E_ROBBING. APPROVED ON NOVEMBER 29,2022 SILL.STOPPED ON JAN 31, 2023 ALREADY DONE PILLAR ROBBING.</t>
  </si>
  <si>
    <t>L11_DPVE_044E_RAISE</t>
  </si>
  <si>
    <t>L12_GHVHW_066E_DE</t>
  </si>
  <si>
    <t xml:space="preserve">REPLACEMENT OF L11_DPVE_037E_DE. APPROVED ON OCTOBER 10,2022.STOPPED ON JAN 31, 2023, ALREADY REACHED LEVEL 10 ELEVATION.
</t>
  </si>
  <si>
    <t>L10_DPVE_004E_RAISE</t>
  </si>
  <si>
    <t xml:space="preserve"> REPLACEMENT OF L09_DPVE_090E_RAISE. APPROVED ON JANUARY 18, 2023.STOPPED ON JANUARY 24, 2023 DUE TO PINCHED OUT OF VEIN</t>
  </si>
  <si>
    <t>REPLACEMENT OF L11_GHVHW_065E_STOPE PREP. APPROVED ON JUNE 18, 2022.STOPPED BREAKING ON NOVEMBER 17,2022 AT THE SAME TIME CONVERT TO PULL-OUT CLEANING. CONDUCTED IPR NOVEMBER 13,2022.STOPPED ON FEB 2, 2023 ALREADY MINED OUT WITH 96% PULL OUT.</t>
  </si>
  <si>
    <t xml:space="preserve">REPLACEMENT OF L08_JVSPLIT_012E_RAISE. APPROVED ON NOVEMBER 29,2022.TEMPORARY STOPPED ON DEC. 19, 2022 DUE TO ORE TURN WASTE DESIGNATION.TEMPORARILY STOPPED ON DECEMBER 14, 2022, UNSERVICEABLE ARE, TRANSFER TO PRIORITY WP.RESUMED ON JANUARY 9, 2023.STOPPED ON JANUARY 12, 2023 ALREADY MADE A BREAKTHROUGH.RESUMED ON JANUARY 13, 2023.STOPPED ON JANUARY 31, 2022, ALREADY MADE A BREAKTHROUGH
</t>
  </si>
  <si>
    <t>FILL WINZE TO BE CONNECTED TO OLD STOPE. APPROVED ON OCTOBER 14,2022.TEMPORARY STOPPED ON OCTOBER 18, 2022, TO PRIORITIZE PULLOUT IN L08_DPVE_071E_WINZE STOPE.RESUMED ON JANUARY 16,2022.STOPPED ON JANUARY 31, 2022, ALREADY MADE A BREAKTHROUGH.</t>
  </si>
  <si>
    <t>ADDITIONAL SOURCE OF ORE. APPROVED ON DECEMBER 12, 2022. SILL. RENAMED VEIN FROM CTV TO JVSPLIT ON DECEMBER 26,2022.STOPPED ON FEBRUARY 02, 2023. FINISHED BREAKING DESIRED PILLARS.</t>
  </si>
  <si>
    <t>L03_CTV_017W_DE</t>
  </si>
  <si>
    <t>REPLACEMENT OF L09_NONE_008W_XCS APPROVED ON JANUARY 16, 2023.STOPPED ON FEB. 3, 2023 DUE TO LOW GRADE.</t>
  </si>
  <si>
    <t>L09_GHVHW_011W_DW</t>
  </si>
  <si>
    <t>REPLACEMENT OF L05_DPVE_034E_DE_ISL APPROVED ON JANUARY 11, 2023.STOPPED ON FEB. 2, 2023 TO CONVERT STOPE BREAKING.</t>
  </si>
  <si>
    <t>L05_DPVE_035E_WINZE STOPE</t>
  </si>
  <si>
    <t>ADDITIONAL VERTICAL DEVELOPMENT. APPROVED ON DEC 13, 2022.STOPPED ON FEBRUARY 3, 2023 PINCHED OUT VEIN.</t>
  </si>
  <si>
    <t xml:space="preserve"> EXPLORATORY INTERMEDIATE SUBLEVEL. APPROVED ON JANUARY 14,2023. AT THE SAME TIME TRANSFER FROM CANOY 1 TO QUIJANO 2.STOPPED ON FEBRUARY 3, 2023 DUE TO VEIN DISPLACEMENT.</t>
  </si>
  <si>
    <t>L09_DPVE_032E_RAISE</t>
  </si>
  <si>
    <t xml:space="preserve">REPLACEMENT OF L09_DPVE_036E_WINZE. APPROVED ON DEC 16, 2022. TEMPORARY STOPPED ON FEBRUARY 1, 2023 TO TRANSFER MANPOWER TO LEVEL 11. </t>
  </si>
  <si>
    <t>REPLACEMENT OF L09_JVSPLIT_068E_ROBBING. APPROVED ON NOVEMBER 15,2022. SILL PILLAR WITH MUCKING.TEMP STOPPED ON DEC 12, 2022. DUE TO MAN POWER CONCERN.RESUMED ON DEC 13, 2022 AT THE SAME TIME TRANSFERRED FROM QUIJANO 3 TO DELOS REYES V3. STOPPED ON FEBRURARY 1, 2023, ALREADY FINISHED HEADING.</t>
  </si>
  <si>
    <t>REPLACEMENT OF L09_JV_051E_ROBBING. APPROVED ON DEC. 10, 2022. SILL.TEMPORARILY STOPPED ON JANUARY 18, 2023 DUE TO INSUFFICIENT MANPOWER DUE TO MEDICAL CASE.RESUMED ON JANUARY 20, 2023. STOPPED ON JANUARY 31, 2023, ALREADY FINISHED HEADING.</t>
  </si>
  <si>
    <t>REPLACEMENT OF L09_DPVE_083E_STOPE PREP APPROVED ON OCTOBER 24, 2022, CONVERTED TO ACTIVE BREAKING.ALREADY DONE IPR BUT CANNOT BE TRAVERSED DUE TO UNSAFE CONDITION. WAITING FOR SAFETY REPORT FROM LM AND SAFETY DEPT
-CONVERTED TO STOPE PULL OUT ON JAN 22, 2023. STOPPED ON FEBRUARY 1, 2023 DUE TO SAFETY CONCERN.</t>
  </si>
  <si>
    <t>ADDITIONAL HORIZONTAL DEVELOPMENT. APPROVED ON OCTOBER 3, 2022.RENAMED FROM L11_JVHW_050E_DE TO L11_JVFW_050E_DE ON NOVEMBER 16,2022. STOPPED ON FEBRUARY 3, 2023, MADE A BREAKTHROUGH.</t>
  </si>
  <si>
    <t>SHEPHERD BC</t>
  </si>
  <si>
    <t>REPLACEMENT OF L05_GHVFW_010E_RAISE. APPROVED ON JANUARY 17, 2023.TRANSFER FROM SHEPHERD AQ 4 TO SHEPHERD AF 2 ON JANUARY 17,2023.STOPPED ON FEBRUARY 5, 2023 DUE TO VEIN DISPLACEMENT BY NORTHWEST TRENDING FAULT.</t>
  </si>
  <si>
    <t>L06_NONE_072E_RAISE</t>
  </si>
  <si>
    <t>REPLACEMENT OF L08_GHV_030E_ROBBING, APPROVED ON JAN 30, 2023.STOPPED ON FEBRUARY 6, 2023 FOR VENTILATION PURPOSES.</t>
  </si>
  <si>
    <t>L03_CTV_018W_DW</t>
  </si>
  <si>
    <t>SHEPHERD BA</t>
  </si>
  <si>
    <t>SHEPHERD BB</t>
  </si>
  <si>
    <t>REPLACEMENT OF L10_JVHW_044E_STOPE PREP. APPROVED ON AUGUST 1, 2022.STOPPED BREAKING ON NOVEMBER 23,2022 CANNOT BE TRAVERSE DUE TO UNSAFE CONDITION AT THE SAME TIME CONVERT TO PULL-OUT CLEANING.STOPPED ON JAN. 31, 2023 DUE TO UNSAFE CONDITION. MEMO TO FOLLOW FROM OPS.</t>
  </si>
  <si>
    <t>REPLACEMENT OF L05_DPVE_040E_RAISE.APPROVED ON DEC 13, 2022.STOPPED ON FEBRUARY 6, 2023 ALREADY REACHED THE RECOMMENDED STRIKE LENGTH.</t>
  </si>
  <si>
    <t>REPLACEMENT OF L10_NONE_092E_XCN APPROVED ON JANUARY 16, 2023.STOPPED ON FEBRUARY 7, 2023 DUE TO OFF-VEIN.</t>
  </si>
  <si>
    <t>TARGET DRILL HOLE L10-49E-001 WITH 27GPT. APPROVED ON DEC. 20, 2022.STOPPED ON FEBRUARY 7, 2023 ALREADY INTERCEPTED THE DRILLING TARGET.</t>
  </si>
  <si>
    <t>L10_DPVE_096E_DW</t>
  </si>
  <si>
    <t>096E</t>
  </si>
  <si>
    <t>TO CONNECT IN TIGERWAY DECLINE PROJECT. APPROVED ON NOVEMBER 25, 2022.Stopped on Jan 14, 2023 2nd shift.RESUMED ON JANUARY 28, 2023.STOPPED ON FEBRUARY 3, 2023 ALREADY REACHED DESIGN</t>
  </si>
  <si>
    <t xml:space="preserve">REPLACEMENT OF L08_GHVFW_005E_ROBBING. APPROVED ON JANUARY 26, 2023. SILLTEMPORARILY STOPPED ON FEBRUARY 2, 2023 ON GOING CLEANING </t>
  </si>
  <si>
    <t>REPLACEMENT OF L10_JVHW_069E_DW. APPROVED ON NOV 3, 2022.TEMPORARRY STOPPED ON NOV 7, 2022 TO PRIORITIZE L10_GHV_057E_STOPE BREAKING. RESUMED ON NOVEMBER 21,2022.STOPPED ON FEB. 7, 2023 ALREEADY REACHED THE RECOMMENDED STRIKE LENGTH.</t>
  </si>
  <si>
    <t xml:space="preserve">REPLACEMENT OF L10_JVSPLIT_042E_STOPE. APPROVED ON DECEMBER 7,2022. SILLSTOPPED ON FEB. 8 , 2023 ALREADY REACHED THE RECOMMENDED STRIKE LENGTH.
</t>
  </si>
  <si>
    <t>L11_JVFW_065E_STOPE PREP</t>
  </si>
  <si>
    <t>L11_JVFW_050E_RAISE</t>
  </si>
  <si>
    <t>L10_DPVE_083E_RAISE</t>
  </si>
  <si>
    <t>L10_DPVE_090E_DW</t>
  </si>
  <si>
    <t>REPLACEMENT OF L05_DPVE_033E_DW. APPROVED ON JANUARY 24,2023.STOPPED ON FEBRUARY 8, 2023 ALREADY REACHED THE DRILL INTERCEPT.</t>
  </si>
  <si>
    <t>L10_GHV_053E_STOPE</t>
  </si>
  <si>
    <t>ADDITIONAL HORIZONTAL DEVELOPMENT. APPROVED ON NOVEMBER 21,2022.TEMPORARILY STOPPED ON DECEMBER 17, 2022 DUE TO ABSENTEEISM OF ME RESULTING TO ABANDONEMENT OF WORKPLACE.RESUMED ON JANUARY 16, 2023.STOPPED ON FEB. 8, 2023 DUE TO PINCHED OUT OF VEIN.</t>
  </si>
  <si>
    <t>ADDITIONAL HORIZONTAL DEVELOPMENT. APPROVED ON NOVEMBER 22,2022.STOPPED ON FEB. 8, 2023 DUE TO PINCHED OUT OF VEIN.</t>
  </si>
  <si>
    <t>REPLACEMENT OF L07_DPVE_013E_ROBBING APPROVED ON JANUARY 13, 2023. TOPSLICE.RENAMED FROM L07_GHVFW_058E_ROBBING TO L07_GHVFW_066E_ROBBING ON JANUARY 14, 2022 FOR PROPER NAMING.STOPPED ON FEBRUARY 8, 2023 MINED OUT</t>
  </si>
  <si>
    <t>L07_JVSPLIT_017W_WINZE STOPE</t>
  </si>
  <si>
    <t>REPLACEMENT OF L10_JVSPLIT_070E_ROBBING. APPROVED ON JANUARY 19, 2023.STOPPED AND CONVERT TO STOPE BREAKING ON FEB. 6, 2023.STOPPED ON FEBRUARY 6, 2023 CONVERTED TO ACTIVE BREAKING.</t>
  </si>
  <si>
    <t xml:space="preserve">WINZE STOPE </t>
  </si>
  <si>
    <t>REPLACEMENT OF L09 DPVE 084E DE. APPROVED ON MAR 26, 2022.TEMPORARY STOPPED ON MAY 4, 2022 TO EXPLORE THE VEIN'S UP DIP EXTENSION.RESUMED ON MAY 11,2022. STOPPED ON JUNE 10, 2022 ALREADY REACHED THE RECOMMENDED STRIKE LENGTH.RESUMED ON FEB. 3, 2023 AS WELL AS TRANSFERRED FROM DELOS REYES V2 TO PANSIT, NORMAN 3.STOPPED ON FEB. 9, 2023 DUE TO PINCHED OUT OF VEIN.</t>
  </si>
  <si>
    <t>L03_JVSPLIT_012W_DW</t>
  </si>
  <si>
    <t>L04_CTV_023W_RAISE</t>
  </si>
  <si>
    <t>RAISE ON ISL. APPROVED ON FEBRUARY 6, 2023.STOPPED ON FEBRUARY 9, 2023 . TO PROCEED TO WINZE STOPE PREP</t>
  </si>
  <si>
    <t>ADDITIONAL VERTICAL RAISE. APPROVED ON NOVEMBER 22,2022. DELOS, REYES WILL ONLY DO THE FOLLOW UP RAISE.TRANSFER FROM DELOS REYES V2 TO CANOY 2 ON NOVEMBER 25,2022 DELOS REYES ONLY DO FOLLOW UP RAISE.STOPPED ON FEBRUARY 8, 2023 ALREADY FINISHED HEADING.</t>
  </si>
  <si>
    <t>REPLACEMENT OF L09_DPVE_056E_ROBBING. APPROVED ON DEC 5, 2022. SILL PILLAR.STOPPED ON FEBRUARY 8, 2023 ALREADY FINISHED HEADING</t>
  </si>
  <si>
    <t>L11_JVSPLIT_061E_RAISE</t>
  </si>
  <si>
    <t>L05_DPVE_049E_DE</t>
  </si>
  <si>
    <t>L03_CTV_016W_ROBBING</t>
  </si>
  <si>
    <t xml:space="preserve">REPLACEMENT OF L10_DPVE_045E_STOPE PREP. APPROVED ON APRIL 6,2022.STOPPED ON OCTOBER 16, 2022, CONVERTED TO STOPE TO PULLOUT CLEANING, CONTROLLED PULLOUT AT 16 MCD.CONVERTED TO STOPE TO PULLOUT CLEANING, CONTROLLED PULLOUT AT 16 MCD, APPROVED AT THE SAME TIME TRAVERSED ON OCTOBER 18, 2022.TEMPORARY STOPPED ON NOVEMBER 16,2022 DUE TO CONSECUTIVE LOW ASSAY GRADE.RESUMED PULL-OUT ON DEC. 14, 2022.MINED-OUT ON FEB 8, 2023.
</t>
  </si>
  <si>
    <t xml:space="preserve">REPLACEMENT OF L10_DPVE_059E_STOPE PREP.APPROVED ON AUGUST 8, 2022.CONDUCTED 2 IPRS ON OCTOBER 11,2022.ALREADY DONE IPR ABOVE CUT OFF GRADE RESUME BREAKING ON OCTOBER 18,2022.TRANSFER FROM TAÑEZA 5 TO TAÑEZA 1 FORMER GROUP WAS DISSOLVED/BROWNLISTED EFFECTIVE ON NOVEMBER 29,2022.STOPPED BREAKING AND CONVERT TO PULL-OUT ON JANUARY 17, 2023. TRAVERSED ON THE SAME DAY.MINED-OUT ON FEB 8, 2023.
L10_DPVE_059E_STOPE TAÑEZA 5- ALREADY DONE IPR ABOVE CUT OFF GRADE RESUME BREAKING ON OCTOBER 18,2022.
Liezel Salomon, Today at 2:56 PM
</t>
  </si>
  <si>
    <t>L09_DPVE_024E_ROBBING</t>
  </si>
  <si>
    <t>L04_GHVFW_005E_ROBBING</t>
  </si>
  <si>
    <t>L04_CTV_023W_WINZE STOPE PREP</t>
  </si>
  <si>
    <t>CAYMAN 3</t>
  </si>
  <si>
    <t>L05_JVSPLIT_010W_WINZE</t>
  </si>
  <si>
    <t xml:space="preserve"> OTERO 1</t>
  </si>
  <si>
    <t>REPLACEMENT OF L04_CV_006E_WINZE APPROVED ON JANUARY 10, 2023.STOPPED ON FEBRUARY 10, 2023 VEIN WAS CUT BY A N-S TRENDING FAULT, PINCHED OUT VEIN.</t>
  </si>
  <si>
    <t>ADDITIONAL EXPLORATORY DEVELOPMENT. RESUME EXISTING RAISE. APPROVED ON DEC 9 2022.STOPPED ON FEB. 10, 2023 DUE TO PINCHED OUT OF VEIN.</t>
  </si>
  <si>
    <t>REPLACEMENT OF L11_GHVHW_058E_STOPE PREP. APPROVED ON SEPTEMBER 20,2022.TRANSFER FROM BADBADON 2 TO REBOTE 2 ON NOVEMBER 30,2022 MANAGEMENT DECISION.STOPPED BREAKING ON JANUARY 25,2023 ALREADY DONE IPR AND NO VEIN IMPROVEMENT TRAVERSE ON THE SAME DATE AND CONVERT TO PULL OUT CLEANING ON JANUARY 27,2023.STOPPED ON FEBRUARY 10, 2023 ALREADY MINED OUT</t>
  </si>
  <si>
    <t>REPLACEMENT OF L11_GHVHW_058E_STOPE PREP. APPROVED ON SEPTEMBER 20,2022.TRANSFER FROM BADBADON 2 TO REBOTE 2 ON NOVEMBER 30,2022 MANAGEMENT DECISION.STOPPED BREAKING ON JANUARY 25,2023 ALREADY DONE IPR AND NO VEIN IMPROVEMENT TRAVERSE ON THE SAME DATE AND CONVERT TO PULL OUT CLEANING ON JANUARY 27,2023.STOPPED ON FEBRUARY 10, 2023 ALREADY MINED OUT.</t>
  </si>
  <si>
    <t>REPLACEMENT OF L05_DPVE_043E_WINZE STOPE PREP APPROVED ON OCTOBER 20, 2022. CONVERTED TO ACTIVE BREAKING.RECOMMENDED FOR IPR AT 10TH FLOOR APPROVED ON DECEMBER 22, 2022.STOPPED BREAKING ON FEBRUARY 2, 2023, CONVERTED TO STOPE PULL OUT CLEANING.</t>
  </si>
  <si>
    <t>L07_JV_065E_ROBBING</t>
  </si>
  <si>
    <t>L08_DPVE_066E_ROBBING</t>
  </si>
  <si>
    <t>L08_DPVE_070E_ROBBING</t>
  </si>
  <si>
    <t>L09_DPVE_077E_WINZE STOPE PREP</t>
  </si>
  <si>
    <t>L10_JVHW_064E_DE</t>
  </si>
  <si>
    <t>L10_JVHW_045E_DE</t>
  </si>
  <si>
    <t>REPLACEMENT OF L10_JVHW_064E_DW. APPROVED ON FEB. 7, 2023.STOPPED ON FEB. 13, 2022 DUE TO PINCHED OUT OF VEIN ON THE CURRENT FACE.</t>
  </si>
  <si>
    <t>APPROVED ON JAN 26,2023.REPLACEMENT OF L06_04W_WINZE SILL.STOPPED ON FEBRUARY 13, 2023 ALREADY REACHED THE RECOMMENDED PILLAR TO BREAK,</t>
  </si>
  <si>
    <t>REPLACEMENT OF L06_CV_005W_ROBBING. APPROVED ON JAN. 27, 2023 SILL.STOPPED ON FEBRUARY 13, 2023 FINISHED ROBBING THE SILL PILLARS.</t>
  </si>
  <si>
    <t>L07_JV_027E_RAISE</t>
  </si>
  <si>
    <t>REPLACEMENT OF L09_DPVE_030E_DW. APPROVED ON DECEMBER 2,2022.TEMPORARY STOPPED ON JANUARY 9,2022 FOR EVALUATION.RESUMED ON FEB 3, 2023 AS WELL AS TRANSFERRED FROM ELOS REYES V1 TO ELOS REYES V3.STOPPED ON FEB. 13, 2023 DUE TO OFF-VEIN.</t>
  </si>
  <si>
    <t>L10_DPVE_093E_DE</t>
  </si>
  <si>
    <t>ADDITIONAL HORIZONTAL DEVELOPMENT. APPROVED ON FEB. 6, 2023.TEMPORARY STOPPED ON FEB. 13, 2023 DUE TO INVOLVED HIGH GRADING OF 2 MINERS.</t>
  </si>
  <si>
    <t>L10_JVHW_065E_RAISE</t>
  </si>
  <si>
    <t>ADDITIONAL HORIZONTAL DRIVE. APPROVED ON  JANUARY 25,2023.CHANGE VEIN NAME FROM DPVE TO JV AS PER GEO ON JANUARY 27,2023.STOPPED ON FEB. 14, 2023 AS IT HAS 5METERS REMAINING TO BREAKTHROUGH IN ACTIVE MAINLINE.</t>
  </si>
  <si>
    <t>REPLACEMENT OF L10_DPVE_010E_DE APPROVED ON JANUARY 11, 2023.TEMPORARY STOPPED ON FEBRUARY 1, 2023 TO PRIORITIZED L10_DPVE_004E_RAISE.RESUMED ON FEB 9, 2023.STOPPED ON FEB. 13, 2023 DUE TO PINCHED OUT OF VEIN.</t>
  </si>
  <si>
    <t>L08_GHVFW_053E_WINZE STOPE PREP</t>
  </si>
  <si>
    <t>REPLACEMENT OF L05_JV_028E_ROBBING, APPROVED ON FEB 1, 2023. CROWN PILLAR ROBBING.STOP ON 2/14/2023 DUE TO CONSECUTIVE LOW GRADE ON BULK SAMPLES.</t>
  </si>
  <si>
    <t xml:space="preserve">REPLACEMENT OF L05_DPVE_047E_ROBBING. APPROVED ON DEC 13, 2022.STOPPED ON 2/14/2023DUE TO ERRATIC WIDTH OF THE VEIN AND POSSIBLY PRODUCE LOW QUALITY OF GRADE IF CONTINUED. </t>
  </si>
  <si>
    <t>L10_DPVE_002E_DE</t>
  </si>
  <si>
    <t xml:space="preserve"> REPLACEMENT OF L10_DPVE_063E_DE. APPROVED ON FEB 14, 2023.TEMPORARY STOPPED ON FEB. 14, 2023.</t>
  </si>
  <si>
    <t>L06_JV_002W_ROBBING</t>
  </si>
  <si>
    <t>REPLACEMENT OF L09_DPVE_039E_STOPE PREP. APPROVED ON DECEMBER 20,2022.TRANSFER FROM SHEPHERD AY 1 TO BALANGHIG 2 ON JANUARY 21 (1ST SHIFT) DUE TO INSUFFICIENT SKILL/KNOWLEDGE TO OPERATE THE HEADING FORMER TEAM LEADER'S RETENTION WILL BE FORFEITED.STOPPED BREAKING AND CONVERT TO PULL-OUT ON FEB. 10, 2023.STOPPED BREAKING ON FEBRUARY 13, 2023, CONVERTED TO STOPE PULLOUT.</t>
  </si>
  <si>
    <t xml:space="preserve">REPLACEMENT OF L08_DPVE_020E_STOPE PREP APPROVED ON AUGUST 13, 2022.TEMPORARILY STOPPED ON JANUARY 9, 2023, MANPOWER WORKING AT L08_NONE_024E_XCS.RESUMED ON JANUARY 16,2023.STOPPED BREAKING ON JANUARY 31, 2023, CONVERTED TO STOPE PULLOUT.CONVERTED TO STOPE PULLOUT APPROVED ON JANUARY 31, 2023.
</t>
  </si>
  <si>
    <t xml:space="preserve">REPLACEMENT OF L09_GHV_033E_WINZE STOPE PREP. APPROVED ON JANUARY 14,2022. STOPPED BREAKING AND CONVERT TO PULL-OUT ON FEB. 14, 2023.
</t>
  </si>
  <si>
    <t xml:space="preserve">WINZE  </t>
  </si>
  <si>
    <t xml:space="preserve">L09_GHV_033E_WINZE  </t>
  </si>
  <si>
    <t>FERNANDEZ,RM 3</t>
  </si>
  <si>
    <t>REPLACEMENT OF L07_JV_010W_ROBBING ON DEC 2 2022. TOPSLICE.STOPPED ON FEBRUARY 7, 2023, ALREADY FINISHED HEADING.</t>
  </si>
  <si>
    <t>REPLACEMENT OF L10_DPVE_065E_RAISE. APPROVED ON FEB. 13, 2023.TEMPORARY STOPPED ON FEB. 15, 2023 TO PRIORITIZED COLLAPSED ML.</t>
  </si>
  <si>
    <t>ADDITIONAL PRODUCTION TONNAGE. THE STOPE STARTS FROM +32  METERS TO EAST PORTION OF L12_GHVHW_068E_STOPE  DESIGN. APPROVED ON 12/17/2022.RESUMED ON JANUARY 25,2023 AFTER SKELETAL HOLIDAYS.STOPPED ON DECEMBER 22 START OF HOLIDAY. RESUMED ON JANUARY 25,2023 AFTER SKELETAL HOLIDAYS.STOPPED ON FEB 15, 2023. CONVERT TO STOPE BREAKING.</t>
  </si>
  <si>
    <t>L12_GHVHW_067E_STOPE</t>
  </si>
  <si>
    <t>REPLACEMENT OF L06_JV_004W_ROBBING APPROVED ON FEBRUARY 13, 2023. SILL.TEMPORARY STOPPED ON FEBRUARY 14, 2023 DUE TO UNSERVICEABLE AREA.</t>
  </si>
  <si>
    <t>L11_DPVE_033E_DW</t>
  </si>
  <si>
    <t xml:space="preserve">REPLACEMENT OF L08_JVHW_075E_WINZE STOPE PREP. APPROVED ON AUGUST 31, 2022.TEMP STOPPED ON SEPT 26, 2022. MANPOWER TRANSFERRED TO LEVEL 11, MGMT DECISION.RESUMED ON OCTOBER 6, 2022 1ST SHIFT AS WELL AS TRANSFERRED FROM TORMIS 1 TO ALEÑAR 1.STOPPED BREAKING ON DECEMBER 16,2022 AT THE SAME TIME CONVERT TO PULL-OUT CLEANING. MEMO RECEIVED AND NOTIFIED ON JANUARY 18,2022.STOPPED ON FEB 3 2023. MINED OUT.STOPPED ON FEBRUARY 04, 2023. MEMO RECEIVED AND NOTIFIED ON FEBRUARY 15, 2023. MINED OUT.
</t>
  </si>
  <si>
    <t>L05_JVSPLIT_012W_ROBBING</t>
  </si>
  <si>
    <t>REPLACEMENT OF L10 GHVFW 038E STOPE PREP, APPROVED ON NOV 9, 2022.STOPPED BREAKING AND CONVERT TO PULL-OUT ON FEB. 15, 2023.</t>
  </si>
  <si>
    <t>REPLACEMENT OF L05_JV_004W_WINZE. APPROVED ON JANUARY 24,2023.STOPPED ON FEBRUARY 2, 2023, TO PRIORITIZE DRIFT EAST.</t>
  </si>
  <si>
    <t>L05_JV_004W_DE_ISL</t>
  </si>
  <si>
    <t>L05_JVSPLIT_022E_WINZE</t>
  </si>
  <si>
    <t>OTERO 1</t>
  </si>
  <si>
    <t>L05_CTV_027E_ROBBING</t>
  </si>
  <si>
    <t>L11_DPVE_032E_RAISE</t>
  </si>
  <si>
    <t>L10_DPVE_092E_STOPE PREP</t>
  </si>
  <si>
    <t>L10_DPVE_095E_STOPE PREP</t>
  </si>
  <si>
    <t>L10_DPVE_010E_STOPE PREP</t>
  </si>
  <si>
    <t>ADDITIONAL FILL-WINZE IN LEVEL 5. APPROVED ON 2/10/2023.STOPPED ON FEB 16, 2023
ALREADY HIT THE ELEVATION FOR FILL WINZE.</t>
  </si>
  <si>
    <t>L11_GHVSPLIT_059E_STOPE PREP</t>
  </si>
  <si>
    <t>L11_GHVSPLIT_056E_STOPE PREP</t>
  </si>
  <si>
    <t>L11_GHVFW_057E_DE</t>
  </si>
  <si>
    <t>REPLACEMENT OF L09_GHV_003W_WINZE STOPE PREP. APPROVED ON NOV. 9, 2022.STOPPED BREAKING ON FEBRUARY 3, 2023, AT THE SAME TIME CONVERTED TO STOPE PULL OUT.RESUME BREAKING ON FEBRUARY 16, 2023.STOPPED BREAKING AND CONVERT TO PULL-OUT ON FEB. 17, 2023.</t>
  </si>
  <si>
    <t>REPLACEMENT OF L09_DPVE_061E_WINZE. APPROVED ON NOVEMBER 16, 2022.TEMPORARY STOPPED ON NOVEMBER 21, 2022 TO PRIORITIZE WINZE. RESUMED ON FEBRUARY 3, 2023, AT THE SAME TIME CHANGE TEAM LEADER FROM CANOY TO QUIJANO 2. TEMPORARY STOPPED ON FEB. 6, 2023 TO PRIORITIZED NORMAL DRIFT.</t>
  </si>
  <si>
    <t>FERNANDEZ, RM 6</t>
  </si>
  <si>
    <t xml:space="preserve">REPLACEMENT OF L10_DPVE_009E_DE. APPROVED ON JANUARY 24, 2023.TEMPORARY STOPPED ON JANUARY 26,2023. REPLACEMENT OF L10_DPVE_009E_DE. APPROVED ON FEBRUARY 1, 2023.TRANSFERRED FROM TANEZA 6 TO TAÑEZA 3 ON FEB 1, 2023. STOPPED ON FEB. 18, 2023 TO CONVERT TO STOPE PREP.
</t>
  </si>
  <si>
    <t>REPLACEMENT OF L10_DPVE_093E_DW. APPROVED ON JANUARY 23, 2023.STOPPED ON FEB 18, 2023 TO CONVERT TO STOPE PREP.</t>
  </si>
  <si>
    <t>ADDITIONAL SOURCE OF GOOD ORE, APPROVED ON OCT 24, 2022. SIMULTANEOUS WITH L07_JVSPLIT_017W_WINZE STOPE PULL OUT CLEANING. TEMPORARY STOPPED ON NOVEMBER 18, 2022 TO PRIORITIZE ROBBING.RESUMED ON JANUARY 27, 2023.STOPPED ON FEBRUARY 3, 2023 CONVERTED TO ACTIVE BREAKING.</t>
  </si>
  <si>
    <t>ADDITIONAL SOURCE OF GOOD ORE, APPROVED ON OCT 24, 2022. SIMULTANEOUS WITH L07_JVSPLIT_017W_WINZE STOPE PULL OUT CLEANING. TEMPORARY STOPPED ON NOVEMBER 18, 2022 TO PRIORITIZE ROBBING.RESUMED ON JANUARY 27, 2023.STOPPED ON FEBRUARY 3, 2023 CONVERTED TO ACTIVE BREAKING.REPLACEMENT OF L07_JVSPLIT_017W_WINZE STOPE PREP CONVERTED TO ACTIVE BREAKING APPROVED ON FEBRUARY 3, 2023.STOPPED BREAKING ON FEBRUARY 13, 2023.CONVERTED TO PULL OUT ON FEBRUARY 13, 2023.</t>
  </si>
  <si>
    <t>L12_GHV_059E_DW</t>
  </si>
  <si>
    <t>REPLACEMENT OF L11_GHVHW_058E_STOPE. APPROVED ON FEB 21, 2023.CANCEL ON FEB 21,2023, REBOTE NOT ENOUGH MANPOWER. CHANGE NAME FROM L11_GHV_072E_STOPE PREP TO L11_GHVHW_072E_STOPE PREP ON FEBRUARY 21,2023 FOR PROPER NAMING.</t>
  </si>
  <si>
    <t>L11_GHVHW_072E_STOPE PREP</t>
  </si>
  <si>
    <t>REPLACEMENT OF L11_GHV_063E_STOPE PREP. APPROVED ON APRIL 12,2022. TRANSFERRED FROM MAPAYO 3 TO COMAINGKING 1 ON JUNE 16, 2022. TRANSFER FROM COMAINGKING 2 TO BADBADON 1 ON JULY 19,2022 DUE TO LOW PERFORMANCE.STOPPED BREAKING ON NOVEMBER 30,2022 AT THE SAME TIME CONVERT TO PULL OUT CLEANING.MINED OUT ON FEBRUARY 21, 2023.</t>
  </si>
  <si>
    <t>REPLACEMENT OF L11_GHV_063E_STOPE PREP. APPROVED ON APRIL 12,2022. TRANSFERRED FROM MAPAYO 3 TO COMAINGKING 1 ON JUNE 16, 2022. TRANSFER FROM COMAINGKING 2 TO BADBADON 1 ON JULY 19,2022 DUE TO LOW PERFORMANCE.STOPPED BREAKING ON NOVEMBER 30,2022 AT THE SAME TIME CONVERT TO PULL OUT CLEANING.STOPPED ON FEBRUARY 21,2023 ALREADY MINED OUT, 100% PULL-OUT ATTAINMENT.MINED OUT ON FEBRUARY 21, 2023</t>
  </si>
  <si>
    <t xml:space="preserve">ADDITIONAL HORIZONTAL DEVELOPMENT DRIVE. APPROVED ON NOVEMBER 30,2022.TEMPORARILY STOPPED ON JANUARY 13, 2023 DUE TO INSUFFICIENT MANPOWER TO OPERATE THE HEADING, THIS IS TO PRIORITIZE PULLOUT AT L10_JVHW_044E_STOPE.RESUMED ON JAN 25, 2023 AS A REPLACEMENT OF L10_JVHW_044E_STOPE.STOPPED ON FEB. 21, 2023 DUE TO PINCHED OUT OF VEIN.
</t>
  </si>
  <si>
    <t>REPLACEMENT OF L05_DPVE_049E_DE APPROVED ON FEBRUARY 20, 2023. FILL WINZE.STOPPED ON FEBRUARY 22,2023 ALREADY BREAKTHROUGH.</t>
  </si>
  <si>
    <t>L10_DPVE_019E_STOPE</t>
  </si>
  <si>
    <t>REPLACEMENT OF L10_DPVE_018E_RAISE APPROVED ON JANUARY 12, 2023.REPLACEMENT OF L10_DPVE_019E_STOPE PREP. APPROVED ON FEB. 18, 2023.STOPPED AND CONVERT TO STOPE BREAKING ON FEB. 18, 2023.</t>
  </si>
  <si>
    <t>L09_GHVHW_032E_RAISE</t>
  </si>
  <si>
    <t>REPLACEMENT OF L05_NONE_050E_XCN APPROVED ON FEBRUARY 8, 2023.STOPPED ON FEBRUARY 13, 2023 PINCHED OUT VEIN.</t>
  </si>
  <si>
    <t>L05_DPVE_051E_DW</t>
  </si>
  <si>
    <t>PANCIT, NOEL 5,</t>
  </si>
  <si>
    <t>REPLACEMENT OF L09_DPVE_083E_STOPE. APPROVED ON FEB. 9, 2023. SILL.STOPPED ON FEBRUARY 21, 2023 ALREADY FINISHED HEADING.</t>
  </si>
  <si>
    <t>L11_NONE_035E_XCN</t>
  </si>
  <si>
    <t>REPLACEMENT OF L11_GHVFW_043E_DW. APPROVED ON FEB 13, 2023.TEMPORARY STOPPED ON FEBRUARY 15, 2023. MAINLINE NOT ACCESSIBLE DUE TO SBF DRILLING.</t>
  </si>
  <si>
    <t>L10_GHVFW_057E_RAISE</t>
  </si>
  <si>
    <t>L11_DPVE_052E_DE</t>
  </si>
  <si>
    <t xml:space="preserve"> REPLACEMENT OF L08_GHVFW_003W_ROBBING. APPROVED ON JUNE 28,2022.TEMPORARY STOPPED ON 7/30/2022. TO PRIORITIZE  WINZE STOPE PREP.RESUMED ON FEBRAURY 6, 2023 CHANGE TEAM LEADER FROM TORMIS 1 TO ALEÑAR 1.TEMPORARY STOPPED ON FEBRUARY 18, 2023, TRANSFER MANPOWER TO L11.</t>
  </si>
  <si>
    <t>REPLACEMENT OF L08_DPVE_073E_WINZE STOPE PREP APPROVED ON NOVEMBER 12, 2022, CONVERTED TO ACTIVE BREAKING.STOPPED BREAKING ON FEBRUARY 17, 2023 AT THE SAME TIME CONVERTED TO PULL OUT CLEANING.</t>
  </si>
  <si>
    <t>MARTINEZ, DN 3</t>
  </si>
  <si>
    <t>REPLACEMENT OF L10_DPVE_007E_DW. APPROVED ON FEB. 14, 2023.STOPPED ON FEBRUARY 23, 2023. ADVISED NOT TO BREAKTHROUGH.</t>
  </si>
  <si>
    <t xml:space="preserve"> REPLACEMENT OF L09_GHVHW_010W_DW. APPROVED ON FEB. 3, 2023.STOPPED ON FEBRUARY 23, 2023. CONVERTED INTO L09_NONE_012W_XCN.</t>
  </si>
  <si>
    <t>L09_NONE_012W_XCN</t>
  </si>
  <si>
    <t>ADDITIONAL HORIZONTAL DRIVE HEADING. APPROVED ON FEBRUARY 7, 2023.STOPPED ON FEBRUARY 23, 2023. VEIN ALREADY REACHED AN OLD RAISE FROM LEVEL 4.</t>
  </si>
  <si>
    <t>ADDITIONAL VERTICAL DEVELOPMENT APPROVED ON JANUARY 20, 2023.STOPPED ON FEBRUARY 23, 2023 DUE TO CONSECUTIVE LOW GRADE ON BULK SAMPLES.</t>
  </si>
  <si>
    <t>REPLACEMENT OF L10_NONE_011E_XCN APPROVED ON JUNE 9, 2021.TEMPORARY STOPPED ON SEPTEMBER 2,2021. RESUMED ON NOVEMBER 23,2021.TRANSFER FROM PMC MINERS 4 TO BAÑEZ 8 ON MAY 17,2022 DUE TO LACK OF MANPOWER. STOPPED ON JUNE 3,2022 ALREADY FINISHED.RESUMED AS PER LEVEL MANAGER ON AUGUST 16, 2022. CHANGE TEAM LEADER FROM BAÑEZ 8 TO DE MALATA. MAINLINE CLEANING- PARAGUYA, DUHIG.STOPPED ON FEBRUARY 20, 2023. ALREADY FINISHED GROUND SUPPORT.</t>
  </si>
  <si>
    <t>L03_JVSPLIT_012W_ROBBING</t>
  </si>
  <si>
    <t>L03_NONE_025W_XCS</t>
  </si>
  <si>
    <t>L10_DPVE_011E_DW</t>
  </si>
  <si>
    <t>L05_NONE_049E_XCN</t>
  </si>
  <si>
    <t>ADDITIONAL HORIZONTAL DRIVE. APPROVED ON JUNE 1,2022.STOPPED ON SEPTEMBER 25,2022 NO MANPOWER TO WORKED THE HEADING.RESUMED ON FEB 11, 2023.STOPPED ON FEB. 23, 2023 DUE TO PINCHED OUT OF VEIN.</t>
  </si>
  <si>
    <t>ACCESS VENTILATION SHAFT AND VENTILATION RAISE FOR INSPECTION, APPROVED ON FEB.5,2017.STOPPED ON MARCH 25, 2017 AS PER EC BAGUNO. (FINISHED). NO MEMO RECEIVED YET. RESUMED ON JULY 5, 2017 FOR THE PURPOSE OF EXTRACTING REMAINING ORES AND TO COLLAPSE THE CURRENT BACK OF THE OLD MAINLINE FOR BLOCKING PROBABLE ACCESS OF INTRUDERS.  STOPPED ON JULY 17, 2017 AS PER LH FRAGINAL. REPLACED BY 38W ROBBING.resumed on august 7, 2021 for widening as access for L01 ventilation raise. TRANSFER FROM DAGAMAC 1 TO SHEPHERD AV1 ON AUGUST 6,2022.CHANGE NAME FROM L04_NONE_025W_XCS TO L03_NONE_025W_XCS DUE TO EXPLOSIVE WITHDRAWAL ISSUE.</t>
  </si>
  <si>
    <t>REPLACEMENT OF L06_JV_005E_ROBBING APPROVED ON FEBRUARY 15, 2023.TOPSLICE.STOPPED ON FEBRUARY 23, 2023. MINED OUT</t>
  </si>
  <si>
    <t>L12_DPVE_032E_DE</t>
  </si>
  <si>
    <t>L12_GHVHW_068E_STOPE</t>
  </si>
  <si>
    <t xml:space="preserve">REPLACEMENT OF L11_GHVHW_067E_STOPE PREP. APPROVED ON JUNE 30,2022. STOPPED ON JULY 30,2022 CONVERT TO STOPE BREAKING. STOPPED BREAKING AND CONVERT TO PULL-OUT ON FEB. 25, 2023. TRAVERSED ON THE SAME DAY.
</t>
  </si>
  <si>
    <t>REPLACEMENT OF L07_JV_011W_ROBBING, APPROVED ON FEBRUARY 7, 2023. SILL PILLAR. STOPPED ON FEBRUARY 22, 2023 ALREADY MINED OUT.</t>
  </si>
  <si>
    <t>REPLACEMENT OF L05_JV_004W_DW_ISL APPROVED ON FEBRUARY 2, 2023. TEMPORARY STOPPED ON FEBRUARY 25, 2023 DUE TO DISPLACED VEIN BY FAULT. PROCEED MUCK CLEANING ON THE WEST PANEL OF THE ISL WHILE WAITING FOR THE EAST PANEL'S WIREFRAME RESULT.</t>
  </si>
  <si>
    <t>REPLACEMENT OF L05_DPVE_043E_WINZE STOPE PREP APPROVED ON OCTOBER 20, 2022. CONVERTED TO ACTIVE BREAKING.RECOMMENDED FOR IPR AT 10TH FLOOR APPROVED ON DECEMBER 22, 2022.STOPPED BREAKING ON FEBRUARY 2, 2023, CONVERTED TO STOPE PULL OUT CLEANING ON FEBRUARY 2, 2023. STOPPED ON FEBRUARY 25, 2023 DUE TO CONSECUTIVE LOW GRADE ON SAMPLES.</t>
  </si>
  <si>
    <t>L08_DPVE_065E_WINZE STOPE PREP</t>
  </si>
  <si>
    <t>REPLACEMENT OF L08_DPVE_036E_DE, APPROVED ON DEC 6, 2022.TRANSFER FROM AGLOLO 1 TO OY-YOY 2 ON 1/31/2023 . SWAPPING OF WORKING AREA DECISIONED BY LEVEL MANAGER. STOPPED ON FEBRUARY 25, 2023 DUE TO CONSECUTIVE LOW ASSAY GRADE WAS CUT BY A NORTH-EAST TRENDING FAULT CAUSING OFFVEIN @ WEST SIDE.</t>
  </si>
  <si>
    <t>L08_GHVFW_034E_ROBBING</t>
  </si>
  <si>
    <t>REPLACEMENT OF L10_GHVFW_062E_STOPE PREP APPROVED ON NOVEMBER 14, 2022. CONVERTED TO ACTIVE BREAKING.TEMPORARY STOPPED ON JANUARY 12, 2023,  DUE TO ABSENTEEISM OF MEN RESULTING TO ABANDONEMENT OF WORKPLACE; LACK OF MANPOWER DUE TO INACTIVE AND SUSPENSION.STOPPE BREAKING ON FEBRUARY 23, 2023 DUE TO PINCHED OUT VEIN, CONVERT TO PULL OUT CLEANING.</t>
  </si>
  <si>
    <t>REPLACEMENT OF L09_DPVE_039E_STOPE PREP. APPROVED ON DECEMBER 20,2022.TRANSFER FROM SHEPHERD AY 1 TO BALANGHIG 2 ON JANUARY 21 (1ST SHIFT) DUE TO INSUFFICIENT SKILL/KNOWLEDGE TO OPERATE THE HEADING FORMER TEAM LEADER'S RETENTION WILL BE FORFEITED.STOPPED BREAKING AND CONVERT TO PULL-OUT ON FEB. 10, 2023.STOPPED BREAKING ON FEBRUARY 13, 2023, CONVERTED TO STOPE PULLOUT.CONVERTED TO STOPE PULLOUT APPROVED ON FEBRUARY 13, 2023.STOPPED ON  FEBRUARY 24, 2023. MINED OUT @ 106% PULLOUT ATTAINMENT.</t>
  </si>
  <si>
    <t>ADDITIONAL SOURCE OF GOOD ORE, APPROVED ON OCT 24, 2022. SIMULTANEOUS WITH L07_JVSPLIT_017W_WINZE STOPE PULL OUT CLEANING. TEMPORARY STOPPED ON NOVEMBER 18, 2022 TO PRIORITIZE ROBBING.RESUMED ON JANUARY 27, 2023.STOPPED ON FEBRUARY 3, 2023 CONVERTED TO ACTIVE BREAKING.REPLACEMENT OF L07_JVSPLIT_017W_WINZE STOPE PREP CONVERTED TO ACTIVE BREAKING APPROVED ON FEBRUARY 3, 2023.STOPPED BREAKING ON FEBRUARY 13, 2023.CONVERTED TO PULL OUT ON FEBRUARY 13, 2023.MINED OUT ON FEBRUARY 27, 2023.</t>
  </si>
  <si>
    <t>L07_JVSPLIT_017W_ROBBING</t>
  </si>
  <si>
    <t>L05_DPVE_052E_ROBBING</t>
  </si>
  <si>
    <t>L09_JVSPLIT_066E_RAISE</t>
  </si>
  <si>
    <t>L10_DPVE_008E_DE</t>
  </si>
  <si>
    <t>REPLACEMENT OF L10 GHVFW 038E STOPE PREP, APPROVED ON NOV 9, 2022.STOPPED BREAKING AND CONVERT TO PULL-OUT ON FEB. 15, 2023.STOPPED ON FEBRUARY 26, 2023 DUE TO LOW GRADE WITH 83% PULLOUT ATTAINMENT</t>
  </si>
  <si>
    <t>L05_JV_005W_WINZE_STOPE PREP</t>
  </si>
  <si>
    <t xml:space="preserve">ADDITIONAL HORIZONTAL DEVELOPMENT. APPROVED ON JUNE 4,2022.TRANSFER FROM DUHIG, P4 TO BAÑEZ 4 ON NOVEMBER 25,2022 DUE TO INSUFFICIENT MANPOWER NOTIFIED ON NOVEMBER 15,2022.TEMPORARY STOPPED ON FEB. 28, 2023 TO PRIORITIZE L11_DPVE_032E_RAISE.
</t>
  </si>
  <si>
    <t>REPLACEMENT OF L09_GHV_003W_WINZE STOPE PREP. APPROVED ON NOV. 9, 2022.STOPPED BREAKING ON FEBRUARY 3, 2023, AT THE SAME TIME CONVERTED TO STOPE PULL OUT.RESUME BREAKING ON FEBRUARY 16, 2023.STOPPED BREAKING AND CONVERT TO PULL-OUT ON FEB. 17, 2023.STOPPED ON FEBRUARY 26, 2023 DUE TO CONSECUTIVE LOW GRADES ON BULK SAMPLES WITH 78% PULLOUT ATTAINMENT.STOPPED ON FEB. 26, 2023 DUE TO CONSECUTIVE LOW ASSAY GRADE.</t>
  </si>
  <si>
    <t>L09_DPVE_035E_ROBBING</t>
  </si>
  <si>
    <t>L04_NONE_026W_XCN</t>
  </si>
  <si>
    <t>MARTINEZ, DN 4</t>
  </si>
  <si>
    <t>L05_NONE_030E_XCN</t>
  </si>
  <si>
    <t>L05_DPVE_043E_ROBBING</t>
  </si>
  <si>
    <t>L09_DPVE_061E_ROBBING</t>
  </si>
  <si>
    <t>L09_DPVE_037E_ROBBING</t>
  </si>
  <si>
    <t xml:space="preserve">REPLACEMENT OF L08_DPVE_020E_STOPE PREP APPROVED ON AUGUST 13, 2022.TEMPORARILY STOPPED ON JANUARY 9, 2023, MANPOWER WORKING AT L08_NONE_024E_XCS.RESUMED ON JANUARY 16,2023.STOPPED BREAKING ON JANUARY 31, 2023, CONVERTED TO STOPE PULLOUT.CONVERTED TO STOPE PULLOUT APPROVED ON JANUARY 31, 2023.MINED OUT ON MARCH 1, 2023, WITH 91% PULLOUT ATTAINMENT.
</t>
  </si>
  <si>
    <t xml:space="preserve">REPLACEMENT OF L11_DPVE_037E_DE. APPROVED ON JANAURY 31, 2023.TRANSFERRED FROM DUHIG, PI TO COMAINGKING 1, MANAGEMENT DECISION. DUHIG GRP TO TRANSFER TO LEVEL 12.STOPPED ON FEBRUARY 28, 2023 CONVERTED TO STOPE PREPARATION.
</t>
  </si>
  <si>
    <t>ADDITIONAL HORIZONTAL DEV DRIVE. APPROVED ON FEB 21, 2023.TEMPORARY STOPPED ON MARCH 1, 2023 DUE TO 6M. OFF-VEIN DRIVE.</t>
  </si>
  <si>
    <t>ALEÑAR 2.</t>
  </si>
  <si>
    <t>L11_DPVE_044E_STOPE PREP</t>
  </si>
  <si>
    <t>REPLACEMENT OF L10_DPVE_004E_RAISE. APPROVED ON FEB. 27, 2023. STOPPED ON MARCH 1, 2023 DUETO PINCHED OUT OF VEIN CUT BY NORTH-SOUTH TRENDING FAULT.</t>
  </si>
  <si>
    <t xml:space="preserve">L08_DPVE_018E_DE </t>
  </si>
  <si>
    <t>L08_DPVE_018E_DE</t>
  </si>
  <si>
    <t xml:space="preserve">REPLACEMENT OF L10_GHVFW_062E_STOPE PREP APPROVED ON NOVEMBER 14, 2022. CONVERTED TO ACTIVE BREAKING.TEMPORARY STOPPED ON JANUARY 12, 2023,  DUE TO ABSENTEEISM OF MEN RESULTING TO ABANDONEMENT OF WORKPLACE; LACK OF MANPOWER DUE TO INACTIVE AND SUSPENSION.STOPPE BREAKING ON FEBRUARY 23, 2023 DUE TO PINCHED OUT VEIN, CONVERT TO PULL OUT CLEANING.CONVERTED TO PULLOUT CLEANING APPROVED ON FEBRUARY 23, 2023.CONTROL PULL-OUT TO 28 MC DUE TO CONSECUTIVE LOW ASSAY GRADE STARTING ON FEB. 27, 2023.STOPPED ON MARC 02, 2023 DUE TO LOW ASSAY GRADE.
</t>
  </si>
  <si>
    <t>L10_JV_045E_DE</t>
  </si>
  <si>
    <t>L10_GHVFW_040E_DE</t>
  </si>
  <si>
    <t xml:space="preserve">L08_GHVFW_053E_WINZE STOPE </t>
  </si>
  <si>
    <t>L08_GHVFW_053E_WINZE STOPE</t>
  </si>
  <si>
    <t>REPLACEMENT OF L08_GHVFW_056E_DW_ISL. APPROVED ON FEB 13 2023 (3RD SHIFT).STOPPED AND CONVERT TO STOPE BREAKING ON MARCH 02, 2023.</t>
  </si>
  <si>
    <t>REPLACEMENT OF L09_DPVE_048E_ROBBING. APPROVED ON FEB. 10, 2023. SILL.STOPPED ON FEB 24 2023. ALREADY MINED OUT.</t>
  </si>
  <si>
    <t>REPLACEMENT OF L09_DPVE_083E_ROBBING. APPROVED ON FEB. 27, 2023.PINCHED OUT VEIN. STOPPED ON FEBRUARY 28, 2023.
MANPOWER TRANSFERRED TO L09_DPVE_012E_DW MAINLINE CLEANING.</t>
  </si>
  <si>
    <t>REPLACEMENT OF L03_CTV_020W_ROBBING. APPROVED ON FEBRUARY 03, 2023. RENAMED FROM L03_CTV_017W_DW TO L03_CTV_018W_DW TO AVOID MISCHARGING APPROVED ON FEBRUARY 5, 2023.STOPPED ON MARCH 1, 2023. ALREADY MADE A BREAKTHROUGH.</t>
  </si>
  <si>
    <t>L04_CTV_023W_WINZE STOPE</t>
  </si>
  <si>
    <t>REPLACEMENT OF L07_JV_040E_ROBBING APPROVED ON FEBRUARY 15, 2023.TEMPORARILY STOPPED ON FEBRUARY 15, 2023. MP TRANSFER TO LEVEL 11.RESUMED ON FEBRUARY 22, 2023 AT THE SAME TIME CHANGE TEAM LEADER FROM TURRA TO SHEPHERD AA 1.STOPPED ON FEBRUARY 28, 2023. ALREADY MADE A BREAKTHROUGH.</t>
  </si>
  <si>
    <t>REPLACEMENT OF L04_CTV_023W_RAISE. APPROVED ON 2/10/2023.STOPPED AND CONVERT TO STOPE BREAKING ON MARCH 01, 2023.STOPPED AND CONVERT TO STOPE BREAKING ON MARCH 01, 2023.</t>
  </si>
  <si>
    <t>L10_JVHW_058E_RAISE</t>
  </si>
  <si>
    <t>L09_GHVHW_030E_DE</t>
  </si>
  <si>
    <t>REPLACEMENT L06_JV_002W_ROBBING APPROVED ON FEBRUARY 24, 2023. SILL.STOPPED ON MARCH 03, 2023 DUE TO CONSECUTIVE LOW ASSAY GRADE.</t>
  </si>
  <si>
    <t>REPLACEMENT OF L06_DPVE_057E_WINZE APPROVED ON JANUARY 13, 2023. CROWN PILLAR.STOPPED ON MARCH 03, 2023. ALREADY REACHED THE RECOMMENDED PILLAR TO BREAK.</t>
  </si>
  <si>
    <t xml:space="preserve">REPLACEMENT OF L10_JVHW_064E_DE. APPROVED ON FEB. 13, 2023.RENAME FROM L10_JVHW_064E_RAISE TO L10_JVHW_065E_RAISE TO AVOID MISCHARGING EFFECTIVE ON FEB 14, 2023.STOPPED ON MARCH 03, 2023 DUE TO CONSECUTIVE LOW GRADE </t>
  </si>
  <si>
    <t>L09_DPVE_021E_DW</t>
  </si>
  <si>
    <t>REPLACEMENT OF L10_DPVE_068E_STOPE. APPROVED ON JANUARY 31, 2023.STOPPED ON MARCH 03, 2023 DUE TO LOW GRADE ASSAY. 
WAITING FOR MEMO FROM SAFETY.STOPPED ON MARCH 3, 2023 PINCHED OUT VEIN.</t>
  </si>
  <si>
    <t>REPLACEMENT OF L10_DPVE_002E_DE. APPROVED ON FEB. 24, 2023.STOPPED ON MARCH 4, 2023 DUE TO PINCHED OUT VEIN.</t>
  </si>
  <si>
    <t>REPLACEMENT OF L06_JV_023W_ROBBING. APPROVED ON MAY 16, 2022.TEMPORARY STOPPED ON 7/12/2022. WAITING FOR MEMO FROM GEO TO VERIFY THAT IT WILL BE CONVERTED TO ROBBING (RECOMMENDING APPROVAL BY KFANTILLAGA)STOPPED ON MARCH 4, 2023 DUE TO CONSECUTIVE LOW ASSAY GRADE.</t>
  </si>
  <si>
    <t>L12_GHV_060E_RAISE</t>
  </si>
  <si>
    <t>L10_JVHW_059E_RAISE</t>
  </si>
  <si>
    <t>L11_GHVFW_053E_RAISE</t>
  </si>
  <si>
    <t>REPLACEMENT OF L07_JV_067E_WINZE_STOPE. APPROVED ON APRIL 25, 2022. TOPSLICE WTH AIRHOIST.STOPPED ON MAY 6, 2022 ALREADY DONE PILLAR ROBBING.RESUMED ON AUGUST 16, 2022. SILL.TEMPORARY STOPPED ON OCTOBER 4, 2022 TO PRIORITIZED WEST SIDE OF LEVEL 7 AS INDICATED ON PLAN.RESUMED ON OCTOBER 18, 2022.RESUMED ON OCTOBER 18, 2022 AT THE SAME TIME CHANGE TEAM LEADER FROM FABROA 3 TO TURRA 1.RENAMED FROM L07_GHV_067E_ROBBING TO L07_JV_067E_ROBBING APPROVED ON OCTOBER 18, 2022. STILL ON GOING CLEANING.TEMPORARILY STOPPED ON JANUARY 28, 2023. LOWER MANPOWER TO LEVEL11.RESUMED ON FEB 1, 2023 to recover remaining ores.STOPPED ON FEBRUARY 3, 2023 TRANSFER MP TO LVL 11.</t>
  </si>
  <si>
    <t>REPLACEMENT OF L05_CTV_026E_ROBBING APPROVED ON FEBRUARY 17, 2023. SILL. STOPPED ON FEBRUARY 25, 2023. ALREADY REACHED THE RECOMMENDED PILLAR TO BREAK</t>
  </si>
  <si>
    <t>REPLACEMENT OF L05_JV_020E_STOPE APPROVED ON NOVEMBER 25, 2022. SILL.STOPPED ON FEB. 13, 2023.</t>
  </si>
  <si>
    <t xml:space="preserve"> L09_DPVE_034E_DE</t>
  </si>
  <si>
    <t>SHEPHERD BA 1</t>
  </si>
  <si>
    <t>L06_DPVE_059E_ROBBING</t>
  </si>
  <si>
    <t>L10_DPVE_044E_DE</t>
  </si>
  <si>
    <t xml:space="preserve">TARGETING DPVE WITH 5-6METERS REMAINING. APPROVED ON FEBRUARY 22, 2023.STOPPED ON MARCH 6, 2023. ALREADY INTERCEPTED THE TARGETED VEIN.
</t>
  </si>
  <si>
    <t>REPLACEMENT OF L05_JVSPLIT_015W_ROBBING. APPROVED ON FEB 13, 2023.STOPPED ON MARCH 6, 2023 DUE TO CONSECUTIVE LOW GRADE.</t>
  </si>
  <si>
    <t>PREPARATION FOLLOW UP. APPROVED ON DECEMBER 7,2022.TEMPORARY STOPPED JANUARY 9,2023 NO MANPOWER TRAP BY THE FOLLOW OF L12_GHVHW_067E_STOPE PREP.RESUMED ON FEB 15, 2023. STOPPED AND CONVERT  BREAKING ON FEB 24, 2023.</t>
  </si>
  <si>
    <t>L09_DPVE_011E_DE</t>
  </si>
  <si>
    <t>REPLACEMENT OF L10_DPVE_007E_DW. APPROVED ON FEBRUARY 1, 2023.TEMP STOPPED ON FEB 2, 2023 TO PRIORITIZE L10_DPVE_059E_STOPE.RESUMED ON FEB. 9, 2023.RESUMED ON FEB 9, 2023.CHANGE NAME OF TEAM LEADER FROM TAÑEZA 3 TO SHEPHERD BA.L10_DPVE_008E_DE SHEPHERD BA, REPLACEMENT OF L10_DPVE_004E_RAISE. APPROVED ON FEB. 27, 2023.</t>
  </si>
  <si>
    <t xml:space="preserve">Replacement of L08_GHV_031E_DE_ISL APPROVED ON JANUARY 24, 2023. SILL.STOPPED ON MARCH 07, 2023. ALREADY FINISHED HEADING. MEMO RECEIVED ON THE SAME DAY. 
</t>
  </si>
  <si>
    <t>STOPPED BREAKING ON FEBRUARY 17, 2023 AT THE SAME TIME CONVERTED TO PULL OUT CLEANING.CONVERTED TO PULLOUT CLEANING ON FEBRUARY 17, 2023.STOPPED ON MARCH 07, 2023.
-ALREADY FINISHED HEADING</t>
  </si>
  <si>
    <t xml:space="preserve">REPLACEMENT OF L08_DPVE_062E_ROBBING APPROVED ON FEBRUARY 13, 2023, SILL.STOPPED ON MARCH 07, 2023 ALREADY FINISHED. </t>
  </si>
  <si>
    <t>REPLACEMENT OF L05_DPVE_048E_WINZE STOPE PREP. APPROVED ON DEC. 8, 2022.CHANGE TEAM LEADER FROM FERNANDEZ, RG 1 TO PANCIT, NOEL 5, FERNANDEZ WAS DEMOTED FROM TL TO MINER, AND PANCIT NOEL WILL ASSUME THE RESPONSIBILITIES OF FERNANDEZ APPROVED ON FEBRUARY 22, 2023.STOPPED ON MARCH 7, 2023 DUE TO CONSECUTIVE LOW ASSAY GRADES.</t>
  </si>
  <si>
    <t xml:space="preserve">REPLACEMENT OF L05_DPVE_043E_WINZE STOPE. APROVED ON FEB. 28, 2023. TOPSLICE W/ AIRHOIST.STOPPED ON MARCH 7, 2023 DUE TO CONSECUTIVE LOW ASSAY GRADES.
</t>
  </si>
  <si>
    <t>L05_DPVE_042E_ROBBING</t>
  </si>
  <si>
    <t>L05_JV_006W_ROBBING</t>
  </si>
  <si>
    <t>L05_GHVFW_001E_ROBBING</t>
  </si>
  <si>
    <t>L03_JVSPLIT_040W_ROBBING</t>
  </si>
  <si>
    <t>ACTIVATE ON JULY 26,2022 PLANNING WAS INFORMED ON AUGUST 6,2022. REPLACEMENT OF L05_DPVE_051E_DE_ISL AS ADDITIONAL HORIZONTAL DEVELOPMENT DRIVE.TEMPORARY STOPPED ON AUGUST 8, 2022, TO PRIORITIZE EAST SIDE.RESUMED ON OCT 28, 2022.STOPPED ON NOVEMBER 21,2022 CONVERT TO STOPE PREP.STOPPED ON NOV 21 2022.</t>
  </si>
  <si>
    <t xml:space="preserve"> PANCIT, NOEL 5</t>
  </si>
  <si>
    <t>REPLACEMENT OF L08_DPVE_062E_DE_ISL APPROVED ON JANUARY 18, 2023.STOPPED ON MARCH 08, 2023 DUE TO CONSECUTIVE LOW ASSAY GRADES.</t>
  </si>
  <si>
    <t>L08_GHVSPLIT_015W_RAISE</t>
  </si>
  <si>
    <t>ADDITIONAL PRODUCTION TONNAGE. APPROVED ON 2/10/2023.STOPPED ON MARCH 8, 2023 DUE TO CONSECUTIVE LOW GRADE.</t>
  </si>
  <si>
    <t>ADDITIONAL STOPE PREPARATIONS . APPROVED ON JANUARY 11,2023. CHINAMAN CHUTES (5 CHUTES).STOPPED ON JANUARY 27, 2023 TO CONVERT TO STOPE BREAKING. REPLACEMENT OF L09_DPVE_088E_STOPE PREP. APPROVED ON JANUARY 27, 2023.STOPPED ON BREAKING MARCH 3, 2023 DUE TO UNSAFE CONDITION OF THE AREA.WAITING FOR SAFETY MEMO.</t>
  </si>
  <si>
    <t>REPLACEMENT OF L05_DPVE_050E_DE APPROVED ON FEBRUARY 13, 2023.STOPPED ON MARCH 10, 2023 DUE TO PINCHED-OUT OF VEIN.</t>
  </si>
  <si>
    <t>REHAB FOR BACK WINZE. APPROVED ON OCTOBER 3,2022.RENAMED FROM L09_NONE_025E_REHAB TO L09_NONE_055E_REHAB ON OCTOBER 11,2022.NOCOS GROUP WILL BE DISTRIBUTED TO OTHER TEAM LEADER THAT LACKS MANPOWER, DUE TO CONFLICTS BETWEEN TEAM LEADER AND SUBORDINATES, EFFECTIVE JANUARY 9, 2023. TRANSFER FROM NOCOS 3 TO GUNAY 1 ON JANUARY 25,2023.TRANSFERRED FROM GUNAY 1 TO BABOR 2 ON FEB. 24, 2023.STOPPED ON MARCH 10, 2023.Completed the ground support installation</t>
  </si>
  <si>
    <t>L09_JV_055E_DE_ISL</t>
  </si>
  <si>
    <t>REPLACEMENT OF L09_GHV_033E_WINZE STOPE. APPROVED ON FEB. 27, 2023. FILL WINZE.Stopped on Mar 9, 2023,Already breakthrough.</t>
  </si>
  <si>
    <t>L10_GHVHW_064E_WINZE</t>
  </si>
  <si>
    <t>L10_DPVE_010E_STOPE</t>
  </si>
  <si>
    <t>REPLACEMENT OF L10_DPVE_009E_DE. APPROVED ON FEB. 17, 2023.REPLACEMENT OF L10_DPVE_010E_STOPE PREP. APPROVED ON MARCH 8, 2023. STOPE BREAKING.</t>
  </si>
  <si>
    <t>REPLACEMENT OF L10_DPVE_083E_DE. APPROVED ON OCTOBER 12,2022.STOPPED ON MARCH 3 2023. REACHED TARGET AREA FROM DRILLING CHAMBER. (MEMO TO FOLLOW)</t>
  </si>
  <si>
    <t>L10_NONE_100E_CHAMBER</t>
  </si>
  <si>
    <t>100E</t>
  </si>
  <si>
    <t>REPLACEMENT OF L09_DPVE_078E_ROBBING, APPROVED ON DEC 5, 2022. SILL PILLAR.TEMPORARY STOPPED ON JANUARY 11,2022 TO PRIORITIZED STOPE PREPARATION.RESUMED ON JANUARY 16,2022 AT THE SAME TIME TRANSFERED FROM PANSIT, NORMAN 4 TO GUNAY 3.STOPPED ON MAR 11, 2023. ALREADY DONE PILLAR ROBBING.</t>
  </si>
  <si>
    <t>L09_NONE_025E_XCN</t>
  </si>
  <si>
    <t>REPLACEMENT OF L05_JV_027E_DW. APPROVED ON FEB. 27, 2023. TOPSLICE W/ MUCKING. TEMPORARY STOPPED ON MARCH 10, 2023 TO PRIORITIZE WINZE.</t>
  </si>
  <si>
    <t>L09_DPVE_077E_WINZE STOPE</t>
  </si>
  <si>
    <t>REPLACEMENT OF L05_JVSPLIT_010W_WINZE APPROVED ON FEB 16, 2023. STOPPED ON MARCH 1, 2023. ALREADY BREAKTHROUGH. WAITING FOR THE MEMO</t>
  </si>
  <si>
    <t xml:space="preserve">REPLACEMENT OF L11_JVFW_069E_DE. APPROVED ON MARCH 21,2022.TEMPORARY STOPPED ON JULY 12,2022.RESUMED ON SEPTEMBER 23,2022 AT THE SAME TIME TRANSFER FROM DUHIG,P3 TO REBOTE 2.TEMPORARY STOPPED ON OCTOBER 16,2022.STOPPED ON OCTOBER 17,2022 SINCE VEIN TARGETS PRODUCED BELOW CUT-OFF GRADE.RESUMED ON FEB 3 2023. AT THE SAME TIME TRANSFER FROM REBOTE 2 TO APA 1.TEMPORARY STOPPED ON MAR 4, 2023. TO PRIORITIZE RAISE.RESUMED ON MAR 6, 2023, AT THE SAME TIME TRANSFERRED FROM APA 1 TO PANCIT, NOEL 6.STOPPED ON MARCH 11, 2023. THE CROSSCUT HAS ALREADY REACHED AND INTERCEPTED THE DRILLHOLE INTERCEPT TARGET.
</t>
  </si>
  <si>
    <t>REPLACEMENT OF L11_JVFW_062E_STOPE PREP ON OCT 28 2022. BREAKING.ALREADY DONE BREAKING, DONE TRAVERSE. CONVERT TO PULL OUT ON MAR 13, 2023.</t>
  </si>
  <si>
    <t>REPLACEMENT OF L12_GHV_060E_DE APPROVED ON MARCH 4, 2023 TO BREAKTHROUGH AT L11_GHV_063E_WINZE.STOPPED ON MAR 13, 2023. RAISE ALREADY BREAKTHROUGH TO OLD WINZE.</t>
  </si>
  <si>
    <t>L05_DPVE_053E_WINZE</t>
  </si>
  <si>
    <t>L10_DPVE_092E_STOPE</t>
  </si>
  <si>
    <t>REPLACEMENT OF L10_DPVE_092E_RAISE. APPROVED ON FEB. 17, 2023.ALREADY DONE STOPE PREPARATION ON MAR 13, 2023.</t>
  </si>
  <si>
    <t>REPLACEMENT OF L10_DPVE_071E_DE. APPROVED ON FEB. 21, 2023.STOPPED ON MAR 13, 2023, CUT BY FAULT.</t>
  </si>
  <si>
    <t>L10_GHVHW_066E_DW</t>
  </si>
  <si>
    <t>L10_DPVE_073E_RAISE</t>
  </si>
  <si>
    <t xml:space="preserve">REPLACEMENT OF L08_GHVFW_034E_DW APPROVED ON FEBRUARY 27, 2023. SILL.STOPPED ON MAR 13, 2023. ALREADY DONE PILLAR ROBBING.
</t>
  </si>
  <si>
    <t>L08_JVSPLIT_027E_ROBBING</t>
  </si>
  <si>
    <t>REPLACEMENT OF L08_DPVE_020E_STOPE APPROVED ON MARCH 1, 2023.TEMP STOPPED ON MAR 13, 2023.</t>
  </si>
  <si>
    <t>ADDITIONAL HORIZONTAL DEVELOPMENT DRIVE. APPROVED ON MARCH 01, 2023.TEMP STOPPED ON MAR 13, 2023 FOR EVALUATION.</t>
  </si>
  <si>
    <t>L09_GHVHW_033E_DE</t>
  </si>
  <si>
    <t>STOPPED ON MARCH 6 2022 DUE TO CONSECUTIVE LOW GRADE ASSAYS. CONVERT TO PULL-OUT.STOPPED ON MAR 13, 2023 DUE TO CONSECUTIVE LOW GRADE RESULT WITH MEMO.</t>
  </si>
  <si>
    <t>L11_JVFW_065E_STOPE</t>
  </si>
  <si>
    <t>L09_GHVHW_024E_WINZE</t>
  </si>
  <si>
    <t>L05_CTV_012W_WINZE</t>
  </si>
  <si>
    <t>L09_DPVE_043E_DW_ISL</t>
  </si>
  <si>
    <t>L10_DPVE_095E_STOPE</t>
  </si>
  <si>
    <t>L06_JVSPLIT_021W_ROBBING</t>
  </si>
  <si>
    <t>REPLACEMENT OF L09_NONE_012W_XCN.EFFECTIVE ON MARCH 06, 2023. STOPPED ON MARCH 11, 2023. EAST ON VEIN DRIVE IS EXPECTED TO BREAKTHROUGH THE MAINLINE OF L09_DPVE_029E_DE.</t>
  </si>
  <si>
    <t>REPLACEMENT OF L08_DPVE_073E_WINZE STOPE. APPROVED ON MARCH 10 2023.TEMPORARY STOPPED ON MARCH 15, 2023. TO PRIORITIZE ROBBING OF SILL PILLARS ALONG THE ISL FOR FUTURE WASTE PASS.</t>
  </si>
  <si>
    <t>L09_GHVHW_022E_ROBBING</t>
  </si>
  <si>
    <t>REPLACEMENT OF L05_JV_004W_DE_ISL. APPROVED ON FEB. 28, 2023.STOPPED ON MARCH 13 2023. COMPLETED STOPE PREP.</t>
  </si>
  <si>
    <t>L05_JV_005W_WINZE STOPE</t>
  </si>
  <si>
    <t>REPLACEMENT OF L10_DPVE_006E_DW. APPROVED ON JANUARY 23, 2023.RENAMED FROM L10_GHV_051E_RAISE TO L10_GHV_046E_RAISE AS PER LEVEL GEO ON JANUARY 25,2023.TEMP STOPPED ON FEB 2, 2023 TO PRIORITIZE L10_DPVE_045E_STOPE.RESUMED ON FEB. 7, 2023.CONVERT TO STOPE PREP STOPPED ON MARCH 02, 2023, ALREADY BREAKTHROUGH THE 30m RAISE.</t>
  </si>
  <si>
    <t>L05_GHVSPLIT_031W_DW</t>
  </si>
  <si>
    <t xml:space="preserve">VERTICAL DEVELOPMENT. APPROVED ON DECEMBER 2,2022.TRANSFERRED FROM HANDAAN 2 TO GUNAY 4, APPROVED ON FEB 2, 2023, MGMT DECISION, HANGDAAN GRP TRANSFERRED TO SINUG-ANG.STOPPED ON MAR 15, 2023 DUE TO CONSECUTIVE LOW GRADE RESULT.
</t>
  </si>
  <si>
    <t>L12_NONE_049E_SUMP</t>
  </si>
  <si>
    <t>L10_GHVFW_041E_DE</t>
  </si>
  <si>
    <t>REPLACEMENT OF L10_NONE_040E_XCS. APPROVED ON FEB. 7, 2023.STOPPED ON FEB. 27, 2023 DUE TO PINCHED OUT VEIN DUE TO PARALLEL FAULTS.</t>
  </si>
  <si>
    <t>ADDITIONAL SOURCE OF GOOD ORE. APPROVED ON FEBRUARY 8, 2023. BLIND STOPE.STOPPED AND CONVERTED TO STOPE BREAKING ON MARCH 13, 2023.</t>
  </si>
  <si>
    <t>L10_GHVSPLIT_072E_DW</t>
  </si>
  <si>
    <t>L10_DPVE_065E_STOPE PREP</t>
  </si>
  <si>
    <t>REPLACEMENT OF L09_DPVE_076E_DW_ISL. APPROVED ON FEB. 13, 2023. ALREADY DONE STOPE PREP AND CONVERT TO BREAKING ON MARCH 11, 2023</t>
  </si>
  <si>
    <t>L08_NONE_033W_XCN</t>
  </si>
  <si>
    <t>L11_DPVE_034E_DE</t>
  </si>
  <si>
    <t>L08_DPVE_073E_ROBBING</t>
  </si>
  <si>
    <t>L08_GHV_026E_ROBBING</t>
  </si>
  <si>
    <t>REPLACEMENT OF L08_DPVE_070E_WINZE STOPE APPROVED ON FEBRUARY 13, 2023, CROWN PILLAR.STOPPED ON MARCH 17, 2023. DUE TO CONSECUTIVE LOW GRADE RESULT.</t>
  </si>
  <si>
    <t>REPLACEMENT OF L10_DPVE_061E_RAISE. APPROVED ON 6/21/2022.TEMPORARY STOPPED ON JULY 22,2022 TO FOLLOW UP RAISE.RESUMED ON NOVEMBER 22,2022.STOPPED ON MARCH 17, 2023 DUE TO PINCHED OUT VEIN.</t>
  </si>
  <si>
    <t>REPLACEMENT OF L10_DPVE_095E_DE. APPROVED ON FEB. 7, 2023.STOPPED ON MARCH 17, 2023 DUE TO PINCHED OUT VEIN.</t>
  </si>
  <si>
    <t>REPLACEMENT OF L05_DPVE_043E_ROBBING. APPROVED ON  MARCH 08, 2023. SILL. STOPPED ON MARCH 17, 2023 ALREADY FINISHED HEADING.</t>
  </si>
  <si>
    <t>REPLACEMENT OF L09_DPVE_043E_WINZE APPROVED ON JANUARY 12, 2023.TEMPORARILY STOPPED ON FEBRUARY 21, 2023 DUE TO UNAVAILABILITY OF SUBMERSSIBLE PUMP.RESUMED ON FEB. 23, 2023.L09_DPVE_043E_DE_ISL
RENAMED TO L09_DPVE_043_DW_ISL Approved on March 14, 2023.STOPPED ON MARCH 18, 2023. CONVERTED TO WINZE STOPE PREP.</t>
  </si>
  <si>
    <t>L09_DPVE_043E_WINZE STOPE PREP</t>
  </si>
  <si>
    <t>L10_DPVE_097E_DE</t>
  </si>
  <si>
    <t>097E</t>
  </si>
  <si>
    <t>ADDITIONAL HORIZONTAL DRIVE. APPROVED ON JANUARY 25,2023. RENAMED FROM L09_JV_057E_DE TO L09_JV_057E_DW. APPROVED ON JANUARY 29, 2023.STOPPED ON MARCH 18, 2023 DUE TO CONSECUTIVE LOW ASSAY GRADES.</t>
  </si>
  <si>
    <t>L11_NONE_048E_XCS</t>
  </si>
  <si>
    <t>L05_DPVE_050E_STOPE PREP</t>
  </si>
  <si>
    <t>PANSIT NORMAN 4</t>
  </si>
  <si>
    <t>REPLACEMENT OF L05_DPVE_051E_WINZE APPROVED ON JULY 20, 2022. TEMPORARY STOPPED ON JULY 26,2022 PLANNING INFORMED ON AUGUST 6,2022.RESUMED ON AUGUST 8, 2022. STOPPED ON SEPTEMBER 1,2022 CONVERT TO WINZE STOPE PREPARATION.RESUMED ON MARCH 08, 2023 AS WELL TRANSFERRED OF GROUP FROM FERNANDEZ, RG 3 TO PANCIT, NOEL 5.STOPPED ON MARCH 17, 2023. WAITING FOR MEMO FROM GEO.</t>
  </si>
  <si>
    <t xml:space="preserve">REPLACEMENT OF L10_DPVE_090E_DW. APPROVED ON FEB. 17, 2023.STOPPED AND CONVERTED TO STOPE BREAKING ON MARCH 13, 2023.
</t>
  </si>
  <si>
    <t>REPLACEMENT OF L11_GHVFW_066E_STOPE PREP ON OCT 28 2022. BREAKING. RENAMED FROM L11_GHVFW_066E_STOPE TO L11_GHVFW_054E_STOPE WRONG POSITION NAMING APPROVED ON JANUARY 29,2023.RECOMMENDED ADDITIONAL ON-VEIN IPR FOR GRADE CONFIRMATION AT EAST PORTION OF STOPE ON MARCH 14, 2023.STOPPED BREAKING ON MARCH 20, 2023. AT THE SAME TIME CONVERT TO STOPE PULL-OUT CLEANING.</t>
  </si>
  <si>
    <t>L09_DPVE_058E_DE_ISL</t>
  </si>
  <si>
    <t>L09_GHVHW_072E_ROBBING</t>
  </si>
  <si>
    <t>L09_JV_003E_DE</t>
  </si>
  <si>
    <t>L11_NONE_041E_XCN</t>
  </si>
  <si>
    <t>L09_GHVHW_038E_RAISE</t>
  </si>
  <si>
    <t xml:space="preserve"> REPLACEMENT ON L09_NONE_004E_XCN. APPROVED ON JUNE 28,2022. STOPPED ON JULY 26,2022 DUE TO VEIN PINCHED OUT DUE TO PERPENDICULAR FAULT.RESUMED ON FEB. 18, 2023 AS WELL AS TRANSFERRED FROM BALANGHIG 1 TO CAPUYAN 2.STOPPED ON MARCH 17, 2023 PINCHED OUT VEIN.
</t>
  </si>
  <si>
    <t>ADDITIONAL SOURCE OF GOOD ORE, APPROVED ON MAR 7, 2023. SILL PILLAR.STOPPED ON MARCH 20, 2023 DUE TO CONSECUTIVE LOW GRADE ON BULK SAMPLES.</t>
  </si>
  <si>
    <t>REPLACEMENT OF L05_GHVHW_037W_ROBBING, APPROVED ON MAR 7, 2023. SILL PILLAR.STOPPED ON MARCH 20, 2023 DUE TO CONSECUTIVE LOW GRADE ON BULK SAMPLES.</t>
  </si>
  <si>
    <t xml:space="preserve"> ADDITIONAL SOURCE OF GOOD ORE. APPROVED ON JANUARY 25,2023 SILL.RENAMED VEIN FROM L09_DPVE_045E_ROBBING L09_GHVFW_045E_ROBBING. APPROVED ON JANUARY 29, 2023.STOPPED ON MARCH 20, 2023, ALREADY REACHED THE RECOMMENDED STRIKE LENGTH.</t>
  </si>
  <si>
    <t>TARGETING CV VEIN FOR ROBBING. APPROVED ON FEB. 28, 2023.STOPPED ON MARCH 20, 2023. ALREADY FINISHED HEADING.</t>
  </si>
  <si>
    <t xml:space="preserve">REPLACEMENT OF L09_GHVHW_005W_RAISE APPROVED ON FEBRUARY 22, 2023.TEMPORARY STOPPED ON MARCH 20, 2023 DUE TO CONSECUTIVE LOW ASSAY GRADE ON CUT SAMPLES.   </t>
  </si>
  <si>
    <t xml:space="preserve">REPLACEMENT OF L10_NONE_051E_XCS.APPROVED ON JUNE 15, 2021.STOPPED ON JULY 9, 2021 DUE TO CONSECUTIVE LOW ASSAY GRADE.RESUMED ON AUGUST 3,2022 AT THE SAME TIME RENAMED FROM L10_GHVFW_051E_DE TO L10_GHVFW_052E_DE.TEMPORARY STOPPED ON SEPTEMBER 24,2022 TO FOLLOW UP RAISE.RESUMED ON OCTOBER 11,2022.TEMPORARY STOPPED ON OCTOBER 16,2022 TO PRIORITIZED L10_NONE_092E_XCN.,RESUMED ON JANUARY 19, 2023.TEMPORARILY STOPPED ON FEBRUARY 23, 2023, TO EXPLORE THE VEIN'S UPDIP EXTENSION.RESUMED ON MARCH 03, 2023.MEMO TO BE FOLLOWED.STOPPED ON MARCH 9 (3RD SHIFT) 2023 DUE TO CONSECUTIVE LOW GRADE ASSAYS.
</t>
  </si>
  <si>
    <t>REPLACEMENT OF L05_JV_022E_ROBBING. APPROVED ON 2/9/2023.STOPPED ON FEBRUARY 20, 2023 TO PRIORITIZE WASTE PASS FOR TIGERWAY.</t>
  </si>
  <si>
    <t>L10_DPVE_063E_STOPE PREP</t>
  </si>
  <si>
    <t>REPLACEMENT OF L10_DPVE_061E_STOPE PREP. APPROVED ON SEPTEMBER 13,2022.RESUME BREAKING ON THE EASTERN PORTION OF THE STOPE ON JANUARY 10, 2023, ALREADY FINISHED DRIVING 2 IPR.STOPPED BREAKING AND CONVERT TO PULL-OUT ON MARCH 17, 2023. AT THE SAME TIME TRAVERSED ON THE SAME DAY.</t>
  </si>
  <si>
    <t>REPLACEMENT OF L10 GHVFW 054E STOPE PREP, APPROVED ON JAN 31, 2023.STOPPED BREAKING AND CONVERT TO PULL-OUT ON MARCH 18, 2023. AT THE SAME TIME TRAVERSED ON THE SAME DAY.</t>
  </si>
  <si>
    <t>REPLACEMENT OF L09_DPVE_024E_ROBBING. APPROVED ON FEB. 28, 2023. SILL.STOPPED ON MARCH 18, 2023 FINISHED HEADING.</t>
  </si>
  <si>
    <t>L09_DPVE_010E_RAISE</t>
  </si>
  <si>
    <t>PANSIT NORMAN 3</t>
  </si>
  <si>
    <t>REPLACEMENT OF L08_DPVE_064E_DE_ISL APPROVED ON FEBRUARY 27, 2023.STOPPED ON MARCH 20, 2023, AT THE SAME TIME CONVERTED TO STOPE BREAKING.</t>
  </si>
  <si>
    <t>L08_DPVE_065E_WINZE STOPE</t>
  </si>
  <si>
    <t>L08_JVSPLIT_074E_ROBBING</t>
  </si>
  <si>
    <t>L05_JV_004W_ROBBING</t>
  </si>
  <si>
    <t>REPLACEMENT OF L09_DPVE_030E_RAISE APPROVED ON FEBRUARY 3, 2023.RENAMED FROM L09_DPVE_032E_RAISE TO L09_DPVE_031E_RAISE. APPROVED ON FEB 7, 2023.TRANSFERRED FROM DELOS REYES TO QUIJANO 3 ON FEB. 7, 2023.CHANGED TEAM LEADER ON FEB. 25, 2023.TRANSFER OF MANPOWER FROM QUIJANO 3 TO PANSIT NORMAN APPROVED ON MARCH 06 2023.STOPPED ON MARCH 21, 2023  FOR WIREFRAME PURPOSES.</t>
  </si>
  <si>
    <t xml:space="preserve">ADDITIONAL HORIZONTAL DRIVE APPROVED ON MARCH 06, 2023.REPLACEMENT OF L09_JVSPLIT_066E_RAISE APPROVED ON MARCH 6, 2023.TEMPORARILY STOPPED ON MARCH 21, 2023 TO PRIORITIZE RAISE PREP. 
</t>
  </si>
  <si>
    <t xml:space="preserve">REPLACEMENT OF L10_NONE_008E_XCN. APPROVED ON DEC. 2, 2022.TRANSFER FROM TAÑEZA 3 TO TAÑEZA 6 ON DECEMBER 6,2022.TEMPORARY STOPPED ON JANUARY 23, 2023 TO PRIORITIZED RAISE.RESUMED ON JANUARY 26,2023.TEMPORARY STOPPED ON FEB. 17, 2023 TO PRIORITIZED STOPE PREP.RESUMED ON MARCH 03, 2023.MEMO TO BE FOLLOWED.STOPPED ON MAR 22, 2023 DUE TO CONSECUTIVE LOW GRADE RESULT. TO BE REPLACED WITH BLOCKING RAISE OF L10 DPVE 010E STOPE.
</t>
  </si>
  <si>
    <t>REPLACEMENT OF L10_NONE_040E_XCS. APPROVED ON FEB. 7, 2023.STOPPED ON FEB. 27, 2023 DUE TO PINCHED OUT VEIN DUE TO PARALLEL FAULTS.APPROVED ON MAR 02, 2023. RENAMED FROM L10_041E_DE.STOPPED ON MAR 22, 2023 DUE TO CONSECUTIVE LOW GRADE RESULT.</t>
  </si>
  <si>
    <t>REPLACEMENT OF L10_DPVE_083E_DE. APPROVED ON FEB 8, 2023.STOPPED ON MAR 22, 2023 DUE TO CONSECUTIVE LOW GRADE RESULT. WIREFRAME DID NOT PASS.</t>
  </si>
  <si>
    <t>L10_GHV_046E_STOPE PREP</t>
  </si>
  <si>
    <t>L10_GHV_046E_STOPE</t>
  </si>
  <si>
    <t>L04_RYV_005E_ROBBING</t>
  </si>
  <si>
    <t xml:space="preserve"> REPLACEMENT OF L10_GHV_046E_RAISE. APPROVED ON MARCH 2, 2023.STOPPED ON MARCH 22, 2023.STOPPED ON MARCH 21, 2023, AT THE SAME TIME CONVERTED TO ACTIVE BREAKING</t>
  </si>
  <si>
    <t>REPLACEMENT OF L05_DPVE_051E_DE_ISL. APPROVED ON MARCH 20, 2023.STOPPED ON MARCH 23, 2023 PINCHED OUT VEIN</t>
  </si>
  <si>
    <t>L10_GHVFW_039E_DW</t>
  </si>
  <si>
    <t>L10_GHVHW_006W_RAISE</t>
  </si>
  <si>
    <t>L10_JV_069E_ROBBING</t>
  </si>
  <si>
    <t xml:space="preserve">REPLACEMENT OF L09_GHV_033E_WINZE STOPE PREP. APPROVED ON JANUARY 14,2023. STOPPED BREAKING AND CONVERT TO PULL-OUT ON FEB. 14, 2023.STOPPED ON FEBRUARY 15, 2023. RECOMMENDED NO PULL-OUT CLEANING DUE TO LOW GRADE QA/QC RESULT BOTH ON CUT AND BULK SAMPLES.
</t>
  </si>
  <si>
    <t>L09_DPVE_050E_ROBBING</t>
  </si>
  <si>
    <t>L09_DPVE_027E_DW</t>
  </si>
  <si>
    <t>L11_GHVSPLIT_059E_STOPE</t>
  </si>
  <si>
    <t xml:space="preserve">REPLACEMENT OF L04_JVSPLIT_028E_DE_ISL, APPROVED ON DEC 7, 2022. CROWN PILLAR ROBBING.STOPPED ON MARCH 24, 2023 ALREADY REACHED ITS RECOMMENDED PILLARS.STOPPED ON MARCH 24, 2023 ALREADY REACHED ITS RECOMMENDED PILLARS.
</t>
  </si>
  <si>
    <t>REPLACEMENT OF L06_DPVE_058E_ROBBING. APPROVED ON MARCH 06, 2023. SILL. STOPPED ON MARCH 24, 2023 DUE TO CONSECUTIVE LOW ASSAY GRADE.</t>
  </si>
  <si>
    <t>ADDITIONAL SOURCE OF GOOD ORE, APPROVED ON FEB 21, 2023.STOPPED ON MARCH 24, 2023 TO CONVERT TO STOPE BREAKING.</t>
  </si>
  <si>
    <t>L05_GHVFW_002W_ROBBING</t>
  </si>
  <si>
    <t>L10_DPVE_080E_DE</t>
  </si>
  <si>
    <t>L05_DPVE_049E_ROBBING</t>
  </si>
  <si>
    <t>REPLACEMENT OF L10_JVHW_065E_RAISE. APPROVED ON MARCH 10, 2023.RENAME HEADING ON MAR 13, 2023 TO AVOID MISCHARGING TO OTHER WORKING PLACE.RENAMED FROM L10_JVHW_065E_STOPE PREP. PROPER VEIN NAMING. APPROVED ON MARCH 16, 2023.STOPPED ON MARCH 27, 2023 AND CONVERT TO STOPE BREAKING.</t>
  </si>
  <si>
    <t>L10_DPVE_065E_STOPE</t>
  </si>
  <si>
    <t>L12_GHVFW_058E_DE</t>
  </si>
  <si>
    <t>REPLACEMENT OF L10_DPVE_071E_RAISE. APPROVED ON MAR 13, 2023.STOPPED ON MARCH 28, 2023 DUE TO PINCHED OUT OF VEIN.</t>
  </si>
  <si>
    <t>MAPAYO 5</t>
  </si>
  <si>
    <t>L11_GHVSPLIT_056E_STOPE</t>
  </si>
  <si>
    <t>L11_DPVE_044E_STOPE</t>
  </si>
  <si>
    <t>ADDITIONAL SOURCE OF GOOD ORE, APPROVED ON FEB 21, 2023.STOPPED AND CONVERT TO STOPE BREAKING ON MARCH 28, 2023.</t>
  </si>
  <si>
    <t>REPLACEMENT OF L11_DPVE_044E_RAISE. APPROVED ON MARCH 1, 2023. STOPPED AND CONVERT TO STOPE BREAKING ON MARCH 28, 2023.</t>
  </si>
  <si>
    <t xml:space="preserve">PROPOSED L06 RAISE CONNECTION TO DSP 10 TIGERWAY. APPROVED ON FEBRUARY 6, 2023.TRANSFERRED FROM SHEPHERD AC 1 TO SHEPHERD AA 1 ON FEB 6, 2023.STOPPED ON FEBRUARY 14, 2023 LACK OF MANPOWER DUE TO PROBLEM WITH WASTEPASS LOCATION.RESUMED ON FEBRUARY 23, 2023 AT THE SAME TIME CHANGE TEAM LEADER FROM SHEPHERD AA TO QUIJANO 1.STOPPED ON MARCH 20, 2023 ALREADY BREAKTHROUGH, MEMO TO FOLLOW.
</t>
  </si>
  <si>
    <t>REPLACEMENT OF L05_JV_006W_ROBBING, APPROVED ON MAR 21, 2023. SILL PILLAR.STOPPED ON MARCH 29, 2023 MINED OUT.</t>
  </si>
  <si>
    <t>FILL WINZE TO BE CONNECTED TO L11_GHVHW_065E_STOPE. APPROVED ON FEB. 7, 2023.RENAMED FROM L10_GHVHW_066E_WINZE UPON REQUEST BY MINE OPS TO BE THE SAME WITH LMR. APPROVED ON MARCH 11 2023.STOPPED ON MARCH 29, 2023 ALREADY FINISHED WIDENING.</t>
  </si>
  <si>
    <t>REPLACEMENT OF L08_DPVE_057E_WINZE APPROVED ON FEBRUARY 28, 2023.STOPPED ON MARCH 29, 2023 DUE TO CONSECUTIVE LOW ASSAY GRADE.</t>
  </si>
  <si>
    <t>L12_NONE_045E_CHAMBER</t>
  </si>
  <si>
    <t>REPLACEMENT OF L10_GHVFW_062E_STOPE. APPROVED ON MARCH 02, 2023.STOPPED ON MARCH 29, 2023 ALREADY REACHED THE RECOMMENDED STRIKE LENGTH.</t>
  </si>
  <si>
    <t xml:space="preserve">REPLACEMENT OF L10_NONE_028E_XCN. APPROVED ON JULY 9,2022. TEMPORARY STOPPED ON JULY 26,2022 TO FOLLOW UP RAISE.RESUMED ON FEB. 28, 2023.STOPPED ON MARCH 15, 2023 ALREADY REACHED THE RECOMMENDED STRIKE LENGTH.
</t>
  </si>
  <si>
    <t>L10_DPVE_028E_DE</t>
  </si>
  <si>
    <t>L05_DPVE_022E_DW</t>
  </si>
  <si>
    <t>L11_JVFW_040E_RAISE</t>
  </si>
  <si>
    <t>L11_DPVE_038E_RAISE</t>
  </si>
  <si>
    <t>L07_JVSPLIT_019W_ROBBING</t>
  </si>
  <si>
    <t>L10_JV_044E_RAISE</t>
  </si>
  <si>
    <t>L09_DPVE_058E_DW_ISL</t>
  </si>
  <si>
    <t>L07_DPVE_043E_ROBBING</t>
  </si>
  <si>
    <t xml:space="preserve">ADDITIONAL SOURCE OF GOOD ORE. APPROVED ON AUGUST 24, 2022. TOPSLICE WITH AIRHOIST.TEMPORARY STOPPED ON OCOTBER 4, 2022. MP TRANSFERRED TO LEVEL 8 AS PER MGT. RESUMED ON OCTOBER 20, 2022, AT THE SAME TIME CHANGE TEAM LEADER FROM ALEÑAR TO TURRA 2, STILL ON GOING CLEANING.TEMPORARILY STOPPED ON JANUARY 28, 2023. LOWER MANPOWER TO LEVEL11.RESUMED ON FEBRAURY 13, 2023 AT THE SAME TIME CHANGE TEAM LEADER FROM TURRA 2 TO CARIKITAN 1. TOPSLICE.STOPPED ON MARCH 31, 2023, ALREADY REACHED THE RECOMMENDED PILLAR TO BREAK.
@Neil@Whincel
Jezrel Pornel, Today at 4:35 PM
</t>
  </si>
  <si>
    <t>REPLACEMENT OF L09_DPVE_016E_DW APPROVED ON MARCH 24, 2023.TEMPORARY STOPPED ON MARCH 31, 2023 TO PRIORITIZES DRIFT.</t>
  </si>
  <si>
    <t>REPLACEMENT OF L09_DPVE_028E_DW. APPROVED ON FEB. 13, 2023.TEMPORARY STOPED MARCH 3, 2023.RESUMED ON MAR 11, 2023.STOPPED ON MARCH 22, 2023 ALREADY INTERCEPTED THE DRILLING TARGET.</t>
  </si>
  <si>
    <t xml:space="preserve">REPLACEMENT OF L11 NONE 042E XCS. APPROVED ON NOV 9, 2022.TEMPORARY STOPPPED ON DECEMBER 12, 2022. DUE TO UNAVAILABILITY OF MUCKING MACHINE FOR DOUBLE MUCKING.RESUMED ON JAN 20 2023.TRANSFER WORKPLACE FROM COMAINGKING 3 TO TORMIS 1, MGMT DECISION, APPROVED ON FEB 16, 2023.STOPPED ON MAR 4, 2023 AND CONVERTED TO RAISE.RESUMED ON MAR 15, 2023.STOPPED ON MARCH 31, 2023 TO BE REPLACED BY L11_GHVFW_063E_DE.
</t>
  </si>
  <si>
    <t>ADDITIONAL HORIZONTAL DEVELOPMENT DRIVE. APPROVED ON SEPTEMBER 21,2022.TRANSFER TEAM LEADER FROM BAÑEZ 7 TO TORMIS 1, APPROVED ON NOV 8, 2022.TEMPORARY STOPPED ON DECEMBER 7,2022RESUMED ON JANUARY 18, 2023 AT THE SAME TIME CHANGE TEAM LEADER FROM TORMIS TO BADBADON 2.TEMPORARY STOPPED ON FEBRUARY 1, 2023 TO PRIORITIZED L11_JVSPLIT_070E_RAISE.RESUMED ON FEB 16, 2023. TEMPORARY STOPPED ON FEB. 25, 2023 DUE TO DRILLING ACTIVITY.RESUMED ON MAR 13, 2023 AT THE SAME TIME TRANSFERRED FROM BADBADON 2 TO PANCIT, NOEL 6.STOPPED ON MARCH 31, 2023 TO BE REPLACED BY L11_DPVE_057E_DW.</t>
  </si>
  <si>
    <t>L11_DPVE_057E_DW</t>
  </si>
  <si>
    <t>VERTICAL DEVELOPMENT. APPROVED ON SEPTEMBER 26,2022.TEMPORARRY STOPPED ON OCT 28, 2022. DUE TO LACK OF MANPOWER AND MIS MATCH SKILLS.RESUMED ON NOVEMBER 23,2022 TRANSFER FROM TORMIS 1 TO DUHIG, P6.STOPPED ON NOVEMBER 30,2022 NOT STARTED.RESUMED ON JANUARY 24,2023 AT THE SAME TIME TRANSFER FROM DUHIG, P6 TO BADBADON 1. RENAMED FROM L11_GHV_071E_RAISE TO L11_GHVSPLIT_071E_RAISE TO CORRECT VEIN NAME ON JANUARY 29,2023.STOPPED ON MARCH 30, 2023. ALREADY REACHED L10 MAINLINE.STOPPED ON MAR 31, ALREADY ON LEVEL 10 ELEVATION.</t>
  </si>
  <si>
    <t>L05_DPVE_050E_STOPE</t>
  </si>
  <si>
    <t>ADDITIONAL SOURCE OF STOPE ORE. APPROVED ON MARCH 20, 2023.STOPPED ON APRIL 03, 2023. CONVERTED TO STOPE BREAKING.</t>
  </si>
  <si>
    <t>L11_NONE_049E_CHAMBER</t>
  </si>
  <si>
    <t>L11_JV_051E_DE</t>
  </si>
  <si>
    <t>REPLACEMENT OF L10_DPVE_011E_DW. APPROVED ON MARCH 6 2023.STOPPED ON MARCH 15 2023 DUE TO CONSECUTIVE LOW GRADE ASSAYS.</t>
  </si>
  <si>
    <t>L11_DPVE_046E_RAISE</t>
  </si>
  <si>
    <t>L06_GHV_005E_ROBBING</t>
  </si>
  <si>
    <t xml:space="preserve">APPROVED ON MARCH 15, 2023.REPLACEMENT OF L09_JVSPLIT_070E_ROBBING SILL.STOPPED ON APRIL 7, 2023 DUE TO LOW CONSECUTIVE ASSAY GRADE.
</t>
  </si>
  <si>
    <t>L09_JVFW_064E_WINZE</t>
  </si>
  <si>
    <t>REPLACEMENT OF L09_JV_004E_DW APPROVED March 17, 2023.STOPPED ON APRIL 11, 2023 DUE TO LOW CONSECUTIVE ASSAY GRADE.</t>
  </si>
  <si>
    <t>L11_JV_050E_DE</t>
  </si>
  <si>
    <t>REPLACEMENT OF L04_GHVHW_050W_ROBBING. APPROVED ON DEC 5, 2022. SILL PILLAR.RENAMED FROM L04_CTV_024W_ROBBING TO L04_CTV_021W_ROBBING.CHANGE NAME OF TEAM LEADER FROM SHEPHERD AQ 1 TO CAYMAN 1, FULL PLEDGED TEAM LEADER APPROVED ON DECEMBER 20,2022.STOPPED ON MARCH 29, 2023. ALREADY REACHED THE RECOMMENDED PILLAR TO BREAK.</t>
  </si>
  <si>
    <t>REPLACEMENT OF L06_GHV_025W_ROBBING. SILL. APPROVED ON MARCH 06, 2023.STOPPED ON APRIL 11, 2023, ALREADY REACHED THE RECOMMENDED PILLARS.</t>
  </si>
  <si>
    <t xml:space="preserve">APPROVED ON MARCH 03, 2023 REPLACEMENT OF L10_JVHW_060E_RAISE, OLIVEROS.STOPPED ON APRIL 12, 2023 CONVERTED TO STOPE PREP.
</t>
  </si>
  <si>
    <t>L10_JVHW_059E_STOPE PREP</t>
  </si>
  <si>
    <t xml:space="preserve">REPLACEMENT OF L10_GHVFW_052E_DE. APPROVED ON FEB. 23, 2023. STOPPED ON APRIL 10, 2023 DUE TO CONSECUTIVE LOW ASSAY GRADE.
</t>
  </si>
  <si>
    <t>REPLACEMENT OF L10_JVHW_065E_RAISE, OLIVEROS 5. APPROVED ON MARCH 03, 2023.STOPPED ON APRIL 12, 2023 ALREADY REACHED THE RECOMMENDED HEIGHT.</t>
  </si>
  <si>
    <t xml:space="preserve">REPLACEMENT OF L09_DPVE_011E_DE APPROVED ON MARCH 21, 2023.STOPPED ON APRIL 12, 2023 DUE TO CONSECUTIVE LOW ASSAY GRADE. MEMO TO BE FOLLOWED.STOPPED ON APRIL 12, 2023 DUE TO CONSECUTIVE LOW ASSAY GRADE.
</t>
  </si>
  <si>
    <t xml:space="preserve">REPLACEMENT OF L10_DPVE_020E_STOPE PREP. APPROVED ON NOV. 30, 2022.STOPPED BREAKING AND CONVERT TO PULL-OUT ON MARCH 30, 2023. TRANSFERRED FROM SHEPHERD AX 2 TO SHEPHERD AX 1 STARTING ON APRIL 13, 2023. RETENTION OF SHEPHERD AX 2 WILL BE FORFEITED.
</t>
  </si>
  <si>
    <t>REPLACEMENT OF L05_GHVFW_001E_ROBBING APPROVED ON MAR 20, 2023. SILL PILLAR. STOPPED ON APRIL 13, 2023 DUE TO CONSECUTIVE LOW ASSAY GRADE.</t>
  </si>
  <si>
    <t xml:space="preserve">REPLACEMENT OF L05_JVSPLIT_012W_ROBBING. APPROVED ON MAR 8, 2023.RENAME HEADING FROM L05_GHVSPLIT_032W_DW TO PREVENT CONFUSION FROM OTHER WORKING PLACE. APPROVED ON MARCH 16, 2023.STOPPED ON APRIL 13, 2023. ALREADY MADE A BREAKTHROUGH.
</t>
  </si>
  <si>
    <t xml:space="preserve">REPLACEMENT L10_GHV_053E_STOPE PREP. APPROVED ON FEB. 6, 2023.REPLACEMENT OF L10_GHV_053E_STOPE PREP, CONVERTED TO ACTIVE BREAKING APPROVED ON FEBRUARY 6, 2023.STOPPED BREAKING ON APRIL 12, 2023 AT THE SAME TIME CONVERT TO PULL-OUT CLEANING. </t>
  </si>
  <si>
    <t xml:space="preserve">REPLACEMENT OF L09_GHV_060E_ROBBING APPROVED ON AUGUST 18, 2022.SILL. STOPPED ON APRIL 12, 2023. ALREADY MINED OUT.
</t>
  </si>
  <si>
    <t>L10_JVHW_067E_RAISE</t>
  </si>
  <si>
    <t>L03_CTV_020W_RAISE</t>
  </si>
  <si>
    <t xml:space="preserve">REPLACEMENT OF L08_DPVE_018E_DE APPROVED ON MARCH 16, 2023.STOPPED ON APRIL 14, 2023. ALREADY INTERCEPTED THE TARGET VEIN.
</t>
  </si>
  <si>
    <t>L08_NONE_015E_XCS</t>
  </si>
  <si>
    <t>L11_DPVE_031E_RAISE</t>
  </si>
  <si>
    <t xml:space="preserve">L09_DPVE_039E_RAISE </t>
  </si>
  <si>
    <t xml:space="preserve">REPLACEMENT OF L10_GHVHW_064E_WINZE APPROVED ON MARCH 31, 2023. TEMPORARY STOPPED ON APRIL 13, 2023 MP TRASNFERRED TO LEVEL 11 BY MGT.
</t>
  </si>
  <si>
    <t xml:space="preserve">ADDITIONAL VERTICAL DEVELOPMENT. APPROVED ON MARCH 13, 2023. FILL WINZE. STOPPED ON APRIL 14, 2023, AT 13 METER ELEVATION BUT DID NOT BREAKTHROUGH YET.
</t>
  </si>
  <si>
    <t>REPLACEMENT OF L08_GHV_026E_ROBBING. APPROVED ON APRIL 1, 2023.TEMPORARRY STOPPED ON APRIL 15, 2023. TO RESUME AFTER TIGWERWAY PASSED LEVEL 8 ELEVATION.</t>
  </si>
  <si>
    <t>L12_GHVFW_057E_DW</t>
  </si>
  <si>
    <t>ADDITIONAL HORIZONTAL DEVELOPMENT. APPROVED ON FEB. 15, 2023.TEMPORARY STOPPED ON MARCH 23, 2023 TO PRIORITIZE RAISE PREP. RESUMED ON MARCH 31, 2023.STOPPED ON APRIL 16, 2023 DUE TO CONSECUTIVE LOW ASSAY GRADE.</t>
  </si>
  <si>
    <t xml:space="preserve">REPLACEMENT OF L11_JVSPLIT_070E_DW. APPROVED ON FEBRUARY 1, 2023.RENAME FROM L11_JVSPLIT_070E_RAISE TO L11_JVSPLIT_061E_RAISE FOR CORRECT POSITION, APPROVED ON FEB 9, 2023.TEMP STOPPED ON FEB 16, 2023 TO PRIORITIZE HORIZONTAL DRIVE.RESUMED ON MAR 4, 2023. AT THE SAME TIME TRANSFERRED FROM BADBADON 2 TO APA 1. MGMT DECISION.TEMP STOPPED ON MAR, 20, 2023. DUE TO MANPOWER ISSUE.TEMP STOPPED ON MAR, 20, 2023. DUE TO MANPOWER ISSUE.RESUMED ON MAR 22, 2023 AT THE SAME TIME TRANSFER FROM APA 1 TO TURRA 1 DUE TO MANPOWER ISSUE.TEMPORARILY STOPPED ON APRIL 17, 2023.
</t>
  </si>
  <si>
    <t>L09_DPVE_040E_ROBBING</t>
  </si>
  <si>
    <t>L08_JV_076E_WINZE STOPE PREP</t>
  </si>
  <si>
    <t>REPLACEMENT OF L09_GHV_003W_WINZE STOPE. APPROVED ON MARCH 1, 2023. TOPSLICE.STOPPED ON APRIL 10, 2023 ALREADY REACHED THE RECOMMENDED STRIKE LENGTH.</t>
  </si>
  <si>
    <t>L05_GHVSPLIT_031W_DE</t>
  </si>
  <si>
    <t xml:space="preserve">REPLACEMENT OF L11_GHVHW_067E_STOPE PREP. APPROVED ON JUNE 30,2022. STOPPED ON JULY 30,2022 CONVERT TO STOPE BREAKING. STOPPED BREAKING AND CONVERT TO PULL-OUT ON FEB. 25, 2023. TRAVERSED ON THE SAME DAY.STOPPED ON APRIL 18, 2023. ALREADY MINED OUT.
</t>
  </si>
  <si>
    <t xml:space="preserve">REPLACEMENT OF L10_GHVFW_052E_DE. APPROVED ON MARCH 9 2023.RENAME HEADING ON MAR 13, 2023 TO AVOID MISCHARGING TO OTHER WORKING PLACE.RENAMED FROM L10_GHVHW_064E_DW TO L10_GHVHW_066E_DW ON MAR 13, 2023 TO AVOID MISCHARGING TO OTHER WORKING PLACE.STOPPED ON APRIL 18, 2023. ALREADY REACHED THE RECOMMENDED STRIKE LENGTH. WAITING FOR THE MEMO.
</t>
  </si>
  <si>
    <t>REPLACEMENT OF L09_GHVHW_030E_DE. APPROVED ON MAR 13, 2023.STOPPED ON APRIL 18, 2023. DUE TO PINCHED OUT VEIN.</t>
  </si>
  <si>
    <t>L04_JV_030W_ROBBING</t>
  </si>
  <si>
    <t>L09_GHVHW_031E_RAISE</t>
  </si>
  <si>
    <t xml:space="preserve">RENAMED WORKING PLACE FROM L10_DPVE_009E_DE TO L10_NONE_011E_XCN. RESUMED ON APRIL 12, 2023.STOPPED ON APRIL 18, 2023.TO PRIORITIZE ON-VEIN DRIVE AT L10_DPVE_014E_DE.
</t>
  </si>
  <si>
    <t>L05_GHVSPLIT_034W_DW</t>
  </si>
  <si>
    <t>REPLACEMENT OF L10_DPVE_097E_DE APPROVED ON MARCH 31, 2023.STOPPED ON APRIL 19, 2023 DUE T 6 METERS PINCHED OUT OF VEIN.</t>
  </si>
  <si>
    <t>L11_GHVFW_048E_STOPE PREP</t>
  </si>
  <si>
    <t>REPLACEMENT OF L05_DPVE_035E_WINZE STOPE PREP. APPROVED ON FEB. 2, 2023.STOPPED BREAKING ON APRIL 20, 2023. AT THE SAME TIME CONVERTED TO STOPE PULL-OUT AND TRAVERSED ON THE SAME DAY.</t>
  </si>
  <si>
    <t>L09_DPVE_043E_WINZE STOPE</t>
  </si>
  <si>
    <t xml:space="preserve">REPLACEMENT OF L09_DPVE_043E_DW_ISL. APPROVED ON MARCH 18, 2023.STOPPED AND CONVERT TO STOPE BREAKING ON APRIL 20, 2023.
</t>
  </si>
  <si>
    <t>SPECIAL PROJECT. FOR BREAKTHROUGH TO SERVE AS VENTILATION TO LVL 11 EXPLOSIVE MAGAZINE MARCH 20, 2023.STOPPED AND ALREADY BREAKTHROUGH ON APR 18, 2023.</t>
  </si>
  <si>
    <t>L10_NONE_094E_XCN</t>
  </si>
  <si>
    <t>L11_GHVFW_045E_STOPE PREP</t>
  </si>
  <si>
    <t>REPLACEMENT OF L09_GHVHW_032E_RAISE APPROVED ON MARCH 20, 2023.STOPPED ON APRIL 21, 2023 DUE TO PINCHED OF VEIN FOR 8 METERS.</t>
  </si>
  <si>
    <t>REPLACEMENT OF L07_GHVFW_066E_ROBBING APPROVED ON FEBRUARY 13, 2023. SILL.TEMPORARILY STOPPED ON FEB 28, 2023 (3RD SHIFT) DUE TO LOW ATTAINMENT.RESUMED ON APRIL 1, 2023, AT THE SAME TIME CHANGE TEAM LEADER FROM FABROA 3 TO QUIJANO 1.STOPPED ON APRIL 20, 2023. ALREADY MINED OUT.</t>
  </si>
  <si>
    <t>REPLACEMENT OF L09_DPVE_029E_DE APPROVED ON MARCH 15, 2023.CHANGE TEAM LEADER FROM DELOS REYES V1 TO PANSIT NORMAN 4 APPROVED ON MARCH 21, 2023, DELOS REYES GROUP WILL RESUME TO OPERATE L09_DPVE_029E_DE.STOPPED ON APRIL 21, 2023 DUE TO PINCHED OUT OF VEIN FOR 8 METERS.</t>
  </si>
  <si>
    <t>L10_GHVSPLIT_072E_RAISE</t>
  </si>
  <si>
    <t>L10_GHV_066E_WINZE</t>
  </si>
  <si>
    <t xml:space="preserve">REPLACEMENT OF L04_CTV_023W_WINZE STOPE APPROVED ON MARCH 01, 2023.STOPPED BREAKING ON APRIL 21, 2023. DUE TO ADJACENT STOPE BREAKTHROUGH. </t>
  </si>
  <si>
    <t>ADDITIONAL HORIZONTAL OFF-VEIN DEVELOPMENT OF VENTILATION FOR BATTERY CHAMBER. APPROVED ON MARCH 20, 2023.STOPPED ON APRIL 21, 2023 ALREADY FINISHED HEADING.</t>
  </si>
  <si>
    <t>L10_GHVHW_062E_DW</t>
  </si>
  <si>
    <t>L04_GHVFW_004E_ROBBING</t>
  </si>
  <si>
    <t>L03_CTV_013W_ROBBING</t>
  </si>
  <si>
    <t>FERNANDEZ, RM 5</t>
  </si>
  <si>
    <t>L09_JV_044E_RAISE</t>
  </si>
  <si>
    <t>L09_GHV_035E_ROBBING</t>
  </si>
  <si>
    <t>L09_DPVE_074E_RAISE</t>
  </si>
  <si>
    <t>REPLACEMENT L10_GHV_053E_STOPE PREP. APPROVED ON FEB. 6, 2023.REPLACEMENT OF L10_GHV_053E_STOPE PREP, CONVERTED TO ACTIVE BREAKING APPROVED ON FEBRUARY 6, 2023.STOPPED BREAKING ON APRIL 12, 2023 AT THE SAME TIME CONVERT TO PULL-OUT CLEANING. MINED-OUT ON APRIL 20, 2023.</t>
  </si>
  <si>
    <t xml:space="preserve">REPLACEMENT OF L08_GHVSPLIT_014W_RAISE.APPROVED ON MARCH 08, 2023.TEMPORARY STOPPED ON APRIL 15, 2023. MANPOWER TRANSFERRED TO L08_GHV_003E_WINZE STOPE.RESUMED ON APRIL 17, 2023. AS WELL AS TRANSFERRED TEAM LEADER FROM AGLOLO 3 TO LERIO 3.STOPPED ON APRIL 21, 2023 ALREADY REACHED THE RECOMMEND SLOPE LENGHT, AT THE SAME TIME CONSECUTIVE LOW ASSAY GRADE.
</t>
  </si>
  <si>
    <t>L11_NONE_066E_XCS</t>
  </si>
  <si>
    <t>L12_JVFW_052E_DE</t>
  </si>
  <si>
    <t>ADDITIONAL HORIZONTAL DEVELOPMENT DRIVE. APPROVED ON OCT 15, 2021.CHANGE VEIN NAME FROM GHV TO GHVHW FOR CORRECTION NOVEMBER 14,2021. STOPPED ON MAR 12, 2022 VEIN PINCHED OUT.</t>
  </si>
  <si>
    <t>REPLACEMENT OF L09_GHVFW_045E_ROBBING APPROVED ON MARCH 20, 2023, SILL.STOPPED ON APRIL 25, 2023 ALREADY REACHED THE RECOMMENDED PILLARS.</t>
  </si>
  <si>
    <t>L09_DPVE_014E_RAISE</t>
  </si>
  <si>
    <t>L11_GHVFW_061E_DE</t>
  </si>
  <si>
    <t>REPLACEMENT OF L10_GHVFW_040E_DE. APPROVED ON MARCH 23, 2023.STOPPED ON APRIL 25, 2023 DUE TO PINCHED OUT OF VEIN.</t>
  </si>
  <si>
    <t>REPLACEMENT OF L10_DPVE_008E_DE. APPROVED ON MAR 4, 2023.STOPPED ON APRIL 25, 2023 DUE TO CONSECUTIVE LOW ASSAY GRADE.</t>
  </si>
  <si>
    <t xml:space="preserve"> ADDITIONAL HORIZONTAL DEVELOPMENT. APPROVED ON SEPTEMBER 20, 2022.TEMP STOPPED ON OCT 16, 2022 TO PRIORITIZE L11_GHVHW_058E_STOPE.RESUMED ON JANUARY 10,2022.TEMPORARY STOPPED ON FEBRUARY 15, 2023, ALREADY MADE A BREAKTHROUGH.TEMP STOPPED ON FEB 15, 2023 ALMOST BREAKTHROUGH TO OLD WINZE.RESUMED ON APR 20, 2023 AT THE SAME TIME TRANSFERRED TO ALEÑAR 2.TEMPORARY STOPPED ON APRIL 21, 2023. TO DEWATER 37E WINZE PRIOR TO WIDENING.</t>
  </si>
  <si>
    <t>L10_DPVE_063E_STOPE</t>
  </si>
  <si>
    <t>REPLACEMENT OF L10_JVHW_065E_RAISE. APPROVED ON MARCH 10, 2023.RENAME HEADING ON MAR 13, 2023 TO AVOID MISCHARGING TO OTHER WORKING PLACE.RENAMED FROM L10_JVHW_065E_STOPE PREP. PROPER VEIN NAMING. APPROVED ON MARCH 16, 2023.STOPPED ON APRIL 25, 2023 AT THE SAME TIME CONVERTED TO BREAKING.</t>
  </si>
  <si>
    <t>L08_DPVE_071E_DE_ISL</t>
  </si>
  <si>
    <t>ADDITIONAL SOURCE OF GOOD ORE. APPROVED ON NOVEMBER 29,2022 SILL.TEMPORARILY STOPPED ON APRIL 1, 2023 DUE TO ABSENTEEISM OF MEN RESULTING TO ABANDONEMENT OF WORKPLACE, UNABLE TO OPERATE WP DUE TO SUSPENSION.RESUMED ON APRIL 10, 2023.STOPPED ON APRIL 25, 2023. ALREADY MINED OUT. MEMO TO BE FOLLOWED.</t>
  </si>
  <si>
    <t>L04_JV_020W_DE</t>
  </si>
  <si>
    <t>REPLACEMENT OF L10_DPVE_073E_RAISE. APPROVED ON MARCH 28, 2023.STOPPED ON APRIL 26, 2023. THE VEIN HAD PINCHED OUT DUE TO PARALLEL FAULTS.</t>
  </si>
  <si>
    <t xml:space="preserve">REPLACEMENT OF L10_DPVE_028E_DW APPROVED ON MARCH 15, 2023.TEMPORARILY STOPPE ON APRIL 13, 2023 TO PRIORITY L10_DPVE_020E_STOPE PULL-OUT.RESUMED ON APRIL 21, 2023 AS WELL TRANSFERRED FROM SHEPHERD AX 1 TO PMC MINERS 1.STOPPED ON APRIL 26, 2023. DUE TO CONSECUTIVE LOW ASSAY GRADE.
</t>
  </si>
  <si>
    <t>REPLACEMENT OF L10_GHVHW_003E_DW. APPROVED ON MARCH 23, 2023.STOPPED ON APRIL 26, 2023. THE VEIN HAD PINCHED OUT DUE TO PARALLEL FAULTS.</t>
  </si>
  <si>
    <t>REPLACEMENT OF L05_DPVE_044E_WINZE STOPE. APPROVED ON MARCH 31 2022.TEMPORARY STOPPED ON APRIL 29, 2022 AS PER ADVISED BY MGT ALL DPVE AT L05.RESUMED ON AUGUST 23, 2022.TEMPORARY STOPPED ON SEPTEMBER 5, 2022 TO PRIORITIZED STOPE PREP.RESUMED ON MAR 21, 2023.STOPPED ON APRIL 27, 2023. DUE TO CONSECUTIVE LOW ASSAY GRADE.</t>
  </si>
  <si>
    <t>REPLACEMENT OF L07_DPVE_044E_ROBBING APPROVED ON MARCH 31, 2023 CONVERTED TO SILL PILLAR ROBBING.STOPPED ON APRIL 28, 2023 ALREADY REACHED THE RECOMMENDED PILLARS.</t>
  </si>
  <si>
    <t xml:space="preserve">REPLACEMENT OF L03_CTV_024W_DW APPROVED ON NOVEMBER 21, 2022. SILL.TEMPORARY STOPPED ON NOVEMBER 24, 2022 TO RESUME CLEANING ON THE MAINLINE TO REGAIN ACCESS TO THE OLD STOPE FOR ROBBING.RESUMED ON FEB. 20, 2023.TEMPORARY STOPPED ON MARCH 26, 2023 DUE TO COLLAPSED MAINLINE THAT NEEDS TO BE TIMBERED.STOPPED ON APRIL 25, 2023. DUE TO ITS UNSAFE CONDITION.STOPPED ON APRIL 25, 2023. DUE TO ITS UNSAFE CONDITION.
</t>
  </si>
  <si>
    <t xml:space="preserve">ADDITIONAL HORIZONTAL DEVELOPMENT. APPROVED ON APRIL 17, 2023.RENAMED FROM L05_GHVSPLIT_055E_DW TO L05_GHVSPLIT_034W_DW FOR PROPER NAMING ON APRIL 19, 2023.STOPPED ON APRIL 27, 2023 HOLE OUT TO OLD ROBBING AREA.
</t>
  </si>
  <si>
    <t xml:space="preserve">REPLACEMENT OF L09_DPVE_077E_WINZE STOPE PREP.  CONVERTED TO STOPE BREAKING. APPROVED ON MARCH 11, 2023.STOPPED BREAKING ON APRIL 27, 2023, AT THE SAME TIME CONVERTED TO STOPE CLEANING.
</t>
  </si>
  <si>
    <t>REPLACEMENT OF L10_GHVHW_066E_DW APPROVED ON APRIL 18, 2023.STOPPED ON APR 27, 2023, ALREADY REACHED ITS RECOMMENDED STRIKE LENGTH.</t>
  </si>
  <si>
    <t>L10_GHVHW_062E_RAISE</t>
  </si>
  <si>
    <t>L10_DPVE_098E_DE</t>
  </si>
  <si>
    <t>098E</t>
  </si>
  <si>
    <t>REPLACEMENT OF L05_GHVSPLIT_031W_DW. APPROVED ON APRIL 13, 2023.STOPPED ON APRIL 25, 2023 BREAKTHROUGH TO OLD MAINLINE.</t>
  </si>
  <si>
    <t>L05_GHVSPLIT_031W_RAISE</t>
  </si>
  <si>
    <t>L05_DPVE_044E_ROBBING</t>
  </si>
  <si>
    <t>CONVERTED TO PULLOUT CLEANING. APPROVED ON MARCH 20, 2023.STOPPED ON APRIL 29, 2023 DUE TO LOW BULK GRADE.</t>
  </si>
  <si>
    <t>L10_GHVSPLIT_056E_DE</t>
  </si>
  <si>
    <t>L05_DPVE_046E_WINZE</t>
  </si>
  <si>
    <t>REPLACEMENT OF L05_DPVE_051E_DW_ISL. APPROVED ON MARCH 27, 2023. SILL.STOPPED ON MAY 02, 2023. ALREADY REACHED THE RECOMMENDED PILLAR TO BREAK.</t>
  </si>
  <si>
    <t>REPLACEMENT OF L08_GHVFW_034E_ROBBING. APPROVED ON MAR 13, 2023. SILL PILLAR.STOPPED ON APRIL 22, 2023 ALREADY REACHED THE RECOMMENDED PILLARS TO BREAK.</t>
  </si>
  <si>
    <t>L08_JVSPLIT_028E_ROBBING</t>
  </si>
  <si>
    <t xml:space="preserve">ADDITIONAL HORIZONTAL DEV HEADINGS, APPROVED ON MAR 20, 2023.TEMP STOPPED ON MARCH 26, 2023 TO PRIORITIZE STOPE PULLOUT.RESUMED ON APRIL 25, 2023 3RD SHIFT.RENAME FROM L11_GHVFW_058E_DE TO L11_GHVFW_061E_DE ON APRIL 25, 2023.TEMPORARY STOPPED ON APRIL 28, 2023 TO PRIORITIZE VERTICAL DEVELOPMENT RAISE. </t>
  </si>
  <si>
    <t xml:space="preserve">REPLACEMENT OF L08_DPVE_065E_WINZE STOPE PREP APPROVED ON MARCH 20, 2023 CONVERTED TO STOPE BREAKING.ALREADY MINED OUT ON MAY 2, 2023 WITH 106% PULLOUT
</t>
  </si>
  <si>
    <t>PARAGUYA 3.</t>
  </si>
  <si>
    <t>REPLACEMENT OF L05_DPVE_050E_STOPE PREP. APPROVED ON APRIL 03, 2023.STOPPED ON MAY 02, 2023. DUE TO CONSECUTIVE LOW ASSAY GRADE,</t>
  </si>
  <si>
    <t>L05_DPVE_052E_RAISE</t>
  </si>
  <si>
    <t>REPLACEMENT OF L09_GHVHW_022E_ROBBING. APPROVED ON APRIL 11, 2023. FILL WINZE.STOPPED ON APRIL 28, 2023 ALREADY BREAKTHROUGH.</t>
  </si>
  <si>
    <t>REPLACEMENT OF L10_DPVE_044E_DE. APPROVED ON MARCH 17 2023.STOPPED ON MAY 2, 2023, DUE TO PINCHED OUT VEIN.</t>
  </si>
  <si>
    <t>L11_JVFW_049E_DW</t>
  </si>
  <si>
    <t xml:space="preserve">REPLACEMENT OF L09_DPVE_021E_DW. APPROVED ON APRIL 10, 2023.TRANSFERRED FROM DELOS REYES V3 TO QUIJANO 2 ON APRIL 17, 2023.STOPPED ON APRIL 28, 2023 DUE TO PINCHED OUT VEIN.
</t>
  </si>
  <si>
    <t>L10_GHVHW_004W_DE</t>
  </si>
  <si>
    <t>L11_JV_059E_DE</t>
  </si>
  <si>
    <t>L10_JVHW_059E_STOPE</t>
  </si>
  <si>
    <t xml:space="preserve">REPLACEMENT OF L10_JVHW_059E_RAISE APPROVED ON APRIL 12, 2023.ALREADY DONE STOPE PREP ON MAY 2, 2023. CONVERT TO STOPE BREAKING.
</t>
  </si>
  <si>
    <t>L04_NONE_023W_XCN_ISL</t>
  </si>
  <si>
    <t xml:space="preserve">PULL-OUT ON APRIL 24, 2023 AND TRAVERSED ON THE SAME DAY.ALREADY DONE STOPE PULL OUT CLEANING ON MAY 3, 2023.
</t>
  </si>
  <si>
    <t>L03_CTV_016W_WINZE</t>
  </si>
  <si>
    <t>REPLACEMENT OF L03_CTV_016W_ROBBING. APPROVED ON APRIL 19, 2023. FILL WINZE.STOPPED ON APRIL 21, 2023.</t>
  </si>
  <si>
    <t>REPLACEMENT OF L08_GHVFW_053E_WINZE STOPE PREP APPROVED ON MARCH 02, 2023.STOPPED BREAKING ON APRIL 20, 2023 AT THE SAME TIME CONVERTED TO PULL OUT CLEANING. ALREADY TRAVERSED ON THE SAME DAY.</t>
  </si>
  <si>
    <t>REPLACEMENT OF L09_GHVHW_033E_DE. APPROVED ON APRIL 18, 2023.STOPPED ON MAY 4, 2023 DUE TO LOW QA/QC RESULTS BOTH ON CUT AND BULK SAMPLES.</t>
  </si>
  <si>
    <t>L05_GHVSPLIT_045W_ROBBING</t>
  </si>
  <si>
    <t>045W</t>
  </si>
  <si>
    <t>L12_GHV_061E_STOPE PREP</t>
  </si>
  <si>
    <t>REPLACEMENT OF L09_DPVE_018E_STOPE PREP. APPROVED ON DEC. 19, 2022.TRANSFER FROM BALANGHIG 2 TO SHEPHERD AY 1 ON JANUARY 21 (1ST SHIFT) FORMER TEAM LEADER WILL BE TRANSFER TO PRIORITY WORK HEADINGS.RECOMMENDED FOR IPR AT +10M EAST AND +20M E ONLY OF ITS 16TH FLOOR ON MARCH 17,2023.STOPPED BREAKING ON MAY 05, 2023. CONVERTED TO PULL-OUT CLEANING AND AT THE SAME TIME TRAVERSED ON THE SAME DAY.</t>
  </si>
  <si>
    <t xml:space="preserve">STOPED BREAKING AND CONVERT TO PULL-OUT ON MARCH 30, 2023.TEMPORARY STOPPED ON APRIL 11, 2023 DUE TO ABSENTEEISM OF MEN RESULTING TO ABANDONMENT OF WORKPLACE AS WELL AS THEY ARE LOW PERFORMING GROUP THUS RETENTION WILL BE FORFEITED.RESUMED ON APRIL 13, 2023 AS WELL AS TRANSFERRED FROM SHEPHERD AX 2 TO SHEPHERD AX 1. RETENTION OF SHEPHERD AX 2 WILL BE FORFEITED.STOPPED ON MAY 03, 2023. ALREADY FINISHED HEADING.
</t>
  </si>
  <si>
    <t>REPLACEMENT OF L10_NONE_091E_XCN. DRILLING CHAMBER. SPECIAL PROJECT MARCH 11, 2023. (MEMO TO FOLLOW).STOPPED ON MAY 05, 2023. ALREADY FINISHED HEADING AND TURN-OVER TO RRRD.</t>
  </si>
  <si>
    <t xml:space="preserve">ADDITIONAL EXPLORATORY RAISE. APPROVED ON DECEMBER 19,2022.TRANSFER FROM TORMIS 1 TO COMAINGKING 1 ON JANUARY 24,2023.TEMP STOPPED ON FEB 14, 2023. DUE TO ON GOING EXPLORATION DRILLING WITHIN THE AREA.TEMPORARY STOPPED ON FEBRUARY 15, 2023 DUE TO ONGOING DRILLING AT L11_NONE_047E_DRILLING STATION.RESUMED ON FEB. 27, 2023 AS WELL TRANSFERRED OF GROUP FROM COMAINGKING 1 TO COMAINGKING 3.TEMP STOPPED ON MAR 4 , 2023 TO PRIORITIZE L11_DPVE_044E_STOPE PREP.TEMP STOPPED ON MAR 13, 2023 TO PRIORITIZE L11_DPVE_044E_STOPE PREP.RESUMED ON MAR 24, 2023.TEMP STOPPED ON MARCH 26, 2023 TO PRIORITIZE STOPE PULLOUT.RESUMED ON APRIL 13, 2023 AS WELL AS TRANSFERRED FROM COMAINGKING 3 TO DUHIG R1.TEMPORARILY STOPPED ON APRIL 17, 2023.
</t>
  </si>
  <si>
    <t>L10_JVFW_064E_STOPE PREP</t>
  </si>
  <si>
    <t>REPLACEMENT OF L10_DPVE_019E_STOPE PREP. APPROVED ON FEB. 18, 2023.STOPPED BREAKING ON MAY 03, 2023. CONVERTED TO PULL-OUT CLEANING AND AT THE SAME TIME TRAVERSED ON THE SAME DAY.</t>
  </si>
  <si>
    <t>L04_CV_006E_WINZE_STOPE PREP</t>
  </si>
  <si>
    <t>L04_CV_006E_WINZE STOPE PREP</t>
  </si>
  <si>
    <t xml:space="preserve">REPLACEMENT OF L05_JV_004W_ROBBING APPROVED ON MARCH 30, 2023.STOPPED ON MAY 04, 2023. DUE TO CONSECUTIVE LOW ASSAY GRADE. MEMO TO BE FOLLOWED.
</t>
  </si>
  <si>
    <t>REPLACEMENT OF L07_DPVE_020E_STOPE PREP. APPROVED ON APRIL 11,2022.STOPPED ON MAY 31,2022 ALREADY FINISHED HEADING. RESUMED ON AUGUST 24, 2022. AT THE SAME TIME CHANGE TEAM LEADER FROM TURRA1 TO FABROA 1. TOPSICE W/O AIRHOIST.TEMPORARY STOPPED ON SEPTEMBER 9, 2022 DUE TO UNSAFE CONDITION.RESUMED ON FEBRUARY 27, 2023 AT THE SAME TIME CHANGE TEAM LEADER FROM FABROA 1 TO SHEPHERD AT 1.STOPPED ON MAY 05, 2023. ALREADY REACHED THE RECOMMENDED PILLAR TO BREAK.</t>
  </si>
  <si>
    <t>L05_DPVE_021E_RAISE</t>
  </si>
  <si>
    <t>REPLACEMENT OF  L09_NONE_055E_REHAB.APPROVED ON MARCH 10, 2023.STOPPED ON MAY 5, 2023 CONVERT TO WINZE STOPE PREP.</t>
  </si>
  <si>
    <t>L09_JV_055E_WINZE STOPE PREP</t>
  </si>
  <si>
    <t>L09_JV_059E_RAISE</t>
  </si>
  <si>
    <t>L11_JVSPLIT_069E_RAISE</t>
  </si>
  <si>
    <t xml:space="preserve">L11_DPVE_047E_DE </t>
  </si>
  <si>
    <t>L11_DPVE_047E_DE</t>
  </si>
  <si>
    <t>L08_NONE_032W_XCS</t>
  </si>
  <si>
    <t xml:space="preserve">ADDITIONAL DEVELOPMENT TO ACCOMODATE PERSONNEL AND COMPENSATE ORE FROM L10_GHVFW_048E_STOPE (CONTROLLED PULL-OUT). APPROVED ON MARCH 11, 2023.RENAMED FROM L10_GHVHW_072E_DW. PROPER VEIN NAMING. APPROVED ON MARCH 16 2023.STOPPED ON APRIL 19, 2023 ALREADY BREAKTHROUGH.RESUMED ON MAY 2, 2023 AT THE SAME TIME CHANGE TEAM LEADER FROM SHEPHERD BB TO PARAGUYA 3.STOPPED ON MAY 06, 2023. ALREADY MADE A BREAKTHROUGH.
L11_GHVFW_061E_DE BAÑEZ 6
TEMPORARY STOPPED ON APRIL 29, 2023 TO PRIORITIZE VERTICAL DEVELOPMENT RAISE. 
Jezrel Pornel, Sunday at 10:04 AM
</t>
  </si>
  <si>
    <t>TARGETING DRILLING INTERCEPT. APPROVED ON FEB. 28, 2023. TEMPORARY STOPPED ON MARCH 10, 2023 DUE TO NO WASTE PASS.RESUMED ON APRIL 17, 2023.STOPPED ON MAY 06, 2023. ALREADY REACHED THE TARGETTED DRILL INTERCEPT.</t>
  </si>
  <si>
    <t>REPLACEMENT OF L10 DPVE 092E STOPE PREP. APPROVED ON MAR 13, 2023.TEMPORARILY STOPPED ON APRIL 11, 2023. MANPOWER TRANSFERRED TO LEVEL 11.TEMPORARILY STOPPED ON APRIL 12, 2023 SINCE THE GROUP WILL BE TRANSFERRED TO LEVEL 11 INSTRUCTED BY MGT.RESUMED BREAKING ON MAY 2, 2023.STOPPED ON BREAKING MAY 08, 2023. CONVERTED TO PULL-OUT CLEANING AND TRAVERSED ON MAY 06, 2023.</t>
  </si>
  <si>
    <t xml:space="preserve">BYPASS FOR VENTILATION. APPROVED ON APRIL 25, 2023.STOPPED ON MAY 05, 2023.  ALREADY MADE A BREAKTHROUGH, FINISHED HEADING.
</t>
  </si>
  <si>
    <t xml:space="preserve">REPLACEMENT OF L08_DPVE_066E_ROBBING APPROVED ON MARCH 17, 2023.STOPPED ON APRIL 1, 2023. REMARKS TO BE FOLLOWED.RESUMED ON APRIL 17, 2023.STOPPED ON MAY 07, 2023. FINISHED HEADING.
</t>
  </si>
  <si>
    <t>REPLACEMENT OF L09_GHVHW_038E_RAISE. APPROVED ON APRIL 22, 2023.STOPPED ON MAY 05, 2023. DUE TO BREAKTHROUGH TO AN OLD STOPE.</t>
  </si>
  <si>
    <t>REPLACEMENT OF L11_JV_048E_DE. APPROVED ON JUNE 29,2022.STOPPED ON OCTOBER 7, 2022 DUE TO PINCHED OUT OF VEIN.RESUMED ON OCT 28 2022.TEMPORARY STOPPED ON JANUARY 31, 2023 AS 9 METER REMAINING PILLARS TO THE ADJACENT L11 050E CHAMBER. RESUMED ON ON FEB 15, 2023 AT THE SAME TIME TRANSFERREF ROM DUHIG P1 TO TORMIS1. TRANSFER WORKPLACE FROM TORMIS 1 TO COMAINGKING 3, MGMT DECISION, APPROVED ON FEB 16, 2023.RENAME FROM L11_DPVE_037E_DE TO L11_DPVE_052E_DE BASED ON MAP REVIEW ON FEB. 23, 2023.TEMPORARY STOPPED ON FEB. 27, 2023 TO PRIORITIZED RAISE.TEMPORARILY STOPPED ON FEBRUARY 27, 2023 TO PRIORITIZE VERTICAL DEVELOPMENT.COMAINGKING 3.
RESUMED ON MAR 12, 2023.TEMPORARY STOPPED ON APRIL 10, 2023 TO PRIORITIZE RAISE.RESUMED ON APRIL 17, 2023.TEMPORARILY STOPPED ON MAY 06, 2023. DUE TO TRANSFER OF MANPOWER TO PRIORITIZE STOPE PREP.</t>
  </si>
  <si>
    <t>L11_JV_054E_RAISE</t>
  </si>
  <si>
    <t xml:space="preserve">REPLACEMENT OF L11_GHVFW_054E_STOPE. APPROVED ON MAY 3, 2023.STOPPED ON MAY 08, 2023. ALREADY MADE A BREAKTHROUGH.
</t>
  </si>
  <si>
    <t xml:space="preserve">REPLACEMENT OF L09_DPVE_037E_ROBBING. APPROVED ON APRIL 11, 2023.SILL.STOPPED ON MAY 8, 2023 DUE TO CONSECUTIVE LOW ASSAY GRADES ON CUT SAMPLES/BULK SAMPLES.
</t>
  </si>
  <si>
    <t>ALREADY DONE BREAKING, DONE TRAVERSE. CONVERT TO PULL OUT ON MAR 13, 2023.STOPPED ON MAY 05, 2023. ALREADY MINED OUT.</t>
  </si>
  <si>
    <t xml:space="preserve">SUMP WINZE AT LEVEL 12 035E SHAFT. APPROVED ON SEPTEMBER 15,2021.RENAMED FROM L12_NONE_049E_WINZE TO L12_NONE_048E_WINZE ON NOVEMBER 27,2021. STOPPED ON APRIL 7,2022 ALREADY FINISHED.RESUMED ON FEB 14, 2023 IN PREPARATION FOR THE CONTINUATION OF SHAFT SINKING TO LOWER LEVEL.TRANSFERREF FROM DUHIG TO CAPPUYO 1.STOP, ALREADY DONE SINKING ON MAY 9, 2023.
</t>
  </si>
  <si>
    <t>L11_GHVHW_071E_STOPE PREP</t>
  </si>
  <si>
    <t>L11_JVFW_041E_RAISE</t>
  </si>
  <si>
    <t xml:space="preserve">REPLACEMENT OF L10_GHV_053E_STOPE. APPROVED ON APRIL 21, 2023.STOPPED ON MAY 09, 2023. ALREADY MADE A BREAKTHROUGH.
</t>
  </si>
  <si>
    <t xml:space="preserve">REPLACEMENT OF L10_JVHW_058E_RAISE. APPROVED ON APRIL 14, 2023.STOPPED ON MAY 09, 2023. DIDN'T PASS THE WIREFRAME AND STOPE DESIGN HAVING 2.78GPT.
</t>
  </si>
  <si>
    <t xml:space="preserve">ADDITIONAL VERTICAL DEVELOPMENT. APPROVED ON MARCH 28, 2022. FILL WINZE.TEMPORARILY STOPPED ON APRIL 12, 2023 DUE TO MP TRANSFERRED TO L11_GHV_064E_STOPE AS PER MGT DECISION TO PRIORITIZE STOPE.RESUMED ON APRIL 25, 2023 AS WELL AS CHANGED TEAM LEADER FROM MAPAYO 5 TO BALANGHIG 1.STOPPED ON MAY 09, 2023. ALREADY BREAKTHROUGH TO WINZE STOPE.
</t>
  </si>
  <si>
    <t xml:space="preserve">REPLACEMENT OF L05_JV_005W_WINZE_STOPE PREP. APPROVED ON MARCH 13 2023. WINZE STOPE BREAKING.STOPPED BREAKING ON APRIL 28, 2023, AT THE SAME TIME CONVERTED TO PULLOUT CLEANING, NO TRAVERSE DUE TO ITS UNSAFE CONDITION.STOPPED ON MAY 08, 2023. MINED OUT.
</t>
  </si>
  <si>
    <t>L09_DPVE_071E_ROBBING</t>
  </si>
  <si>
    <t>L11_JVFW_061E_DW</t>
  </si>
  <si>
    <t>L11_DPVE_049E_STOPE PREP</t>
  </si>
  <si>
    <t>BATTERY STATION FOR LEVEL 12. APPROVED ON MAR 30, 2023.STOPPED AND FINISHED ON MAY 9, 2023.</t>
  </si>
  <si>
    <t>L10_JVHW_058E_DW</t>
  </si>
  <si>
    <t>SHEPHERD AX</t>
  </si>
  <si>
    <t>REPLACEMENT OF L09_DPVE_010E_RAISE. APPROVED ON APRIL 15, 2023.CHANGE VEIN FROM DPVE TO JV STARING ON APRIL 22, 2023.STOPPED ON MAY 11, 2023. TO CONVERT TO STOPE PREP.</t>
  </si>
  <si>
    <t>REPLACEMENT OF L09_DPVE_029E_DE. APPROVED ON APRIL 15, 2023.MP TRANSFERRED FROM DELOS REYES V1 TO PANSIT NORMAN 4 STARTING ON APRIL 21, 2023.STOPPED ON MAY 11, 2023 DUE TO VEIN PINCHED OUT.</t>
  </si>
  <si>
    <t>L09_DPVE_063E_RAISE</t>
  </si>
  <si>
    <t xml:space="preserve">CONVERTED TO PULL OUT CLEANING ON MAY 08, 2023.STOPPED ON MAY 12, 2023. MINED-OUT
</t>
  </si>
  <si>
    <t>L10_DPVE_088E_DW</t>
  </si>
  <si>
    <t>L07_DPVE_009E_ROBBING</t>
  </si>
  <si>
    <t>STOPPED BREAKING AND CONVERT TO PULL-OUT ON MARCH 17, 2023. AT THE SAME TIME TRAVERSED ON THE SAME DAY.STOPPED ON MAY 12, 2023. ALREADY MINED-OUT WITH 97% PULL OUT MC.</t>
  </si>
  <si>
    <t xml:space="preserve">REPLACEMENT OF L09_NONE_025E_XCN APPROVED ON MARCH 24, 2023.TEMPORARILY STOPPED ON APRIL 25, 2023 CONVERTED TO RAISE PREP.RESUMED ON MAY 2, 2023.STOPPED ON MAY 12, 2023. MADE A BREAKTHROUGH TO 21E MAINLINE
</t>
  </si>
  <si>
    <t>L05_JVSPLIT_030W_DE</t>
  </si>
  <si>
    <t xml:space="preserve">REPLACEMENT OF L03_JVSPLIT_023W_ROBBING. APPROVED ON FEBRUARY 03, 2023.TEMPORARY STOPPED ON APRIL 14, 2023. TO PRIORITIZE OTHER VERTICAL DEVELOPMENT.RESUMED ON APRIL 26, 2023.STOPPED ON MAY 10, 2023. ALREADY MADE A BREAKTHROUGH. MEMO TO BE FOLLOWED.STOPPED MEMO RECEIVED ON MAY 12, 2023.
</t>
  </si>
  <si>
    <t xml:space="preserve">REPLACEMENT OF L09_GHVHW_011W_DW. APPROVED ON FEBRUARY 23, 2023.TEMPORARY STOPPED ON MARCH 03, 2023  TO PRIORITIZE DEVELOPMENT DRIVE L09_DPVE_034E_DE. 
MEMO RECEIVED ON THE SAME DAY.RESUMED ON MARCH 06, 2023 AT THE SAME TIME CHANGE TEAM LEADER FROM DELOS REYES V2 TO FABROA.STOPPED ON MAY 12, 2023. ALREADY INTERCEPTED THE TARGET VEIN.
</t>
  </si>
  <si>
    <t>L12_NONE_051E_XCN</t>
  </si>
  <si>
    <t>L09_DPVE_019E_DE</t>
  </si>
  <si>
    <t xml:space="preserve">L10_GHVHW_002W_RAISE </t>
  </si>
  <si>
    <t>REPLACEMENT OF L07_DPVE_043E_ROBBING APPROVED ON APRIL 28, 2023.STOPPED ON MAY 15, 2023. DUE TO CONSECUTIVE LOW ASSAY GRADE.</t>
  </si>
  <si>
    <t>L09_GHVHW_016W_DW</t>
  </si>
  <si>
    <t xml:space="preserve"> REPLACEMENT OF L10_DPVE_083E_RAISE. APPROVED ON MARCH 24, 2023. SILL.STOPPED ON MAY 15, 2203. ALREADY MINED OUT. MEMO TO BE FOLLOWED BY LM.</t>
  </si>
  <si>
    <t xml:space="preserve">REPLACEMENT OF L10_GHVFW_052E_DE. APPROVED ON OCTOBER 17,2022.ONGOING CLEANING. TEMPORARY STOPPED ON OCTOBER 20, 2022.RESUMED ON OCTOBER 25 AT THE SAME TIME CHANGE TEAM LEADER FROM MONTEBON 2 TO BELICAN 2.TEMPORARY STOPPED ON JANUARY 10, 2023, TO TARGET LOST VEIN PROJECTION.RESUMED ON APRIL 20, 2023 AS WELL AS RENAME FROM L10_NONE_092E_XCN TO L10_NONE_094E_XCN.STOPPED ON MAY 15, 2023. ALREADY HIT THE VEIN TARGET. MEMO TO BE FOLLOWED BY LM. </t>
  </si>
  <si>
    <t>ADDITONAL SOURCE OF GOOD ORE. APPROVED ON MARCH 22, 2023. SILL STOPPED ON MAY 15, 2023. DUE TO CONSECUTIVE LOW ASSAY GRADE.</t>
  </si>
  <si>
    <t>REPLACEMENT OF THE L04_NONE_026W_XCN. APPROVED ON APRIL 18, 2023. SILL STOPPED ON MAY 15, 2023. DUE TO CONSECUTIVE LOW ASSAY GRADE.</t>
  </si>
  <si>
    <t xml:space="preserve">REPLACEMENT OF L04_CTV_023W_ROBBING. APPROVED ON DEC 1 2022. SILL.TRANSFERRED FROM NOCOS 1 TO CAYMAN 4 SINCE TL NOCOS WAS ALREADY RESIGNED. APPROVED ON FEB. 20, 2023. BANDOY GROUP UNDER CAYMAN 4 WILL BE UNDER TO MARTINEZ, DN 3 STARTING ON FEB. 17, 2023 TO CORRECT MR. BANDOY'S MISTAKE OF NOT MENTIONING HIS AGREEMENT WITH MR. MARTINEZ DN.STOPPED ON MAY 15, 2023. DUE TO CONSECUTIVE LOW ASSAY GRADE.
</t>
  </si>
  <si>
    <t>L09_JVSPLIT_044E_STOPE PREP</t>
  </si>
  <si>
    <t>CONVERTED TO PULLOUT CLEANING. APPROVED ON APRIL 20, 2023.STOPPED ON MAY 16, 2023, ALREADY MINED OUT with 99% pull out.</t>
  </si>
  <si>
    <t>REPLACEMENT OF L09_NONE_012W_XCN. APPROVED ON MAY 13, 2023.TEMPORARY STOPPED ON MAY 15, 2023 TO PRIORITIZED DRILLING.</t>
  </si>
  <si>
    <t xml:space="preserve">REPLACEMENT OF L10 GHVHW 062E DW, APPROVED ON APR 28, 2023.CHANGED TEAM LEADER FROM MONTEBON 2 TO PARAGUYA 4. APPROVED ON MAY 15, 2023.TEMPORARY STOPPED ON MAY 15, 2023. TO PRIORITZE L10_GHV_066E_ROBBING.
</t>
  </si>
  <si>
    <t>CONVERTED TO PULLOUT CLEANING APPROVED ON APRIL 27, 2023.MINED-OUT ON MAY 17, 2023 WITH 101% PULL-OUT MC.</t>
  </si>
  <si>
    <t xml:space="preserve">REPLACMENT OF L11_JVFW_042E_DW. APPROVED ON MARCH 31, 2023.STOPPED ON MAY 17, 2023 DUE TO CONSECUTIVE LOW ASSAY GRADE.
</t>
  </si>
  <si>
    <t>L07_DPVE_041E_ROBBING</t>
  </si>
  <si>
    <t>REPLACEMENT OF L05_JV_005W_WINZE_STOPE PREP. APPROVED ON MAY 09, 2023.ALREADY DONE PILLAR ROBBING ON MAY 17, 2023.</t>
  </si>
  <si>
    <t>L05_JV_001W_DW</t>
  </si>
  <si>
    <t>L04_CTV_010W_WINZE</t>
  </si>
  <si>
    <t>REPLACEMENT OF L11_GHV_064E_STOPE PREP. CONVERTED TO STOPE BREAKING, APPROVED ON OCTOBER 8, 2022. TRANSFER FROM BAÑEZ 5 TO MAPAYO 1 DUE TO INSUFFIECIENT MANPOWER OF FORMER TEAM LEADER RETENTION OF FORMER TEAM LEADER WILL BE FORFEITED ON JANUARY 25,2023.STOPPED BREAKING AND CONVERT TO PULL-OUT ON MAY 16, 2023 AS WELL AS TRAVERSE ON THE SAME DAY.STOPPED BREAKING AND CONVERT TO PULL-OUT ON MAY 16, 2023 AS WELL AS TRAVERSE ON THE SAME DAY.</t>
  </si>
  <si>
    <t>L11_DPVE_030E_DW</t>
  </si>
  <si>
    <t>REPLACEMENT OF L10_DPVE_039E_STOPE PREP. APPROVED ON SEPTEMBER 7, 2022.adjust quota short stope to  10 mcd (14 meters strike length) off-set due to off vein. STOPPED BREAKING AND CONVERT TO PULL-OUT ON JANUARY 26, 2023 AS WELL AS TRAVERSED IN THE SAME DAY.STOPPED ON FEBRUARY 27, 2023. MINED OUT.</t>
  </si>
  <si>
    <t>REPLACEMENT OF L10_JVFW_066E_RAISE. APPROVED ON AUGUST 2,2021.STOPPED ON AUGUST 26,2021 CONVERT TO STOPE PREPARATION.</t>
  </si>
  <si>
    <t xml:space="preserve">REPLACEMENT OF L09_DPVE_080E_WINZE STOPE PREP. APPROVED ON JANUARY 27, 2023.STOPPED BREAKING AND CONVERT TO PULL-OUT ON MAY 16, 2023 AS WELL AS TRAVERSED ON THE SAME DAY.
</t>
  </si>
  <si>
    <t>REPLACEMENT OF L08_DPVE_081E_DE_ISL APPROVED ON MARCH 16, 2023, ON GOING CLEANING, TOPSLICE.STOPPED ON MAY 18, 2023. CONSECUTIVE LOW ASSAY GRADE.</t>
  </si>
  <si>
    <t>REPLACEMENT OF L08_DPVE_070E_ROBBING APPROVED ON APRIL 26, 2023.STOPPED ON MAY 18, 2023. DUE TO PINCHED OUT VEIN.</t>
  </si>
  <si>
    <t>REPLACEMENT OF L07_JV_042E_ROBBING. APPROVED ON NOV. 30, 2022. SILL.STOPPED ON FEBRUARY 13, 2023 ALREADY REACHED THE RECOMMENDED PILLAR TO BREAK.RESUMED ON MARCH 1, 2023 AT THE SAME TIME TRANSFERRED FROM TURRA TO SHEPHERD AA 1.STOPPED ON MAY 18, 2023. ALREADY REACHED THE RECOMMENDED STRIKE LENGTH.</t>
  </si>
  <si>
    <t>REPLACEMENT OF L06_NONE_072E_RAISE. APPROVED ON APRIL 24, 2023.STOPPED ON MAY 18, 2023. CONSECUTIVE LOW ASSAY GRADE.</t>
  </si>
  <si>
    <t xml:space="preserve">REPLACEMENT OF L06_JVSPLIT_021W_ROBBING APPROVED ON APRIL 12, 2023, SILL.STOPPED ON MAY 18, 2023. CONSECUTIVE LOW ASSAY GRADE.
</t>
  </si>
  <si>
    <t>L08_DPVE_068E_DE_ISL</t>
  </si>
  <si>
    <t>L08_GHVSPLIT_034W_RAISE</t>
  </si>
  <si>
    <t xml:space="preserve">REPLACEMENT OF L08_JVSPLIT_027E_ROBBING APPROVED ON APRIL 22, 2023.STOPPED ON MAY 06, 2023 DUE TO CONSECUTIVE LOW ASSAY GRADE. RESUMED ON MAY 9, 2023.STOPPED ON MAY 17, 2023. FINISHED HEADING. ALREADY DONE </t>
  </si>
  <si>
    <t>REPLACEMENT OF L09_DPVE_021E_DW. APPROVED ON APRIL 25, 2023.CHANGE TEAM LEADER FROM DELOS REYES V3 TO QUIJANO 2 APPROVED ON APRIL 28, 2023.TEMPORARY STOPPED ON APRIL 28, 2023 TO PRIORITIZED OTHER HORIZONTAL DEVELOPMENT.RESUMED ON MAY 2, 2023. STOPPED ON MAY 16, 2023 DUE TO LOW QA/QC RESULTS ON CUT AND BULK SAMPLES.</t>
  </si>
  <si>
    <t xml:space="preserve">REPLACEMENT OF L03_CTV_017W_DE. APPROVED ON APRIL 14, 2023.STOPPED ON MAY 17, 2023. MADE A BREAKTHROUGH.
</t>
  </si>
  <si>
    <t xml:space="preserve">ADDITONAL HORIZONTAL DEVELOPMENT DRIVE. APPROVED ON APRIL 26, 2023.CHANGED VEIN POSITION FROM L04_JV_027W_DE TO L04_JV_020W_DE FOR  PROPER NAMING.STOPPED ON MAY 18, 2023. DUE TO CONSECUTIVE LOW ASSAY GRADE. 
</t>
  </si>
  <si>
    <t xml:space="preserve"> REPLACEMENT OF L11_GHVSPLIT_071E_RAISE. APPROVED ON MARCH 31, 2023.STOPPED ON MAY 16, 2023. ALREADY FINISHED HEADING.
</t>
  </si>
  <si>
    <t xml:space="preserve">REPLACEMENT OF L11_JVFW_042E_DW. APPROVED ON MAY 09, 2023.TEMPORARILY STOPPED ON MAY 18, 2023. MANPOWER TO BE FOCUSED ON L11_JVFW_042E_DW.
</t>
  </si>
  <si>
    <t>L10_JVFW_064E_STOPE</t>
  </si>
  <si>
    <t>REPLACEMENT OF L10_JVSPLIT_060E_RAISE. APPROVED ON MAY 05, 2023.ALREADY DONE STOPE PREP ON MAY 15, 2023. CONVERT TO STOPE BREAKING.</t>
  </si>
  <si>
    <t>L07_NONE_035E_XCS</t>
  </si>
  <si>
    <t>AMBONGAN</t>
  </si>
  <si>
    <t>L04_CV_007E_DW_ISL</t>
  </si>
  <si>
    <t>L04_JV_021W_ROBBING</t>
  </si>
  <si>
    <t>L09_GHVFW_047E_ROBBING</t>
  </si>
  <si>
    <t>REPLACEMENT OF L10_JV_045E_DE APPROVED ON MARCH 31, 2023.STOPPED ON MAY 17, 2023. ALREADY REACHED THE RECOMMENDED STRIKE LENGTH.</t>
  </si>
  <si>
    <t>L10_JV_048E_RAISE</t>
  </si>
  <si>
    <t>L03_CTV_015W_RAISE</t>
  </si>
  <si>
    <t>REPLACEMENT OF L05_DPVE_049E_ROBBING APPROVED ON APRIL 29, 2023. sill.STOPPED ON MAY 19, 2023. DUE TO LOW ASSAY GRADE.</t>
  </si>
  <si>
    <t>REPLACEMENT OF L09_GHV_062E_ROBBING. APPROVED ON APRIL 21, 2023. SILL.STOPPED ON MAY 19, 2023 DUE CONSECUTIVE LOW ASSAY GRADES ON CUT/BULK SAMPLES.</t>
  </si>
  <si>
    <t xml:space="preserve">REPLACEMENT OF L04_CV_006E_DW_ISL. APPROVED ON MAY 05, 2023.ALREADY DONE STOPE PREP ON MAY 20, 2023. CONVERT TO STOPE BREAKING.
</t>
  </si>
  <si>
    <t>L04_CV_006E_WINZE_STOPE</t>
  </si>
  <si>
    <t>L11_GHVFW_048E_STOPE</t>
  </si>
  <si>
    <t xml:space="preserve">REPLACEMENT OF L09 DPVE 039E RAISE. APPROVED ON MAY 11, 2023.TEMPORARY STOPPED MAY 19, 2023.
</t>
  </si>
  <si>
    <t>L08_JVSPLIT_025E_ROBBING</t>
  </si>
  <si>
    <t xml:space="preserve">L10_DPVE_096E_DE </t>
  </si>
  <si>
    <t>L10_DPVE_096E_DE</t>
  </si>
  <si>
    <t>L07_JV_021E_ROBBING</t>
  </si>
  <si>
    <t xml:space="preserve">WIDENING AT L12 43E SHAFT STATION FOR DOUBLE TRACK. APPROVED ON JANUARY 28,2023. STOPPED ON APRIL 3RD WEEK 2023 MEMO TO FOLLOW.
</t>
  </si>
  <si>
    <t>L06_DPVE_030E_ROBBING</t>
  </si>
  <si>
    <t>ADDITIONAL VERTICAL DEVELOPMENT. FOR FOLLOW UP ONLY WITHIN L11_DPVE_036E_DW MAINLINE. TO ADD IN AWP FOR BILLING PURPOSES, TEMPORARY STOPPED TO PRIORITIZE L11_DPVE_036E_DW ON FEB 14, 2023.RESUMED ON FEB. 28, 2023.STOPPED ON MAY 18, 2023. ALREADY MADE A BREAKTHROUGH.</t>
  </si>
  <si>
    <t xml:space="preserve">REPLACEMENT OF L05_DPVE_022E_DW. APPROVED ON MAY 05, 2023.STOPPED ON MAY 22, 2023 ALREADY REACHED THE RECOMMENDED SLOPE LENGTH.
</t>
  </si>
  <si>
    <t>REPLACEMENT OF L04 CTV 023W WINZE STOPE, APPROVED ON MAY 3, 2023.STOPPED ON MAY 22, 2023 ALREADY INTERCEPTED THE TARGET VEIN.</t>
  </si>
  <si>
    <t xml:space="preserve">SPECIAL PROJECT, CHAMBER FOR CONTROLLERS. APPROVED ON APR 4, 2023.STOPPED ON MAY 22, 2023. ALREADY FINISHED.
</t>
  </si>
  <si>
    <t>L04_NONE_023W_DW_ISL</t>
  </si>
  <si>
    <t>REPLACEMENT OF L06_DPVE_059E_ROBBING APPROVED ON APRIL 1, 2023. SILL.STOPPED ON MAY 22, 2023 ALREADY REACHED THE RECOMMENDED STRIKE LENGTH WITH 133% PULL-OUT.</t>
  </si>
  <si>
    <t xml:space="preserve">REPLACEMENT OF L11 GHVFW 055E DE. APPROVED ON MARCH 31, 2023.RENAME FROM L11_GHVFW_063E_DE TO L11_GHVFW_066E_DE ON MAY 12, 2023.STOPPED ON MAY 22, 2023. DUE TO CONSECUTIVE LOW ASSAY GRADE AND ALREADY REACHED THE RECOMMENDED STRIKE LENGTH.
</t>
  </si>
  <si>
    <t>REPLACEMENT OF L05 DPVE 052E ROBBING. APPROVED ON MAR 11, 2023.STOPPED ON MAY 22, 2023, ALREADY REACHED THE RECOMMENDED SLOPE HEIGHT, CONVERTED TO ISL.</t>
  </si>
  <si>
    <t>REPLACEMENT OF L09_DPVE_074E_RAISE APPROVED ON MAY 10, 2023. SILL.STOPPED ON MAY 22, 2023 DUE TO CONSECUTIVE LOW ASSAY GRADE WITH 25% PULL-OUT MC.</t>
  </si>
  <si>
    <t>CONVERTED TO PULL-OUT. APPROVED ON MAY 05, 2023.STOPPED ON MAY 22, 2023 DUE TO CONSECUTIVE LOW ASSAY GRADE WITH 93% PULL-OUT MC.</t>
  </si>
  <si>
    <t xml:space="preserve">REPLACEMENT OF L09_DPVE_035E_ROBBING APPROVED ON MARCH 24, 2023. SILL.STOPPED ON MAY 22, 2023 DUE TO CONSECUTIVE LOW ASSAY GRADE WITH 86% PULL-OUT MC.
</t>
  </si>
  <si>
    <t>L09_DPVE_052E_ROBBING</t>
  </si>
  <si>
    <t>REPLACEMENT OF L05_NONE_030E_XCN. APPROVED ON MAY 09, 2023.CHANGE HEADING NAME FOR PROPER NAMING FROM L05_DPVE_030E_DE TO L05_JVSPLIT_030W_DE APPROVED ON MAY 12, 2023.STOPPED ON MAY 23, 2023. ALREADY REACHED THE RECOMMENDED STRIKE LENGTH AND CONSECUTIVE LOW ASSAY GRADE.</t>
  </si>
  <si>
    <t>REPLACEMENT OF L05_DPVE_050E_STOPE APPROVED ON MAY 2, 2023.TEMPORARILY STOPPED ON MAY 05, 2023 DUE TO UNAVAILABILITY OF MUCKING MACHINE.RESUMED ON MAY 10, 2023.STOPPED ON MAY 23, 2023. ALREADY REACHED THE RECOMMENDED STRIKE LENGTH AND CONSECUTIVE LOW ASSAY GRADE.</t>
  </si>
  <si>
    <t>L11_GHVFW_051E_RAISE</t>
  </si>
  <si>
    <t>L11_GHVFW_037E_DW</t>
  </si>
  <si>
    <t>L09_DPVE_088E_ROBBING</t>
  </si>
  <si>
    <t>L05_DPVE_053E_DW_ISL</t>
  </si>
  <si>
    <t>L04_CTV_023W_DW_ISL</t>
  </si>
  <si>
    <t>L08_JV_076E_WINZE STOPE</t>
  </si>
  <si>
    <t xml:space="preserve">ADDITIONAL SOURCE OF STOPE ORE AT LEVEL 8. APPROVED ON APRIL 17, 2023.ALREADY DONE STOPE PREP ON MAY 24, 2023. CONVERT TO STOPE BREAKING.
</t>
  </si>
  <si>
    <t>REPLACEMENT OF L08_DPVE_062E_ROBBING APPROVED ON MARCH 21, 2023. SILL.TEMPORARY STOPPED ON APRIL 10, 2023 DUE TO ABSENTEEISM OF MEN RESULTING TO ABANDONEMENT OF WORKPLACE.RESUMED ON APRIL 24, 2023. SILL.STOPPED ON MAY 24, 2023 ALREADY FINISHED HEADING.</t>
  </si>
  <si>
    <t xml:space="preserve">REPLACEMENT OF L08_GHV_003E_WINZE STOPE PREP. APPROVED ON DEC. 9, 2022.APPROVED ON 12-9-2022 , REPLACEMENT OF L08_GHV_003E_WINZE STOPE PREP.TEMPORARY STOPPED ON APRIL 14, 2023 DUE TO MANPOWER ISSUE.RESUMED ON APRIL 17, 2023. AS WELL AS CHANGE TEAM LEADER FROM LERIO 3 TO AGLOLO 3.STOPPED BREAKING ON MAY 23, 2023, CONVERTED TO STOPE PULL OUT.
</t>
  </si>
  <si>
    <t>REPLACEMENT OF L09_GHV_033E_WINZE APPROVED ON MARCH 14, 2023.STOPPED ON MAY 24, 2023 DUE TO CONSECUTIVE ASSAY GRADE AND CONVERT TO ISL.</t>
  </si>
  <si>
    <t>L09_GHVHW_024E_DE_ISL</t>
  </si>
  <si>
    <t>CONVERTED TO PULL-OUT. APPROVED ON MAY 03, 2023.STOPPED AND MINED-OUT ON MAY 24, 2023 W/ 77% PULL-OUT MC.</t>
  </si>
  <si>
    <t>L11_GHV_055E_STOPE PREP</t>
  </si>
  <si>
    <t>L12_NONE_048E_XCN_ISL</t>
  </si>
  <si>
    <t>REPLACEMENT OF L06_GHV_025W_ROBBING. APPROVED ON MAY 22, 2023. TOPSLICE.STOPPED ON MAY 24, 2023, VENTILATION ON TIGERWAY CONCERN.</t>
  </si>
  <si>
    <t xml:space="preserve">MONTEBON </t>
  </si>
  <si>
    <t xml:space="preserve">REPLACEMENT OF L08_GHV_026E_ROBBING. APPROVED ON MAY 10, 2023. SILL.STOPPED ON MAY 25, 2023. ALREADY REACHED THE RECOMMENDED STRIKE LENGTH.
</t>
  </si>
  <si>
    <t xml:space="preserve">REPLACEMENT OF L07_JVSPLIT_017W_ROBBING APPROVED ON MARCH 31, 2023. SILL.STOPPED ON MAY 25, 2023. DUE TO LOW ASSAY GRADE.
</t>
  </si>
  <si>
    <t>ADDITIONAL HORIZONTAL DEVELOPMENT APPROVED ON APRIL 24, 2023.RENAMED FROM L11_DPVE_039E_DE TO L11_DPVE_047E_DE ON MAY 5, 2023.STOPPED ON MAY 25, 2023 DUE TO LOW CONSECUTIVE ASSAY GRADE.</t>
  </si>
  <si>
    <t>L04_CTV_028E_DW_ISL</t>
  </si>
  <si>
    <t>L09_DPVE_032E_WINZE</t>
  </si>
  <si>
    <t>L11_GHVFW_045E_STOPE</t>
  </si>
  <si>
    <t>L11_GHVHW_071E_STOPE</t>
  </si>
  <si>
    <t>REPLACEMENT OF L11_JVFW_062E_STOPE. APPROVED ON MAY 09, 2023.ALREADY DONE STOPE PREP ON MAY 25, 2023. CONVERT TO STOPE BREAKING.</t>
  </si>
  <si>
    <t>L09_JVSPLIT_073E_WINZE</t>
  </si>
  <si>
    <t>L11_DPVE_046E_STOPE PREP</t>
  </si>
  <si>
    <t>L11_GHVFW_043E_DW</t>
  </si>
  <si>
    <t xml:space="preserve">REPLACEMENT OF L05_GHVSPLIT_034W_DW APPROVED ON APRIL 28, 2023. TOPSLICE.RENAMED FROM L05_GHVSPLIT_045E_ROBBING TO L05_GHVSPLIT_045W_ROBBING FOR PROPER NAMING BASED ON THE POSITION.TEMPORARY STOPPED ON MAY 26, 2023 DUE TO INSUFFICIENTG MANPOWER TO OPERATE THE HEADING.
</t>
  </si>
  <si>
    <t>REPLACEMENT OF L03_JVSPLIT_030W_ROBBING. APPROVED ON MARCH 08, 2023. SILL. FINISHED ROBBING ON MAY 27, 2023.</t>
  </si>
  <si>
    <t>L09_DPVE_042E_DE</t>
  </si>
  <si>
    <t xml:space="preserve">REPLACEMENT OF L09_NONE_029E_XCN. APPROVED ON NOVEMBER 7, 2022.TEMPORARY STOPPED ON DECEMBER 11, 2022 TO PROPOSE VERTICAL RAISE.RESUMED ON JANUARY 9,2023 TRANSFER FROM DELOS REYES V3 TO DELOS REYES V1 .TEMPORARILY STOPPED ON MARCH 15, 2023 DUE TO RAISE PREPARATION.RESUMED ON MARCH 21, 2023.  TEMPORARILY STOPPED ON APRIL 15, 2023 TO PRIORITIZE RAISE.RESUMED ON APRIL 18, 2023.TEMPORARY STOPPED ON MAY 17, 2023 TO PRIORITIZE RAISE.RESUMED ON MAY 19, 2023. STOPPED ON MAY 27, 2023 DUE TO LOW GRADE.
</t>
  </si>
  <si>
    <t>L08_DPVE_080E_ROBBING</t>
  </si>
  <si>
    <t>ADDITIONAL HORIZONTAL DEVELOPMENT. APPROVED ON MAY 11, 2023. TEMPORARY STOPPED ON MAY 28, 2023. DUE TO LACK OF MANPOWER. LOW ATTAINMENT DUE TO CORPO AT L12_GHV_061E_STOPE PREP</t>
  </si>
  <si>
    <t xml:space="preserve">REPLACEMENT OF L09_DPVE_027E_DW. APPROVED ON APRIL 25, 2023.TEMPORARY STOPPED ON APRIL 29, 2023 TO PRIORITIZE HORIZONTAL DEVELOPMENT.RESUMED ON MAY 8, 2023 AND TRANSFERRED TL FROM DELOS REYES V3 TO GUNAY 2.STOPPED ON MAY 29, 2023. DUE TO LOW ASSAY GRADE.
</t>
  </si>
  <si>
    <t>REPLACEMENT OF L09_DPVE_058E_WINZE APPROVED ON MARCH 17, 2023. TEMPORARY STOPPED ON MARCH 27, 2023 TO PRIORITIZED DW.RESUMED ON APRIL 10, 2023.STOPPED ON MAY 29, 2023. ALREADY REACHED THE RECOMMENDED STRIKE LENGTH.</t>
  </si>
  <si>
    <t xml:space="preserve">REPLACEMENT OF L09_DPVE_027E_DW. APPROVED ON MAY 13, 2023.STOPPED ON MAY 29, 2023. DUE TO LOW ASSAY GRADE.
</t>
  </si>
  <si>
    <t>REPLACEMENT OF L09_GHVHW_031E_RAISE. APPROVED ON MAY 5, 2023.STOPPED ON MAY 29, 2023. DUE TO LOW ASSAY GRADE.</t>
  </si>
  <si>
    <t>REPLACEMENT OF L09_DPVE_028E_DW. APPROVED ON FEB. 13, 2023.TEMPORARY STOPPED ON MARCH 3, 2023 TO PRIORITIZE ON-VEIN DRIVE L09_DPVE_021E_DW
MEMO RECEIVED ON THE SAME DAY.RENAMED FROM L09_NONE_025E_XCN TO L09_DPVE_021E_DW. APPROVED ON MARCH 03, 2023.TEMPORARY STOPPED ON APRIL 7, 2023 DUE TO PINCHED OUT OF VEIN.RESUMED ON APRIL 17, 2023.TEMPORARILY STOPPED ON APRIL 25, 2023, CONVERTED TO RAISE PREP.RESUMED ON MAY 2, 2023.STOPPED ON MAY 29, 2023. DUE TO LOW ASSAY GRADE. PINCHED OUT VEIN</t>
  </si>
  <si>
    <t xml:space="preserve">REPLACEMENT OF L09 GHVHW 021E DW. APRROVED ON DECEMBER 4, 2018. RENAME ON DECEMBER 6,2018 FROM L09 GHVHW 020E DE TO L09 GHVHW 001W DE FOR PROPER NAMING BASED ON THE POSITION.TEMPORARY STOPPED ON 1/8/19 DUE TO MANPOWER ISSUE.RESUMED ON MAY 24, 2023.STOPPED ON MAY 29, 2023. DUE TO OFF-VEIN DRIVE.
</t>
  </si>
  <si>
    <t>L09_NONE_022E_XCN</t>
  </si>
  <si>
    <t>ADDITIONAL SOURCE OF GOOD ORE. APPROVED ON APRIL 19, 2023.ALREADY DONE STOPE PREP ON MAY 26, 2023. CONVERT TO STOPE BREAKING.</t>
  </si>
  <si>
    <t>L05_JV_003W_RAISE</t>
  </si>
  <si>
    <t>REPLACEMENT OF L09_GHV_032E_DW_ISL. APPROVED ON 11/26/2022. STOPPED ON JANUARY 14,2023 ALREADY BREAKTHROUGH.</t>
  </si>
  <si>
    <t>REPLACEMENT OF L08_GHVFW_056E_WINZE APPROVED ON AUG.3, 2022.STOPPED ON SEPTEMBER 14,2022 CONVERT TO STOPE PREPARATION.RESUMED ON JANUARY 9, 2023.TEMPORARILY STOPPED ON FEB 13 2023 (3RD SHIFT) TO PRIORITIZE STOPE PREPARATION.RESUMED ON MAY 16, 2023.STOPPED ON MAY 29, 2023. DUE TO PINCHED OUT VEIN.</t>
  </si>
  <si>
    <t>L03_JVSPLIT_038W_ROBBING</t>
  </si>
  <si>
    <t>038W</t>
  </si>
  <si>
    <t>L06_NONE_045W_XCN</t>
  </si>
  <si>
    <t>SHEPHERD BD</t>
  </si>
  <si>
    <t>L10_JVSPLIT_068E_STOPE PREP</t>
  </si>
  <si>
    <t>L09_DPVE_058E_WINZE STOPE PREP</t>
  </si>
  <si>
    <t>REPLACEMENT OF L07_DPVE_045E_ROBBING. APPROVED ON MAY 17, 2023. SILL.STOPPED ON MAY 30, 2023 DUE TO CONSECUTIVE LOW ASSAY GRADE.</t>
  </si>
  <si>
    <t>L09_DPVE_010E_DW</t>
  </si>
  <si>
    <t>ADDITIONAL SOURCE OF GOOD ORE. APPROVED ON APRIL 19, 2023.TEMPORARRY STOPPED IMMEDIATELY TO PRIORITIZE L11_GHVFW_048E_STOPE PREP ON APRIL 19, 2023, WAS NOT YET STARTED.RESUMED ON MAY 11, 2023.ALREADY DONE STOPE PREP ON MAY 26, 2023. CONVERT TO STOPE BREAKING.</t>
  </si>
  <si>
    <t>L11_NONE_028E_XCN</t>
  </si>
  <si>
    <t>L06_JV_044E_ROBBING</t>
  </si>
  <si>
    <t xml:space="preserve">REPLACEMENT OF L10_NONE_081E_XCN. APPROVED ON NOVEMBER 16,2021.  TEMPORARY STOPPED ON NOVEMBER 17,2021 NOTIFIED ON NOVEMBER 23,2021 NO MANPOWER.  RESUMED ON NOVEMBER 26,2021 AT SAME TIME RENAMED FROM L10_JVFW_070E_DW TO L10_JVFW_071E_DW TO AVOID MISCHARGING AND ALSO TRANSFER FROM OLIVEROS 5 TO OCAÑA 1. RENAMED FROM L10_JVFW_071E_DW TO L10_JVFW_069E_DW ON NOVEMBER 27,2021. CHANGE FROM OCAÑA 1 TO BAÑEZ 1 FORMER TEAM LEADER WILL BE TEMPORARILY MERGE TO MRRESUMED ON JULY 6, 2022, REPLACEMENT OF L10_DPVE_086E_DW, AND CHANGE TEAM LEADER FROM BAÑEZ 8 TO OLIVEROS 4.. BAÑEZ APPROVED ON FEBRUARY 17,2022. RESUMED ON MARCH 9, 2022.LEAST PRIORITY TEMP STOPPED ON MARCH 15, 2022 REDUCE LOW GRADE MINE CARS TRAMMED AT LEVEL 10.RESUMED ON MARCH 28,2022.TEMPORARY STOPPED ON APRIL 1,2022.RESUMED ON JULY 6, 2022, REPLACEMENT OF L10_DPVE_086E_DW, AND CHANGE TEAM LEADER FROM BAÑEZ 8 TO OLIVEROS 4.TEMPORARY STOPPED ON JULY 15,2022 TO PRIORITIZED STOPE PREPARATION.RESUMED ON AUGUST 16, 2022.CHANGE NAME FROM L10_JVFW_069E_DW TO L10_JVHW_069E_DW APPROVED ON AUGUST 23, 2022.STOPPED ON OCT 27, 2022 DUE TO PINCHED OUT VEIN.RESUMED ON MAY 11, 2023. AT THE SAME TIME RENAMED FROM L10_JVHW_069E_DW TO L10_JVHW_058E_DW.STOPPED ON MAY 31, 2023 ALREADY REACHED THE RECOMMENDED STRIKE LENGTH FOR WF.
</t>
  </si>
  <si>
    <t>REPLACEMENT OF L10_GHVSPLIT_072E_DW. APPROVED ON MAY 19, 2023.STOPPED ON MAY 30, 2023. ALREADY MINED-OUT.</t>
  </si>
  <si>
    <t>L11_DPVE_027E_RAISE</t>
  </si>
  <si>
    <t>L10_GHVSPLIT_060E_DE</t>
  </si>
  <si>
    <t>L07_JVSPLIT_018W_DW</t>
  </si>
  <si>
    <t>L09_GHVFW_056E_ROBBING</t>
  </si>
  <si>
    <t>L09_NONE_062E_XCN</t>
  </si>
  <si>
    <t>L09_GHVHW_014W_DW</t>
  </si>
  <si>
    <t>L09_JVSPLIT_044E_STOPE</t>
  </si>
  <si>
    <t>REPLACEMENT OF L09 JV 044E RAISE, APPROVED ON MAY 11, 2023.STOPPED AND CONVERT TO STOPE BREAKING ON MAY 31, 2023 3RD SHIFT.</t>
  </si>
  <si>
    <t>L08_DPVE_064E_DE_ISL</t>
  </si>
  <si>
    <t>REPLACEMENT OF L08_DPVE_064E_DW_ISL APPROVED ON JANUARY 16, 2023.TRANSFER FROM OY-YOY 2 TO AGLOLO 1 ON 1/31/2023 DUE TO INADEQUACY OF ISL EXCAVATION OF OY-YOY  GROUP. TEMPORARILY STOPPED ON FEBRUARY 25, 2023 ALREADY PASSED WIREFRAME AND DESIGN, CONVERTED TO STOPE PREP.RESUMED ON MAY 2, 2023. STOPPED ON  MAY 10 CONVERTED TO CROSSCUT ISL TO HIT TARGET VEIN.</t>
  </si>
  <si>
    <t>L08_NONE_067E_XCN_ISL</t>
  </si>
  <si>
    <t>REPLACEMENT OF L08_DPVE_064E_DE_ISL APPROVED ON MAY 10, 2023. STOPPED ON MAY 18, 2023, ALREADY HIT TARGET VEIN.</t>
  </si>
  <si>
    <t>L08_DPVE_078E_ROBBING</t>
  </si>
  <si>
    <t>REPLACEMENT OF L08_NONE_015E_XCS APPROVED ON MAY 6, 2023, TO BYPASS PROPOSED ROBBING.STOPPED ON MAY 30, 2023. ALREADY MADE A BREAKTHROUGH.</t>
  </si>
  <si>
    <t>REPLACEMENT OF L10_GHVFW_054E_STOPE. APPROVED ON MARCH 27, 2023.TEMPORARY STOPPED ON APRIL 24, 2023 TO PRIORITIZE L10_GHVFW_054E_STOPE AND L10_DPVE_061E_STOPE PULL-OUT STOPES.RESUMED ON MAY 12, 2023.STOPPED ON JUNE 2, 2023 DUE TO PINCHED OUT OF VEIN.</t>
  </si>
  <si>
    <t>L10_NONE_080E_XCS</t>
  </si>
  <si>
    <t xml:space="preserve">REPLACEMENT OF L10_NONE_094E_XCN. APPROVED ON MAY 15, 2023.RENAME FROM L10_DPVE_104E_DE TO L10_DPVE_096E_DE ON MAY 21, 2023.STOPPED ON JUNE 1, 2023 DUE TO PINCHED OUT OF VEIN.
</t>
  </si>
  <si>
    <t>REPLACEMENT OF L05_JVSPLIT_030W_DE. APPROVED ON MAY 25, 2023.CHANGE TEAM LEADER FROM SHEPHERD AF 1 TO SHEPHERD BD, DUE TO THE PROMOTION OF ITS TEAM LEADER THIS PROMOTION WAS APPOVED ON MARCH 15, 2023.STOPPED ON MAY 31, 2023 DUE TO PINCHED OUT FO VEIN.</t>
  </si>
  <si>
    <t>REPLACEMENT OF L10_GHVFW_054E_STOPE. APPROVED ON APRIL 26, 2023.STOPPED ON MAY 31, 2023 DUE TO CONSECUTIVE LOW ASSAY GRADE.</t>
  </si>
  <si>
    <t>REPLACEMENT OF L10_DPVE_068E_DE. APPROVED ON APR 28, 2023.TEMPORARILY STOPPED ON MAY 30, 2023. TO PRIORITIZE STOPE PREP.STOPPED ON MAY 31, 2023 DUE TO PINCHED OUT FO VEIN.</t>
  </si>
  <si>
    <t>REPLACEMENT OF L10_GHVHW_074E_RAISE APPROVED ON APRIL 27, 2023.STOPPED ON MAY 29, 2023. ALREADY MADE A BREAKTHROUGH.STOPPED ON MAY 31, 2023 ALREADY REACHED THE TARGET STRIKE LENGTH.</t>
  </si>
  <si>
    <t>L10_JVHW_054E_RAISE</t>
  </si>
  <si>
    <t>L10_GHVHW_067E_DE</t>
  </si>
  <si>
    <t>REPLACEMENT OF L09_DPVE_076E_WINZE. APPROVED ON DECEMBER 2,2022.TEMPORARY STOPPED ON DEC. 22, 2022 TO PRIORITY L09_DPVE_076E_DW_ISL.RESUMED ON MAY 19, 2023.STOPPED ON JUNE 2, 2023 DUE TO PINCHED OUT OF VEIN.</t>
  </si>
  <si>
    <t>REPLACEMENT OF L09_NONE_012W_XCN. APPROVED ON MAY 18, 2023. SILL.STOPPED ON JUNE 2, 2023 ALREADY FINISHED HEADING.</t>
  </si>
  <si>
    <t>L03_CTV_017W_ROBBING</t>
  </si>
  <si>
    <t xml:space="preserve">L07_JV_027E_RAISE </t>
  </si>
  <si>
    <t>L10_DPVE_030E_DW</t>
  </si>
  <si>
    <t>REPLACEMENT OF L07_JVSPLIT_019W_ROBBING. APPROVED ON MAY 27, 2023.STOPPED ON JUNE 3, 2023 PINCHED OUT VEIN, CUT BY A BLIND FAULT.</t>
  </si>
  <si>
    <t>L09_GHVHW_025E_ROBBING</t>
  </si>
  <si>
    <t>L11_DPVE_029E_DW</t>
  </si>
  <si>
    <t>REPLACEMENT OF L09_DPVE_076E_DE_ISL. APPROVED ON DEC. 22, 2022.TEMPORARY STOPPED ON FEBRUARY 12, 2023 TO PRIORITIZED STOPE PREP.RESUMED ON JUNE 2, 2023.STOPPED ON JUNE 5, 2023. DUE TO LOW ASSAY GRADE.</t>
  </si>
  <si>
    <t>L09_DPVE_077E_ROBBING</t>
  </si>
  <si>
    <t xml:space="preserve">ADDITIONAL HORIZONTAL DEVT DRIVE, APPROVED ON MAR 8, 2022.STOPPED ON MARCH 25,2022 DUE TO VEIN PINCHED OUT.RESUMED ON MARCH 30,2022.TEMPORARY STOPPED ON APRIL 12,2022 TO PRIORITIZED L11_GHVFW_066E_DE.RESUMED ON MAR 17, 2023. AT THE SAME TIME TRANSFERRED FROM DUHIG 5 TO BAÑEZ 8.RENAMED FROM L11_GHVFW_065E_DW TO L11_GHVFW_051E_DW AS CORRECTION BASED ON MAP REVIEW.TEMP STOPPED ON MARCH 26, 2023 TO PRIORITIZE STOPE PULLOUT.RESUMED ON APRIL 10, 2023. AS WELL RENAMED FROM L11_GHVFW_051E_DW TO L11_GHVFW_050E_DW.RENAME FROM L11_GHVFW_050E_DW TO L11_GHVFW_051E_DW STARTING ON APRIL 11, 2023.TEMP STOPPED ON APRIL 25, 2023 DUE TO FOLLOW UP ON STOPE PREPARATION.TEMP STOPPED ON APRIL 25, 2023 DUE TO FOLLOW UP ON STOPE PREPARATION.RESUMED ON MAY 26, 2023 AT THE SAME TIME RENAMED FROM L11_GHVFW_051E_DW TO L11_GHVFW_043E_DW TO PREVENT MISCHARGING.STOPPED ON JUNE 5, 2023 PINCHED OUT VEIN DUE TO PARALLEL FAULT.
</t>
  </si>
  <si>
    <t>REPLACEMENT OF L11_DPVE_034E_DE. APPROVED ON MAY 09, 2023.STOPPED ON JUNE 5, 2023 PINCHED OUT VEIN DUE TO PERPENDICULAR FAULT.</t>
  </si>
  <si>
    <t>REPLACEMENT OF L08_NONE_067E_XCN_ISL APPROVED ON MAY 18, 2023.STOPPED ON JUNE 5, 2023 DUE TO CONSECUTIVE TO LOW ASSAY GRADE.</t>
  </si>
  <si>
    <t>REPLACEMENT OF L09_DPVE_021E_DW APPROVED ON MAY 30, 2023.STOPPED ON JUNE 6, 2023. DUE TO LOW ASSAY GRADE</t>
  </si>
  <si>
    <t>L08_NONE_035E_RAISE</t>
  </si>
  <si>
    <t>REPLACEMENT OF L04_GHVFW_005E_ROBBING. APPROVED ON APRIL 22, 2023. SILL.STOPPED ON MAY 31, 2023. DUE TO LOW ASSAY GRADE</t>
  </si>
  <si>
    <t>SHEPHERD AY</t>
  </si>
  <si>
    <t>REPLACEMENT OF L11_DPVE_033E_DW. APPROVED ON MAY 29, 2023.STOPPED ON JUNE 6, 2023, TO BE CONVERTED TO STOPE PREP.</t>
  </si>
  <si>
    <t>L11_DPVE_031E_STOPE PREP</t>
  </si>
  <si>
    <t>REPLACEMENT OF L11_NONE_066E_XCS. APPROVED ON MAY 10, 2023.STOPPED ON JUNE 6, 2023 TO DRIVE RAISE.</t>
  </si>
  <si>
    <t>L11_JVFW_058E_RAISE</t>
  </si>
  <si>
    <t>L11_DPVE_026E_RAISE</t>
  </si>
  <si>
    <t xml:space="preserve">REPLACEMENT OF L05 JV 005W ROBBING. APPROVED ON MAY 17, 2023. TRASNFERRED FROM PARAN 1 TO PANCIT, NOEL 5 STARTING ON MAY 22, 2023.STOPPED ON JUNE 6, 2023. DUE TO PINCHED OUT VEIN.
</t>
  </si>
  <si>
    <t>REPLACEMENT OF L09_JVFW_004E_DE APPROVED ON SEPTEMBER 1, 2022.STOPPED ON SEPTEMBER 5, 2022 TO PRIORITIZE HORIZONTAL DEVELOPMENT.RESUMED ON OCTOBER 10,2022 AT THE SAME TIME TRANSFER FROM BALANGHIG 1 TO PANSIT, NORMAN 1.RENAMED FROM L09_JVFW_006E_RAISE TO L09_JVFW_004E_RAISE TO AVOID MISCHARGING ON OCTOBER 16,2022.TEMPORARRY STOPPED ON OCT 28, 2022 TO PRIORITIZE STOPE PREP.STOPPED ON JUNE 7, 2023. DUE TO LOW ASSAY GRADE.</t>
  </si>
  <si>
    <t xml:space="preserve">REPLACEMENT OF L09_DPVE_080E_WINZE STOPE PREP. APPROVED ON JANUARY 27, 2023.STOPPED BREAKING AND CONVERT TO PULL-OUT ON MAY 16, 2023 AS WELL AS TRAVERSED ON THE SAME DAY.MINED-OUT ON EAST SIDE CONVERT TO BREAKING AT LEAST 6 METERS STRIKE LENGTH TO BREAK ON MAY 24, 2023.STOPPED ON JUNE 7, 2023. ALREADY MINED OUT.
</t>
  </si>
  <si>
    <t>REPLACEMENT OF L09_GHVFW_054E_DE. APPROVED ON SEPTEMBER 5, 2022.TEMP STOPPED ON SEPT 9, 2022 ALREADY DONE FOLLOW UP RAISE.RESUMED ON OCTOBER 10,2022 AT THE SAME TIME TRANSFER FROM DELOS REYES V3 TO PANSIT, NORMAN 2.TEMPORARY STOPPED ON OCTOBER 30, 2022 TO PRIORITIZE L09_DPVE_080E_DW_ISL.STOPPED ON JUNE 7, 2023. DUE TO LOW ASSAY GRADE.</t>
  </si>
  <si>
    <t>TARGETING THE DRILLING INTERCEPT. APPROVED ON MAY 31, 2023.STOPPED ON JUNE 7, 2023.</t>
  </si>
  <si>
    <t>L11_NONE_047E_XCN</t>
  </si>
  <si>
    <t xml:space="preserve">REPLACEMENT OF L11_DPVE_057E_DW. APPROVED ON APRIL 25, 2023.RENAMED FROM L11_DPVE_069E_RAISE TO L11_JVSPLIT_069E_RAISE ON MAY 5, 2023.TEMPORARILY STOPPED ON MAY 06, 2023. DUE TO TRANSFER OF MANPOWER TO PRIORITIZE DRIFT.RESUMED ON MAY 19, 2023. AT THE SAME TIME CHANGE TEAM LEADER FROM PANCIT, NOEL 6 TO TURRA 2.STOPPED ON JUNE 7, 2023 VEIN PINCHED OUT.
</t>
  </si>
  <si>
    <t xml:space="preserve">REPLACEMENT OF L10_GHV_066E_WINZE. APPROVED ON MAY 15, 2023.STOPPED ON JUNE 7, 2023 TO PRIORITIZE ROBBING.
REPLACEMENT OF L10 GHVHW 062E DW, APPROVED ON APR 28, 2023.
</t>
  </si>
  <si>
    <t xml:space="preserve">REPLACEMENT OF L09_DPVE_080E_WINZE STOPE PREP. APPROVED ON JANUARY 27, 2023.STOPPED BREAKING AND CONVERT TO PULL-OUT ON MAY 16, 2023 AS WELL AS TRAVERSED ON THE SAME DAY.MINED-OUT ON EAST SIDE CONVERT TO BREAKING AT LEAST 6 METERS STRIKE LENGTH TO BREAK.STOPPED ON JUNE 7, 2023. ALREADY MINED OUT.
</t>
  </si>
  <si>
    <t>REPLACEMENT OF L10_JVHW_059E_STOPE PREP, APPROVED ON MAY 3, 2023.STOPPED ON JUNE 6, 2023, CONVERTED TO PULLOUT CLEANING.</t>
  </si>
  <si>
    <t>L04_GHVFW_002W_RAISE</t>
  </si>
  <si>
    <t>CONVERTED TO PULLOUT CLEANING. APPROVED ON APRIL 20, 2023.STOPPED ON JUNE 5, 2023. ALREADY MINED OUT.</t>
  </si>
  <si>
    <t>REPLACEMENT OF L10_GHVHW_004W_DE. APPROVED ON MAY 20, 2023.STOPPED ON JUNE 8, 2023. ALREADY MINED OUT.</t>
  </si>
  <si>
    <t xml:space="preserve">REPLACEMENT OF L10_GHVHW_062E_RAISE. APPROVED ON MAY 17, 2023.MINED OUT ON JUNE 6, 2023.STOPPED ON JUNE 8, 2023. ALREADY MINED OUT </t>
  </si>
  <si>
    <t>L10_JVSPLIT_068E_STOPE</t>
  </si>
  <si>
    <t>REPLACEMENT OF L10_DPVE_098E_DE APPROVED ON MAY 29, 2023.STOPPED AND CONVERT TO STOPE BREAKING ON JUNE 7, 2023 3RD SHIFT.</t>
  </si>
  <si>
    <t xml:space="preserve">REPLACEMENT OF L11_JVSPLIT_070E_DW. APPROVED ON MARCH 31, 2023.TEMPORARY STOPPED ON APRIL 25, 2023 TO PRIORITIZE RAISE PREP.RESUMED ON MAY 08, 2023.STOPPED ON JUNE 7, 2023. ALREADY REACHED THE RECOMMENDED STRIKE LENGTH.
</t>
  </si>
  <si>
    <t>REPLACEMENT OF L10_GHVSPLIT_056E_DE.APPROVED ON MAY 31, 2023.STOPPED ON JUNE 5, 2023. ALREADY REACHED THE RECOMMENDED STRIKE LENGTH.</t>
  </si>
  <si>
    <t>L10_GHV_056E_ROBBING</t>
  </si>
  <si>
    <t>L09_DPVE_046E_DE</t>
  </si>
  <si>
    <t>L08_GHVFW_054E_ROBBING</t>
  </si>
  <si>
    <t>REPLACEMENT OF L10_GHVHW_062E_RAISE APPROVED ON JUNE 2, 2023.STOPPED ON JUNE 9, 2023, VEIN DISPLACED BY FAULT.</t>
  </si>
  <si>
    <t>L09_DPVE_080E_ROBBING</t>
  </si>
  <si>
    <t>FILL WINZE. REPLACEMENT OF L09_DPVE_080E_WINZE STOPE APPROVED ON JUNE 7, 2023. 3RD SHIFT.STOPPED ON JUNE 9, 2023. LACK OF MANPOWER AND FINISHED HEADING.</t>
  </si>
  <si>
    <t>L11_NONE_057E_XCN</t>
  </si>
  <si>
    <t>PANCIT,NOEL 6</t>
  </si>
  <si>
    <t>REPLACEMENT OF L09_DPVE_029E_DE. APPROVED ON MARCH 17, 2023. TRANSFERRED FROM DELOS REYES V1 TO PANSIT NORMAN 4 ON MAY 19, 2023.STOPPED ON JUNE 9, 2023. 2ND SHIFT. DUE TO PINCHED OUT VEIN.</t>
  </si>
  <si>
    <t>L10_GHV_062E_ROBBING</t>
  </si>
  <si>
    <t>L10_DPVE_086E_RAISE</t>
  </si>
  <si>
    <t>APPROVED ON MAY 18, 2023. REPLACEMENT OF L03_CTV_020W_RAISE.STOPPED ON JUNE 12, 2023. DUE TO PINCHED OUT VEIN</t>
  </si>
  <si>
    <t>L03_CTV_010W_RAISE</t>
  </si>
  <si>
    <t>L08_NONE_028W_XCS</t>
  </si>
  <si>
    <t>L09_JV_055E_WINZE STOPE</t>
  </si>
  <si>
    <t>REPLACEMENT OF L09_JV_055E_DE_ISL, APPROVED ON MAY 5, 2023.STOPPED AND CONVERT TO STOPE BREAKING ON JUNE 12, 2023</t>
  </si>
  <si>
    <t>L12_NONE_040E_XCN</t>
  </si>
  <si>
    <t>REPLACEMENT OF L11_GHVFW_066E_DE. APPROVED ON MAY 23, 2023.STOPPED ON JUNE 12, 2023. VEIN PINCHED OUT.</t>
  </si>
  <si>
    <t xml:space="preserve">REPLACEMENT OF L12_GHVHW_052E_DE. APPROVED ON MARCH 22, 2023.TEMP STOPPED ON MAY 17, 2023 TO PRIORITIZE L12_NONE_051E_XCN. RESUMED ON MAY 22, 2023.STOPPED ON JUNE 12, 2023. VEIN PINCHED OUT.
</t>
  </si>
  <si>
    <t>REPLACEMENT OF L11_JVFW_050E_DE APPROVED ON FEBRUARY 3, 2023. TEMPORARY STOPPED ON MARCH 11, 2023 DUE TO ITS CONSECUTIVE LOW ASSAY GRADE.COMPLETE STOPPAGE. DUE TO PINCHED OUT VEIN. MEMO RECEIVED ON JUNE 12, 2023.</t>
  </si>
  <si>
    <t>L09_DPVE_034E_STOPE PREP</t>
  </si>
  <si>
    <t xml:space="preserve">TORMIS 1 </t>
  </si>
  <si>
    <t>L09_GHVHW_016W_DE</t>
  </si>
  <si>
    <t>L11_DPVE_049E_STOPE</t>
  </si>
  <si>
    <t>ADDITIONAL SOURCE OF GOOD ORE. APPROVED ON MAY 08, 2023. RENAME FROML11_DPVE_050E_STOPE PREP TO L11_DPVE_049E_STOPE PREP ON MAY 11, 2023.ALREADY DONE STOPE PREPARATION ON JUNE 12, 2023. CONVERT TO BREAKING.</t>
  </si>
  <si>
    <t xml:space="preserve">REPLACEMENT OF L11 GHV 069E DE. APPROVED ON NOV 7, 2022.TEMPORARY STOPPED ON NOVEMBER 28,2022 DUE TO ABSENTEEISM.RESUMED ON DECEMBER 7,2022 AT THE SAME TIME TRANSFER FROM TORMIS 2 TO TORMIS 1. TEMPORARY STOPPED DECEMBER 19,2022 TO PRIORITIZED RAISE.RESUMED ON JANUARY 24,2023.STOPPED ON FEB 13, 2023. VEIN PINCHED OUT.RESUMED ON MARCH 1, 2023 AS WELL AS TRANSFERRED FROM TORMIS 1 TO ALEÑAR 2.RENAMED FROM L11_GHVFW_043E_DW TO L11_GHVFW_035E_DW AS CORRECTION BASED ON MAP REVIEW APPROVED ON MAR 22, 2023.TEMPORARY STOPPED ON APRIL 18, 2023 DUE TO 048E STOPE PREP AT THE MAINLINE.RESUMED ON MAY 17, 2023.RENAME FROM L11_GHVFW_035E_DW TO L11_GHVFW_037E_DW ALEÑAR 2. ON MAY 23, 2023 BASED ON MAP REVIEW.TEMP STOPPED ON JUNE 13, 2023 TO PRIORITIZE XCUT.
</t>
  </si>
  <si>
    <t>L11_NONE_038E_XCS</t>
  </si>
  <si>
    <t>L11_DPVE_028E_RAISE</t>
  </si>
  <si>
    <t>REPLACEMENT OF L05_JV_001W_DW APPROVED ON MAY 25, 2023.TEMPORARY STOPPED ON JUNE 8, 2023 DUE TO THE UNAVAILABIILITY OF AGSAO SHAFT.</t>
  </si>
  <si>
    <t>REPLACEMENT OF L04_RYV_005E_ROBBING. APPROVED ON MAY 22, 2023. RENAME FROM L04_CTV_023E_DW_ISL TO L04_CTV_028E_DW_ISL ON MAY 27, 2023.TEMPORARY STOPPED ON JUNE 8, 2023 DUE TO THE UNAVAILABIILITY OF AGSAO SHAFT.</t>
  </si>
  <si>
    <t>SHEPHERD BE</t>
  </si>
  <si>
    <t>L12_GHV_061E_STOPE</t>
  </si>
  <si>
    <t>REPLACEMENT OF L12_GHV_061E_WINZE, APPROVED ON MAY 5, 2023.ALREADY DONE STOPE PREPARATION ON JUNE 14, 2023. CONVERT TO STOPE BREAKING</t>
  </si>
  <si>
    <t>ADDITIONAL HORIZONTAL DRIVE, APPROVED ON MARCH 24, 2023.CHANGE VEIN POSITION FROM L11_JV_050E_DE TO L11_JV_051E_DE FOR PROPER NAMING. APPROVED ON APRIL 4, 2023.RENAMED FROM L11_JV_051E_DE TO L11_JV_050E_DE. TEMPORARY STOPPED ON APRIL 10, 2023.RESUMED ON APRIL 12, 2023 AS WELL AS TRANSFERRED FROM APA 1 TO BAÑEZ 1.STOPPED ON JUNE 14, 2023 DUE TO LOW GRADE.</t>
  </si>
  <si>
    <t>REPLACEMENT OF L10_JV_044E_RAISE. APPROVED ON MAY 19, 2023.STOPPED ON JUNE 14, 2023. CONVERT TO STOPE PREP</t>
  </si>
  <si>
    <t>L10_JV_048E_STOPE PREP</t>
  </si>
  <si>
    <t>L11_GHVFW_061E_RAISE</t>
  </si>
  <si>
    <t>L10_GHVSPLIT_057E_RAISE</t>
  </si>
  <si>
    <t>L10_GHVHW_061E_DE</t>
  </si>
  <si>
    <t>L09_GHVHW_066E_WINZE</t>
  </si>
  <si>
    <t>L09_DPVE_072E_DE</t>
  </si>
  <si>
    <t>REPLACEMENT OF L09_GHV_035E_ROBBING. APPROVED ON MAY 23, 2023. SILL.STOPPED ON JUNE 15, 2023. ALREADY MINED OUT. MEMO TO BE FOLLOWED.</t>
  </si>
  <si>
    <t xml:space="preserve">REPLACEMENT OF L09_DPVE_018E_STOPE. APPROVED ON MAY 23, 2023.STOPPED ON JUNE 14, 2023. 2NDSHIFT. DUE TO LOW ASSAY GRADE.
</t>
  </si>
  <si>
    <t>REPLACEMENT OF L09_DPVE_050E_ROBBING. APPROVED ON MAY 23, 2023. TOPSLICE.TEMPORARY STOPPED ON JUNE 5, 2023. 2ND SHIFT. AT THE SAME TIME CHANGE TEAM LEADER FROM BABOR 1 TO SHEPHERD AY.RESUMED ON JUNE 6, 2023.STOPPED ON JUNE 14, 2023. 2NDSHIFT. DUE TO LOW ASSAY GRADE.</t>
  </si>
  <si>
    <t>L09_DPVE_054E_ROBBING</t>
  </si>
  <si>
    <t>STOPPED BREAKING ON APRIL 28, 2023, AT THE SAME TIME CONVERTED TO PULLOUT CLEANING, NO TRAVERSE DUE TO ITS UNSAFE CONDITION.STOPPED ON MAY 08, 2023. MINED OUT.</t>
  </si>
  <si>
    <t>ADDITIONAL VERTICAL DEVELOPMENT . APPROVED ON 9/3/2021 (NOT IN RESERVE). STOPPED ON OCT 26, 2021, VEIN ALREADY PINCHED OUT.RESUMED FOR REHAB ON JUNE 4, 2023 AS WELL AS TRANSFERRED FROM OY-YOY 1 TO AGLOLO 2.STOPPED ON JUNE 16, 2023. ALREADY DONE REHAB.</t>
  </si>
  <si>
    <t>L12_GHV_063E_WINZE</t>
  </si>
  <si>
    <t>L08_DPVE_071E_WINZE</t>
  </si>
  <si>
    <t>L08_GHVHW_070E_WINZE</t>
  </si>
  <si>
    <t>MARTINEZ, DN</t>
  </si>
  <si>
    <t>L08_DPVE_020E_WINZE</t>
  </si>
  <si>
    <t xml:space="preserve"> REPLACEMENT OF L11_DPVE_035E_RAISE. APPROVED ON JUNE 5, 2023.STOPPED ON JUNE 16, 2023. DUE TO VEIN PINCHED OUT.</t>
  </si>
  <si>
    <t>L11_JVSPLIT_040E_DW</t>
  </si>
  <si>
    <t>L11_JV_039E_DW</t>
  </si>
  <si>
    <t>L05_DPVE_053E_DE_ISL</t>
  </si>
  <si>
    <t>REPLACEMENT OF L05_DPVE_053E_WINZE. APPROVED ON MAY 23, 2023.STOPPED ON JUNE 1, 2023, TO PRIORITIZE EAST SIDE.</t>
  </si>
  <si>
    <t>L11_GHV_072E_RAISE</t>
  </si>
  <si>
    <t>REPLACEMENT OF L04_GHVFW_004E_ROBBING. APPROVED ON JUNE 7, 2023.TEMPORARY STOPPED ON JUNE 8, 2023 DUE TO THE UNAVAILABILITY OF AGSAO SHAFT.</t>
  </si>
  <si>
    <t>REPLACEMENT OF L10_GHVHW_067E_DE. APPROVED ON JUNE 15, 2023.STOPPED ON JUNE 17, 2023. ALREADY MADE A BREAKTHROUGH. MEMO TO BE FOLLOWED.</t>
  </si>
  <si>
    <t>REPLACEMENT OF L10_GHVSPLIT_072E_DW. APPROVED ON APRIL 21, 2023.TEMPORARY STOPPED ON MAY 2, 2023 DUE TO INSUFFICIENT MANPOWER TO OPERATE THE HEADING AND INADEQUATE SKILL TO OPERATE THE HEADING.RESUMED ON MAY 15, 2023.STOPPED ON JUNE 17, 2023. CONVERT TO STOPE PREP.</t>
  </si>
  <si>
    <t xml:space="preserve">L10_GHVSPLIT_072E_STOPE PREP   </t>
  </si>
  <si>
    <t>REPLACEMENT OF L10_GHV_046E_STOPE PREP. APPROVED ON MARCH 22, 2023.REPLACEMENT OF L10_GHV_046E_STOPE PREP APPROVED ON MARCH 21, 2023, CONVERTED TO ACTIVE BREAKING.STOPPED ON JUNE 18, 2023. TO CONVERT TO PULL-OUT CLEANING</t>
  </si>
  <si>
    <t>REPLACEMENT OF L10_JVSPLIT_060E_RAISE. APPROVED ON MAY 05, 2023.ALREADY DONE STOPE PREP ON MAY 15, 2023. CONVERT TO STOPE BREAKING.STOPPED ON JUNE 17, 2023. TO CONVERT TO PULL-OUT CLEANING</t>
  </si>
  <si>
    <t>L10_DPVE_096E_STOPE PREP</t>
  </si>
  <si>
    <t>L09_GHVFW_060E_ROBBING</t>
  </si>
  <si>
    <t xml:space="preserve">REPLACEMENT OF L07_JVSPLIT_017W_WINZE STOPE APPROVED ON FEBRUARY 27, 2023. TOPSLICE.STOPPED ON MARCH 31, 2023. ALREADY REACHED THE RECOMMENDED PILLAR TO BREAK.RESUMED ON JUNE 3, 2023.STOPPED ON JUNE 18, 2023. DUE TO LOW ASSAY GRADE
</t>
  </si>
  <si>
    <t>REPLACEMENT OF L08_DPVE_080E_ROBBING. APPROVED ON JUNE 1, 2023. 2ND SHIFT. TOPSLICE.TEMPORARY STOPPED ON JUNE 14, 2023 ALREADY REACHED RECOMMENDED PILLARS.FULLY STOPPED ON JUNE 16, 2023. ALREADY REACHED RECOMMENDED STRIKE LENGTH.</t>
  </si>
  <si>
    <t>REPLACEMENT OF L09_GHVFW_047E_ROBBING. APPROVED ON JUNE 5, 2023.SILL.STOPPED ON JUNE 19, 2023. ALREADY REACHED THE RECOMMENDED STRIKE LENGTH WITH 84% PULL-OUT ATTAINMENT AT MTD GRADE OF 6.08 GPT.</t>
  </si>
  <si>
    <t>REPLACEMENT OF L09_DPVE_072E_DE. APPROVED ON JUNE 15, 2023.STOPPED ON JUNE 19, 2023 FINISHED HEADING.STOPPED ON JUNE 19, 2023 DUE TO OFF-VEIN AND TO PRIORITIZE L09_DPVE_046E_DE.</t>
  </si>
  <si>
    <t>REPLACEMENT OF L10_JVHW_059E_STOPE PREP, APPROVED ON MAY 3, 2023.STOPPED ON JUNE 6, 2023, CONVERTED TO PULLOUT CLEANING.CONVERTED TO PULLOUT CLEANING ON JUNE 6, 2023.MINED-OUT ON JUNE 19, 2023 WITH 97% PULLED OUT MC.</t>
  </si>
  <si>
    <t>EXCAVATION FOR MECHANICAL SHOP CHAMBER AT LEVEL 10. APPROVED ON APRIL 2,2022. TEMPORARY STOPPED ON APRIL 3,2022 FOR EVALUATION.RESUMED ON MAY 11, 2023. AT THE SAME TIME CHANGE TEAM LEADER FROM OLIVEROS 1 TO SHEPHERD AX 1.STOPPED ON JUNE 19, 2023 ALREADY FINISHED CLEANING.</t>
  </si>
  <si>
    <t>L10_DPVE_045E_DE</t>
  </si>
  <si>
    <t>L10_DPVE_066E_DE</t>
  </si>
  <si>
    <t>REPLACEMENT OF L10_DPVE_019E_STOPE. APPROVED ON MAY 25, 2023.STOPPED ON JUNE 18, 2023 DUE TO PINCHED OUT OF VEIN.</t>
  </si>
  <si>
    <t>L09_DPVE_074E_DW</t>
  </si>
  <si>
    <t>L10_NONE_052E_CHAMBER</t>
  </si>
  <si>
    <t>L07_JVSPLIT_018W_ROBBING</t>
  </si>
  <si>
    <t>REPLACEMENT OF L11_JV_059E_DE. APPROVED ON MAY 09, 2023.STOPPED ON JUNE 20, 2023 ALREADY REACHED ITS DESIRED ELEVATION.</t>
  </si>
  <si>
    <t>REPLACEMENT OF L10_GHVFW_039E_DW. APPROVED ON MAY 03, 2023.STOPPED ON MAY 18, 2023. DUE TO LOW ASSAY GRADE.TEMPORARY STOPPED ON MAY 18, 2023 TO PRIORITIZE L10_DPVE_036E_ROBBING.RESUMED ON MAY 31, 2023. AT THE SAME TIME CHANGE LEADER FROM DUHIG, R2 TO PARAGUYA 3.TEMPORARY STOPPED ON JUNE 2, 2023. TO PRIORITIZE ROBBING.RESUMED ON JUNE 17, 2023. AT THE SAME TIME CHANGE TEAM LEADER FROM PARAGUYA 3 TO SHEPHERD BD.STOPPED ON JUNE 21, 2023. VEIN PINCHED OUT DUE TO PARALLEL FAULT.</t>
  </si>
  <si>
    <t>L10_GHVSPLIT_073E_DE</t>
  </si>
  <si>
    <t>REPLACEMENT OF L07_DPVE_020E_ROBBING APPROVED ON MAY 12, 2023. TOPSLICE.STOPPED ON JUNE 21, 2023. DUE TO CONSECUTIVE LOW GRADE RESULT.</t>
  </si>
  <si>
    <t>L07_DPVE_008E_ROBBING</t>
  </si>
  <si>
    <t>REPLACEMENT OF L10_GHVSPLIT_060E_DE. APPROVED ON JUNE 8, 2023. RENAME FROM L10_DPVE_044E_DW TO L10_DPVE_045E_DE TO AVOID MISCHARGING.STOPPED ON JUNE 20, 2023 VEIN PINCHED OUT.</t>
  </si>
  <si>
    <t>L11_DPVE_042E_RAISE</t>
  </si>
  <si>
    <t>L11_GHVFW_037E_DE</t>
  </si>
  <si>
    <t>L11_GHV_055E_STOPE</t>
  </si>
  <si>
    <t>ADDITIONAL SOURCE OF GOOD ORE. APPROVED ON MAY 25, 2023.STOPPED AND CONVERT TO STOPE BREAKING ON JUNE 22, 2023.</t>
  </si>
  <si>
    <t>REPLACEMENT OF  L04_CTV_023W_DW_ISL. APPROVED ON JUNE 15, 2023.TEMPORARY STOPPED ON JUNE 21, 2023 DUE TO LACK OF MANPOWER.</t>
  </si>
  <si>
    <t>APPROVED ON MAY 29, 2023. REPLACEMENT OF L08_GHVFW_056E_DW_ISL.RENAMED FROM L08_DPVE_054E_ROBBING TO L08_GHVFW_054E_ROBBING FOR PROPER VEIN NAMING APPROVED ON JUNE 9, 2023.STOPPED AND FINISHED HEADING ON JUNE 21, 2023.</t>
  </si>
  <si>
    <t>ALTERNATE SUMP AT LEVEL 12 NEAR 35E INTERNAL SHAFT. APPROVED ON MAR 16, 2023.CHANGE TEAM LEADER FROM DUHIG 4 TO NACARIO 1, TO CONDUCT CONCRETING APPROVED ON MAY 30, 2023.STOPPED ON JUNE 23, 2023 ALREADY FINISHED.</t>
  </si>
  <si>
    <t>L11_DPVE_046E_STOPE</t>
  </si>
  <si>
    <t>REPLACEMENT OF L11_DPVE_046E_RAISE APPROVED ON MAY 26, 2023.STOPPED AND CONVERT TO STOPE BREAKING ON JUNE 22, 2023.</t>
  </si>
  <si>
    <t>REPLACEMENT OF L09_GHVHW_024E_WINZE. APPROVED ON MAY 25, 2023.STOPPED ON JUNE 23, 2023 DUE TO LOW CONSECUTIVE ASSAY GRADE.</t>
  </si>
  <si>
    <t>REPLACEMENT OF L09_DPVE_022E_DW. APPROVED ON MAY 29, 2023.STOPPED ON JUNE 23, 2023 ALREADY HIT THE TARGET VEIN.</t>
  </si>
  <si>
    <t>L10_DPVE_096E_STOPE</t>
  </si>
  <si>
    <t>REPLACEMENT OF L10_DPVE_088E_DW APPROVED ON MAY 30, 2023.RENAME FROM L10_DPVE_094E_STOPE PREP TO L10_DPVE_096E_STOPE PREP. APPROVED ON JUNE 18, 2023.STOPPED NAD CONVERT TO STOPE BREAKING ON JUNE 22, 2023.</t>
  </si>
  <si>
    <t>SHEPHERD BD 1</t>
  </si>
  <si>
    <t>L11_JV_050E_RAISE</t>
  </si>
  <si>
    <t>L09_JVSPLIT_048E_WINZE</t>
  </si>
  <si>
    <t>REPLACEMENT OF L09_GHV_004W_WINZE APPROVED IN MAY 31, 2023 SILL.STOPPED ON JUNE 24,  2023 ALREADY MINED OUT.</t>
  </si>
  <si>
    <t xml:space="preserve">REPLACEMENT OF L12_DPVE_038E_DE. APPROVED ON FEB. 25, 2023.TEMPORARILY STOPPED ON MARCH 29, 2023 TO FOCUS MANPOWER ON L12_NONE_045E_CHAMBER.RESUMED ON MAY 13, 2023.STOPPED ON JUNE 16, 2023, ALREADY REACHED RECOMMENDED STRIKE LENGTH.
</t>
  </si>
  <si>
    <t>L12_DPVE_041E_DE</t>
  </si>
  <si>
    <t>REPLACEMENT OF  L12_NONE_048E_WINZE, APPROVED ON MAY 9, 2023.TEMPORARY STOPPED ON JUNE 26, 2023 TO PRIORITIZED RAISE TO BE BREAKTHROUGH TO 35E SHAFT.</t>
  </si>
  <si>
    <t>L12_NONE_048E_RAISE</t>
  </si>
  <si>
    <t>L12_JV_054E_DE</t>
  </si>
  <si>
    <t>ADDITIONAL EXPLORATORY DRIVE TO TARGET JV MAIN, CORPO WITH L12_JVFW_052E_DE APPROVED ON MAY 10, 2023.RENAME FROM L12_NONE_052E_XCN TO L12_NONE_051E_XCN STARTING ON MAY 12, 2023.STOPPED ON JUNE 26, 2023 ALREADY INTERCEPTED THE TARGET VEIN.STOPPED ON JUNE 26, 2023 ALREADY FINISHED HEADING.</t>
  </si>
  <si>
    <t>REPLACEMENT OF L11 GHVFW 037E DW. APPROVED ON JUNE 13, 2023.TEMPORARY STOPPED ON JUNE 26, 2023 TO PRIORITIZED DRIFT.</t>
  </si>
  <si>
    <t>L11_GHVFW_027E_DW</t>
  </si>
  <si>
    <t>L09_DPVE_058E_WINZE STOPE</t>
  </si>
  <si>
    <t>REPLACEMENT OF L09_DPVE_058E_DE_ISL APPROVED ON MAY 30, 2023.CHANGE TEAM NAME FROM GUNAY 4 TO SHEPHERD BE, TEAM LEADER MICHAEL GUNAY HAS BEEN PROMOTED AS ACTING TEAM LEADER, EFFECTIVE STARTING JUNE 2ND HALF, APPROVED ON JUNE 5, 2023.STOPPED ON JUNE 26, 2023 CONVERTED TO STOPE BREAKING.</t>
  </si>
  <si>
    <t>L09_JVSPLIT_028E_ROBBING</t>
  </si>
  <si>
    <t>REPLACEMENT OF L10_DPVE_063E_STOPE PREP. APPROVED ON APRIL 25, 2023.STOPPED ON JUNE 27, 2023 CONVERTED TO PULLOUT CLEANING.</t>
  </si>
  <si>
    <t>REPLACEMENT OF L10_DPVE_036E_ROBBING DUHIG, R2. APPROVED ON JUNE 12, 2023.STOPPED ON JUNE 27, 2023 PINCHED OUT VEIN.</t>
  </si>
  <si>
    <t>L10_JV_048E_STOPE</t>
  </si>
  <si>
    <t>REPLACEMENT OF L10_JV_048E_RAISE. APPROVED ON JUNE 14, 2023.STOPPED ON JUNE 27, 2023 CONVERTED TO STOPE BREAKING.</t>
  </si>
  <si>
    <t>L09_DPVE_034E_STOPE</t>
  </si>
  <si>
    <t>REPLACEMENT L09_DPVE_034E_RAISE. APPROVED ON JUNE 13, 2023. 2ND SHIFT.STOPPED ON JUNE 27, 2023 CONVERTED TO STOPE BREAKING.</t>
  </si>
  <si>
    <t xml:space="preserve">REPLACEMENT OF L08_DPVE_068E_DE_ISL. APPROVED ON JUNE 6, 2023.STOPPED ON JUNE 27, 2023, PINCHED OUT VEIN. </t>
  </si>
  <si>
    <t>REPLACEMENT OF L08_GHVSPLIT_033W_DE. APPROVED ON MAY 18, 2023.STOPPED ON JUNE 28, 2023, PINCHED OUT VEIN.</t>
  </si>
  <si>
    <t>L08_DPVE_068E_RAISE_ISL</t>
  </si>
  <si>
    <t>L08_GHVHW_033W_DE</t>
  </si>
  <si>
    <t>L08_JVSPLIT_075E_WINZE</t>
  </si>
  <si>
    <t>L11_DPVE_029E_RAISE</t>
  </si>
  <si>
    <t>L08_GHVSPLIT_018W_DE</t>
  </si>
  <si>
    <t>L10_NONE_086E_XCN</t>
  </si>
  <si>
    <t>REPLACEMENT OF L11_JVFW_042E_DW. APPROVED ON MAY 26, 2023.RENAMED FROM L11_JV_040E_DW TO L11_JVSPLIT_040E_DW FOR PROPER NAMING OF WORKING PLACE.STOPPED ON JUNE 30, 2023 DUE TO PINCHED OUT VEIN.</t>
  </si>
  <si>
    <t>L09_DPVE_070E_DW</t>
  </si>
  <si>
    <t>L10_DPVE_070E_STOPE PREP</t>
  </si>
  <si>
    <t>L10_JVSPLIT_043E_RAISE</t>
  </si>
  <si>
    <t>L10_JVSPLIT_037E_DW</t>
  </si>
  <si>
    <t>L05_JV_006E_DE</t>
  </si>
  <si>
    <t>REPLACEMENT OF L05_JV_001W_DW APPROVED ON JUNE 7, 2023.TEMPORARY STOPPED ON JUNE 8, 2023 DUE TO THE UNAVAILABILITY OF AGSAO SHAFT.</t>
  </si>
  <si>
    <t>ADDITIONAL HORIZONTAL DEVELOPMENT TO DEVELOP RESERVE BLOCKS.APPROVED ON JULY 23, 2021. TEMPORARY STOPPED ON JANUARY 25,2022 DUE TO DELAY ON RAISE PREPARATION.TEMPORARY STOPPED ON JANUARY 25,2022 DUE TO DELAY ON RAISE PREPARATION. RESUMED ON FEBRUARY 1,2022.STOPPED ON JUNE 16 2022 DUE TO PINCHING OUT OF VEIN.RESUMED ON JUNE 28, 2023, AT THE SAME TIME CHANGE TEAM LEADER FROM DUHIG, P5 TO PANCIT, NOEL  1.STOPPED ON JULY 1, 2023. DUE TO OFF VEIN DRIVE. 3RD SHIFT</t>
  </si>
  <si>
    <t>HORIZONTAL DEVELOPMENT TO TARGET A DRILLING INTERCEPT L6-45W-002 APPROVED ON MAY 30, 2023. TEMPORARY STOPPED ON JULY 1, 2023; BASED ON TOP MANAGEMENT'S DIRECTIVE TO FOCUS ON L08-L12.</t>
  </si>
  <si>
    <t>REPLACEMENT OF L06_072E_XC. TOPSLICE APPROVED ON JAN 26,2023. TEMPORARY STOPPED ON JULY 1, 2023; BASED ON TOP MANAGEMENT'S DIRECTIVE TO FOCUS ON L08-L12.</t>
  </si>
  <si>
    <t>REPLACEMENT OF L06_GHV_025W_ROBBING. APPROVED ON MAY 31, 2023.TEMPORARY STOPPED ON JUNE 14, 2023. TO PRIORITIZE CLEANING OF MAINLINE.RESUMED ON JUNE 27, 2023.TEMPORARY STOPPED ON JULY 1, 2023; BASED ON TOP MANAGEMENT'S DIRECTIVE TO FOCUS ON L08-L12.</t>
  </si>
  <si>
    <t>REPLACEMENT OF L07_JV_040E_ROBBING. APPROVED ON MAY 18, 2023. SILL.TEMPORARY STOPPED ON JULY 1, 2023; BASED ON TOP MANAGEMENT'S DIRECTIVE TO FOCUS ON L08-L12</t>
  </si>
  <si>
    <t>REPLACEMENT OF L07_JVSPLIT_017W_ROBBING, APPROVED ON JUNE 21, 2023.TEMPORARY STOPPED ON JULY 1, 2023; BASED ON TOP MANAGEMENT'S DIRECTIVE TO FOCUS ON L08-L12</t>
  </si>
  <si>
    <t>REPLACEMENT OF L07_DPVE_009E_ROBBING. APPROVED ON JUNE 22, 2023. SILL.TEMPORARY STOPPED ON JULY 1, 2023; BASED ON TOP MANAGEMENT'S DIRECTIVE TO FOCUS ON L08-L12</t>
  </si>
  <si>
    <t>REPLACEMENT OF L03_CTV_015W_RAISE. APPROVED ON JUNE 12. 2023. STOPPED ON JULY 2, 2023, DUE TO PINCHED OUT VEIN.</t>
  </si>
  <si>
    <t>ADDITIONAL VERTICAL DEVELOPMENT APPROVED ON JUNE 16, 2023, FILL WINZE. STOPPED ON JUNE 28, 2023. ALREADY MADE A BREAKTHROUGH.</t>
  </si>
  <si>
    <t>L08_DPVE_022E_ROBBING</t>
  </si>
  <si>
    <t>REPLACEMENT OF L10_GHV_046E_STOPE PREP. APPROVED ON MARCH 22, 2023.REPLACEMENT OF L10_GHV_046E_STOPE PREP APPROVED ON MARCH 21, 2023, CONVERTED TO ACTIVE BREAKING.STOPPED BREAKING ON JUNE 13, 2ND SHIFT TRAVERSED ON JUNE 13, 2023.STOPPED ON JUNE 21, 2023 ALREADY DONW PULL OUT CLEANING W/ 100%+ PULL OUT.</t>
  </si>
  <si>
    <t>REPLACEMENT OF L10_JVSPLIT_060E_RAISE. APPROVED ON MAY 05, 2023.ALREADY DONE STOPE PREP ON MAY 15, 2023. CONVERT TO STOPE BREAKING.STOPPED BREAKING ON JUNE 15, 2ND SHIFT TRAVERSED ON JUNE 15, 2023.MINED-OUT ON JUNE 22, 2023 WITH 147% PULLED OUT MC.</t>
  </si>
  <si>
    <t>L11_NONE_038E_XCN</t>
  </si>
  <si>
    <t>L11_JV_054E_STOPE PREP</t>
  </si>
  <si>
    <t>REPLACEMENT OF L10_DPVE_065E_STOPE PREP. APPROVED ON MARCH 27, 2023.STOPPED BREAKING ON JULY 3, 2023. TRAVERSED ON JULY 4, 2023. AND CONVERT TO STOPE PULL-OUT.</t>
  </si>
  <si>
    <t>REPLACEMENT OF L10_DPVE_080E_DE. TARGETING THE DILLING INTERCEPT. APPROVED ON JUNE 2, 2023.STOPPED ON JUNE 12, 2023. LACK OF MANPOWER.RESUMED ON JUNE 24, 2023 AS WELL AS TRANSFERRED FROM LARGO 1 TO SHEPHERD BD 1.STOPPED ON JULY 3, 2023. VEIN ALREADY INTERCEPTED.</t>
  </si>
  <si>
    <t xml:space="preserve">REPLACEMENT OF L08_DPVE_071E_DE_ISL APPROVED ON JUNE 12, 2023. TO REACH TARGET DRILLING INTERCEPT L08_25W-002.STOPPED ON JULY 4, 2023. ALREADY REACHED THE RECOMMENDED STRIKE LENGTH. </t>
  </si>
  <si>
    <t>L08_JV_028W_DW</t>
  </si>
  <si>
    <t>L09_GHVHW_015W_RAISE</t>
  </si>
  <si>
    <t>REPLACEMENT OF L09_DPVE_046E_DE. APPROVED ON JUNE 13, 2023. 3RD SHIFT.STOPPED ON ON JULY 4, 2023, VEIN PINCHED OUT LOW GRADE.</t>
  </si>
  <si>
    <t>L10_DPVE_084E_DE</t>
  </si>
  <si>
    <t>L03_CTV_010W_ROBBING</t>
  </si>
  <si>
    <t>REPLACEMENT OF L11_DPVE_057E_DW, APPROVED ON JUNE 10, 2023.STOPPED ON JULY 4, 2023. ALREADY MADE A BREAKTHROUGH. MEMO TO BE FOLLOWED.</t>
  </si>
  <si>
    <t>L11_JV_035E_RAISE</t>
  </si>
  <si>
    <t>REPLACEMENT OF L10_JVHW_058E_DW APPROVED ON JUNE 2, 2023.TEMPORARY STOPPED ON JUNE 30, 2023 TO PRIORITIZE STOPE PREP.</t>
  </si>
  <si>
    <t>L09_JV_059E_WINZE</t>
  </si>
  <si>
    <t>L11_DPVE_024E_RAISE</t>
  </si>
  <si>
    <t>L10_JVSPLIT_067E_STOPE PREP</t>
  </si>
  <si>
    <t>L11_NONE_062E_XCN</t>
  </si>
  <si>
    <t>REPLACEMENT OF L11_GHVSPLIT_056E_STOPE PREP. APPROVED ON MARCH 28, 2023.STOPPED ON JULY 7, 2023, AND TRAVERSED ON THE SAME DAY, CONVERTED TO PULLOUT CLEANING.</t>
  </si>
  <si>
    <t xml:space="preserve">REPLACEMENT OF L08_GHV_003E_WINZE STOPE PREP. APPROVED ON DEC. 9, 2022.APPROVED ON 12-9-2022 , REPLACEMENT OF L08_GHV_003E_WINZE STOPE PREP.TEMPORARY STOPPED ON APRIL 14, 2023 DUE TO MANPOWER ISSUE.RESUMED ON APRIL 17, 2023. AS WELL AS CHANGE TEAM LEADER FROM LERIO 3 TO AGLOLO 3.STOPPED BREAKING ON MAY 23, 2023, CONVERTED TO STOPE PULL OUT.STOPPED ON JULY 6, 2023. WITH 86% PULLED OUT MC. DUE TO LOW ASSAY GRADE.
</t>
  </si>
  <si>
    <t>REPLACEMENT OF L10_DPVE_045E_DE, APPROVED ON JUNE 21, 2023.STOPPED ON JULY 7, 2023. ALREADY REACHED THE RECOMMENDED STRIKE LENGTH.</t>
  </si>
  <si>
    <t xml:space="preserve">REPLACEMENT OF L09_DPVE_077E_ROBBING APPROVED ON JUNE 30, 2023.STOPPED ON JULY 7, 2023. 2ND SHIFT. DUE TO OFF VEIN DRIVE.
</t>
  </si>
  <si>
    <t>ADDITIONAL VERTICAL DEVELOPMENT. APPROVED ON MAY 26, 2023.STOPPED ON JULY 7, 2023. 2ND SHIFT. DUE TO LOW ASSAY GRADE.</t>
  </si>
  <si>
    <t>L08_DPVE_030E_WINZE</t>
  </si>
  <si>
    <t>L09_JVSPLIT_062E_DW</t>
  </si>
  <si>
    <t>L12_NONE_056E_XCS</t>
  </si>
  <si>
    <t>L09_DPVE_032E_DE_ISL</t>
  </si>
  <si>
    <t>REPLACEMENT OF L10_GHVHW_004W_DE. APPROVED ON JUNE 8, 2023.SILL.STOPPED ON JULY 10, 2023. 2ND SHIFT. DUE TO LOW ASSAY GRADE.</t>
  </si>
  <si>
    <t>REPLACEMENT OF L10_GHVHW_002W_RAISE. APPROVED ON JUNE 12, 2023.STOPPED ON JULY 11, 2023. 2ND SHIFT. DUE TO LOW ASSAY GRADE</t>
  </si>
  <si>
    <t>REPLACEMENT OF L10_GHVHW_002W_DW. APPROVED ON JANUARY 27, 2023.STOPPED ON MAR 22, 2023 DUE TO CONSECUTIVE LOW GRADE RESULT. TO REPLACE W/ RAISE TARGETTING LEVEL 9 VEIN.RESUME ON JUNE 8, 2023. AT THE SAME TIME CHANGE LEADER FROM PARAGUYA 3 TO LARGO 2.STOPPED ON JULY 10, 2023. 2ND SHIFT. DUE TO LOW ASSAY GRADE.</t>
  </si>
  <si>
    <t>L08_GHV_004E_WINZE STOPE PREP</t>
  </si>
  <si>
    <t>REPLACEMENT OF L04_GHVFW_011E_ROBBING. APPROVED ON JUNE 14, 2023.STOPPED ON JULY 11, 2023. 2ND SHIFT DUE TO LOW ASSAY GRADE.</t>
  </si>
  <si>
    <t>L09_DPVE_009E_RAISE</t>
  </si>
  <si>
    <t>FERNANDEZ, RM 7</t>
  </si>
  <si>
    <t>L08_DPVE_035E_WINZE</t>
  </si>
  <si>
    <t>REPLACEMENT OF L06_JV_044E_ROBBING. APPROVED ON JULY 3, 2023. STOPPED ON JULY 8, 2023, PINCHED OUT VEIN.</t>
  </si>
  <si>
    <t>SHEPHERD BE 1</t>
  </si>
  <si>
    <t>LARGO 4</t>
  </si>
  <si>
    <t>MARTINEZ, DN 1</t>
  </si>
  <si>
    <t>SHEPHERD BA 2</t>
  </si>
  <si>
    <t>SHEPHERD BA 3</t>
  </si>
  <si>
    <t>SHEPHERD BB 1</t>
  </si>
  <si>
    <t>SHEPHERD BB 2</t>
  </si>
  <si>
    <t>SHEPHERD BC 1</t>
  </si>
  <si>
    <t>SHEPHERD BC 2</t>
  </si>
  <si>
    <t>SHEPHERD BC 3</t>
  </si>
  <si>
    <t>BADBADON 4</t>
  </si>
  <si>
    <t>REPLACEMENT OF L09_JVSPLIT_044E_STOPE PREP. APPROVED ON MAY 31, 2023.STOPPED BREAKING ON JULY 10, 2023. TRAVERSED ON JULY 11, 2023. AND CONVERT TO STOPE PULL-OUT.</t>
  </si>
  <si>
    <t>CONVERTED TO PULLOUT CLEANING APPROVED ON JUNE 27, 2023.STOPPED ON JULY 10, 2023. ALREADY MINED-OUT WITH 58% PULL OUT. WITH 618 MC REMAINING.</t>
  </si>
  <si>
    <t xml:space="preserve">REPLACEMENT OF L10_DPVE_065E_STOPE PREP. APPROVED ON MARCH 27, 2023.STOPPED BREAKING ON JULY 3, 2023. TRAVERSED ON JULY 5, 2023. AND CONVERT TO STOPE PULL-OUT.CONVERTED TO STOPE PULL OUT ON JULY 4, 2023.STOPPED ON JULY 10, 2023. ALREADY MINED-OUT WITH 108% PULL OUT. </t>
  </si>
  <si>
    <t>L10_GHVSPLIT_072E_STOPE</t>
  </si>
  <si>
    <t>REPLACEMENT OF L10_GHVSPLIT_072E_RAISE. APPROVED ON JUNE 17, 2023.STOPPED ON JULY 8, 2023 CONVERTED TO STOPE BREAKING.</t>
  </si>
  <si>
    <t>REPLACEMENT OF L08_NONE_028W_XCS. APPROVED ON JULY 4, 2023.STOPPED ON JULY 11, 2023. OFF VEIN DRIVE.</t>
  </si>
  <si>
    <t>REPLACEMENT OF L09_JVFW_009E_RAISE. APPROVED ON SEPTEMBER 16, 2022. FILL WINZE.TEMPORARY STOPPED ON SEPTEMBER 19,2022 DUE TO LACK OF MANPOWER.RESUMED ON JANUARY 16,2022 AT THE SAME TIME TRANSFERED FROM QUIJANO 1 TO GUNAY 2.TEMPORARY STOPPED ON JANUARY 25, 2023 TO PRIORITIZED REHAB.</t>
  </si>
  <si>
    <t>L10_GHVSPLIT_034E_DE</t>
  </si>
  <si>
    <t>ADDITIONAL VERTICAL DEVT DRIVE, APPROVED ON JUNE 26, 2023.STOPPED ON JULY 12, 2023. DUE TO LOW GRADE.</t>
  </si>
  <si>
    <t>REPLACEMENT OF L03_JVSPLIT_040W_ROBBING. APPROVED ON MAY 30, 2023. SILL.STOPPED ON JULY 13, 2023. DUE TO LOW ASSAY GRADE.</t>
  </si>
  <si>
    <t>L03_JVSPLIT_008W_DE</t>
  </si>
  <si>
    <t>L12_GHV_061E_RAISE</t>
  </si>
  <si>
    <t>REPLACEMENT OF L09_DPVE_029E_DE. APPROVED ON MAY 27, 2023.TEMPORARY STOPPED ON JUNE 13, 2023. TO PRIORITIZE L09_DPVE_034E_STOPE PREP.RESUME ON JULY 4, 2023.STOPPED ON JULY 13, 2023 DUE TO 6 METERS PINCHED OUT OF VEIN.</t>
  </si>
  <si>
    <t>REPLACEMENT OF L09_DPVE_010E_DW. APPROVED ON JUNE 8, 2023.RENAME FROM L09_DPVE_044E_DE TO L09_DPVE_046E_DE. APPROVE ON JUNE 9, 2023.TEMPORARY STOPPED ON JUNE 13, 2023. TO PRIORITIZE L09_DPVE_034E_STOPE PREP.RESUMED ON JUNE 19, 2023 AS WELL AS TRANSFERRED FROM DELOS REYES V3 TO DELOS REYES V1.TEMPORARY STOPPED ON JUNE 30, 2023 TO PRIORITIZE RAISE PREP.RESUMED ON JULY 9, 2023.STOPPED ON JULY 13, 2023 DUE TO 6 METERS PINCHED OUT OF VEIN.</t>
  </si>
  <si>
    <t>L09_DPVE_045E_RAISE</t>
  </si>
  <si>
    <t>L09_DPVE_012E_DW</t>
  </si>
  <si>
    <t>REPLACEMENT OF L11_GHVSPLIT_056E_STOPE PREP. APPROVED ON MARCH 28, 2023.STOPPED ON JULY 7, 2023, AND TRAVERSED ON THE SAME DAY, CONVERTED TO PULLOUT CLEANING.CONVERTED TO PULLOUT CLEANING ON JULY 7, 2023.STOPPED ON JULY 13, 2023. DUE TO LOW GRADE. WITH 93% PULLOUT.</t>
  </si>
  <si>
    <t>L10_GHVFW_059E_WINZE</t>
  </si>
  <si>
    <t>L10_GHVFW_044E_DW</t>
  </si>
  <si>
    <t>SPECIAL PROJECT BATTERY CHAMBER AT LEVEL 10. APPROVED ON SEPTEMBER 26,2022.ALREADY DONE PROJECT AS PER LEVEL MANAGER, JULY 14, 2023.</t>
  </si>
  <si>
    <t>L11_NONE_036E_CHAMBER</t>
  </si>
  <si>
    <t>L08_JV_028W_DE</t>
  </si>
  <si>
    <t>L10_GHVHW_061E_STOPE PREP</t>
  </si>
  <si>
    <t xml:space="preserve">REPLACEMENT OF L11_NONE_057E_XCN. APPROVED ON JULY 5, 2023.STOPPED ON JULY 14, 2023. 3RD SHIFT. ALREADY HIT THE TARGET VEIN. </t>
  </si>
  <si>
    <t>REPLACEMENT OF L09 DPVE 006E DW. APPROVED ON JULY 4, 2023.STOPPED ON JULY 14, 2023. DUE TO PINCHED OUT VEIN.</t>
  </si>
  <si>
    <t>L08_DPVE_062E_WINZE STOPE PREP</t>
  </si>
  <si>
    <t>L12_JV_055E_DE</t>
  </si>
  <si>
    <t>L11_JV_062E_DE</t>
  </si>
  <si>
    <t>REPLACEMENT OF L09_DPVE_052E_ROBBING. SILL. APPROVED JUNE 15, 2023. 3RD SHIFT.STOPPED ON JULY 14, 2023. ALREADY MINED-OUT. MEMO TO BE FOLLOWED.STOPPED ON JULY 13, 2023 ALREADY FINISHED HEADING.</t>
  </si>
  <si>
    <t>REPLACEMENT OF L08_NONE_033W_XCN. APPROVED ON APRIL 14, 2023.TEMPORARY STOPPED ON MAY 15, 2023. DUE TO CONSECUTIVE LOW ASSAY GRADE.RESUMED ON JUNE 28, 2023.RENAMED FROM L08_GHVSPLIT_033W_DE TO L08_GHVHW_033W_DE FOR  PROPER VEIN NAMING APPROVED ON JUNE 28, 2023.STOPPED ON JULY 14, 2023 3RD SHIFT DUE TO PINCHED OUT OF VEIN.</t>
  </si>
  <si>
    <t>REPLACEMENT OF L10_JVFW_064E_STOPE APPROVED ON JULY 1, 2023.STOPPED ON JULY 14, 2023. 2ND SHIFT. DUE TO LOW ASSAY GRADE.</t>
  </si>
  <si>
    <t>L11_JV_057E_DE</t>
  </si>
  <si>
    <t xml:space="preserve">REPLACEMENT OF L10_DPVE_009E_DE. APPROVED ON MARCH 23, 2023.TEMPORARY STOPPED ON APRIL 1, 2023 TO PRIORITIZE VERTICAL RAISE DEVELOPMENT.RESUMED ON MAY 31, 2023. STOPPED ON JULY 15, 2023 ALREADY CONVERTED TO STOPE PREP.
L10_DPVE_012E_RAISE SHEPHERD BC
- REPLACEMENT OF L10_DPVE_009E_DE. APPROVED ON MARCH 23, 2023.
Marinelle Cureg, 23/03/2023
</t>
  </si>
  <si>
    <t>L10_DPVE_012E_STOPE PREP</t>
  </si>
  <si>
    <t>REPLACEMENT OF L11_JV_054E_RAISE. APPROVED ON JUNE 21, 2023.TEMPORARILY STOPPED ON JUNE 27, 2023, UNSERVICEABLE AREA WORK HEADINGS WILL DELAY TRAMMING, MEMO RECEIVED ON JULY 17, 2023.</t>
  </si>
  <si>
    <t>REPLACEMENT OF L09_JVSPLIT_044E_STOPE PREP. APPROVED ON MAY 31, 2023.STOPPED BREAKING ON JULY 10, 2023. TRAVERSED ON JULY 11, 2023. AND CONVERT TO STOPE PULL-OUT. STOPPED ON JULY 16, 2023. DUE TO LOW ASSAY GRADE. W/ 60% PULL-OUT.</t>
  </si>
  <si>
    <t>REPLACEMENT OF L10_NONE_080E_XCS APPROVED ON JULY 5, 2023.TEMPORARY STOPPED ON JULY 17, 2023 DUE TO CONSECUTIVE LOW ASSAY GRADE.</t>
  </si>
  <si>
    <t xml:space="preserve">REPLACEMENT OF L10_DPVE_081E_DE. APPROVED ON JANUARY 31,2022.TEMPORARY STOPPED ON APRIL 7,2022 TO FOLLOW UP RAISE.RESUMED ON JUNE 21, 2023.TEMPORARY STOPPED ON JULY 17, 2023 DUE TO CONSECUTIVE LOW ASSAY GRADE.
</t>
  </si>
  <si>
    <t>REPLACEMENT OF L10_DPVE_092E_STOPE. APPRROVED ON MAY 10, 2023.CHANGE HEADING FROM L10_DPVE_090E_DW TO L10_DPVE_088E_DW.TEMPORARILY STOPPED ON MAY 30, 2023. TO PRIORITZE STOPE PREP.RESUMED ON JUNE 14, 2023 AT THE SAME TIME CHANGE TEAM LEADER FROM BAÑEZ 3 TO APA 1 . 2ND SHIFT.TEMPORARY STOPPED ON JULY 17, 2023 TO PRIORITIZE VERTICAL RAISE.</t>
  </si>
  <si>
    <t>REPLACEMENT OF L10_DPVE_030E_DW, APPROVED ON JUNE 21, 2023.STOPPED ON JULY 17, 2023  DUE TO CONSECUTIVE LOW ASSAY GRADE.</t>
  </si>
  <si>
    <t>REPLACEMENT OF L08_NONE_032W_XCS APPROVED ON JUNE 29, 2023.TEMPORARY STOPPED ON JULY 17, 2023 DUE TO CONSECUTIVE LOW ASSAY GRADE.</t>
  </si>
  <si>
    <t>L09_NONE_014W_XCS</t>
  </si>
  <si>
    <t>L10_GHVSPLIT_032E_DW</t>
  </si>
  <si>
    <t>REPLACEMENT OF L11_GHVSPLIT_059E_STOPE PREP. APPROVED ON MARCH 24, 2023. STOPPED BREAKING ON JULY 15, 2023. TRAVERSED ON THE SAME DAY. AND CONVERT TO STOPE PULL-OUT. RESUMED PULLED OUT ON JULY 14, 2023 AS PER LM AND LEVEL GEO. FULLY STOPPED ON JULY 15, 2023. 2ND SHIFT.CONVERTED TO PULL-OUT ON JULY 14, 2023.</t>
  </si>
  <si>
    <t>REPLACEMENT OF L09_DPVE_076E_DW_ISL. APPROVED ON JUNE 5, 2023.TOPSLICE.TEMPORARY STOPPED ON JUNE 6, 2023. 3RD SHIFT. LACK OF MANPOWER.RESUMED ON JUNE 21, 2023.TEMPORARY STOPPPED ON JUNE 30 DUE TO LOW NUMBER OF MANPOWER, GROUP TRANSFERRED TO DRIFT.RESUMED ON JULY 5, 2023 AT THE SAME TIME TRANSFERRED FROM FABROA 1 TO UDLOS 1. TOPSLICE WITH AIRHOIST AND MUCKING MACHINE.STOPPED ON JULY 18, 2023. ALREADY MINED OUT</t>
  </si>
  <si>
    <t>L09_DPVE_078E_WINZE STOPE PREP</t>
  </si>
  <si>
    <t>REPLACEMENT OF L09_GHVFW_056E_ROBBING APPROVED ON JUNE 27, 2023. SILL.STOPPED ON JULY 17, 2023. ALREADY FINISHED HEADING.</t>
  </si>
  <si>
    <t>REPLACEMENT OF L09_DPVE_012E_RAISE. APPROVED ON JUNE 20, 2023.STOPPED ON JULY 17, 2023. 3RD SHIFT. ALREADY MADE A BREAKTHROUGH.</t>
  </si>
  <si>
    <t>L09_DPVE_075E_RAISE</t>
  </si>
  <si>
    <t>L09_JVSPLIT_038E_DW</t>
  </si>
  <si>
    <t>L09_GHVFW_064E_ROBBING</t>
  </si>
  <si>
    <t>L11_NONE_039E_XCN</t>
  </si>
  <si>
    <t>TARGETING THE VEIN INTERCEPT. APPROVED ON JULY 10, 2023.TEMPORARRY STOPPED ON JULY 19, 2023 DUE TO MANPOWER ISSUE,</t>
  </si>
  <si>
    <t>ADDITIONAL VERTICAL DEVELOPMENT APPROVED ON JUNE 16, 2023.MANPOWER LOWERED FROM L04_CTV_028E_DW_ISL.STOPPED ON JULY 20, 2023. ALREADY REACHED RECOMMENDED STRIKE LENGTH.</t>
  </si>
  <si>
    <t>L10_DPVE_094E_RAISE</t>
  </si>
  <si>
    <t>SPECIAL TARGET TIGERWAY ACCESS, APPROVED ON MAY 19, 2023.TRANSFERRED FROM PMC MINERS 2 TO CARIKITAN 1 STARTING ON JUNE 2, 2023.TEMPORARY STOPPED ON JULY 1, 2023; BASED ON TOP MANAGEMENT'S DIRECTIVE TO FOCUS ON L08-L12.</t>
  </si>
  <si>
    <t>REPLACEMENT OF L09_DPVE_061E_DE_ISL. APPROVED ON MARCH 1, 2023. TOPSLICE.STOPPED ON JULY 19, 2023. 2ND SHIFT. ALREADY MINED OUT.</t>
  </si>
  <si>
    <t>L12_GHVHW_059E_RAISE</t>
  </si>
  <si>
    <t>REPLACEMENT OF L11_DPVE_030E_DW APPROVED ON JUNE 28, 2023.STOPPED ON JULY 21, 2023. DUE TO PINCHED OUT VEIN.</t>
  </si>
  <si>
    <t>REPLACEMENT OF L11_JVFW_049E_DW, APPROVED ON FEB 15, 2023.TEMPORARILY STOPPED ON APRIL 13, 2023 TO FOLLOW-UP RAISE.RESUMED ON APR 18, 2023.TEMPORARY STOPPED ON MAY 28, 2023. TO PRIORITIZE RAISE PREPARATION.RESUMED ON JUNE 26, 2023. REPLACEMENT OF L11_DPVE_031E_STOPE PREP.TEMPORARY STOPPED ON JULY 6, 2023. TO PRIORITZE RAISE.RESUMED ON JULY 12, 2023.STOPPED ON JULY 21, 2023. PINCHED OUT VEIN.</t>
  </si>
  <si>
    <t>REPLACEMENT OF L07_DPVE_008E_ROBBING. FILL WINZE. APPROVED ON JULY 3, 2023. 1ST SHIFT.STOPPED ON JULY 21, 2023. ALREADY MADE A BREAKTHROUGH.</t>
  </si>
  <si>
    <t>L09_DPVE_065E_ROBBING</t>
  </si>
  <si>
    <t>REPLACEMENT OF L09_DPVE_046E_DE. APPROVED ON JULY 13, 2023.STOPPED ON JULY 21, 2023. 2ND SHIFT. DUE TO PINCHED OUT VEIN.</t>
  </si>
  <si>
    <t>REPLACEMENT OF L09_NONE_062E_XCN. APPROVED ON JULY 10, 2023.STOPPED ON JULY 21, 2023. DUE TO POOR MINERALIZATION.</t>
  </si>
  <si>
    <t>REPLACEMENT OF L09_DPVE_032E_WINZE. APPROVED ON JULY 10, 2023.STOPPED ON JULY 21, 2023. 2ND SHIFT. DUE TO LOW ASSAY GRADE.</t>
  </si>
  <si>
    <t>L08_GHVHW_070E_DW_ISL</t>
  </si>
  <si>
    <t>REPLACEMENT OF L10_JVSPLIT_068E_STOPE APPROVED ON JULY 6, 2023.STOPPED ON JULY 20, 2023 CONVERTED TO STOPE BREAKING.</t>
  </si>
  <si>
    <t xml:space="preserve">L10_JVSPLIT_067E_STOPE </t>
  </si>
  <si>
    <t>L10_JVSPLIT_067E_STOPE</t>
  </si>
  <si>
    <t>L10_JVFW_065E_ROBBING</t>
  </si>
  <si>
    <t>L10_DPVE_063E_ROBBING</t>
  </si>
  <si>
    <t>ADDITIONAL HORIZONTAL DEVELOPMENT. APPROVED ON JUNE 20, 2023.TEMP STOPPED ON JUNE 21, 2023, ON GOING CLEANING.RESUMED ON JULY 13, 2023 AT THE SAME TIME CHANGE TEAM LEADER FROM MARTINEZ, RON 2 TO LARGO 4.TEMPORARY STOPPED ON JULY 24, 2023 TO PRIORITIZE ROBBING.</t>
  </si>
  <si>
    <t>L09_DPVE_066E_ROBBING</t>
  </si>
  <si>
    <t>REPLACEMENT OF L10_DPVE_065E_STOPE. APPROVED ON JULY 13, 2023.RENAME FROM L10_JVHW_068E_RAISE TO L10_JVHW_064E_RAISE.STOPPED ON JULY 24, 2023. VEIN PINCHED OUT DUE TO PARALLEL FAULT.</t>
  </si>
  <si>
    <t>REPLACEMENT OF L08_JV_028W_DW APPROVED ON JULY 12, 2023.STOPPED ON JULY 24, 2023 VEIN CUT BY FAULT.</t>
  </si>
  <si>
    <t>REPLACEMENT OF L11 JV 050E DE, APPROVED ON JUNE 14, 2023.CHANGE TEAM LEADER FROM BAÑEZ 1 TO MAPAYO 2. APPROVED ON JUNE 26, 2023.STOPPED ON JULY 24, 2023 DUE TO LOW GRADE.</t>
  </si>
  <si>
    <t>REPLACEMENT OF L11_DPVE_034E_DE, APPROVED ON JUNE 22, 2023.TEMPORARRY STOPPED ON JULY 24, 2023 TO PRIORITIZE STOPE PREP.</t>
  </si>
  <si>
    <t>L11_DPVE_026E_STOPE PREP</t>
  </si>
  <si>
    <t>L11_DPVE_032E_STOPE PREP</t>
  </si>
  <si>
    <t>REPLACEMENT OF L11_NONE_057E_CHAMBER, WIDENING FOR DOUBLE TRACK ON MINE SUPPLIES LIKE MECHANICAL EQPT, TIMBERS, ETC, APPROVED ON JULY 14, 2023.TEMPORARY STOPPED ON JULY 24, 2023.</t>
  </si>
  <si>
    <t>REPLACEMENT OF L10_JVFW_064E_STOPE APPROVED ON JULY 1, 2023.STOPPED ON JULY 24, 2023. ALREADY REACHE DESIRED SLOPE LENGTH, FOR WIREFRAME.</t>
  </si>
  <si>
    <t>REPLACEMENT OF L10_JVHW_054E_RAISE APPROVED ON JUNE 30, 2023.ALREADY DONE STOPE PREP STOPPED ON JULY 20, 2023.</t>
  </si>
  <si>
    <t>L09_DPVE_088E_WINZE</t>
  </si>
  <si>
    <t>L10_DPVE_070E_STOPE</t>
  </si>
  <si>
    <t xml:space="preserve">REPLACEMENT OF L10_GHV_046E_STOPE. APPROVED ON JUNE 20, 2023.TEMPORARY STOPPED ON JULY 12, 2023 TO PRIORITIZE ONVIEN DEVELOPMENT.RESUMED ON JULY 17, 2023 AT THE SAME TIME CHANGE TEAM LEADER FROM SHEPHERD BB 2 TO LARGO 2.STOPPED ON JULY 25, 2023. TO BE CONVERTED TO ON VEIN DRIVE
</t>
  </si>
  <si>
    <t>L10_GHVSPLIT_030E_DE</t>
  </si>
  <si>
    <t>REPLACEMENT OF L04_CV_006E_WINZE STOPE. APPROVED ON JUNE 14, 2023.STOPPED ON JULY 25, 2023. TO BE CONVERTED TO ON VEIN DRIVE</t>
  </si>
  <si>
    <t>L10_DPVE_008E_DW</t>
  </si>
  <si>
    <t xml:space="preserve">MARTINEZ, RON </t>
  </si>
  <si>
    <t xml:space="preserve">REPLACEMENT OF L12_DPVE_032E_DE APPROVED ON JUNE 16, 2023.STOPPED ON JULY 25, 2023 DUE TO LOW GRADE.
</t>
  </si>
  <si>
    <t>L10_GHV_069E_ROBBING</t>
  </si>
  <si>
    <t>L11_DPVE_028E_STOPE PREP</t>
  </si>
  <si>
    <t>L11_DPVE_029E_STOPE PREP</t>
  </si>
  <si>
    <t>L09_DPVE_086E_ROBBING</t>
  </si>
  <si>
    <t>REPLACEMENT OF L09_DPVE_043E_WINZE STOPE PREP. APPROVED ON APRIL 20, 2023.STOPPED BREAKING AND CONVERT TO STOPE PULL-OUT ON JULY 24, 2023.</t>
  </si>
  <si>
    <t>L10_DPVE_055E_ROBBING</t>
  </si>
  <si>
    <t>L10_DPVE_044E_ROBBING</t>
  </si>
  <si>
    <t>L10_DPVE_042E_ROBBING</t>
  </si>
  <si>
    <t>L12_DPVE_043E_RAISE</t>
  </si>
  <si>
    <t>L11_GHVFW_041E_RAISE</t>
  </si>
  <si>
    <t>L08_DPVE_005W_DW</t>
  </si>
  <si>
    <t>L10_DPVE_087E_DE</t>
  </si>
  <si>
    <t>REPLACEMENT OF L09_DPVE_042E_DE. APPROVED ON JULY 18, 2023.CONSECUTIVE LOW GRADE RESULT AND BREAKTHROUGH AT OLD MAINLINE, STOPPED ON JULY 28, 2023.</t>
  </si>
  <si>
    <t>REPLACEMENT OF L10_DPVE_086E_RAISE APPROVED ON JUNE 30, 2023, TO TARGET DPVE VEIN.TEMPORARY STOPPED ON JULY 28, 2023 TO PRIORITIZE INTERCEPTED TARGET VEIN.ALREADY ON VEIN CONVERT TO DRIFT.</t>
  </si>
  <si>
    <t>L11_NONE_043E_XCS</t>
  </si>
  <si>
    <t>L10_GHVHW_061E_STOPE</t>
  </si>
  <si>
    <t>REPLACEMENT OF L10_GHVSPLIT_057E_RAISE. APPROVED ON JULY 14, 2023. 3RD SHIFT.  ALREADY DONE STOPE PREP ON JULY 26, 2023. CONVERT TO STOPE BREAKING.</t>
  </si>
  <si>
    <t>L10_DPVE_012E_STOPE</t>
  </si>
  <si>
    <t>REPLACEMENT OF L10_DPVE_012E_RAISE APPROVED ON JULY 15, 2023 3RD SHIFT. ALREADY DONE STOPE PREP ON JULY 28, 2023. CONVERT TO STOPE BREAKING.</t>
  </si>
  <si>
    <t>ADDITIONAL VERTICAL DEVT DRIVE. APPROVED ON JUNE 21, 2023. STOPPED ON JULY 29, 2023. ALREADY REACHED THE RECOMMENDED SLOPE LENGTH. FOR BLOCKING RAISE</t>
  </si>
  <si>
    <t>REPLACEMENT OF L10_DPVE_084E_DE. 3RD SHIFT APPROVED ON JULY 20, 2023. TEMPORARY STOPPED JULY 29, 2023. ALREADY REACHED THE RECOMMENDED STRIKE LENGTH. CONDUCT VERTICAL RAISE.</t>
  </si>
  <si>
    <t>REPLACEMENT OF L10_JVSPLIT_037E_DW APPROVED ON JULY 17, 2023.  TEMPORARY STOPPED BREAKING ON JULY 29, 2023 DUE TO PINCHED OUT OF VEIN.</t>
  </si>
  <si>
    <t>REPLACEMENT OF L10_GHVSPLIT_073E_DE. APPROVED ON JULY 8, 2023. STOPPED ON JULY 29, 2023. DUE TO CONSECUTIVE LOW ASSAY GRADE.</t>
  </si>
  <si>
    <t>L09_NONE_072E_XCN</t>
  </si>
  <si>
    <t>L11_JVFW_056E_RAISE</t>
  </si>
  <si>
    <t>L10_GHVSPLIT_035E_RAISE</t>
  </si>
  <si>
    <t>REPLACEMENT OF L08_GHVFW_054E_ROBBING. APPROVED ON JUNE 22, 2023.RENAMED FROM L08_DPVE_075E_WINZE TO L08_JVSPLIT_075E_WINZE FOR  PROPER VEIN NAMING APPROVED ON JUNE 28, 2023.STOPPED ON JULY 31, 2023. DUE TO LOW ASSAY GRADE.</t>
  </si>
  <si>
    <t>L08_GHV_004E_WINZE STOPE</t>
  </si>
  <si>
    <t>REPLACEMENT OF L08_GHV_003E_WINZE STOPE. APPROVED ON JULY 11, 2023.ALREADY DONE STOPE PREP ON JULY 26, 2023. CONVERT TO STOPE BREAKING.</t>
  </si>
  <si>
    <t>L10_DPVE_016E_RAISE</t>
  </si>
  <si>
    <t xml:space="preserve">REPLACEMENT OF L09_GHVFW_060E_ROBBING, APPROVED ON JULY 17, 2023. (SILL PILLAR).TEMPORARY STOPPED ON AUGUST 1, 2023. 2ND SHIFT. TO PRIORITIZE L09_GHV_063E_ROBBING. </t>
  </si>
  <si>
    <t>L09_GHVFW_063E_ROBBING</t>
  </si>
  <si>
    <t>REPLACEMENT OF L09_DPVE_034E_STOPE PREP APPROVED ON JUNE 27, 2023.STOPPED BREAKING AND CONVERT TO STOPE PULL-OUT ON JULY 31, 2023.</t>
  </si>
  <si>
    <t>REPLACEMENT OF L09_DPVE_034E_STOPE PREP APPROVED ON JUNE 27, 2023.STOPPED BREAKING AND CONVERT TO STOPE PULL-OUT ON JULY 31, 2023.STOPPED ON AUGUST 1, 2023. DUE TO LOW ASSAY GRADE. W/ 96% PULL-OUT.</t>
  </si>
  <si>
    <t>ADDITIONAL VERTICAL DEVELOPMENT. APPROVED ON APRIL 11, 2023.TEMPORARY STOPPED ON APRIL 22. 2023, TO PRIORITIZE HORIZONTAL DEVELOPMENT.RESUMED ON APRIL 28, 2023 AT THE SAME TIME CHANGE TEAM LEADER FROM BAÑEZ 6 TO ALEÑAR 2.TEMPORARY STOPPED. APPROVED ON MAY 15, 2023. MANPOWER TO BE FOCUSED ON L11_GHVFW_035E_DW.  RESUMED ON MAY 25, 2023 AS WELL AS TRANFERRED FROM ALEÑAR 2 TO MARTINEZ,DN 4.TEMPORARY STOPPED ON MAY 29, 2023 DUE TON ABSENTEEISM OF MEN RESULTING TO ABANDONMENT OF WORKPLACE.RESUMED ON JUNE 14, 2023. AT THE SAME TIME TRANSFERRED FROM MARTINEZ,DN 4 TO PANCIT, NOEL 3 AND ALSO RENAME FROM L11_GHVFW_058E_RAISE TO L11_GHVFW_061E_RAISE TO AVOID MISCHARGING WITH L11_JVFW_058E_RAISE. TEMPORARY STOPPED ON JUNE 23, 2023 DUE TO CONSECUTIVE ABANDONED OF WORKPLACE CAUSED BY LACK OF MANPOWER AND ABSENTEEISM.RESUMED ON JULY 5, 2023.STOPPED ON JULY 31, 2023, VEIN PINCHED OUT.</t>
  </si>
  <si>
    <t>REPLACEMENT OF L08_DPVE_035E_WINZE APPROVED ON JULY 10, 2023.STOPPED ON AUGUST 2, 2023. ALREADY REACHED THE RECOMMENDED SLOPE DISTANCE</t>
  </si>
  <si>
    <t>ADDITIONAL SOURCE OF GOOD ORE APPROVED ON APRIL 22, 2023. SILL. TEMPORARY STOPPED ON MAY 27, 2023 TO PRIORITIZE TIMBERING.RESUMED ON JUNE 19, 2023.STOPPED ON AUGUST 1, 2023. DUE TO LOW ASSAY GRADE</t>
  </si>
  <si>
    <t xml:space="preserve">REPLACEMENT OF L11_GHVFW_027E_DW. APPROVED ON JULY 12, 2023.STOPPED ON JULY 31, 2023. LOW GRADE.STOPPED ON AUG 1, 2023. CONVERT TO RAISE.
</t>
  </si>
  <si>
    <t>L11_JV_057E_RAISE</t>
  </si>
  <si>
    <t>L08_DPVE_030E_DE_ISL</t>
  </si>
  <si>
    <t>REPLACEMENT OF L10_DPVE_088E_DW APPROVED ON JULY 17, 2023.STOPPED ON AUG 2, 2023, ALREADY REACHED RECOMMENDED SLOPE LENGTH.</t>
  </si>
  <si>
    <t>L11_NONE_022E_XCS</t>
  </si>
  <si>
    <t>L10_DPVE_089E_RAISE</t>
  </si>
  <si>
    <t>089E</t>
  </si>
  <si>
    <t>ADDITIONAL VERTICAL DEVELOPMENT APPROVED ON JULY 11, 2023. MANPOWER FROM L04_GHVFW_002W_RAISE. STOPPED ON AUGUST 3, 2023 DUE TO PINCHED OUT OF VEIN.</t>
  </si>
  <si>
    <t xml:space="preserve">REPLACEMENT OF L09 GHVHW 014W DW. APPROVED ON JULY 4, 2023.TEMPORARY STOPPED ON JULY 7, 2023 TO PRIORITIZE HORIZONTAL DEVELOPMENT.RESUMED ON JULY 10, 2023 AT THE SAME TIME CHANGE TEAM LEADER FROM DELOS REYES V3 TO FABROA 1.STOPPED ON AUGUST 3, 2023 DUE TO PINCHED OUT OF VEIN.
</t>
  </si>
  <si>
    <t>REPLACEMENT OF L09_JV_059E_RAISE, TO TARGET DRILLING INTERCEPT APPROVED ON MAY 31, 2023.TEMPORARY STOPPED ON JUNE 14, 2023 3RD SHIFT DUE TO UNAVAILABILITY OF MUCKING MACHINE.RESUMED ON JUNE 19, 2023 3RD SHIFT.STOPPED ON JULY 4, 2023. 2ND SHIFT. RESUME ON JULY 21,2023.STOPPED ON AUGUST 3, 2023 ALREADY INTERCEPTED TARGET VEIN.</t>
  </si>
  <si>
    <t>L09_GHVHW_024E_STOPE PREP</t>
  </si>
  <si>
    <t xml:space="preserve">REPLACEMENT OF L08_DPVE_073E_ROBBING APPROVED ON MAY 27, 2023.TEMPORARY STOP ON JUNE 1, 2023. TO PRIORITZE CROWN PILLAR ROBBING.RESUMED ON JUNE 16, 2023.STOPPED ON AUGUST 3, 2023. ALREADY MINED OUT. 
</t>
  </si>
  <si>
    <t>L09_DPVE_033E_STOPE PREP</t>
  </si>
  <si>
    <t>REPLACEMENT OF L10_DPVE_090E_RAISE APPROVED ON AUGUST 3, 2023.TEMPORARY STOPPED ON AUGUST 4, 2023. DUE TO PINCHED OUT VEIN.</t>
  </si>
  <si>
    <t>L09_JVSPLIT_041E_ROBBING</t>
  </si>
  <si>
    <t>REPLACEMENT OF L09_JVSPLIT_028E_ROBBING. APPROVED ON JULY 20, 2023.RENAMED FROM L09_JVSPLIT_066E_ROBBING TO L09_DPVE_066E_ROBBING FOR PROPER VEIN NAMING, STARTING ON JULY 24, 2023.STOPPED ON AUGUST 4, 2023. ALREADY MINED OUT .</t>
  </si>
  <si>
    <t>REPLACEMENT OF L09_DPVE_074E_DW. APPROVED ON JULY 18, 2023.STOPPPED ON AUGUST 4, 2023. DUE TO LOW ASSAY GRADE.</t>
  </si>
  <si>
    <t>L12_GHVSPLIT_062E_DE</t>
  </si>
  <si>
    <t>REPLACEMENT OF L11_GHV_064E_STOPE PREP. CONVERTED TO STOPE BREAKING, APPROVED ON OCTOBER 8, 2022. TRANSFER FROM BAÑEZ 5 TO MAPAYO 1 DUE TO INSUFFIECIENT MANPOWER OF FORMER TEAM LEADER RETENTION OF FORMER TEAM LEADER WILL BE FORFEITED ON JANUARY 25,2023.STOPPED BREAKING AND CONVERT TO PULL-OUT ON MAY 16, 2023 AS WELL AS TRAVERSE ON THE SAME DAY.STOPPED BREAKING AND CONVERT TO PULL-OUT ON MAY 16, 2023 AS WELL AS TRAVERSE ON THE SAME DAY.STOPPED ON JUNE 27, 2023 WAS DECLARED MINED OUT. RESUME PULLOUT AT 20 MC PER DAY APPROVED ON JULY 10, 2023.NO MORE PULL OUT OF MINE CARS, STOPPED ON AUG 4, 2023.</t>
  </si>
  <si>
    <t>REPLACEMENT OF L11_GHVSPLIT_059E_STOPE PREP. APPROVED ON MARCH 24, 2023. STOPPED BREAKING ON JULY 15, 2023. TRAVERSED ON THE SAME DAY. AND CONVERT TO STOPE PULL-OUT. RESUMED PULLED OUT ON JULY 14, 2023 AS PER LM AND LEVEL GEO. FULLY STOPPED ON JULY 15, 2023. 2ND SHIFT.CONVERTED TO PULL-OUT ON JULY 14, 2023.STOPPED ON AUG 4, 2023 DUE TO CONSECUTIVE LOW GRADE RESULT, WITH 80% PULL OUT.</t>
  </si>
  <si>
    <t>L11_JVFW_051E_RAISE</t>
  </si>
  <si>
    <t>L11_GHVSPLIT_061E_DE</t>
  </si>
  <si>
    <t>L03_CTV_004W_ROBBING</t>
  </si>
  <si>
    <t>REPLACEMENT OF L03_CTV_010W_RAISE, APPROVED ON JULY 5, 2023.STOPPED ON AUGUST 7, 2023. DUE TO LOW ASSAY GRADE.</t>
  </si>
  <si>
    <t>L09_DPVE_064E_WINZE</t>
  </si>
  <si>
    <t xml:space="preserve">REPLACEMENT OF L09_DPVE_088E_ROBBING. TOPSLICE. APPROVED ON JUNE 15, 2023.RENAME FROM L09_GHVFW_062E_ROBBING TO L09_GHVFW_060E_ROBBING. APPROVED ON JUNE 18, 2023.RENAME FROM L09_GHVFW_062E_ROBBING TO L09_GHVFW_060E_ROBBING TO AVOID MISCHARGING FROM XC ON JUNE 19, 2023.TEMPORARY STOPPED ON JULY 17, 2023 TO BREAK SILL PILLAR (L09_GHVFW_064E_ROBBING).RENAME FROM L09_GHVFW_060E_ROBBING TO L09_GHVFW_063E_ROBBING. APPROVED ON AUGUST 1, 2023.STOPPED ON AUGUST 7, 2023. DUE TO PINCHED OUT VEIN
</t>
  </si>
  <si>
    <t>REPLACEMENT OF L10_DPVE_010E_STOPE PREP. APPROVED ON MARCH 8, 2023. STOPE BREAKING.STOPPED BREAKING AND CONVERT TO STOPE PULL-OUT. MEMO RECEIVED ON AUGUST 7, 2023.</t>
  </si>
  <si>
    <t>REPLACEMENT OF L11_GHVFW_045E_STOPE PREP. APPROVED ON MAY 26, 2023.RECOMMENDED TO CONDUCT 2 IPR FOR GRADE CONFIRMATION  ON JUNE 7, 2023.STOPPED BREAKING AND CONVERT TO STOPE PULL-OUT. MEMO RECEIVED ON AUGUST 7, 2023.</t>
  </si>
  <si>
    <t>REPLACEMENT OF L11_GHVFW_048E_STOPE PREP. APPROVED ON MAY 26, 2023.RECOMMENDED TO CONDUCT  IPR FOR GRADE CONFIRMATION  ON JUNE 7, 2023.TRANSFER OF MANPOWER FROM MONTEBON 1 TO MAPAYO 1 DUE TO MANPOWER ISSUE, LOW PERFORMING. STARTED JULY 25, 2023.STOPPED BREAKING AND CONVERT TO STOPE PULL-OUT. MEMO RECEIVED ON AUGUST 7, 2023.</t>
  </si>
  <si>
    <t xml:space="preserve">ADDITIONAL HORIZONTAL DEVT DRIVE,  APPROVED ON NOV 4, 2022.TEMPORARY STOPPED ON MARCH 4, 2023 TO PRIORITIZE RAISE FOR BREAKTHROUGH AT L11_GHV_063E_WINZE.RESUMED ON MARCH 18, 2023.TEMPORARILY STOPPED ON APRIL 10, 2023 DUE TO ON-GOING WINZE PREP ON MAINLINE.RESUMED ON JUNE 7, 2023.TEMP STOPPED ON JUNE 9. 2023, ON GOING CLEANING.RESUMED ON JUNE 12, 2023.TEMPORARY STOPPED ON JULY 1, 2023. 3RD SHIFT. DUE TO   TO PRIORITIZE DRIVING SWITCH.RESUMED ON JULY 4, 2023.RENAME L12_GHV_060E_DE TO L12_GHVSPLIT_062E_DE FOR ITS PROPER NAMING.TEMPORARY STOPPED ON AUGUST 8, 2023 TO PRIORITIZE THE GHV MAIN DRIVE.
</t>
  </si>
  <si>
    <t>L10_JV_066E_WINZE</t>
  </si>
  <si>
    <t>L11_DPVE_042E_STOPE PREP</t>
  </si>
  <si>
    <t>ADDITIONAL HORIZONTAL DRIVE. APPROVED ON FEB 14, 2023.TEMPORARY STOPPED ON FEBRUARY 21,2023 TRAP BY THE ACTIVE HORIZONTAL DRIVE.RESUMED ON APR 15, 2023 AT THE SAME TIME RENAME FROM L12_GHVFW_058E_DW TO L12_GHVFW_057E_DW TO AVOID MISCHARGING. TEMPORARY STOPPED ON AUGUST 4, 2023. FULL OF MUCK CANNOT CONTINUE.</t>
  </si>
  <si>
    <t>L12_GHV_064E_DE</t>
  </si>
  <si>
    <t>L12_JV_056E_DE</t>
  </si>
  <si>
    <t>L08_GHVHW_070E_ROBBING</t>
  </si>
  <si>
    <t xml:space="preserve">REPLACEMENT OF L10_JVHW_054E_RAISE APPROVED ON JUNE 30, 2023.ALREADY DONE STOPE PREP STOPPED ON JULY 20, 2023.REPLACEMENT OF L10_DPVE_070E_STOPE PREP. APPROVED ON JULY 20, 2023.STOPPED ON AUGUST 11, 2023 PINCHED OUT VEIN, AND CONSECUTIVE LOW ASSAY GRADE 
</t>
  </si>
  <si>
    <t>L10_DPVE_099E_DW</t>
  </si>
  <si>
    <t>099E</t>
  </si>
  <si>
    <t>REPLACEMENT OF L09_DPVE_042E_DE. APPROVED ON JULY 13, 2023.CHANGE TEAM LEADER FROM DELOS REYES V3 TO SHEPHERD AY 1 APPROVED ON JULY 17, 2023. STOPPED ON AUGUST 13, 2023 DUE TO CONSECUTIVE LOW ASSAY GRADES DUE TO POOR CHARACTERISTICS OF VEIN.</t>
  </si>
  <si>
    <t>REPLACEMENT L09_DPVE_006E_DW. APPROVED ON AUGUST 2, 2023.STOPPED ON AUGUST 13, 2023 DUE TO CONSECUTIVE LOW ASSAY GRADES DUE TO POOR CHARACTERISTICS OF VEIN.</t>
  </si>
  <si>
    <t>REPLACEMENT OF L09_DPVE_046E_DE APPROVED ON JULY 1, 2023.RENAMED TO L09_DPVE_040E_RAISE. APPROVED ON JULY 1, 2023.TEMPORARY STOPPED ON JULY 11, 2023 TO PRIORITIZE DRIFT.RESUMED ON JULY 14, 2023. 2ND SHIFT. AT THE SAME TIME CHANGE TEAM LEADER FROM DELOS REYES V1 TO PANSIT, NORMAN 2. STOPPED ON AUGUST 13, 2023 DUE TO CONSECUTIVE LOW ASSAY GRADES.</t>
  </si>
  <si>
    <t>REPLACEMENT OF L10_NONE_086E_XCN. APPROVED ON JULY 28, 2023. TEMPORARY STOPPED ON AUGUST 13, 2023 TO MINIMIZE THE DEVELOPMENT TONNAGE AT LEVEL 10.</t>
  </si>
  <si>
    <t>L10_DPVE_085E_RAISE_</t>
  </si>
  <si>
    <t>L12_GHVSPLIT_066E_DE</t>
  </si>
  <si>
    <t>REPLACEMENT OF L08_JV_028W_DW. APPROVED ON JULY 28, 2023.STOPPED ON AUGUST 14, 2023 DUE TO PINCHED OUT OF VEIN AND CONSECUTIVE LOW ASSAY GRADE.</t>
  </si>
  <si>
    <t xml:space="preserve">REPLACEMENT OF L11_GHV_060E_STOPE PREP APPROVED ON  NOVEMBER 19, 2022.TRANSFER FROM REBOTE 2 TO BADBADON 2 ON NOVEMBER 30,2022 MANAGEMENT DECISION. TEMPORARY STOPPED ON JANUARY 17,2023 TEAM LEADER SURRENDERED DUE TO INSUFFICIENT MANPOWER FORFEITED RETENTION.RESUMED ON JANUARY 30, 2023. AT THE SAME TIME TRANSFERRED FROM BADBADOB TO TURRA 1, MGMT DECISION.TEMP STOPPED ON MAR 20, 2023 DUE TO MANPOWER ISSUE.RESUMED ON MARCH 28, 2023 AS WELL AS TRANSFERRED FROM TURRA 1 TO MARTINEZ, DN 4.STOPPED ON APRIL 18, 2023 DUE TO LACK OF MANPOWER.STOPPED ON APRIL 18, 2023 DUE TO LACK OF MANPOWER THEREFORE RETENTION WILL BE FORFEITED.RESUMED ON APR 19, 2023.TRANSFERRED FROM MARTINEZ, DN 4 TO PARAN 2 DUE TO ABSENTEEISM OF MP THUS RETENTION OF MARTINEZ,DN 4 WILL BE FORFEITED ON MAY 24, 2023.STOPPED BREAKING AND CONVERT TO STOPE PULL-OUT ON AUGUST 14, 2023. 3RD SHIFT
</t>
  </si>
  <si>
    <t>L11_DPVE_026E_STOPE</t>
  </si>
  <si>
    <t>REPLACEMENT OF L11_DPVE_026E_RAISE. APPROVED ON JULY 25, 2023.ALREADY DONE STOPE PREP ON AUGUST 11, 2023. CONVERT TO STOPE BREAKING.</t>
  </si>
  <si>
    <t>ADDITIONAL HORIZONTAL DEVELOPMENT DRIVE. APPROVED ON JULY 19, 2023. TEMPORARY STOPPED ON JULY 24, 2023.RESUMED ON AUGUST 7, 2023.STOPPED ON STOPPED ON AUGUST 14, 2023 ALREADY INTERCEPTED THE TARGET.</t>
  </si>
  <si>
    <t>L09_GHVFW_062E_ROBBING</t>
  </si>
  <si>
    <t>L08_DPVE_005W_DE</t>
  </si>
  <si>
    <t>REPLACEMENT OF L12_GHVHW_065E_DW. APPROVED ON JULY 21, 2023.STOPPED ON AUGUST 15, 2023 CONVERTED TO STOPE PREP.</t>
  </si>
  <si>
    <t>L08_DPVE_062E_WINZE STOPE</t>
  </si>
  <si>
    <t>REPLACEMENT OF L09_DPVE_077E_ROBBING. APPROVED ON JULY 18, 2023. 2ND SHIFT. STOPPED ON AUGUST 14, 2023 CONVERTED TO STOPE BREAKING.</t>
  </si>
  <si>
    <t xml:space="preserve">L09_DPVE_078E_WINZE STOPE </t>
  </si>
  <si>
    <t>L09_DPVE_078E_WINZE STOPE</t>
  </si>
  <si>
    <t>L12_GHV_065E_STOPE PREP</t>
  </si>
  <si>
    <t>L12_GHV_058E_RAISE</t>
  </si>
  <si>
    <t>L12_NONE_045E_XCS</t>
  </si>
  <si>
    <t>L11_DPVE_050E_DE</t>
  </si>
  <si>
    <t>L11_DPVE_032E_STOPE</t>
  </si>
  <si>
    <t>L11_JV_035E_STOPE</t>
  </si>
  <si>
    <t>REPLACEMENT OF L11_DPVE_032E_RAISE.  APPROVED ON JULY 25, 2023.STOPPED ON AUGUST 15, 2023, CONVERTED TO STOPE BREAKING.</t>
  </si>
  <si>
    <t xml:space="preserve">L11_DPVE_032E_STOPE </t>
  </si>
  <si>
    <t>REPLACEMENT OF L08_JVSPLIT_025E_ROBBING APPROVED ON JULY 14, 2023.STOPPED ON AUGUST 10, 2023 CONVERTED TO STOPE BREAKING.</t>
  </si>
  <si>
    <t>REPLACEMENT OF L10_DPVE_094E_DE. APPROVED ON FEB 8, 2023.TEMPORARY STOPPED ON FEB. 17, 2023 TO PRIORITIZED STOPE PREP.RESUMED ON AUGUST 4, 2023. AT THE SAME TIME CHANGE TEAM LEADER FROM BAÑEZ 9 TO MARTINEZ, DN 2.TEMPORARY STOPPED ON AUGUST 8, 2023 , MEMO TO FOLLOW. RESUME ON AUGUST 10, 2023 AND CHANGE TEAM LEADER FROM MARTINEZ, DN 2 TO APA  1.STOPPED ON AUGUST 15, 2023 ALREADY MADE BREAKTHROUGH TO ITS OPPOSITE ML.</t>
  </si>
  <si>
    <t xml:space="preserve">REPLACEMENT OF L10_DPVE_066E_DE. APRROVED ON JULY 24, 2023.STOPPED ON AUGUST 15, 2023 ALREADY REACHED THE RECOMMENDED STRIKE LENGTH THUS MINE GEOLOGY RECOMMENDS TO NEVER EXTRACT ITS LAST PILLAR DUE TO ADJACENT ML.
</t>
  </si>
  <si>
    <t>REPLACEMENT OF L09_GHVFW_063E_ROBBING. APPROVED ON AUGUST 7, 2023. SILL PILLAR.RENAMED FROM L09_GHVFW_059E_ROBBING TO L09_GHVFW_058E_ROBBING TO AVOID MISCHARGING, APPROVED ON AUGUST 8, 2023. RENAME FROM L09_GHVFW_058E_ROBBING TO L09_GHVFW_062E_ROBBING ON AUGUST 15, 2023 DUE TO SAME POSITION NO. OF AN EXISTING WP.STOPPED ON AUGUST 15, 2023 ALREADY REACHED THE RECOMMENDED LENGTH.STOPPED ON AUGUST 15, 2023 DUE TO CONSECUTIVE LOW ASSAY GRADE.</t>
  </si>
  <si>
    <t>L11_DPVE_022E_DW</t>
  </si>
  <si>
    <t>REPLACEMENT OF L11_JVFW_061E_DW APPROVED ON JUNE 6, 2023.STOPPED ON AUGUST 14, 2023 ALREADY BREAKTHROUGH AT LEVEL 10.</t>
  </si>
  <si>
    <t>L12_GHVFW_057E_RAISE</t>
  </si>
  <si>
    <t>L10_DPVE_092E_DW</t>
  </si>
  <si>
    <t>L10_NONE_098E_XCS</t>
  </si>
  <si>
    <t>L10_DPVE_018E_DE</t>
  </si>
  <si>
    <t>L11_GHV_063E_ROBBING</t>
  </si>
  <si>
    <t>REPLACEMENT OF L10_DPVE_083E_DE. APPROVED ON JULY 31, 2023.STOPPED ON AUGUST 16, 2023. 2ND SHIFT. TO PRIORITIZE BREAKING OF L10_DPVE_095E_STOPE.</t>
  </si>
  <si>
    <t>L09_DPVE_090E_ROBBING</t>
  </si>
  <si>
    <t>L03_CTV_018W_ROBBING</t>
  </si>
  <si>
    <t>REPLACEMENT OF L03_JVSPLIT_038W_ROBBING. APPROVED ON JULY 13, 2023.STOPPED ON AUGUST 4, 2023. ALREADY MADE A BREAKTHROUGH</t>
  </si>
  <si>
    <t>REPLACEMENT OF L08_DPVE_068E_DW_ISL APPROVED ON JUNE 28, 2023.STOPPED ON JULY 12, 2023. ALREADY REACHED RECOMMENDED STRIKE LENGTH.RESUMED ON AUGUST 3, 2023. STOPPED ON AUGUST 10, 2023. FILL RAISE AT 68E ROBBING.</t>
  </si>
  <si>
    <t xml:space="preserve"> REPLACEMENT OF L08_DPVE_020E_WINZE APPROVED ON JULY 3, 2023. TOPSLICE.STOPPED ON AUGUST 17, 2023. ALREADY REACHED THE RECOMMENDED STRIKE LENGTH</t>
  </si>
  <si>
    <t>REPLACEMENT OF L08_DPVE_080E_ROBBING. APPROVED ON AUGUST 4, 2023.STOPPED ON AUGUST 18, 2023. 3RD SHIFT. DUE TO PINCHED OUT VEIN.</t>
  </si>
  <si>
    <t>L10_GHVHW_062E_ROBBING</t>
  </si>
  <si>
    <t xml:space="preserve">REPLACEMENT OF L10_NONE_030E_XCN, APPROVED ON JULY 25, 2023.STOPPED ON AUGUST 18, 2023. DUE TO OFF VEIN
</t>
  </si>
  <si>
    <t>REPLACEMENT OF L10_DPVE_010E_STOPE PREP. APPROVED ON MARCH 8, 2023. STOPE BREAKING.STOPPED BREAKING AND CONVERT TO STOPE PULL-OUT. MEMO RECEIVED ON AUGUST 7, 2023.STOPPED ON AUGUST 18, 2023. ALREADY MINED OUT WITH 92% P.O</t>
  </si>
  <si>
    <t>REPLACEMENT OF L10_GHVFW_044E_DW. APPROVED ON JULY 27, 2023.STOPPED ON AUGUST 18, 2023. ALREADY REACHED THE RECOMMENDED STRIKE LENGTH.</t>
  </si>
  <si>
    <t>REPLACEMENT OF L11_DPVE_030E_DW. APPROVED ON JULY 26, 2023.STOPPED ON AUGUST 14, 2023, CONVERTED TO ACTIVE BREAKING.</t>
  </si>
  <si>
    <t>L11_DPVE_028E_STOPE</t>
  </si>
  <si>
    <t>REPLACEMENT OF L11_DPVE_029E_RAISE. APPROVED ON JULY 25, 2023.STOPPED ON AUGUST 18, 2023, CONVERTED TO ACTIVE BREAKING</t>
  </si>
  <si>
    <t>L11_DPVE_029E_STOPE</t>
  </si>
  <si>
    <t>REPLACEMENT OF L10_JV_048E_STOPE PREP APPROVED ON JUNE 27, 2023.STOPPED BREAKING ON AUGUST 20, 2023, COVERTED TO PULLOUT CLEANING.</t>
  </si>
  <si>
    <t>L09_GHV_004W_ROBBING</t>
  </si>
  <si>
    <t>L10_GHVSPLIT_030E_DW</t>
  </si>
  <si>
    <t>L11_GHVFW_025E_RAISE</t>
  </si>
  <si>
    <t>REPLACEMENT OF L11_NONE_028E_XCN, APPROVED ON JUNE 7, 2023.STOPPED ON AUGUST 14, 2023 ALREADY INTERCEPTED THE TARGET.RESUMED ON AUGUST 15, 2023 AS PER LM, LAST 5 BLASTING.TEMPORARY STOPPED ON AUGUST 21 TO PRIORITIZED RAISE.</t>
  </si>
  <si>
    <t>L12_JVHW_042E_RAISE</t>
  </si>
  <si>
    <t>L12_DPVE_038E_DW</t>
  </si>
  <si>
    <t>REPLACEMENT OF L12 GHVHW 052E DE. APPROVED ON MAR 14, 2022.TEMPORARY STOPPED ON JULY 14,2022 FULL OF MUCK. RESUMED ON AUGUST 1,2022. TEMPORARY STOPPED ON DECEMBER 7,2022.RESUMED ON JUNE 26, 2023. TEMPORARY STOPPED ON AUGUST 4, 2023. FULL OF MUCK CANNOT CONTINUE.RESUMED ON AUGUST 8, 2023.STOPPED ON AUGUST 21, 2023 DUE TO CONSECUTIVE LOW ASSAY GRADE.</t>
  </si>
  <si>
    <t>L11_JV_054E_STOPE</t>
  </si>
  <si>
    <t>REPLACEMENT OF L06_GHV_024E_ROBBING. APPROVED ON JULY 3, 2023. 3RD SHIFT.STOPPED ON AUGUST 21, 2023 TO CONVERT TO STOPE BREAKING.</t>
  </si>
  <si>
    <t>L12_NONE_047E_XCS</t>
  </si>
  <si>
    <t>L08_DPVE_024E_ROBBING</t>
  </si>
  <si>
    <t xml:space="preserve">ADDITIONAL SOURCE OF STOPE ORE AT LEVEL 8. APPROVED ON APRIL 17, 2023.ALREADY DONE STOPE PREP ON MAY 24, 2023. CONVERT TO STOPE BREAKING.TEMPORARY STOPPED ON JUNE 4, 2023 TO REHAB WINZE.RESUMED ON JUNE 16, 2023.STOPPED BREAKING ON AUGUST 22, 2023 AT THE SAME TIME CONVERTED TO STOPE PULL OUT.
</t>
  </si>
  <si>
    <t>L10_JVFW_064E_ROBBING</t>
  </si>
  <si>
    <t>L10_DPVE_022E_ROBBING</t>
  </si>
  <si>
    <t>REPLACEMENT OF L08_DPVE_005W_DW APPROVED ON AUGUST 15, 2023.STOPPED ON AUGUST 22, 2023 DUE TO PINCHED OUT OF VEIN.</t>
  </si>
  <si>
    <t>REPLACEMENT OF L10_DPVE_096E_DE APPROVED ON JUNE 2, 2023.TEMPORARILY STOPPED ON JUNE 9, 2023 UNSERVICEABLE AREA.RESUMED ON JUNE 15, 2023.TEMPORARY STOPPED ON JULY 17, 2023 TO PRIORITIZE RAISE.RESUMED ON AUGUST 1, 2023. AT THE SAME TIME CHANGE TEAM LEADER FROM BELICAN 2 TO SHEPHERD BA 3.STOPPED ON  AUGUST 22, 2023 DUE TO PINCHED OUT OF VEIN.</t>
  </si>
  <si>
    <t>REPLACEMENT OF L10_DPVE_090E_DW. APPROVED ON AUGUST 16, 2023.STOPPED ON AUGUST 22, 2023 DUE TO PINCHED OUT OF VEIN.</t>
  </si>
  <si>
    <t>L10_GHVSPLIT_036E_RAISE</t>
  </si>
  <si>
    <t>L09_DPVE_033E_STOPE</t>
  </si>
  <si>
    <t>REPLACEMENT OF L09_GHVHW_015W_RAISE APPROVED AUGUST 4, 2023.STOPPED ON AUGUST 19, 2023, ALREADY BREAKTHROUGH AND CONVERT TO STOPE BREAKING.</t>
  </si>
  <si>
    <t>L09_GHVHW_024E_STOPE</t>
  </si>
  <si>
    <t>REPLACEMENT OF L09_DPVE_034E_STOPE. APPROVED ON AUGSUT 4, 2023.STOPPED AND CONVERT TO STOPE BREAKING PN AUGUST 22, 2023.</t>
  </si>
  <si>
    <t>REPLACEMENT OF L10_DPVE_063E_ROBBING. APPROVED ON AUGUST 18, 2023. 2ND SHIFT. SILL PILLAR.RENAME FROM L10_GHVHW_060E_ROBBING TO L10_GHVHW_062E_ROBBING. TO AVOID MISCHARGE. APPROVED ON AUGUST 18, 2023.STOPPED ON AUGUST 23, 2023 DUE TO CONSECUTIVE LOW ASSAY GRADE.</t>
  </si>
  <si>
    <t xml:space="preserve"> REPLACEMENT OF L10_JVSPLIT_043E_RAISE. APRROVED ON JULY 24, 2023.STOPPED ON AUG 21, 2023. ALREADY DONE PILLAR ROBBING.</t>
  </si>
  <si>
    <t>REPLACEMENT OF L07_JV_021E_ROBBING. APPROVED ON JULY 3, 2023. 2ND SHIFT. TEMPORY STOPPED ON JULY 17, 2023, 2ND SHIFT. PRIOTIZED CLEANING ON THE 5W SUMP TO DEWATER MAINLINE. RESUMED ON JULY 25, 2023.CHANGE VEIN HEADING FROM L09_GHVHW_004W_ROBBING TO L09_GHV_004W_ROBBING ON AUGUST 21, 2023 FOR PROPER VEIN NAMING.STOPPED ON AUGUST 24, 2023 2ND SHIFT DUE TO CONSECUTIVE LOW ASSAY GRADE.</t>
  </si>
  <si>
    <t>REPLACEMENT OF L10_DPVE_032E_RAISE, APPROVED ON JULY 26, 2023. SILL PILLAR.STOPPED ON AUGUST 24, 2023 3RD SHIFT DUE TO CONSECUTIVE LOW ASSAY GRADE ON BOTH GRAB AND BULK SAMPLE.</t>
  </si>
  <si>
    <t>REPLACEMENT OF L09_DPVE_043E_WINZE STOPE PREP. APPROVED ON APRIL 20, 2023.STOPPED BREAKING AND CONVERT TO STOPE PULL-OUT ON JULY 24, 2023.STOPPED ON AUGUST 24, 2023 DUE TO CONSECUTIVE LOW ASSAY GRADE WITH 100% PULL-OUT WITH 5 REMAINING MC.</t>
  </si>
  <si>
    <t>L11_DPVE_043E_DE</t>
  </si>
  <si>
    <t>REPLACEMENT OF L10_DPVE_068E_STOPE. APPROVED ON AUGUST 16, 2023.STOPPED ON AUGUST 25, 2023 ALREADY INTERCEPTED THE VEIN.</t>
  </si>
  <si>
    <t>L10_DPVE_040E_ROBBING</t>
  </si>
  <si>
    <t>REPLACEMENT OF L10_DPVE_097E_DE. APPROVED ON JULY 19, 2023.STOPPED ON AUGUST 25, 2023 ALREADY REACHED THE RECOMMENDED HEIGHT.</t>
  </si>
  <si>
    <t>L11_JV_035E_STOPE PREP</t>
  </si>
  <si>
    <t>REPLACEMENT OF L11_NONE_039E_XCN, APPROVED ON JULY 25, 2023.STOPPED ON AUGUST 15, 2023, CONVERTED TO STOPE BREAKING.</t>
  </si>
  <si>
    <t>L12_JV_049E_DW</t>
  </si>
  <si>
    <t>L08_DPVE_072E_DW_ISL</t>
  </si>
  <si>
    <t>REPLACEMENT OF L09_DPVE_006E_DW. APPROVED ON AUGUST 15, 2023. SILL.STOPPED ON AUGUST 23, 2023 ALREADY MINED-OUT.</t>
  </si>
  <si>
    <t>REPLACEMENT OF L10_GHVHW_061E_STOPE PREP. APPROVED ON JULY 26, 2023.STOPPED BREAKING AND CONVERT TO STOPE PULL-OUT ON AUGUST 25, 2023 3RD SHIFT AS WELL AS TRAVERSE ON THE SAME DAY.</t>
  </si>
  <si>
    <t>L10_DPVE_046E_ROBBING</t>
  </si>
  <si>
    <t>L10_DPVE_094E_STOPE PREP</t>
  </si>
  <si>
    <t>L10_NONE_050E_XCN</t>
  </si>
  <si>
    <t>L08_GHV_018W_ROBBING</t>
  </si>
  <si>
    <t>L08_GHVHW_012W_ROBBING</t>
  </si>
  <si>
    <t>L11_DPVE_025E_DW</t>
  </si>
  <si>
    <t>L09_JVSPLIT_041E_RAISE</t>
  </si>
  <si>
    <t>REPLACEMENT OF L09_JVSPLIT_041E_ROBBING. APPROVED ON AUGUST 26, 2023.STOPPED ON AUGUST 29, 2023 PINCHED OUT VEIN.</t>
  </si>
  <si>
    <t>L09_DPVE_081E_WINZE</t>
  </si>
  <si>
    <t>L09_JVSPLIT_048E_DW_ISL</t>
  </si>
  <si>
    <t>L09_DPVE_076E_RAISE</t>
  </si>
  <si>
    <t>ADDITIONAL VERTICAL DEVELOPMENT. APPROVED ON JUNE 26, 2023.STOPPED ON AUGUST 29, 2023 DUE TO PINCHED OUT OF VEIN.</t>
  </si>
  <si>
    <t>REPLACEMENT OF L12_NONE_048E_XCN_ISL TO BREAKTHROUGH TO 35E SHAFT. APPROVED ON JUNE 26, 2023.STOPPED ON AUGUST 29, 2023 TO PROCEED TO SINKING.</t>
  </si>
  <si>
    <t>REPLACEMENT OFL10_JVSPLIT_067E_STOPE PREP APPROVED ON JULY 23, 2023.CONVERTED TO PULLOUT CLEANING ON AUGUST 30, 2023 AS WELL AS TRAVERSED ON THE SAME DAY 2ND SHIFT.</t>
  </si>
  <si>
    <t>REPLACEMENT OF L08_DPVE_030E_WINZE. APPROVED ON AUGUST 2, 2023.STOPPED ON  AUGUST 31, 2023. 2ND SHIFT. ALREADY REACHED THE RECOMMENDED STRIKE LENGTH.</t>
  </si>
  <si>
    <t xml:space="preserve">ADDITIONAL SOURCE OF STOPE ORE AT LEVEL 8. APPROVED ON APRIL 17, 2023.ALREADY DONE STOPE PREP ON MAY 24, 2023. CONVERT TO STOPE BREAKING.TEMPORARY STOPPED ON JUNE 4, 2023 TO REHAB WINZE.RESUMED ON JUNE 16, 2023.STOPPED BREAKING ON AUGUST 22, 2023 AT THE SAME TIME CONVERTED TO STOPE PULL OUT.CONVERTED TO STOPE PULL OUT ON AUGUST 22, 2023.STOPPED ON AUGUST 31, 2023. ALREADY MINED-OUT.
</t>
  </si>
  <si>
    <t>L08_DPVE_030E_WINZE STOPE PREP</t>
  </si>
  <si>
    <t>REPLACEMENT OF L10_DPVE_008E_DW. APPROVED ON AUGUST 16, 2023.TEMPORARY STOPPED ON AUGUST 22, 2023 TO ARRANGE PROPERLY ITS MP.RESUMED ON AUGUST 29, 2023, AT THE SAME TIME TRANSFERRED FROM MARTINEZ, RON  TO MONTEBON 1.TEMP STOPPED ON SEPT 1, 2023, MANPOWER SURRENDERED.</t>
  </si>
  <si>
    <t xml:space="preserve"> REPLACEMENT OF L11_GHVFW_027E_DW. APPROVED ON AUGUST 22, 2023 .TEMPORARY STOPPED ON SEPTEMBER 1, 2023 TO PRIORITIZE HORIZONTAL DEVELOPMENT.</t>
  </si>
  <si>
    <t>REPLACEMENT OF L09_DPVE_075E_RAISE APPROVED ON AUGUST 8, 2023.STOPPED DUE TO OFF-VEIN FOR 8 METERS. APPROVED ON SEPTEMBER 01, 2023. 2ND SHIFT</t>
  </si>
  <si>
    <t>REPLACEMENT OF L09_GHVHW_066E_WINZE. APPROVED ON JUNE 23, 2023.TRANSFERRED FROM CAYMAN 3 TO SHEPHERD AY 1  ON AUGUST 15, 2023.STOPPED DUE TO CONSECUTIVE LOW ASSAY GRADE. APPROVED ON SEPTEMBER 01, 2023. 2ND SHIFT</t>
  </si>
  <si>
    <t>L10_DPVE_092E_WINZE</t>
  </si>
  <si>
    <t>REPLACEMENT OF L08_DPVE_022E_ROBBING. APPROVED ON AUGUST 19, 2023.STOPPED ON SEPETMEBER 4, 2023. ALREADY REACHED THE RECOMMENDED STRIKE LENGTH.</t>
  </si>
  <si>
    <t>REPLACEMENT OF L08_DPVE_068E_RAISE_ISL APPROVED ON  JULY 12, 2023 TOPSLICE.STOPPED ON SEPTEMBER 4, 2023. ALREADY REACHED THE RECOMMENDED STRIKE LENGTH.</t>
  </si>
  <si>
    <t>REPLACEMENT OF L10_GHVHW_061E_STOPE PREP. APPROVED ON JULY 26, 2023.STOPPED BREAKING AND CONVERT TO STOPE PULL-OUT ON AUGUST 25, 2023 3RD SHIFT AS WELL AS TRAVERSE ON THE SAME DAY.STOPPED ON SEPTEMBER 01, 2023 2ND SHIFT. ALREADY MINED-OUT.</t>
  </si>
  <si>
    <t xml:space="preserve">REPLACEMENT OF L11 JV 039E DW, APPROVED ON JULY 19, 2023.TEMP STOPPED ON JULY 25, 2023.RESUMED ON AUGUST 9, 2023.STOPPED ON SEPT 3, 2023. ALREADY ON VEIN DRIVE
</t>
  </si>
  <si>
    <t xml:space="preserve">ADDITIONAL VERTICAL DEVELOPMENT. APPROVED ON JULY 29, 2023.TEMP STOPPED ON AUG 2, 2023. TO CONTINUE DRIVING L11_JVFW_058E_RAISE FOR BREAK THROUGH.RESUME ON AUGUST 16, 2023.STOPPED ON SEPT 4, 2023, LOW GRADE.
</t>
  </si>
  <si>
    <t>REPLACEMENT OF L12_JV_054E_DE. APPROVED ON JULY 14, 2023.STOPPED ON AUGUST 10, 2023 DUE TO CONSECUTIVE LOW ASSAY GRADE.RESUMED ON AUGUST 25, 2023 AS WELL AS TRANSFERRED FROM DUHIG, P8 TO DUHIG, P5.STOPPED ON SEPT 4, 2023, ALREADY OFF VEIN.</t>
  </si>
  <si>
    <t>REPLACEMENT OF L11_NONE_062E_XCN. APPROVED JULY 14, 2023. 3RD SHIFT.STOPPED ON SEPT 4, 2023. VEIN PINCHED OUT.</t>
  </si>
  <si>
    <t>REPLACEMENT OF L10_JVHW_064E_RAISE, APPROVED ON JULY 26, 2023. SILL PILLAR.STOPPED ON SEPTEMBER 2, 2023. ALREADY FINISHED HEADING</t>
  </si>
  <si>
    <t>L03_NONE_TIGERWAYDSP4_SHAFT</t>
  </si>
  <si>
    <t>REPLACEMENT OF L10_DPVE_042E_ROBBING. APPROVED ON AUGUST 25, 2023.STOPPED ON SEPTEMBER 4, 2023. 3RD SHIFT. ALREADY FINISHED HEADING.</t>
  </si>
  <si>
    <t>TIGERWAYDSP4</t>
  </si>
  <si>
    <t>ADDITIONAL SOURCE OF GOOD ORE. APPROVED ON JUNE 3, 2023. SILL.TEMPORARY STOPPED ON JUNE 7, 2023. TO PRIORITIZE CLEANING.RESUMED ON JUNE 19, 2023.TEMPORARY STOPPED ON AUGUST 18, 2023. TO PRIORITIZE L03_CTV_018W_ROBBING PULLOUT.RESUMED ON AUGUST 21, 2023.STOPPED ON SEPTEMBER 05, 2023. ALREADY REACHED THE RECOMMENDED STRIKE LENGTH.</t>
  </si>
  <si>
    <t>L03_CTV_021W_ROBBING</t>
  </si>
  <si>
    <t>L10_DPVE_062E_ROBBING</t>
  </si>
  <si>
    <t>REPLACEMENT OF L10_GHV_066E_ROBBING. APPROVED ON JUNE 14, 2023.TEMPORARY STOPPED ON JULY 19, 2023. TO PRIORITIZE TIMBERING.RESUMED ON JULY 24, 2023 1ST SHIFT.ADVISED TO RENAME TO AVOID MISCHARGING TO L11_GHV_060E_STOPE PARAN 2. RENAME TO L10_GHV_066E_ROBBING.TEMPORARY STOPPED TO PRIORITIZE L11_GHV_063E_ROBBING. APPROVED ON SEPTEMBER 05, 2023.</t>
  </si>
  <si>
    <t>L11_DPVE_047E_DW</t>
  </si>
  <si>
    <t>APPROVED ON AUGUST 16, 2023. MANPOWER TRANSFERRED FROM L09_JVSPLIT_041E_ROBBING.RENAME FROM L12_JV_038E_DW TO L12_DPVE_038E_DW ON AUGUST 21, 2023.STOPPED ON SEPTEMBER 5, 2023. DUE TO LOW GRADE. MEMO TO BE FOLLOWED.</t>
  </si>
  <si>
    <t>L12_GHVHW_069E_RAISE</t>
  </si>
  <si>
    <t>L12_GHVFW_062E_DW</t>
  </si>
  <si>
    <t>REPLACEMENT OF L09_JVSPLIT_038E_DW, TO TARGET DRILLING INTERCEPTS. APPROVED ON JULY 31, 2023.STOPPED ON SEPTEMBER 5, 2023. 2ND SHIFT. ALREADY REACHED THE RECOMMENDED STRIKE LENGTH.</t>
  </si>
  <si>
    <t>L09_DPVE_023E_WINZE</t>
  </si>
  <si>
    <t>L08_DPVE_019E_ROBBING</t>
  </si>
  <si>
    <t>REPLACEMENT OF L09_DPVE_058E_DE_ISL APPROVED ON MAY 30, 2023.CHANGE TEAM NAME FROM GUNAY 4 TO SHEPHERD BE, TEAM LEADER MICHAEL GUNAY HAS BEEN PROMOTED AS ACTING TEAM LEADER, EFFECTIVE STARTING JUNE 2ND HALF, APPROVED ON JUNE 5, 2023.STOPPED ON JUNE 26, 2023 CONVERTED TO STOPE BREAKING.CONVERTED TO STOPE BREAKING APPROVED ON JUNE 26, 2023.STOPPED ON SEPTEMBER 7, 2023, CONVERTED TO PULLOUT CLEANING.</t>
  </si>
  <si>
    <t>L09_GHVFW_045E_WINZE</t>
  </si>
  <si>
    <t>REPLACEMENT OF L11_GHVFW_048E_STOPE PREP. APPROVED ON MAY 26, 2023.RECOMMENDED TO CONDUCT  IPR FOR GRADE CONFIRMATION  ON JUNE 7, 2023.TRANSFER OF MANPOWER FROM MONTEBON 1 TO MAPAYO 1 DUE TO MANPOWER ISSUE, LOW PERFORMING. STARTED JULY 25, 2023.STOPPED BREAKING AND CONVERT TO STOPE PULL-OUT. MEMO RECEIVED ON AUGUST 7, 2023.CHANGE TEAM LEADER FROM MAPAYO 1 TO MONTEBON 1 TO RETAIN THEIR RETENTION APPROVED ON AUGUST 9, 2023, STARTING 3RD SHIFT.STOPPED ON SEPTEMBER 08, 2023. ALREADY MINED-OUT. W/ 105% PULL-OUT.</t>
  </si>
  <si>
    <t>REPLACEMENT OF L11_GHVFW_045E_STOPE PREP. APPROVED ON MAY 26, 2023.RECOMMENDED TO CONDUCT 2 IPR FOR GRADE CONFIRMATION  ON JUNE 7, 2023.STOPPED BREAKING AND CONVERT TO STOPE PULL-OUT. MEMO RECEIVED ON AUGUST 7, 2023.STOPPED ON SEPTEMBER 08, 2023. ALREADY MINED-OUT.</t>
  </si>
  <si>
    <t>REPLACEMENT OF L10_JV_048E_STOPE PREP APPROVED ON JUNE 27, 2023.STOPPED BREAKING ON AUGUST 20, 2023, COVERTED TO PULLOUT CLEANING.CONVERTED TO PULLOUT CLEANING APPROVED ON AUGUST 20, 2023.STOPPED ON SEPTEMBER 07, 2023. ALREADY MINED OUT. W/ 98% PULL-OUT.</t>
  </si>
  <si>
    <t>REPLACEMENT OF L10_JVSPLIT_068E_STOPE PREP. APPROVED ON JUNE 7, 2023.TEMPORARY STOPPED ON JULY 5, 2023 TO PRIORITIZE L10_JVSPLIT_067E_STOPE PREP.RESUMED ON JULY 19, 2023.TEMPORARILY STOPPED ON AUGUST 16, 2023. DUE TO UNSERVICABLE AREA.CONVERTED TO PULLOUT CLEANING ON SEPTEMBER 11, 2023.</t>
  </si>
  <si>
    <t>L08_GHV_017W_DW</t>
  </si>
  <si>
    <t>REPLACEMENT OF L09_DPVE_009E_RAISE APPROVED ON AUGUST 4, 2023. SILL.TRANSFERRED FROM CAYMAN 2 TO PANSIT, NORMAN 2  ON AUGUST 14, 2023.CHANGE TEAM LEADER FROM PANSIT, NORMAN 2 TO DELOS REYES V1 APPROVED ON AUGUST 18, 2023, PANSIT WAS TRANSFERRED TO L09_JVSPLIT_073E_WINZE.TEMPORARY STOPPED ON AUGUST 26, 2023 TO PRIOTY L09_JVSPLIT_041E_RAISE.RESUMED ON AUGUST 29, 2023.ALREADY MINED OUT ON SEPTEMBER 9, 2023.</t>
  </si>
  <si>
    <t>REPLACEMENT OF L11_DPVE_042E_RAISE APPROVED ON AUGUST 9, 2023.STOPPED ON SEPT 11, 2023 ALREADY DONE STOPE PREP.</t>
  </si>
  <si>
    <t>REPLACEMENT OF L10_DPVE_044E_ROBBING. APPROVED ON SEPTEMBER 05, 2023.STOPPED ON SEPTEMBER 11, 2023. 3RD SHIFT. ALREADY MINED OUT. MEMO TO BE FOLLOWED.</t>
  </si>
  <si>
    <t>L09_DPVE_075E_DE</t>
  </si>
  <si>
    <t>L09_JV_035E_DE</t>
  </si>
  <si>
    <t>REPLACEMENT OF L09_DPVE_033E_STOPE PREP. CONVERT TO ACTIVE BREAKING ON AUGUST 19, 2023.IPR AT +10ME AT 5TH FLOOR ON SEPTEMBER 7, 2023.STOPPED BREAKING ON SEPTEMBER 11, 2023 DUE TO LOW GRADE RESULT ON IPR.</t>
  </si>
  <si>
    <t>L10_GHVSPLIT_030E_RAISE</t>
  </si>
  <si>
    <t>L10_JVSPLIT_044E_RAISE</t>
  </si>
  <si>
    <t>REPLACEMENT OF L10_GHVSPLIT_030E_DE. APPROVED ON AUGUST 21, 2023.STOPPED ON SEPTEMBER 12, 2023, ALREADY MADE A BREAKTHROUGH.</t>
  </si>
  <si>
    <t>L03_JV_020W_ROBBING</t>
  </si>
  <si>
    <t>REPLACEMENT OF L12 DPVE 041E DE. APPROVED ON JULY 25, 2023.STOPPED ON SEPT 12, 2023. CUT BY FAULT.</t>
  </si>
  <si>
    <t>L10_JVHW_060E_ROBBING</t>
  </si>
  <si>
    <t>REPLACEMENT OF L09_DPVE_033E_STOPE PREP. CONVERT TO ACTIVE BREAKING ON AUGUST 19, 2023.IPR AT +10ME AT 5TH FLOOR ON SEPTEMBER 7, 2023.STOPPED BREAKING ON SEPTEMBER 11, 2023 DUE TO LOW GRADE RESULT ON IPR.CONVERTED TO PULLOUT CLEANING ON SEPTEMBER 11, 2023 3RD SHIFT.STOPPED DUE TO CONSECUTIVE LOW QA/QC RESULTS. APPROVED ON SEPTEMBER 14, 2023. 2ND SHIFT.</t>
  </si>
  <si>
    <t>REPLACEMENT OF L09_NONE_062E_XCN APPROVED ON AUGUST 8, 2023.STOPPED DUE TO PINCHED OUT VEIN FOR 6 METERS. APPROVED ON SEPTEMBER 14, 2023. 2ND SHIFT.</t>
  </si>
  <si>
    <t>L08_DPVE_064E_ROBBING</t>
  </si>
  <si>
    <t>L08_JVSPLIT_074E_WINZE</t>
  </si>
  <si>
    <t>L08_DPVE_030E_WINZE STOPE</t>
  </si>
  <si>
    <t>REPLACEMENT OF L08_DPVE_030E_DE_ISL. APPROVED ON SEPTEMBER 01, 2023.STOPPED ON SEPTEMBER 15, 2023, CONVERTED TO STOPE BREAKING.</t>
  </si>
  <si>
    <t>L10_GHVFW_052E_ROBBING</t>
  </si>
  <si>
    <t>REPLACEMENT OF L10_GHV_062E_ROBBING. FILL WINZE. APPROVED JULY 14, 2023.STOPPED ON SEPTEMBER 14, 2023. ALREADY MADE A BREAKTHROUGH.</t>
  </si>
  <si>
    <t xml:space="preserve">REPLACEMENT OF L09_DPVE_032E_WINZE. APPROVED ON JULY 25, 2023.STOPPED ON SEPTEMBER 15, 2023. ALREADY FINISHED. CONVERTED TO ISL PREPARATION.
</t>
  </si>
  <si>
    <t>REPLACEMENT OF L09_DPVE_040E_ROBBING APPROVED ON MAY 26, 2023.TEMPORARY STOPPED ON AUGUST 14, 2023, MANPOWER TRANSFERRED TO LEVEL 12.RESUMED ON AUGUST 18 , 2023 AT THE SAME TIME TRANSFERRED FROM BABOR 3 TO PANSIT, NORMAN 2.STOPPED ON SEPTEMBER 15, 2023. ALREADY FINISHED. CONVERTED TO ISL PREPARATION.</t>
  </si>
  <si>
    <t>L09_DPVE_088E_DW_ISL</t>
  </si>
  <si>
    <t>L09_JVSPLIT_073E_DE_ISL</t>
  </si>
  <si>
    <t>REPLACEMENT OF L09_DPVE_019E_DE. APPROVED ON MAY 30, 2023.RENAME FROM L09_GHVHW_016W_DW TO L09_GHVHW_014W_DW. ON MAY 31, 2023.TEMP STOPPED ON ON JULY 4, 2023. TO DRIVE EXPLORATORY RAISE.RESUMED ON JULY 10, 2023.STOPPED ON JULY 17, 2023. ALREADY REACHED THE RECOMMENDED STRIKE LENGTH.</t>
  </si>
  <si>
    <t>L12_GHVSPLIT_055E_STOPE PREP</t>
  </si>
  <si>
    <t>REPLACEMENT OF L09_DPVE_078E_WINZE STOPE PREP APPROVED ON AUGUST 14, 2023.STOPPED BREAKING ON SEPTEMBER 15, 2023.</t>
  </si>
  <si>
    <t xml:space="preserve">REPLACEMENT OF L03_CTV_010W_ROBBING. APPROVED ON AUGUST 17, 2023. SILL.STOPPED ON SEPT 13, 2023 ALREADY DONE ROBBING PILLAR.
</t>
  </si>
  <si>
    <t>ADDITIONAL VERTICAL DEVELOPMENT. APPROVED ON JULY 24, 2023.RENAME FROM L12_JV_042E_RAISE TO L12_JVHW_042E_RAISE ON AUGUST 21, 2023.STOPPED ON SEPT 16, 2023. ALREADY OFF VEIN.</t>
  </si>
  <si>
    <t xml:space="preserve">REPLACEMENT OF L11_JV_057E_DE, APPROVED ON AUG 2, 2023.STOPPED ON AUGUST 28, 2023. PINCHED OUT VEIN. MEMO TO BE FOLLOWED GEO.RESUMED ON SEPT 6, 2023 AT THE SAME TIME TRANSFERRED FROM ALEñAR 2 TO REBOTE 1, MGMT DECISION.STOPPED ON SEPT 16, 2023. LOW GRADE.
</t>
  </si>
  <si>
    <t>REPLACEMENT OF L08_DPVE_062E_WINZE STOPE PREP APPROVED ON AUGUST 10, 2023.STOPPED BREAKING ON SEPTEMBER 16. 2023. AT THE SAME TIME CONVERTED TO PULL-OUT CLEANING.</t>
  </si>
  <si>
    <t>REPLACEMENT OF L08_GHV_004E_WINZE STOPE PREP. APPROVED ON JULY 27, 2023.STOPPED BREAKING ON SEPTEMBER 16. 2023. AT THE SAME TIME CONVERTED TO PULL-OUT CLEANING.</t>
  </si>
  <si>
    <t>L10_DPVE_015E_DE</t>
  </si>
  <si>
    <t>L10_DPVE_014E_RAISE</t>
  </si>
  <si>
    <t xml:space="preserve">REPLACEMENT OF L11_GHV_055E_STOPE. APPROVED ON JULY 3, 2023. VENTILATION CROSSCUT TO EPE.TEMPORARY STOPPED ON JULY 20, 2023. DUE TO ABSENTEEISM, MEN INVOLVED IN VEHICULAR ACCIDENT.RESUMED ON AUGUST 21, 2023 AS WELL AS TRANSFERRED FROM PARAN 1 TO BAÑEZ 8.STOPPED ON SEPTEMBER 18, 2023. FOR ALIMAK RAISE
</t>
  </si>
  <si>
    <t>L11_DPVE_023E_STOPE PREP</t>
  </si>
  <si>
    <t>L11_GHVHW_053E_RAISE</t>
  </si>
  <si>
    <t>L11_GHVFW_024E_RAISE</t>
  </si>
  <si>
    <t>L08_JVSPLIT_069E_WINZE</t>
  </si>
  <si>
    <t>ADDITIONAL DEVELOPMENT DRIVE. APPROVED ON SEPTEMBER 09, 2023.STOPPED ON SEPTEMBER 18, 2023. MEMO TO BE FOLLOWED BY GEO.</t>
  </si>
  <si>
    <t xml:space="preserve">REPLACEMENT OF L08_DPVE_068E_ROBBING. APPROVED ON SEPTEMBER 4, 2023.RENAMED FROM L08_DPVE_065E_ROBBING TO L08_DPVE_064E_ROBBING TO AVOID MISCHARGING WITH L09_DPVE_065E_ROBBING. APPROVED ON SEPTEMBER 14, 2023.STOPPED ON SEPTEMBER 16, 2023. MEMO TO BE FOLLOWED.
</t>
  </si>
  <si>
    <t>REPLACEMENT OF L12_GHVHW_050E_DW. APPROVED ON AUGUST 25, 2023.STOPPED ON SEPTEMBER 19, 2023. PINCHED OUT VEIN ON LAST 2 INTERVALS.</t>
  </si>
  <si>
    <t>REPLACEMENT OFL10_JVSPLIT_067E_STOPE PREP APPROVED ON JULY 23, 2023.CONVERTED TO PULLOUT CLEANING ON AUGUST 30, 2023 AS WELL AS TRAVERSED ON THE SAME DAY 2ND SHIFT.STOPPED ON SEPTEMBER 19, 2023. ALREADY MINED OUT.</t>
  </si>
  <si>
    <t>L12_GHVSPLIT_070E_RAISE</t>
  </si>
  <si>
    <t>ADDITIONAL SOURCE OF GOOD ORE. APPROVED ON AUGUST 15, 2023.RENAME FROM L12_GHVSPLIT_059E_STOPE PREP TO L12_GHVSPLIT_055E_STOPE PREP, TO AVOID MISCHARGING TO L12_GHV_059E_DW. APRROVED ON SEPT 15, 2023 AS PER LG.STOPPED ON SEPTEMBER 18, 2023 ALREADY CONVERTED TO STOPE BREAKING.</t>
  </si>
  <si>
    <t>REPLACEMENT OF L10_DPVE_040E_ROBBING. APPROVED ON SEPTEMBER 05, 2023.STOPPED ON SEPTEMBER 20, 2023. CONVERTED TO STOPE BREAKING.</t>
  </si>
  <si>
    <t>L10_DPVE_094E_STOPE</t>
  </si>
  <si>
    <t>REPLACEMENT OF L10_DPVE_094E_RAISE. APPROVED ON AUGUST 28, 2023.STOPPED ON SEPTEMBER 18, 2023. CONVERTED TO STOPE BREAKING.</t>
  </si>
  <si>
    <t>L11_DPVE_020E_RAISE</t>
  </si>
  <si>
    <t>REPLACEMENT OF L09_GHVHW_024E_STOPE PREP. APPROVED ON AUGUST 22, 2023.STOPPED ON SEPTEMBER 20, 2023 DUE TO CONSECUTIVE LOW QA/QC RESULTS.</t>
  </si>
  <si>
    <t>REPLACEMENT OF L09_DPVE_090E_ROBBING. APPROVED ON AUGUST 29, 2023.STOPPED ON SEPTEMBER 21, 2023 DUE TO PINCHED OUT VEIN.</t>
  </si>
  <si>
    <t>REPLACEMENT OF L09_GHV_063E_WINZE. APPROVED ON JULY 26, 2023. SILL.STILL ON-GOING CLEANING STARTING ON JULY 26, 2023.STOPPED ON SEPTEMBER 21, 2023, ALREADY MINED OUT.</t>
  </si>
  <si>
    <t>REPLACEMENT OF L09_DPVE_058E_DE_ISL APPROVED ON MAY 30, 2023.CHANGE TEAM NAME FROM GUNAY 4 TO SHEPHERD BE, TEAM LEADER MICHAEL GUNAY HAS BEEN PROMOTED AS ACTING TEAM LEADER, EFFECTIVE STARTING JUNE 2ND HALF, APPROVED ON JUNE 5, 2023.STOPPED ON JUNE 26, 2023 CONVERTED TO STOPE BREAKING.CONVERTED TO STOPE BREAKING APPROVED ON JUNE 26, 2023.STOPPED ON SEPTEMBER 7, 2023, CONVERTED TO PULLOUT CLEANING.STOPPED ON SEPTEMBER 21, 2023, ALREADY MINED OUT.</t>
  </si>
  <si>
    <t xml:space="preserve">REPLACEMENT OF L10_DPVE_014E_DE. APPROVED ON AUGUST 1, 2023.STOPPED ON SEPTEMBER 18, 2023. 2ND SHIFT  TO PRIORITIZE BLOCKING RAISE </t>
  </si>
  <si>
    <t>REPLACEMENT OF L09_GHVHW_014W_DW APPROVED ON JULY 17, 2023 TO TARGET GHV RESERVE BLOCKS.STOPPED ON SEPTEMBER 21, 2023. ALREADY MADE A BREAKTHROUGH.</t>
  </si>
  <si>
    <t>L09_DPVE_058E_ROBBING</t>
  </si>
  <si>
    <t>L09_DPVE_064E_DE_ISL</t>
  </si>
  <si>
    <t>L09_DPVE_089E_DE</t>
  </si>
  <si>
    <t>L12_GHV_053E_DW</t>
  </si>
  <si>
    <t>L08_DPVE_082E_ROBBING</t>
  </si>
  <si>
    <t>L03_CTV_008W_ROBBING</t>
  </si>
  <si>
    <t>L11_DPVE_042E_STOPE</t>
  </si>
  <si>
    <t xml:space="preserve">REPLACEMENT OF L11_NONE_040E_XCN. APPROVED ON JANUARY 26,2023. RENAMED FROM L11_DPVE_043E_DE TO L11_DPVE_042E_DE  TO AVOID MISCHARGING ON JANUARY 27,2023.RENAMED FROM L11_DPVE_042E_DE TO L11_DPVE_034E_DE  DUE TO TYPO ERROR ON JANUARY 27,2023.TEMPORARY STOPPED ON FEB. 20, 2023 DUE TO ABSENTEEISM OF MEN RESULTING TO ABANDONMENT OF WORKPLACE THAT LEADS TO INSUFFICIENT MANPOWER.  RESUMED ON FEB. 25, 2023 AS WELL AS TRANSFERRED FROM DUHIG, P2 TO BADBADON 2.RENAMED FROM WEST TO EAST FOR PROPER NAMING MARCH 16, 2023.TEMPORARILY STOPPED ON MAY 09, 2023. MP TRANSFER TO PRIORITIZED RAISE. RESUMED ON MAY 17, 2023.TEMP STOPPED ON JUNE 10, 2023 TO DRIVE RAISE.RESUMED ON JUNE 16, 2023.TEMP. STOPPED ON JUNE 22, 2023 TO DO FOLLOW UP RAISE.RESUMED ON JUNE 28, 2023.TEMPORARY STOPPED ON AUGUST 15, 2023 AS IT WAS TRAPPED IN STOPE PREP.RESUMED ON SEPT 10, 2023.STOPPED ON SEPTEMBER 23, 2023 PINCHED OUT VEIN.
</t>
  </si>
  <si>
    <t>REPLACEMENT OF L09_DPVE_043E_WINZE STOPE. APPROVED ON AUGUST 26, 2023.STOPPED ON SEPTEMBER 25, 2023. CONVERT TO WINZE STOPE PREP.</t>
  </si>
  <si>
    <t>L09_DPVE_042E_WINZE STOPE PREP</t>
  </si>
  <si>
    <t xml:space="preserve">ADDITIONAL SOURCE OF GOOD ORE. APPROVED ON JANUARY 17,2023 SILL PILLAR.RENAME FROM L03_CTV_018W_ROBBING TO L03_CTV_016W_ROBBING ON 2/9/2023.TEMPORARY STOPPED ON APRIL 25, 2023. MEMO TO BE FOLLOWED.TEMPORARY STOPPED ON APRIL 21, 2023, FOR TIMBERING DUE TO THE COLLAPSED HANGING WALL.RESUMED ON MAY 18, 2023 ON-GOING CLEANING.STOPPED ON SEPTEMBER 23, 2023. ALREADY MINED OUT.
</t>
  </si>
  <si>
    <t xml:space="preserve">REPLACEMENT OF L08_GHV_028E_ROBBING AGLOLO 2. APPROVED ON MARCH 07, 2023.TEMPORARY STOPPED ON APRIL 17, 2023 TO PRIORITIZED L08_JV_076E_WINZE STOPE PREP.RESUMED ON SEPT 6, 2023.STOPPED ON SEPTEMBER 25, 2023. CONVERT TO STOPE PREP.
</t>
  </si>
  <si>
    <t>L08_JV_077E_WINZE STOPE PREP</t>
  </si>
  <si>
    <t>REPLACEMENT OF L09_DPVE_078E_WINZE STOPE PREP APPROVED ON AUGUST 14, 2023.STOPPED BREAKING ON SEPTEMBER 15, 2023.CONVERTED TO PULL-OUT CLEANING. APPROVED ON SEPTEMBER 15, 2023.STOPPED ON SEPTEMBER 25, 2023. ALREADY MINED OUT</t>
  </si>
  <si>
    <t>REPLACEMENT OF L08_JVSPLIT_075E_WINZE. APPROVED ON JULY 31, 2023.RENAMED FROM L08_JVSPLIT_073E_WINZE TO L08_JVSPLIT_074E_WINZE TO AVOID MISCHARGING WITH L09_JVSPLIT_073E_WINZE. APPROVED ON SEPTEMBER 14, 2023.STOPPED ON SEPTEMBER 26, 2023. ALREADY REACHED THE RECOMMENDED SLOPE DISTANCE.</t>
  </si>
  <si>
    <t>REPLACEMENT OF L10_DPVE_062E_ROBBING. APPROVED ON SEPTEMBER 12, 2023. SILL PILLAR.RENAMED FROM L10_JVHW_059E_ROBBING TO L10_JVHW_060E_ROBBING TO  AVOID MISCHARGE WITH L10_GHVFW_059E_WINZE APPROVED ON SEPTEMBER 14, 2023.STOPPED ON SEPT 27, 2023. ALREADY DONE PILLAR ROBBING.</t>
  </si>
  <si>
    <t xml:space="preserve">REPLACEMENT OF L11 GHVFW 055E DE, APPROVED ON MAR 4, 2023.TEMP STOPPED ON MAR 13, 2023 DUE TO MANPOWER ABSENTEEISM. RESUMED ON MAR 15, 2023 AT THE SAME TIME TRANSFERRED FROM TORMIS 1 TO REBOTE 2, THIS WAS DUE TO ABSENTEEISM OF TORMIS.TRANSFERRED FROM REBOTE 2 TO CAPUYAN 2 ON APRIL 12, 2023. RESUMED ON MAY 22, 2023 FOR WITHDRAWAL OF MATERIALS ONLY AND TRANSFERRED FROM TORMIS 1 TO PARAN 2 NO QUOTA FOR NOW. START OF QUOTA ONCE BLASTING WILL COMMENCE. TEMPORARY STOPPED ON MAY 24, 2023.RESUMED ON JUNE 14, 2023 AT THE SAME TIME TRANSFERRED FROM MARTINEZ,DN 4 TO PANCIT, NOEL 2 DUE TO MANPOWER ISSUE, LOW PERFORMING.STOPPED ON JULY 14, 2023. ALREADY MADE A BREAKTHROUGH
</t>
  </si>
  <si>
    <t>REPLACEMENT OF L03_CTV_007W_ROBBING APPROVED ON SEPTEMBER 23, 2023.  SILL. STOPPED ON SEPTEMBER 28, 2023.PRIORITIZING RESUME L03_CTV_007W_ROBBING.</t>
  </si>
  <si>
    <t xml:space="preserve">REPLACEMENT OF L09_DPVE_066E_ROBBING. APPROVED ON AUGUST 7, 2023. 2ND SHIFT.STOPPED ON SEPTEMBER 22, 2023, 3RD SHIFT DUE TO PINCHED OUT VEIN AND CONVERTED TO ISL PREP.
</t>
  </si>
  <si>
    <t>REPLACEMENT OF L10_DPVE_018E_DE APPROVED ON SEPTEMBER 18, 2023.STOPPED ON SEPTEMBER 28, 2023. CONVERTED TO CROSSCUT DUE TO ITS CONSECUTIVE LOW ASSSAY GRADE AND WAS CUT BY FAULT.</t>
  </si>
  <si>
    <t>L12_GHVSPLIT_066E_STOPE</t>
  </si>
  <si>
    <t>REPLACEMENT OF L11_JV_062E_DE. APPROVED ON SEPTEMBER 5, 2023.STOPPED DUE TO PINCHED OUT VEIN. APPROVED SEPTEMBER 28, 2023. 3RD SHIFT</t>
  </si>
  <si>
    <t>L10_DPVE_017E_STOPE PREP</t>
  </si>
  <si>
    <t>L12_GHV_065E_STOPE</t>
  </si>
  <si>
    <t>ADDITIONAL SOURCE OF GOOD ORE. APPROVED ON AUGUST 15, 2023.STOPPED ON SEPTEMBER 29, 2023. CONVERT TO BREAKING.</t>
  </si>
  <si>
    <t>ADDITIONAL VERTICAL DEVT DRIVE. APPROVED ON JULY 28, 2023. TRANSFERRED MANPOWER FROM L11_GHVFW_048E_STOPE.CHANGE TEAM LEADER FROM MONTEBON 1 TO MAPAYO 1 GROUP WAS INTERCHANGED WITH L11_GHVFW_048E_STOPE APPROVED ON AUGUST 9, 2023.TEMPORARY STOPPED ON AUGUST 15, 2023. MANPOWER TRANSFERRED TO L11_GHVHW_071E_STOPE.RESUMED ON SEPT 4, 2023 AT THE SAME TIME TRANSFERRED FROM MAPAYO 1 TO REBOTE 2.STOPPED ON SEPT 28, 2023 DUE TO CONSECUTIVE LOW GRADE RESULT.</t>
  </si>
  <si>
    <t>REPLACEMENT OF L11_DPVE_033E_DW. APPROVED ON JULY 29, 2023.STOPPED ON SEPT 4, 2023 ALREADY ON VEIN.RESUMED ON SEPT 20, 2023. TO CONTINUE CONTINUE BACK SWITCH. STOPPED ON SEPT 22, 2023.</t>
  </si>
  <si>
    <t>L11_DPVE_043E_DW</t>
  </si>
  <si>
    <t>REPLACEMENT OF L11_NONE_043E_XCS. CONVERTED TO ON-VEIN DRIVE. APPROVED ON AUGUST 24, 2023.STOPPED ON SEPTEMBER 23, 2023 PINCHED OUT VEIN.RESUMED ON SEPT 26, 2023. LOW GRADE BUT WITH TARGET DRILLING INTERCEPTS.STOPPED ON SEPT 20, 2023.</t>
  </si>
  <si>
    <t>REPLACEMENT OF L09_DPVE_088E_WINZE. APPROVED ON SEPTEMBER 15, 2023.STOPPED ON SEPTEMBER 29, 2023. ALREADY REACHED THE RECOMMENDED STRIKE LENGTH.</t>
  </si>
  <si>
    <t>L09_JVSPLIT_028E_WINZE</t>
  </si>
  <si>
    <t>L09_JV_049E_DE</t>
  </si>
  <si>
    <t>REPLACEMENT OF L10_DPVE_070E_STOPE APPROVED ON AUGUST 11, 2023. STOPPED ON OCTOBER 2, 2023, 1ST SHIFT DUE TO PINCHED OUT VEIN.</t>
  </si>
  <si>
    <t>REPLACEMENT OF L10_DPVE_092E_DE. APPROVED ON AUGUST 28, 2023.TEMPRARY STOPPED ON SEPTEMBER 23, 2023. MANPOWER TRANSFERRED TO UPPER LEVEL.</t>
  </si>
  <si>
    <t>MARTINEZ DN 5</t>
  </si>
  <si>
    <t>L10_DPVE_099E_RAISE</t>
  </si>
  <si>
    <t>L10_JVS_056E_ROBBING</t>
  </si>
  <si>
    <t>JVS</t>
  </si>
  <si>
    <t>L10_JVSPLIT_068E_ROBBING</t>
  </si>
  <si>
    <t>REPLACEMENT OF L10_JVSPLIT_068E_STOPE PREP. APPROVED ON JUNE 7, 2023.TEMPORARY STOPPED ON JULY 5, 2023 TO PRIORITIZE L10_JVSPLIT_067E_STOPE PREP.RESUMED ON JULY 19, 2023.TEMPORARILY STOPPED ON AUGUST 16, 2023. DUE TO UNSERVICABLE AREA.CONVERTED TO PULLOUT CLEANING ON SEPTEMBER 11, 2023.TEMPORARILY STOPPED ON SEPTEMBER 11, 2023 TO PRIORITIZE L10_JVSPLIT_067E_STOPE.RESUMED ON SEPTEMBER 18, 2023.STOPPED ON OCTOBER 02, 2023. ALREADY MINED OUT</t>
  </si>
  <si>
    <t>REPLACEMENT OF L03_JVSPLIT_012W_ROBBING, APPROVED ON JULY 29, 2023. SILL PILLAR.TEMPORARY STOPPED ON AUGUST 4, 2023. TO PRIORITIZE MAINLINE CLEANING.</t>
  </si>
  <si>
    <t>REPLACEMENT OF L11_GHVFW_027E_DW. APPROVED ON JULY 28, 2023.CHANGE TEAM LEADER FROM TORMIS 1 TO VILLARANTE 2 APPROVED ON AUGUST 7, 2023. TORMIS TRANSFERRED TO DRIFT.STOPPED ON OCTOBER 2, 2023. 3RD SHIFT. ALREADY MADE A BREAKTHROUGH.</t>
  </si>
  <si>
    <t>REPLACEMENT OF L05_GHVSPLIT_031W_DE APPROVED ON APRIL 28, 2023.TEMPORARY STOPPED ON JUNE 8, 2023 DUE TO THE UNAVAILABIILITY OF AGSAO SHAFT.RESUMED ON OCTOBER 02, 2023. AS WELL AS CHANGED TEAM LEADER FROM PANCIT, NOEL  1 TO SHEPHERD BB  2.STOPPED ON OCTOBER 03, 2023. MEMO TO BE FOLLOWED.</t>
  </si>
  <si>
    <t>L11_JVFW_056E_STOPE PREP</t>
  </si>
  <si>
    <t>L04_GHVFW_004E_RAISE</t>
  </si>
  <si>
    <t>L05_GHVSPLIT_030W_STOPE PREP</t>
  </si>
  <si>
    <t>L09_DPVE_071E_RAISE</t>
  </si>
  <si>
    <t>L10_DPVE_098E_RAISE</t>
  </si>
  <si>
    <t xml:space="preserve">REPLACEMENT OF L12_GHVSPLIT_066E_DE APPROVED ON SEPTEMBER 20, 2023.STOPPED ON OCTOBER 02, 2023 (3RD SHIFT). TEAM LEADER DECIDED TO SURRENDER THE WORKPLACE DUE TO CONSECUTIVE ABANDONMENT. </t>
  </si>
  <si>
    <t>L09_DPVE_087E_ROBBING</t>
  </si>
  <si>
    <t>L11_NONE_062E_WINZE</t>
  </si>
  <si>
    <t>REPLACEMENT OF L11_GHVFW_061E_RAISE APPROVED ON AUGUST 7, 2023.STOPPED ON OCTOBER 04, 2023. ALREADY REACHED THE RECOMMENDED STRIKE LENGTH AND TO PRIORITIZE OTHER HIGH PAYABILITY DEVELOPMENT.</t>
  </si>
  <si>
    <t>REPLACEMENT OF L12 GHVHW 067E STOPE PREP. APPROVED ON FEB 15, 2023.STOPPED BREAKING ON OCTOBER 04, 2023. CONVERT TO PULL-OUT CLEANING.</t>
  </si>
  <si>
    <t>L08_JVSPLIT_074E_DW_ISL</t>
  </si>
  <si>
    <t>REPLACEMENT OF L11 DPVE 049E STOPE PREP, APPROVED ON JUNE 12, 2023.STOPPED BREAKING ON OCTOBER 02, 2023. TRAVERSED ON OCTOBER 03, 2023. CONVERT TO PULL-OUT CLEANING.</t>
  </si>
  <si>
    <t>REPLACEMENT OF L08_DPVE_030E_DE_ISL. APPROVED ON SEPTEMBER 01, 2023.STOPPED ON SEPTEMBER 15, 2023, CONVERTED TO STOPE BREAKING.STOPPED BREAKING AND CONVERTED TO STOPE PULL-OUT  ON OCTOBER 4, 2023.</t>
  </si>
  <si>
    <t>REPLACEMENT OF L09_DPVE_078E_WINZE STOPE PREP. APPROVED ON SEPTEMBER 27, 2023.RENAMED FROM L09_DPVE_028E_WINZE TO L09_JVSPLIT_028E_WINZE. APPROVED ON SEPTEMBER 29, 2023.STOPPED ON OCTOBER 5, 2023 ALREADY REACHED THE RECOMMENDED STRIKE LENGHT/CROWN PILLAR AND CONVERTED TO TOPSLICE ROBBING.</t>
  </si>
  <si>
    <t>L09_JVSPLIT_027E_ROBBING</t>
  </si>
  <si>
    <t xml:space="preserve">REPLACEMENT OF L08_DPVE_064E_RAISE. APPROVED ON AUGUST 28, 2023.TEMPORARY STOPPED ON SEPTEMBER 9, 2023 DUE TO CONSECUTIVE LOW ASSAY GRADE.RESUMED ON SEPTEMBER 11, 2023.STOPPED ON OCTOBER 5, 2023 DUE TO CONSECUTIVE LOW ASSAY GRADE. </t>
  </si>
  <si>
    <t>REPLACEMENT OF L10_DPVE_085E_RAISE. APPROVED ON AUGUST 23, 2023.CHANGE TEAM LEADER FROM SHEPHERD BD 1 TO LARGO 4. APPROVED ON AUGUST 23, 2023.STOPPED ON OCTOBER 06, 2023. ALREADY REACHED THE RECOMMENDED LENGTH TO BREAK AND PRODUCED CONSECUTIVE LOW ASSAY GRADE ON CUT SAMPLES.</t>
  </si>
  <si>
    <t>REPLACEMENT OF L08_GHV_004E_WINZE STOPE PREP. APPROVED ON JULY 27, 2023.STOPPED BREAKING ON SEPTEMBER 16. 2023. CONVERTED TO PULL-OUT CLEANING. APPROVED ON SEPTEMBER 16, 2023.STOPPED ON OCTOBER 06, 2023. ALREADY MINED OUT.</t>
  </si>
  <si>
    <t>L08_GHV_005E_DE_ISL</t>
  </si>
  <si>
    <t>L10_NONE_097E_XCN</t>
  </si>
  <si>
    <t>REPLACEMENT OF L12_DPVE_038E_DW. APPROVED ON SEPTEMBER 5, 2023. 3RD SHIFT.STOPPED ON OCT 6, 2023. DUE TO CONSECUTIVE LOW GRADE</t>
  </si>
  <si>
    <t>L08_DPVE_021E_WINZE</t>
  </si>
  <si>
    <t>REPLACEMENT OF L10_GHVFW_059E_WINZE. APPROVED ON SEPTEMBER 15, 20223.STOPPED ON OCTOBER 06, 2023. DUE TO CONSECUTIVE LOW ASSAY GRADE ON ITS CUT SAMPLES AND VEIN PINCHED OUT ON ITS WEST LATERAL EXTENSION.</t>
  </si>
  <si>
    <t>REPLACEMENT OF L10_JVHW_060E_ROBBING. APPROVED ON OCTOBER 02, 2023.STOPPED ON OCTOBER 06, 2023. VEIN PINCHES OUT ON ITS CURRENT BACK.</t>
  </si>
  <si>
    <t>L09_JVSPLIT_050E_DW</t>
  </si>
  <si>
    <t>REPLACEMENT OF L09_DPVE_058E_WINZE STOPE APPROVED ON SEPTEMBER 22, 2023. CROWN PILLAR ROBBING.MINED OUT ON OCTOBER 06, 2023.</t>
  </si>
  <si>
    <t xml:space="preserve">REPLACEMENT OF L12_JVHW_042E_RAISE APPROVED SEPTEMBER 22, 2023.STOPPED ON OCT 7, 2023. VEIN PINCHED OUT.
</t>
  </si>
  <si>
    <t xml:space="preserve">REPLACEMENT OF L12_JVSPLIT_041E_DW. APPROVED ON MARCH 10 2022. TEMPORARY STOPPED ON DECEMBER 21,2022.RESUMED ON JUNE 12, 2023 RENAMED FROM L12_NONE_039E_XCN TO L12_NONE_040E_XCN.TEMPORARY STOPPED ON JUNE 16, 2023. TO PRIORITIZE L12_DPVE_032E_DE.RESUMED ON JULY 11, 2023.TEMPORARY STOPPED ON JULY 19, 2023. ON GOING INSTALLATION OF WIREMESH.RESUMED ON JULY 25, 2023.STOPPED ON OCT 7, 2023. ALREADY HIT TARGET VEIN.
</t>
  </si>
  <si>
    <t>L12_DPVE_036E_DE</t>
  </si>
  <si>
    <t>L12_DPVE_052E_DE</t>
  </si>
  <si>
    <t>REPLACEMENT OF L12_GHV_061E_STOPE. APPROVED ON JULY 13, 2023.ALREADY BREAKTHROUGH TO UPPER LEVEL, STOPPED ON OCT 7, 2023.</t>
  </si>
  <si>
    <t>L12_JV_056E_RAISE</t>
  </si>
  <si>
    <t>DUHIG P8</t>
  </si>
  <si>
    <t>REPLACEMENT OF L09_GHVHW_024E_STOPE APPROVED ON SEPTEMBER 22, 2023.RENAMED FROM L09_GHVSPLIT_049E_DE TO L09_JV_049E_DE. APPROVED ON SEPTEMBER 29, 2023.STOPPED ON OCTOBER 09, 2023. ALREADY REACHED THE RECOMMENDED STRIKE LENGTH.</t>
  </si>
  <si>
    <t>REPLACEMENT OF L10_JV_048E_STOPE APPROVED ON SEPTEMBER 13, 2023.STOPPED ON OCTOBER 10, 2023. ALREADY REACHED THE RECOMMENDED HEIGHT AND TO BE CONVERTED TO STOPE PREP.</t>
  </si>
  <si>
    <t>REPLACEMENT OF L09_JV_055E_WINZE STOPE PREP. APPROVED ON JUNE 12, 2023.STOPPED BREAKING ON OCTOBER 09, 2023. AS WELL AS TRAVERSED ON THE SAME DAY. 3RD SHIFT. CONVERT TO PULL-OUT CLEANING.</t>
  </si>
  <si>
    <t>REPLACEMENT OF L11_DPVE_028E_STOPE PREP APPROVED ON AUGUST 14, 2023.STOPPED BREAKING ON OCT 7, 2023. DONE TRAVERSE, CONVERT TO PULL OUT CLEANING.</t>
  </si>
  <si>
    <t>REPLACEMENT OF L11_JV_035E_STOPE PREP APPROVED ON AUGUST 15, 2023.STOPPED BREAKING ON OCT 7, 2023. DONE TRAVERSE, CONVERT TO PULL OUT CLEANING.</t>
  </si>
  <si>
    <t>REPLACEMENT OF L10_JVS_056E_ROBBING. APPROVED ON OCTOBER 06, 2023.TEMPORARY STOPPED ON OCTOBER 09, 2023.</t>
  </si>
  <si>
    <t>L10_DPVE_090E_DE</t>
  </si>
  <si>
    <t>L12_NONE_049E_XCS</t>
  </si>
  <si>
    <t xml:space="preserve">VERTICAL SHAFT FOR TIGERWAY DSP4 TO BE USED AS EXHAUST VENTILATION. APPROVED ON AUGUST 15, 2023.ALREADY DONE DEVELOPMENT ON SEPT 22, 2023.
</t>
  </si>
  <si>
    <t>L09_JV_047E_RAISE</t>
  </si>
  <si>
    <t>XCS_ISL</t>
  </si>
  <si>
    <t>CONVERTED FROM L04_CTV_020W_ROBBING TO STOPE. APPROVED ON MARCH 15, 2022.temp stopped on march 18,2022.</t>
  </si>
  <si>
    <t>REPLACEMENT OF L07_DPVE_041E_DW_ISL. APPROVED ON MARCH 2 2022.TEMPORARY STOPPED ON APRIL 27, 2022.RESUME ON 7/29/2022.STOPPED ON AUGUST 20, 2022 DUE TO ITS CONSECUTIVE LOW ASSAY GRADE ON CUT SAMPLES/BULK SAMPLES.</t>
  </si>
  <si>
    <t>REPLACEMENT OF L10_JVFW_065E_ROBBING. APPROVED ON AUGUST 22, 2023. SILL.STOPPED ON OCTOBER 11, 2023 DUE TO CONSECUTIVE LOW ASSAY GRADE.</t>
  </si>
  <si>
    <t>L04_CTV_010W_DW_ISL</t>
  </si>
  <si>
    <t>REPLACEMENT OF L09_JV_035E_DE, APPROVED ON OCT 10, 2023.STOPPED ON OCTOBER 11, 2023 TO PRIORITIZE HORIZONTAL DRIVE.</t>
  </si>
  <si>
    <t xml:space="preserve">REPLACEMENT OF L11_JV_039E_DW. APPROVED ON JULY 1, 2023.RENAMED FROM L11_JV_038E_RAISE TO L11_JV_035E_RAISE. APPROVED ON JULY 5, 2023.TEMPORARRY STOPPED ON JULY 24, 2023 TO PRIORITIZE STOPE PREP.TO STOP PERMANENTLY THE RAISE, DONE EXPLORATION.
</t>
  </si>
  <si>
    <t>REPLACEMENT OF L11_GHVHW_071E_STOPE PREP. APPROVED ON MAY 25, 2023.TRANSFERRED FROM BAÑEZ 8 TO PARAN 2 UPON START OF STOPE BREAKING ON MAY 25, 2023.TEMPORARY STOPPED ON AUGUST 15, 2023. MANPOWER TRANSFERRED TO L11_GHV_055E_STOPE.RESUMED ON AUGUST 15, 2023 AT THE SAME TIME TRANSFERRED FROM PARAN TO MAPAYO 1. PARAN WILL RETAIN HIS RETENTION, THEY WERE TRANSFERRED AS PER MGT DECISION.STOPPED BREAKING ON OCTOBER 11, 2023. AS WELL AS TRAVERSED ON THE SAME DAY. CONVERT TO PULL OUT CLEANING.</t>
  </si>
  <si>
    <t>REPLACEMENT OF L11_DPVE_028E_STOPE PREP APPROVED ON AUGUST 14, 2023.STOPPED BREAKING ON OCT 7, 2023. DONE TRAVERSE, CONVERT TO PULL OUT CLEANING.STOPPED ON OCTOBER 12, 2023. ALREADY MINED OUT.</t>
  </si>
  <si>
    <t>L11_DPVE_051E_RAISE</t>
  </si>
  <si>
    <t>L11_NONE_059E_RAISE</t>
  </si>
  <si>
    <t>L10_DPVE_017E_STOPE</t>
  </si>
  <si>
    <t>ADDITIONAL SOURCE OF GOOD ORE. APPROVED ON SEPTEMBER 29, 2023.ALREADY DONE STOPE PREP ON OCTOBER 12, 2023. CONVERT TO STOPE BREAKING.</t>
  </si>
  <si>
    <t>REPLACEMENT OF L12_GHV_053E_DW. APPROVED ON OCTOBER 10, 2023.TEMPORARILY STOPPED TO PRIORITIZE WINZE. APPROVED ON OCTOBER 14, 2023.</t>
  </si>
  <si>
    <t>REPLACEMENT OF L10_GHVSPLIT_030E_DW APPROVED ON SEPTEMBER 13, 2023. STOPPED ON OCTOBER 16, 2023 PINCHED OUT VEIN</t>
  </si>
  <si>
    <t>L11_DPVE_019E_RAISE</t>
  </si>
  <si>
    <t>REPLACEMENT OF L08_DPVE_030E_DE_ISL. APPROVED ON SEPTEMBER 01, 2023.STOPPED ON SEPTEMBER 15, 2023, CONVERTED TO STOPE BREAKING.STOPPED BREAKING AND CONVERTED TO STOPE PULL-OUT  ON OCTOBER 4, 2023.STOPPED ON OCTOBER 16, 2023. ALREADY MINED OUT.</t>
  </si>
  <si>
    <t>L08_DPVE_030E_DW_ISL</t>
  </si>
  <si>
    <t>REPLACEMENT OF L08_GHV_004E_WINZE STOPE. APPROVED ON OCTOBER 06, 2023.STOPPED ON OCTOBER 16, 2023. VEIN PINCHED OUT.</t>
  </si>
  <si>
    <t>REPLACEMENT OF L08_DPVE_019E_ROBBING. APPROVED ON OCTOBER 6, 2023.STOPPED ON OCTOBER 16, 2023. ALREADY MADE A BREAKTHROUGH.</t>
  </si>
  <si>
    <t>L08_GHV_004E_ROBBING</t>
  </si>
  <si>
    <t>REPLACEMENT OF L12_GHVHW_066E_DE ON MARCH 11, 2023.TEMPORARY STOPPED ON MAY 30, 2023 TO PRIORITIZE DRIFT WEST.RESUMED ON JULY 4, 2023. AT THE SAME TIME TRANSFER TEAM LEADER FROM DUHIG, P2 TO PANCIT, NOEL  1.TEMPORARRY STOPPED ON JULY 18, 2023. TO PRIORITIZE L12_GHVHW_065E_DW. RESUMED ON AUGUST 11, 2023. RENAME FROM L12_GHVHW_065E_DE TO L12_GHVSPLIT_066E_DE ON AUGUST 13, 2023 FOR PROPER VEIN NAMING.TEMPORARY STOPPED ON SEPTEMBER 20, 2023 TO PRIORITIZE VERTICAL DEVELOPMENT.RESUMED ON SEPTEMBER 28, 2023.TEMPORARILY STOPPED ON SEPTEMBER 29, 2023 DUE TO CONSECUTIVE LOW ASSAY GRADE.</t>
  </si>
  <si>
    <t>L12_GHVSPLIT_062E_DW</t>
  </si>
  <si>
    <t>L11_DPVE_021E_WINZE</t>
  </si>
  <si>
    <t>REPLACEMENT OF L09_DPVE_076E_RAISE APPROVED ON SEPTEMBER 22, 2023.STOPPED DUE TO CONSECUTIVE LOW QA/QC ON CUT &amp; BULK SAMPLES. APPROVED OCTOBER 17, 2023. 1ST SHIFT.</t>
  </si>
  <si>
    <t>L12_GHV_053E_WINZE</t>
  </si>
  <si>
    <t>REPLACEMENT OF L11_JV_035E_STOPE PREP APPROVED ON AUGUST 15, 2023.STOPPED BREAKING ON OCT 7, 2023. DONE TRAVERSE, CONVERT TO PULL OUT CLEANING.STOPPED ON OCTOBER 14, 2023. MINED OUT.</t>
  </si>
  <si>
    <t>REPLACEMENT OF L04_GHVFW_004E_ROBBING. APPROVED ON OCTOBER 03, 2023.CHANGE TEAM LEADER FROM CAYMAN 2 TO MARTINEZ, DN. AT THE TIME IT WAS RESUMED.STOPPED ON OCTOBER 10, 2023. DUE TO PINCHED OUT VEIN.</t>
  </si>
  <si>
    <t>L10_GHVSPLIT_030E_STOPE PREP</t>
  </si>
  <si>
    <t>REPLACEMENT OF L10_DPVE_098E_DE. APPROVED ON OCTOBER 3, 2023. 3RD SHIFT.STOPPED ON OCTOBER 18, 2023. 2ND SHIFT. VEIN WAS CUT BY FAULT.</t>
  </si>
  <si>
    <t>REPLACEMENT OF L11 DPVE 049E STOPE PREP, APPROVED ON JUNE 12, 2023.STOPPED BREAKING ON OCTOBER 02, 2023. TRAVERSED ON OCTOBER 03, 2023. CONVERT TO PULL-OUT CLEANING.CONVERT TO PULL-OUT CLEANING. APPROVED ON OCTOBER 03, 2023.STOPPED ON OCTOBER 18, 2023. ALREADY MINED OUT WITH 95% PULL OUT.</t>
  </si>
  <si>
    <t>REPLACEMENT OF L04_CTV_012W_ROBBING. APPROVED ON MAY 17, 2023.TEMPORARY STOPPED ON JUNE 8, 2023 DUE TO THE UNAVAILABIILITY OF AGSAO SHAFT.RESUMED ON OCTOBER 02, 2023.STOPPED ON OCTOBER 11, 2023.ALREADY MADE A BREAKTHROUGH.</t>
  </si>
  <si>
    <t>L09_JVSPLIT_050E_RAISE</t>
  </si>
  <si>
    <t>L04_JVS_008W_DW</t>
  </si>
  <si>
    <t xml:space="preserve">REPLACEMENT OF L09_DPVE_058E_DE_ISL. APPROVED ON MARCH 27, 2023.TEMPORARY STOPPED ON APRIL 10, 2023 TO PRIORITIZED DE.RESUMED ON OCTOBER 10, 2023.STOPPED ON OCTOBER 20, 2023 DUE TO PINCHED OUT VEIN.
</t>
  </si>
  <si>
    <t>REPLACEMENT OF L11_DPVE_027E_RAISE, APPROVED ON JUNE 6, 2023.TEMPORARY STOPPED ON JUNE 26, 2023 TO PRIORITIZED DRIFT.CONVERT TO STOPE BREAKING. CHANGE TEAM LEADER FROM REBOTE 1 TO BAÑEZ 1. APPROVED ON OCTOBER 19, 2023</t>
  </si>
  <si>
    <t>L11_DPVE_031E_STOPE</t>
  </si>
  <si>
    <t>L09_DPVE_057E_ROBBING</t>
  </si>
  <si>
    <t>L09_DPVE_042E_WINZE STOPE</t>
  </si>
  <si>
    <t>REPLACEMENT OF L09_DPVE_043E_DW_ISL. APPROVED ON SEPTEMBER 25, 2023.CONVERTED TO BREAKING ON OCTOBER 20, 2023.</t>
  </si>
  <si>
    <t>REPLACEMENT OF L10_NONE_097E_XCN. APPROVED ON OCTOBER 10, 2023.STOPPED  ON OCTOBER 20, 2023. ALREADY MADE A BREAKTHROUGH.</t>
  </si>
  <si>
    <t>L10_DPVE_090E_ROBBING</t>
  </si>
  <si>
    <t>REPLACEMENT OF L05_DPVE_053E_DW_ISL APPROVED ON JUNE 1, 2023.TEMPORARY STOPPED ON JUNE 8, 2023 DUE TO THE UNAVAILABILITY OF AGSAO SHAFT.RESUMED ON OCTOBER 02, 2023. AS WELL AS CHANGED TEAM LEADER FROM SHEPHERD AF 1 TO LERIO 2.-STOPPED ON OCTOBER 22, 2023 DUE TO PINCHED OUT VEIN AND WITH NO ASSAY GRADE IMPROVEMENT.</t>
  </si>
  <si>
    <t xml:space="preserve"> REPLACEMENT OF L09_JVSPLIT_048E_WINZE. APPROVED ON AUGUST 29, 2023.STOPPED ON OCTOBER 23, 2023, ALREADY REACHED THE RECOMMENDED STRIKE LENGTH.</t>
  </si>
  <si>
    <t>REPLACEMENT OF L09_JVSPLIT_041E_ROBBING APPROVED ON SEPTEMBER 11, 2023.STOPPED ON OCTOBER 23, 2023 DUE TO CONSECUTIVE LOW QA/QC RESULTS.</t>
  </si>
  <si>
    <t>L09_GHVFW_031W_STOPE PREP</t>
  </si>
  <si>
    <t>REPLACEMENT OF  L04_GHVFW_011E_ROBBING. APPROVED ON OCTOBER 19, 2023.STOPPED ON OCTOBER 20, 2023, TO PRIORITIZE CLEANING..</t>
  </si>
  <si>
    <t>REPLACEMENT OF L09_DPVE_036E_WINZE APPROVED ON SEPTEMBER 6, 2023.RENAMED FROM L09_DPVE_046E_WINZE TO L09_GHVFW_045E_WINZE APPROVED ON SEPTEMBER 8, 2023.STOPPED ON OCTOBER 21, 2023, ALREADY MADE A BREAKTHROUGH.</t>
  </si>
  <si>
    <t>ADDITIONAL VERTICAL DEVELOPMENT. APPROVED ON AUGUST 15, 2023.STOPPED ON OCTOBER 02, 2023. MANPOWER TRANSFERRED TO UPPER LEVEL.RESUME ON OCT 9, 2023. AT THE SAME TIME TRANSFER FROM SHEPHERD BB 2 TO BABOR 3.STOPPED ON OCTOBER 23, 2023. DUE TO CONSECUTIVE LOW ASSAY GRADES.</t>
  </si>
  <si>
    <t>L08_JV_077E_WINZE STOPE</t>
  </si>
  <si>
    <t>REPLACEMENT OF L08_JV_075E_DE_ISL. APPROVED ON SEPTEMBER 25, 2023.CONVERTED TO STOPE BREAKING APPROVED ON OCTOBER 23, 2023.</t>
  </si>
  <si>
    <t>L09_DPVE_077E_RAISE</t>
  </si>
  <si>
    <t>L08_DPVE_031E_ROBBING</t>
  </si>
  <si>
    <t>L10_DPVE_101E_RAISE</t>
  </si>
  <si>
    <t>101E</t>
  </si>
  <si>
    <t>L09_JVSPLIT_048E_DE_ISL</t>
  </si>
  <si>
    <t>L10_DPVE_092E_DW_ISL</t>
  </si>
  <si>
    <t>L05_GHVSPLIT_030W_STOPE</t>
  </si>
  <si>
    <t>L11_JVFW_056E_STOPE</t>
  </si>
  <si>
    <t>REPLACEMENT OF L10_GHVHW_058E_STOPE PREP. APPROVED ON SEPTEMBER 20, 2023.STOPPED BREAKING ON OCTOBER 23, 2023 TRAVERSED ON OCTOBER 24, 2023.</t>
  </si>
  <si>
    <t>REPLACEMENT OF L05_GHVSPLIT_031W_RAISE. APPROVED ON OCTOBER 03, 2023.STOPPED ON OCTOBER 24, 2023.</t>
  </si>
  <si>
    <t xml:space="preserve">REPLACEMENT OF L11_JVFW_051E_RAISE APPROVED ON OCTOBER 3, 2023.STOPPED ON OCTOBER 24, 2023.
</t>
  </si>
  <si>
    <t xml:space="preserve">L11_JVFW_056E_STOPE </t>
  </si>
  <si>
    <t>REPLACEMENT OF L10_GHVHW_061E_STOPE. APPROVED ON SEPTEMBER 04, 2023.TEMPORARILY STOPPED ON SEPTEMBER 23, 2023, MANPOWER TRANSFERED TO UPPER LEVEL.RESUMED ON OCTOBER 11, 2023, AT THE SAME TIME CHANGE TEAM LEADER FROM MARTINEZ, DN 1 TO LARGO 3.STOPPED ON OCTOBER 23, 2023 CONVERTED TO INTERMEDIATE SUBLEVEL.</t>
  </si>
  <si>
    <t>REPLACEMENT OF L10_DPVE_016E_RAISE APPROVED ON SEPTEMBER 18, 2023.STOPPED ON OCTOBER 23, 2023 ALREADYR REACHED RECOMMENDED SLOPE LENGTH.</t>
  </si>
  <si>
    <t xml:space="preserve">REPLACEMENT OF L10_GHV_056E_ROBBING. APPROVED ON JULY 14, 2023.STOPPED ON JULY 24, 2023 VEIN PINCHED OUT.RESUMED ON OCTOBER 11, 2023.STOPPED ON OCTOBER 24, 2023 PINCHED OUT VEIN
</t>
  </si>
  <si>
    <t>REPLACEMENT OF L05_DPVE_040E_DE APPROVED JAN 13, 2021 TEMPORARY STOPPED ON JAN 30, 2021 MANPOWER TRANSFERRED TO OTHER LEVEL. Resume on Feb 01, 2021.STOPPED ON 04/06/21 ALREADY CONVERTED TO STOPE BREAKING.CONVERT TO PULL OUT CLEANING APPROVED ON APRIL 22, 2021.STOPPED ON MAY 8,2021. FINISHED PULL-OUT CLEANING.OLD STOPE RESUMPTION OF BREAKING APPROVED ON OCTOBER 24, 2023. SHORTENED THE SLOPE LENGTH IN THE PREVIOUS DESIGN BECAUSE OF HOW THEY INITIALLY DESIGNED THE TIGERWAY DECLINE, AND RESUMED BREAKING THE REMAINING FLOORS THAT ARE MINEABLE.</t>
  </si>
  <si>
    <t>REPLACEMENT OF L11_JV_057E_RAISE APPROVED ON SEPTEMBER 18, 2023.STOPPED ON OCTOBER 24, 2023 DUE TO CONSECUTIVE LOW ASSAY GRADE.</t>
  </si>
  <si>
    <t>REPLACEMENT OF L11_GHVFW_027E_DW APPROVED ON SEPTEMBER 18, 2023.STOPPED ON OCTOBER 24, 2023 DUE TO CONSECUTIVE LOW ASSAY GRADE.</t>
  </si>
  <si>
    <t>VENTILATION PURPOSES FOR EAST PRIMARY EXHAUST PROJECT. APPROVED ON JANUARY 23,2023.STOPPED ON OCTOBER 16, 2023 ALREADY MADE A BREAKTHROUGH AND DONE WIDENING.</t>
  </si>
  <si>
    <t>REPLACEMENT OF L08_GHVHW_070E_DW_ISL   APPROVED ON AUGUST 11, 2023. TOPSLICE.TEMPORARILY STOPPED ON SEPTEMBER 26, 2023, MANPOWER BACK TO UPPER LEVEL.RESUMED ON OCTOBER 6, 2023 AS WELL AS TRANSFERRED FROM MARTINEZ, DN 3
TO CAPUYAN 1.TEMPORARILY STOPPED ON OCTOBER 25, 2023, TO PRIORITIZE ISL.</t>
  </si>
  <si>
    <t xml:space="preserve">REPLACEMENT OF L08_DPVE_062E_WINZE STOPE PREP APPROVED ON AUGUST 10, 2023.STOPPED BREAKING ON SEPTEMBER 16. 2023. CONVERTED TO PULL-OUT CLEANING. APPROVED ON SEPTEMBER 16, 2023.NO TRAVERSE ACTIVITY BY SURVEY DUE TO UNSAFE CONDITION.TEMPORARILY STOPPED ON SEPTEMBER 28, 2023 DUE TO LACK OF MANPOWER.RESUMED ON OCTOBER 4, 2023.STOPPED ON OCTOBER 25, 2023. ALREADY MINED OUT W/ 81% PULLOUT.
</t>
  </si>
  <si>
    <t>L11_DPVE_033E_RAISE</t>
  </si>
  <si>
    <t>L10_GHVFW_050E_ROBBING</t>
  </si>
  <si>
    <t>L12_GHVSPLIT_058E_WINZE</t>
  </si>
  <si>
    <t>L09_GHVFW_045E_DW_ISL</t>
  </si>
  <si>
    <t>L11_DPVE_024E_DW</t>
  </si>
  <si>
    <t>ADDITIONAL HORIZONTAL DEV DRIVE. APPROVED ON FEB 20, 2023.TEMPORARRY STOPPED ON MAR 30, 2023 TO PRIORITIZE L11_JVSPLIT_061E_RAISE.RESUMED ON APRIL 17, 2023 AS WELL AS TRANSFERRED FROM TURRA 2 TO TURRA 1.TEMPORARILY STOPPED ON MAY 09, 2023. MP TRANSFERRED TO PRIORITIZE RAISE.RESUMED ON MAY 17, 2023.STOPPED ON MAY 25, 2023 ALREADY HIT THE EAST WEST TARGET VEIN.RESUMED ON JUNE 7, 2023.RENAMED FROM L11_JVFW_042E_DW TO L11_JV_039E_DW FOR PROPER NAMING OF WORKING PLACE.TEMPORARILY STOPPED ON JUNE 30, 2023. UNSERVICEABLE AREA DUE TO RAISE PREP.RESUMED ON JULY 6, 2023.TEMPORARILY STOPPED ON JULY 19, 2023 TO PRIORITIZE RAISE PREP.ALREADY OFF-VEIN, STOPPED ON JULY 19, 2023. TO BE CONVERTED TO XCUT.RESUMED SEPTEMBER 4, 2023.STOPPED ON OCTOBER 16, 2023. DUE TO LOW ASSAY GRADE</t>
  </si>
  <si>
    <t>REPLACEMENT OF L09_DPVE_072E_DW APPROVED ON OCTOBER 03, 2023.TEMPORARY STOPPED ON OCTOBER 05, 2023 TO PRIORITIZE L09_DPVE_072E_DW.RESUMED ON OCTOBER 9, 2023.STOPPED ON OCTOBER 26, 2023. 2ND SHIFT. DUE TO CONSECUTIVE LOW ASSAY GRADE.</t>
  </si>
  <si>
    <t>L03_JVSPLIT_006W_ROBBING</t>
  </si>
  <si>
    <t>L03_CV_007W_ROBBING</t>
  </si>
  <si>
    <t>REPLACEMENT OF L08_DPVE_030E_WINZE STOPE. APPROVED ON OCTOBER 16, 2023.STOPPED ON OCTOBER 24, 2023 DUE TO THE VICINITY OF 29E INTERNAL SHAFT EXCLUSION ZONE.</t>
  </si>
  <si>
    <t>REPLACEMENT OF L10_GHVSPLIT_072E_STOPE PREP. APPROVED ON JULY 8, 2023.TEMPORARY STOPPED DUE TO LOW ATTAINMENT. APPROVED SEPTEMBER 05, 2023. 2ND SHIFT.RESUMED ON SEPTEMBER 11, 2023.STOPPED BREAKING AND CONVERTED TO STOPE PULL-OUT CLEANING ON OCTOBER 27, 2023, 2ND SHIFT.</t>
  </si>
  <si>
    <t>L09_DPVE_082E_DW</t>
  </si>
  <si>
    <t xml:space="preserve">REPLACEMENT OF L09_JV_049E_DE APPROVED ON OCTOBER 9, 2023. STOPPED ON NOVEMBER 3, 2023 DUE TO CONSECUTIVE LOW ASSAY GRADE.
</t>
  </si>
  <si>
    <t>REPLACEMENT OF L09_JVSPLIT_057E_RAISE APPROVED ON SEPTEMBER 6, 2023.STOPPED ON NOVEMBER 3, 2023 DUE TO CONSECUTIVE LOW ASSAY GRADE.</t>
  </si>
  <si>
    <t xml:space="preserve">REPLACEMENT OF L09_DPVE_061E_ROBBING. APPROVED ON JULY 21, 2023. 2ND SHIFT. SILL PILLAR.TEMP. STOPPED ON JULY 25, 2023 TO PRIORITIZE BACKFILLING OF WASTE ON L09_DPVE_061_ROBBING (TOPSLICE). RESUMED ON JULY 26, 2023.TEMPORARY STOPPED ON JULY 31, 2023 TO PROCEED CLEANING IN THE OPPOSITE MAINLINE.RESUMED ON AUGUST 3, 2023. 2ND SHIFT.STOPPED ON NOVEMBER 3, 2023, ALREADY MINED OUT.
</t>
  </si>
  <si>
    <t>REPLACEMENT OF L09_GHVHW_024E_DE_ISL APPROVED ON JULY 4, 2023.TRANSFERRED FROM BABOR 2 TO SHEPHERD AY 1 ON AUGUST 14, 2023.TRANSFERRED FROM SHEPHERD AY 1 TO BALANGHIG 3 ON AUGUST 15, 2023.TEMPORARY STOPPED ON AUGUST 26, 2023 DUE TO ABSENTEEISM OF MEN RESULTING TO ABANDONMENT OF THE WORKPLACE.RESUMED ON AUGUST 31, 2023.STOPPED ON NOVEMBER 3, 2023 DUE TO CONSECUTIVE LOW ASSAY GRADE. TO BE CONVERTED TO ISL.</t>
  </si>
  <si>
    <t>L09_JV_059E_DE_ISL</t>
  </si>
  <si>
    <t>L11_GHVHW_067E_WINZE</t>
  </si>
  <si>
    <t>L09_JVSPLIT_048E_WINZE STOPE PREP</t>
  </si>
  <si>
    <t xml:space="preserve">L09_DPVE_028E_WINZE </t>
  </si>
  <si>
    <t>REPLACEMENT OF L10_DPVE_015E_DE. THIS WORKPLACE ALSO SERVES AS A SPECIAL PROJECT FOR VENTILATION. APPROVED OF SEPTEMBER 28, 2023. 3RD SHIFT.CHANGED TEAM LEADER FROM SHEPHERD BC 3 TO SHEPHERD BD 1. APPROVED ON OCTOBER 03, 2023.STOPPED ON NOVEMBER 4, 2023, ALREADY MADE BREAKTHROUGH WITH THE OPPOSITE MAINLINE.</t>
  </si>
  <si>
    <t>REPLACEMENT OF L10_DPVE_097E_DE. APPROVED ON AUGUST 22, 2023. SILL.STOPPED ON NOVEMBER 4, 2023. ALREADY MINED OUT.</t>
  </si>
  <si>
    <t xml:space="preserve">REPLACEMENT OF L11_GHVHW_071E_STOPE PREP. APPROVED ON MAY 25, 2023.TRANSFERRED FROM BAÑEZ 8 TO PARAN 2 UPON START OF STOPE BREAKING ON MAY 25, 2023.TEMPORARY STOPPED ON AUGUST 15, 2023. MANPOWER TRANSFERRED TO L11_GHV_055E_STOPE.RESUMED ON AUGUST 15, 2023 AT THE SAME TIME TRANSFERRED FROM PARAN TO MAPAYO 1. PARAN WILL RETAIN HIS RETENTION, THEY WERE TRANSFERRED AS PER MGT DECISION.STOPPED BREAKING ON OCTOBER 11, 2023. AS WELL AS TRAVERSED ON THE SAME DAY. CONVERT TO PULL OUT CLEANING.ALREADY MINED OUT WITH 99% PULL OUT ON NOV 4, 2023.
</t>
  </si>
  <si>
    <t>L10_JVSPLIT_044E_STOPE PREP</t>
  </si>
  <si>
    <t>L09_DPVE_028E_WINZE</t>
  </si>
  <si>
    <t>L09_GHVFW_038W_RAISE</t>
  </si>
  <si>
    <t>L10_DPVE_052E_RAISE</t>
  </si>
  <si>
    <t xml:space="preserve">REPLACEMENT OF L10_DPVE_014E_DE. APPROVED ON AUGSUT 16, 2023.TEMPORARILY STOPPED ON SEPTEMBER 18, 2023 DUE TO UNSERVICEABLE AREA.RESUMED ON OCTOBER 16, 2023.TEMPORARILY STOPPED ON OCTOBER 23, 2023 TO PRIORITIZE RAISE.RESUMED ON NOVEMBER 4, 2023.STOPPED ON NOVEMBER 05, 2023. ALREADY REACHED RECOMMENDED STRIKELENGTH.
</t>
  </si>
  <si>
    <t>L10_DPVE_022E_DW</t>
  </si>
  <si>
    <t>L03_GHV_015W_ROBBING</t>
  </si>
  <si>
    <t>FERNANDEZ, RM</t>
  </si>
  <si>
    <t>REPLACEMENT OF L10_DPVE_099E_DW. APPROVED ON OCTOBER 02, 2023.STOPPED ON NOVEMBER 6, 2023 TO PRIORITIZE L10_DPVE_099E_STOPE PREP.</t>
  </si>
  <si>
    <t>L10_DPVE_099E_STOPE PREP</t>
  </si>
  <si>
    <t>REPLACEMENT OF L10_DPVE_090E_DE. APPROVED ON OCTOBER 21, 2023.STOPPED ON NOVEMBER 6, 2023 ALREADY REACHED RECOMMENDED STRIKE LENGTH.</t>
  </si>
  <si>
    <t>REPLACEMENT OF L10_GHVFW_044E_DW, APPROVED ON OCTOBER 25, 2023.STOPPED ON NOVEMBER 6, 2023 ALREADY REACHED RECOMMENDED STRIKE LENGTH.</t>
  </si>
  <si>
    <t>L03_NONE_024W_WINZE</t>
  </si>
  <si>
    <t>REPLACEMENT OF L05_DPVE_053E_DE_ISL. APPROVED OCTOBER 23, 2023.STOPPED ON NOVEMBER 4, 2023, CONVERTED TO STOPE PREP.</t>
  </si>
  <si>
    <t>L05_DPVE_053E_WINZE STOPE PREP</t>
  </si>
  <si>
    <t>L10_DPVE_088E_RAISE</t>
  </si>
  <si>
    <t>L10_DPVE_021E_DE</t>
  </si>
  <si>
    <t>L12_JV_060E_RAISE</t>
  </si>
  <si>
    <t xml:space="preserve"> REPLACEMENT OF L08_JVSPLIT_074E_WINZE. APPROVED ON OCTOBER 4, 2023.STOPPED ON NOVEMBER 07, 2023. ALREADY REACHED THE RECOMMENDED STRIKE LENGTH.</t>
  </si>
  <si>
    <t xml:space="preserve">REPLACEMENT OF L11_NONE_038E_XCS, APPROVED ON JUNE 26, 2023.TEMPORARY STOPPED ON JUNE 30, 2023. DUE TO LACK OF MANPOWER.RESUMED ON JUNE 30, 2023. AT THE SAME TIME CHANGE TEAM LEADER FROM ALEÑAR 2 TO TORMIS 1.TEMPORARY STOPPED ON JULY 28, 2023 TO DRIVE RAISE.RESUMED ON AUGUST 7, 2023.TEMPORARY STOPPED ON AUGUST 11, 2023 TO PRIORITIZED RAISE.RESUMED ON SEPTEMBER 1, 2023.TEMPORARILY STOPPED ON SEPTEMBER 16, 2023. TO PRIORITIZE RAISE PREP.RESUMED ON OCT 6, 2023 AT THE SAME TIME TRANSFERRED TO VILLARANTE 2.STOPPED ON NOV 7, 2023. VEIN PINCHED OUT.
</t>
  </si>
  <si>
    <t>L11_GHVFW_028E_RAISE</t>
  </si>
  <si>
    <t>L04_JV_020W_STOPE PREP</t>
  </si>
  <si>
    <t>L04_CTV_021W_WINZE STOPE PREP</t>
  </si>
  <si>
    <t>L09_GHVFW_031W_STOPE</t>
  </si>
  <si>
    <t>REPLACEMENT OF L09_DPVE_086E_ROBBING APPROVED ON OCTOBER 18, 2023.CHANGED HEADING NAME FROM L09_GHVFW_030W_STOPE PREP TO L09_GHVFW_031W_STOPE PREP
ON OCTOBER 23, 2023.STOPPED ON NOVEMBER 7, 2023 ALREADY CONVERTED TO BREAKING</t>
  </si>
  <si>
    <t>REPLACEMENT OF L04_JV_024W_ROBBING APPROVED ON NOVEMBER 7, 2023.STOPPED ON NOVEMBER 8, 2023, MADE A BREAKTHROUGH TO AN OLD STOPE.</t>
  </si>
  <si>
    <t>REPLACEMENT OF L10_GHVHW_058E_STOPE PREP. APPROVED ON SEPTEMBER 20, 2023.STOPPED BREAKING ON OCTOBER 23, 2023 TRAVERSED ON OCTOBER 24, 2023.CONVERTED TO STOPE PULLOUT ON OCTOBER 24, 2023.STOPPED ON NOVEMBER 08, 2023. ALREADY MINED OUT.</t>
  </si>
  <si>
    <t>MARTINEZ, DN 5</t>
  </si>
  <si>
    <t>SHEPHERD BB 3</t>
  </si>
  <si>
    <t>SHEPHERD BC 4</t>
  </si>
  <si>
    <t>L12_DPVE_037E_RAISE</t>
  </si>
  <si>
    <t>L12_DPVE_034E_DW</t>
  </si>
  <si>
    <t>L12_GHVSPLIT_046E_DE</t>
  </si>
  <si>
    <t>REPLACEMENT OF L12_NONE_047E_XCS, APPROVED ON OCT 7, 2023.STOPPED ON NOVEMBER 2, 2023 DUE TO CONSECUTIVE LOW ASSAY GRADE.</t>
  </si>
  <si>
    <t xml:space="preserve">REPLACEMENT OF L12_NONE_051E_XCN. APPROVED ON JUNE 26, 2023.TEMPORARY STOPPED ON JULY 14, 2023. 3RD SHIFT. TO PRIORITIZE L12_JV_055E_DE.RESUMED ON JULY 25, 2023.STOPPED ON AUGUST 10, 2023 TO RESUME THE PRIORITY BACKUP L12 GHVHW 065E DE.RESUMED ON SEPTEMBER 22, 2023.STOPPED ON NOVEMBER 2, 2023 DUE TO CONSECUTIVE LOW ASSAY GRADE.
</t>
  </si>
  <si>
    <t>REPLACEMENT OF L03_CTV_016W_ROBBING APPROVED ON NOVEMBER 7, 2023. FOR FUTURE WASTE PASS.STOPPED ON NOVEMBER 9, 2023 ALREADY REACHED THE RECOMMENDED SLOPE DISTANCE.</t>
  </si>
  <si>
    <t>L08_JVSPLIT_074E_WINZE STOPE PREP</t>
  </si>
  <si>
    <t xml:space="preserve">REPLACEMENT OF L11_DPVE_032E_RAISE. APPROVED ON MAY 17, 2023.TEMPORARY STOPPED ON JUNE 28, 2023. TO PRIORITZE RAISE PREP.RESUMED ON JULY 3, 2023.TEMPORARY STOPPED ON JULY 25 TO PRIORITIZE STOPE PREP.RESUMED ON AUGUST 21, 2023.TEMPORARY STOPPED ON SEPTEMBER 15, 2023 TO PRIORITIZE RAISE PREP.RESUMED ON SEPTEMBER 23, 2023.STOPPED ON OCT 26, 2023.
</t>
  </si>
  <si>
    <t>REPLACEMENT OF L09_DPVE_058E_DW_ISL APPROVED ON OCTOBER 20, 2023. TOPSLICE.STOPPED ON NOVEMBER 10, 2023 DUE TO CONSECUTIVE LOW ASSAY GRADE ON BOTH GRAB AND BULK SAMPLES WITH A GRADE OF 3.25GPT AND 2.25GPT.</t>
  </si>
  <si>
    <t>REPLACEMENT OF L09_JVSPLIT_028E_WINZE. APPROVED ON OCTOBER 5, 2023. TOPSLICE.STOPPED ON NOVEMBER 10, 2023 DUE TO CONSECUTIVE LOW ASSAY GRADE ON BOTH GRAB AND BULK SAMPLES WITH 1.5GPT AND MTD GRADE OF 0.86GPT.</t>
  </si>
  <si>
    <t>L09_JVSPLIT_046E_WINZE</t>
  </si>
  <si>
    <t>L09_DPVE_060E_ROBBING</t>
  </si>
  <si>
    <t>L08_DPVE_028E_WINZE</t>
  </si>
  <si>
    <t xml:space="preserve">REPLACEMENT OF L09_DPVE_033E_STOPE APPROVED ON SEPTEMBER 12, 2023.TEMP STOPPED ON OCT 10, 2023 TO DRIVE RAISE.RESUMED ON OCTOBER 12, 2023.STOPPED ON NOVEMBER 10, 2023, ALREADY REACHED THE RECOMMENDED STRIKE LENGTH, AVOID BREAKTHROUGH TO OPPOSITE MAINLINE.
</t>
  </si>
  <si>
    <t>REPLACEMENT OF L08_DPVE_030E_DW_ISL APPROVED ON OCTOBER 24, 2023. TOPSLICE.STOPPED ON NOVEMBER 10, 2023 MINED OUT, MEMO TO BE FOLLOWED.</t>
  </si>
  <si>
    <t>ADDTIONAL SOURCE OF GOOD ORE. APPROVED ON SEPTEMBER 23, 2023. SILL PILLAR.STOPPED ON NOVEMBER 10, 2023 ALREADY FINISHED HEADING.</t>
  </si>
  <si>
    <t>L08_DPVE_029E_WINZE STOPE PREP</t>
  </si>
  <si>
    <t>L08_JVSPLIT_069E_DW_ISL</t>
  </si>
  <si>
    <t>REPLACEMENT OF L08_DPVE_064E_ROBBING APPROVED ON SEPTEMBER 19, 2023.STOPPED ON NOVEMBER 11, 2023 PINCHED OUT VEIN.</t>
  </si>
  <si>
    <t xml:space="preserve">REPLACEMENT OF L11_JV_035E_STOPE APPROVED ON OCTOBER 16, 2023.TEMPORARY STOPPED ON  NOV 11, 2023 DUE TO LACK OF MANPOWER ABSENTEEISM, MEMO FROM SCS.
</t>
  </si>
  <si>
    <t xml:space="preserve">REPLACEMENT OF L04_CV_006E_DW_ISL. APPROVED ON MAY 05, 2023.ALREADY DONE STOPE PREP ON MAY 20, 2023. CONVERT TO STOPE BREAKING.REPLACEMENT OF L04_CV_006E_WINZE_STOPE PREP, APPROVED ON MAY 20, 2023.TEMPORARY STOPPED ON JUNE 8, 2023 DUE TO THE UNAVAILABIILITY OF AGSAO SHAFT.RESUMED ON OCTOBER 02, 2023. AS WELL AS CHANGED TEAM LEADER FROM MARTINEZ, RON 1 TO MARTINEZ, DN 4.STOPPED BREAKING ON NOVEMBER 09, 2023. AS WELL AS TRAVERSED ON NOVEMBER 10, 2023, 2ND SHIFT. CONVERT TO PULL-OUT CLEANING.
</t>
  </si>
  <si>
    <t>REPLACEMENT OF L10_JVSPLIT_068E_STOPE. APPROVED ON OCTOBER 02, 2023.STOPPED ON NOVEMBER 10, 2023 PINCHET OUT VEIN ON SILL PILLAR, ALREADY REACHED RECOMMENDED STRIKE LENGTH.</t>
  </si>
  <si>
    <t>REPLACEMENT OF L04_NONE_023W_XCN_ISL APPROVED ON MAY 22, 2023.TEMPORARY STOPPED ON JUNE 8, 2023 DUE TO THE UNAVAILABIILITY OF AGSAO SHAFT.RESUMED ON OCTOBER 02, 2023. AS WELL AS CHANGED TEAM LEADER FROM CAYMAN 3 TO MARTINEZ, DN 2.STOPPED ON NOVEMBER 06, 2023.DUE TO PINCHED OUT VEIN. MEMO TO BE FOLLOWED.</t>
  </si>
  <si>
    <t>REPLACEMENT OF L09_DPVE_089E_DE APPROVED ON OCTOBER 18, 2023.STOPPED ON NOVEMBER 12, 2023 DUE TO CONSECUTIVE LOW GRADE.</t>
  </si>
  <si>
    <t xml:space="preserve">REPLACEMENT OF L09_GHVFW_045E_WINZE  APPROVED ON OCTOBER 26, 2023. MEMO TO BE FOLLOWED. TEMPORARILY STOPPED ON NOVEMBER 11, 2023 FOR SAFETY EVALUATION. </t>
  </si>
  <si>
    <t xml:space="preserve">PROPOSED L08-L10 INTERNAL SHAFT,APPROVED ON JAN 30, 2017 AS PER JKDC. Transfer from HUMIDING 3 TO DUHIG 3 ON MARCH 6,2020. stopped on march 27 2020.RESUMED FEB 19, 2021.resume on May 18, 2023 to work on A-frame AS WELL AS TRANSFERRED FROM DUHIG TO AMBONGAN. CHANGE TEAM LEADER FROM AMBONGAN TO LERIO 2, APPROVED MAY 25, 2023. STOPPED ON JULY 30, 2023 FINISHED ASSISTING THE MECHANICAL.TEMPORARILY STOPPED ON NOVEMBER 11, 2023 FOR SAFETY EVALUATION. </t>
  </si>
  <si>
    <t>REPLACEMENT OF L12_GHVHW_065E_DE APPROVED ON MAY 30, 2023.STOPPED ON JULY 4, 2023. ALREADY REACHED EXCLUSION ZONE OF 48E SHAFT.RESUMED ON JULY 18, 2023 AND TRANSFERRED FROM DUHIG 1 TO PANCIT, NOEL  1. TEMPORARY STOPPED ON JULY 21, 2023. TO PRIORITIZE FOLLOW-UP RAISE.RESUMED ON OCTOBER 13, 2023 AT THE SAME TIME CHANGE TEAM LEADER FROM PANCIT, NOEL  1 TO OY-YOY 1.RENAMED FROM L12_GHVHW_065E_DW TO LL12_GHVSPLIT_062E_DW TO AVOID MISCHARGING APPROVED ON OCTOBER 16, 2023.STOPPED ON OCTOBER 23, 2023. TO PRIORITIZE WINZE PREPARATION.RESUMED ON NOVEMBER 04, 2023.STOPPED ON NOVEMBER 11, 2023 ALREADY MADE A BREAKTHROUGH MEMO TO BE FOLLOWED. MEMO RECIEVED.</t>
  </si>
  <si>
    <t>L04_CTV_010W_WINZE STOPE PREP</t>
  </si>
  <si>
    <t>REPLACEMENT OF L11_NONE_038E_XCN APPROVED ON SEPTEMBER 18, 2023.ALREADY DONE STOPE PREPARATION ON OCTOBER 5, 2023. BUT TEMPORARRY STOP ON BREAKING. TO BE TRANSFERRED TO OTHER WORKPLACE.RESUMED AND CONVERT TO STOPE BREAKING AS REPLACEMENT OF L11_GHVHW_067E_WINZE AS WELL AS CHANGE TL FROM BAÑEZ 8 TO MAPAYO 1. APPROVED ON NOVEMBER 14, 2023.</t>
  </si>
  <si>
    <t>L11_DPVE_023E_STOPE</t>
  </si>
  <si>
    <t>REPLACEMENT OF L04_CTV_010W_WINZE APPROVED ON OCTOBER 11, 2023.TEMPORARILY STOPPED ON NOVEMBER 11, 2023 FOR SAFETY EVALUATION.STOPPED ON NOVEMBER 14, 2023. WILL PROCEED TO WINZE STOPE PREPARATION.</t>
  </si>
  <si>
    <t>L09_JVSPLIT_073E_WINZE STOPE PREP</t>
  </si>
  <si>
    <t>REPLACEMENT OF L11_JV_057E_RAISE. APPROVED ON AUGUST 29, 2023.TEMPORARY STOPPED ON OCTOBER 17, 2023. TO PRIORITIZE WINZE PREPARATION.RESUMED ON OCTOBER 25, 2023 AS WELL AS CHANGE TEAM LEADER FROM ALEÑAR 2 TO TURRA 1. TEMPORARY STOPPED ON OCTOBER 27, 2023 TO PRIORITIZE WORKPLACE WITH HIGHER PAYABILITY.</t>
  </si>
  <si>
    <t>L04_CV_006E_WINZE STOPE</t>
  </si>
  <si>
    <t>L10_NONE_097E_XCS</t>
  </si>
  <si>
    <t>L08_JVSPLIT_074E_DE_ISL</t>
  </si>
  <si>
    <t>REPLACEMENT OF L11_DPVE_043E_DW, APPROVED ON NOV 7, 2023.TEMP STOPPED ON NOV 17, 2023. ALREADY DONE RAISE PREP.</t>
  </si>
  <si>
    <t>L03_CTV_014W_ROBBING</t>
  </si>
  <si>
    <t>L12_NONE_055E_XCN</t>
  </si>
  <si>
    <t>L03_JVSPLIT_009W_ROBBING</t>
  </si>
  <si>
    <t>REPLACEMENT OF L10_GHVSPLIT_030E_RAISE. APPROVED ON CTOBER 17, 2023.STOPPED ON NOVEMBER 16, 2023. CONVERT TO STOPE BREAKING.</t>
  </si>
  <si>
    <t>L10_GHVSPLIT_030E_STOPE</t>
  </si>
  <si>
    <t>REPLACEMENT OF L10_DPVE_092E_WINZE APPROVED ON OCTOBER 24, 2023. TEMPORARILY STOPPED ON NOVEMBER 11, 2023 FOR SAFETY EVALUATION. RESUMED ON NOVEMBER 13, 2023, AFTER FURTHER SAFETY EVALUATION.STOPPED ON NOVEMBER 20, 2023 DUE TO PINCHED OUT VEIN.</t>
  </si>
  <si>
    <t>REPLACEMENT OF L09_JVSPLIT_073E_WINZE. APPROVED ON SEPTEMBER 15, 2023.TEMPORARILY STOPPED ON NOVEMBER 11, 2023 FOR SAFETY EVALUATION.RESUMED ON NOVEMBER 14, 2023.STOPPED ON NOVEMBER 14, 2023, CONVERTED TO WINZE STOPE PREP.</t>
  </si>
  <si>
    <t>L08_JVSPLIT_069E_DE_ISL</t>
  </si>
  <si>
    <t>REPLACEMENT OF L09_DPVE_075E_DE APPROVED ON OCTOBER 23, 2023.CHANGED TEAM LEADER FROM DELOS REYES V1 TO SHEPHERD AY 1. APPROVED ON NOVEMBER 14, 2023.STOPPED ON NOVEMBER 20, 2023, 2ND SHIFT DUE TO CONSECUTIVE LOW QA/QC RESULTS. MANPOWER TO TRANSFER TO LEVEL 5.</t>
  </si>
  <si>
    <t>REPLACEMENT OF L09_NONE_072E_XCN APPROVED ON SEPTEMBER 12, 2023.TEMPORARY STOPPED ON OCTOBER 03, 2023 TO FOLLOW UP RAISE.RESUMED ON OCTOBER 05, 2023.STOPPED ON NOVEMBER 20, 2023 2ND SHIFT DUE TO CONSECUTIVE LOW QA/QC RESULTS.</t>
  </si>
  <si>
    <t>L09_DPVE_071E_DW</t>
  </si>
  <si>
    <t xml:space="preserve">SPECIAL PROJECT, 2-CPT WINZE WITH A DIMENSION OF 3X1.5 AND A DEPTH OF 5 METERS ONLY FOR LEVEL 11 CR/SEPTIC TANK.APPROVED ON OCTOBER 4, 2023.TEMPORARILY STOPPED ON NOVEMBER 11, 2023 FOR SAFETY EVALUATION.RESUMED ON NOVEMBER 13, 2023, AFTER FURTHER SAFETY EVALUATION.STOPPED ON NOVEMBER 13, 2023. FINISHED HEADING, FOR CONCRETING. </t>
  </si>
  <si>
    <t>REPLACEMENT OF L10_GHVFW_052E_ROBBING. APPROVED ON OCTOBER 17, 2023.TEMPORARY STOPPED ON NOV 20, 2023 DUE TO ABSENTEEISM, WITH MEMO SCS</t>
  </si>
  <si>
    <t>REPLACEMENT OF L08_DPVE_024E_ROBBING. APPROVED SEPTEMBER 06, 2023.TEMPORARY STOPPED ON OCTOBER 6, 2023 TO PRIORITIZED L08_DPVE_021E_WINZE. RESUMED ON OCTOBER 17, 2023.TEMPORARY STOPPED ON OCTOBER 21, 2023. DUE TO ONGOING MAINLINE CLEANING REHAB.RESUMED ON OCTOBER 25, 2023. TEMPORARILY STOPPED ON NOVEMBER 11, 2023 FOR SAFETY EVALUATION.RESUMED ON NOVEMBER 15, 2023 IN LINE WITH MEMO ENG-23-11-037.STOPPED ON NOVEMBER 20, 2023. DUE TO THE VEIN AT LAST PILLAR HAS PINCHED OUT.</t>
  </si>
  <si>
    <t>REPLACEMENT OF L10_DPVE_017E_STOPE PREP. APRROVED ON OCTOBER 12, 2023.STOPPED BREAKING ON NOVEMBER 20, 2023, TRAVERSED ON NOVEMBER 20, 2023.</t>
  </si>
  <si>
    <t>REPLACEMENT OF L10_DPVE_012E_STOPE PREP. APPROVED ON JULY 28, 2023.STOPPED BREAKING ON NOVEMBER 20, 2023, TRAVERSED ON NOVEMBER 20, 2023.</t>
  </si>
  <si>
    <t xml:space="preserve"> ADDITIONAL HORIZONTAL DEVELOPMENT DRIVE. APPROVED ON AUGUST 6,2021.TEMPORARY STOPPED ON SEPTEMBER 8,2021 DUE TO TROUBLE AT 35E SHAFT.RESUMED ON SEPTEMBER 13,2021. STOPPED ON JANUARY 21,2022 DUE TO CONSECUTIVE LOW ASSAY GRADE.RESUME ON OCT 9, 2023. AT THE SAME TIME TRANSFER FROM DUHIG, P1 TO PANCIT, NOEL 3.STOPPED ON NOVEMEBER 21, 2023 ALREADY MADE A BREAKTHROUGH.</t>
  </si>
  <si>
    <t>L11_GHVHW_058E_DE</t>
  </si>
  <si>
    <t>L09_NONE_035E_XCN</t>
  </si>
  <si>
    <t>L11_DPVE_027E_DE</t>
  </si>
  <si>
    <t>REPLACEMENT OF L09_DPVE_080E_WINZE. APPROVED ON JUNE 9, 2023.TOPSLICE. TEMPORARILY STOPPED ON NOVEMBER 11, 2023 FOR SAFETY EVALUATION.RESUMED ON NOVEMBER 15, 2023 IN LINE WITH MEMO ENG-23-11-037.TEMPORARILY STOPPED ON NOVEMBER 11, 2023 DUE TO UNSAFE CONDITION.</t>
  </si>
  <si>
    <t>REPLACEMENT OF L09_JV_055E_WINZE STOPE PREP. APPROVED ON JUNE 12, 2023.STOPPED BREAKING ON OCTOBER 09, 2023. AS WELL AS TRAVERSED ON THE SAME DAY. 3RD SHIFT. CONVERT TO PULL-OUT CLEANING.TEMPORARILY STOPPED ON NOVEMBER 11, 2023 FOR SAFETY EVALUATION.RESUMED ON NOVEMBER 13, 2023, AFTER FURTHER SAFETY EVALUATION.STOPPED ON NOVEMBER 22, 2023 3RD SHIFT, CONSECUTIVE LOW QA/QC RESULTS ON BULK SAMPLES.</t>
  </si>
  <si>
    <t>L09_DPVE_079E_ROBBING</t>
  </si>
  <si>
    <t xml:space="preserve">REPLACEMENT OF L10_DPVE_095E_STOPE PREP. APPROVED ON MARCH 13, 2023.TEMPORARILY STOPPED ON NOVEMBER 16, 2023, FOR SAFETY EVALUATION.CONVERTED TO PULLOUT CLEANING ON NOVEMBER 23, 2023.
</t>
  </si>
  <si>
    <t xml:space="preserve">REPLACEMENT OF L04_CV_006E_DW_ISL. APPROVED ON MAY 05, 2023.ALREADY DONE STOPE PREP ON MAY 20, 2023. CONVERT TO STOPE BREAKING.REPLACEMENT OF L04_CV_006E_WINZE_STOPE PREP, APPROVED ON MAY 20, 2023.TEMPORARY STOPPED ON JUNE 8, 2023 DUE TO THE UNAVAILABIILITY OF AGSAO SHAFT.RESUMED ON OCTOBER 02, 2023. AS WELL AS CHANGED TEAM LEADER FROM MARTINEZ, RON 1 TO MARTINEZ, DN 4.STOPPED BREAKING ON NOVEMBER 09, 2023. AS WELL AS TRAVERSED ON NOVEMBER 10, 2023, 2ND SHIFT. CONVERT TO PULL-OUT CLEANING.TEMPORARILY STOPPED ON NOVEMBER 11, 2023 FOR SAFETY EVALUATION.RESUMED ON NOVEMBER 13, 2023, AFTER FURTHER SAFETY EVALUATION.STOPPED ON NOVEMBER 22, 2023. ALREADY MINED OUT.
</t>
  </si>
  <si>
    <t>REPLACEMENT OF L09_DPVE_064E_WINZE APPROVED ON SEPTEMBER 22, 2023.TEMPORARILY STOPPED ON NOVEMBER 11, 2023 FOR SAFETY EVALUATION. RESUMED ON NOVEMBER 13, 2023, AFTER FURTHER SAFETY EVALUATION.STOPPED ON NOVEMBER 23, 2023 DUE TO PINCHED OUT OF VEIN FOR 10 METERS.</t>
  </si>
  <si>
    <t>REPLACEMENT OF L12 GHVHW 067E STOPE PREP. APPROVED ON FEB 15, 2023.STOPPED BREAKING ON OCTOBER 04, 2023. CONVERT TO PULL-OUT CLEANING.CONVERTED TO PULL-OUT CLEANING. APPROVED ON OCTOBER 04, 2023.STOPPED ON NOVEMBER 24, 2023. ALREADY MINED OUT.</t>
  </si>
  <si>
    <t>L12_GHVHW_038E_DW</t>
  </si>
  <si>
    <t xml:space="preserve">EXCAVATION FOR ELECTRICAL SUBSTATION. APPROVED ON JUNE 20, 2023.STOPPED ON NOVEMBER 25, 2023 FINISHED HEADING.
</t>
  </si>
  <si>
    <t>REPLACEMENT OF L10_NONE_033E_XCN. ALIMAK RAISE FROM LEVEL 10 TO 9, APPROVED ON NOV 10, 2021.TEMPORARY STOPPED ON MARCH 1,2022.RESUMED ON SEPTEMBER 5, 2023. VENTILATION RAISE.STOPPED ON NOVEMBER 25, 2023 FINISHED HEADING.</t>
  </si>
  <si>
    <t>L08_GHVFW_032W_ROBBING</t>
  </si>
  <si>
    <t>REPLACEMENT OF L10_DPVE_017E_STOPE PREP. APRROVED ON OCTOBER 12, 2023.STOPPED BREAKING ON NOVEMBER 20, 2023, TRAVERSED ON NOVEMBER 20, 2023.CONVERTED TO STOPE PULLOUT ON NOVEMBER 21, 2023.STOPPED ON NOVEMBER 25, 2023 DUE TO LOW ASSAY GRADE WITH 91% PULLOUT PERCENTAGE.</t>
  </si>
  <si>
    <t>L09_DPVE_087E_RAISE</t>
  </si>
  <si>
    <t>L04_CV_009E_DW</t>
  </si>
  <si>
    <t>L04_CV_008E_DW</t>
  </si>
  <si>
    <t>REPLACEMENT OF L08_JVSPLIT_069E_DW_ISL. APPROVED ON NOVEMBER 20, 2023.STOPPED ON NOVEMBER 23, 2023. ALREADY MADE A BREAKTHROUGH.</t>
  </si>
  <si>
    <t>REPLACEMENT OF L10_DPVE_087E_DE. APPROVED ON AUGUST 15, 2023.TEMPORARY STOPPED ON OCTOBER 11, 2023 TO PRIORITIZE THE RAISE PREPARATION.RESUMED ON OCTOBER 17, 2023.STOPPED ON NOVEMBER 27, 2023. DUE TO CONSECUTIVE LOW ASSAY GRADE AND VEIN PINCHED OUT ON CURRENT FACE.</t>
  </si>
  <si>
    <t xml:space="preserve">APPROVED ON OCTOBER 18, 2023, 2ND SHIFT.CHANGE HEADING NAME FROM L10_DPVE_052E_DW TO L10_DPVE_056E_DW DUE TO SAME POSITION WIN AN EXISTINNG AWP APPROVED ON OCTOBER 24, 2023.TEMPORARRY STOPPED ON OCT 27, 2023 DUE TO MANPOWER ISSUE WITH MEMO FROM SCS.RESUMED ON NOVEMBER 6, 2023.STOPPED DUE TO CONSECUTIVE LOW ASSAY GRADE BOTH ON CUT &amp; BULK SAMPLES. MANPOWER WILL BE TRANSFERRED TO LEVEL 11. APPROVED ON NOVEMBER 27, 2023.
</t>
  </si>
  <si>
    <t>REPLACEMENT OF L09_JVSPLIT_027E_ROBBING APPROVED ON NOVEMBER 10, 2023. FILL WINZE.TEMPORARILY STOPPED ON NOVEMBER 11, 2023 FOR SAFETY EVALUATION.RESUMED ON NOVEMBER 14, 2023.STOPPED ON NOVEMBER 27, 2023, ALREADY MADE A BREAKTHROUGH.</t>
  </si>
  <si>
    <t>L11_DPVE_020E_STOPE PREP</t>
  </si>
  <si>
    <t>REPLACEMENT OF L12_DPVE_052E_DE, APPROVED ON NOVEMBER 17, 2023.STOPPED ON NOVEMBER 24, 2023. HEADING TO BE CONVERTED TO ON-VEIN DRIVE.</t>
  </si>
  <si>
    <t>REPLACEMENT OF L10_DPVE_090E_ROBBING. APPROVED ON NOVEMBER 07, 2023.STOPPED ON NOVEMBER 28, 2023. CURRENTLY FOLLOWING A VEIN PINCHING-OUT DUE TO A PARALLEL FAULT.</t>
  </si>
  <si>
    <t>L08_DPVE_029E_WINZE STOPE</t>
  </si>
  <si>
    <t>REPLACEMENT OF L08_DPVE_031E_ROBBING APPROVED ON NOVEMBER 11, 2023.TEMPORARILY STOPPED ON NOVEMBER 11, 2023 FOR SAFETY EVALUATION.RESUMED ON NOVEMBER 15, 2023, 1ST SHIFT.STOPPED ON NOVEMBER 28, 2023. CONVERT TO STOPE BREAKING. TRAVERSED ON NOVEMBER 27, 2023.</t>
  </si>
  <si>
    <t>REPLACEMENT OF L11_NONE_022E_XCS. APPROVED ON AUGUST 14, 2023.TEMPORARY STOPPED ON SEPTEMBER 19, 2023 TO PRIORITIZE VERTICAL DEVELOPMENT.RESUMED ON SEPTEMBER 23, 2023.TEMPORARY STOPPED ON NOVEMBER 28, 2023. TO PRIORITIZED L11_DPVE_021E_STOPE PREP.</t>
  </si>
  <si>
    <t>REPLACEMENT OF L11_DPVE_022E_DW APPROVED ON SEPTEMBER 19, 2023. TEMPORARY STOPPED ON SEPTEMBER 22, 2023 TO PRIORITIZE HORIZONTAL DEVELOPMENT.RESUMED ON OCTOBER 17, 2023. AS WELL AS CHANGE TEAM LEADER FROM BAÑEZ 4 TO COMAINGKING 2.TEMPORARY STOPPED ON NOVEMBER 28, 2023. TO PRIORITIZED L11_DPVE_020E_STOPE PREP.</t>
  </si>
  <si>
    <t>L12_GHVHW_050E_DW</t>
  </si>
  <si>
    <t xml:space="preserve">ADDITIONAL HORIZONTAL DEVELOPMENT DRIVES. APPROVED ON DECEMBER 10,2021.TEMPORARY STOPPED ON MARCH 28,2022.RESUMED ON APRIL 13,2022. TEMPORARY STOPPED ON OCTOBER 13,2022 DUE TO CONSECTUIVE LOW ASSAY GRADE.RESUME ON JUNE 26, 2023.STOPPED ON JULY 25, 2023 DUE TO LOW GRADE.RESUMED ON OCTOBER 04, 2023 AS PER GEO FOR ITS NEW DRILLING DATA. AS WELL AS CHANGED TEAM LEADER FROM DUHIG, P4 TO PANCIT NOEL 4.STOPPED ON NOVEMBER 24, 2023. DUE TO PINCHED OUT VEIN.
</t>
  </si>
  <si>
    <t>L04_CV_008E_DE</t>
  </si>
  <si>
    <t xml:space="preserve">REPLACEMENT OF L04_NONE_023W_XCN_ISL APPROVED ON MAY 22, 2023.TEMPORARY STOPPED ON JUNE 8, 2023 DUE TO THE UNAVAILABIILITY OF AGSAO SHAFT.RESUMED ON OCTOBER 02, 2023. AS WELL AS CHANGED TEAM LEADER FROM CAYMAN 3 TO MARTINEZ, DN 2.STOPPED ON NOVEMBER 06, 2023.DUE TO PINCHED OUT VEIN. MEMO TO BE FOLLOWED.
</t>
  </si>
  <si>
    <t>L04_GHVFW_008W_DE</t>
  </si>
  <si>
    <t>L10_GHVSPLIT_038E_RAISE</t>
  </si>
  <si>
    <t>ADDITIONAL HORIZONTAL DRIVE, APPROVED ON NOVEMBER 17, 2023.CHANGED HEADING FROM L04_CV_008E_DE TO L04_GHVFW_008W_DE AS CORRECTION BASED ON MAP REVIEW.STOPPED ON NOVEMBER 25, 2023. DUE TO PINCHED OUT VEIN.</t>
  </si>
  <si>
    <t>L11_DPVE_018E_STOPE PREP</t>
  </si>
  <si>
    <t>L09_DPVE_064E_DW_ISL</t>
  </si>
  <si>
    <t>REPLACEMENT OF L09_DPVE_012E_DW. APPROVED ON JULY 22, 2023.TEMPORARY STOPPED ON AUGUST 18, 2023. TO PRIORITIZE L09_JVSPLIT_041E_ROBBING.</t>
  </si>
  <si>
    <t>L10_JVFW_058E_DE</t>
  </si>
  <si>
    <t>L10_GHVSPLIT_073E_STOPE</t>
  </si>
  <si>
    <t>REPLACEMENT OF L10_GHVSPLIT_073E_STOPE PREP APPROVED ON NOVEMBER 29, 2023.TEMPORARILY STOPPED ON NOVEMBER 30, 2023 TO PRIORITIZE L10_GHVSPLIT_072E_STOPE.</t>
  </si>
  <si>
    <t>ADDITIONAL HORIZONTAL DEVELOPMENT. APPROVED ON OCTOBER 02, 2023.TEMPORARY STOPPED ON NOVEMBER 05, 2023 DUE TO UNSERVICEABLE AREA.RESUMED ON NOVEMBER 10, 2023.TEMPORARILY STOPPED ON NOVEMBER 27, 2023 TO PRIORITIZE L10_DPVE_055E_RAISE.</t>
  </si>
  <si>
    <t>L10_JVHW_049E_WINZE</t>
  </si>
  <si>
    <t>ADDITIONAL HORIZONTAL DEVELOPMENT. APPROVED ON OCTOBER 02, 2023.RENAME FROM L09_JVSPLIT_048E_DE TO L09_JVSPLIT_050E_DW APPROVED ON OCTOBER 3, 2023.TEMPORARY STOPPED ON  OCTOBER 07, 2023. TO PRIORITIZED L09_DPVE_071E_RAISE.RESUMED ON NOVEMBER 14, 2023 AS WELL AS CHANGED TEAM LEADER FROM DELOS REYES V2 TO QUIJANO 2.STOPPED ON DECEMBER 1, 2023, ALREADY REACHED THE RECOMMENDED STRIKE LENGTH.</t>
  </si>
  <si>
    <t>L09_NONE_065E_XCS</t>
  </si>
  <si>
    <t>L04_CTV_010W_WINZE STOPE</t>
  </si>
  <si>
    <t xml:space="preserve">REPLACEMENT OF L04_CTV_010W_DW_ISL. APPROVED ON NOVEMBER 14, 2023.STOPPED ON NOVEMBER 28, 2023. CONVERT TO STOPE BREAKING. </t>
  </si>
  <si>
    <t>L04_CTV_021W_WINZE STOPE</t>
  </si>
  <si>
    <t>REPLACEMENT OF L04_CTV_023W_DW_ISL APPROVED ON NOVEMBER 7, 2023.TEMPORARILY STOPPED ON NOVEMBER 11, 2023 FOR SAFETY EVALUATION. RESUMED ON NOVEMBER 13, 2023, AFTER FURTHER SAFETY EVALUATION.STOPPED ON NOVEMBER 29, 2023. CONVERT TO STOPE BREAKING.</t>
  </si>
  <si>
    <t xml:space="preserve">REPLACEMENT OF L10_DPVE_095E_STOPE PREP. APPROVED ON MARCH 13, 2023.TEMPORARILY STOPPED ON NOVEMBER 16, 2023, FOR SAFETY EVALUATION.CONVERTED TO PULLOUT CLEANING ON NOVEMBER 23, 2023.TEMPORARILY STOPPED ON NOVEMBER 30, 2023 FOR SAFETY INVESTIGATION.
</t>
  </si>
  <si>
    <t>L09_DPVE_076E_ROBBING</t>
  </si>
  <si>
    <t>L12_JV_062E_STOPE PREP</t>
  </si>
  <si>
    <t>L11_GHVFW_030E_DW</t>
  </si>
  <si>
    <t>L10_JV_067E_DE_ISL</t>
  </si>
  <si>
    <t>L09_JV_036E_RAISE</t>
  </si>
  <si>
    <t xml:space="preserve">REPLACEMENT OF L09_JV_047E_RAISE. APPROVED ON NOVEMBER 4, 2023.STOPPED ON NOVEMBER 28, 2023, 3RD SHIFT DUE TO OFF VEIN.
</t>
  </si>
  <si>
    <t xml:space="preserve">REPLACEMENT OF L09_DPVE_071E_RAISE. APPROVED ON NOVEMBER 03, 2023.STOPPED ON NOVEMBER 16, 2023 DUE TO OFF VEIN.RESUME BREAKING ON NOVEMBER 17, 2023. BASED ON ACTUAL OBSERVATION OF THE LEVEL GEO, THE HEADING EXHIBITS IMPROVEMENT ON ITS VEIN WIDTH AT 0.3 METER WITH GOOD VEIN TEXTURE AND MINERALIZATION, AND THE LAST CUT SAMPLE BEFORE THE VEIN PINCHED SHOWS GOOD QA/QC RESULTS.STOPPED ON DECEMBER 7, 2023 2ND SHIFT, DUE TO CONSECUTIVE LOW ASSAY GRADES.
</t>
  </si>
  <si>
    <t>ADDITIONAL VERTICAL DEVELOPMENT APPROVED ON JUNE 16, 2023.MANPOWER LOWERED FROM L04_CTV_010W_WINZE.STOPPED ON AUGUST 18, 2023. ALREADY REACHED RECOMMENDED SLOPE DISTANCE.RESUMED ON NOVEMBER 24, 2023. TO REHAB OREPASS SIDE. AS WELL AS CHANGED TEAM LEADER FROM MARTINEZ, DN 4 TO CARIKITAN 2.TEMPORARY STOPPED ON DECEMBER 6, 2023 DUE TO UNSAFE CONDITION OF THE WORKPLACE BASED ON THE JOINT EVALUATION AND ASSESSMENT OF THE CONCERNED DEPARTMENTS AFTER THE EARTHQUAKE INCIDENT. FOR FURTHER EVALUATION.</t>
  </si>
  <si>
    <t xml:space="preserve">REPLACEMENT OF L11_NONE_043E_XCS. APPROVED ON SEPT 22, 2023.TEMPORARILY STOPPED ON OCTOBER 19, 2023.RESUMED ON OCTOBER 25, 2023. AS WELL AS CHANGE TEAM LEADER FROM BANEZ 1 TO REBOTE 1.STOPPED ON NOVEMBER 6, 2023 TO PRIORITIZE RAISE ALONG THE DRIFT.RESUMED ON NOV 17, 2023 TO CONTINUE DRIVING TO WEST.STOPPED ON DEC 6, 2023 DUE TO LOW GRADE.
</t>
  </si>
  <si>
    <t>REPLACEMENT OF L11_DPVE_030E_DW APPROVED ON SEPTEMBER 15, 2023.TEMPORARY STOPPED ON SEPTEMBER 22, 2023 TO PRIORITIZE DRIFT.RESUMED ON OCTOBER 25, 2023. RENAMED HEADING FROM L11_DPVE_031E_RAISE TO L11_DPVE_033E_RAISEAS WELL AS CHANGE TEAM LEADER FROM BAÑEZ 2 TO TORMIS 1.STOPPED ON DEC 8, 2023 DUE TO LOW GRADE.</t>
  </si>
  <si>
    <t>L11_NONE_025E_XCS</t>
  </si>
  <si>
    <t>REPLACEMENT OF L09_DPVE_057E_ROBBING APPROVED ON NOVEMBER 10, 2023. TOPSLICE.TEMPORARILY STOPPED ON NOVEMBER 11, 2023 FOR SAFETY EVALUATION.RESUMED ON NOVEMBER 16, 2023 IN LINE WITH MEMO ENG-23-11-037.STOPPED ON DECEMBER 08, 2023, 2ND SHIFT, ALREADY MINED OUT.</t>
  </si>
  <si>
    <t xml:space="preserve">REPLACEMENT OF L09_DPVE_087E_ROBBING. APPROVED ON NOVEMBER 16, 2023.TEMPORARY STOPPED ON DECEMBER 6, 2023 DUE TO UNSAFE CONDITION OF THE WORKPLACE BASED ON THE JOINT EVALUATION AND ASSESSMENT OF THE CONCERNED DEPARTMENTS AFTER THE EARTHQUAKE INCIDENT. FOR FURTHER EVALUATION.STOPPED ON DECEMBER 08, 2023, 2ND SHIFT, WILL BE CONVERTED TO TOPSLICE AS RECOMMENDED BY MINE OP.
</t>
  </si>
  <si>
    <t xml:space="preserve">REPLACEMENT OF L09_JVSPLIT_048E_DE_ISL. APPROVED ON NOVEMBER 04, 2023 3RD SHIFT.TEMPORARILY STOPPED ON NOVEMBER 11, 2023 FOR SAFETY EVALUATION.RESUMED ON NOVEMBER 14, 2023.STOPPED ON DECEMBER 08, 2023; 2ND SHIFT; TO BE CONVERTED TO STOPE BREAKING.
</t>
  </si>
  <si>
    <t>L05_DPVE_035E_ROBBING</t>
  </si>
  <si>
    <t>L09_JVSPLIT_037E_DW</t>
  </si>
  <si>
    <t>L09_DPVE_034E_ROBBING</t>
  </si>
  <si>
    <t>L09_DPVE_045E_ROBBING</t>
  </si>
  <si>
    <t>REPLACEMENT OF L10_DPVE_090E_DW APPROVED ON AUGUST 8, 2023.TEMPORARILY STOPPED ON SEPTEMBER 23, 2023, MANPOWER TRANSFERED TO UPPER LEVEL.-RESUMED ON OCTOBER 07, 2023. AS WELL AS CHANGED TEAM LEADER FROM MARTINEZ, DN 2
TO LARGO 4.TEMPORARILY STOPPED ON NOVEMBER 11, 2023 FOR SAFETY EVALUATION.RESUMED ON NOVEMBER 13, 2023, AFTER FURTHER SAFETY EVALUATION.STOPPED ON DECEMBER 01, 2023. ALREADY REACHED THE RECOMMENDED SLOPE DISTANCE FOR ISL, APPROVED ON DECEMBER 9, 2023.</t>
  </si>
  <si>
    <t>L09_DPVE_089E_ROBBING</t>
  </si>
  <si>
    <t>L09_JVSPLIT_048E_WINZE STOPE</t>
  </si>
  <si>
    <t>REPLACEMENT OF L04_CV_006E_DE_ISL .APPROVED ON 2/14/2023.TEMP STOPPED ON MAR 25, 2023 DUE TO MANPOWER ISSUE,RESUMED ON MARCH 28, 2023.STOPPED ON MAY 05, 2023. CONVERTED TO WINZE STOPE PREP.RESUMED ON MAY 19, 2023 AS WELL AS RENAME FROM L04_CV_006E_DW_ISL TO L04_CV_007E_DW_ISL.STOPPED ON JUNE 8, 2023. DUE TO LOW ASSAY GRADE.RESUMED ON NOVEMBER 24, 2023. AS WELL AS CHANGED TEAM LEADER FROM MARTINEZ, RON 1 TO MARTINEZ, DN 4.TEMPORARY STOPPED ON DECEMBER 6, 2023 DUE TO UNSAFE CONDITION OF THE WORKPLACE BASED ON THE JOINT EVALUATION AND ASSESSMENT OF THE CONCERNED DEPARTMENTS AFTER THE EARTHQUAKE INCIDENT. FOR FURTHER EVALUATION. STOPPED ON DECEMBER 09, 2023. MEMO FROM GEO. CURRENT FACE IS APPROACHING L05_NVN_001E_STOPE BASED ON MAP.</t>
  </si>
  <si>
    <t>L03_CV_005W_ROBBING</t>
  </si>
  <si>
    <t>REPLACEMENT OF L11_JV_054E_STOPE PREP. APPROVED ON AUGUST 21, 2023.TEMP STOPPED ON NOV 11, 2023 DUE TO CONFLICT AND DISAGREEMENT WITHIN THE GROUP.RESUMED ON NOV 13 2023 AS PER SCS MEMO.STOPPED BREAKING DUE TO LOW GRADE, ALREADY DONE STOPE TRAVERSE. PROCEED TO PULL OUT CLEANING ON DECEMBER 7, 2023.</t>
  </si>
  <si>
    <t xml:space="preserve">REPLACEMENT OF L08_JVSPLIT_074E_DW_ISL APPROVED ON NOVEMBER 7, 2023.TEMPORARILY STOPPED ON NOVEMBER 10, 2023 TO PRIORITIZE WINZE STOPE PREP. </t>
  </si>
  <si>
    <t xml:space="preserve">REPLACEMENT OF L11_JVFW_065E_STOPE PREP. APPROVED ON MARCH 13, 2023.TEAM LEADER UNDER THIS GROUP SHEPHERD AL RESIGNED THUS RETENTION FORFEITED. THIS GROUP WILL BE ASSIGNED TO ARIEL BAÑEZ, GROUP BAÑEZ 2. APPROVED ON MAY 16, 2023.STOPPED BREAKING ON JULY 14, 2023 TO BE CONVERTED TO STOPE PULLOUT.TEMPORARY STOPPED ON AUG 4, 2023 DUE TO ERRATIC GRADE ON GRAB AND BULK SAMPLE.STOPPED ON DECEMBER 9, 2023 DUE TO LOW ASSAY GRADE ON BULK SAMPLES AT 65% PULL-OUT ATTAINMENT WITH 892 REMAINING MINE CARS. FOR POSSIBLE RESUMPTION WHEN THE TIGERWAY DECLINE IS READY FOR OPERATION.
</t>
  </si>
  <si>
    <t>L09_JVSPLIT_073E_WINZE STOPE</t>
  </si>
  <si>
    <t>REPLACEMENT OF L09_JVSPLIT_073E_DE_ISL. APPROVED ON NOVEMBER 14, 2023.STOPPED ON DECEMBER 09, 2023; TO BE CONVERTED TO STOPE BREAKING.</t>
  </si>
  <si>
    <t>REPLACEMENT OF L10_JVSPLIT_044E_RAISE. APPROVED ON OCTOBER 11, 2023.TEMPORARY STOPPED ON OCTOBER 17, 2023. DUE TO LACK OF MANPOWER.RENAMED FROM L10_JVSPLIT_046E_DW_STOPE PREP TO L10_JVSPLIT_044E_STOPE PREP TO AVOID MISCHARGING WITH L10_DPVE_046E_ROBBING.RESUMED ON NOVEMBER 25, 2023.ALREADY DONE STOPE PREP ON DEC 9, 2023 CONVERT TO STOPE BREAKING.</t>
  </si>
  <si>
    <t>REPLACEMENT OF L10_NONE_011E_XCN. APPROVED ON APRIL 18, 2023.TEMPORARY STOPPED ON MAY 29, 2023. MEMO TO BE FOLLOWED.RESUMED ON JUNE 21, 2023.TEMPORARY STOPPED ON JULY 2, 2023 TO PRIORITIZE VERTICAL RAISE.RESUMED ON JULY 4, 2023.STOPPED ON JULY 14, 2023. 2ND SHIFT. TO PRIORITIZE ON -VEIN DRIVE.RESUMED AS REPLACEMENT OF L10_NONE_015E_XCS AS WELL AS CHANGE TL FROM SHEPHERD BC 3
TO SHEPHERD BD 1. APPROVED ON NOVEMBER 6, 2023.RENAMED HEADING FROM L10_DPVE_014E_DE TO L10_DPVE_021E_DE TO AVOID MISCHARGING WITH L10_NONE_014E_CLEANING.STOPPED ON DEC 12, 2023 DUE TO CONSECUTIVE LOW ASSAY RESULT.</t>
  </si>
  <si>
    <t>L10_JVSPLIT_044E_STOPE</t>
  </si>
  <si>
    <t>L10_DPVE_046E_REHAB ML</t>
  </si>
  <si>
    <t xml:space="preserve">REPLACEMENT OF L10_GHVHW_058E_STOPE. APPROVED ON NOVEMBER 10, 2023.STOPPED ON DEC 12, 2023 DUE TO PROGRESSIVE NARROW VEIN EFFECTIVE 3RD SHIFT.
</t>
  </si>
  <si>
    <t>L08_DPVE_023E_DE</t>
  </si>
  <si>
    <t>REPLACEMENT OF L08_DPVE_005W_DE. APPROVED ON AUGUST 28, 2023.TEMPORARY STOPPED ON SEPTEMBER 09, 2023. TO PRIORITIZE DEVELOPMENT.RESUMED ON SEPTEMBER 19, 2023.TEMPORARILY STOPPED ON NOVEMBER 11, 2023 FOR SAFETY EVALUATION.RESUMED ON NOVEMBER 15, 2023 IN LINE WITH MEMO ENG-23-11-037.STOPPED ON DECEMBER 12, 2023. ALREADY FINISHED HEADING.</t>
  </si>
  <si>
    <t>REPLACEMENT OF L08_GHV_005E_DE_ISL. APPROVED ON OCTOBER 16, 2023.TEMPORARILY STOPPED ON NOVEMBER 11, 2023 FOR SAFETY EVALUATION.RESUMED ON NOVEMBER 16, 2023 IN LINE WITH MEMO ENG-23-11-037.TEMPORARY STOPPED ON DECEMBER 6, 2023 FOR SAFETY EVALUATION.STOPPED ON DECEMBER 12, 2023. ALREADY FINISHED HEADING.</t>
  </si>
  <si>
    <t>L10_GHVSPLIT_072E_WINZE</t>
  </si>
  <si>
    <t>L10_GHVSPLIT_064E_DE</t>
  </si>
  <si>
    <t xml:space="preserve">REPLACEMENT OF L09_DPVE2_082E_DW, APPROVED ON DECEMBER 09, 2023 2ND SHIFT.STOPPED ON DECEMBER 12, 2023; 2ND SHIFT, DUE TO SWERVING OF VEIN DRIVING PARALLEL TO L09 MAINLINE.
</t>
  </si>
  <si>
    <t>REPLACEMENT OF L09_DPVE_064E_DE_ISL, APPROVED ON NOVEMBER 27, 2023.STOPPED ON DECEMBER 12, 2023; 2ND SHIFT, DUE TO PINCHED OUT VEIN.</t>
  </si>
  <si>
    <t>L10_DPVE_046E_REHAB</t>
  </si>
  <si>
    <t>REPLACEMENT OF L11_DPVE_046E_STOPE PREP. APPROVED ON JUNE 22, 2023.TEMPORARY STOPPED ON NOVEMBER 29, 2023 EFFECTIVE ON 3RD SHIFT TO CHECK PILLAR BETWEEN CURRENT BACK AND THE 48E SHAFT BOTTOM AS PER LGO.RESUMED ON DECEMBER 13, 2023; 3RD SHIFT.STOPPED BREAKING ON DECEMBER 13, 2023; 3RD SHIFT, ALREADY WITHIN 48E SHAFT EXCLUSION ZONE, WITH STOPE TRAVERSE. CONVERTED TO PULLOUT.</t>
  </si>
  <si>
    <t>REPLACEMENT OF L10_GHVSPLIT_032E_DW. APPROVED ON JULY 31, 2023. TEMPORARY STOPPED ON AUGUST 13, 2023 DUE TO PINCHED OUT OF VEIN AND CONSECUTIVE LOW ASSAY GRADE.STOPPED ON DECEMBER 13, 2023 DUE TO LOW GRADE ASSAY AS PER LGO.</t>
  </si>
  <si>
    <t>REPLACEMENT OF L05_DPVE_053E_DW_ISL, APPROVED ON NOVEMBER 4, 2023.TEMPORARILY STOPPED ON NOVEMBER 11, 2023 FOR SAFETY EVALUATION. RESUMED ON NOVEMBER 13, 2023, AFTER FURTHER SAFETY EVALUATION.</t>
  </si>
  <si>
    <t>REPLACEMENT OF L08_DPVE_019E_ROBBING. APPROVED ON NOVEMBER 21, 2023.STOPPED ON DECEMBER 12, 2023. ALREADY HIT THE TARGET VEIN.</t>
  </si>
  <si>
    <t>REPLACEMENT OF L04_CV_008E_DE. APPROVED ON NOVEMBER 25, 2023.STOPPED ON DECEMBER 13, 2023 DUE TO PINCHED OUT VEIN.</t>
  </si>
  <si>
    <t xml:space="preserve">REPLACEMENT OF L11_JVFW_056E_STOPE PREP APPROVED ON OCTOBER 24, 2023.STOPPED BREAKING ON DECEMBER 13, 2023; 2ND SHIFT AND CONVERTED TO PULLOUT CLEANING DUE TO CONSECUTIVE LOW GRADES ON CUT AND BULK SAMPLES, WITH STOPE TRAVERSE. </t>
  </si>
  <si>
    <t>REPLACEMENT OF L12_JV_056E_DE, APPROVED ON OCT 9, 2023.TEMPORARY STOPPED ON OCTOBER 25, 2023. TO PRIORITIZED DRIFT.RESUMED ON NOVEMBER 7, 2023 AND RENAME HEADING AS PER GEO FROM L12_JV_056E_RAISE TO L12_JV_060E_RAISE TO AVOID MISCHARGING TO L12_JV_056E_DE, AT THE SAME TIME CHANGE TEAM LEADER FROM DUHIG, P8 TO CAYMAN 3.TEMPORARILY STOPPED ON NOVEMBER 17, 2023 TO PRIORITIZE L12_GHV_065E_STOPE.RESUMED ON NOVEMBER 24, 2023. AS WELL AS CHANGED TEAM LEADER FROM CAYMAN 3 TO DUHIG, P7.STOPPED ON DEC 15, 2023. DUE TO PINCHED OUT VEIN.</t>
  </si>
  <si>
    <t>REPLACEMENT OF L10 NONE 008E XCN. APPROVED ON JULY 25, 2023.TEMPORARY STOPPED ON AUGUST 13, 2023 TO MINIMIZE THE DEVELOPMENT TONNAGE AT LEVEL 10 AND DUE TO CONSECUTIVE LOW ASSAY GRADES.RESUMED ON NOVEMBER 10, 2023. AS WELL AS CHANGED TEAM LEADER FROM MARTINEZ, RON TO PARAGUYA 1.STOPPED ON DECEMBER 15, 2023. 3RD SHIFT. PINCHED OUT VEIN.</t>
  </si>
  <si>
    <t>REPLACEMENT OF L09_DPVE_080E_ROBBING, APPROVED ON NOVEMBER 23, 2023.TEMPORARILY STOPPED ON DECEMBER 16, 2023; 2ND SHIFT TO PRIORITIZE CROWN PILLAR ROBBING.</t>
  </si>
  <si>
    <t>STOPPED BREAKING AND CONVERT TO PULL-OUT CLEANING ON NOVEMBER 13, 2023. TRAVERSED ON THE SAME DAY, 3RD SHIFT.ALREADY DONE STOPE CLEANING W/  107 % PULL OUT, ADVISED MINE OPS TO INSTALL BULKHEAD ON MANWAYS AND CHUTE ON DECEMBER 13, 2023.</t>
  </si>
  <si>
    <t>REPLACEMENT OF L11_DPVE_044E_STOPE PREP. APPROVED ON MARCH 28, 2023.STOPPED BREAKING AND CONVERT TO PULL-OUT CLEANING ON NOVEMBER 13, 2023. TRAVERSED ON THE SAME DAY, 3RD SHIFT ON DECEMBER 13, 2023.</t>
  </si>
  <si>
    <t>REPLACEMENT OF L11_DPVE_026E_STOPE PREP. APPROVED ON AUGUST 11, 2023.TEMPORARY STOPPED ON AUGUST 21, 2023 TO PRIORITIZE L11_NONE_038E_XCN.RESUME ON OCT 6, 2023. PRIORITY STOPE.STOPPED ON NOVEMBER 28, 2023. CONVERT TO PULL-OUT CLEANING.ALREADY DONE STOPE CLEANING W/  110 % PULL OUT, ADVISED MINE OPS TO INSTALL BULKHEAD ON MANWAYS AND CHUTE ON DECEMBER 13, 2023.</t>
  </si>
  <si>
    <t>REPLACEMENT OF L11_DPVE_026E_STOPE PREP. APPROVED ON AUGUST 11, 2023.TEMPORARY STOPPED ON AUGUST 21, 2023 TO PRIORITIZE L11_NONE_038E_XCN.RESUME ON OCT 6, 2023. PRIORITY STOPE.STOPPED ON NOVEMBER 28, 2023. CONVERT TO PULL-OUT CLEANING ON DECEMBER 13, 2023.</t>
  </si>
  <si>
    <t>L04_JV_028E_ROBBING</t>
  </si>
  <si>
    <t>L12_NONE_063E_XCS</t>
  </si>
  <si>
    <t xml:space="preserve">REPLACEMENT OF L12_GHVHW_050E_DW. APPROVED ON NOVEMBER 24, 2023.STOPPED ON DEC 12, 2023 DUE TO LOW GRADE.
</t>
  </si>
  <si>
    <t xml:space="preserve">REPLACEMENT OF L11_GHV_060E_STOPE PREP APPROVED ON  NOVEMBER 19, 2022.TRANSFER FROM REBOTE 2 TO BADBADON 2 ON NOVEMBER 30,2022 MANAGEMENT DECISION. TEMPORARY STOPPED ON JANUARY 17,2023 TEAM LEADER SURRENDERED DUE TO INSUFFICIENT MANPOWER FORFEITED RETENTION.RESUMED ON JANUARY 30, 2023. AT THE SAME TIME TRANSFERRED FROM BADBADOB TO TURRA 1, MGMT DECISION.TEMP STOPPED ON MAR 20, 2023 DUE TO MANPOWER ISSUE.RESUMED ON MARCH 28, 2023 AS WELL AS TRANSFERRED FROM TURRA 1 TO MARTINEZ, DN 4.STOPPED ON APRIL 18, 2023 DUE TO LACK OF MANPOWER.STOPPED ON APRIL 18, 2023 DUE TO LACK OF MANPOWER THEREFORE RETENTION WILL BE FORFEITED.RESUMED ON APR 19, 2023.TRANSFERRED FROM MARTINEZ, DN 4 TO PARAN 2 DUE TO ABSENTEEISM OF MP THUS RETENTION OF MARTINEZ,DN 4 WILL BE FORFEITED ON MAY 24, 2023.STOPPED BREAKING AND CONVERT TO STOPE PULL-OUT ON AUGUST 14, 2023. 3RD SHIFT.TEMP STOPPED ON OCT 12, 2023. TO DRIVE BY PASS RAISE.RESUMED ON OCTOBER 23, 2023 AT THE SAME TIME TRANSFERRED FROM PARAN TO BAÑEZ 9.STOPPED ON DECEMBER 14, 2023, ALREADY MINED OUT.
</t>
  </si>
  <si>
    <t>REPLACEMENT OF L09_GHVFW_031W_STOPE PREP APPROVED ON NOVEMBER 7, 2023.TEMPORARILY STOPPED ON DECEMBER 12, 2023; 2ND SHIFT FOR SAFETY EVALUATION.CONVERTED TO PULL OUT DUE TO SAFETY CONCERN, APPROVED ON DECEMBER 18, 2023.</t>
  </si>
  <si>
    <t>REPLACEMENT OF L05_DPVE_034E_STOPE PREP.APPROVED ON APRIL 5, 2021.CONVERT TO PULL OUT CLEANING APPROVED ON APRIL 22, 2021.STOPPED ON MAY 8,2021 FINISHED PULL-OUT CLEANING. RESUMED ON MAY 9,2021. STOPPED ON MAY 14,2021. RESUMED ON  ON NOVEMBER 10, 2023.TEMPORARILY STOPPED ON NOVEMBER 11, 2023 FOR SAFETY EVALUATION.RESUMED ON NOVEMBER 14, 2023, ALREADY PASSED SAFETY EVALUATION.TEMPORARY STOPPED ON DECEMBER 6, 2023 DUE TO UNSAFE CONDITION OF THE WORKPLACE BASED ON THE JOINT EVALUATION AND ASSESSMENT OF THE CONCERNED DEPARTMENTS AFTER THE EARTHQUAKE INCIDENT.STOPPED ON DECEMBER 6, 2023 DUE TO UNSAFE CONDITION OF THE WORKPLACE.</t>
  </si>
  <si>
    <t>REPLACEMENT OF L05_DPVE_040E_DE APPROVED JAN 13, 2021 TEMPORARY STOPPED ON JAN 30, 2021 MANPOWER TRANSFERRED TO OTHER LEVEL. Resume on Feb 01, 2021.STOPPED ON 04/06/21 ALREADY CONVERTED TO STOPE BREAKING.CONVERT TO PULL OUT CLEANING APPROVED ON APRIL 22, 2021.STOPPED ON MAY 8,2021. FINISHED PULL-OUT CLEANING.OLD STOPE RESUMPTION OF BREAKING APPROVED ON OCTOBER 24, 2023. SHORTENED THE SLOPE LENGTH IN THE PREVIOUS DESIGN BECAUSE OF HOW THEY INITIALLY DESIGNED THE TIGERWAY DECLINE, AND RESUMED BREAKING THE REMAINING FLOORS THAT ARE MINEABLE.TEMPORARILY STOPPED ON OCTOBER 26, 2023. MEMO TO BE FOLLOWED.RESUMED ON NOVEMBER 02, 2023.TEMPORARILY STOPPED ON NOVEMBER 11, 2023 FOR SAFETY EVALUATION.RESUMED ON NOVEMBER 14, 2023, ALREADY PASSED SAFETY EVALUATION.TEMPORARY STOPPED ON DECEMBER 6, 2023 DUE TO UNSAFE CONDITION OF THE WORKPLACE BASED ON THE JOINT EVALUATION AND ASSESSMENT OF THE CONCERNED DEPARTMENTS AFTER THE EARTHQUAKE INCIDENT.STOPPED ON DECEMBER 6, 2023 DUE TO UNSAFE CONDITION OF THE WORKPLACE.</t>
  </si>
  <si>
    <t>L11_NONE_054E_CHAMBER</t>
  </si>
  <si>
    <t>L12_NONE_050E_CHAMBER</t>
  </si>
  <si>
    <t xml:space="preserve">L05_DPVE_053E_WINZE STOPE </t>
  </si>
  <si>
    <t>L05_DPVE_053E_WINZE STOPE</t>
  </si>
  <si>
    <t>REPLACEMENT OF L10_GHVSPLIT_072E_STOPE PREP. APPROVED ON JULY 8, 2023.TEMPORARY STOPPED DUE TO LOW ATTAINMENT. APPROVED SEPTEMBER 05, 2023. 2ND SHIFT.RESUMED ON SEPTEMBER 11, 2023.STOPPED BREAKING AND CONVERTED TO STOPE PULL-OUT CLEANING ON OCTOBER 27, 2023, 2ND SHIFT.TEMPORARY STOPPED ON DECEMBER 6, 2023 DUE TO UNSAFE CONDITION OF THE WORKPLACE BASED ON THE JOINT EVALUATION AND ASSESSMENT OF THE CONCERNED DEPARTMENTS AFTER THE EARTHQUAKE INCIDENT. FOR FURTHER EVALUATION.RESUME PULL OUT DEC 12, 2023. WITH APPROVED CHECKLIST.STOPPED ON DECEMBER 16,2023. ALREADY MINED OUT.</t>
  </si>
  <si>
    <t>REPLACEMENT OF L10_DPVE_094E_STOPE PREP. APPROVED ON SEPTEMBER 20, 2023.TEMPORARILY STOPPED ON SEPTEMBER 25, 2023 DUE TO AN UNSERVICEABLE AREA.RESUMED ON SEPTEMBER 28, 2023.TEMP STOPPED ON OCT 28, 2023 DUE TO MANPOWER ISSUE WITH MEMO FROM SCS.RESUMED ON NOVEMBER 6, 2023.TEMPORARY STOPPED ON NOVEMBER 23, 2023 FOR SAFETY EVALUATION.CONVERTED TO PULL-OUT DUE TO UNSAFE CONDITION EFFECTIVE ON DECEMBER 16,2023.</t>
  </si>
  <si>
    <t>REPLACEMENT OF L10_DPVE_085E_RAISE. APPROVED ON AUGUST 26, 2023. SILL.TEMPORARY STOPPED ON SEPTEMBER 28, 2023.RESUMED ON OCTOBER 23, 2023 AT THE SAME TIME TRANSFERRED FROM SHEPHERD BD 1 TO SHEPHERD BA.TEMPORARY STOPPED ON NOV 6, 2023 DUE TO SAFETY INCIDENT.STOPPED ON JANUARY 4, 2024 DUE TO UNSAFE CONDTION..</t>
  </si>
  <si>
    <t>L08_JVSPLIT_074E_WINZE STOPE</t>
  </si>
  <si>
    <t>REPLACEMENT OF L08_JVSPLIT_074E_DW_ISL. APPROVED ON NOVEMBER 10, 2023.TEMPORARILY STOPPED ON NOVEMBER 11, 2023 FOR SAFETY EVALUATION. RESUMED ON NOVEMBER 13, 2023, AFTER FURTHER SAFETY EVALUATION.TEMPORARILY STOPPED ON NOVEMBER 21, 2023. FOR EVALUATION DUE TO INCLINED RAISE OBSERVED.RESUMED ON NOVEMBER 24, 2023.TEMPORARY STOPPED ON DECEMBER 6, 2023 DUE TO UNSAFE CONDITION OF THE WORKPLACE BASED ON THE JOINT EVALUATION AND ASSESSMENT OF THE CONCERNED DEPARTMENTS AFTER THE EARTHQUAKE INCIDENT. FOR FURTHER EVALUATION.RESUMED ON DEC 15, 2023. SAFETY CONCERN ALREADY SUBMITTED.STOPPED ON DECEMBER 19, 2023. DELAYED STOPPAGE DUE TO POST EARTHQUAKE AND BELOW RAILS MASS EVALUATION. CONVERT TO BREAKING.</t>
  </si>
  <si>
    <t>L08_JVSPLIT_076E_ROBBING</t>
  </si>
  <si>
    <t>REPLACEMENT OF L08_JV_077E_WINZE STOPE PREP.TEMPORARILY STOPPED ON NOVEMBER 11, 2023 FOR SAFETY EVALUATION.RESUMED ON NOVEMBER 13, 2023, AFTER FURTHER SAFETY EVALUATION.REFER TO ENG-23-11-041 ERRATUM ON MINE  CAR CHARGING FOR L08_JV_077E WINZE STOPE FOR RETENTION.TEMPORARY STOPPED ON DECEMBER 6, 2023 DUE TO UNSAFE CONDITION OF THE WORKPLACE BASED ON THE JOINT EVALUATION AND ASSESSMENT OF THE CONCERNED DEPARTMENTS AFTER THE EARTHQUAKE INCIDENT. FOR FURTHER EVALUATION.RESUMED ON DEC 15, 2023. SAFETY CONCERN ALREADY SUBMITTED.STOPPED BREAKING ON DECEMBER 09, 2023. CONVERT TO PULL-OUT CLEANING.</t>
  </si>
  <si>
    <t>REPLACEMENT OF L11_GHVFW_027E_DW, APPROVED ON NOV 7, 2023.STOPPED ON JANUARY 08, 2024. ALREADY REACHED THE RECOMMENDED STRIKE LENGTH.</t>
  </si>
  <si>
    <t xml:space="preserve">REPLACEMENT OF L08_JV_077E_WINZE STOPE PREP.TEMPORARILY STOPPED ON NOVEMBER 11, 2023 FOR SAFETY EVALUATION.RESUMED ON NOVEMBER 13, 2023, AFTER FURTHER SAFETY EVALUATION.REFER TO ENG-23-11-041 ERRATUM ON MINE  CAR CHARGING FOR L08_JV_077E WINZE STOPE FOR RETENTION.TEMPORARY STOPPED ON DECEMBER 6, 2023 DUE TO UNSAFE CONDITION OF THE WORKPLACE BASED ON THE JOINT EVALUATION AND ASSESSMENT OF THE CONCERNED DEPARTMENTS AFTER THE EARTHQUAKE INCIDENT. FOR FURTHER EVALUATION.RESUMED ON DEC 15, 2023. SAFETY CONCERN ALREADY SUBMITTED.STOPPED BREAKING ON DECEMBER 09, 2023. CONVERT TO PULL-OUT CLEANING.STOPPED ON DECEMBER 19, 2023. DUE TO UNSAFE CONDITION. PULL-OUT ALREADY EXCEEDED TO 100%. </t>
  </si>
  <si>
    <t>REPLACEMENT OF L10_GHVSPLIT_030E_STOPE PREP. APPROVED ON NOVEMBER 16, 2023.TEMPORARILY STOPPED ON NOVEMBER 24, 2023 FOR SAFETY EVALUATION.CONVERTED TO PULL-OUT DUE TO UNSAFE CONDITION EFFECTIVE ON DECEMBER 16,2023.</t>
  </si>
  <si>
    <t>L11_GHVFW_028E_STOPE PREP</t>
  </si>
  <si>
    <t>L10_NONE_023E_XCS</t>
  </si>
  <si>
    <t>REPLACEMENT OF L11_JV_054E_STOPE PREP. APPROVED ON AUGUST 21, 2023.TEMP STOPPED ON NOV 11, 2023 DUE TO CONFLICT AND DISAGREEMENT WITHIN THE GROUP.RESUMED ON NOV 13 2023 AS PER SCS MEMO.STOPPED BREAKING DUE TO LOW GRADE, ALREADY DONE STOPE TRAVERSE. PROCEED TO PULL OUT CLEANING ON DECEMBER 7, 2023.STOPPED PULLOUT ON DECEMBER 15, 2023 DUE TO UNSAFE CONDITION WITH 67% PULLOUT.</t>
  </si>
  <si>
    <t>REPLACEMENT OF L10_DPVE_018E_DE APPROVED ON OCTOBER 24, 2023.TEMPORARILY STOPPED ON NOVEMBER 4, 2023 TO PRIORITIZE L10_DPVE_018E_DE.RESUMED ON NOVEMBER 16, 2023.STOPPED ON JANUARY 10, 2024. ALREADY REACHED THE RECOMMENDED SLOPE LENGTH.</t>
  </si>
  <si>
    <t>L09_DPVE_064E_ROBBING</t>
  </si>
  <si>
    <t xml:space="preserve">REPLACEMENT OF L11_DPVE_029E_STOPE PREP APPROVED ON AUGUST 18, 2023.TEMPORARY STOPPED ON AUGUST 21, 2023 TO PRIORITIZED DRIFT.RESUMED ON SEPT 28, 2023.TEMPORARILY STOPPED ON OCTOBER 07, 2023. PRIORITY PULL OUT CLEANING @ 28E STOPE.RESUMED BREAKING ON NOV 4, 2023. STOPPED ON DECEMBER 18, 2023; 2ND SHIFT. ALREADY MINED OUT WITH 100% PULL OUT (LOW DIP STOPE BREAKING)
</t>
  </si>
  <si>
    <t>L09_DPVE_044E_WINZE</t>
  </si>
  <si>
    <t>L09_JVFW_006E_DW</t>
  </si>
  <si>
    <t>L11_GHV_073E_STOPE PREP</t>
  </si>
  <si>
    <t>L10_DPVE_023E_RAISE</t>
  </si>
  <si>
    <t>L10_DPVE_028E_ROBBING</t>
  </si>
  <si>
    <t>L11_JVFW_057E_RAISE</t>
  </si>
  <si>
    <t>REPLACEMENT OF L10_DPVE_088E_RAISE APPROVED ON NOVEMBER 30, 2023.ALREADY BREAKTHROUGH TO OLD MAINLINE, STOPPED ON JAN 11, 2024.</t>
  </si>
  <si>
    <t>STARTED ON DEC 9, 2023. TO BE ADDED ON AWP FOR WITHDRAWAL OF EXPLOSIVES FOR PLASTERING ONLY. ALREADY DONE REHAB ON JAN 11, 2024.</t>
  </si>
  <si>
    <t>FILL WINZE AS WASTE PASS. REPLACEMENT OF L10_GHVSPLIT_038E_RAISE APPROVED ON DEC 12, 2023.ALREADY BREAKTHROUGH ON DEC 15, 2023.</t>
  </si>
  <si>
    <t>L11_NONE_035E_RAISE</t>
  </si>
  <si>
    <t>REPLACEMENT OF L10_DPVE_012E_STOPE PREP. APPROVED ON JULY 28, 2023.STOPPED BREAKING ON NOVEMBER 20, 2023, TRAVERSED ON NOVEMBER 20, 2023.CONVERTED TO STOPE PULLOUT ON NOVEMBER 21, 2023.ALREADY STOPPED PULL OUT CLEANING ON JAN 11, 2024, LOW DIP, UNSAFE CONDITION UNABLE TO PULLOUT REMAINING MUCK INSIDE STOPE, WITH 90% PULL OUT ONLY, TO RELEASE RETENTION.</t>
  </si>
  <si>
    <t>REPLACEMENT OF L05_DPVE_049E_ROBBING APPROVED ON MAY 2, 2023.TEMPORARY STOPPED ON JUNE 8, 2023 DUE TO THE UNAVAILABIILITY OF AGSAO SHAFT.RESUMED ON DECEMBER 6, 2023 AS WELL AS CHANGE TL FROM PANCIT, NOEL 5 TO SHEPHERD AY.TEMPORARILY STOPPED ON JANUARY 10, 2024. MANPOWER TRANSFERRED TO LOWER LEVEL.</t>
  </si>
  <si>
    <t>REPLACEMENT OF L05_DPVE_053E_WINZE STOPE PREP. APPROVED ON  DECEMBER 17, 2023.TEMPORARILY STOPPED ON JANUARY 10, 2024. MANPOWER TRANSFERRED TO LOWER LEVEL.</t>
  </si>
  <si>
    <t>REPLACEMENT OF L10_DPVE_052E_RAISE APPROVED ON NOVEMBER 27, 2023.STOPPED ON JANUARY 12, 2024. TO BE CONVERTED TO STOPE PREPARATION.</t>
  </si>
  <si>
    <t>REPLACEMENT OF L08_NONE_023E_XCN. APPROVED ON DECEMBER 12, 2023.STOPPED ON JANUARY 12, 2024. DUE TO PINCHED OUT VEIN.</t>
  </si>
  <si>
    <t xml:space="preserve">REPLACEMENT OF L12_GHVFW_058E_DW. APPROVED ON FEBUARY 21,2023.TEMPORARY STOPPED TO PRIORITIZE STOPE BREAKING ON JUNE 9, 2023.RESUMED ON SEPTEMBER 16, 2023. AT THE SAME TIME CHANGED TEAMLEADER FROM DUHIG P1 TO BABOR 3.TEMP STOPPED ON OCT 7, 2023. TO PRIORITIZE RAISE. RESUMED ON NOVEMBER 5, 2023.STOPPED ON JAN 12, 2024 DUE TO CONSECUTIVE LOW GRADE RESULT
</t>
  </si>
  <si>
    <t>ADDITIONAL SOURCE OF GOOD ORE. APPROVED ON NOVEMBER 17, 2023. TOPSLICE.TEMPORARY STOPPED ON DECEMBER 01, 2023.  FOR AN EVALUATION OF A POSSIBLE OLD STOPE AT LEVEL 4.RESUMED ON DECEMBER 08, 2023.TEMPORARILY STOPPED ON JANAURY 08,  2024 IN ORDER TO PRIORITIZED FILL WINZE ALONG ITS MAINLINE.</t>
  </si>
  <si>
    <t>L10_DPVE_055E_STOPE PREP</t>
  </si>
  <si>
    <t>L08_DPVE_021E_DW</t>
  </si>
  <si>
    <t>L10_DPVE_100E_STOPE PREP</t>
  </si>
  <si>
    <t xml:space="preserve">REPLACEMENT OF L08_DPVE_031E_ROBBING APPROVED ON NOVEMBER 11, 2023.TEMPORARILY STOPPED ON NOVEMBER 11, 2023 FOR SAFETY EVALUATION.RESUMED ON NOVEMBER 15, 2023, 1ST SHIFT.STOPPED ON NOVEMBER 28, 2023. REPLACEMENT OF L08_DPVE_029E_WINZE STOPE PREP. APPROVED ON NOVEMBER 28, 2023.CONVERT TO STOPE BREAKING. TRAVERSED ON NOVEMBER 27, 2023.STOPPED BREAKING ON JANUARY 15, 2024. TRAVERSED ON JANUARY 14, 2024 2ND SHIFT. CONVERTED TO PULL-OUT CLEANING. </t>
  </si>
  <si>
    <t>REPLACEMENT OF L10_GHVSPLIT_030E_STOPE PREP. APPROVED ON NOVEMBER 16, 2023.TEMPORARILY STOPPED ON NOVEMBER 24, 2023 FOR SAFETY EVALUATION.CONVERTED TO PULL-OUT DUE TO UNSAFE CONDITION EFFECTIVE ON DECEMBER 16,2023.STOPPED ON JANUARY 15,2024. FINISHED PULL-OUT.</t>
  </si>
  <si>
    <t>REPLACEMENT OF L11_DPVE_032E_STOPE PREP APPROVED ON AUGUST 15, 2023.TEMPORARY STOPPED ON DEC 15, 2023 NO MANPOWER, ALREADY TAKE HOLIDAY BREAK.STOPPED ON JAN 9, 2024 DUE TO UNSAFE CONDITION WITH OPS MEMO, LOW DIP, COLLAPSED ON HANGINGWALL, POOR GROUND CONDITION,</t>
  </si>
  <si>
    <t>L11_JV_060E_RAISE</t>
  </si>
  <si>
    <t xml:space="preserve">ADDITIONAL SOURCE OF GOOD ORE APPROVED ON NOVEMBER 10, 2023.RESUMED ON NOVEMBER 13, 2023, 3RD SHIFT.TEMPORARILY STOPPED ON NOVEMBER 11, 2023 FOR SAFETY EVALUATION.RESUMED ON NOVEMBER 16, 2023. AS WELL AS CHANGED TEAM LEADER FROM PMC MINERS TO CAPUYAN 1.STOPPED ON JANUARY 16, 2024. DUE TO CONSECUTIVE LOW ASSAY GRADES ON CUT SAMPLES/BULK SAMPLES.
</t>
  </si>
  <si>
    <t>L08_DPVE_060E_WINZE</t>
  </si>
  <si>
    <t>REPLACEMENT OF L08_JVSPLIT_069E_WINZE APPROVED ON NOVEMBER 10, 2023.TEMPORARILY STOPPED ON NOVEMBER 11, 2023 FOR SAFETY EVALUATION.RESUMED ON NOVEMBER 15, 2023, 1ST SHIFT.TEMPORARY STOPPED ON NOVEMBER 20, 2023. TO PRIORITIZED DE.RESUMED ON NOVEMBER 24, 2023.STOPPED ON JANUARY 15, 2024. DUE TO DUE TO CONSECUTIVE LOW ASSAY GRADES ON CUT SAMPLES/BULK SAMPLES.</t>
  </si>
  <si>
    <t>REPLACEMENT OF L09_DPVE_060E_ROBBING, APPROVED ON DECEMBER 09, 2023.STOPPED ON JANUARY 8, 2024. ALREADY FINISHED HEADING.</t>
  </si>
  <si>
    <t>REPLACEMENT OF L11_JVFW_056E_STOPE PREP APPROVED ON OCTOBER 24, 2023.STOPPED BREAKING ON DECEMBER 13, 2023; 2ND SHIFT AND CONVERTED TO PULLOUT CLEANING DUE TO CONSECUTIVE LOW GRADES ON CUT AND BULK SAMPLES, WITH STOPE TRAVERSE. STOPPED ON JANUARY 16, 2024. DUE TO CONSECUTIVE LOW ASSAY GRADES ON CUT SAMPLES/BULK SAMPLES. ALREADY WITH 115% PULLOUT.</t>
  </si>
  <si>
    <t>REPLACEMENT OF L09_GHVFW_031W_STOPE PREP APPROVED ON NOVEMBER 7, 2023.TEMPORARILY STOPPED ON DECEMBER 12, 2023; 2ND SHIFT FOR SAFETY EVALUATION.CONVERTED TO PULL OUT DUE TO SAFETY CONCERN, APPROVED ON DECEMBER 18, 2023.STOPPED ON JANUARY 13, 2024. ALREADY FINISHED HEADING WITH 90% PULL-OUT ATTAINMENT.</t>
  </si>
  <si>
    <t>L09_GHVFW_031W_ROBBING</t>
  </si>
  <si>
    <t>REPLACEMENT OF L09_GHVFW_038W_RAISE, APPROVED ON DECEMBER 09, 2023.STOPPED ON JANUARY 16, 2024. ALREADY FINISHED HEADING.</t>
  </si>
  <si>
    <t>L03_CTV_014W_WINZE</t>
  </si>
  <si>
    <t>REPLACEMENT OF L10_DPVE_094E_STOPE PREP. APPROVED ON SEPTEMBER 20, 2023.TEMPORARILY STOPPED ON SEPTEMBER 25, 2023 DUE TO AN UNSERVICEABLE AREA.RESUMED ON SEPTEMBER 28, 2023.TEMP STOPPED ON OCT 28, 2023 DUE TO MANPOWER ISSUE WITH MEMO FROM SCS.RESUMED ON NOVEMBER 6, 2023.TEMPORARY STOPPED ON NOVEMBER 23, 2023 FOR SAFETY EVALUATION.CONVERTED TO PULL-OUT DUE TO UNSAFE CONDITION EFFECTIVE ON DECEMBER 16,2023.ALREADY STOPPED PULL OUT CLEANING WITH 53% PULL OUT (571MC) ON DECEMBER 15, 2023., UNABLE TO PULL OUT REMAINING MUCK DUE TO UNSAFE CONDITION.CONVERTED TO PULL-OUT DUE TO UNSAFE CONDITION EFFECTIVE ON DECEMBER 12, 2023.</t>
  </si>
  <si>
    <t xml:space="preserve">REPLACEMENT OF L10_DPVE_099E_RAISE, APPROVED ON NOVEMBER 6, 2023.REPLACEMENT OF L10_DPVE_099E_STOPE PREP. CONVERTED TO STOPE BREAKING. EFFECTIVE ON JAN. 16, 2024.
</t>
  </si>
  <si>
    <t>L10_DPVE_099E_STOPE</t>
  </si>
  <si>
    <t>L11_DPVE_036E_STOPE PREP</t>
  </si>
  <si>
    <t>L11_GHV_064E_ROBBING</t>
  </si>
  <si>
    <t>L11_DPVE_018E_STOPE</t>
  </si>
  <si>
    <t>REPLACEMENT OF L11_DPVE_022E_DW APPROVED ON NOVEMBER 28, 2023.CHANGED HEADING NAME FROM L11_DPVE_021E_STOPE PREP TO L11_DPVE_018E_STOPE PREP TO AVOID MISCHARGING FROM L11_DPVE_021E_WINZE.ALREADY DONE STOPE PREPARATION ON JAN 17, 2024, CONVERT TO STOPE BREAKING.</t>
  </si>
  <si>
    <t>L12_JV_062E_STOPE</t>
  </si>
  <si>
    <t>REPLACEMENT OF L08_DPVE_031E_ROBBING APPROVED ON NOVEMBER 11, 2023.TEMPORARILY STOPPED ON NOVEMBER 11, 2023 FOR SAFETY EVALUATION.RESUMED ON NOVEMBER 15, 2023, 1ST SHIFT.STOPPED ON NOVEMBER 28, 2023. REPLACEMENT OF L08_DPVE_029E_WINZE STOPE PREP. APPROVED ON NOVEMBER 28, 2023.CONVERT TO STOPE BREAKING. TRAVERSED ON NOVEMBER 27, 2023.STOPPED BREAKING ON JANUARY 15, 2024. TRAVERSED ON JANUARY 14, 2024 2ND SHIFT. CONVERTED TO PULL-OUT CLEANING. STOPPPED ON JANUARY 18, 2024. ALREADY FINISHED HEADING.</t>
  </si>
  <si>
    <t>REPLACEMENT OF L08_DPVE_023E_DE. APPROVED ON JANUARY 15, 2024.STOPPED ON JANUARY 18, 2024 DUE TO PINCHED OUT VEIN.</t>
  </si>
  <si>
    <t>ADDITIONAL FILL WINZE IN LEVEL 3. APPROVED ON JANUARY 08, 2024.STOPPED ON JANUARY 18 2024. ALREADY MADE A BREAKTHROUGH.</t>
  </si>
  <si>
    <t xml:space="preserve">APPROVED ON NOVEMBER 30, 2023 2ND SHIFT. BLIND STOPESTOPPED ON JANUARY 17, 2024. ALREADY DONE STOPE PREP. CONVERTED TO STOPE BREAKING.
</t>
  </si>
  <si>
    <t>REPLACEMENT OF L11_NONE_038E_XCN APPROVED ON AUGUIST 16, 2023. SILL.TEMPORARILY STOPPED ON NOVEMBER 11, 2023 FOR SAFETY EVALUATION.RESUMED ON NOV 20, 2023.ALREADY DONE PULL OUT CLEANING ON JAN 18, 2024.</t>
  </si>
  <si>
    <t>L09_DPVE_077E_DE</t>
  </si>
  <si>
    <t>L09_DPVE_077E_DE_ISL</t>
  </si>
  <si>
    <t>REPLACEMENT OF L09_JV_035E_DE APPROVED ON NOVEMBER 10, 2023.STOPPED ON JANUARY 18, 2024, 3RD SHIFT DUE TO LOW QA/QC RESULTS BOTH ON CUT AND BULK SAMPLES.</t>
  </si>
  <si>
    <t>ADDITIONAL SOURCE OF GOOD ORE, APPROVED ON NOVEMBER 5, 2023.STOPPED ON NOVEMBER 29, 2023 RECOMMENDED FOR ACTIVE STOPE BREAKING.RESUMED ON JAN 12, 2024 TO CONTINUE STOPE PREPARATION AT THE SAME TIME TRANSFERRED FROM SHEPHERD BB 1 TO SHEPHERD AY 1.STOPPED ON JANUARY 19,2024. CONVERTED TO STOPE BREAKING.</t>
  </si>
  <si>
    <t xml:space="preserve"> REPLACEMENT OF L09_DPVE_034E_ROBBING. APPROVED ON JANUARY 16, 2023.RENAMED FROM L09_DPVE_076E_DE TO AVOID MISCHARGING WITH L09_DPVE_076E_ROBBING. APPROVED ON JANUARY 17 2024. STOPPED ON JANUARY 17, 2024, 3RD SHIFT. THE VEIN WAS DISPLACED BY A SERIES OF NE-SW TRENDING FAULT.</t>
  </si>
  <si>
    <t>L10_NONE_087E_XCN</t>
  </si>
  <si>
    <t>SHEPERD BB1</t>
  </si>
  <si>
    <t xml:space="preserve">REPLACEMENT OF L09_JVFW_004E_DE . APPROVED ON SEPTEMBER 26,2022. TRANSFER FROM BALANGHIG 1 TO DELOS REYES V1 ON OCTOBER 11,2022.TEMPORARY STOPPED ON NOVEMBER 15, 2022 DUE TO ITS CONSECUTIVE LOW ASSAY GRADE, AT THE SAME TIME TO PRIORITIZE DRIFT.RESUMED ON JANUARY 10, 2024; 2ND SHIFT.TEMPORARY STOPPED ON JANUARY 10 2024. MANPOWER TRANSFER TO SPECIAL PROJECT.
</t>
  </si>
  <si>
    <t>L08_JVSPLIT_069E_WINZE STOPE PREP</t>
  </si>
  <si>
    <t>L08_DPVE_029E_ROBBING</t>
  </si>
  <si>
    <t>L08_DPVE_063E_ROBBING</t>
  </si>
  <si>
    <t>REPLACEMENT OF L08_DPVE_071E_WINZE. APPROVED ON AUGUST 18, 2023.RENAMED FROM L08_DPVE_071E_DW_ISL TO L08_DPVE_072E_DW_ISL ON AUG. 22, 2023.TEMPORARILY STOPPED ON SEPTEMBER, 26, 2023, MANPOWER BACK TO UPPER LEVEL.RESUMED ON NOVEMBER 13, 2023 AND CHANGED TEAMLEADER FROM MARTINEZ, DN 2 TO CARIKITAN 2.TEMPORARY STOPPED ON NOVEMBER 24, 2023. TO PRIORITIZED REHAB.RESUMED ON JANUARY 08, 2024.STOPPED ON JANUARY 20, 2023 DUE TO CONSECUTIVE LOW ASSAY GRADE. WILL PROCEED TO STOPE PREP WITH 18 METERS STRIKE LENGTH.</t>
  </si>
  <si>
    <t>L04_JV_023E_ROBBING</t>
  </si>
  <si>
    <t>PANSIT NORMAN 4.</t>
  </si>
  <si>
    <t>L09_DPVE_036E_ROBBING</t>
  </si>
  <si>
    <t>FABROA1</t>
  </si>
  <si>
    <t xml:space="preserve">REPLACEMENT OF L11_DPVE_033E_DW. APPROVED ON JULY 6, 2023.TRANSFER FROM REBOTE 1 TO BAÑEZ 6, MGMT DECISION. APPROVED ON JULY 12, 2023.TRANSFER OF MANPOWER FROM BAÑEZ 6 TO REBOTE 1, MGMT DECISION ON JULY 25, 2023.TEMP STOPPED ON SEPT 6, 2023.ALREADY  FINISHED, FULLY STOPPED RAISE FOR PROCESSING OF RETENTION JAN 22, 2024. </t>
  </si>
  <si>
    <t xml:space="preserve">REPLACEMENT OF L11_DPVE_033E_DW. APPROVED ON APRIL 15, 2023.TEMPORARILY STOPPED ON JUNE 3, 2023 DUE TO LACK OF MANPOWER.ALREADY  FINISHED, FULLY STOPPED RAISE FOR PROCESSING OF RETENTION JAN 22, 2024. . 
</t>
  </si>
  <si>
    <t>REPLACEMENT OF L10_DPVE_021E_DE, APPROVED ON DEC 13, 2023.STOPPED ON JAN 22, 2023 DUE TO VEIN PINCHED OUT.</t>
  </si>
  <si>
    <t>REPLACEMENT OF L09_JVSPLIT_048E_WINZE STOPE PREP, APPROVED ON DECEMBER 08, 2023; 2ND SHIFT. STOPPED BREAKING ON JANUARY 19, 2024 DUE TO PINCHED OUT VEIN ON THE UPDIP EXTENSION OF THE STOPE WITH NO IMPROVEMENT ON ITS VEIN WIDTH BASED ON ITS IPR. WAITING FOR STOPE TRAVERSE BEFORE STOPE PULL-OUT. CONVERTED TO PULL-OUT CLEANING ON JAN. 22, 2024, TRAVERSED ON THE SAME DAY.</t>
  </si>
  <si>
    <t>L12_GHVHW_055E_DW_ISL</t>
  </si>
  <si>
    <t>L12_GHVHW_056E_DE_ISL</t>
  </si>
  <si>
    <t xml:space="preserve">REPLACEMENT OF L10_DPVE_018E_DE. APRPROVED ON NOVEMBER 5, 2023.TEMPORARILY STOPPED ON NOVEMBER 29, 2023 TO PRIORITIZE L10_DPVE_024E_RAISE.RESUMED ON DEC 12, 2023.TEMPORARY STOPPED ON JANUARY 11, 2024. TO CONDUCT BLOCKING RAISE ON THIS MAINLINE.RESUMED  ON JANUARY 18, 2024.TEMPORARY STOPE ON JAN 23, 2024 TO DO RAISE PREPARATION.
</t>
  </si>
  <si>
    <t>REPLACEMENT OF L10_NONE_030E_XCN APPROVED ON JULY 12, 2023. TEMPORARY STOP JULY 29, 2023. ALREADY REACHED THE RECOMMENDED STRIKE LENGTH. CONDUCT VERTICAL RAISE.RESUMED ON DEC 12, 2023 AT THE SAME TIME TRANSFERRED FROM SHEPHERD BB 2 TO PARAGUYA 3.STOPPED ON JAN 22, 2024, OFF VEIN.</t>
  </si>
  <si>
    <t>REPLACEMENT OF L10_DPVE_024E_RAISE, APPROVED ON JAN 11, 2024.RENAMED TO L10_DPVE_025E_RAISE TO AVOID MISCHARGING TO L10_NONE_023E_XCS.APPROVED ON JANUARY 15,2024.STOPPED ON JAN 23, 2024 OFF VEIN.</t>
  </si>
  <si>
    <t>L03_CTV_021W_WINZE</t>
  </si>
  <si>
    <t>L10_JVFW_052E_DW_ISL</t>
  </si>
  <si>
    <t>REPLACEMENT OF L09_JVSPLIT_046E_WINZE, APPROVED ON DECEMBER 11, 2023. STOPPED ON JANUARY 20, 2024. ALREADY MADE A BREAKTHROUGH.</t>
  </si>
  <si>
    <t>L10_DPVE_072E_ROBBING</t>
  </si>
  <si>
    <t>SHEPERD AX</t>
  </si>
  <si>
    <t>REPLACEMENT OF  L08_DPVE_029E_WINZE STOPE. APPROVED ON JAN 20, 2024. TOPSLICE.STOPPED ON JANUARY 24. 2024. ALREADY MINED OUT.</t>
  </si>
  <si>
    <t>L11_DPVE_020E_STOPE</t>
  </si>
  <si>
    <t>REPLACEMENT OF L11_DPVE_020E_RAISE APPROVED ON NOVEMBER 28, 2023.TEMPORARY STOPPED ON DEC 13, 2023 NO MANPOWER, ALREADY TAKE HOLIDAY BREAK.RESUMED ON JANUARY 8, 2024.ALREADT DONE STOPE PREPARATION ON JAN 23, 2024.</t>
  </si>
  <si>
    <t>ADDITIONAL HORIZONTL DRIVE. APPROVED ON JAN 11, 2024.TEMP STOPPED ON JAN 26, 2024 TO PRIORITIZE ADJACENT DRIVE.</t>
  </si>
  <si>
    <t>L11_DPVE_026E_DE</t>
  </si>
  <si>
    <t>REPLACEMENT OF L10_JVSPLIT_068E_ROBBING. SPECIAL PROJECT FOR VENTILATION PURPOSES. APPROVED ON NOVEMBER 16, 2023.STOPPED ON JANUARY 10, 2024. MADE A BREAKTHROUGH.</t>
  </si>
  <si>
    <t>L10_DPVE_055E_STOPE</t>
  </si>
  <si>
    <t>REPLACEMENT OF L10_DPVE_055E_RAISE. APPROVED ON JANUARY 13,2024.STOPPED ON JANUARY 25,2024. TO BE CONVERTED TO STOPE BREAKING.</t>
  </si>
  <si>
    <t>APPROVED ON JAN 9, 2024. ACCESS TO TIGERWAY, WITH DIMENSION OF 3X3, 5 METERS ONLY.STOPPED ON JANUARY 16,2024. FINISHED HEADING.</t>
  </si>
  <si>
    <t>REPLACEMENT OF L09_JVSPLIT_048E_WINZE STOPE PREP, APPROVED ON DECEMBER 08, 2023; 2ND SHIFT. STOPPED BREAKING ON JANUARY 19, 2024 DUE TO PINCHED OUT VEIN ON THE UPDIP EXTENSION OF THE STOPE WITH NO IMPROVEMENT ON ITS VEIN WIDTH BASED ON ITS IPR. WAITING FOR STOPE TRAVERSE BEFORE STOPE PULL-OUT. CONVERTED TO PULL-OUT CLEANING ON JAN. 22, 2024, TRAVERSED ON THE SAME DAY.STOPPED ON JANUARY 24, 2024. 3RD SHIFT. DECLARED MINED OUT @ 51% PULLOUT WITH 132 MC REMAINING. NO PULL OUT ON CHUTES #3 AND #4 DUE TO BROKEN MATERIALS FROM PINCHED OUT VEIN AS PER LEVEL GEO.</t>
  </si>
  <si>
    <t>L08_GHVHW_012W_WINZE</t>
  </si>
  <si>
    <t>L10_DPVE_092E_ROBBING</t>
  </si>
  <si>
    <t>REPLACEMENT OF L10_DPVE_008E_DW, APPROVED ON JANUARY 08, 2024.TEMPORARY STOPPED ON JANUARY 27, 2024 DUE TO ABSENTEEISM.</t>
  </si>
  <si>
    <t>REPLACEMENT OF L09_DPVE_023E_WINZE. APPROVED ON NOVEMBER 04, 2023.TEMPORARILY STOPPED ON NOVEMBER 11, 2023 FOR SAFETY EVALUATION.RESUMED ON NOVEMBER 13, 2023, AFTER FURTHER SAFETY EVALUATION. STOPPED ON JANUARY 26, 2024 2ND SHIFT. CONSECUTIVE LOW ASSAY GRADES ON SAMPLES.</t>
  </si>
  <si>
    <t>L09_DPVE_028E_DW_ISL</t>
  </si>
  <si>
    <t>REPLACEMENT OF L09_GHV_004W_ROBBING. APPROVED ON AUGUST 29, 2023.TEMPORARILY STOPPED ON NOVEMBER 11, 2023 FOR SAFETY EVALUATION. RESUMED ON NOVEMBER 13, 2023, AFTER FURTHER SAFETY EVALUATION. STOPPED ON JANUARY 29, 2024 2ND SHIFT. CONSECUTIVE LOW ASSAY GRADES ON SAMPLES.</t>
  </si>
  <si>
    <t>L09_DPVE_081E_DE_ISL</t>
  </si>
  <si>
    <t>OPENED FOR TO REACH ADDITIONAL TARGET WORK HEADING. APPROVED ON JANUARY 20, 2024.STOPPED ON JANUARY 29 2024. ALREADY REACHED THE RECOMMENDED LENGTH.</t>
  </si>
  <si>
    <t>REPLACEMENT OF L12_GHVSPLIT_055E_STOPE PREP APPROVED ON SEPTEMBER 18, 2023.RENAMED FROM L12_GHVSPLIT_055E_STOPE TO L12_GHVSPLIT_066E_STOPE TO AVOID POSSIBLE MISCHARGING WITH L11_GHV_055E_STOPE. APPROVED SEPTEMBER 28, 2023.STOPPED BREAKING DUE TO VEIN PINCHED OUT, 2 IPR WITH NEGATIVE GRADE RESULT. CONVERT TO PULL OUT CLEANING, NOT TRAVERSED, MANAGEMENT DECIDED TO PULL OUT AS PER EMS.</t>
  </si>
  <si>
    <t>SHEPHERD BB1</t>
  </si>
  <si>
    <t>REPLACEMENT OF L05_DPVE_034E_STOPE. APPROVED ON DECEMBER 11, 2023. SILL.STOPPED ON JANUARY 30, 2024. ALREADY  MINED OUT.</t>
  </si>
  <si>
    <t>L11_JVHW_025E_DW</t>
  </si>
  <si>
    <t>L11_GHVSPLIT_061E_RAISE</t>
  </si>
  <si>
    <t>REPLACEMENT OF L11 DPVE 034E DE. APPROVED ON JUNE 10, 2023.STOPPED ON JULY 12, 2023. 3RD SHIFT. TO PRIORITIZE STOPE PREPARATION.RESUMED ON JULY 14, 2023. TO BREAKTHROUGH TO L10 ML FOR VENTILATION PURPOSES.TEMPORARRY STOPPED ON JULY 24, 2023 TO PRIORITIZE STOPE PREP.STOPPED ON JANUARY 30, 2024. ALREADY REACHED THE RECOMMENDED SLOPE LENGTH. LATE STOP MEMO.</t>
  </si>
  <si>
    <t xml:space="preserve">REPLACEMENT OF L09_JV_055E_WINZE STOPE, APPROVED ON NOVEMBER 29, 2023, 2ND SHIFT.TEMPORARILY STOPPED ON DECEMBER 14, 2023 DUE TO ABSENTEEISM OF MEN RESULTING TO ABANDONMENT OF WORKPLACE.RESUMED ON JANUARY 8, 2024; 1ST SHIFT.CHANGE TEAM LEADER FROM BABOR 4 TO PANSIT NORMAN 4. EFFECTIVE JANUARY 25, 2024. 3RD SHIFT. BABOR GROUP WILL BE MERGED AND LOWERED TO LEVEL 12. MEMO FROM SCSSTOPPED ON JANUARY 30, 2024. ALREADY MINED OUT.
</t>
  </si>
  <si>
    <t>ADDITIONAL HORIZONTAL DEVT DRIVE, APPROVED ON SEPT 5, 2023.TEMPORARY STOPPED ON OCTOBER 14, 2023. TO PRIORITIZE L11_DPVE_050E_DE.RESUMED ON NOVEMBER 28, 2023.TEMPORARY STOPPED ON JAN 31, 2024 DUE TO MANPOWER ISSUE.</t>
  </si>
  <si>
    <t>L11_GHV_073E_STOPE</t>
  </si>
  <si>
    <t>REPLACEMENT OF L12_DPVE_043E_RAISE APPROVED ON NOVEMBER 9, 2023.TEMPORARY STOPPED ON JAN 31, 2024 TRANSFER TO PRIO DRIFT.</t>
  </si>
  <si>
    <t>L12_JV_070E_DE</t>
  </si>
  <si>
    <t>REPLACEMENT OF L05_GHVSPLIT_030W_STOPE PREP APPROVED ON OCTOBER 24, 2023.TEMPORARY STOPPED ON DECEMBER 6, 2023 DUE TO UNSAFE CONDITION OF THE WORKPLACE BASED ON THE JOINT EVALUATION AND ASSESSMENT OF THE CONCERNED DEPARTMENTS AFTER THE EARTHQUAKE INCIDENT.RESUMED ON DECEMBER 13, 2023.STOPPED BREAKING ON FEBRUARY 01, 2024. DUE TO LOW GRADE ON 3 CONSECUTIVE FLOORS. TO BE CONVERTED TO PULLOUT CLEANING.</t>
  </si>
  <si>
    <t>REPLACEMENT OF L09_DPVE_071E_DW, APPROVED ON JANUARY 12, 2024. SILL PILLAR ROBBING.TEMPORARY STOPPED ON FEBRUARY 1, 2024. THE GROUP OF DELOS REYES V2 WILL PRIORITIZE THE DEVELOPMENT OF L09_DPVE_006E_DW AS PER SCS MEMO.</t>
  </si>
  <si>
    <t>L11_DPVE_017E_RAISE</t>
  </si>
  <si>
    <t>L12_NONE_039E_CHAMBER</t>
  </si>
  <si>
    <t>REPLACEMENT OF L08_JV_077E_WINZE STOPE. APPROVED ON JANUARY 08, 2024. SILL.STOPPED ON FEBRUARY 1, 2024. ALREADY MINED OUT.</t>
  </si>
  <si>
    <t>L12_GHVSPLIT_044E_DW</t>
  </si>
  <si>
    <t xml:space="preserve">ADDITIONAL VERTICAL DEVELOPMENT FRLOM L12 TO L460. APPROVED ON APRIL 13, 2023.TEMP STOPPED ON MAY 4, 2023 TO PRIORITIZE STOPE PREP.RESUMED ON JUNE 16, 2023.CHANGE NAME FROM L12_GHV_061E_WINZE TO L12_GHV_063E_WINZE. APPROVED ON JUNE 16, 2023.TEMPORARY STOPPED AUGUST 14, 2023 MP TRANSFERRED TO TIGERWAY.RESUMED ON AUGUST 18, 2023 AS WELL AS TRANSFERRED FROM OY-YOY 1 TO BABOR 3.TEMPORARY STOPPED ON SEPTEMBER 9, 2023 DUE TO UNSAFE CONDITION, MEMO TO FOLLOW. FULLY STOPPED FEBRUARY 03, 2024. FOR RETENTION PURPOSES.
</t>
  </si>
  <si>
    <t>REPLACEMENT OF TO L12_GHVHW_038E_DW. ADVANCE  25METERS ONLY FOR EXPLOSIVE MAGAZINE AT LEVEL 12. APPROVED ON DEC 18, 2023. ALREADY DONE 25M CROSSCUT FOR EXPLOSIVE MAGAZINE ON FEB 4, 2024.</t>
  </si>
  <si>
    <t>REPLACEMENT OF L11_DPVE_046E_STOPE PREP. APPROVED ON JUNE 22, 2023.TEMPORARY STOPPED ON NOVEMBER 29, 2023 EFFECTIVE ON 3RD SHIFT TO CHECK PILLAR BETWEEN CURRENT BACK AND THE 48E SHAFT BOTTOM AS PER LGO.RESUMED ON DECEMBER 13, 2023; 3RD SHIFT.STOPPED BREAKING ON DECEMBER 13, 2023; 3RD SHIFT, ALREADY WITHIN 48E SHAFT EXCLUSION ZONE, WITH STOPE TRAVERSE. CONVERTED TO PULLOUT.ALREADY MINED OUT ON FEB 3, 2024 WITH 103% PULL OUT</t>
  </si>
  <si>
    <t>REPLACEMENT OF L12_DPVE_036E_DE APPROVED ON NOVEMBER 9, 2023.ALREADY RBEAKTHROUGH TO LEVEL 11, STOPPED ON FEB 5, 2024.</t>
  </si>
  <si>
    <t>L11_DPVE_048E_RAISE</t>
  </si>
  <si>
    <t>REPLACEMENT OF L10_DPVE_012E_STOPE. APPROVED ON JAN 11, 2024.STOPPED ON FEBRUARY 5, 2024, ALREADY REACHED THE RECOMMENDED STRIKE LENGTH.</t>
  </si>
  <si>
    <t>L04_JV_025E_ROBBING</t>
  </si>
  <si>
    <t>L12_DPVE_040E_RAISE</t>
  </si>
  <si>
    <t>ADDITIONAL WORKING PLACE. APPROVED ON JANUARY 24, 2024.STOPPED ON JANUARY 31, 2024. ALREADY MINED OUT.</t>
  </si>
  <si>
    <t>L10_DPVE_100E_STOPE</t>
  </si>
  <si>
    <t>REPLACEMENT OF L10_DPVE_098E_DE. APPROVED ON JAN 11, 2024.RENAMED TO L10_DPVE_100E_STOPE PREP TO AVOID MISCHARGING TO L10_NONE_097E_XCS.APPROVED ON JANUARY 15,2024.STOPPED ON FEBRUARY 01, 2024. CONVERT TO BREAKING.</t>
  </si>
  <si>
    <t>L10_DPVE_011E_DE</t>
  </si>
  <si>
    <t>REPLACEMENT OF L12_GHVHW_068E_STOPE PREP. APPROVED ON FEB. 24, 2023.TEMPORARILY STOPPED ON MAY 19, 2023 DUE TO ABSENTEEISM OF MEN RESULTING TO ABANDONMENT OF WORKPLACE THUS RETENTION WILL BE FORFEITED. TAKE NOTE THAT IF THIS GROUP WILL RESUME AND STILL BE WORKING ON THIS STOPE, RETENTION WILL BE GIVEN.RESUMED ON JUNE 14, 2023. AT THE SAME TIME TRANSFERRED FROM DUHIG, P8 TO PANCIT, NOEL 5 DUE TO MAN POWER ISSUE, LOW PERFORMING. TEMPORARY STOPPED ON AUGUST 4, 2023. DUE TO MAN POWER ISSUE THUS RETENTION WILL BE FORFEITED.RESUME BREAKING ON AUGUST 15, 2023 AT THE SAME TIME CHANGE TEAM LEADER FROM PANCIT, NOEL 1 TO BABOR 2.STOPPED BREAKING ON 06-FEBRUARY-2024, 2NDSHIFT.CONVERTED TO PULLOUT CLEANING ON 07-FEBRUARY-2024.</t>
  </si>
  <si>
    <t>REPLACEMENT OF L08_DPVE_028E_WINZE, APPROVED ON JAN 20, 2024.TEMPORARY STOPPED ON JAN 22, 2024 ON GOING REHAB OF MAINLINE.RESUMED ON JANUARY 24, 2024.STOPPED ON FEBRUARY 5, 2024. 3RD SHIFT. ALREADY FINISHED HEADING.</t>
  </si>
  <si>
    <t>L11_GHVFW_028E_STOPE</t>
  </si>
  <si>
    <t>REPLACEMENT OF L11_GHVFW_028E_RAISE, APPROVED ON JAN 9, 2024.TRANSFERRED FROM VILLARANTE 2 TO BAÑEZ 2 ON JAN 11, 2024.STOPPED ON FEBRUARY 3, 2024; CONVERTED TO STOPE BREAKING.</t>
  </si>
  <si>
    <t>APPROVED ON JUNE 6, 2023. VENTILATION RAISE.STOPPED ON SEPTEMBER 31, 2023. COMPLETED GROUND SUPPORT.</t>
  </si>
  <si>
    <t>L11_DPVE_022E_RAISE</t>
  </si>
  <si>
    <t>L08_JVFW_070E_ROBBING</t>
  </si>
  <si>
    <t>L09_JV_059E_WINZE STOPE PREP</t>
  </si>
  <si>
    <t>L09_JVSPLIT_050E_WINZE STOPE PREP</t>
  </si>
  <si>
    <t xml:space="preserve">REPLACEMENT OF L09_JV_059E_WINZE. APPROVED ON NOVEMBER 4, 2023.TEMPORARILY STOPPED ON NOVEMBER 11, 2023 FOR SAFETY EVALUATION.RESUMED ON NOVEMBER 16, 2023 IN LINE WITH MEMO ENG-23-11-037. TEMPORARILY STOPPED ON DECEMBER 16, 2023 DUE TO INSUFFICIENT MANPOWER. RESUMED ON JANUARY 8, 2024; 1ST SHIFT.TEMPORARILY STOPPED ON FEBRUARY 7, 2024. TO BE CONVERTED TO WINZE STOPE PREP L09_JV_059E_WINZE STOPE PREP.
</t>
  </si>
  <si>
    <t xml:space="preserve">REPLACEMENT OF L09_JVSPLIT_048E_DW_ISL APPROVED ON OCTOBER 24, 2023.TEMPORARY STOP ON NOVEMBER 04, 2023. TO PRIORITIZE WINZE STOPE PREP.RESUMED ON JANUARY 25, 2024.STOPPED ON FEBRUARY 7, 2024. TO BE CONVERTED TO WINZE STOPE PREP L09_JVSPLIT_050E_ WINZE STOP PREP.
</t>
  </si>
  <si>
    <t xml:space="preserve">REPLACEMENT OF L10_NONE_098E_XCS. APPROVED ON AUGUST 25, 2023.TEMPORARY STOPPED ON OCTOBER 3, 2023. TO PRIORITIZE RAISE. RESUMED ON NOVEMBER 14, 2023.TEMPORARY STOPPED ON JANUARY 10,2024 TO CONDUCT STOPE PREP.RESUMED ON FEBRUARY 5, 2024, TEAM LEADER CHANGED FROM OLIVEROS 4 TO SHEPERD AX.STOPPED ON FEB 9, 2024, VEIN PINCHED OUT.
</t>
  </si>
  <si>
    <t>L10_NONE_102E_XCN</t>
  </si>
  <si>
    <t>102E</t>
  </si>
  <si>
    <t>REPLACEMENT OF L10_GHVSPLIT_064E_DE. APPROVED ON JANUARY 26, 2024.ALREADY DONE ROBBING PILLAR AS PER LM. STOPPED ON FEB 9, 2024.</t>
  </si>
  <si>
    <t>REPLACEMENT OF L11_DPVE_022E_DW APPROVED ON NOVEMBER 28, 2023.CHANGED HEADING NAME FROM L11_DPVE_021E_STOPE PREP TO L11_DPVE_018E_STOPE PREP TO AVOID MISCHARGING FROM L11_DPVE_021E_WINZE.ALREADY DONE STOPE PREPARATION ON JAN 17, 2024, CONVERT TO STOPE BREAKING.WITH NEGATIVE IPR RESULT, STOPPED BREAKING ONG FEB 8, 2024, CONVER TO STOPE PULL OUT.</t>
  </si>
  <si>
    <t>ALREADY DONE STOPE PREP ON JAN 31, 2024 AT THE SAME TIME CONVERT TO STOPE BREAKING. REPLACEMENT OF L11_JV_054E_STOPE; APPROVED ON JANUARY 11, 2024.</t>
  </si>
  <si>
    <t xml:space="preserve">L09_DPVE_072E_ROBBING </t>
  </si>
  <si>
    <t>L09_DPVE_072E_ROBBING</t>
  </si>
  <si>
    <t>L10_DPVE_094E_ROBBING</t>
  </si>
  <si>
    <t>REPLACEMENT OF L10_DPVE_025E_RAISE. APPROVED ON JAN 23, 2024.RENAMED TO L10_DPVE_019E_STOPE PREP TO AVOID MISCHARGUNG TO L11_DPVE_020E_STOPE PREP. APPROVED ON JANUARY 25 2024.STOPPED ON FEBRUARY 5, 2024, CONVERTED TO STOPE BREAKING.</t>
  </si>
  <si>
    <t xml:space="preserve">REPLACEMENT OF L10_DPVE_017E_STOPE. APPROVED ON NOVEMBER 29, 2023.TEMPORARY STOPPED ON JANUARY 11, 2024. TO CONDUCT BLOCKING RAISE ON THIS MAINLINE.RESUMED ON JAN 15, 2023 TO CONTINUE DRIVING RAISE.STOPPED ON JANUARY 23, 2024 DUE TO CONSECUTIVE LOW ASSAY GRADE AND ALREADY REACHED THE RECOMMENDED SLOPE DISTANCE.
</t>
  </si>
  <si>
    <t xml:space="preserve">REPLACEMENT OF L10_DPVE_099E_STOPE PREP. CONVERTED TO STOPE BREAKING. EFFECTIVE ON JAN. 13, 2024.TEMPORARY STOPPED ON JANUARY 25,2024 DUE TO UNSAFE CONDITION. FURTHER MEASURES TO BE IMPLEMENTED.RESUMED ON JANUARY 31, 2024. IMPLEMENTATION OF ENGINEERING CONTROLS.STOPPED ON FEBRUARY 12, 2024, 1ST SHIFT DUE TO CONSECUTIVE LOW ASSAY GRADE ON BULK SAMPLES DUE TO SECONDARY DILUTION CAUSED BY SLABBING. 
</t>
  </si>
  <si>
    <t>REPLACEMENT OF L04_CTV_010W_WINZE STOPE PREP. APPROVED ON NOVEMBER 28, 2023. TEMPORARILY STOPPED ON JANUARY 16, 2024. 3RD SHIFT. DUE TO LACK OF MANPOWER.RESUMED ON JANUARY 17, 2024. 3RD SHIFT.STOPPED BREAKING ON FEBRUARY 12, 2024. CONVERTED TO PULL-OUT CLEANING.</t>
  </si>
  <si>
    <t>L11_DPVE_043E_RAISE</t>
  </si>
  <si>
    <t>L11_JVHW_032E_DE</t>
  </si>
  <si>
    <t>REPLACEMENT OF L12_GHVSPLIT_055E_STOPE PREP APPROVED ON SEPTEMBER 18, 2023.RENAMED FROM L12_GHVSPLIT_055E_STOPE TO L12_GHVSPLIT_066E_STOPE TO AVOID POSSIBLE MISCHARGING WITH L11_GHV_055E_STOPE. APPROVED SEPTEMBER 28, 2023.STOPPED BREAKING DUE TO VEIN PINCHED OUT, 2 IPR WITH NEGATIVE GRADE RESULT. CONVERT TO PULL OUT CLEANING, NOT TRAVERSED, MANAGEMENT DECIDED TO PULL OUT AS PER EMS.STOPPED ON 12-FEBRUARY-2024. MINED OUT</t>
  </si>
  <si>
    <t>APPROVED ON JAN 17, 2024 FOR ADDITIONAL HORIZONTAL DEVT DRIVE TARGETTING DRILLING INTERCEPT.STOPPED ON 13-FEBRUARY-2024. ALREADY REACHED TARGET VEIN.</t>
  </si>
  <si>
    <t>REPLACEMENT OF L11_GHV_060E_STOPE, APPROVED ON OCT 12, 2023.STOPPED ON DECEMBER 12, 2023, ALREADY FINISHED HEADING.RESUMED ON JAN 12, 2024 TO DRIVE SUBLEVEL WITHIN THE RAISE TO BREAKTHROUGH AT L11 GHV 055E STOPES'S MANWAY SIDE.TEMPORARY STOPPED ON FEBRUARY 13, 2024. ALREADY MADE A BREAKTHROUGH TO L11_GHV_055E_STOPE.</t>
  </si>
  <si>
    <t>L12_DPVE_034E_DE</t>
  </si>
  <si>
    <t>L11_DPVE_036E_STOPE</t>
  </si>
  <si>
    <t xml:space="preserve">REPLACEMENT OF L11_DPVE_032E_STOPE. APPROVED ON JANUARY 16, 2024.STOPPED ON FEBRUARY 13, 2024. CONVERTED TO STOPE BREAKING.
</t>
  </si>
  <si>
    <t>L11_DPVE_041E_STOPE PREP</t>
  </si>
  <si>
    <t>REPLACEMENT OF L09_DPVE_071E_DW, APPROVED ON FEBRUARY 10, 2024; 1ST SHIFT. TOPSLICE.TEMPORARILY STOPPED ON FEBRUARY 12, 2024; 2ND SHIFT TO PRIORITIZE L09_DPVE_071E_DW.</t>
  </si>
  <si>
    <t xml:space="preserve">REPLACEMENT OF L09_NONE_022E_XCN. APPROVED ON JUNE 23, 2023.TEMP STOPPED ON ON JULY 4, 2023.RESUMED ON  JULY 18, 2023.STOPPED ON AUGUST 2, 2023. DUE TO LOW ASSAY GRADE.RESUMED ON AUGUST 14, 2023.STOPPED ON AUGUST 15, 2023 DUE TO LOW GRADE. RESUMED ON JAN. 19, 2024 AS REPLACEMENT OF L09_DPVE_045E_ROBBING AS WELL AS TRANSFER FROM QUIJANO 2 TO SHEPHERD BE 1. APPROVED ON FEBRUARY 1, 2024.TRANSFER TO DELOS REYES V2 DUE TO INSUFFICIENT MANPOWER OF SHEPHERD BE GROUP (RESIGNED MINERS). THE REMAINING MANPOWER OF SHEPHERD BE WILL BE MERGED WITH SHEPHERD BE 1 GROUP AT L09_DPVE_044E_WINZE. SCS MEMO.STOPPED ON FEBRUARY 13, 2024; 2ND SHIFT DUE TO CONSECUTIVE LOW QA/QC RESULTS BOTH ON BULK AND CUT SAMPLES.
</t>
  </si>
  <si>
    <t xml:space="preserve">REPLACEMENT OF L10_JVSPLIT_044E_STOPE PREP. APPROVED ON DEC 9, 2023.STOPPED ON JANUARY 29 2024. TO BE CONVERTED TO PULL-OUT CLEANING.CONVERTED TO PULLOUT. STARTED ON JANUARY 30, 2024.STOPPED PULL OUT ON FEBRUARY 7, 2024 WITH 96% PULL OUT PERCENTAGE. FOR BULKHEAD INSTALLATION.
</t>
  </si>
  <si>
    <t>REPLACEMENT OF L12_GHVSPLIT_066E_DE, APPROVED ON OCTOBER 17, 2023.TEMPORARILY STOPPED ON NOVEMBER 11, 2023 FOR SAFETY EVALUATION.RESUMED ON NOVEMBER 13, 2023, AFTER FURTHER SAFETY EVALUATION.STOPPED ON 14-FEBRUARY-2024, 3RD SHIFT, TO PRIORITIZE DRIVING L12_GHV_054E_DE_ISL.</t>
  </si>
  <si>
    <t>REPLACEMENT OF L11_DPVE_020E_STOPE PREP. APPROVED ON JAN 23, 2024.CONVERTED TO PULL-OUT CLEANING AFTER VEIN PINCH OUT WAS ENCOUNTERED ON IPR.</t>
  </si>
  <si>
    <t>REPLACEMENT OF L11_DPVE_043E_DW. APPROVED ON JAN 11, 2024.STOPPED ON FEBRUARY 15, 2024. 3RD SHIFT. DUE TO PINCHED OUT VEIN.</t>
  </si>
  <si>
    <t>REPLACEMENT OF L09_GHVFW_031W_STOPE. APPROVED ON JANUARY 16, 2023.STOPPED ON FEBRUARY 15, 2024, 1ST SHIFT, ALREADY MINED OUT.</t>
  </si>
  <si>
    <t>L09_GHVFW_032W_WINZE</t>
  </si>
  <si>
    <t>L08_JVSPLIT_069E_WINZE STOPE</t>
  </si>
  <si>
    <t>REPLACEMENT FOF L08_JVSPLIT_069E_DW_ISL, APPROVED ON JAN 20, 2024.FINISHED STOPE PREP AND CONVERTED TO STOPE BREAKING. APPROVED ON FEBRUARY 15, 2024.</t>
  </si>
  <si>
    <t>REPLACEMENT OF L05_GHVSPLIT_030W_STOPE PREP APPROVED ON OCTOBER 24, 2023.TEMPORARY STOPPED ON DECEMBER 6, 2023 DUE TO UNSAFE CONDITION OF THE WORKPLACE BASED ON THE JOINT EVALUATION AND ASSESSMENT OF THE CONCERNED DEPARTMENTS AFTER THE EARTHQUAKE INCIDENT.RESUMED ON DECEMBER 13, 2023.STOPPED BREAKING ON FEBRUARY 01, 2024. DUE TO LOW GRADE ON 3 CONSECUTIVE FLOORS. TO BE CONVERTED TO PULLOUT CLEANING.STOPPED ON FEBRUARY 15, 2024. ALREADY MINED-OUT AT 103% PULL-OUT ATTAINMENT.</t>
  </si>
  <si>
    <t>L10_GHVHW_061E_ROBBING</t>
  </si>
  <si>
    <t>REPLACEMENT OF L08_DPVE_072E_DW_ISL. APPROVED ON JAN 20, 2024. FINISHED STOPE PREP AND CONVERTED TO STOPE BREAKING. APPROVED ON FEBRUARY 14, 2024.</t>
  </si>
  <si>
    <t>REPLACEMENT OF L09_JVSPLIT_050E_DW, APPROVED ON DECEMBER 11, 2023; 3RD SHIFT. SILL.TEMPORARILY STOPPED ON DECEMBER 13, 2023 DUE TO ABSENTEEISM OF MEN RESULTING TO ABANDONMENT OF WORKPLACE. RESUMED ON JANUARY 8, 2024; 1ST SHIFT.STOPPED ON FEBRUARY 15, 2024, 2ND SHIFT. ALREADY MINED OUT.</t>
  </si>
  <si>
    <t>REPLACEMENT OF L09_DPVE_072E_DW. APPROVED ON NOVEMBER 21, 2023. 3RD SHIFT. VENTILATION PROJECT.STOPPED ON FEBRUARY 15, 2024. FINISHED HEADING.</t>
  </si>
  <si>
    <t>REPLACEMENT OF L11_DPVE_022E_DW. APPROVED ON JAN 26, 2024.TEMPORARILY STOPPED ON FEBRUARY 14, 2024 TO PRIORITIZE L11_DPVE_025E_STOPE PREP.</t>
  </si>
  <si>
    <t>L09_NONE_045E_XCS</t>
  </si>
  <si>
    <t>REPLACEMENT OF L11_DPVE_020E_STOPE PREP. APPROVED ON JAN 23, 2024.CONVERTED TO PULL-OUT CLEANING AFTER VEIN PINCH OUT WAS ENCOUNTERED ON IPR.STOPPED ON FEBRUARY 13, 2024. ALREADY MINED OUT WITH 133% PULLOUT</t>
  </si>
  <si>
    <t>REPLACEMENT OF L10_DPVE_055E_RAISE. APPROVED ON JANUARY 13,2024.STOPPED ON JANUARY 25,2024. TO BE CONVERTED TO STOPE BREAKING.STOPPED BREAKING ON FEBRUARY 15, 2024 DUE TO LOW ASSAY GRADE. FOR CONTROLLED PULL OUT.</t>
  </si>
  <si>
    <t>REPLACEMENT OF L10_DPVE_055E_RAISE. APPROVED ON JANUARY 13,2024.STOPPED ON JANUARY 25,2024. TO BE CONVERTED TO STOPE BREAKING.STOPPED BREAKING ON FEBRUARY 15, 2024 DUE TO LOW ASSAY GRADE. FOR CONTROLLED PULL OUT.STOPPED PULL OUT ON FEBRUARY 17, 2024; 2ND SHIFT DUE TO CONSECUTIVELY LOW QA/QC RESULTS BOTH ON CUT AND BULK SAMPLES.</t>
  </si>
  <si>
    <t>REPLACEMENT OF L10_GHVSPLIT_073E_STOPE PREP. APPROVED ON JANUARY 19,2024.STOPPED BREAKING ON FEBRUARY 7, 2024 DUE TO LOW GRADE ON IPR. CONVERTED TO PULL OUT CLEANING.</t>
  </si>
  <si>
    <t>REPLACEMENT OF L10_GHVSPLIT_073E_STOPE PREP. APPROVED ON JANUARY 19,2024.STOPPED BREAKING ON FEBRUARY 7, 2024 DUE TO LOW GRADE ON IPR. CONVERTED TO PULL OUT CLEANING.STOPPED PULL OUT ON FEBRUARY 17, 2024; 2ND SHIFT DUE TO CONSECUTIVELY LOW QA/QC RESULTS BOTH ON CUT AND BULK SAMPLES.</t>
  </si>
  <si>
    <t>REPLACEMENT OF L10_GHVSPLIT_034E_DE. APPROVED ON JAN 23, 2024.TEMPORARY STOPPED ON JANUARY 27, 2024 DUE TO ABSENTEEISM.RESUMED ON JAN 30, 2024. STOPPED ON FEBRUARY 16, 2024 DUE TO PINCHED OUT VEIN.</t>
  </si>
  <si>
    <t xml:space="preserve">REPLACEMENT OF L10_JV_066E_WINZE, APPROVED ON DECEMBER 1, 2023.STOPPED ON FEBRUARY 19, 2024; 2ND SHIFT DUE TO CONSECUTIVELY LOW QA/QC RESULTS BOTH ON CUT AND BULK SAMPLES.
</t>
  </si>
  <si>
    <t>L11_DPVE_033E_STOPE PREP</t>
  </si>
  <si>
    <t>REPLACEMENT OF L10_DPVE_022E_DW. APPROVED ON JAN 23, 2024.TEMPORARY STOPPED ON JANUARY 25,2024 TO PRIORITIZE L10_DPVE_019E_STOPE PREP.RESUMED ON FEBRUARY 3, 2024.STOPPED ON FEBRUARY 19, 2024, 2ND SHIFT DUE TO PINCHED OUT VEIN.</t>
  </si>
  <si>
    <t>ADDITIONAL HORIZONTAL DEVT DRIVE, APPROVED ON JAN 23, 2024. FOR TURN-OUT PREP.TEMPORARILY STOPPED ON FEBRUARY 19, 2024 TO PRIORITIZE L12_NONE_035E_SHAFT.</t>
  </si>
  <si>
    <t>L12_GHV_054E_DE_ISL</t>
  </si>
  <si>
    <t>L09_DPVE_086E_WINZE</t>
  </si>
  <si>
    <t>REPLACEMENT OF L04_CTV_010W_WINZE STOPE PREP. APPROVED ON NOVEMBER 28, 2023. TEMPORARILY STOPPED ON JANUARY 16, 2024. 3RD SHIFT. DUE TO LACK OF MANPOWER.RESUMED ON JANUARY 17, 2024. 3RD SHIFT.STOPPED BREAKING ON FEBRUARY 12, 2024. CONVERTED TO PULL-OUT CLEANING.STOPPED ON FEBRUARY 20, 2024. ALREADY FINISHED HEADING.</t>
  </si>
  <si>
    <t>REPLACEMENT OF L04_CTV_021W_WINZE STOPE PREP. APPROVED ON NOVEMBER 29, 2023.STOPPED BREAKING ON FEBRUARY 10, 2024. CONVERT TO PULL-OUT CLEANING.</t>
  </si>
  <si>
    <t xml:space="preserve">REPLACEMENT OF L11_DPVE_050E_DE. APPROVED ON OCT 12, 2023.TEMPORARY STOPPED ON DECEMBER 6, 2023 FOR SAFETY EVALUATION.RESUMED ON JANUARY 10, 2024, CHANGED TEAM FROM DUHIG R2 TO BAÑEZ 7.TEMPORARY STOPPED ON FEB 10, 2024. </t>
  </si>
  <si>
    <t>REPLACEMENT OF L09_DPVE_064E_DW_ISL, APPROVED ON JANUARY 10, 2024; 2ND SHIFT (TOPSLICE).CHANGE TEAM LEADER FROM BALANGHIG 1 TO PANSIT NORMAN 4. APPROVED ON JAN. 22, 2024. TEMPORARY STOPPED ON JANUARY 25, 2024 DUE TO INSUFFICIENT MANPOWER TO OPERATE THE HEADING. MEMO FROM SCS. *RESUMED ON JANUARY 31, 2024.STOPPED BREAKING ON THE CROWN PILLAR ON FEBRUARY 19, 2024 DUE TO CONSECUTIVELY LOW QA/QC RESULTS ON GRAB SAMPLES. REMAINING BROKEN MATERIALS FOR MONITORING.</t>
  </si>
  <si>
    <t>L03_NONE_023W_XCN</t>
  </si>
  <si>
    <t>L04_CTV_010W_ROBBING</t>
  </si>
  <si>
    <t>REPLACEMENT OF L10_DPVE_098E_DE. APPROVED ON JAN 11, 2024.RENAMED TO L10_DPVE_100E_STOPE PREP TO AVOID MISCHARGING TO L10_NONE_097E_XCS.APPROVED ON JANUARY 15,2024.STOPPED ON FEBRUARY 01, 2024. CONVERT TO BREAKING.STOPPED ON FEBRUARY 21, 2024; 3RD SHIFT DUE TO NO VEIN IMPROVEMENT ON ITS IPR. NO PULL OUT ON THE REMAINING BROKEN MATERIALS DUE TO LOW GRADE ON ITS CUT SAMPLES.</t>
  </si>
  <si>
    <t>L10_JVSPLIT_048E_ROBBING</t>
  </si>
  <si>
    <t>L11_JV_071E_DE</t>
  </si>
  <si>
    <t>L12_DPVE_042E_RAISE</t>
  </si>
  <si>
    <t xml:space="preserve">REPLACEMENT OF L10_JVFW_058E_DE. APPROVED ON JAN 24, 2024.STOPPED ON FEBRUARY 23, 2024, 2ND SHIFT DUE TO CONSECUTIVELY LOW QA/QC RESULTS BOTH ON CUT AND BULK SAMPLES.
</t>
  </si>
  <si>
    <t>REPLACEMENT OF L10_DPVE_028E_ROBBING. APPROVED ON FEBRUARY 06, 2024.STOPPED ON FEBRUARY 23, 2024, 2ND SHIFT DUE TO LOW QA/QC RESULTS.</t>
  </si>
  <si>
    <t>REPLACEMENT OF L11_GHVFW_028E_STOPE PREP, STARTED BREAKING ON FEBRUARY 3, 2024.STOPPED BREAKING ON FEB 24, 2024 DUE TO CONSECUTIVE LOW ASSAY RESULT ALREADY DONE IPR. NO PULL OUT OF REMAINING ORE.</t>
  </si>
  <si>
    <t>REPLACEMENT OF L08_DPVE_021E_DW. APPROVED ON JANUARY 26, 2024.STOPPED ON FEBRUARY 16, 2024. ALREADY FINISHED HEADING.</t>
  </si>
  <si>
    <t>L10_DPVE_085E_STOPE PREP</t>
  </si>
  <si>
    <t>REPLACEMENT OF L04_CTV_021W_WINZE STOPE PREP. APPROVED ON NOVEMBER 29, 2023.STOPPED BREAKING ON FEBRUARY 10, 2024. CONVERT TO PULL-OUT CLEANING.STOPPED ON FEBRUARY 26, 2024. ALREADY MINED OUT.</t>
  </si>
  <si>
    <t>REPLACEMENT OF L09_DPVE_042E_WINZE STOPE PREP APPROVED ON OCTOBER 20, 2023.TEMPORARILY STOPPED ON NOVEMBER 11, 2023 FOR SAFETY EVALUATION.RESUMED ON NOVEMBER 13, 2023, AFTER FURTHER SAFETY EVALUATION.STOPPED BREAKING ON FEBRUARY 26, 2024, ALREADY REACHED THE RECOMMENDED SLOPE LENGTH. FOR PULL OUT CLEANING AFTER CLOSE TRAVERSE.</t>
  </si>
  <si>
    <t>L10_JVFW_051E_ROBBING</t>
  </si>
  <si>
    <t>REPLACEMENT OF L10_GHVSPLIT_073E_STOPE, APPROVED ON FEBRUARY 16, 2024; 3RD SHIFT. SILL PILLAR ROBBING.STOPPED ON FEBRUARY 26, 2024. ALREADY FINISHED HEADING.</t>
  </si>
  <si>
    <t>REPLACEMENT OF L11_DPVE_034E_DE APPROVED ON SEPTEMBER 23, 2023.TEMPORARY STOPPED ON JANUARY 16, 2024 TO PRIORITIZE L11_DPVE_036E_STOPE PREP.RESUMED ON JANUARY 29, 2024.STOPPED ON FEB 26, 2024, DUE TO CONSECUTIVE LOW ASSAY RESULT, NOT RECOMMENDED FOR PULL OUT.</t>
  </si>
  <si>
    <t>L11_JV_075E_RAISE</t>
  </si>
  <si>
    <t>REPLACEMENT OF L11_JVFW_057E_RAISE. APPROVED FEBRUARY 16, 2024. STOPPED ON FEB 26, 2024 TO PRIORITIZE L11 JV 075E RAISE.</t>
  </si>
  <si>
    <t>L09_DPVE_031E_WINZE</t>
  </si>
  <si>
    <t>REPLACEMENT OF L08_JVSPLIT_074E_WINZE STOPE PREP. APPROVED ON JANUARY 08, 2024.STOPPED BREAKING ON FEBRUARY 26, 2024. AS WELL AS TRAVERSED ON THE SAME DAY. CONVERTED TO PULL-OUT.</t>
  </si>
  <si>
    <t>L08_DPVE_034E_WINZE</t>
  </si>
  <si>
    <t>REPLACEMENT OF L10_DPVE_092E_DW_ISL, APPROVED ON NOVEMBER 30, 2023.STOPPED ON FEB. 27,2024, 3RD SHIFT. ALREADY REACHED THE RECOMMENDED SLOPE LENGTH. CONSECUTIVE LOW ASSAY GRADES.</t>
  </si>
  <si>
    <t>REPLACEMENT OF L11_DPVE_022E_DW APPROVED ON NOVEMBER 28, 2023.CHANGED HEADING NAME FROM L11_DPVE_021E_STOPE PREP TO L11_DPVE_018E_STOPE PREP TO AVOID MISCHARGING FROM L11_DPVE_021E_WINZE.ALREADY DONE STOPE PREPARATION ON JAN 17, 2024, CONVERT TO STOPE BREAKING.WITH NEGATIVE IPR RESULT, STOPPED BREAKING ONG FEB 8, 2024, CONVER TO STOPE PULL OUT.ALREADY DONE PULL OUT CLEANING, FEB 13, 2024.</t>
  </si>
  <si>
    <t>REPLACEMENT OF L09_DPVE_079E_ROBBING, APPROVED ON DECEMBER 18, 2023. CROWN PILLAR ROBBING.STOPPED ON FEB 27, 2024 ALREADY DONE PILLAR ROBBING.</t>
  </si>
  <si>
    <t>REPLACEMENT OF L12_GHVSPLIT_062E_DW. APPROVED ON OCTOBER 25, 2023.TEMPORARILY STOPPED ON NOVEMBER 04, 2023. TO PRIORITIZE DRIFT.RESUMED ON NOVEMBER 11, 2023, FOR L425 VENTILATION.TEMPORARILY STOPPED ON NOVEMBER 11, 2023 FOR SAFETY EVALUATION.RESUMED ON NOVEMBER 13, 2023, AFTER FURTHER SAFETY EVALUATION. TEMPORARILY STOPPED ON JANUARY 8, 2024; MANPOWER ASSIGNED TO TIGERWAY.RESUMED ON JANUARY 12, 2024. AS WELL AS CHANGED TEAM LEADER FROM OY-YOY 1 TO BALANGHIG. TEMPORARY STOPPED ON FEB 24, 2024 ALREADY REACHED THE RECOMMENDED SLOPE DISTANCE AND WILL PRIORITIZE DRIVING THE ISL.</t>
  </si>
  <si>
    <t>REPLACEMENT OF L03_CTV_021W_ROBBING. APPROVED ON JANUARY 24, 2024.STOPPED ON FEBRUARY 29, 2024. DUE TO CONSECUTIVE LOW ASSAY GRADE ON CUT SAMPLES/BULK SAMPLES.</t>
  </si>
  <si>
    <t xml:space="preserve">REPLACEMENT OF L11_GHV_063E_ROBBING APPROVED ON JAN 18, 2024. SILL PILLAR.TEMPORARY STOPPED ON FEB 8, 2024.RESUMED ON FEBRUARY 12, 2024.STOPPED ON FEBRUARY 29, 2024. ALREADY FINISHED HEADING.
</t>
  </si>
  <si>
    <t>L03_JV_014W_WINZE</t>
  </si>
  <si>
    <t>L11_DPVE_043E_STOPE PREP</t>
  </si>
  <si>
    <t>L11_DPVE_022E_STOPE PREP</t>
  </si>
  <si>
    <t>L11_NONE_037E_XCN</t>
  </si>
  <si>
    <t>L10_JV_001E_DE</t>
  </si>
  <si>
    <t>L10_JVFW_049E_ROBBING</t>
  </si>
  <si>
    <t>REPLACEMENT OF L10_DPVE_092E_ROBBING, APPROVED ON FEB 9, 2024. SILL PILLAR.SHEPHERD BD 1 .RENAMED FROM L10_DPVE_089E_ROBBING TO L10_DPVE_090E_ROBBING. APPROVED ON FEBRUARY 15, 2024.STOPPED ON MARCH 1, 2024. ALREADY FINISHED BREAKING THE LAST PILLAR.</t>
  </si>
  <si>
    <t>L10_GHVFW_056E_ROBBING</t>
  </si>
  <si>
    <t>L11_JVSPLIT_075E_RAISE</t>
  </si>
  <si>
    <t>L11_DPVE_057E_DE</t>
  </si>
  <si>
    <t>DUHIG, R</t>
  </si>
  <si>
    <t>L11_DPVE_041E_STOPE</t>
  </si>
  <si>
    <t xml:space="preserve">REPLACEMENT OF L10_DPVE_022E_ROBBING, APPROVED ON NOVEMBER 5, 2023.TEMPORARILY STOPPED ON NOVEMBER 23, 2023 FOR SAFETY EVALUATION.STOPPED DUE TO UNSAFE CONDITION AS PER SAFETY MEMO.APPROVED ON MARCH 3, 2024.
</t>
  </si>
  <si>
    <t xml:space="preserve">REPLACEMENT OF L11_GHVHW_071E_STOPE. APPROVED ON NOV 4, 2023. FILL WINZE.TEMPORARILY STOPPED ON NOVEMBER 11, 2023 FOR SAFETY EVALUATION. RESUMED ON JANUARY 10, 2024. FILL WINZE.TRANSFER FROM MAPAYO 1 TO BAÑEZ 3 ON JAN 11, 2024. TEMP STOPPED ON JAN 23, 2023. ALREADY DONE WITH 1 FILL WINZE TO CONITNUE 2 MORE FILL WINZE.RESUMED ON FEB 9, 2024 AT THE SAME TIME TRANSFERRED  FROM BAÑEZ TO PARAN 1.TEAM TRANSFERRED FROM PARAN 1 TO DUHIG ON 12-FEBRUARY-2024. STOPPED ON MARCH 1, 2024 ALREADY DONE DRIVING FILL WINZE.
</t>
  </si>
  <si>
    <t xml:space="preserve">REPLACEMENT OF L11_JV_054E_STOPE; APPROVED ON JANUARY 11, 2024.REPLACEMENT OF L11_GHV_073E_STOPE PREP. APPROVED ON JAN 31, 2024.STOPPED BREAKING, WITH NEGATIVE IPR RESULT. CONVERT TO PULL OUT CLEANING ON MARCH 2 2024.
</t>
  </si>
  <si>
    <t>REPLACEMENT OF REPLACEMENT OF L12_NONE_045E_XCS. APPROVED ON NOVEMBER 09, 2023.TEMPORARY STOPPED ON NOVEMBER 13, 2023. TO PRIORITIZED ITS EAST SIDE.RESUMED ON FEB 5, 2024. STOPPED ON FEBRUARY 27, 2024. DUE TO CONSECUTIVE LOW ASSAY GRADE AND PINCHED OUT VEIN.</t>
  </si>
  <si>
    <t xml:space="preserve">REPLACEMENT OF L12_GHVSPLIT_062E_DE. APPROVED ON AUGUST 10, 2023.TEMPORARY STOPPED ON AUGUST 15, 2023 TO PRIORITIZE BILND STOPE PREP MEMO TO FOLLOW.RESUMED ON SEPTEMBER 5, 2023. AT THE SAME TIME CHANGE GROUP FROM DUHIG, P1 TO DUHIG, P5.STOPPED ON SEPTEMBER 6, 2023. INACCESSIBLE AREA DUE TO STOPE PREP. MEMO TO BE FOLLOWED.RESUMED ON OCT 6, 2023. PRIORITY HEADING.TEMPORARY STOPPED ON NOVEMBER 30, 2023 TO PRIORITIZE L12_JV_062E_STOPE PREP.RESUMED ON DECEMBER 15, 2023.TEMPORARY STOPPED ON JAN 19, 2023 DUE TO ABSENTEEISM.RESUMED ON FEB 21, 2024 AT THE SAME TIME TRANSFER FROM DUHIG, P5 TO PARAGUYA 1.STOPPED ON FEBRUARY 29, 2024. VEIN FOR CURRENT DRIVE WILL MERGE WITH MAIN VEIN. RECOMMENDED STOPPAGE TO AVOID REDUCING PILLAR WIDTH TOWARDS ADJACENT MAINLINE.
</t>
  </si>
  <si>
    <t>REPLACEMENT OF L11_DPVE_026E_DE, APPROVED ON FEBRUARY 14, 2024.STOPPED ON MARCH 02, 2024. RECOMMENDED FOR ACTIVE STOPE BREAKING.</t>
  </si>
  <si>
    <t>L09_GHVHW_002E_WINZE</t>
  </si>
  <si>
    <t>L08_GHVHW_011W_ROBBING</t>
  </si>
  <si>
    <t>REPLACEMENT OF L08_DPVE_029E_ROBBING. APPROVED ON JANUARY 26, 2024.STOPPED ON MARCH 01, 2024. DUE TO CONSECUTIVE LOW ASSAY GRADE ON CUT/BULK SAMPLES.</t>
  </si>
  <si>
    <t>L11_DPVE_018E_RAISE</t>
  </si>
  <si>
    <t>REPLACEMENT OF L09_NONE_035E_XCN, APPROVED ON FEBRUARY 17, 2024. TIGERWAY L09 ACCESS.STOPPED ON FEBRUARY 29, 2024. ALREADY MADE A BREAKTHROUGH.</t>
  </si>
  <si>
    <t>L09_JV_070E_ROBBING</t>
  </si>
  <si>
    <t>L12_NONE_063E_XCN</t>
  </si>
  <si>
    <t xml:space="preserve">REPLACEMENT OF L11_JV_054E_STOPE; APPROVED ON JANUARY 11, 2024.REPLACEMENT OF L11_GHV_073E_STOPE PREP. APPROVED ON JAN 31, 2024.STOPPED BREAKING, WITH NEGATIVE IPR RESULT. CONVERT TO PULL OUT CLEANING ON MARCH 2 2024.STOPPED PULLOUT DUE TO BLASTED MATERIALS MIGHT BE FROM OFF VEIN PORTION. ATTAINED 93% PULLOUT WITH 46 MINECARS REMAINING AS PER LGO. APPROVED ON MARCH 6, 2024.
</t>
  </si>
  <si>
    <t>REPLACEMENT OF L10_JV_067E_DE_ISL, APPROVED ON FEBRUARY 22, 2024. SILL PILLAR ROBBING.STOPPED ON MARCH 2, 2024 3RD SHIFT. DO NOT TRAM-OUT REMAINING BROKEN MATERIALS DUE TO OLD MUCK FROM STOPE AND LOW ASSAY GRADE.</t>
  </si>
  <si>
    <t>L08_GHVHW_009W_ROBBING</t>
  </si>
  <si>
    <t>L10_DPVE_032E_ROBBING</t>
  </si>
  <si>
    <t>REPLACEMENT OF L09_DPVE_028E_WINZE. APPROVED ON JANUARY 29, 2024.STOPPED ON MARCH 8, 2024, DUE TO CONSECUTIVELY LOW QA/QC RESULTS ON CUT SAMPLES.</t>
  </si>
  <si>
    <t>REPLACEMENT OF L10_DPVE_099E_STOPE, APPROVED ON FEBRUARY 16, 2024. SILL PILLAR ROBBING.STOPPED ON MARCH 7, 2024. FINISHED HEADING</t>
  </si>
  <si>
    <t>REPLACEMENT OF L10_DPVE_087E_DE, APPROVED ON FEBRUARY 22, 2024. FOR BYPASS TO L10 MAINLINE TO DIVERT L10 AIRFLOW.STOPPED ON MARCH 6, 2024. ALREADY MADE A BREAKTHROUGH.</t>
  </si>
  <si>
    <t>L09_DPVE_028E_DE_ISL</t>
  </si>
  <si>
    <t>L10_JV_068E_DE</t>
  </si>
  <si>
    <t>REPLACEMENT OF L11_DPVE_048E_RAISE. APPROVED ON FEBRUARY 13, 2024.TEMPORARY STOPPED ON FEB 28, 2024. DUE TO MANPOWER ISSUE.RESUMED ON MARCH 01, 2024 AS REPLACEMENT OF L11_GHV_064E_ROBBING. AT THE SAME TIME TRANSFERRED FROM PANCIT, NOEL 4 TO PARAN 1. MEMO FROM SCS.RESUMED ON MARCH 7, 2024 3RD SHIFT.STOPPED ON MARCH 11, 2024 DUE TO CONSECUTIVELY LOW QA/QC RESULTS ON CUT AND BULK SAMPLES.</t>
  </si>
  <si>
    <t>REPLACEMENT FOF L08_JVSPLIT_069E_DW_ISL, APPROVED ON JAN 20, 2024.FINISHED STOPE PREP AND CONVERTED TO STOPE BREAKING. APPROVED ON FEBRUARY 15, 2024.STOPPED BREAKING ON MARCH 09, 2024. AS WELL AS TRAVERSED ON THE SAME DAY, 2ND SHIFT.</t>
  </si>
  <si>
    <t>L11_JV_060E_STOPE PREP</t>
  </si>
  <si>
    <t>SPECIAL PROJECT FOR ELECTRICAL CHAMBER. STARTED ON DEC 28, 2023.STOPPED ON MARCH 10, 2024. ALREADY FINISHED HEADING.</t>
  </si>
  <si>
    <t>APPROVED ON FEBRUARY 01, 2024. FOR DOUBLE TRACK WITHIN 039E WINZE MANWAY.STOPPED ON MARCH 10, 2024. ALREADY FINISHED HEADING.</t>
  </si>
  <si>
    <t xml:space="preserve">REPLACEMENT OF L11_DPVE_046E_STOPE. APPROVED ON FEBRUARY 13, 2024.TEMPORARY STOPPED ON MARCH 12,2024 TO PRIORITIZE L11_DPVE_043E_STOPE PREP.
</t>
  </si>
  <si>
    <t>REPLACEMENT OF L09_DPVE_064E_ROBBING, APPROVED ON FEBRUARY 26, 2024.TEMPORARILY STOPPED ON MARCH 12, 2024.</t>
  </si>
  <si>
    <t>L03_JVSPLIT_034W_ROBBING</t>
  </si>
  <si>
    <t>ADDITIONAL GRP FROM LEVEL 5, APPROVED ON FEB 5, 2024.TEMPORARILY STOPPED ON FEBRUARY 10, 2024 TO PRIORITIZE L11_DPVE_043E_RAISE PREPARATION.RESUMED ON FEBRUARY 20, 2024. AT THE SAME TIME CHANGE TEAM LEADER FROM PANCIT, NOEL 4 TO COMAINGKING 2.TEMPORARILY STOPPED ON MARCH 13, 2024 TO PRIORITIZE L11_DPVE_043E_RAISE PREPARATION.</t>
  </si>
  <si>
    <t>L08_GHVHW_005W_WINZE</t>
  </si>
  <si>
    <t>L11_DPVE_033E_STOPE</t>
  </si>
  <si>
    <t>REPLACEMENT OF L11_DPVE_017E_RAISE, APPROVED ON FEBRUARY 14, 2024.RENAMED FROM L11_DPVE_025E_STOPE PREP TO L11_DPVE_033E_STOPE PREP TO AVOID MISCHARGING WITH L11_JVHW_025E_DW. APPROVED ON FEBRUARY 15, 2024.STOPPED ON MARCH 7,2024. TO BE CONVERTED TO STOPE BREAKING.</t>
  </si>
  <si>
    <t>L11_DPVE_015E_DW</t>
  </si>
  <si>
    <t>REPLACEMENT OF L10_DPVE_011E_DE. APPROVED ON MARCH 1,2024.STOPPED ON MARCH 8, 2024 2ND SHIFT. PINCHING OUT OF VEIN AFTER INTERSECTING A FAULT.</t>
  </si>
  <si>
    <t>REPLACEMENT OF L10_DPVE_098E_DE, APPROVED ON FEB 9, 2024.STOPPED ON MARCH 13,2024 2ND SHIFT. ALREADY INTERCEPTED THE TARGET VEIN.</t>
  </si>
  <si>
    <t>REPLACEMENT OF L10_DPVE_019E_STOPE PREP. APPROVED ON FEBRUARY 5, 2024.STOPPED ON MARCH 4, 2024 3RD SHIFT DUE TO LOW GRADE ASSAY ON IPR. TO BE CONVERTED TO STOPE PULLOUT.STOPPED ON MARCH 13,2024. ALREADY MINED OUT WITH 94% PULLOUT ATTAINMENT.</t>
  </si>
  <si>
    <t>L10_DPVE_103E_DE</t>
  </si>
  <si>
    <t>103E</t>
  </si>
  <si>
    <t>L10_DPVE_010E_WINZE</t>
  </si>
  <si>
    <t>L09_DPVE_068E_WINZE</t>
  </si>
  <si>
    <t>REPLACEMENT OF L08_JVSPLIT_074E_WINZE STOPE PREP. APPROVED ON JANUARY 08, 2024.STOPPED BREAKING ON FEBRUARY 26, 2024. AS WELL AS TRAVERSED ON THE SAME DAY. CONVERTED TO PULL-OUT.STOPPED ON MARCH 12, 2024. ALREADY MINED OUT.</t>
  </si>
  <si>
    <t xml:space="preserve"> REPLACEMENT OF L08_DPVE_063E_ROBBING. APPROVED ON FEBRUARY 8, 2023, 3RD SHIFT. SILL.STOPPED ON MARCH 12, 2023. ALREADY MINED OUT.</t>
  </si>
  <si>
    <t>ADDITONAL GOOD SOURCE OF ORE. APPROVED ON MARCH08, 2024. TOPSLICE.STOPPED ON MARCH 14, 2024. DUE TO CONSECUTIVE LOW ASSAY GRADE ON CUT SAMPLES/BULK SAMPLES.</t>
  </si>
  <si>
    <t>REPLACEMENT OF L12_GHV_053E_WINZE, APPROVED ON FEBRUARY 19, 2024; 2ND SHIFT.TEMPORARY STOPPED ON MARCH 12, 2024. TO PRIORITIZED L12_GHV_054E_DW_ISL.</t>
  </si>
  <si>
    <t>L12_GHV_054E_DW_ISL</t>
  </si>
  <si>
    <t>REPLACEMENT OF L09_DPVE_045E_ROBBING, APPROVED ON JANUARY 10, 2024. ISL PROPOSAL AT 30M SLOPE LENGTH DISTANCE ONLY.STOPPED ON MARCH 14, 2024 DUE TO CONSECUTIVELY LOW QA/QC RESULTS ON CUT AND BULK SAMPLES.</t>
  </si>
  <si>
    <t xml:space="preserve">L09_NONE_012W_XCN </t>
  </si>
  <si>
    <t>L03_CV_010W_ROBBING</t>
  </si>
  <si>
    <t xml:space="preserve">L09_DPVE_044E_DE_ISL  </t>
  </si>
  <si>
    <t>L09_DPVE_044E_DE_ISL</t>
  </si>
  <si>
    <t>REPLACEMENT OF L12_GHVHW_059E_RAISE. APPROVED ON AUGUST 15, 2023.TEMPORARILY STOPPED TO PRIORITIZE WINZE. APPROVED ON OCTOBER 14, 2023.RESUMED ON OCTOBER 20, 2023.STOPPED ON NOVEMBER 9, 2023 ALREADY REACHED TARGET CONVERTED TO DRIFT.RESUMED ON FEB 29, 2024, FOR BREAKTHROUGH PURPOSES ONLY.STOPPED ON MARCH 07, 2024, 3RD SHIFT. ALREADY MADE A BREAKTHROUGH.</t>
  </si>
  <si>
    <t>L09_DPVE_030E_ROBBING</t>
  </si>
  <si>
    <t>L10_GHV_014E_RAISE</t>
  </si>
  <si>
    <t xml:space="preserve">REPLACEMENT OF L11_GHV_055E_STOPE. APPROVED ON NOVEMBER 27, 2023.STOPPED ON NOVEMBER 29, 2023. DUE TO ABSEENTISM AS PER SCS MEMO.RESUMED ON JANUARY 8, 2024. CHANGE OF TEAMLEADER FROM PARAN 3 TO REBOTE 1.TEMPORARY STOPPED ON JAN 18, 2024 DUE TO STOPE PREPARATION HEADINGS L11_GHVFW_028E_STOPE PREP.RESUMED ON FEB 10, 2024 AT THE SAME TIME TRANSFERRED FROM REBOTE 1 TO BAÑEZ 5.TRANSFER OF TEAMLEADER FROM BAÑEZ 5 TO LERIO 1. APPROVED ON MARCH 12,2024.STOPPED ON MARCH 17,2024 3RD SHIFT DUE TO CONSECUTIVE LOW GRADE AND SMALL VEIN WIDTH ON THE FACE.
</t>
  </si>
  <si>
    <t xml:space="preserve">REPLACEMENT OF L11_GHVHW_058E_DE. APPROVED ON JAN 31, 2024.TEMPORARY STOPPED ON FEB 9, 2024 TO PRIORITIZE DRIFT.RESUMED ON FEBRUARY 13, 2024 AS REPLACEMENT OF L11_NONE_059E_RAISE. AT THE SAME TIME TRANSFERRED FROM PANCIT, NOEL 3 TO BAÑEZ 9.STOPPED ON MARCH 17,2024 3RD SHIFT DUE TO CONSECUTIVE LOW GRADE ON BULK AND CUT SAMPLES.
</t>
  </si>
  <si>
    <t xml:space="preserve">REPLACEMENT OF L05_NONE_032E_RAISE, APPROVED ON NOVEMBER 22, 2023.TEMPORARY STOPPED ON  NOVEMBER 24, 2023. MANPOWER TRANSFER TO TIGERWAY.RESUMED AT THE SAME TIME TRANSFERRED FROM PMC MINERS TO TURRA 2 APPROVED ON NOVEMBER 28, 2023.TEMPORARILY STOPPED ON DECEMBER 11, 2023; 1ST SHIFT, 3 TEAM MEMBERS WERE INVOLVED IN HIGH HIGH GRADING AND BANNED TO ENTER THE MINESITE. RESUMED ON JANUARY 8, 2024. CHANGE OF TEAMLEADER FROM TURRA 2 TO COMAINGKING 1.TEMPORARY STOPPED ON MARCH 6, 2024 2ND SHIFT DUE TO SAFETY CONCERNS AS PER SAFETY MEMO.RESUMED ON MARCH 7, 2024 3RD SHIFT.STOPPED ON MARCH 17,2024 3RD SHIFT DUE TO VEIN ORIENTATION ON THE CURRENT FACE WAS PROJECTED TO MERGED WITH THE VEIN ON THE ADJACENT MAINLINE.
</t>
  </si>
  <si>
    <t>L04_CTV_020W_DE_ISL</t>
  </si>
  <si>
    <t>L09_JV_059E_WINZE STOPE</t>
  </si>
  <si>
    <t>REPLACEMENT OF L09_JV_059E_DE_ISL, APPROVED ON FEBRUARY 8, 2024; 3RD SHIFT.STOPPED ON MARCH 7, 2024. CONVERTED TO STOPE BREAKING.</t>
  </si>
  <si>
    <t xml:space="preserve">L09_JV_059E_WINZE STOPE         </t>
  </si>
  <si>
    <t>L09_JVSPLIT_050E_WINZE STOPE</t>
  </si>
  <si>
    <t>REPLACEMENT OF L09_JVSPLIT_048E_DE_ISL, APPROVED ON FEBRUARY 8, 2024; 3RD SHIFT.STOPPED ON MARCH 6, 2024, CONVERTED TO STOPE BREAKING</t>
  </si>
  <si>
    <t>L08_JVSPLIT_069E_ROBBING</t>
  </si>
  <si>
    <t>REPLACEMENT OF L12_DPVE_036E_DE, APPROVED ON FEBRUARY 23, 2024; 2ND SHIFT.TEMPORARY STOPPED ON 19-MARCH-2024, 2ND SHIFT, TO PRIORITIZE L12_DPVE_055E_DW.</t>
  </si>
  <si>
    <t>REPLACEMENT OF L12_GHV_054E_DE_ISL. APPROVED ON MARCH 12, 2024.TEMPORARY STOPPED ON 19-MARCH-2024.</t>
  </si>
  <si>
    <t>REPLACEMENT OF L12_GHVSPLIT_058E_WINZE, APPROVED ON 22-FEBRUARY-2024.TEMPORARY STOPPED ON 19-MARCH-2024, TO PRIORITIZE L12_NONE_047E_XCS.</t>
  </si>
  <si>
    <t>REPLACEMENT FOF L08_JVSPLIT_069E_DW_ISL, APPROVED ON JAN 20, 2024.FINISHED STOPE PREP AND CONVERTED TO STOPE BREAKING. APPROVED ON FEBRUARY 15, 2024.STOPPED BREAKING ON MARCH 09, 2024. AS WELL AS TRAVERSED ON THE SAME DAY, 2ND SHIFT.CONVERTED TO PULL-OUT CLEANING. APPROVED ON MARCH 11, 2024.STOPPED ON MARCH 19, 2024. ALREADY MINED OUT.</t>
  </si>
  <si>
    <t>L01_TIGERWAY_DSP4-L04_VENT.SHAFT</t>
  </si>
  <si>
    <t>L01</t>
  </si>
  <si>
    <t>TIGERWAY</t>
  </si>
  <si>
    <t>DSP4-L04</t>
  </si>
  <si>
    <t>L01_TIGERWAY_DSP24-20_ALIMAK RAISE</t>
  </si>
  <si>
    <t>DSP24-20</t>
  </si>
  <si>
    <t>REPLACEMENT OF L12_JV_062E_STOPE PREP. APPROVED ON JANUARY 17, 2024.STOPPED BREAKING ON 19-MARCH-2024, CONVERTED TO PULL-OUT CLEANING ON THE SAME DAY.</t>
  </si>
  <si>
    <t>REPLACEMENT OF L11_NONE_038E_XCN APPROVED ON SEPTEMBER 18, 2023.ALREADY DONE STOPE PREPARATION ON OCTOBER 5, 2023. BUT TEMPORARRY STOP ON BREAKING. TO BE TRANSFERRED TO OTHER WORKPLACE.RESUMED AND CONVERT TO STOPE BREAKING AS REPLACEMENT OF L11_GHVHW_067E_WINZE AS WELL AS CHANGE TL FROM BAÑEZ 8 TO MAPAYO 1. APPROVED ON NOVEMBER 14, 2023. RESUMED AND CONVERT TO STOPE BREAKING AS REPLACEMENT OF L11_GHVHW_067E_WINZE AS WELL AS CHANGE TL FROM BAÑEZ 8 TO MAPAYO 1. APPROVED ON NOVEMBER 14, 2023.STOPPED BREAKING ON MARCH 18, 2024 ALREADY DONE STOPE TRAVERSE, CONVERT TO STOPE PULL-OUT.</t>
  </si>
  <si>
    <t>REPLACEMENT OF L11_DPVE_027E_RAISE, APPROVED ON JUNE 6, 2023.TEMPORARY STOPPED ON JUNE 26, 2023 TO PRIORITIZED DRIFT.CONVERT TO STOPE BREAKING. CHANGE TEAM LEADER FROM REBOTE 1 TO BAÑEZ 1. APPROVED ON OCTOBER 19, 2023.TEMP STOPPED ON NOV 17, 2023 DUE TO LACK OF MANPOWER. RESUMED ON JAN 9, 2024 WITH CHECKLIST.STOPPED BREAKING ON MARCH 18, 2024 ALREADY DONE STOPE TRAVERSE, CONVERT TO STOPE PULL-OUT.</t>
  </si>
  <si>
    <t>L08_GHV_012E_WINZE</t>
  </si>
  <si>
    <t>L08_JVFW_053E_ROBBING</t>
  </si>
  <si>
    <t>REPLACEMENT OF L08_JVSPLIT_074E_WINZE STOPE. APPROVED ON MARCH 15, 2024. TOPSLICE.STOPPED ON MARCH 19, 2024. ALREADY MINED OUT.</t>
  </si>
  <si>
    <t>L11_NONE_020E_XCS</t>
  </si>
  <si>
    <t>ADDTIONAL SOURCE OF GOOD ORE. APPROVED ON NOVEMBER 25, 2023.TEMPORARY STOPPED ON NOVEMBER 30, 2023. GROUP SUBJECT FOR DIALOGUE. AS PER SCS MEMO.RESUMED ON DECEMBER 9, 2023.RESUMED ON JANUARY 16, 2024. AS WELL AS CHANGED TEAM LEADER FROM OSWAY 1 TO CABONITA 1.TEMPORARY STOPPED ON FEBRUARY 13, 2024 TO PRESERVE BACKSWITCH IN ML AND TO PRIORITIZE CLEANING.RESUMED ON FEBRUARY 20, 2024.STOPPED ON MARCH 20, 2024. ALREADY MINED OUT.</t>
  </si>
  <si>
    <t>REPLACEMENT OF L10_NONE_032E_XCN. SILL. APPROVED ON MARCH 08, 2024.TEMPORARILY STOPPED ON MARCH 20, 2024, 2ND SHIFT TO PRESERVE MAINLINE FOR FUTURE WINZE HEADROOM.</t>
  </si>
  <si>
    <t>REPLACEMENT OF L10_DPVE_028E_ROBBING. APPROVED ON FEBRUARY 26, 2024.RENAMED FROM L10_GHVFW_060E_ROBBING. ALL MINE CARS FROM FEB 24 TO FEB 28 3RD SHIFT WILL BE CARGED AS MAINLINE CLEANING. APPROVED ON MARCH 1, 2024.STOPPED ON MARCH 19, 2024 3RD SHIFT. ALREADY REACHED RECOMMENDED STRIKE LENGTH.</t>
  </si>
  <si>
    <t>L12_GHVSPLIT_059E_DE_ISL</t>
  </si>
  <si>
    <t>REPLACEMENT OF L11_DPVE_042E_STOPE, APPROVED ON FEB 27, 2024.TEMPORARY STOPPED ON MARCH 22, 2024 DUE TO LACK OF MANPOWER, MERGED TO OTHER GROUP.</t>
  </si>
  <si>
    <t>L11_GHV_053E_STOPE PREP</t>
  </si>
  <si>
    <t>REPLACEMENT OF L08_DPVE_072E_DW_ISL. APPROVED ON JAN 20, 2024. FINISHED STOPE PREP AND CONVERTED TO STOPE BREAKING. APPROVED ON FEBRUARY 15, 2024.STOPPED BREAKING ON MARCH 22, 2024. THE STRIKE LENGTH IS GETTING SHORTER DUE TO FAULT. CONVERTED TO ROBBING.</t>
  </si>
  <si>
    <t>APPROVED ON FEB 27, 2024, REPLACEMENT L11_GHVFW_028E_STOPE.STOPPED ON MARCH 20, 2024. RECOMMENDED FOR ACTIVE STOPE BREAKING.</t>
  </si>
  <si>
    <t>REPLACEMENT OF L09_DPVE_042E_WINZE STOPE PREP APPROVED ON OCTOBER 20, 2023.TEMPORARILY STOPPED ON NOVEMBER 11, 2023 FOR SAFETY EVALUATION.RESUMED ON NOVEMBER 13, 2023, AFTER FURTHER SAFETY EVALUATION.STOPPED BREAKING ON FEBRUARY 26, 2024, ALREADY REACHED THE RECOMMENDED SLOPE LENGTH. FOR PULL OUT CLEANING AFTER CLOSE TRAVERSE.STOPPED ON MARCH 20, 2024, ALREADY MINED OUT.</t>
  </si>
  <si>
    <t>L08_DPVE_075E_ROBBING</t>
  </si>
  <si>
    <t>L09_DPVE_043E_ROBBING</t>
  </si>
  <si>
    <t>L09_DPVE_029E_ROBBING</t>
  </si>
  <si>
    <t>REPLACEMENT OF L09_DPVE_028E_DW_ISL, APPROVED ON MARCH 9, 2024.STOPPED ON MARCH 23, 2024 DUE TO CONSECUTIVELY LOW QA/QC GRADES ON CUT AND BULK SAMPLES.</t>
  </si>
  <si>
    <t>REPLACEMENT OF L09_JVSPLIT_073E_WINZE STOPE PREP, APPROVED ON DECEMBER 11, 2023; 3RD SHIFT.STOPPED BREAKING ON MARCH 21, 2024. ALREADY TRAVERSED, CONVERTED TO PULL OUT.</t>
  </si>
  <si>
    <t>L12_DPVE_038E_STOPE PREP</t>
  </si>
  <si>
    <t>L11_GHV_069E_ROBBING</t>
  </si>
  <si>
    <t>L11_NONE_049E_XCN</t>
  </si>
  <si>
    <t>REPLACEMENT OF L10_JV_067E_DE_ISL. APPROVED ON MARCH 11, 2024.STOPPED ON MARCH 26, 2024. ALREADY REACHED THE DESIRED/RECOMMENDED STRIKE LENGTH OF THE DRIVE.</t>
  </si>
  <si>
    <t>REPLACEMENT OF L09_NONE_065E_XCS. APPROVED ON MARCH 04, 2024. TOP SLICE.STOPPED ON MARCH 26, 2024. ALREADY REACHED THE RECOMMENDED CROWN PILLAR TO BREAK.</t>
  </si>
  <si>
    <t>L10_JVSPLIT_068E_DW</t>
  </si>
  <si>
    <t>REPLACEMENT OF L10_DPVE_096E_STOPE PREP. APPROVED ON JUNE 22, 2023.TEMPORARY STOPPED ON DECEMBER 6, 2023 DUE TO UNSAFE CONDITION OF THE WORKPLACE BASED ON THE JOINT EVALUATION AND ASSESSMENT OF THE CONCERNED DEPARTMENTS AFTER THE EARTHQUAKE INCIDENT. FOR FURTHER EVALUATION.RESUMED ON MARCH 26, 2024. CHANGE TEAM LEADER FROM BAÑEZ TO AMBONGAN.</t>
  </si>
  <si>
    <t>REPLACEMENT OF L11_DPVE_033E_STOPE PREP. CONVERTED TO BREAKING. APPROVED ON MARCH 7, 2024.STOPPED BREAKING ON MARCH 27, 2024. PINCHED OUT VEIN.</t>
  </si>
  <si>
    <t>APPROVED ON JANUARY 31, 2024. TEMPORARILY STOPPED ON FEBRUARY 02, 2024, MANPOWER BACK TO 059_RAISE.RESUMED ON FEB 9, 2024.TEMPORARILY STOPPED ON FEBRUARY 14, 2024 TO PRIORITIZE L11_DPVE_041E_STOPE PREP.RESUMED ON MARCH 13,2024.STOPPED ON MARCH 27, 2024. PINCHED OUT VEIN.</t>
  </si>
  <si>
    <t>REPLACEMENT OF L08_JVSPLIT_069E_WINZE STOPE, APPROVED ON MARCH 19, 2024. TOPSLICE.STOPPED ON MARCH 28, 2024. ALREADY FINISHED HEADING.</t>
  </si>
  <si>
    <t>REPLACEMENT OF L11_DPVE_029E_DW. APPROVED ON MARCH 05, 2024.TEMPORARILY STOPPED ON MARCH 8, 2024 TO PRIORITIZE L11_DPVE_029E_DW.RESUMED MARCH 12,2024. TRANSFERRED TEAMLEADER FROM LERIO 2 TO SHEPHERD AC 1.STOPPED ON MARCH 23, 2024. PINCHED OUT VEIN</t>
  </si>
  <si>
    <t>REPLACEMENT OF L11_GHVHW_067E_WINZE, APPROVED ON MARCH 7, 2024; 2ND SHIFT.STOPPED ON MARCH 28, 2024. ALREADY REACHED RECOMMENDED STRIKELENGTH</t>
  </si>
  <si>
    <t>L09_DPVE_082E_WINZE STOPE PREP</t>
  </si>
  <si>
    <t>L10_GHVFW_056E_WINZE</t>
  </si>
  <si>
    <t>REPLACEMENT OF L12_JV_062E_STOPE PREP. APPROVED ON JANUARY 17, 2024.STOPPED BREAKING ON 19-MARCH-2024, CONVERTED TO PULL-OUT CLEANING ON THE SAME DAY.STOPPED ON APRIL 02, 2024. ALREADY MINED OUT WITH 104% PULL OUT.</t>
  </si>
  <si>
    <t>REPLACEMENT OF L10_DPVE_098E_RAISE. APPROVED ON OCTOBER 19, 2023.CHANGED HEADING NAME FROM L10_DPVE_100E_RAISE TO L10_DPVE_101E_RAISE TO AVOID POSSIBLE MISCHARGING OF MINE CARS, EFFECTIVE ON OCTOBER 24, 2023.TEMPORARY STOPPED ON NOVEMBER 14, 2023, TO PRIORITIZE HORIZONTAL DRIFT, FOR WIREFRAME. STOPPED ON APRIL 02, 2024. FOR RETENTION PURPOSES. STOP MEMO RECEIVED FROM MINE OPS.</t>
  </si>
  <si>
    <t>ADDITIONAL HORIZONTAL DRIVE. APPROVED ON JAN 16, 2024.TEMPORARILY STOPPED ON MARCH 04, 2024. TO PRIORITIZE RAISE PREP.RESUMED ON MARCH 8, 2024.STOPPED ON APRIL 02, 2024. PINCHED OUT VEIN.</t>
  </si>
  <si>
    <t>REPLACEMENT OF L04_CTV_021W_ROBBING. APPROVED ON MARCH 18, 2024.STOPPED ON APRIL 02, 2024 DUE TO PINCHED OUT VEIN.</t>
  </si>
  <si>
    <t>REPLACEMENT OF L09_DPVE_081E_WINZE. APPROVED ON JANUARY 29, 2024.TEMPORARY STOPPED ON APRIL 1, 2024 TO PRIORITIZE L09_DPVE_082E_WINZE STOPE PREP.</t>
  </si>
  <si>
    <t>REPLACEMENT OF L04_CTV_010W_WINZE STOPE. APPROVED ON FEBRUARY 21, 2024. TOPSLICE.STOPPED ON APRIL 02, 2024, WILL BE CONVERTED TO WINZE STOPE PREP.</t>
  </si>
  <si>
    <t>L04_CTV_011W_WINZE STOPE PREP</t>
  </si>
  <si>
    <t>L08_DPVE_034E_ROBBING</t>
  </si>
  <si>
    <t>L11_JV_060E_STOPE</t>
  </si>
  <si>
    <t xml:space="preserve">REPLACEMENT OF L11_JV_060E_RAISE. APPROVED ON MARCH 12,2024.STOPPED ON APRIL 04, 2024. RECOMMENDED FOR STOPE BREAKING
</t>
  </si>
  <si>
    <t>REPLACEMENT OF L11_DPVE_025E_DW. APPROVED ON OCTOBER 17, 2023.TEMPORARILY STOPPED ON NOVEMBER 11, 2023 FOR SAFETY EVALUATION.RESUMED ON NOVEMBER 13, 2023, AFTER FURTHER SAFETY EVALUATION. STOPPED ON APRIL 04, 2024. ALREADY REACHED RECOMMENDED SLOPE DISTANCE (LEVEL 12 ELEVATION).</t>
  </si>
  <si>
    <t>L10_GHV_002E_ROBBING</t>
  </si>
  <si>
    <t>REPLACEMENT OF L10_NONE_087E_XCN SHEPERD BB1. APPROVED ON JAN 30, 2024.STOPPED ON FEBRUARY 19, 2024; 2ND SHIFT DUE TO CONSECUTIVELY LOW QA/QC RESULTS BOTH ON CUT AND BULK SAMPLES.RESUMED ON MARCH 21, 2024.STOPPED ON APRIL 5, 2024, 3RD SHIFT. CONSECUTIVE LOW ASSAY GRADES ON CUT SAMPLES.</t>
  </si>
  <si>
    <t xml:space="preserve"> ALEÑAR 2</t>
  </si>
  <si>
    <t>REPLACEMENT OF L10_DPVE_094E_ROBBING. APPROVED ON MARCH 08, 2024.STOPPED ON APRIL 5, 2024, 3RD SHIFT. PINCHED OUT VEIN AFTER 18 METERS.</t>
  </si>
  <si>
    <t>REPLACEMENT OF L12_JV_055E_DE. APPROVED ON AUGUST 11, 2023.TEMPORARY STOPPED ON OCT 7, 2023.RESUMED ON OCTOBER 25, 2023.TEMPORARY STOPPED ON NOVEMBER 30, 2023 TO PRIORITIZE L12_JV_062E_STOPE PREP.RESUMED ON JAN 31, 2024 AT THE SAME TIME RENAME FROM L12_JV_056E_DE TO L12_JV_070E_DE.STOPPED ON APRIL 5, 2024 DUE TO PINCHED OUT VEIN.</t>
  </si>
  <si>
    <t>REPLACEMENT OF L11_JV_071E_DE. APPROVED ON MARCH 02, 2024.STOPPED ON APRIL 08, 2024. TO PRIORITIZE STOPE PREP</t>
  </si>
  <si>
    <t>L12_DPVE_039E_STOPE PREP</t>
  </si>
  <si>
    <t>L12_DPVE_040E_STOPE PREP</t>
  </si>
  <si>
    <t>REPLACEMENT OF L11_NONE_038E_XCN APPROVED ON SEPTEMBER 18, 2023.ALREADY DONE STOPE PREPARATION ON OCTOBER 5, 2023. BUT TEMPORARRY STOP ON BREAKING. TO BE TRANSFERRED TO OTHER WORKPLACE.RESUMED AND CONVERT TO STOPE BREAKING AS REPLACEMENT OF L11_GHVHW_067E_WINZE AS WELL AS CHANGE TL FROM BAÑEZ 8 TO MAPAYO 1. APPROVED ON NOVEMBER 14, 2023. RESUMED AND CONVERT TO STOPE BREAKING AS REPLACEMENT OF L11_GHVHW_067E_WINZE AS WELL AS CHANGE TL FROM BAÑEZ 8 TO MAPAYO 1. APPROVED ON NOVEMBER 14, 2023.STOPPED BREAKING ON MARCH 18, 2024 ALREADY DONE STOPE TRAVERSE, CONVERT TO STOPE PULL-OUT.STOPPED ON APRIL 08, 2024. DECLARED MINED OUT WITH 97% PULLOUT. REMAINING 84 MC UNSAFE FOR PULLOUT AS PER LEVEL ENGINEER.</t>
  </si>
  <si>
    <t>L11_DPVE_019E_STOPE PREP</t>
  </si>
  <si>
    <t>REPLACEMENT OF L11_JVHW_032E_DE. APPROVED ON MARCH 13,2024.TEMPORARY STOPPED ON 23-MARCH-2024, TO PRIORITIZE L11_GHV_069E_ROBBING.RESUMED ON APRIL 04, 2024. AT THE SAME TIME CHANGE GROUP FROM PARAN 1 TO BAÑEZ 9. MEMO RECEIVED FROM NPRI. TEMPORARY STOPPED ON APRIL 08, 2024. TO PRIORITIZE STOPE PREP</t>
  </si>
  <si>
    <t>PROPOSED L08-L10 INTERNAL SHAFT,APPROVED ON JAN 30, 2017 AS PER JKDC. Transfer from HUMIDING 3 TO DUHIG 3 ON MARCH 6,2020. stopped on march 27 2020.RESUMED ON AUGUST 29, 2023 AS WELL AS TRANSFERRED FROM DUHIG, P5 TO CAPPUYO 1.TEMP STOPPED ON SEPT 30, 2023 ALREADY DONE EXCAVATION ON SHAFT BOTTOM.RESUMED ON DEC 26, 2023. EXCAVATE REMAINING PILLAR TO BREAKTHROUGH TO ITS SHAFT EXTENSION.STOPPED ON MARCH 06, 2024.</t>
  </si>
  <si>
    <t>L08_JVSPLIT_036E_ROBBING</t>
  </si>
  <si>
    <t>L11_DPVE_021E_STOPE PREP</t>
  </si>
  <si>
    <t>L12_JV_060E_STOPE PREP</t>
  </si>
  <si>
    <t>REPLACEMENT OF L11_DPVE_027E_RAISE, APPROVED ON JUNE 6, 2023.TEMPORARY STOPPED ON JUNE 26, 2023 TO PRIORITIZED DRIFT.CONVERT TO STOPE BREAKING. CHANGE TEAM LEADER FROM REBOTE 1 TO BAÑEZ 1. APPROVED ON OCTOBER 19, 2023.TEMP STOPPED ON NOV 17, 2023 DUE TO LACK OF MANPOWER. RESUMED ON JAN 9, 2024 WITH CHECKLIST.STOPPED BREAKING ON MARCH 18, 2024 ALREADY DONE STOPE TRAVERSE, CONVERT TO STOPE PULL-OUT.STOPPED ON APRIL 10, 2024. CONSECUTIVE LOW ASSAY GRADE ON SAMPLES. ALREADY AT 99% PULLOUT WITH 27 MINECARS REMAINING.</t>
  </si>
  <si>
    <t>L08_DPVE_034E_DW_ISL</t>
  </si>
  <si>
    <t>L12_GHVFW_058E_STOPE PREP</t>
  </si>
  <si>
    <t xml:space="preserve">ADDITIONAL SOURCE OF GOOD ORE, APPROVED ON FEBRUARY 20, 2024. MANPOWER FROM L05_GHVSPLIT_030W_STOPE.STOPPED ON APRIL 09, 2024. ALREADY BREAKTHROUGH.
</t>
  </si>
  <si>
    <t>L11_DPVE_016E_RAISE</t>
  </si>
  <si>
    <t>L11_GHVSPLIT_072E_RAISE</t>
  </si>
  <si>
    <t>L11_DPVE_022E_STOPE</t>
  </si>
  <si>
    <t>REPLACEMENT OF L11_DPVE_022E_RAISE. APPROVED ON MARCH 01, 2024.TEMPORARY STOPPED ON MARCH 6, 2024 2ND SHIFT DUE TO SAFETY CONCERNS AS PER SAFETY MEMO.RESUMED ON MARCH 7, 2024 3RD SHIFT.STOPPED ON APRIL 09, 2024. ALREADY FINISHED STOPE PREP. RECOMMENDED FOR BREAKING</t>
  </si>
  <si>
    <t>L10_DPVE_102E_DW</t>
  </si>
  <si>
    <t>L11_JVHW_047E_STOPE PREP</t>
  </si>
  <si>
    <t>L12_NONE_035E_SHAFT STATION</t>
  </si>
  <si>
    <t>REPLACEMENT OF L10_NONE_102E_XCN. APPROVED ON MARCH 13,2024 3RD SHIFT.STOPPED ON APRIL 10, 2024. VEIN PINCHED OUT AFTER INTERCEPTING A FAULT.</t>
  </si>
  <si>
    <t>L12_GHVHW_074E_DE</t>
  </si>
  <si>
    <t xml:space="preserve">REPLACEMENT OF L09_DPVE_044E_WINZE FOR PROPOSED WINZE STOPE. APPROVED ON MARCH 16, 2024. PROJECTED STRIKE LENGTH OF 22m ONLY.STOPPED ON APRIL 12, 2024 DUE TO CONSECUTIVELY LOW QA/QC RESULTS BOTH ON CUT AND BULK SAMPLES
</t>
  </si>
  <si>
    <t>L11_DPVE_050E_WINZE</t>
  </si>
  <si>
    <t>REPLACEMENT OF L11_DPVE_024E_DW. APPROVED ON MARCH 01, 2024.STOPPED ON APRIL 13, 2024. ALREADY REACHED RECOMMENDED STRIKELENGTH. TO BE CONVERTED TO ON-VEIN DRIVE.</t>
  </si>
  <si>
    <t>L12_GHVSPLIT_049E_STOPE PREP</t>
  </si>
  <si>
    <t>L11_GHVFW_030E_STOPE PREP</t>
  </si>
  <si>
    <t>L12_GHVHW_059E_STOPE PREP</t>
  </si>
  <si>
    <t>L11_GHV_038E_DW</t>
  </si>
  <si>
    <t>REPLACEMENT OF L10_GHVFW_056E_ROBBING. SILL PILLAR. APPROVED ON APRIL 04,2024.STOPPED ON APRIL 15,2024. CONSECUTIVE LOW ASSAY GRADES ON BOTH GRAB AND BULK SAMPLES WITH 1.16 GPT MTD AND 66 MINE CARS TRAMMED.</t>
  </si>
  <si>
    <t>L11_GHVSPLIT_070E_RAISE</t>
  </si>
  <si>
    <t>L10_DPVE_085E_STOPE</t>
  </si>
  <si>
    <t>REPLACEMENT OF L10_GHVHW_061E_ROBBING. APPROVED ON FEBRUARY 26, 2024.STOPPED ON APRIL 16,2024. FINISHED HEADING</t>
  </si>
  <si>
    <t xml:space="preserve">REPLACEMENT OF L11_DPVE_052E_DE. APPROVED ON APRIL 10, 2023.STOPPED ON MAY 19, 2023. DUE TO ABSENTEEISM.TEMPORARILY STOPPED ON MAY 19, 2023 DUE TO ABSENTEEISM OF MEN RESULTING TO ABANDONMENT OF WORKPLACE THUS RETENTION WILL BE FORFEITED. THIS GROUP WILL BE DISTRIBUTED TO L11_DPVE_044E_STOPEAND L11_DPVE_049E_STOPE PREP. TAKE NOTE THAT IF THIS GROUP WILL RESUME AND STILL BE WORKING ON THIS RAISE, RETENTION WILL BE GIVEN.STOPPED ON APRIL 8, 2024. ALREADY FINISHED HEADING. LATE MEMO FROM MINE OPS.
</t>
  </si>
  <si>
    <t>REPLACEMENT OF L04_CTV_010W_ROBBING APPROVED ON APRIL 02, 2024.TEMPORARY STOPPED ON APRIL 15, 2024. MANPOWER WILL BE MERGED AND LOWERED TO LEVEL 11 &amp; 12.</t>
  </si>
  <si>
    <t>SPECIAL PROJECT FOR TIGERWAY ACCESS, STARTED ON MARCH 26, 2024.STOPPED ON APRIL 13, 2024. ALREADY MADE A BREAKTHROUGH</t>
  </si>
  <si>
    <t>L11_DPVE_043E_STOPE</t>
  </si>
  <si>
    <t>REPLACEMENT OF L11_DPVE_043E_RAISE. APPROVED ON MARCH 12,2024.STOPPED ON APRIL 17, 2024. RECOMMENDED FOR STOPE BREAKING</t>
  </si>
  <si>
    <t>L10_NONE_003E_XCS</t>
  </si>
  <si>
    <t>L11_GHVHW_068E_WINZE</t>
  </si>
  <si>
    <t>L03_JVSPLIT_008W_ROBBING</t>
  </si>
  <si>
    <t>L08_GHVFW_033W_ROBBING</t>
  </si>
  <si>
    <t>REPLACEMENT OF L11_NONE_038E_XCS. APPROVED ON APRIL 02, 2024.STOPPED ON APRIL 19, 2024. CONSECUTIVE LOW ASSAY GRADE ON SAMPLES</t>
  </si>
  <si>
    <t>L11_DPVE_020E_DW</t>
  </si>
  <si>
    <t>REPLACEMENT OF L11_GHVFW_030E_DW, APPROVED ON 17-MARCH-2024.TEMPORARY STOPPED ON MARCH 22, 2024. ABSENTEEISM OF MEN RESULTING TO ABANDONMENT OF WORKPLACE. MEMO FROM SCS.RESUMED ON 26-MARCH-2024. CHANGE TEAM LEADER FROM LERIO 1 TO PANCIT, NOEL. TRANSFERRED FROM PANCIT, NOEL TO LERIO 2. ABSENTEEISM OF MANPOWER FROM ORIGINAL GROUP. APPROVED APRIL 04, 2024. MEMO RECEIVED FROM NPRI.STOPPED ON APRIL 19, 2024. ALREADY REACHED RECOMMENDED STRIKELENGTH. TO BE CONVERTED TO ON-VEIN DRIVE.</t>
  </si>
  <si>
    <t>REPLACEMENT OF L10_JV_001E_DE. APPROVED ON MARCH 13 2024 3RD SHIFT.STOPPPED ON APRIL 18, 2024 2ND SHIFT. THE VEIN PINCHED.</t>
  </si>
  <si>
    <t>L10_GHV_002W_WINZE</t>
  </si>
  <si>
    <t>NITRO AV 1</t>
  </si>
  <si>
    <t>NITRO AF 1</t>
  </si>
  <si>
    <t>NITRO AA 1</t>
  </si>
  <si>
    <t>NITRO AT 1</t>
  </si>
  <si>
    <t>NITRO AX</t>
  </si>
  <si>
    <t>NITRO BD 1</t>
  </si>
  <si>
    <t>NITRO BC 1</t>
  </si>
  <si>
    <t>NITRO BC 2</t>
  </si>
  <si>
    <t>NITRO AC 1</t>
  </si>
  <si>
    <t>NITRO BE 1</t>
  </si>
  <si>
    <t>NITRO BB</t>
  </si>
  <si>
    <t>NITRO BB 2</t>
  </si>
  <si>
    <t>NITRO BB 1</t>
  </si>
  <si>
    <t>L10_DPVE_070E_ROBBING</t>
  </si>
  <si>
    <t>DPVB</t>
  </si>
  <si>
    <t>L10_DPVB_070E_ROBBING</t>
  </si>
  <si>
    <t>REPLACEMENT OF L10_JV_052E_DE_ISL. APPROVED ON FEB. 26,2024. TOP SLICE.STOPPED ON APRIL 20,2024. MINED OUT.</t>
  </si>
  <si>
    <t xml:space="preserve">REPLACEMENT OF L11_DPVE_032E_STOPE. APPROVED ON JANUARY 16, 2024.STOPPED ON FEBRUARY 13, 2024. CONVERTED TO STOPE BREAKING.REPLACEMENT OF L11_DPVE_036E_STOPE PREP.STOPPED BREAKING ON APRIL 20, 2024. CONSECUTIVE LOW ASSAY GRADE ON CUT SAMPLES. TO BE CONVERTED TO PULLOUT CLEANING AFTER STOPE TRAVERSE
</t>
  </si>
  <si>
    <t>L11_GHVHW_073E_DE</t>
  </si>
  <si>
    <t>L11_JVHW_031E_DE</t>
  </si>
  <si>
    <t>L11_JVHW_023E_RAISE</t>
  </si>
  <si>
    <t>REPLACEMENT OF L09_DPVE_064E_ROBBING. APPROVED ON FEB.27, 2024.STOPPED ON APRIL 22, 2024, DUE TO LOW GRADE. NOT RECOMMENDED FOR ISL.</t>
  </si>
  <si>
    <t>REPLACEMENT OF L10_DPVE_090E_ROBBING. APPROVED ON MARCH 11,2024.STOPPED ON APRIL 23,2024 DUE TO CONSECUTIVE LOW ASSAY GRADES.</t>
  </si>
  <si>
    <t>REPLACEMENT OF L09_DPVE_072E_DW, APPROVED ON NOVEMBER 20, 2023.STOPPED ON JANUARY 10, 2024, ALREADY REACHED THE RECOMMENDED STRIKE LENGTH TO DRIVE.RESUMED ON FEBRUARY 6, 2024. TEAM CHANGED FROM DELOS REYES V2 TO SHEPHERD AA 1.TEMPORARILY STOPPED ON FEBRUARY 9, 2024 TO PRIORITIZE L09_DPVE_072E_ROBBING.RESUMED ON FEBRUARY 12, 2024; 2ND SHIFT.TEMPORARILY STOPPED ON APRIL 23, 2024 TO PRIORITIZE L09_DPVE_062E_DW.</t>
  </si>
  <si>
    <t xml:space="preserve">REPLACEMENT OF L11_DPVE_032E_STOPE. APPROVED ON JANUARY 16, 2024.STOPPED ON FEBRUARY 13, 2024. CONVERTED TO STOPE BREAKING.REPLACEMENT OF L11_DPVE_036E_STOPE PREP.STOPPED BREAKING ON APRIL 20, 2024. CONSECUTIVE LOW ASSAY GRADE ON CUT SAMPLES.DONE TRAVERSE AT THE SAME TIME CONVERTED TO PULLOUT CLEANING. APPROVED ON APRIL 22, 2024.STOPPED ON APRIL 23, 2024. ALREADY MINED OUT.
</t>
  </si>
  <si>
    <t>L11_GHV_053E_STOPE</t>
  </si>
  <si>
    <t>APPROVED ON MARCH 22, 2024.STOPPED ON APRIL 23, 2024. RECOMMENDED FOR STOPE BREAKING.</t>
  </si>
  <si>
    <t>L12_DPVE_038E_STOPE</t>
  </si>
  <si>
    <t>REPLACEMENT OF L12_JV_062E_STOPE. APPROVED ON APRIL 04, 2024, 2ND SHIFT.STOPPED ON APRIL 23, 2024. ALREADY DONE STOPE PREP. RECOMMENDED FOR STOPE BREAKING</t>
  </si>
  <si>
    <t>L11_GHVHW_066E_DW</t>
  </si>
  <si>
    <t>L11_JVHW_040E_RAISE</t>
  </si>
  <si>
    <t>L09_DPVE_062E_DW</t>
  </si>
  <si>
    <t xml:space="preserve">REPLACEMENT OF L08_GHVHW_009W_ROBBING. APPROVED ON MARCH 21, 2024. SILL.STOPPED ON APRIL 25, 2024. ALREADY MINED OUT.
</t>
  </si>
  <si>
    <t>L08_JVFW_049E_ROBBING</t>
  </si>
  <si>
    <t>L11_GHVFW_030E_STOPE</t>
  </si>
  <si>
    <t>ADDTIONAL WORKING PLACE. APPROVED ON APRIL 15,2024.STOPPED ON APRIL 25,2024. FINISHED HEADING. TO BE CONVERTED TO BREAKING.</t>
  </si>
  <si>
    <t>REPLACEMENT OF L10_JV_068E_DE. APPROVED ON MARCH 26, 2024.STOPPED ON APRIL 25,2024 2ND SHIFT. PINCHED VEIN.</t>
  </si>
  <si>
    <t>REPLACEMENT OF L11_DPVE_031E_STOPE. APPROVED ON APRIL 10, 2024.STOPPED ON APRIL 25,2024. PINCHED VEIN.</t>
  </si>
  <si>
    <t>L12_JVHW_067E_DE</t>
  </si>
  <si>
    <t>L12_JVHW_064E_DW</t>
  </si>
  <si>
    <t>L10_DPVE_088E_WINZE</t>
  </si>
  <si>
    <t>L12_GHV_070E_STOPE PREP</t>
  </si>
  <si>
    <t>SPECIAL PROJECT FOR ELECTRICAL CHAMBER. STARTED ON DEC 22, 2023.TRANSFER FROM DUHIG, R1 TO GONZALEZ 1. TO CONTINUE GROUND SUPPORT INSTALLATION.MANPOWER TRANSFERED FROM GONZALES 1 (MANPOWER TRANSFERED TO L12 EXCAVATION OF MAGAZINE) TO PARAN 2 (ADDITIONAL TEAM FOR PARAN). EFFECTIVE ON MARCH 16, 2024.STOPPED ON APRIL 28,2024.</t>
  </si>
  <si>
    <t>REPLACEMENT OF L08_JVSPLIT_074E_ROBBING. APPROVED ON MARCH 21, 2024.STOPPED ON APRIL 29, 2024. ALREADY REACHED THE RECOMMENDED SLOPE DISTANCE.</t>
  </si>
  <si>
    <t>L12_GHVHW_059E_STOPE</t>
  </si>
  <si>
    <t>REPLACEMENT OF L12_GHVHW_068E_STOPE, APPROVED ON APRIL 16, 2024, 1ST SHIFT.STOPPED ON APRIL 29,2024 2ND SHIFT. TO BE CONVERTED TO BREAKING.</t>
  </si>
  <si>
    <t xml:space="preserve">ADDITIONAL SOURCE OF GOOD ORE. MANPOWER TRANSFERED FROM LEVEL 10, APPROVED ON NOVEMBER 30, 2023.TEMPORARY STOPPED ON DECEMBER 6, 2023 FOR SAFETY EVALUATION.RESUMED ON DEC 9, 2023.TEMP STOPPED ON DEC 12, 2023 TO ADDRESS SAFETY CONCERN, INSTALLATION OF GROUNDSUPPORT.RESUMED ON JAN 19. 2024 AT THE SAME TIME TRANSFERRED FROM BAÑEZ 2 TO REBOTE 1.TEMPORARILY STOPPED ON MARCH 01, 2024. TO PRIORITIZE L11_JV_075E_STOPE PREP.RESUMED ON MARCH 8, 2024. TEAM FROM L11_JVSPLIT_070E_DW.STOPPED ON APRIL 29,2024.  TO BE CONVERTED TO CROSSCUT.
</t>
  </si>
  <si>
    <t>REPLACEMENT OF L10_DPVE_103E_DE. APPROVED ON APRIL 10,2024.STOPPED ON APRIL 29, 2024. VEIN PINCHED OUT AND CONSECUTIVE LOW ASSAY GRADE.</t>
  </si>
  <si>
    <t>REPLACEMENT OF L09_JV_036E_RAISE. APPROVED ON JAN. 23, 2024.TEMPORARILY STOPPED ON MARCH 14, 2024 DUE TO AN EXISTING ACTIVE WORKING PLACE BELOW, L10_DPVE_032E_ROBBING (SILL PILLAR).RESUMED ON APRIL 20, 2024.ALREADY DONE PILLAR ROBBING ON APRIL 29, 2024.</t>
  </si>
  <si>
    <t>L03_JVSPLIT_011W_ROBBING</t>
  </si>
  <si>
    <t>L11_NONE_071E_XCN</t>
  </si>
  <si>
    <t>REPLACEMENT OF L10_DPVE_010E_WINZE. APPROVED ON APRIL 20,2024 2ND SHIFT.TEMPORARY STOPPED ON APRIL 26,2024.</t>
  </si>
  <si>
    <t>L11_JVHW_047E_STOPE</t>
  </si>
  <si>
    <t>REPLACEMENT OF L11_JVSPLIT_075E_RAISE. APPROVED ON APRIL 11, 2024.STOPPED ON APRIL 29,2024. CONVERTED TO BREAKING.</t>
  </si>
  <si>
    <t>APPROVED ON APRIL 09, 2024. MANPOWER FROM LEVEL 10.CHANGE TEAM LEADER FROM SHEPHERD BB 1 TO BAÑEZ 9. APPROVED ON APRIL 09, 2024.STOPPED ON APRIL 29,2024. CONVERTED TO BREAKING.</t>
  </si>
  <si>
    <t>L11_DPVE_019E_STOPE</t>
  </si>
  <si>
    <t>REPLACEMENT OF L11_DPVE_015E_DW. APPROVED ON APRIL 08, 2024APPROVED ON APRIL 09, 2024. MANPOWER FROM LEVEL 10.CHANGE TEAM LEADER FROM BAÑEZ 9 TO SHEPHERD BB 1. APPROVED ON APRIL 09, 2024.STOPPED ON APRIL 29,2024. CONVERTED TO BREAKING.</t>
  </si>
  <si>
    <t>L09_NONE_022W_XCS</t>
  </si>
  <si>
    <t>L10_NONE_019W_XCN</t>
  </si>
  <si>
    <t>REPLACEMENT OF L08_DPVE_034E_WINZE. APPROVED ON APRIL 4, 2024.CHANGED HEADING FROM L08_DPVE_034E_ROBBING DUE TO L08_DPVE_034E_DW_ISL. DUE TO ITS VEIN AND WORKPLACE DIMENSION. CURRENTLY CONDUCTING ISL AT 12M ELEVATION.STOPPED ON MAY 02, 2024. DUE TO PINCHED OUT VEIN.</t>
  </si>
  <si>
    <t>L08_DPVE_032E_ROBBING</t>
  </si>
  <si>
    <t>L09_NONE_087E_XCN</t>
  </si>
  <si>
    <t>L12_GHVHW_066E_STOPE PREP</t>
  </si>
  <si>
    <t>L12_GHVHW_062E_STOPE PREP</t>
  </si>
  <si>
    <t>REPLACEMENT OF L08_DPVE_072E_WINZE STOPE. TOPSLICE. APPROVED ON MARCH 23, 2024.STOPPED ON MAY 02, 2024. ALREADY MINED OUT. MEMO TO FOLLOWED.</t>
  </si>
  <si>
    <t>L12_DPVE_038E_RAISE</t>
  </si>
  <si>
    <t>L08_GHV_018E_WINZE</t>
  </si>
  <si>
    <t>L09_JV_070E_WINZE</t>
  </si>
  <si>
    <t>REPLACEMENT OF L09_DPVE_036E_ROBBING. APPROVED ON MARCH 13, 2024. SILL PILLAR ROBBING.TEMPORARY STOPPED ON APRIL 20, 2024. TO PRIORITIZE TOPSLICE.RESUMED ON APRIL 29,2024 3RD SHIFT.STOPPED ON MAY 6, 2024. ALREADY FINISHED HEADING.</t>
  </si>
  <si>
    <t>REPLACEMENT OF L09_JVSPLIT_050E_WINZE STOPE PREP, EFFECTIVE ON MARCH 6, 2024.TEMPORARILY STOPPED ON APRIL 24, 2024 DUE TO THE LOW PERFORMANCE OF MANPOWER IN THE SAID HEADING.RESUMED ON APRIL 29, 2024 BY NITRO.STOPPED ON MAY 06, 2024. CONVERT TO PULL OUT CLEANING AFTER STOPE TRAVERSE.</t>
  </si>
  <si>
    <t>L09_JV_066E_ROBBING</t>
  </si>
  <si>
    <t>L09_DPVE_063E_ROBBING</t>
  </si>
  <si>
    <t>L10_JVFW_050E_ROBBING</t>
  </si>
  <si>
    <t>REPLACEMENT OF L09_DPVE_071E_DW TO FOLLOW HIGH GRADE VEIN PROJECTION FROM LEVEL 8, APPROVED ON APRIL 24, 2024.STOPPED ON MAY 7, 2024 DUE TO PINCHED OUT VEIN.</t>
  </si>
  <si>
    <t>REPLACEMENT OF L10_GHV_002E_ROBBING. TO REACH ADDITIONAL SOURCE OF ORE. APPROVED ON APRIL 18,2024.STOPPED ON MAY 8, 2024; 3RD SHIFT. ALREADY HIT THE TARGET VEIN.</t>
  </si>
  <si>
    <t>L11_DPVE_015E_RAISE</t>
  </si>
  <si>
    <t>REPLACEMENT OF L12_GHVFW_057E_RAISE. APPROVED ON APRIL 11, 2024.STOPPED ON MAY 08, 2024. SUBLEVEL ALREADY MADE A BREAKTHROUGH. RECOMMENDED FOR STOPE BREAKING</t>
  </si>
  <si>
    <t>L03_JV_028W_ROBBING</t>
  </si>
  <si>
    <t>L08_GHVHW_004W_DW_ISL</t>
  </si>
  <si>
    <t>REPLACEMENT OF L10_JVFW_051E_ROBBING.SILL PILLAR. APPROVED APRIL 20,2024 2ND SHIFT. STOPPED ON MAY 7, 2024. ALREADY FINISHED HEADING</t>
  </si>
  <si>
    <t>REPLACEMENT OF L04_CTV_016W_DW. STARTED ON 2/16/2020. stopped on March 21 2020 due to consecutive low assay grade on cut samples/ bulk sample</t>
  </si>
  <si>
    <t>L12_GHVFW_058E_STOPE</t>
  </si>
  <si>
    <t>REPLACEMENT OF L08_GHV_001E_ROBBING. APPROVED ON MARCH 13, 2024.STOPPED ON MAY 8, 2024, 3RD SHIFT. ALREADY REACHED THE RECOMMENDED STRIKE LENTH.</t>
  </si>
  <si>
    <t>L10_DPVE_001E_DW</t>
  </si>
  <si>
    <t>NITRO BC</t>
  </si>
  <si>
    <t>REPLACEMENT OF L11_DPVE_017E_RAISE. APPROVED ON APRIL 02, 2024.RENAMED FROM L11_DPVE_020E_RAISE TO L11_DPVE_027E_RAISE. TO AVOID MISCHARGING WITH L11_JVHW_025E_DW. APPROVED APRIL 03, 2024.STOPPED ON MAY 10, 2024. ALREADY REACHED RECOMMENDED SLOPE DISTANCE (NEAR EXCLUSION ZONE OF L10 EXPLOSIVE MAGAZINE).</t>
  </si>
  <si>
    <t>REPLACEMENT OF L03_CTV_021W_WINZE. APPROVED ON MARCH 01, 2024.STOPPED ON MAY 10, 2024. ALREADY REACHED THE RECOMMENDED SLOPE DISTANCE.</t>
  </si>
  <si>
    <t>L11_NONE_051E_XCN</t>
  </si>
  <si>
    <t>REPLACEMENT OF L11_DPVE_015E_DW, APPROVED ON 25-MARCH-2024.STOPPED ON MAY 10, 2024. ALREADY FINISHED HEADING.</t>
  </si>
  <si>
    <t>L03_JV_015W_DE_ISL</t>
  </si>
  <si>
    <t>L11_DPVE_027E_STOPE PREP</t>
  </si>
  <si>
    <t xml:space="preserve">ADDITIONAL SOURCE OF ORE. APPROVED ON APRIL 24, 2024.TEMPORARRY STOPPED ON APRIL 26, 2024, MANPOWER TO PRIORITIZE L11_GHVHW_068E_WINZE.RESUMED ON APRIL 29,2024 2ND SHIFT.STOPPED ON MAY 11, 2024. HEADING HAS APPROXIMATELY 3M BALANCE TO OLD MAINLINE. NOT FOR BREAKTHROUGH DUE TO EXISTING FILL WINZE ON SAID TARGET MAINLINE.
</t>
  </si>
  <si>
    <t xml:space="preserve">REPLACEMENT OF L11_GHVHW_058E_DE, APPROVED ON 18-MARCH-2024.TRANSFER TEAM LEADER FROM PANCIT, NOEL 3 TO BAÑEZ 9 ON MARCH 21, 2024.CHANGE TEAM LEADER FROM BAÑEZ 9 TO NITRO AC. LACK OF MANPOWER FROM ORIGINAL GROUP. APPROVED ON APRIL 02, 2024.STOPPED ON MAY 13, 2024. ALREADY REACHED RECOMMENDED SLOPE DISTANCE. TO BE CONVERTED TO STOPE PREP.
</t>
  </si>
  <si>
    <t>L11_GHVSPLIT_070E_STOPE PREP</t>
  </si>
  <si>
    <t>REPLACEMENT OF L09_DPVE_081E_DE_ISL. APPROVED ON APRIL 1, 2024.STOPPED ON MAY 13, 2024. TO BE CONVERTED TO STOPE BREAKING</t>
  </si>
  <si>
    <t>REPLACEMENT OF L09_JVSPLIT_073E_WINZE STOPE PREP, APPROVED ON DECEMBER 11, 2023; 3RD SHIFT.STOPPED BREAKING ON MARCH 21, 2024. ALREADY TRAVERSED, CONVERTED TO PULL OUT.STOPPED ON MAY 13, 2024. ALREADY MINED OUT.</t>
  </si>
  <si>
    <t>L09_JVSPLIT_075E_ROBBING</t>
  </si>
  <si>
    <t>REPLACEMENT OF L09_DPVE_088E_DW_ISL APPROVED ON OCTOBER 3, 2023. TOPSLICE. TEMPORARILY STOPPED ON NOVEMBER 11, 2023 FOR SAFETY EVALUATION.RESUMED ON NOVEMBER 15, 2023 IN LINE WITH MEMO ENG-23-11-037.TEMPORARILY STOPPED ON NOVEMBER 16, 2023 TO PRIORITIZE L09_DPVE_087E_RAISE.RESUMED ON DECEMBER 09, 2023 AS REPLACEMENT OF L09_DPVE_087E_RAISE AS WELL AS RENAMED FROM L09_DPVE_087E_ROBBING TO L09_DPVE_089E_ROBBING.STOPPED ON MAY 13, 2024, ALREADY FINISHED HEADING</t>
  </si>
  <si>
    <t>REPLACEMENT OF L09_GHVFW_031W_ROBBING, APPROVED ON FEBRUARY 15, 2024 WITH PROJECTED SLOPE DISTANCE OF 25 METERS.STOPPED ON MAY 10, 2024 DUE TO LOW ASSAY GRADES ON 3 CONSECUTIVE FLOORS.</t>
  </si>
  <si>
    <t>L09_GHVFW_032W_DW_ISL</t>
  </si>
  <si>
    <t>L09_GHV_054E_WINZE</t>
  </si>
  <si>
    <t>REPLACEMENT OF L09_JVSPLIT_050E_WINZE STOPE PREP, EFFECTIVE ON MARCH 6, 2024.TEMPORARILY STOPPED ON APRIL 24, 2024 DUE TO THE LOW PERFORMANCE OF MANPOWER IN THE SAID HEADING.RESUMED ON APRIL 29, 2024 BY NITRO.STOPPED ON MAY 06, 2024. CONVERT TO PULL OUT CLEANING AFTER STOPE TRAVERSE.STOPPED ON MAY 11, 2024 DUE TO CONSECUTIVELY LOW GRADE ON BOTH CHUTE AND BULK SAMPLES.</t>
  </si>
  <si>
    <t>L03_GHV_024W_ROBBING</t>
  </si>
  <si>
    <t>L11_GHVHW_066E_RAISE</t>
  </si>
  <si>
    <t>L11_GHVHW_069E_RAISE</t>
  </si>
  <si>
    <t>L11_NONE_014E_XCN</t>
  </si>
  <si>
    <t>ADDITIONAL SOURCE OF GOOD ORE. MANPOWER FROM LEVEL 04. APPROVED ON APRIL 18, 2024.STOPPED ON MAY 10, 2024. ALREADY MADE A BREAKTHROUGH. TO BE CONVERTED TO BREAKING.</t>
  </si>
  <si>
    <t>L11_GHVSPLIT_037E_DE</t>
  </si>
  <si>
    <t>L11_DPVE_018E_DE</t>
  </si>
  <si>
    <t>L11_TIGERWAY_DSP26_WIDENING</t>
  </si>
  <si>
    <t>DSP26</t>
  </si>
  <si>
    <t>WIDENING</t>
  </si>
  <si>
    <t>VENT.SHAFT</t>
  </si>
  <si>
    <t>REPLACEMENT OF L12_GHVSPLIT_066E_RAISE. APPROVED ON APRIL 08, 2024.STOPPED ON MAY 13, 2024. ALREADY MADE A BREAKTHROUGH. TO BE CONVERTED TO BREAKING.</t>
  </si>
  <si>
    <t>REPLACEMENT OF L12_DPVE_040E_RAISE. APPROVED ON APRIL 08, 2024.STOPPED ON MAY 15, 2024. ALREADY MADE A BREAKTHROUGH. TO BE CONVERTED TO BREAKING</t>
  </si>
  <si>
    <t>L12_JV_060E_STOPE</t>
  </si>
  <si>
    <t>L12_DPVE_039E_STOPE</t>
  </si>
  <si>
    <t>APPROVED ON APRIL 09, 2024. MANPOWER FROM LEVEL 10.RENAMED FROM L11_DPVE_027E_STOPE PREP TO L11_DPVE_021E_STOPE PREP. TO AVOID MISCHARGING WITH L11_DPVE_027E_RAISE. APPROVED APRIL 09, 2024.CHANGE TEAM LEADER FROM OLIVEROS 4 TO NITRO BB. PRIORITIZATION OF WORKPLACE. GROUP WILL BE TRANSFERRED TO L12. APPROVED MAY 13, 2024.STOPPED ON MAY 15, 2024. TO BE CONVERTED TO BREAKING.</t>
  </si>
  <si>
    <t>L11_DPVE_021E_STOPE</t>
  </si>
  <si>
    <t>L09_DPVE_082E_WINZE STOPE</t>
  </si>
  <si>
    <t>REPLACEMENT OF L09_JVSPLIT_073E_WINZE STOPE, APPROVED ON MAY 13, 2024. TOPSLICE OF L09_JVSPLIT_075E MAINLINE.TEMPORARY STOPPED ON MAY 16, 2024. MANPOWER SURRENDERED. WORKPLACE FOR RE-EVALUATION.</t>
  </si>
  <si>
    <t>REPLACEMENT OF L12_GHVHW_068E_STOPE PREP. APPROVED ON FEB. 24, 2023.TEMPORARILY STOPPED ON MAY 19, 2023 DUE TO ABSENTEEISM OF MEN RESULTING TO ABANDONMENT OF WORKPLACE THUS RETENTION WILL BE FORFEITED. TAKE NOTE THAT IF THIS GROUP WILL RESUME AND STILL BE WORKING ON THIS STOPE, RETENTION WILL BE GIVEN.RESUMED ON JUNE 14, 2023. AT THE SAME TIME TRANSFERRED FROM DUHIG, P8 TO PANCIT, NOEL 5 DUE TO MAN POWER ISSUE, LOW PERFORMING. TEMPORARY STOPPED ON AUGUST 4, 2023. DUE TO MAN POWER ISSUE THUS RETENTION WILL BE FORFEITED.RESUME BREAKING ON AUGUST 15, 2023 AT THE SAME TIME CHANGE TEAM LEADER FROM PANCIT, NOEL 1 TO BABOR 2.STOPPED BREAKING ON 06-FEBRUARY-2024, 2NDSHIFT.CONVERTED TO PULLOUT CLEANING ON 07-FEBRUARY-2024.TEMPORARILY STOPPED ON APRIL 15, 2024 TO PRIORITIZE L12_GHVHW_059E_STOPE PREP.RESUMED ON MAY 09, 2024.STOPPED ON MAY 15, 2024. ALREADY MINED OUT WITH 102% PULLOUT.</t>
  </si>
  <si>
    <t>L08_JV_070E_ROBBING</t>
  </si>
  <si>
    <t xml:space="preserve">REPLACEMENT OF L11_NONE_025E_XCS. APPROVED ON JAN 31, 2024.TEMPORARY STOPPED ON MARCH 6, 2024 2ND SHIFT DUE TO SAFETY CONCERNS AS PER SAFETY MEMO.RESUMED ON MARCH 7, 2024 3RD SHIFT.TEMPORARILY STOPPED ON APRIL 22, 2024. GROUP WILL OPERATE L11_JVHW_023E_RAISE. MEMO FROM NPRI.RESUMED ON APRIL 29,2024 2ND SHIFT.TEMPORARILY STOPPED ON MAY 16, 2024. CONSECUTIVE LOW ASSAY GRADE ON BULK/CUT SAMPLES.
</t>
  </si>
  <si>
    <t xml:space="preserve">REPLACEMENT OF L08_GHVFW_032W_ROBBING. APPROVED ON APRIL 19, 2024. SILL PILLAR.STOPPED ON MAY 10,2024. PINCHED OUT VEIN
</t>
  </si>
  <si>
    <t>REPLACEMENT OF L08_JVSPLIT_076E_ROBBING. APPROVED ON FEBRUARY 27, 2024.STOPPED ON APRIL 03, 2024. ALREADY MADE A BREAKTHROUGH.RESUMED ON MAY 17, 2024. EXTENSION WILL BE MADE DUE TO NEW VEIN PROJECTION.</t>
  </si>
  <si>
    <t>REPLACEMENT OF L09_JV_059E_WINZE STOPE PREP, MARCH 7, 2024 EFFECTIVITY DATE.STOPPED BREAKING MAY 17,2024 2ND SHIFT. ALREADY TRAVERSED. CONVERTED TO PULL-OUT.</t>
  </si>
  <si>
    <t xml:space="preserve">REPLACEMENT OF L10_JVHW_049E_WINZE. TOP SLICE. APPROVED ON MARCH 1, 2024.STOPPED ON MAY 8, 2024. FINISHED HEADING.
</t>
  </si>
  <si>
    <t>L12_DPVE_040E_STOPE</t>
  </si>
  <si>
    <t>REPLACEMENT OF L12_DPVE_036E_DE, APPROVED ON APRIL 16, 2024, 1ST SHIFT.STOPPED ON MAY 17, 2024. ALREADY MADE A BREAKTHROUGH. RECOMMENDED FOR STOPE BREAKING</t>
  </si>
  <si>
    <t>L08_DPVE_060E_DW_ISL</t>
  </si>
  <si>
    <t>L10_DPVE_071E_DW_ISL</t>
  </si>
  <si>
    <t>REPLACEMENT OF L10_DPVE_070E_ROBBING, APPROVED ON MAY 8, 2024. SILL PILLAR ROBBING OF L10_JVFW_052E_STOPE.STOPPED ON MAY 18, 2024. ALREADY MINED OUT.</t>
  </si>
  <si>
    <t xml:space="preserve">L08_DPVE_060E_DW_ISL </t>
  </si>
  <si>
    <t>L08_DPVE_033E_DE_ISL</t>
  </si>
  <si>
    <t>REPLACEMENT OF L11_JV_060E_STOPE PREP. APPROVED ON APRIL 04, 2024.RECOMMENDATION TO CONDUCT IPR ON +6M AND +12M OF CURRENT FLOOR DUE TO CONSECUTIVE LOW ASSAY GRADE. APPROVED ON MAY 11, 2024.STOPPED BREAKING MAY 20, 2024. DUE TO LOW GRADE ON IPR AND PINCHED OUT VEIN AT CURRENT BACK. ALREADY TRAVERSED ON THE SAME DAY. CONVERTED TO PULLOUT CLEANING. APPROVED MAY 20, 2024.</t>
  </si>
  <si>
    <t>REPLACEMENT OF L11_GHV_053E_STOPE PREP. APPROVED ON APRIL 23, 2024.RECOMMENDATION TO CONDUCT IPR AT +8M OF CURRENT FLOOR DUE TO CONSECUTIVE LOW ASSAY GRADE. APPROVED ON MAY 20, 2024.</t>
  </si>
  <si>
    <t>NITRO BF 2</t>
  </si>
  <si>
    <t>NITRO BF 3</t>
  </si>
  <si>
    <t>NITRO BF 5</t>
  </si>
  <si>
    <t>REPLACEMENT OF L08_DPVE_034E_DW_ISL. APPROVED ON MAY 02, 2024.STOPPED ON MAY 17, 2024. ALREADY MINED OUT.</t>
  </si>
  <si>
    <t>REPLACEMENT OF L11_NONE_020E_XCS. APPROVED ON APRIL 19, 2024.STOPPED ON MAY 21, 2024. DUE TO SAFETY CONCERN. HAS 5M REMAINING BALANCE ON ADJACENT MAINLINE.</t>
  </si>
  <si>
    <t>REPLACEMENT OF L12_GHVSPLIT_046E_DE. APPROVED ON APRIL 15, 2024.STOPPED ON MAY 21, 2024. ALREADY MADE A BREAKTHROUGH. TO BE CONVERTED TO BREAKING.</t>
  </si>
  <si>
    <t>L10_DPVE_094E_WINZE</t>
  </si>
  <si>
    <t>NITRO AF</t>
  </si>
  <si>
    <t>L12_GHVSPLIT_049E_STOPE</t>
  </si>
  <si>
    <t>REPLACEMENT OF L10_JVSPLIT_068E_DE. APPROVED ON APRIL 26, 2024, 3RD SHIFT.STOPPED ON MAY 21, 2024. FOLLOWING A NARROW VEIN. ALREADY SUBJECTED TO WIREFRAME DESIGN W/ BELOW CUT-OFF GRADE WHICH RESULT TO STOPE BREAKING.</t>
  </si>
  <si>
    <t>ADDITIONAL STOPE ORE. APPROVED ON MAY 2, 2024, TO BE HANDLED BY SAME MANPOWER WITH L12_GHVHW_066E_STOPE PREP.TEMPORARILY STOPPED ON MAY 22, 2024. TO PRIORITIZE OTHER STOPE PREP</t>
  </si>
  <si>
    <t>L05_WIDENING_EPE</t>
  </si>
  <si>
    <t>STOPPED ON MAY 22,2024. PROJECT ALREADY DONE.</t>
  </si>
  <si>
    <t>REPLACEMENT OF L12_GHV_065E_STOPE PREP, APPROVED ON SEPTEMBER 29, 2023.TEMPORARY STOPPED ON NOVEMBER 15, 2023. DUE TO LACK OF MANPOWER.RESUMED ON NOVEMBER 17, 2023.TEMPORARY STOPPED ON JAN 24, 2024 DUE TO LOW PERFORMANCE OF THE GROUP.RESUMED ON FEBRUARY 13, 2024.STOPPED BREAKING ON MAY 22, 2024. ALREADY DONE TRAVERSE. CONVERTED TO PULLOUT CLEANING ON THE SAME DAY.</t>
  </si>
  <si>
    <t>REPLACEMENT OF L11_GHVFW_030E_STOPE PREP. APPROVED ON APRIL 25,2024 2ND SHIFT.RECOMMENDATION TO DO IPR AT +6M FROM WEST SIDE OF MANWAY. APPROVED ON MAY 17, 2024.STOPPED BREAKING ON MAY 22, 2024. DUE TO CONSECUTIVE LOW GRADE ON BULK SAMPLES.</t>
  </si>
  <si>
    <t>REPLACEMENT OF L09_DPVE_006E_DW DELOS REYES V2. APPROVED ON MAR 4, 2024.TEMPORARY STOPPED ON MAY 2, 2024.RESUMED ON MAY 15, 2024. CHANGED TEAM LEADER FROM DELOS REYES V2 TO PANSIT, NORMAN 2.STOPPED ON MAY 23, 2024. ALREADY REACH RECOMMENDED STRIKELENGTH AND VEIN PINCHED OUT AT THE EAST PORTION.</t>
  </si>
  <si>
    <t>L11_DPVE_056E_DE</t>
  </si>
  <si>
    <t>L09_GHVHW_002E_DW_ISL</t>
  </si>
  <si>
    <t>REPLACEMENT OF L08_JVSPLIT_069E_ROBBING. APPROVED ON APRIL 09, 2024. 3RD SHIFT. TOPSLICE.TEMPORARY STOPPED ON APRIL 17, 2024. FOR EVALUATION BY LEVEL GEO, POSSIBLE CHANGE OF HEADING FROM ROBBING (TOPSLICE) TO WINZE.RESUMED ON APRIL 22, 2024.TEMPORARY STOPPED ON MAY 16, 2024. INCOMPLETE SIGNATORY IN CHECKLIST. FOR EVALAUTATION.RESUMED ON MAY 202, 2024. ADDITIONAL PAYMENT TO BE DISCUSSED.STOPPED ON MAY 24, 2024. PINCHED-OUT VEIN.</t>
  </si>
  <si>
    <t>REPLACEMENT OF L11_JVHW_025E_DW. APPROVED ON APRIL 22, 2024.CHANGE OF TEAMLEADER FROM TURRA TO BADBADON 2. APPROVED ON APRIL 29,2024.STOPPED ON MAY 26, 2024, DUE TO CONSECUTIVE LOW ASSAY RESULT.</t>
  </si>
  <si>
    <t>FILL WINZE ADDITIONAL WASTE PASS. MANPOWER FROM LEVEL 04. APPROVED ON APRIL 18, 2024.STOPPED ON MAY 27, 2024. ALREADY MADE A BREAKTHROUGH ON LAST FILL WINZE.</t>
  </si>
  <si>
    <t>L08_GHVHW_035E_ROBBING</t>
  </si>
  <si>
    <t>REPLACEMENT OF L08_DPVE_075E_ROBBING. APPROVED ON MAY 03, 2024.STOPPED ON MAY 25, 2024. ALREADY FINISHED HEADING.</t>
  </si>
  <si>
    <t>REPLACEMENT OF L11_GHVFW_030E_STOPE PREP. APPROVED ON APRIL 25,2024 2ND SHIFT.RECOMMENDATION TO DO IPR AT +6M FROM WEST SIDE OF MANWAY. APPROVED ON MAY 17, 2024.STOPPED BREAKING ON MAY 22, 2024. DUE TO CONSECUTIVE LOW GRADE ON BULK SAMPLES.CONVERTED TO PULLOUT CLEANING ON SAME DAY.STOPPED ON MAY 27, 2024 ALREADY MINED OUT 105% PULLOUT.</t>
  </si>
  <si>
    <t>L11_GHVSPLIT_033E_RAISE</t>
  </si>
  <si>
    <t>L11_GHVFW_023E_DW</t>
  </si>
  <si>
    <t>L08_DPVE_071E_ROBBING</t>
  </si>
  <si>
    <t>REPLACEMENT OF L10_GHV_014E_RAISE. APPROVED ON APRIL 30, 2024.TEMPORARY STOPPED ON MAY 27, 2024 DUE TO SAFETY CONCERN. ALREADY MADE A BREAKTHROUGH.</t>
  </si>
  <si>
    <t>L12_GHV_070E_STOPE</t>
  </si>
  <si>
    <t>ADDITIONAL SOURCE OF GOOD ORE, MP FROM L10, APPROVED ON FEBRUARY 23, 2024.TEMPORARILY STOPPED ON APRIL 16, 2024. MANPOWER TRANSFERRED TO DEVELOPMENT DRIVE. ADDITIONAL MANPOWER FROM OTHER LEVEL WILL BE ASSIGNED.RESUMED ON APRIL 24, 2024 AT THE SAME TIME TRANSFERRED FROM PARAGUYA 3 TO PANSIT NORMAN 4; ALSO RENAME FROM L12_GHV_069E_STOPE PREP TO L12_GHV_070E_STOPE PREP.TEMPORARILY STOPPED ON MAY 8, 2024 DUE TO ABSENTEEISM OF MEN RESULTING TO ABANDONMENT OF WORKPLACE.RESUMED ON MAY 13, 2024.STOPPED ON MAY 28, 2024. ALREADY MADE A BREAKTHROUGH. RECOMMENDED FOR STOPE BREAKING.</t>
  </si>
  <si>
    <t>L10_GHVSPLIT_007W_DE</t>
  </si>
  <si>
    <t>L10_GHVFW_057E_DE_ISL</t>
  </si>
  <si>
    <t>ADDITIONAL VERTICAL DEVELOPEMENT. APPROVED ON APRIL 1, 2024.STOPPED ON MAY 28, 2024 ALREADY REACHED ITS RECOMMENDED SLOPE LENGTH TO DO ISL.</t>
  </si>
  <si>
    <t>REPLACEMENT OF L11_DPVE_043E_STOPE PREP. APPROVED ON APRIL 17, 2024.RECOMMENDATION TO CONDUCT IPR ON +10M AND +26M FROM WEST MANWAY DUE TO CONSECUTIVE LOW ASSAY GRADE. APPROVED ON MAY 11, 2024.STOPPED BREAKING MAY 20, 2024. DUE TO LOW GRADE ON IPR.CONVERTED TO PULLOUT CLEANING. APPROVED MAY 20, 2024.STOPPED ON MAY 28, 2024. ALREADY MINED OUT WITH 94% PULLOUT.</t>
  </si>
  <si>
    <t>REPLACEMENT OF L09_DPVE_066E_WINZE, APPROVED ON MARCH 14, 2024. FOR PROPOSED WINZE STOPE.STOPPED ON MAY 29, 2024. DUE TO CONSECUTIVE LOW ASSAY GRADES ON BOTH CUT AND BULK SAMPLES.</t>
  </si>
  <si>
    <t>L08_GHVHW_003W_ROBBING</t>
  </si>
  <si>
    <t xml:space="preserve">REPLACEMENT OF L11_JV_060E_STOPE PREP. APPROVED ON APRIL 04, 2024.RECOMMENDATION TO CONDUCT IPR ON +6M AND +12M OF CURRENT FLOOR DUE TO CONSECUTIVE LOW ASSAY GRADE. APPROVED ON MAY 11, 2024.STOPPED BREAKING MAY 20, 2024. DUE TO LOW GRADE ON IPR AND PINCHED OUT VEIN AT CURRENT BACK. ALREADY TRAVERSED ON THE SAME DAY. CONVERTED TO PULLOUT CLEANING. APPROVED MAY 20, 2024.MINED-OUT ON MAY 31, 2024 WITH 100% PULLED-OUT MC.
</t>
  </si>
  <si>
    <t>L09_DPVE_074E_ROBBING</t>
  </si>
  <si>
    <t>REPLACEMENT OF L12_DPVE_038E_STOPE. A EXPLORATORY RAISE FOR STOPE. APPROVED ON APRIL 29,2024.STOPPED ON MAY 30, 2024 ALREADY REACHED ITS RECOMMENDED SLOPE DISTANCE.</t>
  </si>
  <si>
    <t>NITRO BA 2</t>
  </si>
  <si>
    <t>L12_NONE_078E_CHAMBER</t>
  </si>
  <si>
    <t>REPLACEMENT OF L08_DPVE_028E_WINZE. APPROVED ON JANUARY 17, 2024.TEMPORARY STOPPED ON APRIL 11, 2024. 3RD SHIFT. DUE TO CONSECUTIVE ABSENTEEISM RESULTING TO ABANDONMENT OF THE WORKING PLACE.RESUMED ON APRIL 15, 2024.TEMPORARY STOPPED ON APRIL 22,2024. FOR EVALUATION DRILL HOLE INTERCEPT.RESUMED ON APRIL 24, 2024.STOPPED ON MAY 17, 2024. DUE TO CONSECUTIVE LOW ASSAY GRADE ON CUT SAMPLES.</t>
  </si>
  <si>
    <t>REPLACEMENT OF L08_DPVE_032E_ROBBING. APPROVED ON MAY 20, 2024.STOPPED ON JUNE 04, 2024. DUE TO PINCHED OUT VEIN. MEMO TO BE FOLLOWED TODAY.</t>
  </si>
  <si>
    <t>L11_GHVFW_032E_DW</t>
  </si>
  <si>
    <t>L08_JVFW_050E_ROBBING</t>
  </si>
  <si>
    <t>REPLACEMENT OF L08_JVFW_053E_ROBBING. APPROVED ON APRIL 25, 2024.STOPPED ON JUNE 04, 2024. ALREADY MINED OUT. MEMO TO BE FOLLOWED TODAY.STOPPED ON JUNE 04, 2024. ALREADY MINED OUT. MEMO TO BE FOLLOWED TODAY.</t>
  </si>
  <si>
    <t>L10_NONE_064E_XCS</t>
  </si>
  <si>
    <t>NITRO AY</t>
  </si>
  <si>
    <t>L10_NONE_083E_VENTRAISE</t>
  </si>
  <si>
    <t>VENTRAISE</t>
  </si>
  <si>
    <t>REPLACEMENT OF L08_JVSPLIT_036E_ROBBING. APPROVED ON MAY 27, 2024. SILL PILLAR.RENAMED FROM L08_GHVHW_036E_ROBBING TO L08_GHVHW_035E_ROBBING, APPROVED ON MAY 27, 2024.STOPPED ON JUNE 04  2024. ALREADY MINED OUT.</t>
  </si>
  <si>
    <t>L08_NONE_015W_XCN</t>
  </si>
  <si>
    <t>REPLACEMENT OF L11_DPVE_026E_STOPE PREP. APPROVED ON MARCH 20, 2024.RECOMMENDATION TO CONDUCT IPR ON +14M FROM WEST MANWAY DUE TO CONSECUTIVE LOW ASSAY GRADE. APPROVED ON MAY 12, 2024.TEMPORARILY STOPPED ON MAY 15, 2024. CONSECUTIVE LOW ASSAY GRADE.STOPPED ON JUNE 05, 2024. DUE TO LOW GRADE ON IPR AND EXPLORATORY RAISE.</t>
  </si>
  <si>
    <t>L03_JV_029E_ROBBING</t>
  </si>
  <si>
    <t>SPECIAL PROJECT FOR TIGERWAY. WIDENING OF DSP 26 STOCKPILE AREA. APPROVED ON MAY 15, 2024.STOPPED ON MAY 27, 2024. ALREADY FINISHED WIDENING AND BREAKTHROUGH</t>
  </si>
  <si>
    <t>REPLACEMENT OF L09_GHVHW_002E_WINZE. APPROVED ON MAY 2,2024 2ND SHIFT.STOPPED ON JUNE 6, 2024. ALREADY MADE A BREAKTHROUGH.</t>
  </si>
  <si>
    <t>REPLACEMENT OF L08_JVFW_049E_ROBBING. APPROVED ON JUNE 04, 2024. SILL PILLAR.STOPPED ON JUNE 06, 2024. DUE TO CONSECUTIVE LOW ASSAY GRADES ON BOTH CUT AND BULK SAMPLES. DID NOT MEET EXPECTED GRADE FOR ROBBING.</t>
  </si>
  <si>
    <t>REPLACEMENT OF L11_GHVFW_030E_STOPE. APPROVED ON MAY 28, 2024.STOPPED ON JUNE 06, 2024. DUE TO PINCHED OUT VEIN AT LAST THREE INTERVALS</t>
  </si>
  <si>
    <t>REPLACEMENT OF L11_DPVE_021E_STOPE PREP. APPROVED ON MAY 15, 2024.STOPPED BREAKING ON JUNE 06, 2024. 2ND SHIFT. DUE TO LOW GRADE RESULT ON IPR</t>
  </si>
  <si>
    <t>L03_JV_017E_ROBBING</t>
  </si>
  <si>
    <t>L12_NONE_054E_CHAMBER</t>
  </si>
  <si>
    <t>L09_GHVSPLIT_023W_DW</t>
  </si>
  <si>
    <t xml:space="preserve">REPLACEMENT OF L11_DPVE_021E_STOPE PREP. APPROVED ON MAY 15, 2024.STOPPED BREAKING ON JUNE 06, 2024. 2ND SHIFT. DUE TO LOW GRADE RESULT ON IPR.CONVERTED TO PULLOUT CLEANING. APPROVED JUNE 06, 2024. 3RD SHIFT.STOPPED ON JUNE 7, 2024. ALREADY MINED OUT
</t>
  </si>
  <si>
    <t>L08_DPVE_031E_DE_ISL</t>
  </si>
  <si>
    <t>L08_JVSPLIT_061E_RAISE</t>
  </si>
  <si>
    <t>REPLACEMENT OF L08_DPVE_033E_DE_ISL. APPROVED ON JUNE 04, 2024. SILL PILLAR.STOPPED ON JUNE 9, 2024.</t>
  </si>
  <si>
    <t>L11_JVFW_030E_DE</t>
  </si>
  <si>
    <t>L11_DPVE_013E_RAISE</t>
  </si>
  <si>
    <t>REPLACEMENT OF L09_DPVE_042E_WINZE STOPE, APPROVED ON MARCH 23, 2024. TOPSLICE.STOPPED ON JUNE 11, 2024. FINISHED HEADING.</t>
  </si>
  <si>
    <t>REPLACEMENT OF L08_DPVE_073E_ROBBING. APPROVED ON MAY 28, 2024. SILL PILLAR.STOPPED ON JUNE 11, 2024. FINISHED HEADING.</t>
  </si>
  <si>
    <t>L11_DPVE_027E_STOPE</t>
  </si>
  <si>
    <t>REPLACEMENT OF L11_DPVE_027E_RAISE. APPROVED ON MAY 10, 2024.RENAMED FROM L11_DPVE_017E_STOPE PREP TO L11_DPVE_027E_STOPE PREP. PROPER POSITION ON MAP. APPROVED ON MAY 11, 2024.TEMPORARILY STOPPED ON MAY 15, 2024. DUE TO MANPOWER SUSPENSION AND IRN.RESUMED ON MAY 27, 2024 BY NPRI MANPOWER COMPLETE.STOPPED ON JUNE 12, 2024. TO BE CONVERTED TO STOPE BREAKING.</t>
  </si>
  <si>
    <t>L09_JVSPLIT_071E_ROBBING</t>
  </si>
  <si>
    <t>REPLACEMENT OF L08_GHVFW_033W_ROBBING. APPROVED ON MAY 30, 2024. SILL PILLAR.TEMPORARILY STOPPED ON JUNE 13, 2024 TO PRIORITIZE WASTE PASS OF  L08_NONE_015W_XCN.</t>
  </si>
  <si>
    <t>REPLACEMENT OF L11_GHV_055E_STOPE PREP. APPROVED ON JUNE 22, 2023. TEMPORARY STOPPED ON JUNE 26, 2023 DUE TO TIMBERING ACTIVITY AT THE WORK PLACE.RESUMED ON AUGUST 15, 2023.TEMPORARILY STOPPED ON NOVEMBER 18, 2023 FOR SAFETY EVALUATION.RESUME BREAKING ON FEBRUARY 19, 2024. AT THE SAME TIME TRANSFERRED FROM PARAN 3 TO BELICAN 1. 80% OF RETENTION OF PARAN WILL BE GIVEN TO BELICAN AS AGREED UPON BY THE CONCERNED PARTIES.STOPPED BREAKING ANG RECOMMENDED FOR PULL-OUT CLEANING STARTING ON JUNE 13, 2024 3RD SHIFT SAFETY MEMO WILL FOLLOW.</t>
  </si>
  <si>
    <t>L12_GHVHW_066E_STOPE</t>
  </si>
  <si>
    <t>ADDITIONAL STOPE ORE. APPROVED ON MAY 2, 2024, TO BE HANDLED BY SAME MANPOWER WITH L12_GHVHW_062E_STOPE PREP.TEMPORARY STOPPED ON MAY 4, 2024. TO PRIORITIZE L12_GHVHW_062E_STOPE PREP.RESUMED ON MAY 22, 2024 AS REPLACEMENT OF L12_GHVHW_062E_STOPE PREP.STOPPED ON JUNE 13, 2024. TO BE CONVERTED TO STOPE BREAKING</t>
  </si>
  <si>
    <t>L12_GHVHW_062E_STOPE</t>
  </si>
  <si>
    <t>REPLACEMENT  OF L08_JVFW_050E_ROBBING, EXPLORATORY RAISE APPROVED ON JUNE 8, 2024.TEMPORARILY STOPPED ON JUNE 13, 2024 TO PRIORITIZE MAINLINE REHAB GOING TO THE WORKPLACE.</t>
  </si>
  <si>
    <t>L08_DPVE_067E_ROBBING</t>
  </si>
  <si>
    <t>REPLACEMENT OF L11_DPVE_022E_STOPE PREP. APPROVED ON APRIL 09, 2024.STOPPED BREAKING ON JUNE 16, 2024. TO BE CONVERTED TO PULL OUT CLEANING.</t>
  </si>
  <si>
    <t>REPLACEMENT OF L11_DPVE_019E_STOPE PREP. APPROVED ON APRIL 29,2024.STOPPED BREAKING ON JUNE 16, 2024. CONVERTED TO PULL OUT CLEANING</t>
  </si>
  <si>
    <t>REPLACEMENT OF L09_JVFW_055E_ROBBING, APPROVED ON FEBRUARY, 20, 2024.STOPPED ON JUNE 16, 2024. ALREADY REACHED THE RECOMMENDED SLOPE LENGTH.</t>
  </si>
  <si>
    <t>NITRO BF 6</t>
  </si>
  <si>
    <t>REPLACEMENT OF L08_GHV_012E_WINZE. APPROVED ON MAY 4, 2024.STOPPED ON JUNE 17, 2024. TO FOLLOW ON VEIN DRIVE ON ISL.</t>
  </si>
  <si>
    <t>L08_GHV_019E_DE_ISL</t>
  </si>
  <si>
    <t>REPLACEMENT OF L11_GHV_038E_DW. APPROVED MAY 08, 2024.RENAMED FROM L11_GHV_037E_DE TO L11_GHVSPLIT_037E_DE. PROPER VEIN NAMING. APPROVED ON MAY 15, 2024.STOPPED ON JUNE 17, 2024 DUE TO VEIN PINCHED OUT.</t>
  </si>
  <si>
    <t>L09_GHVFW_031W_DW_ISL</t>
  </si>
  <si>
    <t>L11_GHVHW_069E_STOPE PREP</t>
  </si>
  <si>
    <t>REPLACEMENT OF L03_JVSPLIT_011W_ROBBING. APPROVED ON JUNE 06, 2024. SILL PILLAR.STOPPED ON JUNE 18, 2024. ALREADY FINISHED HEADING.</t>
  </si>
  <si>
    <t>REPLACEMENT OF  L09_GHVFW_032W_WINZE, APPROVED ON MAY 13, 2024, 3RD SHIFT.RENAMED FROM L09_GHVFW_032W_DW_ISL TO L09_GHVFW_031W_DW_ISL TO AVOID MISCHARGING. APPROVED ON JUNE 18, 2024.TEMPORARY STOPPED ON JUNE 10, 2024 TO PRIORITIZED EAST SIDE.</t>
  </si>
  <si>
    <t>L09_GHVFW_031W_DE_ISL</t>
  </si>
  <si>
    <t>L10_NONE_094E_XCS</t>
  </si>
  <si>
    <t>ADDITIONAL HORIZONTAL DRIVE APPROVED ON MAY 22, 2024.STOPPED ON JUNE 10, 2024. ALREADY HIT THE TARGET VEIN.</t>
  </si>
  <si>
    <t>REPLACEMENT OF L11_JVHW_047E_STOPE PREP. APPROVED ON APRIL 29,2024.STOPPED ON JUNE 18, 2024. THE HEADING ALREADY REACHED THE 035E SHAFT EXCLUSION ZONE WITH OBSERVED PINCHED OUT VEIN.</t>
  </si>
  <si>
    <t>REPLACEMENT OF L11_DPVE_022E_STOPE PREP. APPROVED ON APRIL 09, 2024.STOPPED BREAKING ON JUNE 16, 2024. TO BE CONVERTED TO PULL OUT CLEANING.STOPPED ON JUNE 18, 2024. ALREADY MINED OUT MEMO TO BE FOLLOWED BY NITRO.</t>
  </si>
  <si>
    <t>REPLACEMENT OF L11_GHVSPLIT_070E_RAISE. APPROVED ON MAY 13, 2024.STOPPED ON JUNE 18, 2024. AT THE SAME TIME TRAVERSED ON THE SAME DAY. CONVERTED TO SAME BREAKING.</t>
  </si>
  <si>
    <t xml:space="preserve">      </t>
  </si>
  <si>
    <t>REPLACEMENT OF L08_DPVE_034E_ROBBING. APPROVED ON JUNE 10,2024.STOPPED ON JUNE 19, 2024. DUE TO CONSECUTIVE LOW ASSAY GRADES ON BULK SAMPLES.</t>
  </si>
  <si>
    <t>REPLACEMENT OF L09_DPVE_028E_DE_ISL, APPROVED ON MARCH 23, 2024. TOPSLICE. STOPPED ON JUNE 19, 2024. DUE TO CONSECUTIVE LOW ASSAY GRADES ON BULK SAMPLES.</t>
  </si>
  <si>
    <t>REPLACEMENT OF L09_GHVHW_002E_WINZE. APPROVED ON MAY 24, 2024.STOPPED ON JUNE 19, 2024. DUE TO CONSECUTIVE LOW ASSAY GRADES ON BULK SAMPLES.</t>
  </si>
  <si>
    <t>L12_JVSPLIT_035E_DW</t>
  </si>
  <si>
    <t>REPLACEMENT OF L12_GHV_065E_STOPE PREP, APPROVED ON SEPTEMBER 29, 2023.TEMPORARY STOPPED ON NOVEMBER 15, 2023. DUE TO LACK OF MANPOWER.RESUMED ON NOVEMBER 17, 2023.TEMPORARY STOPPED ON JAN 24, 2024 DUE TO LOW PERFORMANCE OF THE GROUP.RESUMED ON FEBRUARY 13, 2024.STOPPED BREAKING ON MAY 22, 2024. ALREADY DONE TRAVERSE. CONVERTED TO PULLOUT CLEANING ON THE SAME DAY.STOPPED ON JUNE 19, 2024. ALREADY MINED OUT WITH 94% PULLOUT ATTAINMENT.</t>
  </si>
  <si>
    <t>L09_DPVE_032E_ROBBING</t>
  </si>
  <si>
    <t>REPLACEMENT OF L09_DPVE_089E_ROBBING, APPROVED ON MAY 13, 2024. FILL WINZE FOR FUTURE WASTE PASS OF PROPOSED CROSSCUT NEAR THE SAID AREA.STOPPED ON MAY 24, 2024. ALREADY MADE A BREAKTHROUGH.CONTINUED OPERATIONS ON JUNE 12, 2024.STOPPED ON JUNE 15, 2024. ALREADY MADE A BREAKTHROUGH.</t>
  </si>
  <si>
    <t xml:space="preserve"> REPLACEMENT OF L08_GHVHW_005W_WINZE. APPROVED ON MAY 9, 2024.STOPPED ON JUNE 17, 2024. DUE TO LOW ASSAY GRADES ON BOTH CUT AND BULK SAMPLES.</t>
  </si>
  <si>
    <t>CAPUYAN 3</t>
  </si>
  <si>
    <t xml:space="preserve">REPLACEMENT OF L09_JV_070E_ROBBING. APPROVED ON MAY 7, 2024. SILL PILLAR.STOPPED ON JUNE 17, 2024. ALREADY MINED OUT. </t>
  </si>
  <si>
    <t xml:space="preserve">REPLACEMENT OF L10_NONE_019W_XCN, APPROVED ON MAY 28, 2024.STOPPED ON JUNE 19, 2024. DUE TO CONSECUTIVE LOW ASSAY GRADES ON BOTH CUT AND BULK SAMPLES. </t>
  </si>
  <si>
    <t>L10_GHVSPLIT_006W_DW</t>
  </si>
  <si>
    <t>L03_JV_016W_ROBBING</t>
  </si>
  <si>
    <t>REPLACEMENT OF L11_DPVE_026E_STOPE PREP. APPROVED ON MARCH 20, 2024.RECOMMENDATION TO CONDUCT IPR ON +14M FROM WEST MANWAY DUE TO CONSECUTIVE LOW ASSAY GRADE. APPROVED ON MAY 12, 2024.TEMPORARILY STOPPED ON MAY 15, 2024. CONSECUTIVE LOW ASSAY GRADE.STOPPED ON JUNE 05, 2024. DUE TO LOW GRADE ON IPR AND EXPLORATORY RAISE.CONVERTED TO PULLOUT CLEANING. APPROVED ON JUNE 05, 2024.STOPPED ON JUNE 18, 2024. ALREADY MINED OUT.</t>
  </si>
  <si>
    <t>L11_GHVSPLIT_065E_DW</t>
  </si>
  <si>
    <t>ADDITIONAL WORKING PLACE. SPECIAL PROJECT FOR TIGERWAY. APPROVED ON MAY 11, 2024.CHANGE TEAM LEADER FROM LERIO TO MARTINEZ, DN. DUE TO ABSENTEEISM OF MANPOWER.APPROVED MAY 16, 2024. STOPPED ON JUNE 18, 2024 ALREADY MADE A BREAKTHROUGH.</t>
  </si>
  <si>
    <t>L11_DPVE_036E_DE</t>
  </si>
  <si>
    <t>PANSIT NORMAN 5</t>
  </si>
  <si>
    <t>Lift 3 Change from 16-18 based from 1.5m/day quota 4/1/24 (1.5*2.1*2.4*2.36). Lift 2 Change from 12-13 based from 1.5m/day quota 4/1/24 (1.5*2.1*1.8*2.36)</t>
  </si>
  <si>
    <t>Lift 3 Change from 16 to 18 based from 1.5m/day quota 4/1/24 (1.5*2.1*2.4*2.36). Lift 2 Change from 12 to 13 based from 1.5m/day quota 4/1/24 (1.5*2.1*1.8*2.36)</t>
  </si>
  <si>
    <t>Lift 2 and 3 Change from 10 to 12 based from 1.15m/day quota 4/1/24 (1.15*1.5*3*2.36).</t>
  </si>
  <si>
    <t>Lift 2 and 3 Change from 9 to 10 based from 1.15m/day quota 4/1/24 (1.15*1.8*2.1*2.36).</t>
  </si>
  <si>
    <t>Lift 2 and 3 Change from 6 to 7 based from 0.61m/day quota 4/1/24 (0.61*1.5*3*2.36).</t>
  </si>
  <si>
    <t xml:space="preserve">REPLACEMENT OF L11_GHVFW_043E_DW APPROVED ON JUNE 6, 2023.TRANSFER FROM BAÑEZ 8 TO TORMIS 1 ON JUNE 12, 2023 AS ADVISED BY LEVEL MANAGER.CHANGE TEAM LEADER FROM TORMIS 1 .STOPPED ON JUNE 5, 2024. DUE TO CONSECUTIVE LOW ASSAY GRADE ON SAMPLES. TO BAÑEZ 8. APPROVED ON JUNE 30, 2023. 2ND SHIFT.STOPPED ON JULY 12, 2023. 3RD SHIFT. TO PRIORITIZE STOPE PREPARATION.RESUMED ON JULY 14, 2023. TO BREAKTHROUGH TO L10 ML FOR VENTILATION PURPOSES.TEMPORARRY STOPPED ON JULY 24, 2023 TO PRIORITIZE STOPE PREP.RESUMED ON MAY 15, 2024 AS REPLACEMENT OF L11_DPVE_026E_STOPE. FOR EXPLORATORY RAISE.STOPPED ON JUNE 5, 2024. DUE TO CONSECUTIVE LOW ASSAY GRADE ON SAMPLES.
</t>
  </si>
  <si>
    <t>L425_NONE_048E_XCS</t>
  </si>
  <si>
    <t>L425</t>
  </si>
  <si>
    <t>L425_NONE_048E_XCS_ISL</t>
  </si>
  <si>
    <t>REPLACEMENT OF L11_GHVSPLIT_037E_DE. APPROVED ON JUNE 18, 2024.TEMPORARRY STOPPED ON JUNE 21, 2026.</t>
  </si>
  <si>
    <t>ADDITIONAL WORKING PLACE APPROVED ON JUNE 5, 2024. XCS TO TARGET OLD CONDEMNED MAINLINE. STOPPED ON JUNE 21, 2024. ALREADY MADE A BREAKTHROUGH.</t>
  </si>
  <si>
    <t>REPLACEMENT OF L09_GHVFW_031W_DW_ISL. APPROVED ON JUNE 10, 2024.STOPPED ON JUNE 21, 2024. DUE TO CONSECUTIVE LOW ASSAY GRADES ON BOTH CUT AND BULK SAMPLES.</t>
  </si>
  <si>
    <t>REPLACEMENT OF L10_DPVE_085E_STOPE PREP. APPROVED ON APRIL 16,2024.CHANGED TEAM LEADER FROM NITRO AY 1 TO NITRO AX. DUE TO POOR PERFORMANCE OF THE GROUP FOR 2 CONSECUTIVE BILLING PERIOD SINCE APRIL 16, 2024 START OF BREAKING.TEMPORARILY STOPPED ON MAY 17, 2024. ABSENTEEISM OF MANPOWER RESULTING TO ABANDONMENT OF WORKPLACE. FOR REASSIGNMENT OF NEW GROUP.RESUMED ON MAY 20, 2024, AS WELL AS TRANSFER FROM NITRO AX TO OLIVEROS 1.STOPPED BREAKING DUE TO LOW ASSAY GRADES ON ITS IPR. AT THE SAME TIME TRAVERSED ON THE SAME DAY. PROCEED TO PULL-OUT AND WILL UNDER GRADE MONITORING. APPROVED ON JUNE 21, 2024.</t>
  </si>
  <si>
    <t>REPLACEMENT OF L11_DPVE_019E_STOPE PREP. APPROVED ON APRIL 29,2024.STOPPED BREAKING ON JUNE 16, 2024. CONVERTED TO PULL OUT CLEANING.STOPPED ON JUNE 23, 2024 DECLARED AS MINED OUT WITH 99% PULL OUT.</t>
  </si>
  <si>
    <t>REPLACEMENT OF L11_GHV_038E_DW. APPROVED ON MAY 28, 2024.STOPPED ON JUNE 24, 2024. DUE TO UNSAFE CONDITION. HEADING SUDDENLY CHANGED DIPPING WITH 5 METER REMAINING BALANCE ON ADJACENT RAISE</t>
  </si>
  <si>
    <t>REPLACEMENT OF L12_NONE_047E_XCS. APPROVED APRIL 02, 2024. FOR TIGERWAY SPECIAL PROJECT.STOPPED ON JUNE 25, 2024. ALREADY FINISHED HEADING.</t>
  </si>
  <si>
    <t>REPLACEMENT OF L11_GHV_069E_ROBBING. APPROVED MAY 11, 2024.RENAMED FROM L11_JVHW_018E_DE TO L11_DPVE_018E_DE. PROPER VEIN NAMING. APPROVED ON MAY 15, 2024.STOPPED ON JUNE 25, 2024. ALREADY MADE A BREAKTHROUGH</t>
  </si>
  <si>
    <t>L11_JVFW_026E_DW</t>
  </si>
  <si>
    <t>ADDITIONAL SOURCE OF GOOD ORE. SILL PILLAR ROBBING OF OLD STOPE. APPROVED ON MAY 13, 2024, 2ND SHIFT.TEMPORARY STOPPED ON JUNE 26, 2024. TO PRIORITIZE CLEANING AND BACKFILLING.</t>
  </si>
  <si>
    <t>L12_JV_063E_STOPE PREP</t>
  </si>
  <si>
    <t xml:space="preserve">REPLACEMENT OF L11_DPVE_024E_DW. APPROVED ON APRIL 29,2024 2ND SHIFT.STOPPED ON JUNE 8, 2024 TO PRIORITIZE BLOCKING RAISE.RESUMED BREAKING ON JUNE 11, 2024.STOPPED ON JUNE 26, 2024. DUE TO CONSECUTIVE LOW ASSAY GRADES.
</t>
  </si>
  <si>
    <t>REPLACEMENT OF L09_DPVE_043E_ROBBING, APPROVED ON JUNE 13, 2024. SILL PILLAR ROBBING OF L09_JVSPLIT_073E_WINZE STOPE.STOPPED ON JUNE 26, 2024. ALREADY FINISHED HEADING.</t>
  </si>
  <si>
    <t>L11_NONE_065E_XCN</t>
  </si>
  <si>
    <t>REPLACEMENT OF L11_DPVE_020E_DW. APPROVED ON MAY 24, 2024.STOPPED ON JUNE 27, 2024. CONSECUTIVE LOW ASSAY GRADE ON CUT / BULK SAMPLES</t>
  </si>
  <si>
    <t>ADDITIONAL DEVELOPMENT HEADING. APPROVED ON JUNE 04, 2024.STOPPED ON JUNE 27, 2024. CONSECUTIVE LOW ASSAY GRADE ON CUT / BULK SAMPLES</t>
  </si>
  <si>
    <t>L09_JV_038E_DE</t>
  </si>
  <si>
    <t>L09_JV_004E_DE</t>
  </si>
  <si>
    <t>L11_DPVE_012E_DE</t>
  </si>
  <si>
    <t>L11_DPVE_058E_DE</t>
  </si>
  <si>
    <t xml:space="preserve">REPLACEMENT OF L08_DPVE_071E_ROBBING. APPROVED ON JUNE 15, 2024.STOPPED ON JUNE 29, 2024. ALREADY FINISHED HEADING. </t>
  </si>
  <si>
    <t>REPLACEMENT OF L11_DPVE_024E_DW, APPROVED ON JUNE 11, 2024.STOPPED ON JULY 01, 2024. DUE TO PINCHED OUT VEIN.</t>
  </si>
  <si>
    <t>REPLACEMENT OF L11_DPVE_029E_STOPE PREP. APPROVED ON MAY 10, 2024.STOPPED BREAKING ON JULY 01, 2024. DUE TO CONSECUTIVE LOW ASSAY GRADE. WILL PROCEED TO PULL-OUT ONCE TRAVERSE.</t>
  </si>
  <si>
    <t>REPLACEMENT OF L10_DPVE_085E_STOPE PREP. APPROVED ON APRIL 16,2024.CHANGED TEAM LEADER FROM NITRO AY 1 TO NITRO AX. DUE TO POOR PERFORMANCE OF THE GROUP FOR 2 CONSECUTIVE BILLING PERIOD SINCE APRIL 16, 2024 START OF BREAKING.TEMPORARILY STOPPED ON MAY 17, 2024. ABSENTEEISM OF MANPOWER RESULTING TO ABANDONMENT OF WORKPLACE. FOR REASSIGNMENT OF NEW GROUP.RESUMED ON MAY 20, 2024, AS WELL AS TRANSFER FROM NITRO AX TO OLIVEROS 1.STOPPED BREAKING DUE TO LOW ASSAY GRADES ON ITS IPR. AT THE SAME TIME TRAVERSED ON THE SAME DAY. PROCEED TO PULL-OUT AND WILL UNDER GRADE MONITORING. APPROVED ON JUNE 21, 2024.STOPPED ON JUNE 27, 2024. ALREADY MINED OUT.</t>
  </si>
  <si>
    <t>REPLACEMENT OF L11_JVHW_025E_DW. APPROVED ON MAY 20, 2024.TEMPORARILY STOPPED ON JULY 1, 2024; 2ND SHIFT DUE TO ABSENTEEISM OF MEN RESULTING TO ABANDONMENT OF WORKING PLACE</t>
  </si>
  <si>
    <t>REPLACEMENT OF L10_GHV_002W_WINZE. APPROVED ON APRIL 26,2024 3RD SHIFT.STOPPED ON JULY 2, 2024. ALREADY REACHED THE RECOMMENDED SLOPE LENGTH.</t>
  </si>
  <si>
    <t>L11_JVHW_021E_RAISE</t>
  </si>
  <si>
    <t>L10_DPVE_092E_DE_ISL</t>
  </si>
  <si>
    <t xml:space="preserve">REPLACEMENT OF L12_NONE_045E_XCS APPROVED ON NOVEMBER 9, 2023.STOPPED ON APRIL 15, 2024. TO PRIORITIZE STOPE PREP.- RESUMED AND CHANGED TEAM LEADER FROM PANCIT NOEL 5 TO NITRO BF 6. APPROVED ON JUNE 17, 2024.STOPPED ON JULY 04 2024. ALREADY REACHED 43E SHAFT EXCLUSION ZONE.
</t>
  </si>
  <si>
    <t>REPLACEMENT OF L11_DPVE_057E_DE. APPROVED ON APRIL 22, 2024.STOPPED ON JULY 04 2024. DUE TO PINCHED OUT VEIN.</t>
  </si>
  <si>
    <t>L10_NONE_003E_XCN</t>
  </si>
  <si>
    <t>L10_GHVSPLIT_008W_DW</t>
  </si>
  <si>
    <t>L11_DPVE_064E_RAISE</t>
  </si>
  <si>
    <t>REPLACEMENT OF L12_GHVHW_059E_STOPE PREP. APPROVED ON APRIL 29,2024.TEMPORARY STOPPED ON MAY 02, 2024. TO PRIORITIZE L12_JV_062E_STOPE PREP.RESUMED ON MAY 13, 2024 AT THE SAME TIME CHANGE TEAM LEADER FROM BABOR 1 TO OLIVEROS 4.STOPPED BREAKING ON JULY 5, 2024. CONVERTED TO PULL OUT CLEANING.</t>
  </si>
  <si>
    <t>REPLACEMENT OF L11_DPVE_029E_STOPE PREP. APPROVED ON MAY 10, 2024.STOPPED BREAKING ON JULY 01, 2024. DUE TO CONSECUTIVE LOW ASSAY GRADE. WILL PROCEED TO PULL-OUT ONCE TRAVERSE.ALREADY TRAVERSED ON JULY 2, 2024. TO BE CONVERTED TO PULL OUT CLEANING. STOPPED PULL-OUT ON JULY 5, 2024 DUE TO CONSECUTIVE LOW ASSAY GRADE.</t>
  </si>
  <si>
    <t>REPLACEMENT OF L11_DPVE_024E_DW APPROVED ON FEB 8, 2024.TEMPORARILY STOPPED ON FEBRUARY 14, 2024 TO PRIORITIZE DRIFT.RESUMED ON FEBRUARY 16, 2024, 3RD SHIFT. MAN POWER CHANGED FROM TORMIS 1 TO BADBADON 3 (ADDITIONAL TEAM FOR BADBADON)TEMPORARILY STOPPED ON MARCH 01, 2024. TO PRIORITIZE L11_DPVE_022E_STOPE PREP. RESUMED ON JUNE 19, 2024. STOPPED ON JULY 5, 2024 DUE TO CROSS-CUTTING OF FAULT THAT RESULTED TO PINCHED OUT OF VEIN.</t>
  </si>
  <si>
    <t>L03_CTV_025W_RAISE</t>
  </si>
  <si>
    <t>L11_GHVSPLIT_023E_DE</t>
  </si>
  <si>
    <t>L11_DPVE_076E_RAISE</t>
  </si>
  <si>
    <t>L11_DPVE_060E_RAISE</t>
  </si>
  <si>
    <t>L12_NONE_055E_WINZE</t>
  </si>
  <si>
    <t>L11_DPVE_078E_DE</t>
  </si>
  <si>
    <t>REPLACEMENT OF L09_JV_066E_ROBBING.APPROVED ON JUNE 20, 2024. SILL PILLAR.STOPPED ON JULY 08, 2024. ALREADY FINISHED HEADING.</t>
  </si>
  <si>
    <t>L11_DPVE_014E_RAISE</t>
  </si>
  <si>
    <t>REPLACEMENT OF L10_GHVSPLIT_007W_DE. APPROVED ON JUNE 20, 2024.STOPPED ON JULY 08, 2024. DUE TO LOW ASSAY GRADE ON BOTH BULK AND CUT SAMPLES.</t>
  </si>
  <si>
    <t>L10_NONE_010W_XCN</t>
  </si>
  <si>
    <t xml:space="preserve">REPLACEMENT OF L08_GHV_018E_WINZE. APPROVED ON JUNE 17, 2024.STOPPED ON JULY 06, 2024 DUE TO PINCHED OUT VEIN WILL PROCEED TO WEST SIDE. 
</t>
  </si>
  <si>
    <t>L08_GHV_019E_DW_ISL</t>
  </si>
  <si>
    <t>L10_GHVFW_057E_DW_ISL</t>
  </si>
  <si>
    <t>L11_GHVHW_069E_STOPE</t>
  </si>
  <si>
    <t>L12_NONE_030E_XCS</t>
  </si>
  <si>
    <t>REPLACEMENT OF L11_GHVHW_066E_DW. APPROVED ON MAY 14, 2024.STOPPED ON JULY 10, 2024. DUE TO CONSECUTIVE LOW ASSAY GRADE ON BULK AND CUT SAMPLES.</t>
  </si>
  <si>
    <t>REPLACEMENT OF L11_DPVE_021E_STOPE, APPROVED ON JUNE 10, 2024.STOPPED ON JULY 10, 2024. DUE TO PINCHED OUT VEIN.</t>
  </si>
  <si>
    <t>REPLACEMENT L12_NONE_035E_XCS OF CONVERTED ON VEIN. APPROVED ON JUNE 18, 2024.CHANGED HEADING FROM L12_DPVE_035E_DW TO L12_JVSPLIT_035E_DW TO AVOID CONFUSION OF ITS VEIN CLASSIFICATION.STOPPED ON JULY 03, 2024. DUE TO PINCHED OUT VEIN.</t>
  </si>
  <si>
    <t>REPLACEMENT OF L09_GHV_054E_WINZE, APPROVED ON JUNE 3, 2024. PROPOSED CROSSCUT TO RETRIEVE ORE FROM L09_GHV_049E_STOPE.TEMPORARILY STOPPED ON JUNE 12, 2024.RESUMED ON JUNE 18, 2024.STOPPED ON JULY 10, 2024. ALREADY MADE A BREAKTHROUGH.</t>
  </si>
  <si>
    <t>REPLACEMENT OF L12_GHV_061E_STOPE PREP, AT THE SAME TIME TRANSFERRED FROM OY-YOY TO PANCIT NOEL, APPROVED ON JUNE 14, 2023.RECOMMENDED TO CONDUCT  IPR FOR GRADE CONFIRMATION  ON JUNE 30, 2023. 3RD SHIFT.TEMP STOPPED TO DRIVE BLOCKING RAISE FIRST ON JULY 13, 2023.DUE TO ABSENTEEISM MANPOWER WILL BE MERGED TO L12_NONE_056E_XCS APPROVED ON JULY 13, 2023.TEMPORARY STOPPED ON AUGUST 14, 2023 DUE TO LOW CONSECUTIVE ASSAY GRADE FROM LATEST FLOOR AND IPR.RESUME BREAKING ON FEBRUARY 21, 2024 AT THE SAME TIME TRANSFER FROM PANCIT, NOEL 7 TO SHEPHERD BA .CHANGE GROUP FROM NITRO BA TO DUHIG, P2. DUE TO CONSECUTIVE LOW PERFORMANCE OF ORIGINAL GROUP. APPROVED ON JUNE 28, 2024.STOPPED BREAKING ON JULY 10, 2024. TRAVERSED ON THE SAME DAY. CONVERTED TO PULLOUT CLEANING ON JULY 11, 2024.</t>
  </si>
  <si>
    <t>L12_GHVSPLIT_065E_DE</t>
  </si>
  <si>
    <t>L11_DPVE_011E_RAISE</t>
  </si>
  <si>
    <t>L425_GHVSPLIT_055E_DE</t>
  </si>
  <si>
    <t>L10_NONE_007W_VENTDRIVE</t>
  </si>
  <si>
    <t>VENTDRIVE</t>
  </si>
  <si>
    <t>REPLACEMENT OF L11_DPVE_015E_RAISE. APPROVED ON JULY 05, 2024.STOPPED ON JULY 10, 2024. DUE TO PINCHED OUT VEIN.</t>
  </si>
  <si>
    <t>L11_JVHW_059E_RAISE</t>
  </si>
  <si>
    <t>L10_DPVE_002E_RAISE</t>
  </si>
  <si>
    <t>REPLACEMENT OF L08_GHV_019E_DE_ISL. APPROVED ON JULY 06, 2024. STOPPED ON JULY 13, 2024. MADE A BREAKTHROUGH.</t>
  </si>
  <si>
    <t>L08_GHV_019E_WINZE STOPE PREP</t>
  </si>
  <si>
    <t>REPLACEMENT OF L08_GHV_019E_DW_ISL. APPROVED ON JULY 13, 2024.</t>
  </si>
  <si>
    <t xml:space="preserve">REPLACEMENT OF L11_GHV_053E_STOPE PREP. APPROVED ON APRIL 23, 2024.RECOMMENDATION TO CONDUCT IPR AT +8M OF CURRENT FLOOR DUE TO CONSECUTIVE LOW ASSAY GRADE. APPROVED ON MAY 20, 2024.STOPPED BREAKING ON JULY 2, 2024 DUE TO UNSAFE CONDITION. WILL BE CONVERTED TO PULL OUT CLEANING.STOPPED ON JULY 12, 2024. ALREADY MINED OUT
</t>
  </si>
  <si>
    <t>REPLACEMENT OF L11_GHVHW_073E_DE. APPROVED ON JUNE 18, 2024.MP WILL BE TRANSFERED FROM BAÑEZ 5 TO COMAINGKING 1, APPROVED ON JUNE 28, 2024. BAÑEZ 5 TO PRIORITIZE L11_GHVHW_073E_DE.MP WILL BE TRANSFERED FROM BAÑEZ 5 TO LERIO 2 (FROM L11_DPVE_056E_DE), APPROVED ON JUNE 28, 2024. BAÑEZ 5 TO PRIORITIZE L11_GHVHW_073E_DE.STOPPED ON JULY 08, 2024. DONE STOPE PREPARATION.TRANSFER MANPOWER FROM LERIO 2 TO NITRO BB DUE HIGH GRADING, RETENTION WILL BE FORFEITED.</t>
  </si>
  <si>
    <t>SPECIAL PROJECT FOR L12 TO DSP 31 OREPASS. APPROVED ON JULY 08, 2024.TEMPORARY STOPPED ON JULY 15, 2024. TO PRIORITIZE L12_DPVE_036E_DE.</t>
  </si>
  <si>
    <t>L11_GHV_057E_WINZE</t>
  </si>
  <si>
    <t>L09_NONE_030W_XCN</t>
  </si>
  <si>
    <t>LEVEL 425</t>
  </si>
  <si>
    <t>L11_DPVE_063E_DE</t>
  </si>
  <si>
    <t>L11_GHVHW_064E_DW</t>
  </si>
  <si>
    <t>L11_DPVE_077E_DW</t>
  </si>
  <si>
    <t>L10_GHVFW_058E_WINZE STOPE PREP</t>
  </si>
  <si>
    <t>REPLACEMENT OF L10_DPVE_088E_WINZE, APPROVED ON JULY 3, 2024.TEMPORARY STOPPED ON JULY 16, 2024 TO PRIORITIZE RAISE.</t>
  </si>
  <si>
    <t>REPLACEMENT OF L08_DPVE_031E_DE_ISL. APPROVED ON JUNE 20, 2024. TOPSLICE.TEMPORARY STOPPED ON JULY 16, 2024 TO PRIORITIZE ISL.</t>
  </si>
  <si>
    <t>L09_GHV_058E_ROBBING</t>
  </si>
  <si>
    <t>L09_JV_060E_WINZE STOPE PREP</t>
  </si>
  <si>
    <t>L12_JVHW_068E_RAISE</t>
  </si>
  <si>
    <t>REPLACEMENT OF  L09_JV_059E_WINZE STOPE, APPROVED ON JUNE 10, 2024.STOPPED ON JULY 10, 2024. ALREADY REACHED RECOMMENDED STRIKELENGTH. TO BE CONVERTED TO WINZE STOPE PREP.</t>
  </si>
  <si>
    <t>L09_NONE_034E_XCS</t>
  </si>
  <si>
    <t>L11_NONE_022E_XCN</t>
  </si>
  <si>
    <t>REPLACEMENT OF L12_DPVE_055E_DE. APPROVED ON MAR 5, 2024.STOPPED ON JUNE 3, ALREADY DONE XCUT, TO PROCEED EXCAVATION OF CHAMBER.RESUMED ON JULY 13, 2024. ADDITIONAL BLASTING FOR STORAGE OF DRILLING RODS.STOPPED ON JULY 14, 2024. FINISHED HEADING.</t>
  </si>
  <si>
    <t>L10_NONE_035E_XCS</t>
  </si>
  <si>
    <t>LARGO</t>
  </si>
  <si>
    <t>L09_JV_038E_DW</t>
  </si>
  <si>
    <t>REPLACEMENT OF L09_JVSPLIT_071E_ROBBING, APPROVED ON JUN 28, 2024.CHANGED TEAM LEADER FROM MAPAYO 4 TO UDLOS 1. DUE TO PRIORITIZATION OF OREPASS EXCAVATION OF LEVEL 12 TO L425. APRPOVED ON JULY 08, 2024. 3RD SHIFT.STOPPED ON JULY 15, 2024. DUE TO PINCHED OUT VEIN.</t>
  </si>
  <si>
    <t>L12_JVHW_069E_RAISE</t>
  </si>
  <si>
    <t>L12_GHVFW_058E_RAISE</t>
  </si>
  <si>
    <t>REPLACEMENT OF L11_DPVE_018E_DE. APPROVED ON JUNE 25, 2024.CHANGE HEADING FROM L11_DPVE_018E_RAISE TO L11_DPVE_019E_RAISE. APPROVED ON JUNE 28, 2024.STOPPED ON JULY 19, 2024. DUE TO VEIN CUT BY MINERALIZED FAULT RESULTING TO LOW ASSAY GRADE.</t>
  </si>
  <si>
    <t>L11_GHVSPLIT_068E_STOPE</t>
  </si>
  <si>
    <t>.REPLACEMENT OF L09_DPVE_030E_ROBBING ON MAY 06, 2024. FILL WINZE.TEMPORARILY STOPPED ON JUNE 7, 2024 DUE TO INSUFFICIENT MANPOWER TO OPERATE THE HEADING.RESUMED ON JUNE 11, 2024.TEMPORARY STOPPED ON JULY 22, 2024 DUE TO PRIORITIZATION OF WORKPLACE.</t>
  </si>
  <si>
    <t>L11_NONE_065E_WINZE</t>
  </si>
  <si>
    <t>ADDITIONAL HORIZONTAL DRIVE. APPROVED ON JULY 16, 2024.STOPPED ON JULY 22, 2024. CONVERT TO CROSSCUT TO TARGET RESERVE BLOCKS.</t>
  </si>
  <si>
    <t>L12_DPVE_031E_DE</t>
  </si>
  <si>
    <t>L12_DPVE_032E_DW</t>
  </si>
  <si>
    <t>REPLACEMENT OF L11_GHV_055E_STOPE PREP. APPROVED ON JUNE 22, 2023. TEMPORARY STOPPED ON JUNE 26, 2023 DUE TO TIMBERING ACTIVITY AT THE WORK PLACE.RESUMED ON AUGUST 15, 2023.TEMPORARILY STOPPED ON NOVEMBER 18, 2023 FOR SAFETY EVALUATION.RESUME BREAKING ON FEBRUARY 19, 2024. AT THE SAME TIME TRANSFERRED FROM PARAN 3 TO BELICAN 1. 80% OF RETENTION OF PARAN WILL BE GIVEN TO BELICAN AS AGREED UPON BY THE CONCERNED PARTIES.STOPPED BREAKING ANG RECOMMENDED FOR PULL-OUT CLEANING STARTING ON JUNE 13, 2024 3RD SHIFT SAFETY MEMO WILL FOLLOW.STOPPED BREAKING ON JULY 2, 2024 DUE TO UNSAFE CONDITION. WILL BE CONVERTED TO PULL OUT CLEANING.STOPPED ON JULY 23, 2024. ALREADY MINED OUT WITH 97% PULLOUT.</t>
  </si>
  <si>
    <t>L11_NONE_063E_XCS</t>
  </si>
  <si>
    <t>L12_NONE_046E_XCN</t>
  </si>
  <si>
    <t>REPLACEMENT OF L09_JV_038E_DE. APPROVED ON JULY 16, 2024.STOPPED ON JULY 24, 2024. DUE TO PINCHED OUT VEIN.</t>
  </si>
  <si>
    <t>REPLACEMENT OF L08_DPVE_031E_ROBBING. APPROVED ON JULY 19, 2024.STOPPED ON JULY 25, 2024. ALREADY FINISHED HEADING.</t>
  </si>
  <si>
    <t>L08_GHVHW_005W_ROBBING</t>
  </si>
  <si>
    <t>REPLACEMENT OF L09_NONE_022W_XCS, APPROVED ON JUNE 7, 2024; 3RD SHIFT.STOPPED ON JULY 20, 2024. WILL PROCEED TO EAST SIDE.</t>
  </si>
  <si>
    <t>REPLACEMENT OF L09_NONE_056E_XCN, SILL PILLAR ROBBING. APPROVED ON JULY 17, 2024.TEMPORARY STOPPED ON JULY 23, 2024. TO PRIORITIZE BACKFILLING.</t>
  </si>
  <si>
    <t>REPLACEMENT OF L08_DPVE_060E_WINZE. APPROVED ON MAY 18, 2024.CHANGED TEAM LEADER FROM AGLOLO 4 TO CAPUYAN 2. APPROVED ON JUNE 20,  2024.STOPPED ON JULY 25, 2024. WORKING PLACE IS WITHIN THE EXCLUSION ZONE OF 048E SHAFT ON LEVEL 8.</t>
  </si>
  <si>
    <t>L09_GHVSPLIT_021W_DE</t>
  </si>
  <si>
    <t>L08_DPVE_060E_WINZE STOPE PREP</t>
  </si>
  <si>
    <t>L09_DPVE_073E_ROBBING</t>
  </si>
  <si>
    <t>REPLACEMENT OF L10_NONE_064E_XCS. APPROVED ON JULY 05, 2024.STOPPED ON JULY 19, 2024. BREAKTHROUGH WITH OLD MAINLINE.</t>
  </si>
  <si>
    <t>REPLACEMENT OF L12_GHV_069E_STOPE PREP. APPROVED ON APRIL 17, 2024.HEADING TO BE RENAMED TO L12_JVHW_064E_DW FROM L12_DPVE_064E_DW FOR CORRECT VEIN DESIGNATION ON ARIL 26, 2024.TEMPORARILY STOPPED ON MAY 28, 2024. PRIORITIZE RAISE. RESUMED AND CHANEGD TEAM LEADER FROM PARAGUYA 3 TO PANSIT NORMAN 4. APPROVED ON JUNE 21, 2024. 1ST SHIFT.STOPPED ON JULY 27, 2024. DUE TO CONSECUTIVE LOW ASSAY GRADES ON BOTH CUT AND BULK SAMPLE.</t>
  </si>
  <si>
    <t>REPLACEMENT OF L11_JVHW_047E_STOPE. APPROVED ON JULY 08, 2024.STARTING ON JULY 12, 2024 THIS WP WILL BE TRANSFERRED FROM REBOTE 1 TO COMAINGKING 1 DUE TO REASSIGNMENT OF WP.STOPPED ON JULY 29, 2024, 3RD SHIFT, DUE TO PINCHING OF VEIN AT 10TH FLOOR AND BEYOND. CONSECUTIVE LOW GRADES ON CUT AND BULK SAMPLES.</t>
  </si>
  <si>
    <t>L09_GHV_026E_RAISE</t>
  </si>
  <si>
    <t>L08_GHV_019E_WINZE STOPE</t>
  </si>
  <si>
    <t>L10_GHVSPLIT_006W_RAISE</t>
  </si>
  <si>
    <t>L08_JV_033E_ROBBING</t>
  </si>
  <si>
    <t>L11_NONE_029E_XCS</t>
  </si>
  <si>
    <t>L12_GHV_056E_STOPE PREP</t>
  </si>
  <si>
    <t>L425_GHVHW_052E_DW</t>
  </si>
  <si>
    <t>REPLACEMENT OF L12_NONE_063E_XCN. APPROVED ON JUNE 3, 2024. RESOURCE DRILLING CHAMBER.ALREADY DONE EXCAVATION AND INSTALLATION OF GROUND SUPPORT ON JULY 25, 2024.</t>
  </si>
  <si>
    <t>REPLACEMENT OF L11_GHVHW_066E_RAISE. APPROVED ON JULY 13, 2024.STOPPED ON AUG 1, 2024. PROJECTED TO BREAKTHROUGH TO AN OLD VENTILATION WINZE FROM LEVEL 10. WITH 5 METER PILLAR.</t>
  </si>
  <si>
    <t>REPLACEMENT OF L11_DPVE_029E_STOPE. APPROVED ON JULY 08, 2024.STOPPED ON AUG 2, 2024 DUE TO CONSECUTIVE LOW ASSAY RESULTED BY PINCHING OUT OF VEIN.</t>
  </si>
  <si>
    <t xml:space="preserve">REPLACEMENT OF L03_JVSPLIT_034W_ROBBING. APPROVED ON MAY 9, 2024. SILL.STOPPED ON AUG 1, 2024 ALREADY FINISHED ROBBING PILLAR.STOPPED ON AUG 1, 2024 ALREADY FINISHED ROBBING PILLAR.
</t>
  </si>
  <si>
    <t>ADDITIONAL GOOD SOURCE OF ORE. APPROVED ON MAY 17, 2024. SILL PILLAR. TEMPORARILY STOPPED ON JUNE 13, 2024 TO PRIORITIZE CLEANING AND REHAB OF MAINLINE.RESUMED ON JULY 01, 2024 AT THE SAME TIME CHANGED TEAM LEADER FROM CAPUYAN 1 TO CARIKITAN 2.CHANGE TEAMLEADER FROM CARIKITAN 2 TO CAPUYAN 3. APPROVED ON JULY 25, 2024.STOPPED ON AUGUST 03, 2024. ALREADY FINISHED HEADING.</t>
  </si>
  <si>
    <t>ADDITIONAL VERTICAL DEVELOPMENT. APPROVED ON JUNE 14, 2024. BLOCKING RAISE.RENAMED FROM L03_DPVE_025W_RAISE TO L03_CTV_025W_RAISE. FOR PROPER NAMING OF VEIN. APPROVED ON JULY 06, 2024.STOPPED ON AUGUST 01, 2024. ALREADY MADE A BREAKTHROUGH.</t>
  </si>
  <si>
    <t>ADDITIONAL WP FOR NITRO BC. APPROVED ON JULY 13, 2024.STOPPED ON AUGUST 06, 2024. DUE TO CONSECUTIVE LOW ASSAY GRADES ON BOTH CUT AND BULK SAMPLES.</t>
  </si>
  <si>
    <t>STARTED MARCH 14, 2024, FOR VENTILATION PURPOSES.STOPPED ON JUNE 06, 2024. FINISHED HEADING.</t>
  </si>
  <si>
    <t>STARTED DECEMBER 13, 2023, TIGERWAY PROJECT FOR VENTILATION PURPOSES.STOPPED ON JUNE 16, 2024. ALREADY MADE A BREAKTHROUGH.</t>
  </si>
  <si>
    <t>L11_JVFW_030E_RAISE</t>
  </si>
  <si>
    <t>REPLACEMENT OF L11_GHVSPLIT_033E_RAISE. APPROVED ON JULY 15, 2024. FILL WINZE.STOPPED ON AUGUST 06, 2024. ALREADY MADE A BREAKTHROUGH.</t>
  </si>
  <si>
    <t>L10_GHV_046E_ROBBING</t>
  </si>
  <si>
    <t>L12_GHVHW_048E_DW</t>
  </si>
  <si>
    <t>L12_NONE_048E_XCN</t>
  </si>
  <si>
    <t>L425_JV_050E_DE</t>
  </si>
  <si>
    <t xml:space="preserve">REPLACEMENT OF L08_GHVHW_005W_ROBBING. APPROVED ON JULY 31, 2024. SILL.STOPPED ON AUGUST 06, 2024. ALREADY FINISHED HEADING.
</t>
  </si>
  <si>
    <t>ADDITIONAL DEVELOPMENT DRIVE APPROVED ON JUNE 28, 2024.STOPPED ON AUGUST 08, 2024. DUE TO PINCHED OUT VEIN.</t>
  </si>
  <si>
    <t>REPLACEMENT OF L11_JVFW_026E_DW, APPROVED ON JULY 3, 2024.STOPPED ON AUGUST 06, 2024. DUE TO CONSECUTIVE LOW ASSAY GRADE AND PINCHED OUT VEIN.</t>
  </si>
  <si>
    <t xml:space="preserve">REPLACEMENT OF L12_GHV_064E_DE. APPROVED ON AUGUST 17, 2023.STOPPED ON OCT 7, 2023. ALREADY HIT TARGET VEIN.
</t>
  </si>
  <si>
    <t>L09_JV_060E_WINZE STOPE</t>
  </si>
  <si>
    <t>REPLACEMENT OF L09_JV_059E_DE_ISL. APPROVED ON JULY 17, 2024.STOPPED ON AUGUST 8, 2024. CONVERTED TO STOPE BREAKING.</t>
  </si>
  <si>
    <t>L425_GHV_054E_DE</t>
  </si>
  <si>
    <t>L425_GHV_053E_DW</t>
  </si>
  <si>
    <t>REPLACEMENT OF L03_JV_015W_DE_ISL. AUGUST 06, 2024.STOPPED ON AUGUST 9, 2024. ALREADY MADE A BREAKTHROUGH.</t>
  </si>
  <si>
    <t>REPLACEMENT OF L12_NONE_057E_CHAMBER. APPROVED ON AUGUST 07, 2024.TEMPORARILY STOPPED ON AUGUST 10, 2024. HEADING TO BE CONVERTED TO DRIFT DUE TO PRESENCE OF VEIN.</t>
  </si>
  <si>
    <t>REPLACEMENT OF L03_JV_017E_ROBBING. APPROVED ON JUNE 19, 2024. SILL PILLAR. STOPPED ON AUGUST 10, 2024. ALREADY FINISH HEADING.</t>
  </si>
  <si>
    <t xml:space="preserve">REPLACEMENT OF L12_DPVE_037E_RAISE. APPROVED ON FEB 5, 2024.TEMPORARILY STOPPED ON APRIL 08, 2024. TO PRIORITIZE L12_DPVE_039E_STOPE PREP.STOPPED ON AUGUST 6, 2024. ALREADY CONVERTED TO STOPE PREP. 
</t>
  </si>
  <si>
    <t>REPLACEMENT OF L12_GHV_061E_STOPE PREP, AT THE SAME TIME TRANSFERRED FROM OY-YOY TO PANCIT NOEL, APPROVED ON JUNE 14, 2023.RECOMMENDED TO CONDUCT  IPR FOR GRADE CONFIRMATION  ON JUNE 30, 2023. 3RD SHIFT.TEMP STOPPED TO DRIVE BLOCKING RAISE FIRST ON JULY 13, 2023.DUE TO ABSENTEEISM MANPOWER WILL BE MERGED TO L12_NONE_056E_XCS APPROVED ON JULY 13, 2023.TEMPORARY STOPPED ON AUGUST 14, 2023 DUE TO LOW CONSECUTIVE ASSAY GRADE FROM LATEST FLOOR AND IPR.RESUME BREAKING ON FEBRUARY 21, 2024 AT THE SAME TIME TRANSFER FROM PANCIT, NOEL 7 TO SHEPHERD BA .CHANGE GROUP FROM NITRO BA TO DUHIG, P2. DUE TO CONSECUTIVE LOW PERFORMANCE OF ORIGINAL GROUP. APPROVED ON JUNE 28, 2024.STOPPED BREAKING ON JULY 10, 2024. TRAVERSED ON THE SAME DAY. CONVERTED TO PULLOUT CLEANING ON JULY 11, 2024. STOPPED ON AUGUST 12, 2024. ALREADY MINED OUT 100% PULLOUT</t>
  </si>
  <si>
    <t>REPLACEMENT OF L11_NONE_014E_XCN, APPROVED ON JUNE 28, 2024.STOPPED ON JULY 22, 2024. TO PRIORITIZE ON-VEIN DRIVES.RESUMED ON AUGUST 08, 2024. AT THE SAME TIME CHANGE TEAM LEADER FROM BADBADON 2 TO MARTINEZ, DN. STOPPED ON AUGUST 12, 2024. NO FURTHER TARGET.</t>
  </si>
  <si>
    <t>L10_GHVFW_058E_WINZE STOPE</t>
  </si>
  <si>
    <t>REPLACEMENT OF L10_GHVFW_057E_DW_ISL. APPROVED ON JULY 16,2024.STOPPED ON AUGUST 12, 2024. AS WELL AS TRAVERSED ON THE SAME DAY. CONVERTED TO BREAKING.</t>
  </si>
  <si>
    <t>..</t>
  </si>
  <si>
    <t>L10_DPVE_003E_DW</t>
  </si>
  <si>
    <t>REPLACEMENT OF L10_JVFW_049E_ROBBING. APPROVED ON MAY 18, 2024. STOPPED ON AUGUST 10, 2024  DUE TO CONSECUTIVE LOW ASSAY GRADE ON BOTH CUT AND BULK SAMPLES.</t>
  </si>
  <si>
    <t>L11_GHVSPLIT_031E_RAISE</t>
  </si>
  <si>
    <t>L11_GHVHW_064E_STOPE PREP</t>
  </si>
  <si>
    <t>L11_NONE_012E_XCN</t>
  </si>
  <si>
    <t>L11_NONE_044E_XCS</t>
  </si>
  <si>
    <t xml:space="preserve">ADDITIONAL VERTICAL DEVT DRIVE, APPROVED ON JUNE 13, 2023.TEMPORARY STOPPED ON JUNE 19, 2023 TO PRIORITIZE DRIFT.RESUMED ON AUG 2, 2024 TO DRIVE APPROX. 10 METER ADVANCE BEFORE CONTINUING STOPE BREAKING.STOPPED ON AUGUST 10, 2024. RESUME BREAKING OF STOPE.
</t>
  </si>
  <si>
    <t>REPLACEMENT OF L11_NONE_051E_XCN. APPROVED ON JUNE 20, 2024.CHANGE TEAM LEADER FROM MARTINEZ, DN TO DUHIG, R. REASSIGNMENT OF WORKPLACE. APPROVED ON JULY 08, 2024.TEMPORARILY STOPPED ON JULY 22, 2024. TO PRIORITIZE FILL WINZE.RESUMED ON AUGUST 07, 2024. ADDITIONAL ADVANCE NEEDED FOR 3RD FILL WINZE. STOPPED ON AUGUST 9, 2024. ALREADY REACHED RECOMMENDED DISTANCE BASED ON DESIGN.</t>
  </si>
  <si>
    <t>L10_DPVE_085E_ROBBING</t>
  </si>
  <si>
    <t xml:space="preserve">REPLACEMENT OF L10_NONE_003E_XCS, APPROVED ON MAY 10, 2024. STOPPED ON AUGUST 15, 2024. DUE TO PINCHED OUT VEIN. MEMO TO BE FOLLOWED
</t>
  </si>
  <si>
    <t>L08_GHVFW_006W_WINZE</t>
  </si>
  <si>
    <t>REPLACEMENT OF L11_GHVHW_058E_DE. APPROVED ON APRIL 22, 2024.TEMPORARILY STOPPED ON MAY 14, 2024. TO PRIORITIZE RAISE PREP DUE TO CURRENT STOPE PREP WITHIN THE SAME MAINLINE.RESUMED AS WELL AS CHANGED TEAMLEADER FROM PANCIT, NOEL 3 TO BAÑEZ 5, APPROVED ON JUNE 1, 2024; 1ST SHIFT.TEMPORARY STOPPED ON  JUNE 18, 2024. MANPOWER WILL BE TRANSFERRED TO L11_GHVHW_069E_RAISE.RESUMED ON JUNE 28, 2024; 2ND SHIFT. STOPPED ON AUGUST 14, 2024. DUE TO LOW GRADE ON CUT/BULK SAMPLES.</t>
  </si>
  <si>
    <t>ADDITIONAL HORIZONTAL DRIVE. APPROVED ON JULY 16, 2024. STOPPED ON AUGUST 14, 2024. DUE TO PINCHED OUT VEIN ON CURRENT FACE.</t>
  </si>
  <si>
    <t>REPLACEMENT OF L08_GHVHW_012W_WINZE. APPROVED ON MARCH 4, 2024.TEMPORARY STOPPED ON MARCH 08, 2024 TO PRIORITIZED L08_GHVHW_009W_ROBBING, TOPSLICE.RESUMED ON AUGUST 03, 2024 AT THE SAME TIME CHANGE TEAM LEADER FROM CARIKITAN 1 TO CAPUYAN 3. STOPPED ON AUGUST 15, 2024. ALREADY FINISHED HEADING.</t>
  </si>
  <si>
    <t>L08_NONE_077E_XCN</t>
  </si>
  <si>
    <t>L09_DPVE_085E_DW_ISL</t>
  </si>
  <si>
    <t>L12_JV_063E_STOPE</t>
  </si>
  <si>
    <t xml:space="preserve">ADDITIONAL SOURCE OF ORE. APPROVED ON JUNE 26, 2024. MANPOWER FROM LEVEL 09.STOPPED ON AUGUST 14, 2024. DONE STOPE PREPARATION.
</t>
  </si>
  <si>
    <t>REPLACEMENT OF L12_JV_060E_STOPE PREP. APPROVED ON MAY 13, 2024. STOP BREAKING ON AUGUST 14, 2024. DUE TO PINCHED OUT VEIN ON LAST BACK. TO BE CONVERTED TO PULLOUT CLEANING AFTER CLOSE TRAVERSE.CONVERTED TO PULLOUT. APPROVED ON AUGUST 15, 2024.</t>
  </si>
  <si>
    <t>L425_NONE_046E_XCN</t>
  </si>
  <si>
    <t>L12_GHVSPLIT_071E_DE</t>
  </si>
  <si>
    <t>L12_GHVSPLIT_044E_DE</t>
  </si>
  <si>
    <t>REPLACEMENT OF L11_NONE_065E_XCN. APPROVED ON JULY 22, 2024.TEMPORARY STOPPED ON AUGUST 07, 2024. TO PRIORITIZE L11_NONE_065E_XCN FOR ADDITIONAL TARGET FILL WINZE. RESUMED ON AUGUST 12, 2024 (3RD SHIFT). STOPPED ON AUGUST 17, 2024. ALREADY FINISHED HEADING.</t>
  </si>
  <si>
    <t>L11_DPVE_008E_DE</t>
  </si>
  <si>
    <t>L11_DPVE_009E_DW</t>
  </si>
  <si>
    <t>L425_NONE_035E_SHAFT STATION</t>
  </si>
  <si>
    <t>L03_CTV_025W_STOPE PREP</t>
  </si>
  <si>
    <t>REPLACEMENT OF L10_GHVSPLIT_008W_DW. APPROVED ON JULY 30, 2024.CHANGE TEAM LEADER FROM NITRO AY TO NITRO BC. APPROVED ON AUGUST 07, 2024.TEMPORARY STOPPED ON JULY 31, 2024 DUE TO INSTALLATION OF GROUND SUPPORT.RESUMED ON AUGUST 07, 2024. STOPPED ON AUGUST 19, 2024. ALREADY MADE A BREAKTHROUGH. UNACCESSIBLE DUE TO COLLAPSED MAINLINE.</t>
  </si>
  <si>
    <t>FOR VENTILATION PURPOSE. 7 METERS. STOPPED ON AUGUST 17, 2024. ALREADY MADE A BREAKTHROUGH.</t>
  </si>
  <si>
    <t>REPLACEMENT OF L11_GHVFW_032E_DW. APPROVED ON JUNE 29, 2024. STOPPED ON JULY 10, 2024. TO PRIORITIZE OTHER DEVELOPMENTS.</t>
  </si>
  <si>
    <t>REPLACEMENT OF L11_DPVE_019E_STOPE. APPROVED ON JUNE 25, 2024.STOPPED ON JULY 01, 2024. DUE TO VEIN SWERVES AND MAY POSSIBLY BREAKTHROUGH TO ITS ADJACENT MAINLINE.</t>
  </si>
  <si>
    <t xml:space="preserve">REPLACEMENT OF L11_GHVHW_058E_DE. APPROVED ON APRIL 10, 2024.TRANSFERRED FROM PANCIT, NOEL 3 TO MARTINEZ, DN. APPROVED ON APRIL 17, 2024. STOPPED ON MAY 05, 2024. 4 MINERS SUSPENDED. LATE MEMO FROM NPRI (MAY 09, 2024)
</t>
  </si>
  <si>
    <t>ADDITIONAL VERTICAL DEVELOPMENT DRIVE. APPROVED ON JAN 15, 2024. STOPPED ON MARCH 12, 2024.  TO PRIORITIZED L11_JV_060E_STOPE PREP.</t>
  </si>
  <si>
    <t>REPLACEMENT OF L11_GHVHW_058E_DE. APPROVED ON MAY 14, 2024.TEMPORARILY STOPPED ON MAY 23, 2024. INSUFFICIENT MANPOWER TO OPERATE HEADING DUE TO AWOL AND DISMISSAL OF MANPOWER.RESUMED ON MAY 27, 2024. AT THE SAME TIME CHANGE TEAM LEADER FROM NITRO BF 3 TO BADBADON 2. STOPPED ON JUNE 27, 2024. PRIORITZATION OF ON-VEIN DRIVE.</t>
  </si>
  <si>
    <t xml:space="preserve">REPLACEMENT OF L11_DPVE_033E_RAISE. APPROVED ON DEC 7, 2023. TRANSFERRED FROM TORMIS 1 TO TURRA 1, SWAP TL MGMT DECISION, APPROVED ON JAN 22, 2024. STOPPED ON JAN 31, 2024, CONVERTED TO ONVEIN DRIVE.
</t>
  </si>
  <si>
    <t>REPLACEMENT OF L11_DPVE_076E_RAISE, SPECIAL PROJECT, VENTILATION DRIVE FOR BREAKTHROUGH, 16 METERS ADVANCE.APPROVED ON AUGUST 01, 2024. STOPPED ON AUGUST 17, 2024. ALREADY MADE A BREAKTHROUGH.</t>
  </si>
  <si>
    <t>REPLACEMENT OF L11_DPVE_012E_DE. FOR SWITCH INSTALLATION. APPROVED ON AUGUST 14, 2024. STOPPED ON AUGUST 21, 2024. ALREADY REACHED DESIRED DISTANCE FOR TURN OUT PREP.</t>
  </si>
  <si>
    <t>REPLACEMENT OF L11_JVHW_021E_RAISE. APPROVED ON AUGUST 07, 2024. TEMPORARILY STOPPED ON AUGUST 22, 2024. FOR REASSESSMENT OF WORKPLACE WITHIN THE VICINITY OF LEVEL 10 MAGAZINE EXCLUSION ZONE.</t>
  </si>
  <si>
    <t>NITRO BK 1</t>
  </si>
  <si>
    <t>L11_NONE_049E_XCN_WIDENING</t>
  </si>
  <si>
    <t xml:space="preserve">FOR VENTILATION PURPOSE. APPROVED ON MAY 4,2024. STOPPED ON AUGUST 21, 2024. ALREADY FINISHED HEADING. </t>
  </si>
  <si>
    <t xml:space="preserve">REPLACEMENT OF L11_DPVE_024E_DW. APPROVED ON JULY 11, 2024.CHANGE TEAM LEADER FROM BAÑEZ 6 TO DUHIG, R. APPROVED ON JULY 23, 2024. STOPPED ON AUGUST 22, 2024 (3RD SHIFT) DUE TO CONSECUTIVE LOW ASSAY GRADES AND WITH NO FURTHER TARGETS. </t>
  </si>
  <si>
    <t>REPLACEMENT OF L03_JV_014W_WINZE. APPROVBD ON MAY 11, 2024.TEMPORARY STOPPED ON AUGUST 06, 2024. 3RD SHIFT TO PRIORITIZE L03_CTV_010W_RAISE.RESUMED ON AUGUST 12, 2024.STOPPED ON AUGUST 23, 2024. HEADING IS PROJECTED TO BREAKTHROUGH TO AN OLD STOPE. CURRENT FACE ALSO EXHIBITS POOR VEIN MINERALIZATION.</t>
  </si>
  <si>
    <t>L10_DPVE_050E_ROBBING</t>
  </si>
  <si>
    <t>ADDITIONAL GOOD SOURCE OF ORE. APPROVED ON AUGUST 07, 2024. TOPSLICE .TEMPORARY STOPPED ON AUGUST 27, 2024. TO DRIVE WINZE.</t>
  </si>
  <si>
    <t>L10_GHV_047E_WINZE</t>
  </si>
  <si>
    <t>L11_DPVE_079E_RAISE</t>
  </si>
  <si>
    <t>L12_GHVHW_053E_RAISE</t>
  </si>
  <si>
    <t>REPLACEMENT OF L09_DPVE_068E_WINZE, APPROVED ON MAY 31, 2024; 3RD SHIFT. TOPSLICE.TEMPORARILY STOPPED ON JULY 18, 2024. DUE TO ABSENTEEISM OF MEN RESULTING TO ABANDONMENT OF WORKPLACE. MEMO FROM NPRI.RESUMED ON JULY 22, 2024.CHANGED TEAM LEADER FROM PANSIT NORMAN 4 TO UDLOS 1. APPROVED ON JULY 25, 2024. STOPPED ON AUGUST 20, 2024. ALREADY FINISHED HEADING.</t>
  </si>
  <si>
    <t>L12_GHV_056E_STOPE</t>
  </si>
  <si>
    <t>REPLACEMENT OF L12_JVHW_064E_DW, APPROVED ON JULY 31, 2024.STOPPED ON AUGUST 27, 2024. ALREADY DONE STOPE PREP FOR STOPE BREAKING.</t>
  </si>
  <si>
    <t>ADDITIONAL SOURCE OF GOOD ORE. APPROVED ON JULY 26, 2024.TOPSLICE. STOPPED ON AUGUST 28, 2024. ALREADY FINISHED HEADING/ MINED OUT.</t>
  </si>
  <si>
    <t>L09_DPVE_065E_DE</t>
  </si>
  <si>
    <t>NITRO AA</t>
  </si>
  <si>
    <t>L09_DPVE_031E_ROBBING</t>
  </si>
  <si>
    <t xml:space="preserve">REPLACEMENT OF L12_GHVSPLIT_059E_DE_ISL, APPROVED ON 19-MARCH-2024. TIGERWAY SPECIAL PROJECT.TEMPORARILY STOPPED ON MARCH 26, 2024. TO PRIORITIZE TIGERWAY OREPASS ACCESS. RESUMED ON JULY 08, 2024. STOPPED ON AUGUST 28, 2024. ALREADY REACHED RECOMMENDED DISTANCE BASED ON DESIGN.
</t>
  </si>
  <si>
    <t>REPLACEMENT OF L11_DPVE_009E_DE. APPROVED ON JULY 25, 2024. TO FOLLOW CHECKLIST. CHANGE GROUP FROM BADBADON 2 TO MARTINEZ, DN. APPROVED ON AUGUST 14, 2024. RENAMED FROM L11_DPVE_008E_DW TO  L11_DPVE_009E_DW. APPROVED ON AUGUST 17, 2024. STOPPED ON AUGUST 28, 2024. DUE TO POSSIBLE BREAKTHROUGH ON ADJACENT HEADING.</t>
  </si>
  <si>
    <t>REPLACEMENT OF L11_DPVE_063E_DE. AT THE SAME TIME CHANGE TEAM LEADER FROM SILVOZA 1 TO BELICAN 1. APPROVED ON JULY 23, 2024. STOPPED ON AUGUST 28, 2024. ALREADY REACHED RECOMMENDED STRIKELENGTH. NO FURTHER TARGET.</t>
  </si>
  <si>
    <t>REPLACEMENT OF L11_DPVE_012E_DE. APPROVED ON JULY 23, 2024.TEMPORARY STOPPED ON JULY 25, 2024. TO PRIORITIZE L11_DPVE_008E_DW. RENAMED FROM L11_DPVE_009E_DE TO L11_DPVE_008E_DE. APPROVED ON AUGUST 17, 2024. RESUMED ON AUGUST 22, 2024 AS REPLACEMENT OF L11_NONE_012E_XCN. AT THE SAME TIME CHANGE GROUP FROM BADBADON 2 TO MARTINEZ DN. TEMPORARILY STOPPED ON AUGUST 28, 2024. PRIORITIZE RAISE PREP.</t>
  </si>
  <si>
    <t>L11_DPVE_012E_RAISE</t>
  </si>
  <si>
    <t>L12_GHVSPLIT_047E_RAISE</t>
  </si>
  <si>
    <t>L12_DPVE_045E_RAISE</t>
  </si>
  <si>
    <t>L11_DPVE_010E_DE</t>
  </si>
  <si>
    <t>L11_GHVSPLIT_020E_RAISE</t>
  </si>
  <si>
    <t>L12_GHVFW_051E_DW</t>
  </si>
  <si>
    <t>L11_NONE_039E_ML_WIDENING</t>
  </si>
  <si>
    <t>REPLACEMENT OF L08_GHV_019E_WINZE STOPE PREP. APPROVED ON JULY 30, 2024.STOPPED BREAKING ON AUGUST 29, 2024. DONE STOPE TRAVERSE.CONVERTED TO PULLOUT CLEANING. APPROVED ON AUGUST 29, 2024.</t>
  </si>
  <si>
    <t>REPLACEMENT OF L09_GHV_026E_RAISE. APPROVED ON AUGUST 28, 2024. STOPPED ON AUGUST 31, 2024. THE VEIN HAS BEEN OBSERVED TO SWERVE AND MIGHT POTENTIALLY  BREAKTHOUGH TO ITS ADJACENT MAINLINE.</t>
  </si>
  <si>
    <t>L09_GHVHW_033W_DW</t>
  </si>
  <si>
    <t>L09_GHV_057E_ROBBING</t>
  </si>
  <si>
    <t>FERNANDEZ 4</t>
  </si>
  <si>
    <t>NITRO BQ</t>
  </si>
  <si>
    <t>NITRO BN</t>
  </si>
  <si>
    <t>NITRO BM</t>
  </si>
  <si>
    <t>NITRO BR</t>
  </si>
  <si>
    <t>ADDITIONAL GOOD SOURCE OF ORE. APPROVED ON AUGUST 15, 2024. SILL. STOPPED ON SEPTEMBER 04, 2024. FINISHED HEADING.</t>
  </si>
  <si>
    <t>L12_NONE_046E_WINZE</t>
  </si>
  <si>
    <t>REPLACEMENT OF L09_DPVE_082E_WINZE STOPE PREP. APPROVED ON MAY 13, 2024.STOPPED BREAKING ON AUGUST 29, 2024. FOR PULLOUT CLEANING AFTER STOPE TRAVERSE.CONVERTED TO PULLOUT CLEANING. APPROVED ON SEPTEMBER 3, 2024.</t>
  </si>
  <si>
    <t>L11_GHVHW_064E_STOPE</t>
  </si>
  <si>
    <t>REPLACEMENT OF L11_DPVE_027E_STOPE PREP, APPROVED ON JUNE 13, 2024. STOPPED BREAKING ON SEPTEMBER 06, 2024. DUE TO CONSECUTIVE LOW ASSAY GRADE.</t>
  </si>
  <si>
    <t xml:space="preserve">REPLACEMENT OF L11_GHVHW_064E_DW. APPROVED ON AUGUST 14, 2024. STOPPED ON SEPTEMBER 03, 2024. DONE STOPE PREPARATION.
</t>
  </si>
  <si>
    <t xml:space="preserve">REPLACEMENT OF L11_DPVE_041E_STOPE PREP. APPROVED ON MARCH 02, 2024.STOPPED BREAKING ON SEPTEMBER 05, 2024.
</t>
  </si>
  <si>
    <t>L10_DPVE_019E_DW</t>
  </si>
  <si>
    <t xml:space="preserve">REPLACEMENT OF L09_GHVSPLIT_023W_DW. APPROVED ON JULY 24, 2024. 3RD SHIFT. STOPPED ON SEPTEMBER 07, 2024. ALREADY REACHED THE RECOMMENDED STRIKE LENGTH.
</t>
  </si>
  <si>
    <t>L09_GHVSPLIT_022W_RAISE</t>
  </si>
  <si>
    <t>STOPPED BREAKING AND CONVERT TO PULL-OUT ON MARCH 18, 2023. AT THE SAME TIME TRAVERSED ON THE SAME DAY.STOPPED ON APRIL 24, 2023 DUE TO CONSECUTIVE LOW ASSAY GRADE. IT SHOWED AVERAGE OF  3.32GPT W/ 67% PULL-OUT MC W/ 500 REMAINING MC. RESUME PULLOUT ON SEPTEMBER 02, 2024. IDENTIFIED LOW GRADE STOPE FOR PULLOUT. CHANGE GROUP TO NITRO AX. CANCELLED PULL-OUT DUE TO LOW MILL GRADE.</t>
  </si>
  <si>
    <t>L10_DPVE_003E_DE</t>
  </si>
  <si>
    <t>ADDITIONAL GOOD SOURCE OF ORE. APPROVED ON AUGUST 27, 2024. SILL .STOPPED ON SEPTEMBER 9, 2024. ALREADY FINISHED HEADING.</t>
  </si>
  <si>
    <t>L10_JVSPLIT_049E_ROBBING</t>
  </si>
  <si>
    <t>ADDITIONAL WORKING PLACE. APPROVED ON AUGUST 12, 2024. CHANGED TEAM LEADER FROM CAYMAN 2 TO PANSIT NORMAN 5. APPROVED ON AUGUST 26, 2024. STOPPED ON SEPTEMBER 07, 2024. DUE TO PINCHED OUT VEIN.</t>
  </si>
  <si>
    <t>NITRO BO</t>
  </si>
  <si>
    <t>L08_DPVE_060E_WINZE STOPE</t>
  </si>
  <si>
    <t>REPLACEMENT OF L08_DPVE_060E_DW_ISL , APPROVED ON JULY 26, 2024. STOPPED ON SEPTEMBER 04, 2024. FINISHED STOPE PREP.</t>
  </si>
  <si>
    <t>NITRO BP</t>
  </si>
  <si>
    <t>REPLACEMENT OF L08_GHV_019E_WINZE STOPE PREP. APPROVED ON JULY 30, 2024.STOPPED BREAKING ON AUGUST 29, 2024. DONE STOPE TRAVERSE.CONVERTED TO PULLOUT CLEANING. APPROVED ON AUGUST 29, 2024. STOPPED ON SEPTEMBER 07, 2024. ALREADY MINED OUT.</t>
  </si>
  <si>
    <t>REPLACEMENT OF L11_GHV_038E_DW. APPROVED ON AUGUST 10, 2024. STOPPED ON SEPTEMBER 06, 2024. OPERATIONAL CONCERN DUE TO SUDDEN CHANGE IN DIPPING MAKING ADVANCE DIFFICULT.</t>
  </si>
  <si>
    <t>L11_DPVE_034E_RAISE</t>
  </si>
  <si>
    <t>L08_GHV_019E_ROBBING</t>
  </si>
  <si>
    <t>L11_NONE_005E_XCN</t>
  </si>
  <si>
    <t>L11_DPVE_006E_DW</t>
  </si>
  <si>
    <t>ADDITIONAL HORIZONTAL DEVELOPMENT. SPECIAL PROJECT TO ACCESS DSP 20 VENTILATION RAISE FOR FUTURE OREPASS. APPROVED ON JULY 18, 2024.STOPPED ON AUGUST 01, 2024. ALREADY FINISHED HEADING.RESUMED ON AUGUST 07, 2024  FOR ADDITIONAL WIDENING FOR INSTALLATION OF COLLAR SUPPORT AND GRIZZLY. STOPPED ON SEPTEMBER 07, 2024. ALREADY FINISHED HEADING.</t>
  </si>
  <si>
    <t>REPLACEMENT OF L08_GHVHW_011W_ROBBING. APPROVED ON AUGUST 19, 2024. STOPPED ON SEPTEMBER 11, 2024. ALREADY MADE BREAKTHROUGH.</t>
  </si>
  <si>
    <t xml:space="preserve">REPLACEMENT OF L11_NONE_037E_XCN. APPROVED ON APRIL 15, 2024. 3RD SHIFT.TEMPORARILY STOPPED ON MAY 08, 2024. TO PRIORITIZE EAST EXTENSION OF VEIN.RESUMED ON MAY 15, 2024. MANPOWER CHANGED FROM TORMIS 1 TO PANCIT, NOEL.CHANGE TEAM LEADER FROM NITRO BF TO MARTINEZ DN.TEMPORARILY STOPPED ON MAY 28, 2024. PRIORITIZE RAISE. VEIN FOR EVALUATION OF MINE GEO.RESUMED ON JUNE 6, 2024; 3RD SHIFT AS WELL AS CHANGED TEAM LEADER FROM MARTINEZ, DN 5 TO NITRO BE 1.TEMPORARILY STOPPED ON AUGUST 10, 2024. TO PRIORITIZE RAISE PREP. RESUMED ON AUGUST 23, 2024. AT THE SAME TIME CHANGE TEAM LEADER FROM NITRO BE 1 TO NITRO BK 1. STOPPED ON SEPTEMBER 11, 2024. POSSIBLE BREAKTHROUGH OF OTHER HEADING.
</t>
  </si>
  <si>
    <t>L11_DPVE_014E_STOPE PREP</t>
  </si>
  <si>
    <t xml:space="preserve">REPLACEMENT OF L11_DPVE_022E_RAISE. APPROVED ON JULY 08, 2024.TEMPORARY STOPPED ON JULY 17, 2024 TO PRIORITIZE 22E XCN.RESUMED ON JULY 23, 2024. AT THE SAME TIME CHANGE TEAM LEADER FROM BADBADON 3 TO PARAN. TEMPORARILY STOPPED ON AUGUST 13, 2024. DUE TO LOW PERFORMANCE OF GROUP ASSIGNED. MANPOWER FOR EVALUATION. RESUMED ON AUGUST 15, 2024. CHANGE TEAM LEADER FROM PARAN TO NITRO BB 1. STOPPED ON SEPTEMBER 11, 2024, 3RD SHIFT. 
.
</t>
  </si>
  <si>
    <t>NITRO BK</t>
  </si>
  <si>
    <t>REPLACEMENT OF L11_DPVE_027E_STOPE PREP, APPROVED ON JUNE 13, 2024. STOPPED BREAKING ON SEPTEMBER 06, 2024. DUE TO CONSECUTIVE LOW ASSAY GRADE. CONVERTED TO PULLOUT. APPROVED ON SEPTEMBER 07, 2024.STOPPED ON SEPTEMBER 11, 2024. ALREADY MINED OUT.</t>
  </si>
  <si>
    <t>L11_JVHW_067E_RAISE</t>
  </si>
  <si>
    <t>L11_DPVE_061E_DW</t>
  </si>
  <si>
    <t>L11_DPVE_065E_DE</t>
  </si>
  <si>
    <t>NITRO BI</t>
  </si>
  <si>
    <t>ADDITIONAL VERTICAL DEVELOPMENT. APPROVED ON AUGUST 17, 2024.  STOPPED ON SEPTEMBER 13, 2024 DUE TO CONSECUTIVE LOW ASSAY GRADE.</t>
  </si>
  <si>
    <t>L10_DPVE_004E_DW</t>
  </si>
  <si>
    <t>L08_DPVE_018W_DE</t>
  </si>
  <si>
    <t>L08_DPVE_020W_DW</t>
  </si>
  <si>
    <t>REPLACEMENT OF L10_DPVE_096E_STOPE PREP. APPROVED ON JUNE 22, 2023.TEMPORARY STOPPED ON DECEMBER 6, 2023 DUE TO UNSAFE CONDITION OF THE WORKPLACE BASED ON THE JOINT EVALUATION AND ASSESSMENT OF THE CONCERNED DEPARTMENTS AFTER THE EARTHQUAKE INCIDENT. FOR FURTHER EVALUATION.RESUMED ON MARCH 26, 2024. CHANGE TEAM LEADER FROM BAÑEZ TO AMBONGAN.CONVERTED TO PULLOUT. RESUMED ON MARCH 26, 2024. CHANGE TEAM LEADER FROM BAÑEZ TO AMBONGAN. TEMPORARY STOPPED ON SEPTEMBER 17, 2024. DUE TO UNSERVICEABLE AREA.</t>
  </si>
  <si>
    <t>REPLACEMENT OF L10_GHVFW_058E_WINZE STOPE PREP. APPROVED ON AUGUST 12, 2024. STOPPED BREAKING ON SEPTEMBER 18, 2024. AS WELL AS TRAVERSED ON THE SAME DAY. CONVERT TO PULL-OUT.</t>
  </si>
  <si>
    <t xml:space="preserve">REPLACEMENT OF L10_GHVSPLIT_006W_DW. APPROVED ON JULY 09, 2024.TEMPORARY STOPPED ON JULY 30, 2024. TO PRIORITIZE L10_NONE_097E_XCS. RESUMED ON AUGUST 16, 2024. AT THE SAME TIME CHANGED TEAM LEADER FROM NITRO BD 1 TO NITRO BC 1. MEMO TO BE FOLLOWED. TEMPROARY STOPPEN ON AUGUST 16, 2024. MANPOWER LOWERED AT LEVEL 12. RESUMED ON SEPTEMBER 07, 2024. AT THE SAME TIME TRANSFERRED TO LARGO. TEMPORARY STOPPED ON SEPTEMBER 17, 2024. TO PRIORITIZE L10_NONE_012W_XCS. 
</t>
  </si>
  <si>
    <t>L10_NONE_012W_XCS</t>
  </si>
  <si>
    <t>039W</t>
  </si>
  <si>
    <t>L12_TIGERWAY_DSP29B_WIDENING</t>
  </si>
  <si>
    <t>NITRO BA 1</t>
  </si>
  <si>
    <t xml:space="preserve">L12 </t>
  </si>
  <si>
    <t>DSP29B</t>
  </si>
  <si>
    <t>L12 _TIGERWAY_DSP29B_WIDENING</t>
  </si>
  <si>
    <t>L425_NONE_049E_SUMP</t>
  </si>
  <si>
    <t>L425_GHVSPLIT_043E_DW</t>
  </si>
  <si>
    <t>L425_GHVSPLIT_059E_DW</t>
  </si>
  <si>
    <t>L425_GHVSPLIT_051E_DW</t>
  </si>
  <si>
    <t>L03_JV_015W_DW_ISL</t>
  </si>
  <si>
    <t>L09_DPVE_092E_DW</t>
  </si>
  <si>
    <t>L09_DPVE_093E_DE</t>
  </si>
  <si>
    <t>L11_DPVE_047E_STOPE PREP</t>
  </si>
  <si>
    <t>REPLACEMENT OF L12_JV_060E_STOPE PREP. APPROVED ON MAY 13, 2024. STOP BREAKING ON AUGUST 14, 2024. DUE TO PINCHED OUT VEIN ON LAST BACK. TO BE CONVERTED TO PULLOUT CLEANING AFTER CLOSE TRAVERSE.CONVERTED TO PULLOUT. APPROVED ON AUGUST 15, 2024. DECLARED MINED OUT ON SEPT 19, 2024 W/ 91% PULL OUT (175MC REMAINING).</t>
  </si>
  <si>
    <t xml:space="preserve">REPLACEMENT OF L08_GHV_019E_WINZE STOPE. APPROVED ON SEPTEMBER 10, 2024. SILL PILLAR. FINISHED ROBBING AND DECLARED MINED-OUT ON SEP. 19, 2024. </t>
  </si>
  <si>
    <t>REPLACEMENT OF L09_JV_060E_WINZE STOPE PREP. APPROVED ON AUGUST 8, 2024. STOPPED BREAKING ON SEPTEMBER 18, 2024. AS WELL AS TRAVERSED ON THE SAME DAY. CONVERT TO PUL-OUT CLEANING.</t>
  </si>
  <si>
    <t xml:space="preserve">REPLACEMENT OF L11_GHVHW_069E_STOPE PREP. APPROVED ON JULY 08, 2024.TRANSFER MANPOWER FROM LERIO 2 TO NITRO BB DUE HIGH GRADING ON JULY 15, 2024, RETENTION WILL BE FORFEITED.TEMPORARILY STOPPED ON AUGUST 26, 2024. DUE TO CONSECUTIVE LOW ASSAY GRADE ON SAMPLES. MINE GEO RECOMMENDS TO RESUME THE EXPLORATORY RAISE. RESUMED ON SEPTEMBER 19, 2024. STOPPED BREAKING DUE TO LOW GRADE, ALREADY CONDUCTED STOPE TRAVERSE. STARTED PULL OUT STOPE ON SEPT 19, 2024. </t>
  </si>
  <si>
    <t xml:space="preserve">REPLACEMENT OF L11_NONE_063E_XCS. APPROVED ON SEPTEMBER 02, 2024. RENAMED TO L11_DPVE_066E_DE FROM L11_DPVE_065E_DE TO AVOID MISCHARGING WITH L11_DPVE_065E_DW. APPROVED ON SEPTEMBER 12, 2024, 1ST SHIFT. STOPPED ON SEPT 19, 2024 DUE TO LOW GRADE. </t>
  </si>
  <si>
    <t>REPLACEMENT OF L11_GHVHW_073E_DE. APPROVED ON MAY 14, 2024.TEMPORARILY STOPPED TO PRIORITIZE L11_GHV_038E_DW. APPROVED ON MAY 15,2024.RESUMED ON MAY 27, 2024.TEMPORARILY STOPPED ON JUNE 14, 2024. MANPOWER WILL BE TRANSFERED TO LEVEL 12.RESUMED ON JUNE 18, 2024. AT THE SAME TIME CHANGED TEAM LEADER FROM PANCIT, NOEL 3 TO BAÑEZ 5.STOPPED ON JUNE 18, 2024. CONVERTED TO STOPE PREP. RESUMED ON AUGUST 26, 2024. TO EXPLORE UP DIP EXTENSION OF L11_GHVHW_069E_STOPE. CHANGE GROUP FROM BAÑEZ TO NITRO BB. ALREADY DONE RAISING, STOPPED DUE TO LOW GRADE ON SEPT 19, 2024.</t>
  </si>
  <si>
    <t xml:space="preserve">REPLACEMENT OF L11_DPVE_021E_WINZE. APPROVED ON APRIL 05, 2024.RENAMED FROM L11_DPVE_047E_WINZE TO L11_DPVE_050E_WINZE. TO AVOID MISCHARGING WITH L11_JVHW_047E_STOPE PREP. APPROVED APRIL 12, 2024. STOPPED ON SEPT 19, 2024, ALREADY BREAKTHROUGH TO AN OLD MAINLINE. </t>
  </si>
  <si>
    <t>REPLACEMENT OF L11_NONE_044E_XCS. APPROVED ON AUGUST 23, 2024. GRADE CONTROL SAMPLING AREA. ALREADY DONE EXCAVATION OF GRADE CONTROL STATION. SEPT 19, 2024.</t>
  </si>
  <si>
    <t xml:space="preserve">REPLACEMENT OF L11_NONE_065E_WINZE. APPROVED ON AUGUST 19, 2024. CHANGE HEADING FROM L11_DPVE_047E_RAISE TO L11_DPVE_034E_RAISE. TO AVOID MISCHARGING WITH L12_GHVSPLIT_047E_RAISE. APPROVED ON SEPTEMBER 09, 2024. STOPPED AND WAS CONVERTED TO STOPE PREPARATION ON SEPT 20, 2024. 
</t>
  </si>
  <si>
    <t>L08_DPVE_043E_WINZE</t>
  </si>
  <si>
    <t xml:space="preserve">REPLACEMENT OF L09_DPVE_082E_WINZE STOPE PREP. APPROVED ON MAY 13, 2024.STOPPED BREAKING ON AUGUST 29, 2024. FOR PULLOUT CLEANING AFTER STOPE TRAVERSE.CONVERTED TO PULLOUT CLEANING. APPROVED ON SEPTEMBER 3, 2024. STOPPED ON SEPTEMBER 21, 2024. ALREADY MINED OUT. </t>
  </si>
  <si>
    <t>L09_DPVE_073E_DW_ISL</t>
  </si>
  <si>
    <t xml:space="preserve">REPLACEMENT OF L09_DPVE_062E_DW. APPROVED ON MAY 7, 2024. CROWN PILLAR.STOPPED ON JULY 2, 2024. ALREADY FINISHED HEADING.RESUMED ON AUGUST 07, 2024. AT THE SAME TIME CHANGE TEAM LEADER FROM NITRO AA 1 TO FABROA 1.  TEMPORARY STOPPED TO PRIORITIZE SILL PILLAR L09_DPVE_064E_ROBBING. APPROVED ON SEPTEMBER 23, 2024. </t>
  </si>
  <si>
    <t xml:space="preserve">REPLACEMENT OF L09_DPVE_074E_ROBBING. APPROVED ON AUGUST 27, 2024. TEMPORARY STOPPED ON SEPTEMBER 03, 2024 DUE TO SAFETY CONCERN.  RESUMED ON SEPTEMBER 5, 2024. SAFETY CONCERN ALREADY ADDRESSED. ALREADY STOPPED ON SEPTEMBER 09, 2024. </t>
  </si>
  <si>
    <t>L03_CTV_025W_STOPE</t>
  </si>
  <si>
    <t xml:space="preserve">ADDITIONAL SOURCE OF GOOD ORE. APPROVED ON AUGUST 20, 2024. STOPPED ON SEPTEMBER 17, 2024. AT THE SAME TIME CONVERT TO STOPE BREAKING.
</t>
  </si>
  <si>
    <t>L09_GHV_017E_DW_ISL</t>
  </si>
  <si>
    <t>L11_JVFW_073E_RAISE</t>
  </si>
  <si>
    <t xml:space="preserve">REPLACEMENT OF L11_DPVE_009E_DW. APPROVED ON AUGUST 29, 2024. TEMPORARY STOPPED ON SEPTEMBER 12, 2024 DUE TO MP ISSUE LOW PERFORMING. RESUMED ON SEPTEMBER 17, 2024. STOPPED ON SEPT 23, 2024, VEIN PINCHED OUT. </t>
  </si>
  <si>
    <t xml:space="preserve">REPLACEMENT OF L11_DPVE_028E_STOPE PREP. APPROVED ON APRIL 29,2024.TEMPORARY STOPPED BREAKING ON AUG 2, 2024 TO RESUME L11_DPVE_028E_RAISE TO DRIVE ATLEAST 10 METERS TO ESTABLISH ISLAND PILLAR FOR THE STOPE (LOW GRADE PORTION). RESUME BREAKING ON AUGUST 12, 2024. STOPPED BREAKING ON SEPT 23, 2024. CONVERT TO STOPE CLEANING, ALREADY TRAVERSED. 
</t>
  </si>
  <si>
    <t xml:space="preserve">REPLACEMENT OF L09_DPVE_086E_WINZE. APPROVED ON JUNE 25, 2024.TEMPORARILY STOPPED ON JUNE 26, 2024. FOR FURTHER SAFETY EVALUATION. RESUMED ON JULY 2, 2024.TEMPORARY STOPPED ON JULY 23, 2024 DUE TO INSUFFICIENT MANPOWER TO OPERATED THE HEADING.RESUMED ON JULY 25, 2024. CHANGED TEAM LEADER FROM QUIJANO 2 TO PANSIT NORMAN 4. APPROVED ON JULY 25, 2024. RENAMED FROM L09_DPVE_085E_DE_ISL TO L09_DPVE_085E_DW_ISL. APPROVED ON AUGUST 19, 2024. CHANGED TEAM LEADER FROM PANSIT NORMAN 4 TO FABROA 2. APPROVED ON AUGUST 20, 2024. STOPPED ON SEPTEMBER 25, 2024. RECOMMENDED TO CONVERT THE ISL TO WINZE STOPE PREP. 
</t>
  </si>
  <si>
    <t>L09_DPVE_085E_WINZE STOPE PREP</t>
  </si>
  <si>
    <t>L11_GHV_048E_DW</t>
  </si>
  <si>
    <t>L11_DPVE_080E_DE</t>
  </si>
  <si>
    <t xml:space="preserve">REPLACEMENT OF L10_NONE_094E_XCS. APPROVED ON JUNE 10, 2024.CHANGE TEAM LEADER FROM NITRO AF TO NITRO AX. APPROVED AUGUST 07, 2024. CHANGED TEAM LEADER FROM NITRO AX TO LARGO 1. APPROVED ON AUGUST 14, 2024. STOPPED ON SEPT 23, 2024. VEIN PINCHED OUT. </t>
  </si>
  <si>
    <t xml:space="preserve">REPLACEMENT OF L10_DPVE_050E_ROBBING. APPROVED ON SEPTEMBER 9, 2024. SILL. STOPPED ON SEPTEMBER 25, 2024. ALREADY MINED OUT. </t>
  </si>
  <si>
    <t xml:space="preserve">REPLACEMENT OF L12_GHV_051E_DW. APPROVED ON AUGUST 28, 2024. STOPPED ON SEPT 26, 2024 DUE TO LOW GRADE. 
</t>
  </si>
  <si>
    <t>L12_DPVE_033E_RAISE</t>
  </si>
  <si>
    <t>REPLACEMENT OF L10_DPVE_085E_STOPE. APPROVED ON JULY 02, 2024. STOPPED ON AUGUST 10, 2024. ALREADY REACHED THE TARGET VEIN, TO BE CONVERTED TO ON VEIN-DRIVE.</t>
  </si>
  <si>
    <t>REPLACMENT OF L12_NONE_055E_XCN. APPROVED ON NOVEMBER 24, 2023.TEMPORARRY STOPPED ON MARCH 5, 2024 TO PRIORITIZE XCUT.RESUMED ON 19-MARCH-2024.RENAMED FROM L12_DPVE_055E_DE TO L12_DPVE_067E_DE. APPROVED ON APRIL 01, 2024.HEADING TO BE RENAMED TO L12_JVHW_067E_DE FROM L12_DPVE_067E_DE FOR CORRENT VEIN DESIGNATION ON APRIL 26, 2024.TEMPORARILY STOPPED ON MAY 21, 2024. DUE TO ABSENTEEISM OF MANPOWER RESULTING TO ABANDONMENT OF WORKPLACE.RESUMED AND CHANGED TEAM LEADER FROM DUHIG, P1 TO PARAGUYA 3. APPROVED ON JUNE 17, 2024.STOPPED ON JULY 22, 2024. ALREADY MADE A BREAKTHROUGH. RESUMED ON SEPT 20, 2024 AT THE SAME TIME TRANSFER FROM PARAGUYA 3 TO BALANGHIG 2. TO CONTINUE 3 BLAST TO USE AS AS SWITCH. TEMPORARY STOPPED ON SEPT 28, 2024 TO PRIORITIZE L12_GHVSPLIT_065E_DE.</t>
  </si>
  <si>
    <t>L10_GHVSPLIT_044E_ROBBING</t>
  </si>
  <si>
    <t>L03_JV_039W_RAISE</t>
  </si>
  <si>
    <t xml:space="preserve">REPLACEMENT OF L11_DPVE_041E_STOPE PREP. APPROVED ON MARCH 02, 2024.STOPPED BREAKING ON SEPTEMBER 05, 2024. CONVERTED TO PULLOUT CLEANING. APPROVED ON SEPTEMBER 06, 2024. STOPPED ON SEPTEMBER 26, 2024. ALREADY MINED-OUT WITH 109% PULLOUT ATTAINMENT. 
</t>
  </si>
  <si>
    <t>L11_DPVE_014E_STOPE</t>
  </si>
  <si>
    <t xml:space="preserve">REPLACEMENT OF L11_DPVE_014E_RAISE. APPROVED ON SEPTEMBER 12, 2024, 1ST SHIFT. STOPPED ON SEPTEMBER 28, 2024, CONVERTED TO STOPE BREAKING. </t>
  </si>
  <si>
    <t>L11_JVFW_075E_DE</t>
  </si>
  <si>
    <t>L11_GHV_060E_ROBBING</t>
  </si>
  <si>
    <t xml:space="preserve">REPLACEMENT OF L09_JV_060E_WINZE STOPE PREP. APPROVED ON AUGUST 8, 2024. STOPPED BREAKING ON SEPTEMBER 18, 2024. AS WELL AS TRAVERSED ON THE SAME DAY. CONVERT TO PUL-OUT CLEANING. STOPPED ON OCTOBER 01, 2024. ALREADY MINED OUT. </t>
  </si>
  <si>
    <t>L09_JV_060E_ROBBING</t>
  </si>
  <si>
    <t xml:space="preserve">REPLACEMENT OF L12_NONE_048E_XCN. APPROVED ON AUGUST 10, 2024. TEMPORARY STOPPED ON OCT 1, 2024, TO PRIORITIZE RAISE PREP. </t>
  </si>
  <si>
    <t>L12_GHVHW_050E_RAISE</t>
  </si>
  <si>
    <t>L12_DPVE_042E_STOPE PREP</t>
  </si>
  <si>
    <t xml:space="preserve">REPLACEMENT OF L11_DPVE_078E_DE. APPROVED ON AUGUST 27, 2024. CHANGE GROUP FROM REBOTE 1 TO DUHIG, R1. REASSIGNMENT OF WORKPLACE. APPROVED ON AUGUST 31, 2024. STOPPED ON OCT 1, 2024 DUE TO CONSECUTIVE LOW GRADE, NO PULL OUT OF BROKEN MATERIALS. </t>
  </si>
  <si>
    <t xml:space="preserve">REPLACEMENT OF L11_GHVSPLIT_023E_DE. APPROVED ON AUGUST 28, 2024. RENAMED FROM L11_GHVSPLIT_023E_RAISE TO L11_GHVSPLIT_020E_RAISE. TO AVOID MISCHARGING WITH L11_GHVSPLIT_023E_DE. APPROVED ON AUGUST 29, 2024. TEMP STOPPED ON SEPT 12, 2024. RESUMED ON SEPT 25, 2024 AT THE SAME TIME TRANSFERRED FROM TORMIS TO NITRO BB 2. STOPPED ON OCT 1, 2024 DUE TO CONSECUTIVE LOW GRADE, NO PULL OUT OF BROKEN MATERIALS. </t>
  </si>
  <si>
    <t xml:space="preserve">ADDITIONAL WORKPLACE. APPROVED ON SEPTEMBER 12, 2024, 1ST SHIFT. RENAMED FROM L11_DPVE_065E_DW TO L11_DPVE_061E_DW, TO AVOID MISCHARGING. APPROVED ON SEPTEMBER 12, 2024. TEMPORARY STOPPED ON OCT 1, 2024, TO PRIORITIZE STOPE PREP. </t>
  </si>
  <si>
    <t xml:space="preserve">REPLACEMENT OF L11_DPVE_013E_RAISE. APPROVED ON JULY 04, 2023.RENAMED FROM L11_JVHW_023E_DE TO L11_GHVSPLIT_023E_DE. PROPER VEIN CLASSIFICATION. APPROVED ON JULY 07, 2024.TRANSFER FROM BAÑEZ 6 TO TORMIS 1 DUE TO MP ABSENTEEISM. APPROVED ON JULY 23, 2024.TEMPORARILY STOPPED ON AUGUST 28, 2024. TO PRIORITIZE RAISE PREP. RESUMED ON SEPTEMBER 03, 2024. ALREADY BREAKTHROUGH TO ADJACENT MAINLINE ON ON SEPT 28, 2024. </t>
  </si>
  <si>
    <t xml:space="preserve">REPLACEMENT OF L10_DPVE_003E_DE. APPROVED ON SEPTEMBER 9, 2024. TEMPORARY STOPPED ON SEPTEMBER 17, 2024. TO PRIORITIZE L10_DPVE_004E_DW. RESUMED ON SEPTEMBER 25, 2024. AT THE SAME TIME CHANGED TEAM LEADER FROM OLIVEROS 1 TO LARGO 1. STOPPED ON OCTOBER 01, 2024. DUE TO PINCHED OUT VEIN. </t>
  </si>
  <si>
    <t>106E</t>
  </si>
  <si>
    <t>L12_JVHW_048E_RAISE</t>
  </si>
  <si>
    <t>L09_GHVHW_032W_DE</t>
  </si>
  <si>
    <t>NITRO BT</t>
  </si>
  <si>
    <t>NITRO BS</t>
  </si>
  <si>
    <t>L11_DPVE_050E_RAISE</t>
  </si>
  <si>
    <t>L11_DPVE_062E_RAISE</t>
  </si>
  <si>
    <t>L10_DPVE_071E_WINZE STOPE PREP</t>
  </si>
  <si>
    <t xml:space="preserve">REPLACEMENT OF L10_GHVFW_058E_WINZE STOPE PREP. APPROVED ON AUGUST 12, 2024. STOPPED BREAKING ON SEPTEMBER 18, 2024. AS WELL AS TRAVERSED ON THE SAME DAY. CONVERT TO PULL-OUT. STOPPED ON OCTOBER 01, 2024. ALREADY MINED OUT 94 % PULL OUT. </t>
  </si>
  <si>
    <t>L08_NONE_078E_XCN</t>
  </si>
  <si>
    <t xml:space="preserve">REPLACEMENT OF L11_DPVE_030E_DW, APPROVED ON OCT 26, 2023.TEMPORARRY STOPPED ON NOV 4, 2023 TO RESUME STOPE BREAKING.RESUMED ON NOVEMBER 6, 2023 AS WELL AS CHANGE TL FROM BAÑEZ 2 TO TURRA 1.TEMPORARY STOPPED ON NOVEMBER 16, 2023. TO PRIORITIZED L11_DPVE_027E_DE. RESUMED ON NOVEMBER 20, 2023. 2ND SHIFT. TRANSFERRED FROM TURRA 1 TO TTORMIS 1, SWAP TL MGMT DECISION, APPROVED ON JAN 22, 2024.TEMPORARY STOPPED ON FEB 8, 2024 TO DO RAISE PREP.RESUMED ON FEBRUARY 14, 2024.TEMPORARILY STOPPED ON MARCH 01, 2024. TO PRIORITIZE L11_DPVE_022E_STOPE PREP.RESUMED ON 18-MARCH-2024 AND CHANGE TL FROM TORMIS 1 TO COMAINGKING 1.TEMPORARY STOPPED ON APRIL 29,2024 2ND SHIFT. TO PRIOTIZE L11_DPVE_018E_RAISE.RESUMED ON APRIL 29,2024. CHANGE TEAM LEADER FROM COMAINGKING TO BAÑEZ.TEMPORARILY STOPPED  ON JUNE 11, 2024 TO PRIORITIZE L11_DPVE_013E_RAISE.RESUMED ON JUNE 18, 2024.STOPPED ON JULY 10, 2024. PINCHED OUT VEIN DUE TO INTERCEPTED FAULT.RESUMED ON JULY 16, 2024. STOPPED ON SEPTEMBER 06, 2024. TO BE CONVERTED TO OFF VEIN DRIVE. RESUMED ON SEP. 19, 2024 AS WELL AS TRANSFERRED FROM BAÑEZ 6 TO BADBADON. STOPPED ON OCTOBER 02, 2024. CHANGE HEADING FOR NEW WORKPLACE. 
</t>
  </si>
  <si>
    <t>L11_JVFW_019E_DW</t>
  </si>
  <si>
    <t xml:space="preserve">MECHANICAL CHAMBER, APPROVED ON JUNE 3, 2024. STOPPED ON SEPT 19, 2024 ALREADY DONE EXCAVATION. </t>
  </si>
  <si>
    <t>L09_GHVSPLIT_024W_DW</t>
  </si>
  <si>
    <t>REPLACEMENT OF L09_GHVSPLIT_021W_DE. APPROVED ON SEPTEMBER 07, 2024. 3RD SHIFT. STOPPED ON OCTOBER 3, 2024 DUE TO CONSECUTIVE LOW ASSAY GRADE.</t>
  </si>
  <si>
    <t>L03_NONE_016W_XCN</t>
  </si>
  <si>
    <t>REPLACEMENT OF L11_GHVSPLIT_031E_RAISE. APPROVED ON SEPTEMBER 10, 2024. TEMPORARILY STOPPED ON OCTOBER 05, 2024. FOR DRILLING CHAMBER.</t>
  </si>
  <si>
    <t>NITRO BE</t>
  </si>
  <si>
    <t>L11_NONE_006E_CHAMBER</t>
  </si>
  <si>
    <t>L12_NONE_043E_XCN</t>
  </si>
  <si>
    <t xml:space="preserve">REPLACEMENT OF L09_DPVE_092E_DW. APPROVED ON SEPTEMBER 04. 2024. RENAMED FROM L09_DPVE_092E_DE TO L09_DPVE_092E_DW TO CORRECT VEIN POSITION. APPROVED ON SEPTEMBER 18, 2024. CHANGED TEAM LEADER FROM DELOS REYES V1 TO NITRO AA 2. APPROVED ON SEPTEMBER 11, 2024. CHANGE TEAM LEADER FROM FABROA 2 TO NITRO BS. APPROVED ON OCTOBER 02, 2024. STOPPED ON OCTOBER 04, 2024. ALREADY REACHED THE RECOMMENDED STRIKE LENGTH. </t>
  </si>
  <si>
    <t xml:space="preserve">REPLACEMENT OF L09_DPVE_063E_ROBBING, APPROVED ON JULY 2, 2024. SILL PILLAR ROBBING.TEMPORARY STOPPED ON JULY 22, 2024 DUE TO ABSENTEEISM OF MP RESULTING TO ABANDONMENT OF WORKPLACE. THE GROUP WILL BE ASSIGN AT CLEANING ACTIVITY. RESUMED ON JULY 22, 2024 AS WELL AS TRANSFER FROM NITRO AA 1 TO FABROA 1.TEMPORARY STOPPED TO PRIORITIZE TOPSLICE L09_DPVE_063E_ROBBING. APPROVED ON AUGUST 07, 2024. RESUMED ON SEPTEMBER 23, 2024. STOPPED ON OCTOBER 04, 2024. ALREADY FINISHED HEADING. </t>
  </si>
  <si>
    <t xml:space="preserve">REPLACEMENT OF L09_DPVE_073E_ROBBING. APPROVED ON AUGUST 28, 2024.TOPSLICE. STOPPED ON OCTOBER 04, 2024. ALREADY FINISHED HEADING. </t>
  </si>
  <si>
    <t xml:space="preserve">REPLACEMENT OF L11_GHVHW_069E_STOPE PREP. APPROVED ON JULY 08, 2024.TRANSFER MANPOWER FROM LERIO 2 TO NITRO BB DUE HIGH GRADING ON JULY 15, 2024, RETENTION WILL BE FORFEITED.TEMPORARILY STOPPED ON AUGUST 26, 2024. DUE TO CONSECUTIVE LOW ASSAY GRADE ON SAMPLES. MINE GEO RECOMMENDS TO RESUME THE EXPLORATORY RAISE. RESUMED ON SEPTEMBER 19, 2024. STOPPED BREAKING DUE TO LOW GRADE, ALREADY CONDUCTED STOPE TRAVERSE. STARTED PULL OUT STOPE ON SEPT 19, 2024. TEMPORARY STOPPED AS AGREED BY MINE OPS GEO AND ENNG ON SEPT 25, 2024, TO BE RESUMED NEXT MONTH. RESUMED ON SEPTEMBER 30, 2024. STOPPED ON OCTOBER 05, 2024. ALREADY MINED OUT. </t>
  </si>
  <si>
    <t xml:space="preserve">REPLACEMENT OF L11_DPVE_028E_STOPE PREP. APPROVED ON APRIL 29,2024.TEMPORARY STOPPED BREAKING ON AUG 2, 2024 TO RESUME L11_DPVE_028E_RAISE TO DRIVE ATLEAST 10 METERS TO ESTABLISH ISLAND PILLAR FOR THE STOPE (LOW GRADE PORTION). RESUME BREAKING ON AUGUST 12, 2024. STOPPED BREAKING ON SEPT 23, 2024. CONVERT TO STOPE CLEANING, ALREADY TRAVERSED. STOPPED ON OCTOBER 05, 2024. ALREADY MINED OUT. 
</t>
  </si>
  <si>
    <t xml:space="preserve">REPLACEMENT OF L11_DPVE_010E_DE, APPROVED ON OCT 1, 2024. STOPPED ON OCTOBER 05, 2024. ALREADY MADE A BREAKTHROUGH ON ADJACENT MAINLINE. </t>
  </si>
  <si>
    <t>REPLACEMENT OF L12_NONE_035E_XCS. APPROVED ON APRIL 22, 2024.CHANGE HEADING NAME TO L12_JVSPLIT_032E_DW FROM L12_DPVE_032E_DW TO AVOID CONFUSION OF ITS VEIN CLASSIFICATION.TEMPORARY STOPPED ON MAY 3, 2024. TO PRIORITIZE L12_JVSPLIT_031E_DE.RESUMED ON JUNE 05, 2024 AS REPLACEMENT OF L12_JVSPLIT_031E_DE.TEMPORARRY STOPPED ON JUNE 21, 2024.RESUMED ON JULY 09, 2024. AT THE SAME TIME CHANGE TEAM LEADER FROM CAYMAN 2 TO AGLOLO 1.RENAMED FROM L12_JVSPLIT_032E_DW TO L12_DPVE_032E_DW. PROPER VEIN CLASSIFICATION. APPROVED ON JULY 22, 2024. CHANGE TEAM LEADER FROM AGLOLO TO NITRO BN. EFFECTIVE SEPTEMBER 04, 2024. STOPPED ON OCT 8, 2024, DUE TO LOW GRADE.</t>
  </si>
  <si>
    <t xml:space="preserve">REPLACEMENT OF L11_DPVE_008E_DE. APPROVED ON AUGUST 28, 2024.  TEMPORARY STOPPED ON SEPTEMBER 12, 2024 DUE TO MP ISSUE LOW PERFORMING. RESUMED ON SEPTEBER 17, 2024. STOPPED ON OCT 8, 2024, DUE TO LOW GRADE. 
</t>
  </si>
  <si>
    <t xml:space="preserve">ADDITIONAL HORIZONTAL DRIVE. APPROVED ON SEPTEMBER 17, 2024. STOPPED ON OCTOBER 08, 2024. ALREADY MADE A BREAKTHROUGH. </t>
  </si>
  <si>
    <t>L10_DPVE_006E_RAISE</t>
  </si>
  <si>
    <t>L425_JV_056E_RAISE</t>
  </si>
  <si>
    <t>L11_DPVE_040E_RAISE</t>
  </si>
  <si>
    <t>L12_NONE_027E_XCN</t>
  </si>
  <si>
    <t>L09_GHVFW_033W_ROBBING</t>
  </si>
  <si>
    <t>Level 425</t>
  </si>
  <si>
    <t xml:space="preserve">REPLACEMENT OF L10_NONE_010W_XCN. APPROVED ON AUGUST 05, 2024. STOPPED ON OCTOBER 01, 2024STOPPED ON . ALREADY HIT THE VEIN INTERCEPTS. </t>
  </si>
  <si>
    <t xml:space="preserve"> ADDITIONAL HORIZONTAL DRIVE. APPROVED ON JULY 16, 2024.TEMPORARY STOPPED ON JULY 30, 2024. TO PRIORITIZE L11_NONE_071E_XCN. RESUMED ON AUGUST 16, 2024. RESUMED ON AUGUST 16, 2024. AT THE SAME TIME CHANGE TEAM LEADER FROM REBOTE TO BAÑEZ. TEMPORARY STOPPED ON SEP. 16, 2024 DUE TO DELAY FROM L11 JVFW 067E RAISE PREP. RESUMED ON SEPTEMBER 19, 2024. TEMPORARY STOPPED ON OCTOBER 11, 2024 TO PRIORITIZE L11_DPVE_003E_DW. 
</t>
  </si>
  <si>
    <t>L11_DPVE_004E_DW</t>
  </si>
  <si>
    <t>L11_DPVE_003E_DW</t>
  </si>
  <si>
    <t xml:space="preserve">REPLACEMENT OF L11_DPVE_024E_DW. APPROVED ON SEPTEMBER 10, 2024. STOPPED ON OCTOBER 10, 2024. ALREADY CONVERTED TO ON-VEIN. </t>
  </si>
  <si>
    <t>L11_GHVSPLIT_021E_DW</t>
  </si>
  <si>
    <t>L10_DPVE_106E_DW</t>
  </si>
  <si>
    <t xml:space="preserve">REPLACEMENT OF L11_DPVE_050E_WINZE. APPROVED ON SEPTEMBER 23, 2024. CHANGE TEAM LEADER FROM ALEÑAR 2 TO TORMIS 1 ON SEPT 30, 2024, SWAPPING OF WORKING PLACE. TEMPORARY STOPPED ON OCTOBER 11, 2024. DUE TO UNSAFE CONDITION PRONE TO SLABBING. 
</t>
  </si>
  <si>
    <t>L08_DPVE_019E_RAISE</t>
  </si>
  <si>
    <t>REPLACEMENT OF L08_GHVHW_003W_ROBBING. APPROVED ON JUNE 19, 2024. SILL PILLAR.TEMPORARY STOPPED ON JULY 15, 2024 TO PRIORITIZE ML REHAB.RESUMED ON JULY 17, 2024. CHANGE HEADING FROM L08_GHVHW_002W_ROBBING TO L08_GHV_002W_ROBBING. FOR PROPER VEIN DESIGNATION. APPROVED ON AUGUST 23, 2024. TEMPORARY STOPPED ON SEPTEMBER 26, 2024. FOR FURTHER SAFETY EVALUATION TO BE SCHEDULED ON MONDAY. RESUMED ON OCTOBER 2, 2024. ALREADY DONE SAFETY EVALUATION. TEMPORARILY STOPPED ON OCTOBER 10, 2023. FOR EVALUATION.</t>
  </si>
  <si>
    <t>L11_DPVE_047E_STOPE</t>
  </si>
  <si>
    <t>L11_GHVSPLIT_059E_RAISE</t>
  </si>
  <si>
    <t xml:space="preserve">REPLACEMENT OF L11_DPVE_034E_RAISE, APPROVED ON SEP. 19, 2024. STOPPED ON OCTOBER 11, 2024. ALREADY DONE STOPE PREPARATION. RECOMMENDED FOR STOPE BREAKING. </t>
  </si>
  <si>
    <t>ADDITIONAL HORIZONTAL DEVELOPMENT. APPROVED ON OCTOBER 4, 2024.TEMPORARY STOPPED ON OCTOBER 12, 2024 TO PRIORITIZE RAISE ISL.</t>
  </si>
  <si>
    <t>L03_JV_040W_ML CLEANINING</t>
  </si>
  <si>
    <t xml:space="preserve">ADDITIONAL VERTICAL DEVT DRIVE, APPROVED ON SEPT 18, 2024. RENAMED FROM L03_CTV_039W_RAISE TO L03_JV_039W_RAISE.  FOR PROPER VEIN DESIGNATION. APPROVED ON SEPTEMBER 28, 2024. STOPPED ON OCTOBER 12, 2024, MADE A BREAKTHROUGH TO AN OLD INCLINED RAISE. </t>
  </si>
  <si>
    <t>L11_GHVHW_065E_ROBBING</t>
  </si>
  <si>
    <t xml:space="preserve">REPLACEMENT OF L12_GHVFW_058E_STOPE PREP. APPROVED ON MAY 09, 2024.CHANGE TEAM LEADER FROM NITRO BB TO OLIVEROS 4. PRIORITIZATION OF WORKPLACE. APPROVED MAY 13, 2024.TEMPORARILY STOPPED ON MAY 13, 2024. TO CONDUCT EXPLORATORY BREAKING.RESUMED ON JUNE 24, 2024. AT THE SAME TIME CHANGE TEAM LEADER TO NITRO AT.TEMPORARILY STOPPED ON JULY 19, 2024. TO PRIORITIZE THE RAISE AND EVALUATE THE UP DIP EXTENSION OF VEIN.RESUMED ON JULY 23, 2024. STOP BREAKING ON OCTOBER 12, 2024. CONSECUTIVE LOW ASSAY GRADE ON SAMPLES AND LOW GRADE IPR RESULTS. </t>
  </si>
  <si>
    <t xml:space="preserve">REPLACEMENT OF L10_NONE_003E_XCN. APPROVED ON AUGUST 10, 2024.. TEMPORARY STOPPED ON SEPTEMBER 9, 2024 TO PRIORITIZE PREPARATION OF L10_DPVE_003E_DE. RESUMED ON OCTOBER 10, 2024. STOPPED ON OCTOBER 15, 2024, 1ST SHIFT DUE TO CONSECUTIVE LOW ASSAY GRADES ON BOTH CUT AND BULK SAMPLES. 
</t>
  </si>
  <si>
    <t xml:space="preserve">REPLACEMENT OF L09_GHVSPLIT_022W_RAISE. APPROVED ON OCTOBER 4, 2024. STOPPED ON OCTOBER 14, 2024 (EXPLORATORY DRIFT) DUE TO CONSECUTIVE LOW ASSAY GRADES ON BOTH CUT AND BULK SAMPLES. </t>
  </si>
  <si>
    <t>L12_GHVSPLIT_067E_RAISE</t>
  </si>
  <si>
    <t xml:space="preserve">ADDITIONAL WORKPLACE. GROUP FROM UPPER LEVEL. APPROVED ON AUGUST 19, 2024. STOPPED ON OCTOBER 14, 2024. DUE TO CONSECUTIVE LOW ASSAY GRADE ON SAMPLES. 
</t>
  </si>
  <si>
    <t>L03_JV_014W_RAISE</t>
  </si>
  <si>
    <t>L10_DPVE_080E_DW</t>
  </si>
  <si>
    <t>L10_GHVFW_057E_ROBBING</t>
  </si>
  <si>
    <t xml:space="preserve">REPLACEMENT OF L09_DPVE_031E_ROBBING. APPROVED ON OCTOBER 10, 2024. STOPPED ON OCTOBER 15, 2024. DUE TO UNSAFE CONDITION (PRESENCE OF CRACKS ON THE WALLS). </t>
  </si>
  <si>
    <t xml:space="preserve">ADDITIONAL HOR DRIVE, APPROVED ON SEPT 30, 2024. TEMPORARILY STOPPED ON OCTOBER 12, 2024. MANPOWER WILL BE REASSIGNED TO A DIFFERENT WORKPLACE WITH HIGH PRIORITY. 
</t>
  </si>
  <si>
    <t xml:space="preserve">REPLACEMENT OF L12_GHVHW_059E_STOPE PREP. APPROVED ON APRIL 29,2024.TEMPORARY STOPPED ON MAY 02, 2024. TO PRIORITIZE L12_JV_062E_STOPE PREP.RESUMED ON MAY 13, 2024 AT THE SAME TIME CHANGE TEAM LEADER FROM BABOR 1 TO OLIVEROS 4.STOPPED BREAKING ON JULY 5, 2024. CONVERTED TO PULL OUT CLEANING.STOPPED ON JULY 15, 2024. DECLARED MINED-OUT WITH 84% PULL-OUT ATTAINMENT. RESUMED ON SEPT 24, 2024, LOW GRADE STOPE FOR PULL CLEANING OF REMAINING MINE CARS. AT THE SAME TIME TRANSFER FROM OLIVEROS TO BABOR 2. STOPPED ON OCTOBER 11, 2024. CANCELLED PULLOUT. </t>
  </si>
  <si>
    <t>L09_DPVE_005E_DW</t>
  </si>
  <si>
    <t xml:space="preserve">ADDITIONAL WORKPLACE. MANPOWER FROM UPPER LEVEL. APPROVED ON AUGUST 19, 2024. STOPPED ON OCTOBER 14, 2024. DUE TO PINCHED OUT VEIN. </t>
  </si>
  <si>
    <t>L09_GHVFW_035W_DE_ISL</t>
  </si>
  <si>
    <t>L09_DPVE_094E_RAISE</t>
  </si>
  <si>
    <t>L11_GHVFW_023E_DE</t>
  </si>
  <si>
    <t xml:space="preserve">REPLACEMENT OF L12_GHVHW_066E_STOPE PREP, APPROVED ON JUNE 13, 2024.TEMPORARY STOPPED ON JUNE 15, 2024 TO PRIORITIZE THE WORKPLACE L12_GHVHW_062E_STOPE.RESUMED AND CHANGED TEAM LEADER FROM BABOR 1 TO AGLOLO 3. APPROVED ON JUNE 19, 2024.TEMPORARILY STOPPED ON JUNE 24, 2024. ABSENTEEISM OF MANPOWER DUE TO TRANSITION OF GROUP FROM UPPER LEVEL.RESUMED ON JUNE 26, 2024 AS REPLACEMENT OF L12_DPVE_036E_DE. TRANFERRED FROM AGLOLO 3 TO NITRO BR. APPROVED ON SEPTEMBER 4, 2024. STOPPED ON OCTOBER 16, 2024. ALREADY REACHED RECOMMENDED SLOPE DISTANCE. CONVERTED TO PULLOUT CLEANING. APPROVED ON OCTOBER 17, 2024. </t>
  </si>
  <si>
    <t xml:space="preserve">ADDITIONAL HEADING. MANPOWER FROM UPPER LEVEL. APPROVED ON AUGUST 27, 2024. STOPPED ON OCTOBER 17, 2024. CONSECUTIVE LOW ASSAY GRADE. </t>
  </si>
  <si>
    <t xml:space="preserve">APPROVED ON OCTOBER 7, 2024 FOR DRILLING CHAMBER. STOPPED ON OCTOBER 16, 2024. FINISHED HEADING. 
</t>
  </si>
  <si>
    <t xml:space="preserve">REPLACEMENT OF L11_DPVE_041E_STOPE. APPROVED ON SEPTEMBER 30, 2024. SILL PILLAR ROBBING. STOPPED ON OCTOBER 15, 2024. FINISHED HEADING. </t>
  </si>
  <si>
    <t xml:space="preserve">REPLACEMENT OF L09_DPVE_082E_WINZE STOPE. APPROVED ON SEPTEMBER 23, 2024. STOPPED ON OCTOBER 18, 2024. DUE TO PINCHED OUT VEIN. 
</t>
  </si>
  <si>
    <t xml:space="preserve">REPLACEMENT OF L10_JVSPLIT_049E_ROBBING. APPROVED ON SEPTEMBER 28, 2024. SILL. STOPPED ON OCTOBER 17, 2024. FINISHED HEADING. 
</t>
  </si>
  <si>
    <t xml:space="preserve">REPLACEMENT OF L12_GHVSPLIT_046E_DE. APPROVED ON JULY 10, 2024.TEMP. STOPPED ON JULY 29, 2024, TO BE MERGED TO L12_GHVSPLIT_049E_STOPE.RESUMED ON AUG 5, 2024 AT THE SAME TIME TRANSFERRED FROM NITRO BF 6 TO PARAGUYA. CHANGED TEAM LEADER FROM PARAGUYA TO NITRO BA 3. APPROVED ON AUGUST 26, 2024. 3RD SHIFT. TEMPORARY STOPPED ON SEPTEMBER 10, 2024. TO PRIORITIZE L12_NONE_057E_CHAMBER. RESUMED ON SEPT 29, 2024 AT THE SAME TIME TRANSFER FROM NITRO BA 3 TO BALANGHIG 2. STOPPED ON OCTOBER 16, 2024. PINCHED OUT VEIN NO FURTHER TARGET. 
</t>
  </si>
  <si>
    <t xml:space="preserve">REPLACEMENT OF L12_DPVE_032E_DW. APPROVED ON OCTOBER 09, 2024. STOPPED ON OCT 18, 2024. ALREADY HIT TARGET VEIN. 
</t>
  </si>
  <si>
    <t xml:space="preserve">REPLACEMENT OF L12_NONE_051E_XCN. APPROVED ON 13-FEBRUARY-2024.TEMPORARY STOPPED ON APRIL 08, 2024.RESUMED ON JULY 15, 2024 AS REPLACEMENT OF L12_GHVHW_059E_STOPE AS WELL AS TRANSFER FROM BABOR TO OLIVEROS. TEMPORARILY STOPPED ON AUGUST 28, 2024. TO PRIORITIZE RAISE PREP. CHANGE HEADING FROM L12_GHV_051E_DW TO L12_GHVFW_051E_DW. FOR PROPER VEIN CLASSIFICATION. RESUMED ON SEPT 26, 2024. CHANGED TEAM LEADER FROM OLIVEROS 4 TO DUHIG, P1. OLIVEROS GROUP WILL BE LOWERED TO L425. STOPPED ON OCT 18, 2024. VEIN PINCHED OUT. 
</t>
  </si>
  <si>
    <t xml:space="preserve">ADDITIONAL HORIZONTAL OFF-VEIN DEVELOPMENT. APPROVED ON SEPTEMBER 18, 2024. TEMPORARY STOPPED ON OCTOBER 17, 2024 TO PRIORITIZE ON-VEIN DRIVE. </t>
  </si>
  <si>
    <t>L10_DPVE_106E_DE</t>
  </si>
  <si>
    <t>L12_GHVSPLIT_054E_STOPE PREP</t>
  </si>
  <si>
    <t>L12_JV_057E_STOPE PREP</t>
  </si>
  <si>
    <t>L12_GHVSPLIT_065E_DW</t>
  </si>
  <si>
    <t>L12_DPVE_028E_DW</t>
  </si>
  <si>
    <t>L12_NONE_041E_XCS</t>
  </si>
  <si>
    <t xml:space="preserve">REPLACEMENT OF L10_GHVFW_056E_WINZE. APPROVED ON MAY 28, 2024.STOPPED ON JULY 09, 2024. DUE TO PINCHED OUT VEIN. DRIVING TOWARDS WEST SIDE IS RECOMMENDED. </t>
  </si>
  <si>
    <t xml:space="preserve">REPLACEMENT OF L10_DPVE_106E_DW. APPROVED ON OCTOBER 19, 2024. TEMPORARY STOPPED ON OCTOBER 21, 2024 TO PRIORITIZE L10_DPVE_106E_DW. </t>
  </si>
  <si>
    <t xml:space="preserve">REPLACEMENT OF L12_GHVSPLIT_049E_STOPE PREP. APPROVED ON MAY 21, 2024. STOPPED BREAKING ON OCTOBER 21, 2024. LOW QA/QC GRADE ON IPR. CONVERTED TO PULLOUT CLEANING. APPROVED ON OCTOBER 21, 2024. </t>
  </si>
  <si>
    <t>L08_GHV_003E_DW</t>
  </si>
  <si>
    <t>Doc.No. : ENG-PLN-FRM-002
Ver. No. : 1
Effectivity: October 25, 2024</t>
  </si>
  <si>
    <t>L425_GHVSPLIT_047E_DE</t>
  </si>
  <si>
    <t>CAPPUYO</t>
  </si>
  <si>
    <t>L11_NONE_063E_XCN</t>
  </si>
  <si>
    <t xml:space="preserve">REPLACEMENT OF L11_DPVE_065E_DE. APPROVED OCTOBER 02, 2024. STOPPED ON OCTOBER 23, 2024. DUE TO PINCHED OUT VEIN. MEMO TO BE FOLLOWED. </t>
  </si>
  <si>
    <t xml:space="preserve">ADDITIONAL HORIZONTAL DRIVE. APPROVED ON OCTOBER 11, 2024. STOPPED ON OCTOBER 23, 2024. CONSECUTIVE LOW ASSAY GRADE. </t>
  </si>
  <si>
    <t>L11_JVFW_018E_RAISE</t>
  </si>
  <si>
    <t>L12_NONE_048E_XCS</t>
  </si>
  <si>
    <t>L10_DPVE_071E_WINZE STOPE</t>
  </si>
  <si>
    <t xml:space="preserve">REPLACEMENT OF L10_DPVE_003E_DE. APPROVED ON OCTOBER 02, 2024. STOPPED ON OCTOBER 25, 2024. CONVERTED TO STOPE BREAKING. </t>
  </si>
  <si>
    <t xml:space="preserve">REPLACEMENT OF L09_DPVE_064E_ROBBING. APPROVED ON OCTOBER 16, 2024. STOPPED ON OCTOBER 28, 2024. CONVERTED TO OFF-VEIN. </t>
  </si>
  <si>
    <t>REPLACEMENT OF L12_GHVFW_058E_STOPE PREP. APPROVED ON MAY 09, 2024.CHANGE TEAM LEADER FROM NITRO BB TO OLIVEROS 4. PRIORITIZATION OF WORKPLACE. APPROVED MAY 13, 2024.TEMPORARILY STOPPED ON MAY 13, 2024. TO CONDUCT EXPLORATORY BREAKING.RESUMED ON JUNE 24, 2024. AT THE SAME TIME CHANGE TEAM LEADER TO NITRO AT.TEMPORARILY STOPPED ON JULY 19, 2024. TO PRIORITIZE THE RAISE AND EVALUATE THE UP DIP EXTENSION OF VEIN.RESUMED ON JULY 23, 2024. STOP BREAKING ON OCTOBER 12, 2024. CONSECUTIVE LOW ASSAY GRADE ON SAMPLES AND LOW GRADE IPR RESULTS. CONVERTED TO PULLOUT CLEANING. APPROVED ON OCTOBER 15, 2024. STOPPED ON OCTOBER 28, 2024. CONSECUTIVE LOW ASSAY GRADE ON PULLOUT CLEANING. ALREADY AT 95% WITH 83 MC REMAINING.</t>
  </si>
  <si>
    <t xml:space="preserve">SPECIAL PROJECT. TO SERVE AS ORE/WASTE STOCKPILE FOR LEVEL 12. APPROVED ON SEPT 17, 2024. TRANSFER FROM NITRO BA 1 TO NITRO BI ON OCT 8, 2024. STOPPED ON OCTOBER 11, 2024. FINISHED HEADING. </t>
  </si>
  <si>
    <t>L11_DPVE_076E_DW</t>
  </si>
  <si>
    <t xml:space="preserve">WIDENING OF 035E SHAFT STATION AT LEVEL 425 FOR DOUBLE TRACK. APPROVED ON APRIL 11, 2024. STOPPED ON OCTOBER 28, 2024. FINISHED HEADING. </t>
  </si>
  <si>
    <t xml:space="preserve">SPECIAL PROJECT. MAIN SUMP FOR L425. APPROVED ON SEPT 17, 2024. STOPPED ON OCTOBER 28, 2024. FINISHED HEADING. </t>
  </si>
  <si>
    <t xml:space="preserve">ADDITIONAL HORIZONTAL DEVELOPMENT. APPROVED ON OCTOBER 16, 2024. TEMPORARY STOPPED ON OCTOBER 28, 2024. TO PRIORITIZE RESOURCE DRILLING. </t>
  </si>
  <si>
    <t xml:space="preserve">REPLACEMENT OF L11_GHVSPLIT_070E_STOPE PREP APPROVED JUNE 19, 2024.STARTING ON JULY 12, 2024 TRANSFERRED FROM NITRO AC 1 TO MAPAYO SINCE TL ESPADA WAS ALREADY RESIGNED AND 2 MINERS ARE SUBJECT FOR DISMISSAL WHICH LEADS TO INADEQUATE SKILL TO OPERATE THE HEADING THUS THEIR RETENTION WILL BE FORFEITED.RENAMED FROM L11_GHVSPLIT_070E_STOPE TO L11_GHVSPLIT_068E_STOPE TO AVOID MISCHARGING WITH L12_GHV_070E_STOPE. APPROVED JULY 21, 2024. STOPPED BREAKING ON OCTOBER 25, 2024. ALREADY REACHED RECOMMENDED SLOPE DISTANCE. CONVERTED TO PULLOUT CLEANING. APPROVED ON OCTOBER 25, 2024. CONTROL PULLOUT ONLY WITH 16 MC QUOTA PER DAY. </t>
  </si>
  <si>
    <t>L11_GHVHW_066E_ROBBING</t>
  </si>
  <si>
    <t xml:space="preserve">REPLACEMENT OF L08_GHVHW_035E_ROBBING. APPROVED ON JUNE 06, 2024.CHANGED TEAM LEADER FROM AGLOLO 1 TO CAPUYAN 2. APPROVED ON JUNE 20,  2024.CHANGE TEAMLEADER FROM CAPUYAN 3 TO CARIKITAN 2. APPROVED ON JULY 25, 2024. STOPPED ON OCTOBER 28, 2024. ALREADY HIT THE TARGET VEIN INTERCEPT. </t>
  </si>
  <si>
    <t xml:space="preserve">REPLACEMENT OF L08_GHV_019E_ROBBING. APPROVED ON SEPTEMBER 21, 2024. STOPPED ON OCTOBER 2, 2024. MADE A BREAKTHROUGH TO AN OLD STOPE. RESUMED ON OCTOBER 5, 2024. MEMO TO BE FOLLOW. STOPPED ON OCTOBER 28, 2024. TO FOLLOW ON VEIN DRIVE ON ISL. </t>
  </si>
  <si>
    <t>L08_DPVE_042E_DW_ISL</t>
  </si>
  <si>
    <t xml:space="preserve">ADDITIONAL HORIZONTAL DEVELOPMENT. APPROVED ON SEPTEMBER 21, 2024. STOPPED ON OCTOBER 29, 2024 DUE TO CONSECUTIVE LOW GRADE. </t>
  </si>
  <si>
    <t xml:space="preserve">REPLACEMENT OF L10_GHVFW_057E_DE_ISL. APPROVED O JULY 09, 2024.STOPPED ON JULY 16, 2024 AND CONVERTED TO WINZE STOPE PREP. RESUME FOR ADDITIONAL 15 METERS ADVANCE AS AGREED BY MINE GEO, MINE OPS AND MINE ENGG DURING WALKTHROUGH MEETING. APPROVED ON OCTOBER 02, 2024. REPLACEMENT OF L10_GHVFW_058E_WINZE STOPE. STOPPED ON OCTOBER 18, 2024. DUE TO CONSECUTIVE LOW ASSAY GRADE ON BOTH CUT/BULK SAMPLES. </t>
  </si>
  <si>
    <t xml:space="preserve">REPLACEMENT OF L09_GHV_017E_WINZE. APPROVED ON SEPTEMBER 23, 2024. STOPPED ON OCTOBER 26, 2024. FOR IT IS DRIVING TOWARDS THE EXCLUSION ZONE OF 012E SHAFT. </t>
  </si>
  <si>
    <t>L09_GHV_017E_DE_ISL</t>
  </si>
  <si>
    <t>L08_DPVE_021W_DW</t>
  </si>
  <si>
    <t xml:space="preserve">REPLACEMENT OF L10_DPVE_004E_DW. APPROVED ON OCTOBER 09, 2024. TEMPORARY STOPPED ON OCTOBER 10, 2024. TO TRANSFER MP TO OTHER WORKING PLACE. RESUMED AND AT THE SAME TIME CHANGED TEAM LEADER FROM OLIVEROS 1 TO NITRO AX. APPROVED ON OCTOBER 15, 2024. TEMPORARY STOPPED ON OCTOBER 29 2024. FOR SAFETY EVALUATION. </t>
  </si>
  <si>
    <t>L12_NONE_058E_XCS</t>
  </si>
  <si>
    <t>L11_NONE_049E_WIDENING</t>
  </si>
  <si>
    <t xml:space="preserve">APPROVED ON 13-FEBRUARY-2024. TEMPORARILY STOPPED ON MARCH 04, 2024. TO PRIORITIZE L12_JV_062E_STOPE. STOPPED ON AUGUST 24, 2024. DUE TO CONSECUTIVE FLOORS LOW GRADE. </t>
  </si>
  <si>
    <t xml:space="preserve">REPLACEMENT OF L12_JVHW_069E_RAISE. APPROVED ON JULY 19, 2024. TEMPORARY STOPPED ON AUGUST 26. 2024. TO PRIORITIZE L12_DPVE_037E_RAISE.STOPPED ON AUGUST 24, 2024. DUE TO CONSECUTIVE FLOORS LOW GRADE. </t>
  </si>
  <si>
    <t xml:space="preserve">REPLACEMENT OF L12_JVHW_064E_DW. APPROVED ON MAY 28, 2024.TEMPORARY STOPPED ON JUNE 15, 2024 TO PRIORITIZE THE WORKPLACE L12_JVHW_067E_DE.RESUMED ON JUNE 21, 2024 AT THE SAME TIME TRANSFERRED FROM PARAGUYA 3 TO PANSIT NORMAN 5.RENAMED FROM L12_DPVE_068E_RAISE TO L12_JVHW_068E_RAISE. FOR PROPER VEIN CLASSIFICATION. APPROVED ON JULY 18, 2024.TEMPORAY STOPPED ON JULY 19, 2024 DUE TO LOW GRADE. GEO MEMO TO FOLLOW. STOPPED ON JULY 19, 2024. DUE TO CONSECUTIVE FLOORS LOW GRADE.  </t>
  </si>
  <si>
    <t xml:space="preserve">REPLACEMENT OF L12_GHVSPLIT_044E_DE. APPROVED ON OCTOBER 14, 2024. STOPPED ON NOVEMBER 04,2024. VEIN PINCHED OUT AFTER INTERSECTING N-S TRENDING FAULT. </t>
  </si>
  <si>
    <t xml:space="preserve">REPLACEMENT OF L11_DPVE_028E_STOPE. APPROVED ON OCTOBER 07, 2024. TOP SLICE. CHANGE HEADING FROM L11_GHV_065E_ROBBING TO L11_GHVHW_065E_ROBBING. PROPER VEIN DESIGNATION. TEMPORARY STOPPED ON NOVEMBER 4,2024. TO PRIORITIZED L11_GHVHW_066E_ROBBING. </t>
  </si>
  <si>
    <t>REPLACEMENT OF L03_CTV_025W_STOPE PREP. APPROVED ON SEPTEMBER 17, 2024.  STOPPED BREAKING ON OCTOBER 26, 2024 DUE TO PINCHED OUT VEIN/LOW ASSAY GRADE RESULT TO ITS IPR. CONVERTED TO STOPE PULL-OUT CLEANING.</t>
  </si>
  <si>
    <t xml:space="preserve">REPLACEMENT OF L11_DPVE_027E_STOPE. APPROVED ON SEPTEMBER 12, 2024. TEMPORARILY STOPPED ON OCTOBER 3, 2024 DUE TO POSSIBLE BREAKTHROUGH TO THE NEAREST L10 JVHW 007E ISL FOR SAFETY CONCERN. RESUMED ON OCTOBER 17, 2024. RESUMED ON OCTOBER 17, 2024. TRANSFERRED FROM COMAINGKING 2 TO BAÑEZ 1. STOPPED ON NOVEMBER 4, 2024. FOR STOPE DESIGN. 
</t>
  </si>
  <si>
    <t xml:space="preserve">REPLACEMENT OF L10_DPVE_003E_DW. APPROVED ON OCTOBER 15, 2024. STOPPED ON OCTOBER 31, 2024. DUE TO CONSECUTIVE LOW ASSAY GRADE ON BOTH CUT AND BULK SAMPLES. CONVERT TO CROSSCUT. </t>
  </si>
  <si>
    <t xml:space="preserve">ADDITIONAL HORIZONTAL DRIVE. APPROVED ON OCTOBER 11, 2024. TEMPORARY STOPPED ON NOVEMBER 4,2024. TO ACCOMODATE ACTIVE DRILLING. </t>
  </si>
  <si>
    <t xml:space="preserve">REPLACEMENT OF L11_JVFW_054E_DE. APPROVED ON OCTOBER 08, 2024 .STOPPED ON NOVEMBER 4, 2024. TO PROCEED TO L11_JVFW_053E_STOPE. </t>
  </si>
  <si>
    <t xml:space="preserve">ADDITIONAL VERTICAL DRIVE. APPROVED ON AUGUST 27, 2024. CHANGED TEAM LEADER FROM NITRO AY TO NITRO AX. APPROVED ON OCTOBER 09, 2024. NITRO AY WILL HANDLE L10_NONE_035E_XCS TO ASSIST TRACKMAN IN THE INSTALLATION OF ORE PASS GRIZZLY. CHANGED TEAM LEADER FROM NITRO AX TO NITRO BF 2. APPROVED ON OCTOBER 15, 2024. STOPPED ON NOVEMBER 04, 2024. RECOMMENDED TO BE MINED AT LOWER LEVEL. </t>
  </si>
  <si>
    <t xml:space="preserve">REPLACEMENT OF L03_JV_015W_DE_ISL. APPROVED ON AUGUST 23, 2024. STOPPED ON NOVEMBER 04, 2024. ALREADY RECOMMENDED STRIKE LENGTH. </t>
  </si>
  <si>
    <t>L12_DPVE_055E_DE</t>
  </si>
  <si>
    <t>NITRO BC 3</t>
  </si>
  <si>
    <t xml:space="preserve">REPLACEMENT OF L12_NONE_039E_CHAMBER. APPROVED ON MARCH 2, 2024.STOPPED ON APRIL 20, 2024. TO BE CONVERTED TO ON-VEIN DRIVE.RESUMED ON JULY 08, 2024.RENAMED FROM L12_NONE_035E_XCS TO L12_NONE_030E_XCS TO AVOID MISCHARGING WITH L12_JVSPLIT_035E_DW. STOPPED ON NOV. 5 2024 (3rd SHIFT) UPON REACHING VEIN TARGET. </t>
  </si>
  <si>
    <t>L12_GHVSPLIT_025E_DE</t>
  </si>
  <si>
    <t xml:space="preserve">REPLACEMENT OF L12_JVSPLIT_032E_DW. APPROVED ON MAY 3, 2024.TEMPORARILY STOPPED ON MAY 09, 2024.MANPOWER TO BE MERGED WITH 65E STOPE FOR PRIORITIZATION.RESUMED ON MAY 22, 2024.TEMPORARILY STOPPED ON JUNE 05, 2024. PRIORITIZE WEST EXTENSION OF VEIN.RESUMED ON JUNE 21, 2024.RENAMED FROM L12_JVSPLIT_031E_DE TO L12_DPVE_031E_DE. PROPER VEIN CLASSIFICATION. APPROVED ON JULY 22, 2024.TEMPORARY STOPPED ON AUGUST 14, 2024 TO PRIORITIZE L12_DPVE_037E_RAISE.RESUMED ON AUGUST 19, 2024. TEMP STOPPED ON SEPT 26, 2024 TO DO RAISE PREP. RESUMED ON OCT 4, 2024. STOPPED AT NOVEMBER 06,2024.  OFF VEIN CUT BY FAULT. NO FURTHER TARGETS BEYOND. 
</t>
  </si>
  <si>
    <t>FERNANDEZ,RM</t>
  </si>
  <si>
    <t>L03_CTV_040W_RAISE</t>
  </si>
  <si>
    <t>REPLACEMENT OF L09_DPVE_073E_DW_ISL. APPROVED ON OCTOBER 18, 2024. SILL PILLAR ROBBING. STOPPED ON NOVEMBER 04, 2024. ALREADY FINISHED HEADING.</t>
  </si>
  <si>
    <t>L09_DPVE_072E_DE_ISL</t>
  </si>
  <si>
    <t xml:space="preserve">ADDITIONAL SOURCE OF GOOD ORE. APPROVED ON SEPTEMBER 02, 2024. SILL. STOPPED ON NOVEMBER 06, 2024. ALREADY REACHED THE RECOMMENDED PILLAR BREAKING. </t>
  </si>
  <si>
    <t xml:space="preserve">REPLACEMENT OF L09_GHVHW_033W_DW. APPROVED ON OCTOBER 1, 2024. TRANSFER FROM NITRO AA TO DELOS REYES V2 AS REPLACEMENT OF L09_GHVSPLIT_024W_DW. APRROVED ON OCTOBER 17, 2024. STOPPED ON NOVEMBER 06, 2024. ALREADY MADE A BREAKTHROUGH AT L09_NONE_030W_XCN. 
</t>
  </si>
  <si>
    <t>L12_GHVHW_071E_WINZE</t>
  </si>
  <si>
    <t>NITRO BF</t>
  </si>
  <si>
    <t>L08_DPVE_017W_DE</t>
  </si>
  <si>
    <t>L11_NONE_027E_XCS</t>
  </si>
  <si>
    <t>L11_JVFW_052E_STOPE PREP</t>
  </si>
  <si>
    <t xml:space="preserve">REPLACEMENT OF L10_DPVE_085E_ROBBING. APPROVED ON SEPTEMBER 07, 2024. TEMPORARILY STOPPED ON SEPTEMBER 11, 2024. PRIORITIZE GROUND SUPPORT INSTALLATION IN OTHER WORKPLACE. RESUMED ON SEPTEMBER 16, 2024.  STOPPED ON NOVEMBER 01, 2024. DUE TO CONSECUTIVE LOW ASSAY GRADE ON BOTH CUT AND BULK SAMPLES.
</t>
  </si>
  <si>
    <t xml:space="preserve">ADDITIONAL HORIZONTAL DEVT DRIVE. APPROVED ON SEPT 17, 2024. CHANGE TL FROM CAPPUYO 2 TO REBOTE TO BABOR. APPROVED ON OCTOBER 17, 2024. STOPPED ON NOVEMBER 07, 2024. ALREADY REACHED RECOMMENDED STRIKE LENGTH.  </t>
  </si>
  <si>
    <t>L12_DPVE_042E_STOPE</t>
  </si>
  <si>
    <t xml:space="preserve">REPLACEMENT OF L12_DPVE_036E_DE. APPROVED ON OCT 1, 2024. STOPPED ON NOVEMBER 06,2024. CONVERTED TO BREAKING. </t>
  </si>
  <si>
    <t xml:space="preserve">REPLACEMENT OF L12_DPVE_038E_STOPE PREP. APPROVED ON APRIL 23, 2024.TEMPORARY STOPPED ON APRIL 29,2024 2ND SHIFT.RESUMED ON JUNE 04, 2024.TEMPORARILY STOPPED ON JUNE 28, 2024. MANPOWER TO BE ASSIGNED ON PRIORITY STOPE HEADING. RESUME BREAKING AS REPLACEMENT OF L12_GHV_061E_STOPE. APPROVED ON AUGUST 12, 2024. STOPPED ON NOVEMBER 04, 2024. 3RD SHIFT. ALREADY REACHED THE RECOMMENDED CROWN PILLAR AND TO BE CONVERTED TO PULL-OUT ONCE TRAVERSE. CONVERTED TO PULLOUT. APPROVED NOVEMBER 05,2024. 
</t>
  </si>
  <si>
    <t xml:space="preserve">REPLACEMENT OF L12_GHV_070E_STOPE PREP. APPROVED ON MAY 28, 2024.TEMPORARY STOPPED ON JUNE 18, 2024, 3RD SHIFT. DUE TO ABSENTEEISM OF MEN RESULTING TO ABANDONMENT OF WORKPLACE .RESUMED AND CHANGED TEAM LEADER FROM PANSIT NORMAN 4 TO AGLOLO 4. APPROVED ON JUNE 19, 2024. TRANFERRED FROM AGLOLO 4 TO NITRO BM. APPROVED ON SEPTEMBER 4, 2024. CONVERTED TO PULLOUT. APPROVED NOVEMBER 07,2024. </t>
  </si>
  <si>
    <t xml:space="preserve">REPLACEMENT OF L12_JV_063E_STOPE PREP. APPROVED ON AUGUST 15, 2024. CHANGE TEAM LEADER FROM CANOY TO NITRO BQ. EFFECTIVE SEPTEMBER 04, 2024. TEMPORARILY STOPPED ON OCTOBER 30, 2024. CURRENTLY WAITING FOR IPR RESULT. GROUP WILL PRIORITIZE BYPASS ON DSP 29. STOPPED ON NOVEMBER 4,2024. IPR ASSAY REFLECT LOW GRADE. CONVERTED TO PULLOUT. APPROVED NOVEMBER 05,2024.  
</t>
  </si>
  <si>
    <t>L11_GHV_046E_RAISE</t>
  </si>
  <si>
    <t xml:space="preserve">WIDENING ACTIVITY AND ML CLEANING TOWARDS BAGUIO SHAFT AREA. APPROVED ON OCTOBER 12, 2024. FOR BILLING AND EXPLOSIVE WITHDRAWAL PURPOSES. STOPPED ON OCTOBER 30, 2024. ALREADY DONE CLEANING; CONVERTED TO DRIVE. </t>
  </si>
  <si>
    <t>L03_JV_043W_DW</t>
  </si>
  <si>
    <t xml:space="preserve">REPLACEMENT OF L08_NONE_077E_XCN. APPROVED ON OCTOBER 3, 2024. STOPPED ON NOVEMBER 08, 2024. CONVERT TO ON VEIN DRIVE. </t>
  </si>
  <si>
    <t>L08_JV_078E_DE</t>
  </si>
  <si>
    <t xml:space="preserve">REPLACEMENT OF L03_CTV_025W_STOPE PREP. APPROVED ON SEPTEMBER 17, 2024. STOPPED BREAKING ON OCTOBER 26, 2024 DUE TO PINCHED OUT VEIN/LOW ASSAY GRADE RESULT TO ITS IPR. CONVERTED TO STOPE PULL-OUT CLEANING. STOPPED ON NOVEMBER 08, 2024. DUE TO CONSECUTIVE LOW ASSAY GRADE. </t>
  </si>
  <si>
    <t>L10_GHV_065E_ROBBING</t>
  </si>
  <si>
    <t xml:space="preserve">REPLACEMENT OF L09_GHV_017E_DW_ISL. APPROVED ON OCTOBER 26, 2024. STOPPED DUE TO CONSECUTIVE LOW ASSAY GRADE. APPROVED ON NOVEMBER 07, 2024. 
</t>
  </si>
  <si>
    <t>L09_GHV_018E_DW_ISL</t>
  </si>
  <si>
    <t xml:space="preserve">ADDITIONAL HORIZONTAL DEVELOPMENT AS BYPASS ACCESS. APPROVED ON OCTOBER 22, 2024. STOPPED ON NOVEMBER 11, 2024. ALREADY MADE A BREAKTHROUGH. </t>
  </si>
  <si>
    <t xml:space="preserve">REPLACEMENT OF L12_GHVHW_066E_STOPE PREP, APPROVED ON JUNE 13, 2024.TEMPORARY STOPPED ON JUNE 15, 2024 TO PRIORITIZE THE WORKPLACE L12_GHVHW_062E_STOPE.RESUMED AND CHANGED TEAM LEADER FROM BABOR 1 TO AGLOLO 3. APPROVED ON JUNE 19, 2024.TEMPORARILY STOPPED ON JUNE 24, 2024. ABSENTEEISM OF MANPOWER DUE TO TRANSITION OF GROUP FROM UPPER LEVEL.RESUMED ON JUNE 26, 2024 AS REPLACEMENT OF L12_DPVE_036E_DE. TRANFERRED FROM AGLOLO 3 TO NITRO BR. APPROVED ON SEPTEMBER 4, 2024. STOPPED ON OCTOBER 16, 2024. ALREADY REACHED RECOMMENDED SLOPE DISTANCE. CONVERTED TO PULLOUT CLEANING. APPROVED ON OCTOBER 17, 2024. STOPPED ON NOVEMBER 12, 2024. ALREADY MINED OUT WITH 101% PULL-OUT ATTAINMENT. </t>
  </si>
  <si>
    <t xml:space="preserve">REPLACEMENT OF L10_NONE_102E_XCN. APPROVED ON OCTOBER 02, 2024. TEMPORARY STOPPED ON OCTOBER 19, 2024 TO PRIORITIZ DRIFT EAST. RESUMED ON OCTOBER 21, 2024. STOPPED ON NOVEMBER 11, 2024. DUE TO CONSECUTIVE LOW ASSAY GRADE. TO BE CONVERTED TO CROSSCUT TARGETING DRILL INTERCEPTS. </t>
  </si>
  <si>
    <t>L10_NONE_107E_XCN</t>
  </si>
  <si>
    <t>107E</t>
  </si>
  <si>
    <t>L08_NONE_014W_XCS</t>
  </si>
  <si>
    <t>L12_GHVSPLIT_068E_RAISE</t>
  </si>
  <si>
    <t>L12_JV_057E_STOPE</t>
  </si>
  <si>
    <t>Adjusted from 20 to 40 5/1/21. Change from 40 to 50 6/15/21 . CHANGE FROM 50 TO 60 ADDITIONAL HEADINGS. Change from 60 to 100 upgrade skip to 2 tonner 3/1/22. CHANGE FROM 200MC TO 150MC - 43E SHAFT AND ADDITIONAL 700 MC - DSP 29 11/14/24.</t>
  </si>
  <si>
    <t>35E SHAFT - 250 MC 11/14/24</t>
  </si>
  <si>
    <t>Change from 10 to 30 5/8/20. Change from 30 to 40 5/1/21. Change from 40 to 50 6/15/21. CHANGE FROM 50 TO 70 12/12/21. CHANGE FROM 70 TO 110 ADDITIONAL HEADINGS 2/1/22. Change from 110 to 150 upgrade skip to 2 tonner 3/1/22. Change from 150 to 240 upgrade skip from 1 tonner to 2 tonner of 43E Shaft 9/19/22. Change from 240 to 300 full operation of 43E Shaft 2-tonner 10/1/22. CHANGE FROM 400MC TO 250MC - 43E SHAFT AND ADDITIONAL 400 MC - DSP 26 11/14/24.</t>
  </si>
  <si>
    <t>ADJUSTED QUOTA from 14 to 20 on 11/10/17. ADJUSTED from 20 to 40 on 1/13/2018. ADJUSTED from 40 to 60 on 4/18/2018. ADJUSTED FROM 60 TO 120 ON 7/18/18. CHANGE QUOTA from 120 to 180 on 12/12/18. FROM 180 TO 240 (220 ORE) ON 1/28/18. changed from 240 to 380 on 7/13/19. CHANGE FROM 380 TO 400 ON 1/17/20. Change from 400 to 500 5/8/20.Change from 500 to 450 9/5/20. CHANGE FROM 450 TO 490 ON 7/26/21. Change from 490 to 500 12/1/21. CHANGE FROM 500MC TO 250MC 11/1/24 DUE TO DEPLETION OF RESOURCES 11/14/24</t>
  </si>
  <si>
    <t>ADJUSTED QUOTA from 150 to 220 on 6/01/17.  CHANGE . QUOTA FROM 300 TO 400 on 4/9/18. CHANGE QUOTA FROM 400 TO 340 ON 7/18/18. CHANGE QUOTA from 340 to 400 on 12/12/18. FROM 400 TO 450 (420 ore) ON 1/28/19. Change from 450 to 500 5/8/20. Change from 500 to 420 9/5/20. Change from 420 to 390 on 5/1/21. CHANGE FROM 390 TO 350 ON 7/26/21 DUE TO DEPLETING RESOURCES. CHANGE FROM 350 TO 400 ON 12/2/21. CHANGE FROM 350 TO 380 LOWERED MANPOWER AFTER HOLIDAYS 2/1/22. Change from 380 to 320 due to depletion of resources. Change from 320 to 250 due to depletion of resources 11/14/24.</t>
  </si>
  <si>
    <t>L09_DPVE_085E_WINZE STOPE</t>
  </si>
  <si>
    <t xml:space="preserve">REPLACEMENT OF L09_DPVE_085E_DW_ISL. APPROVED ON SEPTEMBER 25, 2024. CHANGE TEAM LEADER FROM FABROA 2 TO NITRO BT. APPROVED ON OCTOBER 02, 2024. STOPPED ON NOVEMBER 14, 2024. TO BE CONVERTED TO BREAKING. 
</t>
  </si>
  <si>
    <t xml:space="preserve">REPLACEMENT OF L10_GHVSPLIT_044E_ROBBING. SILL PILLAR ROBBING. APPROVED ON OCTOBER 18, 2024. STOPPED ON NOVEMBER 14, 2024. FINISHED HEADING. </t>
  </si>
  <si>
    <t>L10_GHVFW_054E_ROBBING</t>
  </si>
  <si>
    <t>L12_JVHW_044E_RAISE</t>
  </si>
  <si>
    <t xml:space="preserve">REPLACEMENT OF L12_NONE_047E_XCS. SPECIAL PROJECT 3x3 VENTILATION WINZE. APPROVED ON SEPTEMBER 06, 2024. CHANGED TEAM LEADER FROM BALANGHIG TO CAPPUYO 1. APPROVED ON OCTOBER 02, 2024. TEMPORARILY STOPPED ON NOVEMBER 15, 2024. PRIORITIZE MAINLINE WIDENING OF MRPC. </t>
  </si>
  <si>
    <t xml:space="preserve">REPLACEMENT OF L09_JV_060E_WINZE STOPE. APPROVED ON OCTOBER 01, 2024. TOPSLICE. STOPPED ON NOVEMBER 15, 2024. ALREADY FINISHED HEADING. </t>
  </si>
  <si>
    <t>L09_DPVE_059E_WINZE</t>
  </si>
  <si>
    <t xml:space="preserve">APPROVED ON JAN 11, 2024. ALIMAK RAISE FOR VENTILATION. STOPPED ON JUNE 22, 2024 FINISHED HEADING.
</t>
  </si>
  <si>
    <t xml:space="preserve">                                                                                                                                                                                                                                                                                                                                                                                                                                                                                                                                                                    </t>
  </si>
  <si>
    <t>L11_GHVHW_069E_DE</t>
  </si>
  <si>
    <t>L09_GHVHW_032W_RAISE</t>
  </si>
  <si>
    <t>L11_NONE_051E_WIDENING</t>
  </si>
  <si>
    <t>L425_GHVSPLIT_042E_DW</t>
  </si>
  <si>
    <t xml:space="preserve">REPLACEMENT OF L08_GHV_001E_ROBBING. APPROVED ON JULY 25, 2024. SILL.TEMPORARY STOPPED JULY 26,2024. EXTENDED CLEANING DUE TO POSSIBLE ADDITIONAL AREA FOR ROBBING. RESUMED ON OCTOBER 24, 2024 AT THE SAME TIME CHANGED TEAM LEADER FROM CARIKITAN 3 TO CABONITA 1. STOPPED ON NOVEMBER 19, 2024. ALREADY FINISHED HEADING. </t>
  </si>
  <si>
    <t>L09_GHVFW_035W_DW_ISL</t>
  </si>
  <si>
    <t xml:space="preserve">REPLACEMENT OF L10_DPVE_071E_WINZE STOPE PREP. APPROVED ON OCTOBER 25, 2024. STOPPED BREAKING ON NOVEMBER 19, 2024. ALREADY TRAVERSED. CONVERTED TO PULLOUT CLEANING. APPROVED ON NOVEMBER 20, 2024. </t>
  </si>
  <si>
    <t>L11_DPVE_053E_RAISE</t>
  </si>
  <si>
    <t xml:space="preserve">REPLACEMENT OF L12_NONE_030E_XCS. APPROVED ON NOV 5, 2024. STOPPED ON NOVEMBER 19, 2024. DUE TO PINCHED OUT VEIN. </t>
  </si>
  <si>
    <t>L12_GHVSPLIT_026E_DE</t>
  </si>
  <si>
    <t xml:space="preserve">REPLACEMENT OF L12 GHVFW 053E RAISE. APPROVED ON OCT 19, 2024. STOPPED ON NOVEMBER 13, 2024. FINISHED STOPE PREP. </t>
  </si>
  <si>
    <t xml:space="preserve">REPLACEMENT OF L09_NONE_087E_XCN. APPROVE ON AUGUST 20, 2024. TEMPORARY STOPPED ON SEPTEMBER 04, 2024. TO PRIORITIZE ON VEIN TOWARDS EAST.  MEMO TO BE FOLLOWED. RESUMED ON SEPTEMBER 11, 2024. AT THE SAME TIME CHANGED NAME HEADING FROM L09_DPVE_092E_DW TO L09_DPVE_093E_DW. TO  AVOID MISCHARGING. RENAMED FROM L09_DPVE_093E_DW TO L09_DPVE_093E_DE TO CORRECT VEIN POSITION. APPROVED ON SEPTEMBER 18, 2024. STOPPED ON NOVEMBER 18, 2024 DUE TO PINCHED-OUT VEIN. </t>
  </si>
  <si>
    <t>L09_NONE_005E_XCS</t>
  </si>
  <si>
    <t xml:space="preserve">REPLACEMENT OF L08_DPVE_043E_WINZE. APPROVED ON OCTOBER 28, 2024. STOPPED ON NOVEMBER 22, 2024. FOR WINZE STOPE PREP. MEMO TO FOLLOW. </t>
  </si>
  <si>
    <t>L08_DPVE_043E_WINZE STOPE PREP</t>
  </si>
  <si>
    <t xml:space="preserve">ADDITIONAL WORKING PLACE. APPROVED ON NOVEMBER 06,2024. TEMPORARY STOPPED ON NOVEMBER 22, 2024 DUE TO COLLAPSED ON BAGUIO SHAFT AREA. FOR EVALUATION. </t>
  </si>
  <si>
    <t xml:space="preserve">ADDITIONAL WIDENING OF 39E MAINLINE TO 3x3 METERS. APPROVED ON AUGUST 30, 2024. TEMPORARY STOP ON NOVEMBER 25, 2024. PRIORITIZATION OF WORKPLACE. </t>
  </si>
  <si>
    <t xml:space="preserve">ADDITIONAL WIDENING FOR INSTALLATION OF AIRHOIST. APPROVED ON OCTOBER 31, 2024. STOPPED ON NOVEMBER 04, 2024. FINISHED HEADING. RESUMED ON NOVEMBER 13, 2024. FOR INSTALLATION OF GROUND SUPPORT ONLY. TRANSFERRED FROM NITRO BB TO BAÑEZ 1. STOPPED ON NOVEMBER 25, 2024. FINISHED HEADING. </t>
  </si>
  <si>
    <t>L11_GHVHW_061E_WINZE</t>
  </si>
  <si>
    <t xml:space="preserve">REPLACEMENT OF L12_JV_063E_STOPE PREP. APPROVED ON AUGUST 15, 2024. CHANGE TEAM LEADER FROM CANOY TO NITRO BQ. EFFECTIVE SEPTEMBER 04, 2024. TEMPORARILY STOPPED ON OCTOBER 30, 2024. CURRENTLY WAITING FOR IPR RESULT. GROUP WILL PRIORITIZE BYPASS ON DSP 29. STOPPED ON NOVEMBER 4,2024. IPR ASSAY REFLECT LOW GRADE. CONVERTED TO PULLOUT. APPROVED NOVEMBER 05,2024. STOPPED ON NOVEMBER 25, 2024. ALREADY MINED OUT WITH 109% PULL-OUT ATTAINMENT.
</t>
  </si>
  <si>
    <t>L11_NONE_041E_XCS</t>
  </si>
  <si>
    <t xml:space="preserve">REPLACEMENT OF L09_DPVE_082E_ROBBING. APPROVED ON NOVEMBER 07, 2024. STOPPED ON NOVEMBER 25, 2024. ALREADY REACHED RECOMMENDED STRIKE LENGTH. </t>
  </si>
  <si>
    <t xml:space="preserve">REPLACEMENT OF L12_GHVFW_051E_DW. APPROVED ON OCT 19, 2024. STOPPED ON NOVEMBER 26, 2024. ALREADY REACHED THE VEIN PROJECTION. </t>
  </si>
  <si>
    <t xml:space="preserve">REPLACEMENT OF L09_GHV_057E_ROBBING. SILL. APPROVED ON NOVEMBER 07, 2024. STOPPED ON NOVEMBER 25, 2024. FINISH HEADING. </t>
  </si>
  <si>
    <t>L09_DPVE_023E_ROBBING</t>
  </si>
  <si>
    <t xml:space="preserve">ADDITIONAL WORKING PLACE. APPROVED ON OCT 19, 2024. STOPPED ON NOVEMBER 27, 2024. CONVERT TO STOPE BREAKING. </t>
  </si>
  <si>
    <t>L12_GHVSPLIT_054E_STOPE</t>
  </si>
  <si>
    <t>L12_GHVFW_037E_DW</t>
  </si>
  <si>
    <t xml:space="preserve">REPLACEMENT OF L09_DPVE_092E_DW. APPROVED ON OCTOBER 08, 2024. CHANGED NAME HEADING FROM L09_DPVE_093E_RAISE TO L09_DPVE_094E_RAISE TO AVOID MISCHARGING WITH L09_DPVE_093E_DE. STOPPED ON NOVEMBER 25, 2024 DUE TO PINCHED-OUT VEIN. </t>
  </si>
  <si>
    <t xml:space="preserve">REPLACEMENT OF L10_DPVE_071E_WINZE STOPE PREP. APPROVED ON OCTOBER 25, 2024. STOPPED BREAKING ON NOVEMBER 19, 2024. ALREADY TRAVERSED. CONVERTED TO PULLOUT CLEANING. APPROVED ON NOVEMBER 20, 2024. STOPPED ON NOVEMBER 26, 2024. ALREADY MINED-OUT. </t>
  </si>
  <si>
    <t>L425_GHVHW_053E_DW</t>
  </si>
  <si>
    <t xml:space="preserve">REPLACEMENT OF L12_GHVHW_048E_DW, APPROVED ON OCT 1, 2024. STOPPED ON NOVEMBER 29, 2024. 3RD SHFT. DUE TO CONSECUTIVE LOW ASSAY GRADE. </t>
  </si>
  <si>
    <t xml:space="preserve">ADDITIONAL DEVELOPMENT. APPROVED ON OCTOBER 24, 2024. STOPPED ON NOVEMBER 29, 2024. DUE TO PINCHED OUT VEIN. </t>
  </si>
  <si>
    <t>L08_DPVE_033E_ROBBING</t>
  </si>
  <si>
    <t>L08_NONE_002E_XCN</t>
  </si>
  <si>
    <t xml:space="preserve">REPLACEMENT OF L08_DPVE_060E_WINZE STOPE PREP. APPROVED ON SEPTEMBER 05, 2024.TEMPORARY STOPPED ON NOVEMBER 23, 2024 FOR SAFETY EVALUATION. RESUMED ON NOVEMBER 25, 2024. STOPPED BREAKING ON NOVEMBER 26, 2024. AT THE SAME TIME TRAVERSED ON THE SAME DAY. CONVERT TO PULL-OUT CLEANING. </t>
  </si>
  <si>
    <t xml:space="preserve">REPLACEMENT OF L09_GHVFW_035W_DW_ISL. APPROVED ON NOVEMBER 5, 2024. STOPPED ON NOVEMBER 29, 2024. ALREADY REACHED RECOMMENDED STRIKE LENGTH. SHEARED GROUND ON THE CURRENT FACE. </t>
  </si>
  <si>
    <t>L09_DPVE_081E_ROBBING</t>
  </si>
  <si>
    <t xml:space="preserve">REPLACEMENT OF L10_GHVFW_057E_ROBBING. APPROVED ON NOVEMBER 14, 2024. SILL PILLAR ROBBING. STOPPED ON NOVEMBER 29, 2024. ALREADY FINISH HEADING. </t>
  </si>
  <si>
    <t xml:space="preserve">REPLACEMENT OF L12_JV_060E_STOPE. APPROVED ON OCTOBER 02, 2024. STOPPED ON NOVEMBER 30, 2024. CONSECUTIVE LOW ASSAY GRADE. </t>
  </si>
  <si>
    <t xml:space="preserve">REPLACEMENT OF L12_DPVE_031E_DE, APPROVED ON SEPT 26, 2024. STOPPED ON NOVEMBER 30, 2024. DUE TO PINCHED OUT VEIN. </t>
  </si>
  <si>
    <t xml:space="preserve">REPLACEMENT OF L09_DPVE_005E_DW. APPROVED ON OCTOBER 28, 2024. STOPPED ON NOVEMBER 30, 2024. ALREADY HIT THE TARGET VEIN. </t>
  </si>
  <si>
    <t>L09_DPVE_004E_DW</t>
  </si>
  <si>
    <t xml:space="preserve">REPLACEMENT OF L09_GHV_017E_DE_ISL. APPROVED ON NOVEMBER 11, 2024. STOPPED ON DECEMBER 2, 2024 TO PRIORITIZE DRIFT EAST. MEMO TO FOLLOW. </t>
  </si>
  <si>
    <t>L09_DPVE_095E_RAISE</t>
  </si>
  <si>
    <t>DELOS REYES V4</t>
  </si>
  <si>
    <t>L12_DPVE_027E_RAISE</t>
  </si>
  <si>
    <t>L09_GHVHW_007W_DW</t>
  </si>
  <si>
    <t>NITRO BD</t>
  </si>
  <si>
    <t>L12_GHVSPLIT_064E_RAISE</t>
  </si>
  <si>
    <t xml:space="preserve">REPLACEMENT OF L12_NONE_045E_XCS. RENAMED FROM L12_GHVSPLIT_070E_RAISE. APPROVED ON MARCH 11,2024.TEMPORARRY STOPPED ON MARCH 19, 2024 DUE TO ABSENTEEISM.RESUMED ON MARCH 20, 2024 AT THE SAME TIME TRANSFERRED FROM PANCIT, NOEL 5 TO BALANGHIG 2.TEMPORARILY STOPPED ON APRIL 08, 2024. TO PRIORITIZE L12_JV_063E_STOPE PREP. CHANGE NAME HEADING FROM L12_GHVSPLIT_066E_RAISE TO L12_GHVSPLIT_064E_RAISE TO AVOID MISCHARGING. APPROVED ON DECEMBER 02, 2024. </t>
  </si>
  <si>
    <t xml:space="preserve">REPLACEMENT OF L11_GHVHW_069E_STOPE. APPROVED ON OCT 7, 2024. RENAMED FROM L11_GHVSPLIT_060E_RAISE TO L11_GHVSPLIT_059E_RAISE. TO AVOID CONFUSION WITH L11_GHV_060E_ROBBING. APPROVED ON OCTOBER 11, 2024. STOPPED ON DECEMBER 2, 2024 DUE TO CONSECUTIVE LOW GRADE. </t>
  </si>
  <si>
    <t xml:space="preserve">REPLACEMENT OF L10_DL10_DPVE_080E_DW. APPROVED ON OCTOBER 31, 2024. TRANSFERRED FROM OLIVEROS TO NITRO BD. APPROVED ON NOVEMBER 14, 2024. STOPPED ON NOVEMBER 30, 2024. ALREADY HIT THE TARGET VEIN. </t>
  </si>
  <si>
    <t xml:space="preserve">REPLACEMENT OF L09_DPVE_034E_ROBBING. APPROVED ON NOVEMBER  27, 2024. STOPPED ON DECEMBER 4, 2024. ALREADY FINISHED HEADING. </t>
  </si>
  <si>
    <t>L10_JVSPLIT_067E_DW_ISL</t>
  </si>
  <si>
    <t>L10_GHVHW_007W_DW</t>
  </si>
  <si>
    <t>L09_GHV_018W_DE_ISL</t>
  </si>
  <si>
    <t>L08_DPVE_034E_DW</t>
  </si>
  <si>
    <t xml:space="preserve">ADDITIONAL HORIZONTAL DRIVE. APPROVED ON JULY 18, 2024. RENAME FROM L425_GHVHW_051E_DW TO L425_GHVHW_052E_DW TO AVOID MISCHARGING FROM L12_GHV_051E_DW STARTING ON AUGUST 1, 2024. TEMPORARY STOPPED ON OCT 9, 2024 TO PRIORITIZE RAISE. RESUMED ON OCTOBER 17, 2024 AT SAME TIME TRANSFER FROM CAPPUYO 2 TO REBOTE. STOPPED ON DECEMBER 5, 2024 DUE TO PINCHED OUT VEIN. </t>
  </si>
  <si>
    <t xml:space="preserve">ADDITIONAL HORIZONTAL DEVELOPMENT. APPROVED ON NOVEMBER 29, 2024. STOPPED ON DECEMBER 5, 2024 DUE TO THE VEIN SWERVED TO THE ADJACENT MAINLINE. </t>
  </si>
  <si>
    <t xml:space="preserve">REPLACEMENT OF L12_GHVHW_048E_DW. APPROVED ON OCT 8, 2024. TEMPORARY STOPPED ON NOVEMBER 26, 2024 TO PRIORITIZE L12_NONE_047E_XCS. RESUMED ON NOVEMBER 30, 2024. 1ST SHIFT. STOPPED ON DECEMBER 5, 2024. ALREADY HIT THE TARGET VEIN AND NO FURTHER TARGETS. </t>
  </si>
  <si>
    <t>NITRO BW</t>
  </si>
  <si>
    <t>L09_NONE_055E_XCN</t>
  </si>
  <si>
    <t xml:space="preserve">REPLACEMENT OF L12_GHVSPLIT_049E_STOPE PREP. APPROVED ON MAY 21, 2024. STOPPED BREAKING ON OCTOBER 21, 2024. LOW QA/QC GRADE ON IPR. CONVERTED TO PULLOUT CLEANING. APPROVED ON OCTOBER 21, 2024. STOPPED ON DECEMBER 06, 2024. ALREADY FINISHED HEADING.  </t>
  </si>
  <si>
    <t xml:space="preserve">APPROVED ON OCT 26, 2024, BYPASS ACCESS FOR DSP29B LOOP. RENAMED FROM L12_NONE_048E_XCS TO L12_NONE_047E_XCS. AVOID MISCHARGING WITH HEADING OF SAME POSITION. APPROVED ON OCTOBER 30, 2024. CHANGED TEAM LEADER FROM NITRO BA 2 TO NITRO AT 1. APPROVED ON NOVEMBER 26, 2024. STOPPED ON DECEMBER 07, 2024. ALREADY MADE A BREAKTHROUGH. </t>
  </si>
  <si>
    <t xml:space="preserve">REPLACEMENT OF L08_DPVE_020W_DW. APPROVED ON OCTOBER 30, 2024. STOPPED ON DECEMBER 7, 2024. PINCHED OUT VEIN. 
</t>
  </si>
  <si>
    <t>L08_DPVE_020W_RAISE</t>
  </si>
  <si>
    <t xml:space="preserve">REPLACEMENT OF L08_DPVE_060E_WINZE STOPE PREP. APPROVED ON SEPTEMBER 05, 2024.TEMPORARY STOPPED ON NOVEMBER 23, 2024 FOR SAFETY EVALUATION. RESUMED ON NOVEMBER 25, 2024. STOPPED BREAKING ON NOVEMBER 26, 2024. AT THE SAME TIME TRAVERSED ON THE SAME DAY. CONVERT TO PULL-OUT CLEANING. STOPPED ON DECEMBER 6, 2024. ALREADY MINED OUT. </t>
  </si>
  <si>
    <t>L08_DPVE_053E_ROBBING</t>
  </si>
  <si>
    <t xml:space="preserve">REPLACEMENT OF L08_GHV_003E_DW. APPROVED ON NOVEMBER 12, 2024. SILL PILLAR ROBBING. TEMPORARY STOPPED ON NOVEMBER 23, 2024 TO PRIORITIZE CLEANING OF OLD MUCK. </t>
  </si>
  <si>
    <t>L10_NONE_073E_XCS</t>
  </si>
  <si>
    <t xml:space="preserve">REPLACEMENT OF L11_JVHW_067E_RAISE. APPROVED ON OCTOBER 09, 2024. STOPPED ON DECEMBER 9, 2024. ALREADY REACHED RECOMMENDED SLOPE HT. </t>
  </si>
  <si>
    <t>L11_DPVE_040E_DE_ISL</t>
  </si>
  <si>
    <t xml:space="preserve">CROSSCUT ALONG L12_NONE_035E_SHAFT STATION, APPROVED ON JULY 4, 2024. TEMPORARILY STOPPED ON JULY 08, 2024. PRIORITIZE FINISHING WIDENING OF 35E SHAFT STATION. </t>
  </si>
  <si>
    <t>L12_NONE_050E_XCN</t>
  </si>
  <si>
    <t>L11_JVFW_052E_STOPE</t>
  </si>
  <si>
    <t xml:space="preserve">REPLACEMENT OF L11_JVFW_052E_RAISE. APPROVED ON NOVEMBER 06, 2024. STOPPED ON NOVEMBER 29, 2024. CONVERTED TO BREAKING. </t>
  </si>
  <si>
    <t>L11_JVHW_070E_RAISE</t>
  </si>
  <si>
    <t xml:space="preserve">REPLACEMENT OF L11_DPVE_036E_DE. APPROVED ON OCTOBER 02, 2024. TEMPORARILY STOPPED ON OCTOBER 12, 2024. DUE TO ABSENTEEISM OF MANPOWER. RESUMED ON OCTOBER 15, 2024. STOPPED ON DECEMBER 09, 2024. PINCHED OUT VEIN. </t>
  </si>
  <si>
    <t>L11_DPVE_062E_DE</t>
  </si>
  <si>
    <t xml:space="preserve">REPLACEMENT OF L11_DPVE_062E_RAISE. APPROVED ON OCTOBER 23, 2024. STOPPED ON DECEMBER 09, 2024. ALREADY HIT THE TARGET VEIN. </t>
  </si>
  <si>
    <t xml:space="preserve">REPLACEMENT OF L03_NONE_016W_XCN. APPROVED ON OCTOBER 15, 2024. STOPPED ON DECEMBER 9, 2024. ALREADY REACHED  RECOMMENDED SLOPE HT. FOR WINZE STOPE PREP. </t>
  </si>
  <si>
    <t>L03_JV_014W_WINZE STOPE PREP</t>
  </si>
  <si>
    <t>L08_DPVE_043E_WINZE STOPE</t>
  </si>
  <si>
    <t xml:space="preserve">REPLACEMENT OF L08_DPVE_042E_DW_ISL. APPROVED ON NOVEMBER 25, 2024. STOPPED ON DECEMBER 9, 2024. CONVERTED TO BREAKING. </t>
  </si>
  <si>
    <t xml:space="preserve">ADDITIONAL HORIZONTAL DEVELOPMENT DRIVE TARGETING RESOURCE BLOCK. APPROVED ON JULY 15, 2024.TEMPORARY STOPPED ON JULY 30, 2024. TO PRIORITIZE L09_NONE_087E_XCN. RESUMED ON AUGUST 14, 2024. TEMPORARY STOPPED ON OCTOBER 29, 2024. DUE TO SAFETY CONDITION - BREAKTHROUGH OF L09_GHVFW_032W_DE  TO L09_NONE_030W_XCN. RESUMED ON NOVEMBER 06, 2024. 3RD SHIFT. AT THE SAME TIME CHANGED TEAM LEADER FROM PMC MINERS TO DELOS REYES V2. STOPPED ON DECEMBER 11, 2024. ALREADY HIT VEIN TARGET CONVERTED TO DRIFT. 
</t>
  </si>
  <si>
    <t xml:space="preserve">REPLACEMENT OF L09_GHVFW_033W_ROBBING. APPROVED ON OCTOBER 16, 2024. STOPPED ON NOVEMBER 4, 2024 DUE TO LOW CONSECUTIVE GRADE. RESUMED ON NOVEMBER 30, 2024 AS REPLACEMENT OF 35W DE ISL. STOPPED ON DECEMBER 09, 2024. ALREADY REACHED RECOMMENDED STRIKELENGTH. </t>
  </si>
  <si>
    <t xml:space="preserve">REPLACEMENT OF L09_NONE_005E_XCS. APPROVED ON DECEMBER 2, 2024. STOPPED ON DECEMBER 09, 2024. ALREADY REACHED RECOMMENDED DISTANCE FOR SWITCH. </t>
  </si>
  <si>
    <t>L09_GHVFW_035W_ROBBING</t>
  </si>
  <si>
    <t>L09_DPVE_003E_DW</t>
  </si>
  <si>
    <t>L10_GHVSPLIT_068E_WINZE</t>
  </si>
  <si>
    <t xml:space="preserve">REPLACEMENT OF L09_GHV_018E_DW_ISL. APPROVED ON DECEMBER 2, 2024. STOPPED ON DECEMBER 12, 2024 DUE TO CONSECUTIVE LOW GRADE. 
</t>
  </si>
  <si>
    <t>L09_GHVHW_034W_RAISE</t>
  </si>
  <si>
    <t xml:space="preserve">REPLACEMENT OF L09_GHVHW_033W_DW. APPROVED ON NOVEMBER 18, 2024. STOPPED ON DECEMBER 12, 2024 DUE TO CONSECUTIVE LOW GRADE. </t>
  </si>
  <si>
    <t>L425_GHVSPLIT_060E_DE</t>
  </si>
  <si>
    <t>L425_NONE_057E_XCN</t>
  </si>
  <si>
    <t xml:space="preserve">ADDITIONAL WORKING PLACE. APPROVED ON AUGUST 07, 2024. TEMPORARY STOPPED ON OCT 9, 2024 TO PRIORITIZE RAISE. RESUMED ON OCTOBER 15, 2024. STOPPED ON DECEMBER 13, 2024. DUE TO PINCHED OUT VEIN. 
</t>
  </si>
  <si>
    <t xml:space="preserve">REPLACEMENT OF L425_JV_050E_DE. APPROVED ON OCT 9, 2024. STOPPED ON DECEMBER 13, 2024. FINISHED HEADING. 
</t>
  </si>
  <si>
    <t xml:space="preserve">REPLACEMENT OF L09_GHVHW_002E_WINZE. APPROVED ON MAY 2,2024 2ND SHIFT.TEMPORARY STOPPED ON JULY 19, 2024 TO PRIORITIZE L09_NONE_034E_XCS. RESUMED ON AUGUST 01, 2024. STOPPED ON AUGUST 17, 2024. ALREADY HIT THE TARGET VEIN, TO BE CONVERTED TO ON-VEIN DRIVE. RESUMED ON NOVEMBER 25, 2024 AS REPLACEMENT OF L09_DPVE_093E_DE. +20m ADVANCE TO HIT THE TARGET VEIN. STOPPED ON DECEMBER 13, 2024. ALREADY HIT THE TARGET VEIN. </t>
  </si>
  <si>
    <t>L09_DPVE_093E_DW</t>
  </si>
  <si>
    <t xml:space="preserve">                                                                                </t>
  </si>
  <si>
    <t xml:space="preserve">REPLACEMENT OF L12_DPVE_038E_STOPE PREP. APPROVED ON APRIL 23, 2024.TEMPORARY STOPPED ON APRIL 29,2024 2ND SHIFT.RESUMED ON JUNE 04, 2024.TEMPORARILY STOPPED ON JUNE 28, 2024. MANPOWER TO BE ASSIGNED ON PRIORITY STOPE HEADING. RESUME BREAKING AS REPLACEMENT OF L12_GHV_061E_STOPE. APPROVED ON AUGUST 12, 2024. STOPPED ON NOVEMBER 04, 2024. 3RD SHIFT. ALREADY REACHED THE RECOMMENDED CROWN PILLAR AND TO BE CONVERTED TO PULL-OUT ONCE TRAVERSE. CONVERTED TO PULLOUT. APPROVED NOVEMBER 05,2024. STOPPED ON DECEMBER 14, 2024. MINED OUT 112% PULLOUT. 
</t>
  </si>
  <si>
    <t>L11_DPVE_065E_RAISE</t>
  </si>
  <si>
    <t>L12_DPVE_035E_RAISE</t>
  </si>
  <si>
    <t>L11_GHVSPLIT_017E_DW</t>
  </si>
  <si>
    <t>NITRO BM 2</t>
  </si>
  <si>
    <t>L11_NONE_024E_XCN</t>
  </si>
  <si>
    <t xml:space="preserve">REPLACEMENT OF L11_JVFW_052E_STOPE PREP. APPROVED ON NOVEMBER 29, 2024. STOPPED ON DECEMBER 18, 2024. DUE TO PINCHED OUT VEIN. WILL PROCEED TO PULL-OUT ONCE TRAVERSE. </t>
  </si>
  <si>
    <t xml:space="preserve">REPLACEMENT OF L12_GHVSPLIT_025E_DE. APPROVED ON NOVEMBER 19, 2024. STOPPED ON DECEMBER 19, 2024. DUE TO PINCHED OUT VEIN. </t>
  </si>
  <si>
    <t xml:space="preserve">ADDITIONAL WORKING PLACE FOR GROUP. APPROVED ON NOVEMBER 14, 2024. STOPPED ON DECEMBER 19, 2024. DUE TO PINCHED OUT VEIN. </t>
  </si>
  <si>
    <t>L12_JVFW_040E_DW</t>
  </si>
  <si>
    <t xml:space="preserve">REPLACEMENT OF L12_GHVSPLIT_071E_DE. APPROVED ON OCTOBER 14, 2024. STOPPED ON DECEMBER 19, 2024. DUE TO CONSECUTIVE LOW ASSAY GRADES ON BOTH CUT AND BULK SAMPLES. </t>
  </si>
  <si>
    <t>L08_DPVE_014W_RAISE</t>
  </si>
  <si>
    <t>L12_DPVE_049E_DW</t>
  </si>
  <si>
    <t xml:space="preserve">ADDITIONAL VERTICAL DEVT DRIVE. APPROVED ON OCTOBER 11, 2023. 3RD SHIFT. STOPPED ON DECEMBER 19, 2024. DUE TO CONSECUTIVE LOW ASSAY GRADES ON BOTH CUT AND BULK SAMPLES. </t>
  </si>
  <si>
    <t>L09_GHVHW_030W_DE</t>
  </si>
  <si>
    <t xml:space="preserve">REPLACEMENT OF L12_GHVSPLIT_065E_DE. APPROVED ON OCT 19, 2024. TEMPORARY STOPPED ON NOVEMBER 28, 2024. TO PRIORITIZE L12_GHVSPLIT_066E_RAISE. RESUMED ON DECEMBER 07, 2024. STOPPED ON DECEMBER 20, 2024. ALREADY MADE A BREAKTHROUGH. </t>
  </si>
  <si>
    <t>L12_GHVSPLIT_067E_DW</t>
  </si>
  <si>
    <t xml:space="preserve">ADDITIONAL WORKING PLACE FOR GROUP. SPECIAL PROJECT FOR TIGERWAY INTEGRATION. APPROVED ON AUGUST 14, 2024. STOPPED ON AUGUST 22, 2024. ALREADY REACHED RECOMMENDED DISTANCE. RESUMED ON NOVEMBER 29, 2024. FOR BREAKTHROUGH AND PREPARATION OF DSP 26B WASTE DUMP AREA. STOPPED ON DECEMBER 18, 2024. FINISHED BREAKTHROUGH TO TIGERWAY DSP 26B. </t>
  </si>
  <si>
    <t xml:space="preserve">ADDITIONAL WORKPLACE. EXPLORATORY RAISE. APPROVE ON NOVEMBER 08,2024. TRANSFERRED FROM NITRO BK 1 TO BAÑEZ 1. APPROVED ON NOVEMBER 15, 2024. TEMPORARY STOPPED ON NOVEMBER 26,2024, 3RD SHIFT. UNSAFE CONDITION DUE TO HIGH TOXIC GAS. RESUMED ON NOVEMBER 27, 2024. STOPPED ON DECEMBER 11, 2024. ALREADY REACHED RECOMMENDED SLOPE DISTANCE. </t>
  </si>
  <si>
    <t xml:space="preserve">REPLACEMENT OF L11_GHVSPLIT_070E_STOPE PREP APPROVED JUNE 19, 2024.STARTING ON JULY 12, 2024 TRANSFERRED FROM NITRO AC 1 TO MAPAYO SINCE TL ESPADA WAS ALREADY RESIGNED AND 2 MINERS ARE SUBJECT FOR DISMISSAL WHICH LEADS TO INADEQUATE SKILL TO OPERATE THE HEADING THUS THEIR RETENTION WILL BE FORFEITED.RENAMED FROM L11_GHVSPLIT_070E_STOPE TO L11_GHVSPLIT_068E_STOPE TO AVOID MISCHARGING WITH L12_GHV_070E_STOPE. APPROVED JULY 21, 2024. STOPPED BREAKING ON OCTOBER 25, 2024. ALREADY REACHED RECOMMENDED SLOPE DISTANCE. CONVERTED TO PULLOUT CLEANING. APPROVED ON OCTOBER 25, 2024. CONTROL PULLOUT ONLY WITH 16 MC QUOTA PER DAY. STOPPED ON DECEMBER 19, 2024. ALREADY MINED OUT. 
</t>
  </si>
  <si>
    <t xml:space="preserve">FOR SUPEVISORS AND ENGINEERS UNDERGROUND OFFICE. APPROVED ON NOVEMBER 18,2024. STOPPED ON NOVEMBER 27, 2024. ALREADY FINISHED HEADING. </t>
  </si>
  <si>
    <t xml:space="preserve">REPLACEMENT OF L11_DPVE_078E_DE. APPROVED ON NOVEMBER 25, 2024. FOR FILL WINZE. TEMPORARILY STOPPED ON DECEMBER 20, 2024. POSSIBLE BREAKTHROUGH TO L12 STOPE MANWAY. FOR SAFETY EVALUATION. </t>
  </si>
  <si>
    <t>CAPPUYO 4</t>
  </si>
  <si>
    <t>L425_GHVSPLIT_058E_RAISE</t>
  </si>
  <si>
    <t>L425_GHVSPLIT_052E_RAISE</t>
  </si>
  <si>
    <t xml:space="preserve">REPLACEMENT OF L12_DPVE_036E_DE. APPROVED ON AUGUST 28, 2024. TEMPORARY STOPPED ON OCTOBER 02, 2024. TO PRIORITIZE L12_GHVFW_051E_DW. RESUMED ON OCTOBER 28, 2024. STOPPED ON DECEMBER 21, 2024. 2ND SHIFT. CONVERTED TO STOPE PREP. 
</t>
  </si>
  <si>
    <t>L12_DPVE_046E_STOPE PREP</t>
  </si>
  <si>
    <t xml:space="preserve">REPLACEMENT OF L12_GHVHW_066E_STOPE. APPROVED ON NOVEMBER 14, 2024. RENAMED FROM L12_JVHW_043E_RAISE TO L12_JVHW_044E_RAISE. APPROVED ON NOVEMBER 15, 2024. STOPPED ON DECEMBER 21, 2024. 2ND SHIFT. CONVERTED TO STOPE PREP. 
</t>
  </si>
  <si>
    <t>L425_GHVSPLIT_056E_STOPE PREP</t>
  </si>
  <si>
    <t>L09_GHVHW_007E_WINZE</t>
  </si>
  <si>
    <t>L11_GHV_042E_RAISE</t>
  </si>
  <si>
    <t>L11_DPVE_020E_DE</t>
  </si>
  <si>
    <t>ADDITIONAL HOR DEVT DRIVE, APPROVED ON SEPT 25, 2024. TEMPORARY STOPPED ON NOVEMBER 09,2024. TO PRIORITIZED L11_GHV_046E_RAISE. RESUMED ON NOVEMBER 15, 2024. TEMPORARY STOPPED ON NOVEMBER 26,2024, 3RD SHIFT. UNSAFE CONDITION DUE TO HIGH TOXIC GAS. RESUMED ON NOVEMBER 27, 2024. TEMPORARY STOPPED ON DECEMBER 5, 2024, MP TRANSFER TO OTHER WORKPLACE. RESUMED ON DECEMBER 12, 2024. TRANSFERRED FROM NITRO BK TO BAÑEZ 1. STOPPED ON DECEMBER 21, 2024. SAFETY CONCERN. DRILLING PROJECTION PASSED THRU EXPLOSIVE MAGAZINE.</t>
  </si>
  <si>
    <t>ADDITIONAL WORKPLACE OF THE GROUP BLOCKING RAISE OF 94E RAISE. APPROVED ON DECEMBER 2, 2024.  STOPPED ON DECEMBER 21, 2024 DUE TO CONSECUTIVE LOW ASSAY GRADE</t>
  </si>
  <si>
    <t>REPLACEMENT OF L09_DPVE_065E_DE. APPROVED ON SEPTEMBER 02, 2024. TEMPORARY STOPPED ON OCTOBER 01, 2024. TO PRIORITIZE L09_GHVHW_032W_DE. RESUMED ON OCTOBER 17, 2024.  TEMPORARY STOPPED ON NOVEMBER 18, 2024 TO PRIORITIZE L09_GHVHW_032W_RAISE. RESUMED ON NOVEMBER 30, 2024 AS WELL AS TRANSFER FROM NITRO AA TO NITRO BS. TEMPORARY STOPPED ON  DECEMBER 12, 2024 TO PRIORITIZE 34W RAISE. RESUMED ON DECEMBER 17, 2024.STOPPED ON DECEMBER 21, 2024 DUE TO CONSECUTIVE LOW ASSAY GRADE.</t>
  </si>
  <si>
    <t>REPLACEMENT OF L09_DPVE_023E_ROBBING. APPROVED ON DECEMBER 6, 2024.STOPPED ON DECEMBER 23, 2024. ALREADY MADE A BREAKTHROUGH.</t>
  </si>
  <si>
    <t>L425_GHVHW_045E_RAISE</t>
  </si>
  <si>
    <t>L425_NONE_035E_WIDENING</t>
  </si>
  <si>
    <t>REPLACEMENT OF L11_GHVHW_065E_ROBBING. APPROVED ON OCTOBER 29, 2024. SILL PILLAR ROBBING. STOPPED ON DECEMBER 22, 2024. ALREADY MINED OUT.</t>
  </si>
  <si>
    <t xml:space="preserve">FOR VENTILATION BREAKTHROUGH. APPROVED ON NOVEMBER 06,2024. STOPPED ON NOVEMBER 29, 2024. ALREADY MADE BREAKTHROUGH. </t>
  </si>
  <si>
    <t xml:space="preserve">SPECIAL PROJECT TO SERVE AS BYPASS FOR DSP29 TRAMMING. APPROVED ON OCTOBER 31, 2024. TEMPORARILY STOPPED ON NOVEMBER 15, 2024. OPERATIONAL CONCERN ACTIVE TRAMMING LINE TO DSP 29. RESUMED ON NOVEMBER 20, 2024. WIDENING PERFORMED BY CAYMAN AS PER LEVEL ENGINEER OF NITRO PRIOR TO THE OPENING OF WORKING PLACE. STOPPED ON JANUARY 03, 2025. ALREADY MADE A BREAKTHROUGH. </t>
  </si>
  <si>
    <t xml:space="preserve">REPLACEMENT OF L11_JVFW_052E_STOPE PREP. APPROVED ON NOVEMBER 29, 2024. STOPPED ON DECEMBER 18, 2024. DUE TO PINCHED OUT VEIN. WILL PROCEED TO PULL-OUT ONCE TRAVERSE. CONVERT TO PULL-OUT CLEANING. APPROVED ON DECEMBER 19, 2024. STOPPED ON JANUARY 02, 2024. ALREADY MINED OUT. </t>
  </si>
  <si>
    <t>L09_JV_055E_ROBBING</t>
  </si>
  <si>
    <t>MARTINEZ</t>
  </si>
  <si>
    <t xml:space="preserve">REPLACEMENT OF L12_DPVE_040E_STOPE PREP. APPROVED ON MAY 17, 2024. TEMPORARY STOPPED ON OCTOBER 28, 2024. DUE TO SAFETY CONCERN. PENDING SAFETY EVALUATION. STOPPED ON OCTOBER 28, 2024. DUE TO UNSAFE CONDITION; ALREADY INSPECTED WITH SAFETY. </t>
  </si>
  <si>
    <t xml:space="preserve">REPLACEMENT OF L10_GHV_065E_ROBBING. APPROVED ON DECEMBER 9, 2024. TEMPORARY STOPPED ON DECEMBER 11, 2024. RESUME ON DECEMBER 14, 2024. TEMPORARY STOPPED ON DECEMBER 18, 2024. TO PRIORITIZE CLEANING IN PREPARATION FOR THE NEXT WORKING PLACE. </t>
  </si>
  <si>
    <t xml:space="preserve">SPECIAL PROJECT TO ACCESS DSP 24 VENT RAISE FOR FUTURE OREPASS. APPROVED ON JULY 18, 2024.TEMPORARILY STOPPED ON AUGUST 14, 2024. TO PRIORITIZE CLEARING AT DSP 24. RESUMED ON AUGUST 28, 2024.TRANSFERRED FROM LARGO TO NITRO AX. EFFECTIVE SEPTEMBER 11, 2024. CHANGED TEAM LEADER FROM NITRO AX TO NITRO AY. APPROVED ON OCTOBER 09, 2024. STOPPED ON DECEMBER 21, 2024. ALREADY FINISHED HEADING. </t>
  </si>
  <si>
    <t xml:space="preserve">VENTILATION SPECIAL PROJECT FOR ALIMAK RAISE. APPOVED ON NOVEMBER 13,2024. STOPPED DECEMBER 19, 2024. ALREADY FINISHED HEADING. </t>
  </si>
  <si>
    <t>L07_NONE_035E_ALIMAK RAISE</t>
  </si>
  <si>
    <t xml:space="preserve">REPLACEMEN OF L12_GHVSPLIT_065E_DW. APPROVED ON DECEMBER 20, 2024. STOPPED ON JANUARY 08, 2025. DUE TO PINCHED OUT VEIN. </t>
  </si>
  <si>
    <t>L12_GHVSPLIT_066E_DW</t>
  </si>
  <si>
    <t>Dhoz 71</t>
  </si>
  <si>
    <t>L425_GHVHW_062E_RAISE</t>
  </si>
  <si>
    <t>MAGAZINE</t>
  </si>
  <si>
    <t>L08_NONE__MAGAZINE</t>
  </si>
  <si>
    <t xml:space="preserve">REPLACEMENT OF L09_DPVE_072E_DE_ISL. APPROVED ON NOVEMBER 28, 2024. TOP SLICE. CHECKLIST TO FOLLOW. TEMPORARY STOPPED ON DECEMBER 19, 2024. DUE TO MISMATCH MP. RESUMED ON DECEMBER 22, 2024. STOPPED ON JANUARY 9, 2025. 1ST SHIFT. </t>
  </si>
  <si>
    <t>L12_JV_041E_RAISE</t>
  </si>
  <si>
    <t>L12_JV_031E_STOPE PREP</t>
  </si>
  <si>
    <t>L12_JVHW_043E_STOPE PREP</t>
  </si>
  <si>
    <t>L09_DPVE_005E_DE</t>
  </si>
  <si>
    <t>L08_DPVE_043E_ROBBING</t>
  </si>
  <si>
    <t>REPLACEMENT OF L08_DPVE_043E_WINZE STOPE PREP. APPROVED ON DECEMBER 9, 2024. STOPPED BREAKING AND CONVERT TO PULL-OUT ON JANUARY 6, 2025. STOPPED ON JANUARY 9, 2025. MINED OUT.</t>
  </si>
  <si>
    <t>L12_GHVSPLIT_052E_DE</t>
  </si>
  <si>
    <t xml:space="preserve">REPLACEMENT OF L12_GHVSPLIT_068E_RAISE. APPROVED ON DECEMBER 19, 2024. STOPPED ON JANUARY 11, 2025. DUE TO PINCHED OUT VEIN. </t>
  </si>
  <si>
    <t>L12_JVFW_044E_DW</t>
  </si>
  <si>
    <t>L09_JV_056E_DE</t>
  </si>
  <si>
    <t>L09_JVFW_050E_ROBBING</t>
  </si>
  <si>
    <t xml:space="preserve">ADDITIONAL SOURCE OF GOOD ORE. APPROVED ON NOVEMBER 11, 2024. SILL. TEMPORARILY STOPPED ON NOVEMBER 15, 2024. AREA OF ROBBING IS INACCESSIBLE. PRIORITIZE CLEANING IN THE AREA. RESUMED ON NOVEMBER 25, 2024 AS WELL AS TRANSFER FROM NITRO AY TO FERNANDEZ. STOPPED ON JANUARY 13, 2025. MINED-OUT. </t>
  </si>
  <si>
    <t xml:space="preserve">ADDITIONAL VERTICAL DEVELOPMENT. APPROVED ON DECEMBER 12, 2024. FILL WINZE. TEMPORARY STOPPED ON JANUARY 14, 2025. PMC MINERS TO RESUME ALIMAK ACTIVITY ON LOWER LEVEL. </t>
  </si>
  <si>
    <t xml:space="preserve">SPECIAL PROJECT FOR MUCKBAY. APPROVED ON DECEMBER 18, 2024. STOPPED ON JANUARY 14, 2025. FINISHED HEADING. </t>
  </si>
  <si>
    <t xml:space="preserve">REPLACEMENT OF L11_NONE_063E_XCN, APPROVED ON DECEMBER 09, 2024. STOPPED ON JANUARY 15, 2025 DUE TO LOW GRADE AND HAVE NO FURTHER TARGET. </t>
  </si>
  <si>
    <t xml:space="preserve">REPLACEMENT OF L11_DPVE_036E_DE. APPROVED ON NOVEMBER 20,2024. TRANSFERRED FROM TORMIS 1 TO DUHIG R. APPROVED ON NOVEMBER 29, 2024. STOPPED ON JANUARY 7,2025. LOW ASSAY GRADE AND NO FURTHER TARGET. </t>
  </si>
  <si>
    <t xml:space="preserve">REPLACEMENT OF L11_JVHW_047E_STOPE. APPROVED ON JUNE 19, 2024.RENAMED FROM L11_JVSPLIT_078E_DE TO L11_DPVE_078E_DE. PROPER VEIN CLASSIFICATION. APPROVED ON JULY 07, 2024.TEMPORARY STOPPED ON JULY 08, 2024. TO PRIORITIZE L11_DPVE_076E_RAISE.RESUMED ON JULY 12, 2024. TEMPORARILY STOPPED ON AUGUST 27, 2024. TO CONDUCT RAISE PREP.RESUMED ON AUGUST 31, 2024. TEMPORARY STOPPED ON SEPT 13, 2024. TO INSTALL GROUND SUPPORT FIRST DUE TO POOR GROUND CONDITION. RESUMED ON SEPTEMBER 19, 2024. TRANSFERRED FROM REBOTE 1 TO ALEÑAR 2. REBOTE GROUP TRANSFERRED TO LOWER LEVEL. APPROVED ON OCTOBER 14, 2024. TEMPORARILY STOPPED ON NOVEMBER 25, 2024. PRIORITIZATION OF WORKPLACE. RESUMED ON DECEMBER 05, 2024. AT THE SAME TIME CHANGE TEAM LEADER FROM ALEÑAR 2 TO NITRO BB. TRANSFERRED FROM NITRO BB TO NITRO BE. APPROVED ON DECEMBER 17, 2024. PRIORITIZATION OF WORKPLACE. 
STOPPED ON JANUARY 10,2025. FINISHED HEADING. 
</t>
  </si>
  <si>
    <t xml:space="preserve">REPLACEMENT OF L11_DPVE_076E_DW. SPECIAL PROJECT FOR VENTILATION. APPROVED ON NOVEMBER 26, 2024. STOPPED ON JANUARY 15,2025. FINISHED HEADING. </t>
  </si>
  <si>
    <t>L12_JVHW_043E_STOPE</t>
  </si>
  <si>
    <t xml:space="preserve">REPLACEMENT OF L12_JVHW_044E_RAISE. APPROVED ON DECEMBER 21, 2024. 3RD SHIFT. STOPPED ON JANUARY 15, 2025. TO BE CONVERTED TO STOPE BREAKING. </t>
  </si>
  <si>
    <t>L12_DPVE_046E_STOPE</t>
  </si>
  <si>
    <t xml:space="preserve">REPLACEMENT OF L12_DPVE_045E_RAISE. APPROVED ON DECEMBER 21, 2024. 3RD SHIFT. STOPPED ON JANUARY 15, 2025. FINISHED STOPE PREPARATION. 
</t>
  </si>
  <si>
    <t>L11_NONE_090E_CHAMBER</t>
  </si>
  <si>
    <t>L11_NONE_041E_RAISE</t>
  </si>
  <si>
    <t>L11_DPVE_060E_DW</t>
  </si>
  <si>
    <t xml:space="preserve">ADDITIONAL WORKPLACE. APPROVED ON NOVEMBER 18,2024. TEMPORARY STOPPED ON JANUARY 10, 2025. INACCESSIBLE DUE TO RAISE PREP. </t>
  </si>
  <si>
    <t>L12_JV_031E_STOPE</t>
  </si>
  <si>
    <t>ADDITIONAL STOPE ORE. APPROVED ON DECEMBER 21, 2024. 3RD SHIFT. RENAMED FROM L12_DPVE_031E_STOPE PREP TO L12_JV_031E_STOPE PREP. FOR PROPER VEIN CLASSIFICATION. APPROVED ON JANUARY 09, 2025. STOPPED ON JANUARY 18, 2025. FINISHED STOPE PREPARATION.</t>
  </si>
  <si>
    <t>REPLACEMENT OF L12_DPVE_039E_STOPE PREP. APPROVED ON MAY 15, 2024.STOPPED BREAKING ON JANUARY 20, 2025. CONVERTED TO PULLOUT CLEANING ON THE SAME DAY.</t>
  </si>
  <si>
    <t>L12_NONE_032E_XCS</t>
  </si>
  <si>
    <t xml:space="preserve">REPLACEMENT OF L11_JVFW_065E_STOPE PREP. APPROVED ON MARCH 13, 2023.TEAM LEADER UNDER THIS GROUP SHEPHERD AL RESIGNED THUS RETENTION FORFEITED. THIS GROUP WILL BE ASSIGNED TO ARIEL BAÑEZ, GROUP BAÑEZ 2. APPROVED ON MAY 16, 2023.STOPPED BREAKING ON JULY 14, 2023 TO BE CONVERTED TO STOPE PULLOUT. RESUMED ON JANUARY 07, 2024. LOW GRADE STOPE FOR ADDITIONAL SOURCE OF ORE. AT THE SAME TIME TRANSFERRED FROM BAÑEZ TO MARTINEZ. TEMPORARY STOPPED ON JANUARY 20, 2025. FOR EVALUATION
</t>
  </si>
  <si>
    <t>L08_DPVE_060E_DE_ISL</t>
  </si>
  <si>
    <t>L11_JV_015E_DE</t>
  </si>
  <si>
    <t>L11_JV_010E_DW</t>
  </si>
  <si>
    <t>RAISE PREP</t>
  </si>
  <si>
    <t>WINZE PREP</t>
  </si>
  <si>
    <t>TURN-OUT PREP</t>
  </si>
  <si>
    <t>DATE OPEN</t>
  </si>
  <si>
    <t>1ST BLAST</t>
  </si>
  <si>
    <t>CLASSIFICATION</t>
  </si>
  <si>
    <t>DURATION</t>
  </si>
  <si>
    <t>DATE FINISH</t>
  </si>
  <si>
    <t>NOTE: HIGHLIGHTED WORKING PLACES ARE CURRENTLY IN STOPE, RAISE AND TURN OUT PREPARATION. THUS, WILL BE EXEMPTED IN THE TRAMMING ORDER SCHEDULE.</t>
  </si>
  <si>
    <t>REPLACEMENT OF L11_GHVHW_064E_STOPE PREP. APPROVED ON SEPTEMBER 03, 2024.STOPPED BREAKING AND CONVERTED TO PULLOUT CLEANING. APPROVED ON JANUARY 20, 2025</t>
  </si>
  <si>
    <t>ADDITIONAL HORIZONTAL DEVELOPMENT TARGETING L12_DPVE_045E_RAISE. APPROVED ON JANUARY 16, 2025.TEMPORARILY STOPPED ON JANUARY 18, 2025. READJUSTMENT OF TAKEOFF DUE TO DIFFERENCE IN ELEVATION.</t>
  </si>
  <si>
    <t>L10_DPVE_107E_DE</t>
  </si>
  <si>
    <t>L09_NONE_085E_RAISE REHAB</t>
  </si>
  <si>
    <t>RAISE REHAB</t>
  </si>
  <si>
    <t>REPLACEMENT OF L08_DPVE_043E_WINZE STOPE. APPROVED ON JANUARY 10, 2025. TOP SLICE. STOPPED ON JANUARY 20, 2025. ALREADY FINISHED HEADING.</t>
  </si>
  <si>
    <t>REPLACEMENT OF L09_JV_055E_ROBBING. APPROVED ON JANUARY 13, 2025. STOPPED ON JANUARY 23, 2025. ALREADY MADE A BREAKTHROUGH.</t>
  </si>
  <si>
    <t>DVR 72</t>
  </si>
  <si>
    <t>FOR VENTILATION BREAKTHROUGH. APPROVED ON NOVEMBER 12,2024.STOPPED ON JANUARY 11, 2025. ALREADY BREAKTHROUGH.</t>
  </si>
  <si>
    <t>L08_DPVE_020W_STOPE PREP</t>
  </si>
  <si>
    <t>REPLACEMENT OF L10_DPVE_106E_DW. APPROVED ON NOVEMBER 12, 2024. TEMPORARILY STOPPED ON NOVEMBER 14, 2024. MANPOWER WILL BE TRANSFERRED TO OTHER HEADING. RESUMED ON NOVEMBER 18, 2024. AT THE SAME TIME TRANSFERRED FROM NITRO BD TO NITRO AY. STOPPED ON JANUARY 23, 2025. ALREADY HIT TARGET VEIN.</t>
  </si>
  <si>
    <t xml:space="preserve">REPLACEMENT OF L11_DPVE_004E_DW. APPROVED ON DECEMBER 22, 2024. TEMPORARY STOPPED ON JANUARY 7, 2025 (3RD SHIFT). UNSAFE CONDITION DUE TO HIGH LEVEL OF CO READING. RESUMED ON JANUARY 22, 2025 AS WELL AS TRANSFER FROM BAÑEZ
 TO NITRO BE. STOPPED ON JANUARY 25, 2025 DUE TO CONSECUTIVE LOW GRADE. </t>
  </si>
  <si>
    <t xml:space="preserve">REPLACEMENT OF L11_DPVE_076E_DW. APPROVED ON DECEMBER 17, 2024. CHANGED TEAM LEADER FROM NITRO BK 1 TO DUHIG, R. APPROVED ON JANUARY 08, 2024. STOPPED ON JANUARY 25, 2025 DUE TO PINCHED OUT VEIN. </t>
  </si>
  <si>
    <t xml:space="preserve">ADDITIONAL WORKPLACE. APPROVED ON NOVEMBER 18,2024. TEMPORARY STOPPED ON JANUARY 10, 2025. INACCESSIBLE DUE TO RAISE PREP. RESUMED ON JANUARY 21, 2025. STOPPED ON JANUARY 25, 2025. ALREADY REACHED RECOMMENDED STRIKE LENGTH, VEIN ON THE CURRENT FACE WAS CUT BY AFAULT. </t>
  </si>
  <si>
    <t>TYPE</t>
  </si>
  <si>
    <t>CODE</t>
  </si>
  <si>
    <t>DVW 74</t>
  </si>
  <si>
    <t>DVS 75</t>
  </si>
  <si>
    <t>STPS</t>
  </si>
  <si>
    <t>L11_GHVHW_068E_DW</t>
  </si>
  <si>
    <t>L11_DPVE_040E_STOPE PREP</t>
  </si>
  <si>
    <t>L11_DPVE_003W_RAISE</t>
  </si>
  <si>
    <t>L425_GHVSPLIT_041E_DW</t>
  </si>
  <si>
    <t xml:space="preserve">REPLACEMENT OF L08_DPVE_053E_ROBBING. APPROVED ON JANUARY 21, 2025. STOPPED ON JANUARY 24, 2025. BREAKTHROUGH. </t>
  </si>
  <si>
    <t xml:space="preserve">REPLACEMENT OF L12_NONE_027E_XCN. APPROVED ON OCT 19, 2024. TEMPORARY STOPPED ON NOVEMBER 28, 2024. TO PRIORITIZE L12_DPVE_027E_RAISE. RESUMED ON DECEMBER 07, 2024. AT THE SAME TIME CHANGE TEAM LEADER FROM NTRO BN TO CAYMAN 2. TEMPORARY STOPPED ON JANUARY 27, 2025 DUE TO CONSECUTIVE ASSAY GRADE. 
</t>
  </si>
  <si>
    <t>L425_NONE_050E_XCS</t>
  </si>
  <si>
    <t>NITRO BZ</t>
  </si>
  <si>
    <t xml:space="preserve"> HORIZONTAL DEVELOPMENT TO EXPLORE LATERAL EXTENSION OF THE VEIN. APPROVED ON DECEMBER 5, 2024. RENAMED FROM L08_DPVE_034E_DW TO L08_DPVE_034E_DE FOR PROPER NAMING. STOPPED ON JANUARY 14, 2025. </t>
  </si>
  <si>
    <t xml:space="preserve">REPLACEMENT OF L12_NONE_043E_XCN. APPROVED ON DECEMBER 09, 2024. FOR VENTILATION AND HAULAGE PURPOSES. STOPPED ON JANUARY 23, 2025. ALREADY MADE A BREAKTHROUGH. </t>
  </si>
  <si>
    <t xml:space="preserve">REPLACEMENT OF L08_DPVE_021W_DW. APPROVED ON DECEMBER 7, 2024. STOPPED ON JANUARY 24, 2025. ALREADY CONVERTED TO STOPE PREP. </t>
  </si>
  <si>
    <t xml:space="preserve">REPLACEMENT OF L08_DPVE_034E_DE. APPROVED ON JANUARY 17, 2025. LATE CHECKLIST. STOPPED ON JANUARY 25, 2025. CONSECUTIVE LOW GRADE. MEMO TO FOLLOW. </t>
  </si>
  <si>
    <t xml:space="preserve">REPLACEMENT OF L12_GHV_056E_STOPE PREP. APPROVED ON AUGUST 28, 2024. TRANSFERRED FROM PANSIT NORMAN 4 TO NITRO BP. APPROVED ON AUGUST 27, 2024. STOPPED BREAKING ON JANUARY 29, 2025. CONVERTED TO PULL-OUT. </t>
  </si>
  <si>
    <t>NITRO BM 3</t>
  </si>
  <si>
    <t>L10_JVSPLIT_067E_WINZE STOPE PREP</t>
  </si>
  <si>
    <t>NITRO BA</t>
  </si>
  <si>
    <t>REPLACEMENT OF L12_GHVFW_058E_DW. APPROVED ON MARCH 16, 2023.STOPPED ON JUNE 21. 2023. VEIN PINCHED OUT. RESUMED ON JANUARY 30, 2025. AT THE SAME TIME TRANSFERRED FROM CAYMAN TO NITRO BA.</t>
  </si>
  <si>
    <t>L08_JV_072E_WINZE</t>
  </si>
  <si>
    <t xml:space="preserve">REPLACEMENT OF L09_GHVHW_032W_RAISE. APPROVED ON DECEMBER 13, 2024. STOPPED ON JANUARY 24, 2025. DUE TO CONSECUTIVE LOW ASSAY GRADES ON BOTH CUT AND BULK SAMPLES. </t>
  </si>
  <si>
    <t xml:space="preserve">ADDITIONAL HORIZONTAL DEVELOPMENT. APPROVED ON OCTOBER 23, 2024. CHANGED GROUP NAME FROM CAPPUYO TO CAPPUYO 1 FOR PROPER GROUP DESIGNATION. TEMPORARILY STOPPED ON JANUARY 02, 2025. TO FINISH L425_GHVSPLIT_058E_RAISE PREP. RESUMED ON JANUARY 07, 2024. STOPPED ON JANUARY 28, 2025. BREAKTHROUGH TO ADJACENT L425_GHVHW_061E_DE MAINLINE. </t>
  </si>
  <si>
    <t>L08_DPVE_025W_DW</t>
  </si>
  <si>
    <t>L11_DPVE_073E_DW</t>
  </si>
  <si>
    <t>L11_DPVE_006W_RAISE</t>
  </si>
  <si>
    <t xml:space="preserve">EXTENSION AREA OF TEMPORARY CHARGING STATION. APPROVED ON DECEMBER 24, 2024. STOPPED ON JANUARY 16, 2025. ALREADY DONE WIDENING ACTIVITY. </t>
  </si>
  <si>
    <t>L425_GHVSPLIT_056E_STOPE</t>
  </si>
  <si>
    <t xml:space="preserve">ADDITIONAL STOPE ORE. APPROVED ON DECEMBER 21, 2024.REPLACEMENT OF L425_GHVSPLIT_055E_DE. STOPPED ON JANUARY 31, 2025. CONVERTED TO STOPE PREP. </t>
  </si>
  <si>
    <t>L12_DPVE_051E_DE_ISL</t>
  </si>
  <si>
    <t xml:space="preserve">REPLACEMENT OF L10_DPVE_071E_WINZE STOPE. APPROVED ON DECEMBER 5, 2024. TEMPORARY STOPPED ON JANUARY 30, 2025. TO PRIORITIZE L10_JVSPLIT_067E_WINZE STOPE PREP. STOPPED ON JANUARY 30, 2025. CONVERTED TO STOPE PREP. 
</t>
  </si>
  <si>
    <t xml:space="preserve">                                                                                                                                                                                                                                                                                                                                                                                                                                                                                                                    </t>
  </si>
  <si>
    <t xml:space="preserve">ADDITIONAL VERTICAL DRIVE. APPROVED ON DECEMBER 02, 2024. CHANGE NAME HEADING FROM L12_GHVSPLIT_066E_RAISE TO L12_GHVSPLIT_064E_RAISE TO AVOID MISCHARGING. APPROVED ON DECEMBER 02, 2024. STOPPED ON FEBRUARY 03, 2025. ALREADY MADE A BREAKTHROUGH. </t>
  </si>
  <si>
    <t xml:space="preserve">REPLACEMENT OF L12_GHVSPLIT_067E_DW. APPROVED ON JANUARY 08, 2025. STOPPED ON FEBRUARY 03, 2025. DUE TO PINCHED OUT VEIN. </t>
  </si>
  <si>
    <t>L12_JVFW_045E_DE</t>
  </si>
  <si>
    <t>L12_GHVSPLIT_065E_RAISE</t>
  </si>
  <si>
    <t>L12_NONE_034E_XCN</t>
  </si>
  <si>
    <t xml:space="preserve">REPLACEMENT OF L09_GHVFW_035W_DW_ISL. APPROVED ON DECEMBER 11, 2024. SILL PILLAR. STOPPED ON JANUARY 31, 2025. ALREADY FINISHED HEADING. </t>
  </si>
  <si>
    <t xml:space="preserve">REPLACEMENT OF L09_DPVE_081E_ROBBING. APPROVED ON JANUARY 9, 2025. STOPPED ON JANUARY 29, 2025. ALREADY MADE A BREAKTHROUGH. </t>
  </si>
  <si>
    <t>REPLACEMENT OF L11_JVFW_052E_RAISE APPROVED ON 3/8/21.TRANSFER FROM COMAINGKING TO DUHIG PETER ON MARCH 9, 2021.TEMP.STOPPED ON MAY 13, 2021 DUE TO LOW ASSAY GRADE AND VEIN PINCHED OUT.</t>
  </si>
  <si>
    <t>L12_DPVE_050E_DW</t>
  </si>
  <si>
    <t>NITRO BC 4</t>
  </si>
  <si>
    <t>L12_DPVE_048E_RAISE</t>
  </si>
  <si>
    <t xml:space="preserve">REPLACEMENT OF L08_NONE_078E_XCN. APPROVED ON NOVEMBER 08, 2024. STOPPED ON FEBRUARY 04, 2025. DUE TO CONSECUTIVE LOW ASSAY GRADES ON BOTH CUT AND BULK SAMPLES. </t>
  </si>
  <si>
    <t>L09_JVSPLIT_016E_ROBBING</t>
  </si>
  <si>
    <t>L425_JVHW_047E_DW</t>
  </si>
  <si>
    <t xml:space="preserve">ADDITIONAL HORIZONTAL DEVT DRIVE. APPROVED ON SEPT 17, 2024. TRANSFER TO REBOTE FROM CAPPUYO 2. APPROVED ON OCTOBER 16, 2024. TEMPORARY STOPPED ON OCTOBER 17, 2024 TO PRIOTITIZE OTHER WORKPLACE. RESUMED NOVEMBER 15,2024 3RD SHIFT. TRANSFER TEAM LEADER FROM REBOTE TO OLIVEROS 2. APPROVED ON NOVEMBER 15,2024. TEMPORARILY STOPPED ON DECEMBER 12, 2024. PRIORITIZE DRIFT EAST. RESUMED ON DECEMBER 17, 2024. CHANGED GROUP NAME FROM OLIVEROS 2 TO OLIVEROS 4 FOR PROPER GROUP DESIGNATION. TEMPORARY STOPPED ON FEBRUARY 07, 2025. TO PRIORITIZE L425_JVHW_047E_DW. </t>
  </si>
  <si>
    <t xml:space="preserve">REPLACEMENT OF L09_JV_060E_ROBBING. APPROVED ON NOVEMBER 16, 2024. STOPPED ON FEBRURARY 07, 2025. DUE TO PINCHED OUT VEIN. </t>
  </si>
  <si>
    <t xml:space="preserve">REPLACEMENT OF L09_NONE_055E_XCN. APPROVED ON JANUARY 5, 2025. SILL. TEMPORARY STOPPED ON JANUARY 13, 2025 TO PRIORITIZE DRIFT. RESUMED ON JANUARY 24, 2025. STOPPED ON FEBRURARY 07, 2025. FINISHED HEADING. </t>
  </si>
  <si>
    <t>NITRO BY</t>
  </si>
  <si>
    <t>L09_DPVE_059E_DE_ISL</t>
  </si>
  <si>
    <t>L12_GHV_072E_STOPE PREP</t>
  </si>
  <si>
    <t xml:space="preserve">REPLACEMENT OF L11_DPVE_065E_RAISE. APPROVED ON JANUARY 27, 2025. STOPPED ON FEBRURARY 07, 2025. ALREADY REACHED RECOMMENDED STRIKE LENGHT. </t>
  </si>
  <si>
    <t xml:space="preserve">REPLACEMENT OF L11_JV_071E_DE. APPROVED ON APRIL 29,2024.TEMPORARILY STOPPED ONJUNE 12, 2024(3RD SHIFT). MP SUBJECT FOR DISCIPLINARY ACTION.RESUMED ON JUNE 18, 2024.STOPPED ON JUNE 19, 2024 TO PRIORITIZE L11_JVSPLIT_078E_DE.RESUMED ON JUNE 24, 2024.TEMPORARILY STOPPED ON JUNE 27, 2024. PRIORITZATION OF ON-VEIN DRIVE.RESUMED ON JULY 30, 2024. TEMPORARY STOPPED ON SEP. 16, 2024 DUE TO DELAY FROM L11 JVFW 067E RAISE PREP. RESUMED ON SEPTEMBER 19, 2024. TEMPORARILY STOPPED ON OCTOBER 02, 2024. DUE TO ABSENTEEISM OF MANPOWER RESULTING TO ABANDONMENT OF WORKPLACE. RESUMED ON OCTOBER 4, 2024. TRANSFERRED FROM REBOTE 1 TO NITRO BE. REBOTE GROUP TRANSFERRED TO LOWER LEVEL. APPROVED ON OCTOBER 14, 2024. TRANSFERRED FROM NITRO BE TO NITRO BB. APPROVED ON DECEMBER 17, 2024. PRIORITIZATION OF WORKPLACE. STOPPED ON FEBRURARY 10, 2025. ALREADY REACHED RECOMMENDED STRIKE LENGHT. 
</t>
  </si>
  <si>
    <t xml:space="preserve">CORPO WITH L11 NONE 071E XCN. APPROVED ON SEPT 25, 2024. TEMPORARILY STOPPED ON OCTOBER 02, 2024. DUE TO ABSENTEEISM OF MANPOWER RESULTING TO ABANDONMENT OF WORKPLACE. RESUMED ON OCTOBER 07, 2024. AT THE SAME TIME TRANSFERRED FROM REBOTE TO NITRO BE. TEMPORARILY STOPPED ON OCTOBER 14, 2024. MANPOWER WILL BE REASSIGNED TO A DIFFERENT WORKPLACE WITH HIGH PRIORITY. RESUMED ON JANUARY 02, 2025. AT THE SAME TIME TRANSFERRED FROM NITRO BE TO BAÑEZ 9. STOPPED ON FEBRURARY 10, 2025 DUE TO CONSECUTIVE LOW GRADE. 
</t>
  </si>
  <si>
    <t>L08_JVSPLIT_013W_RAISE</t>
  </si>
  <si>
    <t xml:space="preserve">REPLACEMENT OF L09_DPVE_004E_DW. APPROVED ON DECEMBER 11, 2024. CHANGE TEAM LEADER FROM FABROA 1 TO DELOS REYES V4. APPROVED ON FEBRUARY 07, 2025, 2ND SHIFT.  STOPPED ON FEBRUARY 11, 2025. PINCHED OUT VEIN. </t>
  </si>
  <si>
    <t xml:space="preserve">SPECIAL PROJECT MUCK BAY FOR 22E XCN. APPROVED ON DECEMBER 17, 2024. STOPPED ON FEBRUARY 6, 2025. CONVERTED TO OFF-VEIN.
</t>
  </si>
  <si>
    <t>L11_NONE_017E_XCS</t>
  </si>
  <si>
    <t>L11_DPVE_074E_DW</t>
  </si>
  <si>
    <t>L11_DPVE_033E_WINZE</t>
  </si>
  <si>
    <t>L09_DPVE_003E_RAISE</t>
  </si>
  <si>
    <t>L11_GHVSPLIT_058E_WINZE</t>
  </si>
  <si>
    <t>L10_DPVE_091E_DE</t>
  </si>
  <si>
    <t xml:space="preserve">REPLACEMENT OF L12_GHVSPLIT_067E_RAISE. APPROVED ON DECEMBER 19, 2024. STOPPED ON JANUARY 17, 2025. DUE TO CONSECUTIVE LOW GRADE RESULT. </t>
  </si>
  <si>
    <t xml:space="preserve">REPLACEMENT OF L12_GHVSPLIT_049E_STOPE. APPROVED ON DECEMBER 09, 2024. RENAMED FROM L12_JVFW_052E_DE TO L12_GHVSPLIT_052E_DE. FOR PROPER VEIN CLASSIFICATION. STOPPED ON FEBRUARY 12, 2025. DUE TO CONSECUTIVE LOW ASSAY GRADES ON BOTH CUT AND BULK SAMPLES. </t>
  </si>
  <si>
    <t xml:space="preserve">REPLACEMENT OF L11_DPVE_062E_DE. APPROVED ON JANUARY 16, 2025. STOPPED ON FEBRUARY 12, 2025. DUE TO CONSECUTIVE LOW ASSAY GRADES ON BOTH AND CUT SAMPLES. </t>
  </si>
  <si>
    <t xml:space="preserve">REPLACEMENT OF L11_NONE_042E_XCS. APPROVED ON JUNE 20, 2024.TEMPORARILY STOPPED ON JULY 22, 2024. VEIN FOR RE-EVALUATION OF LEVEL GEO AND PRIORITIZATION OF RESOURCE DRILLING ON NEARBY JUNCTION. RESUMED ON AUGUST 23, 2024. AT THE SAME TIME CHANGE GROUP FROM TORMIS 1 TO MAPAYO. TEMPORARY STOPPED ON SEPT 19, 2024, THE GRP WAS MERGED TO L11_DPVE_047E_STOPE PREP. RESUMED ON OCTOBER 11, 2024. AT THE SAME TIME CHANGED TEAM LEADER FROM MAPAYO TO TORMIS 1. APPROVED ON OCTOBER 11, 2024. CHANGE TEAM LEADER FROM TORMIS 1 TO LERIO. APPROVED ON JANUARY 27, 2025. STOPPED ON FEBRUARY 12, 2025. DUE TO CONSECUTIVE LOW ASSAY GRADES ON BOTH AND CUT SAMPLES. WILL PROCEED TO RAISE. 
</t>
  </si>
  <si>
    <t>L11_DPVE_055E_RAISE</t>
  </si>
  <si>
    <t>L12_NONE_026E_XCS</t>
  </si>
  <si>
    <t>L12_JVHW_067E_RAISE</t>
  </si>
  <si>
    <t xml:space="preserve">REPLACEMENT OF L09_GHVHW_033W_DW. APPROVED ON JANUARY 14, 2025. STOPPED ON FEBRUARY 10, 2025. FINISHED HEADING. </t>
  </si>
  <si>
    <t xml:space="preserve">REPLACEMENT OF L12_GHV_051E_DW. APPROVED ON APRIL 12, 2024.TEMPORARILY STOPPED ON APRIL 16, 2024. TO PRIORITIZE L12_GHVHW_059E_STOPE PREP.RESUMED AND CHANGED TEAM LEADER FROM BABOR 1 TO AGLOLO 2. APPROVED ON JUNE 19, 2024.TEMPORARILY STOPPED ON JULY 23, 2024. GROUP TO BE MERGE WITH L12_GHV_070E_STOPE TO PRIORITIZE BREAKING. RESUMED ON SEPTEMBER 14, 2024 3RD SHIFT. AT THE SAME TIME CHANGED TEAM LEADER FROM AGLOLO 2 TO PARAGUYA. CHANGE TEAM LEADER FROM PARAGUYA TO NITRO BI. APPROVED ON SEPTEMBER 16, 2024. TEMPORARY STOPPED ON  OCT 8, 2024 TO PRIORITIZE DSP 29B. RESUMED ON OCTOBER 11, 2024. TEMPORARY STOPPED ON NOVEMBER 06, 2024. DUE TO UNSERVICEABLE AREA. RESUMED ON DECEMBER 02, 2024. AT THE SAME TIME CHANGE TEAM LEADER FROM NITRO BI TO BALANGHIG 2. CHANGE TEAM LEADER FROM BALANGHIG 2 TO NITRO BA 2. APPROVED ON DECEMBER 07, 2024. TEMPORARILY STOPPED ON JANUARY 11, 2025. MANPOWER TASKED TO MUCK OUT BACKFILLED MATERIALS DUMPED ON L12 MAINLINE. RESUMED ON JANUARY 13, 2025. STOPPED ON FEBRUARY 13,2025, 3RD SHIFT. CONSECUTIVE LOW ASSAY GRADE. </t>
  </si>
  <si>
    <t>REPLACEMENT OF L12_GHVHW_062E_STOPE PREP, APPROVED ON JUNE 13, 2024. STOPPED ON FEBRUARY 13, 2025. CONVERT TO PULL-OUT AT THE SAME TIME TRAVERSE ON THE SAME DAY.</t>
  </si>
  <si>
    <t>L11_DPVE_081E_DE</t>
  </si>
  <si>
    <t>L11_JV_016E_RAISE</t>
  </si>
  <si>
    <t xml:space="preserve">REPLACEMENT OF L11_GHVHW_057E_DE, APPROVED ON NOVEMBER 22, 2023.TEMPORARY STOPPED ON JAN 31, 2024 TO DO RAISE PREP.RESUMED ON FEB 9, 2024.TEMPORARY STOPPED ON 18-MARCH-2024 TO PRIORITIZE L11_GHVS_070E_RAISE.
RESUMED ON MARCH 21, 2024.TEMPORARILY STOPPED ON APRIL 10, 2024. TO PRIORITIZE L11_GHV_072E_RAISE.RESUMED ON APRIL 17, 2024. MANPOWER FROM 72E RAISE.STOPPED ON APRIL 20, 2024. CONSECUTIVE LOW ASSAY GRADE ON CUT/BULK SAMPLES.RESUMED ON APRIL 29, 2024 2ND SHIFT. BREAKING UNTIL BREAKTHROUGH TO 66ML.STOPPED ON MAY 09, 2024. MADE A BREAKTHROUGH TO THE ADJACENT MAINLINE. LATE MEMO FROM NPRI.
</t>
  </si>
  <si>
    <t xml:space="preserve">REPLACEMENT OF L12_NONE_041E_XCS. APPROVED ON NOVEMBER 27, 2024. STOPPED ON FEBRUARY 14,2025 ALREADY REACHED TARGET VEIN INTERCEPT. </t>
  </si>
  <si>
    <t xml:space="preserve">REPLACEMENT OF L12_GHVSPLIT_054E_STOPE PREP. APPROVED ON NOVEMBER 27, 2024, 3RD SHIFT. STOPPED BREAKING ON FEBRUARY 14,2025 (2ND SHIFT) DUE TO OFF VEIN. ALREADY REACHED THE OFF VEIN PORTION OF IPR. AT THE SAME TIME CONVERT TO PULL-OUT CLEANING. </t>
  </si>
  <si>
    <t>L12_DPVE_040E_WINZE</t>
  </si>
  <si>
    <t>L425_GHVSPLIT_040E_DE</t>
  </si>
  <si>
    <t>ADDITIONAL HORIZONTAL DRIVE. APPROVED ON JANUARY 27, 2025.TEMPORARY STOPPED ON FEBRUAY 15, 2025. TO PRIORITIZE L425_GHV_053E_DW.</t>
  </si>
  <si>
    <t xml:space="preserve">REPLACEMENT OF L11_JVFW_019E_DW. AT THE SAME TIME TRANSFERRED TO BAÑEZ. APPROVED ON OCTOBER 28, 2024. TEMPORARY STOPPED ON NOVEMBER 25, 2024. PRIORITIZATION OF WORKPLACE. RESUMED ON DECEMBER 5, 2024 AS REPLACEMENT OF L11_GHV_048E_DW AS WELL AS TRANSFER FROM BAÑEZ TO NITRO BK 1. STOPPED ON DECEMBER 24, 2024 DUE TO CONSECUTIVE LOW ASSAY GRADES ON BOTH CUT AND BULK SAMPLES. RESUMED ON JANUARY 08, 2024. STOPPED ON FEBRUAY 15, 2025 DUE TO CONSECUTIVE LOW ASSAY GRADES ON BOTH CUT AND BULK SAMPLES. 
 </t>
  </si>
  <si>
    <t xml:space="preserve">REPLACEMENT OF L11_NONE_024E_XCN. APPROVED ON JANUARY 22, 2025. TEMPORARY STOPPED ON FEBRUARY 5, 2025. UTILIZED AS TEMPORARILY MUCK BAY. </t>
  </si>
  <si>
    <t>REPLACEMENT OF L11_DPVE_014E_RAISE. APPROVED ON SEPTEMBER 12, 2024, 1ST SHIFT. STOPPED ON SEPTEMBER 28, 2024, CONVERTED TO STOPE BREAKING. STOPPED BREAKING ON FERBRUARY 8, 2025. CONVERTED TO PULL-OUT CLEANING.</t>
  </si>
  <si>
    <t xml:space="preserve">REPLACEMENT OF L08_DPVE_060E_WINZE STOPE, APPROVED ON DECEMBER 7, 2024. TOPSLICE TEMPORARY STOPPED ON JANUARY 20, 2025 DUE TO UNSAFE CONDITION. FOR EVALUATION. RESUMED ON JANUARY 25, 2025. 
STOPPED ON FEBRUARY 10, 2025. ALREADY MINED-OUT. 
</t>
  </si>
  <si>
    <t xml:space="preserve">REPLACEMENT OF L09_GHVFW_035W_ROBBING. APPROVED ON FEBRUARY 04, 2025. SILL. STOPPED ON FEBRUARY 17, 2025 DUE TO CONSECUTIVE LOW GRADE. </t>
  </si>
  <si>
    <t>L08_DPVE_020W_STOPE</t>
  </si>
  <si>
    <t xml:space="preserve">ADDITIONAL SOURCE OF STOPE ORE. MP CORPO WITH L08_DPVE_020W_RAISE. APPROVED ON JANUARY 24, 2025. STOPPED ON FEBRUARY 15, 2025. CONVERTED TO STOPE BREAKING. </t>
  </si>
  <si>
    <t>L08_JVSPLIT_028W_RAISE</t>
  </si>
  <si>
    <t>L11_DPVE_075E_RAISE</t>
  </si>
  <si>
    <t>L12_JV_033E_STOPE PREP</t>
  </si>
  <si>
    <t>L11_DPVE_021E_RAISE</t>
  </si>
  <si>
    <t>L12_GHVFW_030E_DW</t>
  </si>
  <si>
    <t xml:space="preserve">REPLACEMENT OF L12_DPVE_038E_STOPE. APPROVED ON DECEMBER 17, 2024. STOPPED ON FEBRUARY 19, 2025 DUE TO CONSECUTIVE LOW ASSAY GRADE AND VEIN PINCHED OUT. </t>
  </si>
  <si>
    <t xml:space="preserve">REPLACEMENT OF L12_NONE_058E_XCS. APPROVED ON JANUARY 10, 2025. TEMPORARY STOPPED ON JANUARY 29, 2025. TO PRIORITIZE L12_NONE_043E_XCN FOR SUBSTATION. RESUMED ON FEBRUARY 04, 2025. AT THE SAME TIME CHANGED TEAM LEADER FROM NITRO BQ TO BALANGHIG 1. STOPPED ON FEBRUARY 19, 2025 DUE TO CONSECUTIVE LOW ASSAY GRADE AND VEIN PINCHED OUT. </t>
  </si>
  <si>
    <t xml:space="preserve">REPLACEMENT OF L10_NONE_012W_XCS. APPROVED ON OCTOBER 17, 2024. TEMPORARY STOPPED ON JANUARY 30, 2025. TO PRIORITIZE L10_GHV_014W_RAISE. RESUMED ON FEBRUARY 05, 2025. STOPPED ON FEBRUARY 19,2025 DUE TO CONSECUTIVE LOW ASSAY GRADE AND VEIN PINCH AND SWELL. ALSO, SERIES OF PERPENDICULAR FAULT WERE INTERCEPTED RESULTING TO OFF VEIN. </t>
  </si>
  <si>
    <t>L09_GHVHW_029W_DW</t>
  </si>
  <si>
    <t>L12_DPVE_025E_RAISE</t>
  </si>
  <si>
    <t xml:space="preserve">REPLACEMENT OF L12_GHVSPLIT_052E_DE. APPROVED ON FEBRUARY 13, 2025. TEMPORARY STOPPED ON FEBRUARY 20, 2025 DUE TO FOLLOW-UP RAISE. </t>
  </si>
  <si>
    <t xml:space="preserve">ADDITIONAL VERTICAL DRIVE. APPROVED ON DECEMBER 02, 2024. TEMPORARY STOPPED ON FEBRUARY 15, 2025. FOR EVALUATION OF BREAKTHROUGH LOCATION AT LEVEL 11. STOPPED ON FEBRUARY 15, 2025 DUE TO CONSECUTIVE LOW ASSAY GRADES ON BOTH BULK AND CUT SAMPLES. </t>
  </si>
  <si>
    <t xml:space="preserve">REPLACEMENT OF L425_GHVHW_053E_DW. APPROVED ON JANUARY 25, 2025. GROUP WILL ALSO PREP DRIFT EAST EXTENSION. TEMPORARY STOPPED ON FEBRUARY 21, 2025 TO PRIORITIZE L425_GHVSPLIT_060E_DE. </t>
  </si>
  <si>
    <t xml:space="preserve">ADDITIONAL VERTICAL DEVT DRIVE  APPROVED ON JANUARY 12, 2025. TEMPORARY STOPPED ON  JANUARY 23, 2025. INSUFFICIENT MANPOWER TO OPERATE THE HEADING. RESUMED ON JANUARY 26, 2025. TRANSFER FROM MAPAYO TO NITRO BB. MAPAYO GROUP WILL BE MERGED TO L11_GHV_058E_WINZE. STOPPED ON FEBRUARY 21, 2025 DUE TO CONSECUTIVE LOW GRADE. GEO RECOMMENDS NOT TO PULL-OUT THE REMAINING MUCK. 
</t>
  </si>
  <si>
    <t xml:space="preserve">REPLACEMENT OF L11_DPVE_003E_DW. APPROVED ON JANUARY 27, 2025. STOPPED ON FEBRUARY 21, 2025 DUE TO CONSECUTIVE LOW GRADE. GEO RECOMMENDS NOT TO PULL-OUT THE REMAINING MUCK. </t>
  </si>
  <si>
    <t>L08_DPVE_008W_RAISE</t>
  </si>
  <si>
    <t>L12_JVHW_061E_RAISE</t>
  </si>
  <si>
    <t xml:space="preserve">REPLACEMENT OF L08_DPVE_034E_DW. APPROVED ON JANUARY 29, 2025. STOPPED ON FEBRUARY 22, 2025 DUE TO LOW GRADE. 
</t>
  </si>
  <si>
    <t xml:space="preserve"> REPLACEMENT OF L10_NONE_078E_XCN. APPROVED ON DECEMBER 2, 2024. STOPPED ON FEBRUARY 22, 2025. CONVERT TO OFF-VEIN DRIVE. </t>
  </si>
  <si>
    <t xml:space="preserve">REPLACEMENT OF L425_JV_050E_DE. APPROVED ON DECEMBER 13, 2024. CHANGED GROUP NAME FROM OLIVEROS 1 TO OLIVEROS 3 FOR PROPER GROUP DESIGNATION. STOPPED ON FEBRUARY 13,2025, 3RD SHIFT. FINISHED HEADING. RESUMED ON FEBRUARY 15,2025 TO DRIVE BACK SWITCH ONLY. STOPPED ON FEBRUARY 24, 2025. ALREADY REACHED RECOMMENDED STRIKE LENGTH. WILL BE CONVERTED TO ON-VEIN. </t>
  </si>
  <si>
    <t>L425_JV_057E_DE</t>
  </si>
  <si>
    <t>L03_NONE_003E_SPECIAL PROJECT</t>
  </si>
  <si>
    <t>L04_NONE_005E_SPECIAL PROJECT</t>
  </si>
  <si>
    <t>L10_NONE_012W_XCN</t>
  </si>
  <si>
    <t xml:space="preserve">SPECIAL PROJECT FOR DRILLING. APPROVED ON JANUARY 16, 2025. STOPPED ON FEBRUARY 25, 2025. </t>
  </si>
  <si>
    <t xml:space="preserve">REPLACEMENT OF L09_NONE_087E_XCN. APPROVED ON DECEMBER 13, 2024. STOPPED ON FEBRUARY 25, 2025 DUE TO PINCHED OUT OF VEIN ON THE CURRENT FACE AND CONSECUTIVE LOW ASSAY GRADE. </t>
  </si>
  <si>
    <t>L09_DPVE_092E_RAISE</t>
  </si>
  <si>
    <t>NITRO CB</t>
  </si>
  <si>
    <t>VENTILATION PROJECT. APPROVED ON JANUARY 11, 2025. STOPPED ON FEBRUARY 25, 2025. FINISH HEADING</t>
  </si>
  <si>
    <t>SUMP @ L11 054E POSITION ON 4/19/21. STOPPED ON APRIL 25, 2021. Resumed on December 23,2021. TRANSFER FROM DUHIG TO HANGDAAN 1 ON FEBRUARY 16,2022.STOPPED ON FEBRUARY 28,2022.RESUMED ON APR 20, 2023 AT THE SAME TIME TRANSFERRED FROM HANGDAAN 1 TO TURRA 1.ALREADY DONE EXCAVATION OF SUMP ON APRIL 27, 2023. RESUMED ON DECEMBER 26, 2024. 3RD SHIFT. FOR FINALIZATION OF THE EXCAVATION FOR SUMP. AT THE SAME TIME CHANGE TEAM LEADER FROM TURRA 1 TO OLIVEROS. CHANGED TEAM LEADER FROM OLIVEROS TO NITRO BE. APPROVED ON FEBRUARY 13, 2025. STOPPED ON FEBRUARY 25, 2025. FINISH HEADING.</t>
  </si>
  <si>
    <t>STOPPED BREAKING AND CONVERTED TO PULLOUT CLEANING. APPROVED ON JANUARY 20, 2025, STOPPED ON FEBRUARY 26, 2025. ALREADY MINED OUT AT 122% PULLOUT ATTAINMENT.</t>
  </si>
  <si>
    <t>L12_GHVFW_059E_STOPE PREP</t>
  </si>
  <si>
    <t xml:space="preserve">REPLACEMENT OF L12_GHVSPLIT_054E_STOPE PREP. APPROVED ON NOVEMBER 27, 2024, 3RD SHIFT. STOPPED BREAKING ON FEBRUARY 14,2025 (2ND SHIFT) DUE TO OFF VEIN. ALREADY REACHED THE OFF VEIN PORTION OF IPR. AT THE SAME TIME CONVERT TO PULL-OUT CLEANING. STOPPED ON FEBRUARY 27, 2025 WITH 94% PULL-OUT ATTAINMENT. </t>
  </si>
  <si>
    <t xml:space="preserve">REPLACEMENT OF L08_DPVE_019E_RAISE. APPROVED ON DECEMBER 19, 2024. STOPPED ON FEBRUARY 27, 2025. ALREADY REACHED ITS RECOMMENDED STRIKE LENGTH. </t>
  </si>
  <si>
    <t xml:space="preserve">REPLACEMENT OF L11_DPVE_040E_DE_ISL. APPROVED ON JANUARY 27, 2025. TEMPORARY STOPPED ON FEBRUARY 21, 2025 TO PRIORITIZE MANWAY REHAB. STOPPED ON FEBRUARY 21, 2024. CONVERTED TO BREAKING. </t>
  </si>
  <si>
    <t>L11_DPVE_040E_STOPE</t>
  </si>
  <si>
    <t>L08_DPVE_012W_RAISE</t>
  </si>
  <si>
    <t xml:space="preserve">REPLACEMENT OF L12_JVHW_043E_STOPE PREP. APPROVED ON JANUARY 15, 2025. 3RD SHIFT. STOPPED BREAKING ON FEBRUARY 24, 2025. AT THE SAME TIME TRAVERSED ON THE SAME DAY. CONVERT TO PULL-OUT. </t>
  </si>
  <si>
    <t>L09_GHVHW_031W_RAISE</t>
  </si>
  <si>
    <t>L09_DPVE_084E_ROBBING</t>
  </si>
  <si>
    <t>HORIZONTAL DRIVE FOR ELECTRICAL SUBSTATION. SPECIAL PROJECT. APPROVED ON JANUARY 29, 2025. STOPPED ON FEBRUARY 14, 2025. CONVERTED TO CHAMBER FOR  ELECTRICAL SUBSTATION. SPECIAL PROJECT.</t>
  </si>
  <si>
    <t>L12_NONE_043E_CHAMBER</t>
  </si>
  <si>
    <t xml:space="preserve">REPLACEMENT OF L10_NONE_107E_XCN. APPROVED ON JANUARY 23, 2025. TEMPORARY STOPPED ON MARCH 01, 2025. TO PRIORITIZE SPECIAL PROJECT AT DSP 22 VENTILATION DOOR. </t>
  </si>
  <si>
    <t xml:space="preserve">                     </t>
  </si>
  <si>
    <t xml:space="preserve">HORIZONTAL DEVELOPMENT FOR MECHANICAL &amp; VENTILATION PURPOSES. SPECIAL PROJECT. APPROVED JANUARY 27, 2025. STOPPED ON MARCH 06, 2025. ALREADY MADE A BREAKTHROUGH. </t>
  </si>
  <si>
    <t>L425_NONE_051E_CHAMBER</t>
  </si>
  <si>
    <t xml:space="preserve">REPLACEMENT OF L12_JV_057E_STOPE PREP. APPROVED ON NOVEMBER 14, 2024. TEMPORARY STOPPED ON FEBRUARY 14, 2025. TO OFFSET MANWAY ACCESS (EAST &amp; WEST) FOR INSTALLATION OF TIMBERS. RESUMED ON FEBRUARY 20, 2025. START PULL-OUT ON MARCH 07, 2025. ALREADY TRAVERSED. </t>
  </si>
  <si>
    <t xml:space="preserve">REPLACEMENT OF L08_DPVE_043E_ROBBING. APPROVED ON JANUARY 25, 2025. CHANGE TEAM LEADER FROM VILLARANTE 1 TO NITRO BZ. APPROVED ON JANUARY 28, 2025. RENAMED FROM L08_JV_053E_WINZE TO L08_JV_072E_WINZE. APPROVED ON JANUARY 31, 2025. STOPPED ON MARCH 2, 2025, 2ND SHIFT. ALREADY MADE A BREAKTHRU TO AN OLD INCLINED RAISE. TO BE CONVERTED TO ISL. </t>
  </si>
  <si>
    <t>L08_JV_072E_DE_ISL</t>
  </si>
  <si>
    <t>L02_NONE_012E_SPECIAL PROJECT</t>
  </si>
  <si>
    <t>L10_GHV_011W_DW</t>
  </si>
  <si>
    <t>ADDITIONAL HORIZONTAL DRIVE. APPROVED ON FEBRUARY 11, 2025. TEMPORARY STOPPED ON MARCH 04, 2025. TO PRIORITIZE L10_JVSPLIT_067E_WINZE STOPE PREP.</t>
  </si>
  <si>
    <t xml:space="preserve">REPLACEMENT OF L08_JV_078E_DE. APPROVED ON FEBRUARY 05, 2025. STOPPED ON MARCH 8, 2025. CONVERTED TO OFF-VEIN DRIVE. </t>
  </si>
  <si>
    <t>L08_NONE_025E_XCN</t>
  </si>
  <si>
    <t>NITRO CA</t>
  </si>
  <si>
    <t>L09_DPVE_006E_DE_ISL</t>
  </si>
  <si>
    <t>REPLACEMENT OF L09_GHV_018W_DE_ISL. APPROVED ON DECEMBER 21, 2024, 3RD SHIFT. CHANGE TEAM LEADER FROM UDLOS TO NITRO BY. APPROVED ON JANUARY 9, 2025. STOPPED ON MARCH 4, 2025 DUE TO PINCHED-OUT VEIN AND CONSECUTIVE LOW GRADE.</t>
  </si>
  <si>
    <t xml:space="preserve">REPLACEMENT OF L12_JVHW_043E_STOPE PREP. APPROVED ON JANUARY 15, 2025. 3RD SHIFT. STOPPED BREAKING ON FEBRUARY 24, 2025. AT THE SAME TIME TRAVERSED ON THE SAME DAY. CONVERT TO PULL-OUT. STOPPED ON MARCH 12, 2025. ALREADY MINED OUT. </t>
  </si>
  <si>
    <t>L12_JVHW_038E_STOPE PREP</t>
  </si>
  <si>
    <t>L10_JVSPLIT_067E_WINZE STOPE</t>
  </si>
  <si>
    <t xml:space="preserve">ADDITIONAL PRODUCTION TONNAGE. APPROVED ON JANUARY 30, 2025. CHANGE TEAM LEADER FROM LARGO 2 TO NITRO BW. APPROVED ON FEBRURARY 11, 2025. CHANGED TEAM LEADER FROM NITRO BW TO LARGO. APPROVED ON MARCH 05, 2025. 1ST SHIFT. STOPPED ON MARCH 12, 2025. AS WELL AS TRAVERSED ON MARCH 11, 2025 3RD SHIFT. CONVERT TO BREAKING. </t>
  </si>
  <si>
    <t xml:space="preserve">L10_JVSPLIT_067E_WINZE STOPE    </t>
  </si>
  <si>
    <t>ADDITIONAL WORKING PLACE. GROUP FROM LEVEL 10. APPROVED ON NOVEMBER 06, 2024. STOPPED ON MARCH 11, 2025 DUE CONSECUTIVE LOW GRADE.</t>
  </si>
  <si>
    <t>L425_GHVSPLIT_049E_DW</t>
  </si>
  <si>
    <t xml:space="preserve">REPLACEMENT OF  L09_DPVE_081E_ROBBING. APPROVED ON DECEMBER 19, 2024.TEMPORARY STOPPED ON DECEMBER 22, 2024. RESUMED ON JANUARY 02, 2025. STOPPED ON MARCH 13, 2025 DUE CONSECUTIVE LOW GRADE. 
</t>
  </si>
  <si>
    <t xml:space="preserve">                                                                                                                                                                                                                              </t>
  </si>
  <si>
    <t>L12_GHV_072E_STOPE</t>
  </si>
  <si>
    <t xml:space="preserve">REPLACEMENT OF L12_GHV_070E_STOPE. APPROVED ON FEBRUARY 10, 2025. STRIKING FORCE GROUP. STOPPED ON MARCH 13, 2025. CONVERT TO BREAKING.
</t>
  </si>
  <si>
    <t xml:space="preserve">ADDITIONAL WORKING PLACE FOR GROUP. APPROVED ON FEBRUARY 04, 2025. STOPPED ON MARCH 13, 2025. DUE TO PINCHED OUT VEIN. </t>
  </si>
  <si>
    <t>NITRO AY 2</t>
  </si>
  <si>
    <t xml:space="preserve">REPLACEMENT OF L09_DPVE_003E_DW. APPROVED ON FEBRUARY 17, 2025. STOPPED ON MARCH 13, 2025 DUE TO CONSECUTIVE LOW GRADE. </t>
  </si>
  <si>
    <t xml:space="preserve">REPLACEMENT OF  L09_GHVHW_034W_RAISE. APPROVED ON FEBRUARY 10, 2025. STOPPED ON MARCH 13, 2025 DUE TO CONSECUTIVE LOW GRADE. </t>
  </si>
  <si>
    <t>L12_DPVE_052E_RAISE</t>
  </si>
  <si>
    <t>L12_DPVE_026E_DW</t>
  </si>
  <si>
    <t>L09_GHVHW_027W_RAISE</t>
  </si>
  <si>
    <t>L09_GHV_034W_DW</t>
  </si>
  <si>
    <t>L425_JVHW_048E_RAISE</t>
  </si>
  <si>
    <t>L12_JV_033E_STOPE</t>
  </si>
  <si>
    <t xml:space="preserve">REPLACEMENT OF L12_JV_041E_RAISE. APPROVED ON FEBRUARY 17, 2025. ALREADY DONE STOPE PREP  ON MARCH 15, 2025. CONVERTED TO STOPE BREAKING. </t>
  </si>
  <si>
    <t xml:space="preserve">REPLACEMENT OF L11_DPVE_040E_RAISE. APPROVED ON DECEMBER 9, 2024. STOPPED ON JANUARY 27, 2025. CONVERTED TO STOPE PREP. </t>
  </si>
  <si>
    <t xml:space="preserve">REPLACEMENT OF L12_GHV_056E_STOPE PREP. APPROVED ON AUGUST 28, 2024. TRANSFERRED FROM PANSIT NORMAN 4 TO NITRO BP. APPROVED ON AUGUST 27, 2024. STOPPED BREAKING ON JANUARY 29, 2025. CONVERTED TO PULL-OUT. STOPPED ON MARCH 17,2025 ALREADY MINED OUT. </t>
  </si>
  <si>
    <t>L10_DPVE_087E_RAISE</t>
  </si>
  <si>
    <t>REPLACEMENT OF L11_DPVE_014E_RAISE. APPROVED ON SEPTEMBER 12, 2024, 1ST SHIFT. STOPPED ON SEPTEMBER 28, 2024, CONVERTED TO STOPE BREAKING. STOPPED BREAKING ON FERBRUARY 8, 2025. CONVERTED TO PULL-OUT CLEANING. STOPPED ON MARCH 18, 2025. ALREADY MINED-OU WITH 106% PULL-OUT ATTAINMENT.</t>
  </si>
  <si>
    <t xml:space="preserve">REPLACEMENT OF L08_DPVE_025W_DW. APPROVED ON MARCH 8, 2025. TEMPORARY STOPPED ON MARCH 11, 2025 TO PRIORITIZE GHV_062E_ROBBING AS ADDITIONAL SOURCE OF GOOD ORE. RESUMED ON MARCH 14, 2025. CANCEL BACK-UP. TEMPORARY STOPPED ON MARCH 18, 2025 TO PRIORITIZE  L08_GHV_062E_ROBBING. </t>
  </si>
  <si>
    <t xml:space="preserve">ADDITIONAL VERTICAL DRIVE. APPROVED ON DECEMBER 21, 2024. CHANGED TEAM LEADER FROM CAPPUYO 3 TO BAÑEZ 1. APPROVED ON JANUARY 16, 2025. STOPPED ON MARCH 18, 2025. ALREADY MADE A BREAKTHROUGH.  </t>
  </si>
  <si>
    <t>L425_GHVSPLIT_052E_STOPE PREP</t>
  </si>
  <si>
    <t>L425_GHVHW_050E_RAISE</t>
  </si>
  <si>
    <t xml:space="preserve">REPLACEMENT OF L11_DPVE_036E_DE. APPROVED ON FEBRUARY 12, 2025. STOPPED ON MARCH 18, 2025 DUE TO CONSECUTIVE LOW GRADE. 
</t>
  </si>
  <si>
    <t xml:space="preserve">REPLACEMENT OF L11_NONE_005E_XCN. APPROVED ON OCTOBER 11, 2024. TEMPORARY STOPPED ON JANUARY 25, 2025 TO PRIORITIZE L11_DPVE_006W_RAISE. RESUMED ON FEBRUARY 21, 2025. STOPPED ON MARCH 18, 2025 DUE TO CONSECUTIVE LOW GRADE. </t>
  </si>
  <si>
    <t xml:space="preserve">REPLACEMENT OF L09_DPVE_093E_DW. APPROVED ON FEBRUARY 25, 2025. STOPPED ON MARCH 18, 2025 DUE TO CONSECUTIVE LOW GRADE. 
</t>
  </si>
  <si>
    <t xml:space="preserve">ADDITIONAL VERTICAL DEVELOPMENT. APPROVED ON JANUARY 30, 2025. TEMPORARILY STOPPED ON FEBRUARY 05, 2025. FINISHED RAISE PREP. RESUMED ON FEBRUARY 20, 2025. STOPPED ON MARCH 18, 2025 DUE TO CONSECUTIVE LOW GRADE. PINCHED OUT VEIN. </t>
  </si>
  <si>
    <t>L11_DPVE_082E_RAISE</t>
  </si>
  <si>
    <t xml:space="preserve">REPLACEMENT OF L11_DPVE_080E_DE APPROVED ON  FEBRUARY 13, 2025. TEMPORARILY STOPPED ON MARCH 18, 2025 TO PRIORITIZE DPVE_079E_DW. </t>
  </si>
  <si>
    <t xml:space="preserve">REPLACEMENT OF L11_DPVE_020E_DE. APPROVED ON FEBRUARY 17, 2025. STOPPED ON MARCH 19, 2025, ALREADY REACHED RECOMMENDED SLOPE HT. FOR STOP PREP. </t>
  </si>
  <si>
    <t xml:space="preserve">ADDITIONAL HORIZONTAL DEVELOPMENT TO TARGET THE UP DIP EXTENSION OF L12_DPVE_045E_RAISE. APPROVED ON JANUARY 27, 2025. TEMPORARY STOPPED ON MARCH 21, 2025. CONVERTED TO ON-VEIN DRIVE. </t>
  </si>
  <si>
    <t xml:space="preserve">SPECIAL PROJECT FOR VENTILATION ALIMAK RAISE. APPROVED ON JANUARY 16, 2025. TEMPORARY STOPPED ON JANUARY 24, 2025. TO PRIORITIZE PREPARATION AND INSTALLATION OF DRIVE UNIT. RESUMED ON FEBRUARY 20, 2025. TEMPORARY STOPPED ON MARCH 10, 2025 TO PRIORITIZE ALIMAK RAISE AT L425. 
</t>
  </si>
  <si>
    <t>L11_DPVE_039E_DE</t>
  </si>
  <si>
    <t>REPLACEMENT OF L11_GHVSPLIT_017E_DW. APPROVED ON FEBRUARY 6, 2025. 3RD SHIFT. STOPPED ON MARCH 21,2025 ALREADY HIT THE PROJECTED VEIN TARGET.</t>
  </si>
  <si>
    <t>L11_DPVE_079E_DW</t>
  </si>
  <si>
    <t>REPLACEMENT OF L12_JV_057E_STOPE PREP. APPROVED ON NOVEMBER 14, 2024. TEMPORARY STOPPED ON FEBRUARY 14, 2025. TO OFFSET MANWAY ACCESS (EAST &amp; WEST) FOR INSTALLATION OF TIMBERS. RESUMED ON FEBRUARY 20, 2025. START PULL-OUT ON MARCH 07, 2025. ALREADY TRAVERSED. STOPPED ON MARCH 19,2025 WITH 89% PULL-OUT. CONDUCTED JOINT INSPECTION LAST MARCH 20, 2025 WITH NPRI (LM AND ENGG) AND PMC (GEO AND ENGG), VERIFIED ONLY AT EAST MANWAY WITH NO REMAINING BROKEN ORES. WEST MANWAY CANNOT BE VERIFIED SINCE IT IS INACCESSIBLE DUE TO UNSAFE CONDITION (BARDOWN AS PER NPRI LM). CHUTES OF STOPE ARE ALSO VERIFIED AS EMPTY (NO BROKEN ORES). </t>
  </si>
  <si>
    <t>REPLACEMENT OF L12_DPVE_033E_RAISE. APPROVED ON DECEMBER 02, 2024.TEMPORARILY STOPPED ON DECEMBER 21, 2024. MANPOWER TRANSFERRED TO STOPE PREP. RENAMED FROM L12_DPVE_041E_RAISE TO L12_JV_041E_RAISE. FOR PROPER VEIN CLASSIFICATION. APPROVED ON JANUARY 09, 2025. RESUMED ON JANUARY 20, 2025. TEMPORARY STOPPED ON FEBRUARY 17, 2025. REMAINING MINECARS TO BE PULL-OUT ONCE STOPE PREP IS DONE. RESUMED ON MARCH 08, 2025. 1ST SHIFT. STOPPED ON MARCH 24, 2025. ALREADY FINISHED HEADING.</t>
  </si>
  <si>
    <t>ADDITIONAL HORIZONTAL DEVELOPMENT. APPROVED ON MARCH 14, 2025.STOPPED ON MARCH 20, 2025. ALREADY OFF-VEIN.</t>
  </si>
  <si>
    <t>REPLACEMENT OF L12_GHV_070E_STOPE PREP. APPROVED ON MAY 28, 2024.TEMPORARY STOPPED ON JUNE 18, 2024, 3RD SHIFT. DUE TO ABSENTEEISM OF MEN RESULTING TO ABANDONMENT OF WORKPLACE .RESUMED AND CHANGED TEAM LEADER FROM PANSIT NORMAN 4 TO AGLOLO 4. APPROVED ON JUNE 19, 2024. TRANFERRED FROM AGLOLO 4 TO NITRO BM. APPROVED ON SEPTEMBER 4, 2024. CONVERTED TO PULLOUT. APPROVED NOVEMBER 07,2024. STOPPED ON FEBRUARY 08, 2025. ALREADY FINISHED HEADING. RESUMED ON MARCH 6, 2025. TO PULL-OUT REMAINING MINECARS. STOPPED ON MARCH 21, 2025. ALREADY MINED OUT.</t>
  </si>
  <si>
    <t>L12_JV_053E_RAISE</t>
  </si>
  <si>
    <t xml:space="preserve"> NITRO BC 1</t>
  </si>
  <si>
    <t>ADDITIONAL VERTICAL DEVELOPMENT. APPROVED ON FEBRUARY 13, 2025.STOPPED ON MARCH 24, 2025. DUE TO CONSECUTIVE LOW ASSAY GRADE AND PINCHED OUT VEIN.</t>
  </si>
  <si>
    <t>REPLACEMENT OF L09_DPVE_085E_WINZE STOPE PREP. APPROVED ON NOVEMBER 14,2024.STOPPED BREAKING ON MARCH 24, 2025 FILL RAISE ALREADY BREAKTHROUGH AT THE SAME TIME CONVERT TO PULL-OUT CLEANING. DONE TRAVERSED SAME DAY.</t>
  </si>
  <si>
    <t xml:space="preserve">REPLACEMENT OF L11_DPVE_050E_RAISE, APPROVED ON DECEMBER 09, 2024. TEMPORARY STOPPED ON JANUARY 9, 2025 TO PRIORITIZE GHVS 72E RAISE.RESUMED ON JANUARY 22, 2025 AS WELL AS TRANSFER FROM MAPAYO TO MARTINEZ. CHANGED TEAM LEADER FROM MARTINEZ TO BELICAN. APPROVED ON FEBRUARY 12, 2025. STOPPED ON MARCH 22, 2025. ALREADY MADE A BREAKTHROUGH. 
</t>
  </si>
  <si>
    <t xml:space="preserve">REPLACEMENT OF L12_DPVE_049E_DW. TO TARGET DPVE PROJECTIONS. APPROVED ON JANUARY 20, 2025. TEMPORARY STOPPED ON FEBRUARY 04, 2025. MANPOWER WILL BE MERGED TO BALANGHIG GROUP. RESUMED ON FEBRUARY 05, 2025. AT THE SAME TIME TRANSFERRED FROM MARTINEZ, DN TO NITRO BA. TEMPORARY STOPPED ON FEBRUARY 08, 2025. TO PRIORITIZE L12_GHVSPLIT_065E_RAISE. RESUMED ON FEBRUARY 14, 2025. STOPPED ON MARCH 25, 2025. ALREADY REACHED THE TARGET DRILLING INTERCEPT. </t>
  </si>
  <si>
    <t xml:space="preserve">REPLACEMENT OF L12_NONE_050E_XCN. APPROVED ON FEBRUARY 04, 2025. STOPPED ON MARCH 25, 2025. ALREADY REACHED THE TARGET DRILLING INTERCEPT. </t>
  </si>
  <si>
    <t>L12_NONE_024E_XCS</t>
  </si>
  <si>
    <t>L12_JV_029E_RAISE</t>
  </si>
  <si>
    <t>L425_GHVHW_063E_RAISE</t>
  </si>
  <si>
    <t>L11_JVHW_070E_STOPE PREP</t>
  </si>
  <si>
    <t xml:space="preserve">REPLACEMENT OF L11_DPVE_076E_DW. APPROVED ON FEBRUARY 17, 2025. STOPPED ON MARCH 26, 2025 DUE TO CONSECUTIVE LOW GRADE. </t>
  </si>
  <si>
    <t xml:space="preserve">REPLACEMENT OF L09_JVFW_050E_ROBBING. APPROVED ON MARCH 7, 2025. TEMPORARY STOPPED ON MARCH 17, 2025. AFFECTED BY L09_DPVE_015E_RAISE PREP. RESUMED ON MARCH 19, 2025. DONE RAISE PREP. TEMPORARY STOPPED ON MARCH 22, 2025 TO PRIORITIZE MANWAY REHAB. 
</t>
  </si>
  <si>
    <t xml:space="preserve">REPLACEMENT OF L12_GHVSPLIT_054E_STOPE. APPROVED ON  FEBRUARY 27 , 2025 . STOPPED ON MARCH 26, 2025. ALREADY DONE STOPE PREP; CONVERTED TO BREAKING. </t>
  </si>
  <si>
    <t>L12_GHVFW_059E_STOPE</t>
  </si>
  <si>
    <t>L08_GHV_006W_ROBBING</t>
  </si>
  <si>
    <t xml:space="preserve">REPLACEMENT OF L09_DPVE_028E_DE. APPROVED ON MARCH 03, 2025. TOPSLICE. STOPPED ON MARCH 27, 2025. ALREADY FINISHED HEADING. </t>
  </si>
  <si>
    <t xml:space="preserve">ISL FOR L12_DPVE_055E_STOPE. APPROVED ON FEBRUARY 01, 2025. STOPPED ON MARCH 27, 2025. ALREADY REACHED THE RECOMMENDED STRIKE LENGTH. TO BE CONVERTED TO STOPE PREP. </t>
  </si>
  <si>
    <t>L12_DPVE_051E_STOPE PREP</t>
  </si>
  <si>
    <t xml:space="preserve">VENTILATION RAISE FOR REHAB. APPROVED ON JANUARY 23, 2025. STOPPED ON MARCH 26, 2025. ALREADY FINISHED PROJECT. </t>
  </si>
  <si>
    <t>L09_DPVE_028E_FILL WINZE</t>
  </si>
  <si>
    <t>FILL WINZE</t>
  </si>
  <si>
    <t xml:space="preserve">ADDITIONAL VERTICAL DRIVE. APPROVED ON DECEMBER 21, 2024. RENAMED FROM L425_GHVSPLIT_062E_RAISE TO L425_GHVHW_062E_RAISE. FOR PROPER VEIN NAMING. APPROVED ON JANUARY 09, 2024. TEMPORARY STOPPED ON JANUARY 13, 2025. DONE RAISE PREP. MANPOWER REASSIGNED TO DRIFT. RESUMED ON FEBRUARY 15,2025 AT THE SAME TIME TRANSFER FROM CAPPUYO 4 TO BABOR 3. STOPPED ON MARCH 26, 2025. ALREADY MADE A BREAKTHROUGH. </t>
  </si>
  <si>
    <t xml:space="preserve">ADDITIONAL VERTICAL DEVELOPMENT. APPROVED ON MARCH 14, 2025. STOPPED ON MARCH 22, 2025. DUE TO CONSECTUIVE LOW ASSAY GRADES ON BOTH CUT AND BULK SAMPLES AND UNSAFE CONDIITON. </t>
  </si>
  <si>
    <t xml:space="preserve">REPLACEMENT OF L425_NONE_048E_XCS. APPROVED ON JULY 11, 2024. TEMPORARILY STOPPED ON AUGUST 27, 2024. RESUMED ON NOVEMVR 09, 2024. AT THE SAME TIME CHANGE TEAM LEADER FROM CAPPUYO 1 TO BABOR. TEMPORARY STOPPED ON DECEMBER 21, 2024. TO PRIORITIZE L425_GHVS_056E_STOPE PREP. RESUMED ON FEBRUARY 01, 2025. AT THE SAME TIME CHANGED TEAM LEADER FROM BABOR TO CAPPUYO 1. STOPPED ON MARCH 29, 2025. DUE TO PINCHED OUT VEIN WITH NO FURTHER TARGET.
</t>
  </si>
  <si>
    <t>L425_GHVSPLIT_065E_DE</t>
  </si>
  <si>
    <t>L03_JV_014W_WINZE STOPE</t>
  </si>
  <si>
    <t xml:space="preserve">REPLACEMENT OF L03_JV_014W_RAISE. APPROVED ON DECEMBER 11, 2024. TEMPORARY STOPPED ON FEBRUARY 25, 2025 TO PRIORITIZE SPECIAL PROJECT AT L03_003E_ML. STOPPED ON MARCH 31, 2025. TO BE CONVERTED TO STOPE BREAKING. RESUMED AND CONVERTED TO STOPE BREAKING. APPROVED ON MARCH 31, 2025. </t>
  </si>
  <si>
    <t xml:space="preserve">ADDITIONAL HORIZONTAL DRIVE. APPROVED ON FEBRUARY 12, 2025. CHANGED TEAM LEADER FROM LARGO 3 TO NITRO BW. CORPO MANPOWER WITH L10_DPVE_090E_DW. APPROVED ON MARCH 05, 2025. STOPPED ON MARCH 27, 2025. DUE TO CONSECUTVE LOW ASSAY GRADES ONBOTH CUT AND BULK SAMPLES. 
</t>
  </si>
  <si>
    <t>NITRO CC</t>
  </si>
  <si>
    <t xml:space="preserve">ADDITIONAL HORIZONTAL DEVELOPMENT TO EXPLORE LATERAL EXTENSION OF THE VEIN. APPROVED ON MARCH 20, 2025. WORKPLACE FROM IDENTIFIED UNMINED AREA. MP FROM L09_GHVHW_007E_WINZE. STOPPED ON MARCH 24, 2025. ALREADY MADE A BREAKTHROUGH. </t>
  </si>
  <si>
    <t xml:space="preserve">REPLACEMENT OF L09_NONE_085E_RAISE REHAB. FILL WINZE FOR BACKFILLING OF OLD ROBBING BELOW MAINLINE. APPROVED ON MARCH 28, 2025. STOPPED ON MARCH 28, 2025. 3RD SHIFT. ALREADY FINISHED HEADING. </t>
  </si>
  <si>
    <t xml:space="preserve">REPLACEMENT OF L09_GHVHW_029W_DW. APPROVED ON MARCH 03, 2025. STOPPED ON APRIL 01, 2025. DUE TO CONSECUTIVE LOW ASSAY GRADES ON BOTH CUT AND BULK SAMPLES. </t>
  </si>
  <si>
    <t xml:space="preserve">REPLACEMENT OF L08_NONE_014W_XCS. APPROVED ON FEBRUARY 06, 2025. RENAMED FROM L08_DPVE_013W_RAISE TO L08_JVSPLIT_013W_RAISE. FOR PROPER VEIN CLASSIFICATION. APPROVED ON FEBRUARY 11, 2025. TRANSFER FROM NITRO AX TO CAPUYAN. NITRO AX TO PRIOTIZE DPVE 28W RAISE. STOPPED ON APRIL 01, 2025. TO BE CONVERTED TO STOPE PREP. </t>
  </si>
  <si>
    <t>L09_DPVE_006E_DW_ISL</t>
  </si>
  <si>
    <t>L09_DPVE_074E_DW_ISL</t>
  </si>
  <si>
    <t>NITRO CD 1</t>
  </si>
  <si>
    <t xml:space="preserve">ADDITIONAL WORKPLACE FOR THE GROUP. APPROVED ON FEBRUARY 13, 2025. STOPPED ON APRIL 02, 2025. DUE TO CONSECUTIVE LOW ASSAY GRADES ON BOTH CUT AND BULK SAMPLES. AND FOR PRIORITIZATION OF HIGHER PAYABALITY LEVELS. </t>
  </si>
  <si>
    <t xml:space="preserve">WORKPLACE FOR THE GROUP. APPROVED ON FEBRUARY 21, 2025. MANPOWER FROM L08_DPVE_053E_ROBBING. CHANGE GROUP FROM CAPUYAN 2 TO NITRO AX. SF GROUP TO HANDLE THE LEAST PRIORITY HEADING. APPROVED ON MARCH 14, 2025. TEMPORARY STOPPED ON MARCH 27, 2025. FOR GEOTECH ASSESMENT. STOPPED ON APRIL 01, 2025. DUE TO CONSECUTIVE LOW ASSAY GRADES ON BOTH CUT AND BULK SAMPLES. AND FOR PRIORITIZATION OF HIGHER PAYABALITY LEVELS. </t>
  </si>
  <si>
    <t xml:space="preserve">REPLACEMENT OF L08_DPVE_014W_RAISE. APPROVED ON FEBRUARY 28, 2025. STOPPED ON APRIL 01, 2025. DUE TO CONSECUTIVE LOW ASSAY GRADES ON BOTH CUT AND BULK SAMPLES. AND FOR PRIORITIZATION OF HIGHER PAYABALITY LEVELS. </t>
  </si>
  <si>
    <t xml:space="preserve">REPLACEMENT OF L08_JV_072E_WINZE. APPROVED ON MARCH 7, 2025. STOPPED ON APRIL 01, 2025. ALREADY REACHED RECOMMENDED STRIKE LENGTH. </t>
  </si>
  <si>
    <t xml:space="preserve">REPLACEMENT L09_GHVHW_030W_DE. APPROVED ON MARCH 14, 2025. TO EXPLORE UP DIP EXTENSION OF GHVHW VEIN. STOPPED ON APRIL 01, 2025. DUE TO CONSECUTIVE LOW ASSAY GRADES ON BOTH CUT AND BULK SAMPLES.  AND FOR PRIORITIZATION OF HIGHER PAYABALITY LEVELS. </t>
  </si>
  <si>
    <t xml:space="preserve">REPLACEMENT OF L12_GHVSPLIT_047E_RAISE. APPROVED ON FEBRUARY 22, 2025. STOPPED ON APRIL 01, 2025. DUE TO CONSECUTIVE LOW ASSAY GRADES ON BOTH CUT AND BULK SAMPLES. AND FOR PRIORITIZATION OF HIGHER PAYABALITY LEVELS. </t>
  </si>
  <si>
    <t xml:space="preserve">REPLACEMENT OF L12_GHVHW_052E_DE. APPROVED ON NOVEMBER 09, 2024. STOPPED ON APRIL 01, 2025. DUE TO CONSECUTIVE LOW ASSAY GRADES ON BOTH CUT AND BULK SAMPLES. AND FOR PRIORITIZATION OF HIGHER PAYABALITY LEVELS. </t>
  </si>
  <si>
    <t xml:space="preserve">REPLACEMENT OF L11_DPVE_081E_DE TO EXPLORE WEST SIDE PROJECTION OF THE VEIN. APPROVED ON MARCH 21, 2025. CHECKLIST TO FOLLOW. STOPPED ON APRIL 01, 2025. DUE TO CONSECUTIVE LOW ASSAY GRADES ON BOTH CUT AND BULK SAMPLES. AND FOR PRIORITIZATION OF HIGHER PAYABALITY LEVELS. </t>
  </si>
  <si>
    <t xml:space="preserve">REPLACEMENT OF L12_GHVFW_037E_DW. APPROVED ON FEBRUARY 17, 2025. TEMPORARY STOPPED ON APRIL 02, 2025. TO PRIORITIZE L12_GHVFW_032E_RAISE. </t>
  </si>
  <si>
    <t>L12_GHVFW_032E_RAISE</t>
  </si>
  <si>
    <t>L12_JVHW_067E_STOPE PREP</t>
  </si>
  <si>
    <t>L425_JVHW_059E_DE</t>
  </si>
  <si>
    <t>L12_JVHW_038E_STOPE</t>
  </si>
  <si>
    <t xml:space="preserve">ADDITIONAL SOURCE OF GOOD ORE. MP CORPO WITH L12_JVHW_043E_STOPE PULL-OUT. APPROVED ON MARCH 11, 2025. RENAMED FROM L12_JVHW_040E_STOPE PREP TO L12_JVHW_038E_STOPE PREP. TO AVOID MISCHARGING FROM L12_DPVE_040E_WINZE. APPROVED ON MARCH 12, 2025. STOPPED AND ALREADY MADE A BREAKTHROUGH ON APRIL 01, 2024. CONVERTED TO BREAKING. </t>
  </si>
  <si>
    <t xml:space="preserve">REPLACEMENT OF L11_DPVE_043E_STOPE PREP. APPROVED ON APRIL 17, 2024.RECOMMENDATION TO CONDUCT IPR ON +10M AND +26M FROM WEST MANWAY DUE TO CONSECUTIVE LOW ASSAY GRADE. APPROVED ON MAY 11, 2024.STOPPED BREAKING MAY 20, 2024. DUE TO LOW GRADE ON IPR. RESUME BREAKING TO RECOVER UPPER PORTION OF STOPE. ALREADY DONE WITH STOPE REHAB AS COORDINATED WITH MINE GEO, MINE OPS, MINE ENGG AND NPRI. CONDITIONS OF SAFETY ENGINEER ALREADY MET AS PER NPRI LEVEL ENGINEER. APPROVED ON AUGUST 21, 2024. STOPPED BREAKING ON APRIL 01, 2025. AT THE SAME TIME TRAVERSED ON THE SAME DAY. CONVERTED TO PULL-OUT. </t>
  </si>
  <si>
    <t xml:space="preserve"> REPLACEMENT OF L12_NONE_035E_SHAFT, APPROVED ON OCT 4, 2023.TEMPORARILY STOPPED ON JULY 11, 2024. TO CLEAR OUT DOUBLE MUCK AND PRIORITIZE ON VEIN DEVELOPMENT. RESUMED ON AUGUST 27, 2024. TRANSFERRED FROM CAPPUYO 1 TO REBOTE. APPROVED ON DECEMBER 11, 2024. FOR BREAKTHROUGH TO DSP 31A. STOPPED ON DECEMBER 14, 2024. ALREADY MADE BREAKTHROUGH. RESUMED ON JANUARY 09, 2024. WIDENING AND CLEANING OF L425-DSP31 LEVEL ACCESS. TRANSFERRED FROM REBOTE TO OLIVEROS. TEMPORARY STOPPED ON JANUARY 15, 2025. ALREADY DONE CLEANING; WAITING FOR FURTHER NOTICE. RESUMED ON MARCH 24 2025 FOR WIDENING AND REGRADING,  AS WELL AS TRANSFERED FROM OLIVEROS TO NITRO BK. STOPPED ON MARCH 31, 2025. ALREADY FINISHED HEADING.              </t>
  </si>
  <si>
    <t xml:space="preserve">REPLACEMENT OF L12_DPVE_027E_RAISE. APPROVED ON FEBRUARY 20, 2025. STOPPED ON APRIL 03, 2025. 3RD SHIFT. TO BE CONVERTED TO STOPE PREP. </t>
  </si>
  <si>
    <t>L12_DPVE_027E_STOPE PREP</t>
  </si>
  <si>
    <t>L12_JVFW_047E_RAISE</t>
  </si>
  <si>
    <t xml:space="preserve">ADDITIONAL SOURCE OF GOOD ORE, APPROVED ON MARCH 20, 2025. MP FROM L11_DPVE_021E_RAISE. STOPPED ON APRIL 03, 2025. CONVERTED TO BREAKING. 
</t>
  </si>
  <si>
    <t>L12_JVSPLIT_060E_RAISE</t>
  </si>
  <si>
    <t>L08_JV_072E_DW_ISL</t>
  </si>
  <si>
    <t xml:space="preserve">REPLACEMENT OF L08_GHVFW_006W_WINZE. APPROVED ON SEPTEMBER 17, 2024. TEMPORARY STOPPED ON OCTOBER 12, 2024 TO PRIORITIZE L08_DPVE_019E_RAISE. RESUMED ON OCTOBER 29, 2024.  STOPPED ON APRIL 02, 2025. DUE TO CONSECUTIVE LOW ASSAY GRADES ON BOTH CUT AND BULK SAMPLES. </t>
  </si>
  <si>
    <t>L08_DPVE_007W_RAISE</t>
  </si>
  <si>
    <t xml:space="preserve">REPLACEMENT OF L08_003E_CLEANING. APPROVED ON NOVEMBER 30, 2024. STOPPED ON JANUARY 5, 2025. ALREADY MADE A BREAKTHRU. RESUMED ON MARCH 21, 2025 AT THE SAME TIME TRANSFER FROM FERNANDEZ TO NITRO CA. STOPPED ON APRIL 03, 2025. ALREADY MADE A BREAKTHROUGH. 
</t>
  </si>
  <si>
    <t>L12_DPVE_034E_RAISE</t>
  </si>
  <si>
    <t>L11_GHVFW_012E_DW</t>
  </si>
  <si>
    <t xml:space="preserve">REPLACEMENT OF L09_DPVE_005E_RAISE AS EXPLORATORY BLOCKING RAISE TOWARDS EAST OF THE OLD DPVE_12E_RAISE. APPROVED ON MARCH 16, 2025. STOPPED ON APRIL 4, 2025 DUE TO CONSECUTIVE LOW GRADE BOTH CUT AND BULK SAMPLES. </t>
  </si>
  <si>
    <t xml:space="preserve">REPLACEMENT OF L09_DPVE_085E_WINZE STOPE PREP. APPROVED ON NOVEMBER 14,2024.STOPPED BREAKING ON MARCH 24, 2025 FILL RAISE ALREADY BREAKTHROUGH AT THE SAME TIME CONVERT TO PULL-OUT CLEANING. DONE TRAVERSED SAME DAY. STOPPED ON APRIL 5, 2025 DUE TO LOW GRADE WITH 101% PULL-OUT ATTAINMENT. GEO RECOMMENDS NOT PULL-OUT THE REMAINING MUCK FROM SLABBED MATERIALS. </t>
  </si>
  <si>
    <t xml:space="preserve">REPLACEMENT OF L09_JV_055E_ROBBING. SILL. APPROVED ON FEBRURARY 08, 2025. TEMPORARY STOPPED ON FEBRUARY 21, 2025 TO PRIORITIZE SPECIAL PROJECT IN LEVEL 4. RESUMED ON MARCH 27, 2025. AT THE SAME TIME CHANGE TEAM LEADER FROM FERNANDEZ TO QUIJANO 2. STOPPED ON APRIL 5, 2025. ALREADY REACHED THE LAST PILLAR TO BREAK. </t>
  </si>
  <si>
    <t>L08_JVSPLIT_019W_STOPE PREP</t>
  </si>
  <si>
    <t xml:space="preserve">REPLACEMENT OF L08_JVSPLIT_013W_RAISE. APPROVED ON APRIL 01, 2025. RENAMED FROM L08_DPVE_019W_STOPE PREP TO L08_JVSPLIT_019W_STOPE PREP FOR PROPER VEIN DESIGNATION OF THE WORKPLACE. APPROVED ON APRIL 6, 2025. </t>
  </si>
  <si>
    <t>L12_NONE_028E_XCS</t>
  </si>
  <si>
    <t>L09_DPVE_084E_DE_ISL</t>
  </si>
  <si>
    <t xml:space="preserve">REPLACEMENT OF L12_DPVE_039E_STOPE PREP. APPROVED ON MAY 15, 2024.STOPPED BREAKING ON JANUARY 20, 2025. CONVERTED TO PULLOUT CLEANING ON THE SAME DAY. STOPPED  ON APRIL 8, 2025 DUE TO CONSECUTIVE LOW ASSAY GRADE. LEVEL GEOLOGIST RECOMMEND NOT TO PULL-OUT REMAINING BROKEN MATERIALS. 101% PULL-OUT ATTAINMENT. </t>
  </si>
  <si>
    <t>L425_GHVSPLIT_052E_STOPE</t>
  </si>
  <si>
    <t xml:space="preserve">REPLACEMENT OF L425_GHVSPLIT_052E_RAISE. APPROVED ON MARCH 18, 2025. STOPPED ON APRIL 7,2025 DONE STOPE PREPARATION CONVERT TO ACTIVE BREAKING.  </t>
  </si>
  <si>
    <t xml:space="preserve">REPLACEMENT OF L09_JVSPLIT_016E_ROBBING. APPROVED ON FEBRUARY 18, 2025. TEMPORARY STOPPED ON MARCH 03, 2025. MADE A BREAKTHROUGH ON OLD CROWN PILLAR ROBBING. RESUMED ON MARCH 31, 2025. STOPPED ON APRIL 7, 2025. ALREADY MADE A BREAKTHROUGH TO ADJACENT MAINLINE. 
</t>
  </si>
  <si>
    <t xml:space="preserve"> REPLACEMENT OF L09_DPVE_059E_WINZE. APPROVED ON FEBRURARY 08, 2025. TEMPORARY STOPPED ON APRIL 8, 2025. TO BE CONVERTED TO WINZE STOPE PREP.</t>
  </si>
  <si>
    <t>L09_DPVE_059E_WINZE STOPE PREP</t>
  </si>
  <si>
    <t>L11_DPVE_038E_DW</t>
  </si>
  <si>
    <t>L09_GHVFW_026E_DE_ISL</t>
  </si>
  <si>
    <t xml:space="preserve">REPLACEMENT OF L12_GHVHW_062E_STOPE PREP, APPROVED ON JUNE 13, 2024. STOPPED ON FEBRUARY 13, 2025. CONVERT TO PULL-OUT AT THE SAME TIME TRAVERSE ON THE SAME DAY. STOPPED ON APRIL 04, 2025. ALREADY FINISHED HEADING BUT UNDER INVESTIGATION FOR THE REMAINING 1500MC. </t>
  </si>
  <si>
    <t>L12_NONE_046E_REGRADE</t>
  </si>
  <si>
    <t>REGRADE</t>
  </si>
  <si>
    <t>L425_DSP31B_ALIMAK SUMP</t>
  </si>
  <si>
    <t>DSP31B</t>
  </si>
  <si>
    <t>L425__DSP31B_ALIMAK SUMP</t>
  </si>
  <si>
    <t>L12_JVSPLIT_020E_DW</t>
  </si>
  <si>
    <t xml:space="preserve">ADDITIONAL WORKING PLACE FOR GROUP. APPROVED ON FEBRUARY 04, 2025.CHANGED GROUP MEMBERS FROM DUHIG, P4 TO DUHIG, P2. APPROVED ON FEBRUARY 26, 2025. STOPPED ON APRIL 10, 2025 DUE TO CONSECUTIVE LOW ASSAY GRADE. </t>
  </si>
  <si>
    <t>L425_JV_055E_RAISE</t>
  </si>
  <si>
    <t xml:space="preserve">REPLACEMENT OF L10_NONE_012W_XCN. APPROVED ON MARCH 07, 2025. STOPPED ON APRIL 14, 2025 DUE TO CONSECUTIVE PRODUCING BELOW CUT-OFF GRADE AND PINCHING OUT OF VEIN. </t>
  </si>
  <si>
    <t>L09_GHVSPLIT_012E_DW_ISL</t>
  </si>
  <si>
    <t xml:space="preserve">ADDITIONAL VERTICAL DRIVE. APPROVED ON DECEMBER 21, 2024. TEMPORARY STOPPED ON JANUARY 17, 2025. TO PRIORITIZE L425_GHVSPLIT_044E_DE. RESUMED ON FEB. 6, 2025 AS WELL AS TRANSFERRED FROM CAPPUYO 2 TO BABOR 3. TEMPORARY STOPPED ON FEBRUARY 14,2025 TO PRIORITIZED L425_GHVHW_062E_RAISE. RESUMED ON MARCH 29, 2025. STOPPED ON APRIL 14, 2025 DUE TO CONSECUTIVE LOW ASSAY GRADES. APPROVED ON APRIL 14, 2025. </t>
  </si>
  <si>
    <t xml:space="preserve">REPLACEMENT OF L09_NONE_030W_XCN. APPROVED ON DECEMBER 11, 2024. RENAMED FROM L09_GHVHW_029W_DE TO L09_GHVHW_029W_DW FOR PROPER WORKPLACE NAMING AND POSITIONING. APPROVED ON FEBRUARY 20, 2025. TEMPORARILY STOPPED ON MARCH 03, 2025. PRIORITIZATION OF RAISE PREP. RESUMED ON MARCH 14, 2025 ALREADY DONE RAISE PREPARATION. TEMPORARY STOPPED ON MARCH 20,2025 MANPOWER WILL BE MOVE TO L425. RESUMED ON APRIL 01, 2025. STOPPED ON APRIL 14, 2025 DUE TO CONSECUTIVE LOW ASSAY GRADES. NO FURTHER TARGETS. </t>
  </si>
  <si>
    <t xml:space="preserve">REPLACEMENT OF L08_JV_072E_DE_ISL. APPROVED ON APRIL 04, 2025. STOPPED ON APRIL 11, 2025. TO BE CONVERTED TO STOPE PREP. </t>
  </si>
  <si>
    <t>L08_JV_072E_WINZE STOPE PREP</t>
  </si>
  <si>
    <t>REPLACEMENT OF L08_JV_072E_DW_ISL. APPROVED ON APRIL 14, 2025.</t>
  </si>
  <si>
    <t>L425_GHVSPLIT_064E_STOPE PREP</t>
  </si>
  <si>
    <t>L425_GHVSPLIT_042E_RAISE</t>
  </si>
  <si>
    <t>L11_NONE_091E_WIDENING</t>
  </si>
  <si>
    <t>L425_JVSPLIT_044E_DW</t>
  </si>
  <si>
    <t>L425_GHVHW_066E_RAISE</t>
  </si>
  <si>
    <t>L10_GHVHW_012W_DE</t>
  </si>
  <si>
    <t>L08_DPVE_018W_RAISE</t>
  </si>
  <si>
    <t xml:space="preserve">ADDITIONAL HORIZONTAL DEVELOPMENT DRIVE. APPROVED ON APRIL 05, 2025. CHANGED POSITION FROM L12_NONE_029E_XCS TO L12_NONE_028E_XCS. TO AVOID MISCHARGING FROM L12_JV_029E_RAISE. APPROVED ON APRIL 08, 2025. STOPPED ON APRIL 16, 2025. ALREADY BREAKTHROUGH. </t>
  </si>
  <si>
    <t>L12_NONE_075E_XCS</t>
  </si>
  <si>
    <t xml:space="preserve">ADDITIONAL VERTICAL DRIVE. APPROVED ON DECEMBER 21, 2024. TEMPORARILY STOPPED ON JANUARY 17, 2025. FINISHED RAISE PREPARATION. RESUMED ON MARCH 31, 2025. AT THE SAME TIME TRANSFERRED FROM REBOTE 2 TO DELOS REYES. TEMPORARY STOPPED ON APRIL 19, 2025. 1ST SHIFT. MANPOWER WILL PRIORITIZE L425_GHV_054E_DE. 
</t>
  </si>
  <si>
    <t>REPLACEMENT OF L09_GHVHW_032W_RAISE. APPROVED ON FEBRUARY 26, 2025. STOPPED ON APRIL 17,2025 BREAKTHROUGH TO OLD BLOCKING RAISE.</t>
  </si>
  <si>
    <t xml:space="preserve">REPLACEMENT OF L12_JVHW_067E_RAISE. APPROVED ON APRIL 03, 2025. 1ST SHIFT. STOPPED ON APRIL 11, 2025. APPROVED ON APRIL 11, 2025. CONVERTED TO BREAKING. </t>
  </si>
  <si>
    <t>L12_JVHW_067E_STOPE</t>
  </si>
  <si>
    <t xml:space="preserve">ADDITIONAL VERTICAL DRIVE. APPROVED ON NOVEMBER 06, 2024. TEMPORARILY STOPPED ON JANUARY 11, 2025. MANPOWER TASKED TO MUCK OUT BACKFILLED MATERIALS DUMPED ON L12 MAINLINE. RESUMED ON JANUARY 13, 2025. TEMPORARY STOPPED ON MARCH 7,2025 TO PRIORITIZE FIRST DRIVING AT L425 GHVHW 061E DE. STOPPED ON APRIL 17, 2025. DECIDED TO BREAKTHROUGH RAISE FROM L425. </t>
  </si>
  <si>
    <t>L425_DPVE_039E_DE</t>
  </si>
  <si>
    <t xml:space="preserve">REPLACEMENT OF L11_DPVE_043E_STOPE PREP. APPROVED ON APRIL 17, 2024.RECOMMENDATION TO CONDUCT IPR ON +10M AND +26M FROM WEST MANWAY DUE TO CONSECUTIVE LOW ASSAY GRADE. APPROVED ON MAY 11, 2024.STOPPED BREAKING MAY 20, 2024. DUE TO LOW GRADE ON IPR. RESUME BREAKING TO RECOVER UPPER PORTION OF STOPE. ALREADY DONE WITH STOPE REHAB AS COORDINATED WITH MINE GEO, MINE OPS, MINE ENGG AND NPRI. CONDITIONS OF SAFETY ENGINEER ALREADY MET AS PER NPRI LEVEL ENGINEER. APPROVED ON AUGUST 21, 2024. STOPPED BREAKING ON APRIL 01, 2025. AT THE SAME TIME TRAVERSED ON THE SAME DAY. CONVERTED TO PULL-OUT. STOPPED ON APRIL 21, 2025 ALREADY MINED-OUT. 102% PULL-OUT OF MINE CARS. </t>
  </si>
  <si>
    <t xml:space="preserve">EXPLORATORY HORIZONTAL DRIVE FROM IDENTIFIED UNMINED AREA. APPROVED ON APRIL 9, 2025. MP FROM DPVE_085E_WINZE STOPE. STOPPED ON APRIL 15, 2025. WORKPLACE ADVANCE TOWARDS THE EXCLUSION ZONE OF MECHANICAL SHOP. </t>
  </si>
  <si>
    <t xml:space="preserve">REPLACEMENT OF L09_DPVE_006E_DE_ISL. APPROVED ON APRIL 02, 2025. STOPPED ON APRIL 12, 2025 DUE TO CONSECUTIVE LOW GRADE. </t>
  </si>
  <si>
    <t>L12_JVSPLIT_050E_DW</t>
  </si>
  <si>
    <t xml:space="preserve">REPLACEMENT OF L425_GHVSPLIT_044E_DE. APPROVED MARCH 13, 2025. STOPPED ON APRIL 19, 2025 MADE A BREAKTHROUGH. </t>
  </si>
  <si>
    <t>L08_DPVE_012W_STOPE PREP</t>
  </si>
  <si>
    <t xml:space="preserve">REPLACEMENT OF L12_GHVSPLIT_066E_DW. APPROVED ON FEBRUARY 04, 2025. TEMPORARY STOPPED ON APRIL 03, 2025. TO PRIORITIZE L12_JVFW_047E_RAISE. RESUMED ON APRIL 11, 2025. STOPPED ON APRIL 21, 2025. DONE DRIVING SWITCH. </t>
  </si>
  <si>
    <t xml:space="preserve">REPLACEMENT OF L11_DPVE_040E_STOPE PREP. APPROVED ON  FEBRUARY 21, 2024. TEMPORARY STOPPED ON FEBRUARY 24, 2025 TO PRIORITIZE MANWAY REHAB. RESUMED ON MARCH 05, 2025. STOPPED BREAKING AND CONVERT TO PULL-OUT CLEANING ON APRIL 22, 2025. ALREADY DONE TRAVERSE ON APR. 21, 3RD SHIFT. </t>
  </si>
  <si>
    <t xml:space="preserve">ADDITIONAL HORIZONTAL DEVT DRIVE. APPROVED ON SEPT 17, 2024. TEMPORARY STOPPED ON DECEMBER 5, 2024 DUE TO SAFETY CONCERN. HIGH NO2 READING. RESUMED ON DECEMBER 06, 2024. CHANGED GROUP NAME FROM CAPPUYO 1 TO CAPPUYO 3 FOR PROPER GROUP DESIGNATION. TEMPORARY STOPPED ON DECEMBER 21, 2024. TO PRIORITIZE L425_GHVS_052E_RAISE. RESUMED ON JANUARY 18, 2025. AT THE SAME TIME TRANSFERRED FROM CAPPUYO 3 TO BAÑEZ 1. TEMPORARY STOPPED ON MARCH 19, 2025 DELAYED BY THE L425_GHVSPLIT_052E_STOPE PREP. RESUMED ON MARCH 31, 2025. STOPPED ON APRIL 11, 2025 DUE TO CONSECUTIVE LOW GRADE AND NO FURTHER TARGETS IDENTIFIED. </t>
  </si>
  <si>
    <t>L12_DPVE_027E_STOPE</t>
  </si>
  <si>
    <t>REPLACEMENT OF L12_DPVE_025E_RAISE. APRIL 04, 2025. 1ST SHIFT. ALREADY DONE STOPE PREP AND CONVERT TO STOPE BREAKING ON APRIL 22, 2025.</t>
  </si>
  <si>
    <t xml:space="preserve">ADDITIONAL STOPE ORE. APPROVED ON DECEMBER 21, 2024. 3RD SHIFT. RENAMED FROM L12_DPVE_031E_STOPE PREP TO L12_JV_031E_STOPE PREP. FOR PROPER VEIN CLASSIFICATION. APPROVED ON JANUARY 09, 2025.REPLACEMENT OF L12_JV_031E_STOPE PREP. APPROVED ON JANUARY 18, 2025. 2 IPR's WILL BE CONDUCTED STARTING APRIL 15,2025 AT +12m AND +25m DUE TO 3 FLOORS CONSECUTIVE LOW ASSAY GRADES.  STOPPED BREAKING AND FINISHED DRIVING IPR WITH LOW GRADE RESULTS, TRAVERSE ON APRIL 22, 2025 (2ND SHIFT). AT THE SAME TIME CONVERT TO PULL-OUT CLEANING. </t>
  </si>
  <si>
    <t>L425_GHVSPLIT_038E_DW</t>
  </si>
  <si>
    <t xml:space="preserve">EXPLORATORY BLOCKING RAISE FROM UNMINED AREA AND AS REPLACEMENT OF L10_GHV_014W_RAISE. APPROVED ON MARCH 18, 2025.TEMPORARY STOPPED ON MARCH 24,2025 DELAYED BY TURN OUT PREP OF BACK-UP DRIFT. RESUMED ON APRIL 01, 2025. AT THE SAME TIME CHANGE  TEAM LEADER FROM LARGO 1 TO NITRO AY. STOPPED ON APRIL 15, 2025 DUE TO PINCHED-OUT VEIN. 
</t>
  </si>
  <si>
    <t>L10_DPVE_066E_RAISE</t>
  </si>
  <si>
    <t xml:space="preserve">REPLACEMENT OF L425_GHVHW_052E_DW. APPROVED ON OCT 9, 2024. TEMPORARY STOPPED ON NOVEMBER 08,2024. INSUFFICIENT MANPOWER. RESUMED ON MARCH 18, 2025. AT THE SAME RENAME FROM L425_GHVHW_050E_RAISE TO AVOID MISCHARGING AND TRANSFER FROM CAPPUYO 2 TO BAÑEZ 1. STOPPED ON APRIL 23,2025 ALREADY REACHED THE LEVEL 12 ELEVATION CONVERT TO STOPE PREPARATION. </t>
  </si>
  <si>
    <t xml:space="preserve">ADDITIONAL HORIZONTAL DEVELOPMENT. APPROVED ON MARCH 25, 2025. STOPPED ON APRIL 21, 2025 DUE TO PINCHED-OUT VEIN. </t>
  </si>
  <si>
    <t>L425_NONE_058E_XCN</t>
  </si>
  <si>
    <t>CAPPUYO 5</t>
  </si>
  <si>
    <t>L425_NONE_049E_CHAMBER</t>
  </si>
  <si>
    <t>L425_GHVHW_050E_STOPE PREP</t>
  </si>
  <si>
    <t xml:space="preserve">REPLACEMENT OF L425_GHVSPLIT_058E_RAISE. APPROVED ON APRIL 16,2025. RAISE TO TARGET THE LAST FLOOR OF L12_GHVHW_071E_WINZE WITH +/- 3.15m TO BREAKTHROUGH. STOPPED ON APRIL 24, 2025. ALREADY MADE A BREAKTHROUGH. CONVERT TO STOPE PREP. </t>
  </si>
  <si>
    <t>L425_GHVHW_066E_STOPE PREP</t>
  </si>
  <si>
    <t>L11_JVHW_070E_STOPE</t>
  </si>
  <si>
    <t>ADDITIONAL SOURCE OF GOOD ORE. APPROVED ON MARCH 26, 2025. MP FROM L11_JVHW_070E_RAISE. STOPPED ON  ON APRIL 23, 2025, DONE STOPE PREP AND CONVERTED TO STOPE BREAKING.</t>
  </si>
  <si>
    <t xml:space="preserve">SPECIAL PROJECT WIDENING FOR DRILLING PURPOSES. APPROVED ON APRIL 15, 2025. STOPPED ON APRIL 23, 2025, ALREADY DONE WIDENING. </t>
  </si>
  <si>
    <t>L08_DPVE_044E_ROBBING</t>
  </si>
  <si>
    <t xml:space="preserve">REPLACEMENT OF L425_GHVSPLIT_059E_DW. APPROVED ON DECEMBER 13, 2024. CHANGED TEAM LEADER FROM OLIVEROS 2 TO FERNANDEZ 1. APPROVED ON JANUARY 27, 2025. TEMPORARY STOPPED ON FEBRUARY 18, 2025 TO PRIORITIZE L425_GHV_054E_DE. RESUMED ON FEBRUARY 25, 2025. AT THE SAME TIME CHANGED TEAM LEADER FROM FERNANDEZ 1 TO REBOTE 2. STOPPED ON APRIL 25,2025 DUE TO CONSECUTIVE LOW ASSAY GRADE AND BASED VEIN INTERPRETATION WILL MERGE TO GHV MAIN VEIN. </t>
  </si>
  <si>
    <t>L10_NONE_017E_XCN</t>
  </si>
  <si>
    <t>L11_GHVSPLIT_058E_DE_ISL</t>
  </si>
  <si>
    <t>L09_GHVHW_024W_DE</t>
  </si>
  <si>
    <t>L425_DSP31B_ALIMAK RAISE</t>
  </si>
  <si>
    <t>ALIMAK_RAISE</t>
  </si>
  <si>
    <t>L425_DSP31B__ALIMAK_RAISE</t>
  </si>
  <si>
    <t>L425_NONE_037E_XCN</t>
  </si>
  <si>
    <t>L08_GHVHW_063E_RAISE</t>
  </si>
  <si>
    <t>L08_JVSPLIT_019W_STOPE</t>
  </si>
  <si>
    <t xml:space="preserve">SPECIAL PROJECT FOR COLLAPSED MAINLINE. APPROVED ON FEBRUARY 24, 2025. STOPPED ON APRIL 1, 2025, PROJECT COMPLETED. </t>
  </si>
  <si>
    <t xml:space="preserve"> SPECIAL PROJECT FOR COLLAPSED MAINLINE. APPROVED ON FEBRUARY 24, 2025. STOPPED ON MARCH 25, 2025, PROJECT COMPLETED. </t>
  </si>
  <si>
    <t>L09_GHVFW_037W_ROBBING</t>
  </si>
  <si>
    <t>L12_DPVE_051E_STOPE</t>
  </si>
  <si>
    <t xml:space="preserve">REPLACEMENT OF L12_DPVE_051E_DE_ISL. APPROVED ON MARCH 27, 2025. CHANGE TEAM LEADER FROM BABOR TO MARTINEZ 1. APPROVED ON MARCH 28, 2025. CHANGED TEAM LEADER FROM MARTINEZ 1 TO BABOR. DUE TO INADEQUATE SKILL/KNOWLEDGE TO OPERATE THE HEADING. APPROVED ON APRIL 24, 2025. STOPPED ON APRIL 28, 2025. CONVERTED TO BREAKING.  
</t>
  </si>
  <si>
    <t xml:space="preserve">REPLACEMENT OF L12_DPVE_026E_DW. APPROVED ON MARCH 25, 2025. TEMPORARY STOPPED ON APRIL 03, 2025. WORKPLACE WILL BE DELAYED DUE TO ON-GOING STOPE PREP. RESUMED ON APRIL 17,2025. MANPOWER FROM L12_NONE_028E_XCS. TEMPORARILY STOPPED ON APRIL 25, 2025. WP IS FOR RE-EVALUATION AND WILL BE RECOMMENDED FOR DRILLING. </t>
  </si>
  <si>
    <t>L11_DPVE_036E_RAISE</t>
  </si>
  <si>
    <t>L11_GHV_071E_FILL WINZE</t>
  </si>
  <si>
    <t>ALEÑAR</t>
  </si>
  <si>
    <t xml:space="preserve">TRANSFER OF MANPOWER FROM L11_GHVHW_068E_DW. APPROVED ON FEBRUARY 3, 2025, 3RD SHIFT. RENAMED FROM L11_GHV_058E_WINZE TO L11_GHVSPLIT_058E_WINZE. FOR PROPER VEIN NAMING. APPROVED ON FEBRUARY 12, 2025. STOPPED ON APRIL 25, 2025. ALREADY REACHED THE RECOMMENDED SLOPE DISTANCE AND WILL PRIORITIZE DRIVING THE ISL. </t>
  </si>
  <si>
    <t>L11_DPVE_002E_DW</t>
  </si>
  <si>
    <t xml:space="preserve">ADDITIONAL HORIZONTAL DEVELOPMENT FOR GROUP DUE TO EXCESS IN MANPOWER. APPROVED ON NOVEMBER 19, 2024. CHANGED GROUP NAME FROM REBOTE 2 TO REBOTE 1 FOR PROPER GROUP DESIGNATION. TEMPORARILY STOPPED ON JANUARY 13, 2025. INSUFFICIENT MANPOWER TO OPERATE HEADING. RESUMED ON JANUARY 17, 2025. STOPPED ON FEBRUARY 12, 2025. ALREADY MADE A BREAKTHROUGH. RESUMED ON APRIL 24, 2025. FOR WIDENING, ROCKBOLTING AND REGRADE. AT THE SAME TIME CHANGE TEAM LEADER FROM REBOTE 1 TO DELOS REYES. NO QUOTA APPLIED. STOPPED ON APRIL 30, 2025. ALREADY DONE WIDENING AND REGRADING. </t>
  </si>
  <si>
    <t>L11_GHVFW_011E_RAISE</t>
  </si>
  <si>
    <t>BADBADON 5</t>
  </si>
  <si>
    <t>L11_DPVE_004E_DE</t>
  </si>
  <si>
    <t>BADBADON 6</t>
  </si>
  <si>
    <t>L09_NONE_050E_XCN</t>
  </si>
  <si>
    <t xml:space="preserve">ADDITIONAL VERTICAL DEVELOPMENT. APPROVED ON APRIL 03, 2025. 1ST SHIFT. STOPPED ON APRIL 30, 2025. ALREADY REACHED THE EXCLUSION ZONE OF TIGERWAY DECLINE. </t>
  </si>
  <si>
    <t>REPLACEMENT OF L11_DPVE_047E_STOPE PREP. STOPE BREAKING. APPROVED ON OCTOBER 11, 2024. 2 IPR'S WERE RECOMMENDED ON APRIL 7, 2025. FINISHED IPR ON APRIL 14, 2025 AT 24TH-25TH FLOOR. ONLY 25TH FLOOR RESULT TO ABOVE CUT-OFF GRADE RESUME BREAKING STARTING AT 25TH FLOOR. STOPPED BREAKING ON APRIL 28, 2025. DUE TO UNSAFE CONDITION. SLABBING ONHANGING WALL ESTIMATED 2M ON WHOLE STRETCH OF THE STOPE. SLOPE DISTANCE ALREADY AT 53 METERS. TO BE CONVERTED TO PULL-OUT ONCE TRAVERSE.</t>
  </si>
  <si>
    <t xml:space="preserve">REPLACEMENT OF L11_DPVE_073E_DW. APPROVED ON FEBRUARY 8, 2025. 3RD SHIFT.TEMPORARY STOPPED ON MARCH 28, 2025. DUE TO FLOODING CAUSED BY THE PILOT HOLE BREAKTHROUGH OF L10 WINZE. RESUMED ON MARCH 29, 2025. TEMPORARY STOPPED ON MARCH 28, 2025. DUE TO FLOODING CAUSED BY THE PILOT HOLE BREAKTHROUGH OF L10 WINZE. RESUMED ON MARCH 29, 2025. TEMPORARY STOPPED ON MARCH 30, 2025. DUE TO BREAKTHOUGH OF L10 WINZE. RESUMED ON MARCH 31, 2025 FOR WIDENING AND REGRADING PURPOSES. TEMPORARILY STOPPED ON APRIL 28, 2025. DUE TO MANPOWER ISSUE - ABSENTEEISM. </t>
  </si>
  <si>
    <t xml:space="preserve">ADDITIONAL EXPLORATORY RAISE. APPROVED ON MARCH 20, 2025. TEMPORARY STOPPED ON APRIL 14, 2025 TO PRIORITIZED WIDENING FOR THE TRANSFER LOCATION OF PROPOSED DRILLING CHAMBER AT DPVE 91E POSITION. RESUMED ON APRIL 24, 2025, 1ST SHIFT. STOPPED ON APRIL 30, 2025. DUE TO PINCEHED OUT VEIN. </t>
  </si>
  <si>
    <t xml:space="preserve">REPLACEMENT OF L11_NONE_017E_XCS TO EXPLORE LATERAL EXTENSION OF THE INTERCEPTED VEIN. APPROVED ON MARCH 21, 2025. RENAMED FROM L11_GHV_012E_DW TO L11_GHVFW_012E_DW. FOR PROPER VEIN NAMING. APPROVED ON APRIL 05, 2025. STOPPED ON APRIL 25, 2025. DUE TO PINCEHED OUT VEIN. MANPOWER ALREADY TRANSFERRED TO L11_DPVE_002E_DW. </t>
  </si>
  <si>
    <t xml:space="preserve">REPLACEMENT OF L08_NONE_014W_XCS. APPROVED ON FEBRUARY 6, 2025. RENAMED FROM L08_DPVE_028W_RAISE TO L08_JVSPLIT_028W_RAISE FOR PROPER VEIN CLASSIFICATION. APPROVED ON FEBRUARY 18, 2025. CHANGE GROUP FROM  NITRO AX TO CAPUYAN 2 TO FAST-TRACK AND PRIORITIZE THE WORKPLACE. APPROVED ON MARCH 14, 2025. STOPPED ON APRIL 30, 2025. ALREADY REACHED RECOMMENDED SLOPE DISTANCE. CONVERTED TO STOPE PREPARATION. </t>
  </si>
  <si>
    <t xml:space="preserve">REPLACEMENT OF L11_DPVE_040E_STOPE PREP. APPROVED ON  FEBRUARY 21, 2024. TEMPORARY STOPPED ON FEBRUARY 24, 2025 TO PRIORITIZE MANWAY REHAB. RESUMED ON MARCH 05, 2025. STOPPED BREAKING AND CONVERT TO PULL-OUT CLEANING ON APRIL 22, 2025. ALREADY DONE TRAVERSE ON APR. 21, 3RD SHIFT. STOPPED ON APRIL 30, 2025. ALREADY MINED OUT WITH 104% PULL-OUT ATTAINMENT. </t>
  </si>
  <si>
    <t>L11_DPVE_040E_ROBBING</t>
  </si>
  <si>
    <t>L12_GHVSPLIT_041E_DW</t>
  </si>
  <si>
    <t xml:space="preserve">REPLACEMENT OF L12_DPVE_042E_STOPE PREP. APPROVED ON NOVEMBER 06,2024. STOPPED BREAKING ON MAY 02, 2025. IPR PRODUCED LOW ASSAY GRADES. MINE GEOLOGY RECOMMENDS TO STOPE BREAKING AND WILL PROCEED TO PULL-OUT CLEANING ONCE AFTER CLOSED TRAVERSE. </t>
  </si>
  <si>
    <t xml:space="preserve">REPLACEMENT OF L10_DPVE_091E_DE. APPROVED ON MARCH 31, 2025. STOPPED ON MAY 03, 2025. TO FOLLOW INTERCEPTED EAST-WEST VEIN WITH GOOD ORE GRADES. </t>
  </si>
  <si>
    <t>L11_DPVE_076E_DE</t>
  </si>
  <si>
    <t>DUHIG, R.</t>
  </si>
  <si>
    <t>ADDITIONAL STOPE ORE. APPROVED ON DECEMBER 21, 2024. 3RD SHIFT. RENAMED FROM L12_DPVE_031E_STOPE PREP TO L12_JV_031E_STOPE PREP. FOR PROPER VEIN CLASSIFICATION. APPROVED ON JANUARY 09, 2025.REPLACEMENT OF L12_JV_031E_STOPE PREP. APPROVED ON JANUARY 18, 2025. 2 IPR's WILL BE CONDUCTED STARTING APRIL 15,2025 AT +12m AND +25m DUE TO 3 FLOORS CONSECUTIVE LOW ASSAY GRADES.  STOPPED BREAKING AND FINISHED DRIVING IPR WITH LOW GRADE RESULTS, TRAVERSE ON APRIL 22, 2025 (2ND SHIFT). AT THE SAME TIME CONVERT TO PULL-OUT CLEANING.STOPPED ON MAY 05, 2025. ALREADY MINED OUT WITH 104% PULL-OUT ATTAINMENT.</t>
  </si>
  <si>
    <t>ADDITIONAL VERTICAL DEVELOPMENT. STRIKING FORCE GROUP. APPROVED ON FEBRUARY 10, 2025. CHANGE TEAM LEADER FROM NITRO BI TO NITRO BF IN ORDER TO PRIORITIZE THE SAID HEADING. APPROVED ON MARCH 13, 2025. CHANGED TEAMLEADER FROM NITRO BF TO NITRO BM. APPROVED ON APRIL 03, 2025. 1ST SHIFT. STOPPED ON MAY 05, 2025. ALREADY FINISHED HEADING.</t>
  </si>
  <si>
    <t>L10_GHVHW_015W_RAISE</t>
  </si>
  <si>
    <t>REPLACEMENT OF L425_GHVSPLIT_056E_STOPE PREP. APPROVED ON FEBRUARY 01, 2025.STOPPED BREAKING ON APRIL 24, 2025. TRAVERSED ON THE SAME DAY. CONVERTED TO PULL-OUT ON MAY 05, 2025.</t>
  </si>
  <si>
    <t>L12_NONE_035E_XCN</t>
  </si>
  <si>
    <t>ADDITIONAL HORIZONTAL DRIVE TO EXPLORE VEIN PROJECTION. MP FROM L12_DPVE_039E_STOPE, APPROVED ON APRIL 10, 2025.STOPPED ON MAY 06, 2025. DUE TO PINCHED OUT VEIN. NO FURTHER TARGET.</t>
  </si>
  <si>
    <t>SPECIAL PROJECT FOR VENTILATION PURPOSES OF L460. APPROVED ON APRIL 23, 2025.STOPPED ON MAY 06, 2025. WILL PROCEED TO DEVELOPMENT OF L425_NONE_055E_WINZE.</t>
  </si>
  <si>
    <t xml:space="preserve">REPLACEMENT OF L12_NONE_040E_XCN, APPROVED ON OCT 7, 2023.STOPPED ON NOVEMBER 9, 2023 TO CONDUCT RAISE PREP.RESUMED ON NOVEMBER 17, 2023.TEMPORARY STOPPED ON FEBRUARY FEBRUARY 23, 2024. TO PRIOTITIZED L12_DPVE_042E_RAISE. UPDATE MEMO FROM LM.RESUMED ON MARCH 13, 2024.STOPPED ON FEBRUARY 23, 2024. TO PRIOTITIZED L12_DPVE_042E_RAISE. UPDATE MEMO FROM LM.RESUMED ON MARCH 13, 2024.TEMPORARILY STOPPED ON APRIL 08, 2024. TO PRIORITIZE L12_DPVE_040E_STOPE PREP.RESUMED AND CHANGED TEAM LEADER FROM DUHIG, P2 TO AGLOLO 1. APPROVED ON JUNE 19, 2024.TEMPORARILY STOPPED ON JUNE 26, 2024. TO PRIORITIZE STOPE.RESUMED ON JULY 15, 2024 AS REPLACEMENT OF L12_NONE_055E_WINZE  AS WELL AS TRANSFER FROM AGLOLO TO MAPAYO.TEMPORARILY STOPPED ON JULY 19, 2024. GROUP WILL BE REASSIGNED ON LEVEL 11 TO PRIORITIZE FILL WINZE.RESUMED ON JULY 30, 2024, AT THE SAME TIME TRANSFERRED FROM MAPAYO TO DUHIG, P1. TEMPORARILY STOPPED ON AUGUST 28, 2024. TO PRIORITIZE RAISE PREP. RESUMED ON SEPTEMBER 09, 2024. AT THE SAME TIME TRANSFERRED FROM DUHIG, P1 TO NITRO BO. TEMPORARY STOPPED ON OCT 1, 2024, TO PRIORITIZE STOPE PREP. RESUMED ON NOV. 9, 2024 AS REPLACEMENT OF L12_DPVE_031E_DE.  TEMPORARY STOPPED ON DECEMBER 07, 2024. TO PRIORITIZE L12_DPVE_028E_DW. TEMPORARY STOPPED ON FEBRUARY 05, 2025. UNSERVICEABLE AREA DUE TO RAISE PREPARATION OF NEW WORKPLACE. RESUMED ON MARCH 25, 2025. MP FROM 34E XCN.TEMPORARY STOPPED ON MAY 5, 2025, AFFECTED BY DPVE_48E_STOPE PREP,
 </t>
  </si>
  <si>
    <t>L11_JV_013E_RAISE</t>
  </si>
  <si>
    <t>NITRO BO 2</t>
  </si>
  <si>
    <t>L12_GHV_054E_RAISE</t>
  </si>
  <si>
    <t>L12_GHVHW_077E_RAISE</t>
  </si>
  <si>
    <t>L12_DPVE_048E_STOPE PREP</t>
  </si>
  <si>
    <t>L08_JVFW_024W_DW</t>
  </si>
  <si>
    <t>L12_JVFW_037E_DW</t>
  </si>
  <si>
    <t>L12_JVSPLIT_039E_DW</t>
  </si>
  <si>
    <t>L425_GHVHW_036E_DW</t>
  </si>
  <si>
    <t>ADDITIONAL HORIZONTAL DRIVE. APPROVED ON FEBRUARY 07, 2025. TEMPORARY STOPPED ON MARCH 17, 2025. PRIORITIZE RAISE PREP. RESUMED ON MARCH 25, 2025. CHANGE TEAM LEADER FROM OLIVEROS 4 TO CAPPUYO 4 ON APRIL 21,2025 TO AVOID GROUP CONFLICT. TEMPORARY STOPPED ON  MAY 09, 2025. DUE TO VENTILATION CONCERN AND OTHER GROUP WILL BE ASSIGNED TO THIS AREA.</t>
  </si>
  <si>
    <t>REPLACEMENT OF L11_DPVE_020E_DE. APPROVED ON MARCH 31, 2025. TEMPORARY STOPPED ON APRIL 5, 2025 DUE TO INSUFFICIENT MANPOWER TO OPERATE THE HEADING WITH 7/9 MP. RESUMED ON APRIL 19,2025 AT THE SAME TIME TRANSFER FROM NITRO BB  TO LERIO 1 L11_JVFW_019E_DW. STOPPED ON MAY 10, 2025 ALREADY REACHED RECOMMENDED SLOPE HEIGHT. FOR PROGRESSIVE WIREFRAME.</t>
  </si>
  <si>
    <t>L08_JV_072E_WINZE STOPE</t>
  </si>
  <si>
    <t xml:space="preserve">REPLACEMENT OF L10_DPVE_087E_RAISE. FROM UNMINED AREA. APPROVED ON APRIL 22, 2025. STOPPED ON MAY 6, 2025 DUE TO CONSECUTIVE LOW GRADE. GEO RECOMMENDS NOT TO PULL-OUT REMAINING BROKEN MATERIALS. </t>
  </si>
  <si>
    <t>L11_NONE_090E_XCS</t>
  </si>
  <si>
    <t>L425_NONE_056E_SUMP</t>
  </si>
  <si>
    <t xml:space="preserve">REPLACEMENT OF L425_GHVSPLIT_043E_DW. APPROVED ON APRIL 12, 2025. TEMPORARY STOPPED ON MAY 14, 2025. VEIN IS PROJECTED TO MERGE TO L425_GHV_053E_DW. 
 </t>
  </si>
  <si>
    <t>L08_NONE_005W_RAISE</t>
  </si>
  <si>
    <t xml:space="preserve">ADDITIONAL HORIZONTAL DEVELOPMENT DRIVE. APPROVED ON APRIL 28, 2025. STOPPED ON MAY 15, 2025. DUE TO PINCHED OUT VEIN AND WILL BE REPLACED WITH L11_DPVE_001E_DE. </t>
  </si>
  <si>
    <t>L08_JVSPLIT_026W_STOPE PREP</t>
  </si>
  <si>
    <t>L12_GHVSPLIT_065E_STOPE PREP</t>
  </si>
  <si>
    <t>L10_GHVHW_014W_RAISE</t>
  </si>
  <si>
    <t xml:space="preserve">REPLACEMENT OF L12_DPVE_048E_RAISE.A PPROVED ON APRIL 12, 2025. 3RD SHIFT. RENAMED FROM L12_DPVE_041E_DW TO L12_GHVSPLIT_041E_DW. FOR PROPER VEIN NAME CLASSIFICATION. APPROVED ON MAY 02, 2025. STOPPED ON MAY 16, 2025. DUE TO PINCHED OUT VEIN AND NO FURTHER TARGET. </t>
  </si>
  <si>
    <t>L425_JVSPLIT_049E_DE</t>
  </si>
  <si>
    <t xml:space="preserve">HORIZONTAL DEVELOPMENT DRIVE TO EXPLORE THE LATERAL VEIN EXTENTION AT THEEAST SIDE OF L09_DPVE_085E_WINZE STOPE . APPROVED ON APRIL 8, 2025. STOPPED ON MAY 16, 2025 ALREADY REACHED RECOMMENDED STRIKE LENGTH. FOR WIREFRAME. </t>
  </si>
  <si>
    <t xml:space="preserve">ADDITIONAL VERTICAL DEVELOPMENT. APPROVED ON APRIL 15, 2025. 1ST SHIFT. TEMPORARY STOPPED ON MAY 16, 2025. TO PRIORITIZE L425_GHVHW_036E_DW. </t>
  </si>
  <si>
    <t>L425_JV_041E_DW</t>
  </si>
  <si>
    <t>L425_NONE_058E_WINZE</t>
  </si>
  <si>
    <t>REPLACEMENT OF L08_JVSPLIT_028W_RAISE. APPROVED ON APRIL 30, 2025.RENAMED FROM L08_JV_026W_STOPE PREP FOR PROPER VEIN CLASSIFICATION. APPROVED ON MAY 6, 2025.STOPPED ON MAY 16, 2025. DONE STOPE PREPARATION AND TO BE CONVERTED TO BREAKING.</t>
  </si>
  <si>
    <t>L08_JVSPLIT_026W_STOPE</t>
  </si>
  <si>
    <t>ADDITIONAL SOURCE OF GOOD ORE. APPROVED ON APRIL 24, 2025. MP FROM L425. TOPSLICE.TEMPORARY STOPPED ON MAY 17, 2025. MP WAS TRANSFERRED TO L11 ROBBING WP.</t>
  </si>
  <si>
    <t>L11_DPVE_001E_DE</t>
  </si>
  <si>
    <t>L11_GHVSPLIT_057E_DW_ISL</t>
  </si>
  <si>
    <t>L11_GHV_055E_ROBBING</t>
  </si>
  <si>
    <t>FILL WINZE TO BREAKTHROUGH AT L12_GHV_070E_STOPE. APPROVED ON APRIL 24, 2025.STOPPED ON MAY 17, 2025. ALREADY MADE A BREAKTHROUGH.</t>
  </si>
  <si>
    <t>REPLACEMENT OF L11_DPVE_024E_DW. APPROVED ON SEPTEMBER 19, 2024. TRANSFERRED FROM BADBADON TO DUHIG, R. APPROVED ON OCTOBER 18, 2024. STOPPED ON OCTOBER 24, 2024. TO PRIORITIZE DRILLING ACTIVITIES ON 006E CHAMBER. RESUMED ON MARCH 19, 2025 AT THE SAME TIME TRANSFER FROM DUHIG, R TO LERIO 1. STOPPED ON APRIL 19, 2025, ALREADY MADE A BREAKTHROUGH AT 22E XCN FOR VENTILATION PURPOSES.  RESUMED ON APRIL 30, 2025. AT THE SAME TIME CHANGE TEAM LEADER FROM LERIO 1 TO NITRO BE. FOR WIDENING PURPOSES ONLY. STOPPED ON MAY 16, 2025. ALREADY DONE WIDENING TO CONNECT ADJACENT MAINLINE TO L11_NONE_022E_XCN.</t>
  </si>
  <si>
    <t>L09_DPVE_084E_WINZE STOPE PREP</t>
  </si>
  <si>
    <t>REPLACEMENT OF L12_DPVE_042E_STOPE PREP. APPROVED ON NOVEMBER 06,2024. STOPPED BREAKING ON MAY 02, 2025. IPR PRODUCED LOW ASSAY GRADES. MINE GEOLOGY RECOMMENDS TO STOPE BREAKING AND WILL PROCEED TO PULL-OUT CLEANING ONCE AFTER CLOSED TRAVERSE.STARTED PULL-OUT CLEANING ON MAY 05, 2025.STOPPED ON MAY 18,2025 DUE TO CONSECUTIVE LOW ASSAY GRADE. ACHIEVED 100% PULL-OUT VS BREAKING VOLUME.</t>
  </si>
  <si>
    <t>REPLACEMENT OF L12_NONE_043E_XCN. APPROVED ON FEBRUARY 14, 2025.STOPPED ON MAY 5,2025 ALREADY FINISHED</t>
  </si>
  <si>
    <t>FOR TRACK RAILS INSTALLATION FROM CO-O MINE TO TIGERWAY. APPROVED ON APRIL 09, 2025. SP.STOPPED ON MAY 18,2025 ALREADY FINISHED</t>
  </si>
  <si>
    <t>L09_JVSPLIT_054E_RAISE</t>
  </si>
  <si>
    <t>REPLACEMENT OF L12_NONE_034E_XCN. APPROVED ON MARCH 25, 2025.STOPPED ON MAY 19, 2025 DUE TO PINCHED-OUT VEIN. GEO RECOMMENDS NOT PULL-OUT REMAINING ORE (LOW GRADE)</t>
  </si>
  <si>
    <t>REPLACEMENT OF L11_DPVE_047E_STOPE PREP. STOPE BREAKING. APPROVED ON OCTOBER 11, 2024. 2 IPR'S WERE RECOMMENDED ON APRIL 7, 2025. FINISHED IPR ON APRIL 14, 2025 AT 24TH-25TH FLOOR. ONLY 25TH FLOOR RESULT TO ABOVE CUT-OFF GRADE RESUME BREAKING STARTING AT 25TH FLOOR. STOPPED BREAKING ON APRIL 28, 2025. DUE TO UNSAFE CONDITION. SLABBING ONHANGING WALL ESTIMATED 2M ON WHOLE STRETCH OF THE STOPE. SLOPE DISTANCE ALREADY AT 53 METERS. TO BE CONVERTED TO PULL-OUT ONCE TRAVERSE.PULL-OUT CLEANING STARTED ON APRIL 30, 2025.STOPPED ON MAY 19, 2025. ALREADY FINISHED HEADING WITH 96% PULL-OUT ATTAINMENT.</t>
  </si>
  <si>
    <t>REPLACEMENT OF L08_DPVE_018W_DE. APPROVED ON APRIL 04, 2025.STOPPED ON MAY 19, 2025 DUE TO CONSECUTIVE LOW GRADE. GEO RECOMMENDS NOT TO PULL-OUT REMAINING ORE (LOW GRADE)</t>
  </si>
  <si>
    <t>L11_DPVE_085E_DE</t>
  </si>
  <si>
    <t>L08_JVSPLIT_030E_DW</t>
  </si>
  <si>
    <t xml:space="preserve">ADDITIONAL VERTICAL DEVELOPMENT. APPROVED ON MARCH 15, 2025. STOPPED ON MAY 17, 2025. ALREADY MADE A BREAKTHROUGH. </t>
  </si>
  <si>
    <t xml:space="preserve">REPLACEMENT OF L425_GHVSPLIT_056E_STOPE PREP. APPROVED ON FEBRUARY 01, 2025.STOPPED BREAKING ON APRIL 24, 2025. TRAVERSED ON THE SAME DAY. CONVERTED TO PULL-OUT ON MAY 05, 2025. STOPPED ON MAY 20, 2025. ALREADY MINED OUT WITH 106% PULL-OUT ATTAINMENT. </t>
  </si>
  <si>
    <t>REPLACEMENT OF L12_JVHW_038E_STOPE PREP. APPROVD ON APRIL 01, 2025. 2ND SHIFT. ALREADY TRAVERSED, CONVERT TO PULL-OUT CLEANING ON MAY 20, 2025.</t>
  </si>
  <si>
    <t>REPLACEMENT OF L12_JVHW_067E_STOPE PREP. APPROVED ON APRIL 11, 2025. ALREADY TRAVERSED, CONVERT TO PULL-OUT CLEANING ON MAY 20, 2025.</t>
  </si>
  <si>
    <t xml:space="preserve"> REPLACEMENT OF L08_DPVE_017W_DE. APPROVED ON APRIL 17,2025. EXPLORATORY RAISE. STOPPED ON MAY 20, 2025 DUE TO CONSECUTIVE LOW GRADE. GEO RECOMMENDS NOT TO PULL-OUT REMAINING ORE (LOW GRADE)</t>
  </si>
  <si>
    <t xml:space="preserve">ADDITIONAL HORIZONTAL DEVELOPMENT. APPROVED ON APRIL 02, 2025. TEMPORARYS TOPPED ON APRIL 28, 2025. INSTALLATION OF SLUSHER WAS DELAYED DUE TO LACK OF MATERIALS FOR LIFTING SUCH AS CABLE.RESUMED ON MAY 03, 2025. SLUSHER ALREADY INSTALLED. STOPPED ON MAY 20, 2025 DUE TO CONSECUTIVE LOW GRADE. </t>
  </si>
  <si>
    <t>REPLACEMENT OF L12_DPVE_034E_RAISE. APPROVED ON APRIL 17,2025. TO TARGET DRILL HOLE VEIN IN THE JV PROJECTION.  STOPPED ON MAY 13, 2025. ALREADY HIT THE TARGET DRILLING INTERCEPT. CONVERT TO ON-VEIN DRIVE.</t>
  </si>
  <si>
    <t>L12_DPVE_024E_DW</t>
  </si>
  <si>
    <t>HORIZONTAL DRIVE TO EXPLORE LATERAL EXTENSION AT THE EAST SIDE OF THE VEIN PROJECTION. MP FROM L10_GHV_011W_DW. APPROVED ON APRIL 14, 2025. STOPPED ON MAY  15, 2025 DUE TO OFF-VEIN AND VEIN PINCHED OUT.</t>
  </si>
  <si>
    <t>L12_JVHW_075E_DE</t>
  </si>
  <si>
    <t>ADDITIONAL HORIZONTAL DEVELOPMENT DRIVE. APPROVED ON MAY 09, 2025. CHANGED TEAM LEADER FROM BABOR TO DELOS REYES V3. APPROVED ON MAY 16, 2025. BABOR WILL BE TRANSFERRED TO L425_GHVHW_063E_RAISE.  STOPPED ON MAY 21, 2025 DUE TO VEIN PINCHED OUT.</t>
  </si>
  <si>
    <t>REPLACEMENT OF L425_GHVHW_050E_RAISE. APPROVED ON APRIL 24, 2025.STOPPED ON MAY 21,2025 FINISHED STOPE PREPARATION CONVERT TO BREAKING.</t>
  </si>
  <si>
    <t>L425_GHVHW_050E_STOPE</t>
  </si>
  <si>
    <t>ADDITIONAL SOURCE OF ORE PRODUCTION. MP FROM L09_DPVE_059E_DE_ISL. APPROVED ON APRIL 8, 2025.STOPPED ON MAY 14, 2025. DONE STOPE PREP.</t>
  </si>
  <si>
    <t>L09_DPVE_059E_WINZE STOPE</t>
  </si>
  <si>
    <t>NITRO CD</t>
  </si>
  <si>
    <t>SPECIAL PROJECT FOR SUMP IN LEVEL 425 DSP31B. APPROVED ON APRIL 09, 2025. STOPPED ON APRIL 25, 2025. ALREADY FINISHED HEADING.</t>
  </si>
  <si>
    <t>L11_GHVFW_009E_DW</t>
  </si>
  <si>
    <t>L11_072E_ML REHAB</t>
  </si>
  <si>
    <t>ML</t>
  </si>
  <si>
    <t>L11_072E_ML_REHAB</t>
  </si>
  <si>
    <t xml:space="preserve">REPLACEMENT OF L11_DPVE_047E_STOPE. EXPLORATORY DRIVE. APPROVED ON MAY 19, 2025. TEMPORARY STOPPED ON MAY 22, 2025 TO PRIORITIZE GROUND SUPPORT INSTALLATION. </t>
  </si>
  <si>
    <t>ADDITIONAL VERTICAL DEVELOPMENT. APPROVED ON APRIL 30, 2025. STOPPED ON MAY 21, 2025 DUE TO CONSECUTIVE LOW GRADE. GEO RECOMMENDS NOT TO PULL-OUT REMAINING ORE (LOW GRADE).</t>
  </si>
  <si>
    <t xml:space="preserve">ADDITIONAL HORIZONTAL DRIVE. MP FROM 24E XCN. APPROVED ON JANUARY 22, 2025.TEMPORARY STOPPED ON MAY 16, 2025. INACCESSIBLE AREA DUE TO RAISE PREP. RESUMED ON MAY 20, 2025. ADDITIONAL MP WILL BE ADDED. L11_JV_010E_DW - STOPPED ON MAY 23,2025 DUE TO CONSECUTIVE POOR VEIN MINERALIZATION. WILL BE REPLACE BY L11_NONE_005E_XCS. </t>
  </si>
  <si>
    <t>L425_GHVHW_040E_DW</t>
  </si>
  <si>
    <t xml:space="preserve">REPLACEMENT OF L12_JVSPLIT_060E_RAISE. APPROVED ON APRIL 21, 2025.TEMPORARY STOPPED ON MAY 6, 2025 DUE TO LOW PERFORMING GROUP AND TRANSFER AS STRIKING FORCE MP. RESUMED ON MAY 17, 2025. AT THE SAME TIME CHANGED TEAM LEADER FROM BALANGHIG 1 TO DUHIG, P4. STOPPED ON MAY 23. 2025. VEIN WAS CUT BY A NORTH-SOUTH TREND FAULT STRUCTURES. </t>
  </si>
  <si>
    <t>L12_JVHW_057E_DW</t>
  </si>
  <si>
    <t>REPLACEMENT OF L11_NONE_039E_XCN TO EXPLORE LATERAL EXTENSION OF THE INTERCEPTED VEIN. APPROVED ON MARCH 21, 2025. STOPPED ON MAY 23,2025 DUE TO OFF-VEIN WITH 10 METERS REMAINING BALANCE TO BREAKTHROUGH TO L12_DPVE_045E_RAISE.</t>
  </si>
  <si>
    <t>L12_JVFW_041E_RAISE</t>
  </si>
  <si>
    <t xml:space="preserve">HORIZONTAL DEVELOPMENT TO TARGET VEIN PROJECTION OF GHVFW. APPROVED ON MAY 6, 2025. MP FROM L12_GHVFW_032E_RAISE. STOPPED ON MAY 24, 2025. ALREADY REACHED THE TARGET DRILLING INTERCEPT. CONVERTED ON-VEIN. </t>
  </si>
  <si>
    <t>L12_GHVFW_035E_DW</t>
  </si>
  <si>
    <t>L12_DPVE_055E_DW</t>
  </si>
  <si>
    <t xml:space="preserve">ADDITIONAL VERTICAL DEVELOPMENT. APPROVED ON APRIL 04, 2025. 1ST SHIFT. STOPPED ON MAY 14, 2025. DUE TO PINCHED OUT VEIN. </t>
  </si>
  <si>
    <t>L11_NONE_005E_XCS</t>
  </si>
  <si>
    <t>L11_DPVE_039E_RAISE</t>
  </si>
  <si>
    <t>L425_NONE_067E_CHAMBER</t>
  </si>
  <si>
    <t xml:space="preserve">REPLACEMENT OF L425_GHVHW_061E_DE. APPROVED ON APRIL 16, 2025. CHANGE TEAM LEADER FROM CAPPUYO 4 TO OLIVEROS 4 ON APRIL 21,2025 TO AVOID GROUP CONFLICT. TEMPORARILY STOPPED ON APRIL 28, 2025. MP WILL BE TRANSFERRED AND PRIORITIZING EXPLOSIVE MAGAZINE. RESUMED ON MAY 03, 2025. TEMPORARY STOPPED ON MAY 27, 2025. TO PRIORITIZE L425_043E_DE. </t>
  </si>
  <si>
    <t>L425_JV_043E_DE</t>
  </si>
  <si>
    <t xml:space="preserve">REPLACEMENT OF L12_JVHW_038E_STOPE PREP. APPROVD ON APRIL 01, 2025. 2ND SHIFT. ALREADY TRAVERSED, CONVERT TO PULL-OUT CLEANING ON MAY 20, 2025.  STOPPED ON MAY 28, 2025. DUE TO CONSECUTIVE LOW ASSAY GRADES ON BOTH CUT AND BULK SAMPLES. HAVING AN ATTAINMENT OF 95% PULL-OUT. GEO RECOMMENDS NOT TO PULL-OUT THE REMAINING MINECARS. </t>
  </si>
  <si>
    <t xml:space="preserve">REPLACEMENT OF L12_JVHW_067E_STOPE PREP. APPROVED ON APRIL 11, 2025. ALREADY TRAVERSED, CONVERT TO PULL-OUT CLEANING ON MAY 20, 2025. STOPPED ON MAY 28, 2025. DUE TO CONSECUTIVE LOW ASSAY GRADES ON BOTH CUT AND BULK SAMPLES. HAVING AN ATTAINMENT OF 99% PULL-OUT. GEO RECOMMENDS NOT TO PULL-OUT THE REMAINING MINECARS. </t>
  </si>
  <si>
    <t xml:space="preserve">ADDITIONAL VERTICAL DEVELOPMENT TO EXPLORE UP-DIP EXTENSTION OF THE DPVE VEIN. MP FROM L09_DPVE_015E_RAISE. APPROVED ON APRIL 9, 2025. STOPPED ON MAY 23, 2025. DUE TO CONSECUTIVE LOW ASSAY GRADES ON BOTH CUT AND BULK SAMPLES. </t>
  </si>
  <si>
    <t xml:space="preserve">REPLACEMENT OF L09_GHVHW_029W_DW. APPROVED ON APRIL 16, 2025. EXPLORATORY DRIVE. RENAMED FROM L09_GHVHW_024W_DWTO L09_GHVHW_024W_DE FOR PROPER WORKPLACE POSITIONING. APPROVED ON APRIL 26, 2025. STOPPED ON MAY 29, 2025. DUE TO CONSECUTIVE LOW ASSAY GRADES ONBOTH AND BULK SAMPLES. TO BE REPLACED WITH L09_GHVSPLIT_031W_DW. </t>
  </si>
  <si>
    <t>L09_GHVSPLIT_031W_DW</t>
  </si>
  <si>
    <t xml:space="preserve">WORKPLACE FROM UNMINED AREA. ADVICE TO IMMEDIATELY STOPPED IF RESULTED TO CONSECUTIVE LOW GRADE AFTER 10 METERS ADVANCE. MP FROM L09_GHV_034W_DW.  APPROVED ON APRIL 14,2025. TEMPORARY STOPPED ON APRIL 29, 2025. FOR PREPARATION AND INSTALLATION ON SLUSHER. RESUMED ON MAY 6, 2025. DONE INSTALLATION OF SLUSHER. STOPPED ON MAY 28, 2025. DUE TO CONSECUTIVE LOW ASSAY GRADES ONBOTH AND BULK SAMPLES.  </t>
  </si>
  <si>
    <t>L425_GHVSPLIT_064E_STOPE</t>
  </si>
  <si>
    <t xml:space="preserve">ADDITIONAL STOPE ORE. APPROVED ON APRIL 11, 2025. STOPPED ON MAY 28, 2025. CONVERTED TO BREAKING. </t>
  </si>
  <si>
    <t>L425_JV_067E_DE</t>
  </si>
  <si>
    <t xml:space="preserve">REPLACEMENT OF L12_NONE_075E_XCS. DEVELOP JVHW DRILL HOLE INTERCEPT L12-73-004 DRILL HOLE. APPROVED ON MAY 14,2025. STOPPED ON MAY 28, 2025. DUE TO PINCHED OUT VEIN. NO FURTHER TARGET. APPROVED ON MAY 29, 2025. </t>
  </si>
  <si>
    <t>L12_JVFW_036E_RAISE</t>
  </si>
  <si>
    <t>L425_GHV_060E_DE</t>
  </si>
  <si>
    <t>REPLACEMENT OF L11_GHVHW_061E_WINZE. APPROVED ON DECEMBER 22, 2024. CHANGE TEAM LEADER FROM ALEÑAR 2 TO NITRO BB. APPROVED ON JANUARY 27, 2025. TEMPORARY STOPPED ON FEBRUARY 20, 2025 TO PRIORITIZE L11_DPVE_021E_RAISE. RESUMED ON FEBRUARY 21, 2025. TEMPORARILY STOPPED ON MARCH 18, 2025 DUE TO UNSERVICEABLE AREA. AFFECTED BY DPVE_023E_STOPE PREP. TEMPORARY STOPPED ON APRIL 01, 2025. UNSERVICEABLE AREA DUE TO ON-GOING RAISE PREP. . RESUMED AT THE SAME TIME CHANGE TEAM LEADER FROM NITRO BB TO BAÑEZ. APPROVED ON APRIL 03, 2025.TEMPORARY STOPPED DUE TO ELEVAATION CONCERN. APPROVED ON MAY 05, 2025.RESUMED ON MAY 10, 2025 AT THE SAME TIME TRANSFERRED FROM BAÑEZ TO LERIO 1.CHANGED TEAM LEADER FROM LERIO 1 TO NITRO BB FROM CORPO OF L11_DPVE_023E_STOPE (ON-GOING IPR). LERIO 1 WILL HANDLE L11_DPVE_085E_DE. STOPPED ON MAY 30, 2025. DUE TO CONSECUTIVE LOW GRADES. NOT FOR BREAKTHROUGH TOWARDS ON-LEVEL MAINLINE.</t>
  </si>
  <si>
    <t>L11_GHVFW_012E_DE</t>
  </si>
  <si>
    <t xml:space="preserve">REPLACEMENT OF L11_DPVE_074E_DW. APPROVED ON MAY 05, 2025. STOPPED ON MAY 30, 2025. DUE TO CONSECUTIVE LOW ASSAY GRADES ON BOTH CUT AND BULK SAMPLES. </t>
  </si>
  <si>
    <t>L11_NONE_003E_XCN</t>
  </si>
  <si>
    <t xml:space="preserve">ADDITIONAL VERTICAL DEVELOPMENT. APPROVED ON APRIL 28, 2025. STOPPED ON MAY 30, 2025. DUE TO CONSECUTIVE LOW ASSAY GRADES ON BOTH CUT AND BULK SAMPLES. </t>
  </si>
  <si>
    <t>L11_DPVE_037E_RAISE</t>
  </si>
  <si>
    <t xml:space="preserve">REPLACEMENT OF L10_JVSPLIT_067E_WINZE STOPE PREP. APPROVED ON MARCH 12, 2025. STOPPED BREAKING ON MAY 30, 2025. AT THE SAME TIME TRAVERSED ON THE SAME DAY. 3RD SHIFT. CONVERTED TO PULL-OUT. </t>
  </si>
  <si>
    <t xml:space="preserve">REPLACEMENT OF L12_JVSPLIT_020E_DW. APPROVED ON MAY 07, 2025.RENAMED FROM L12_JVSPLIT_040E_DW TO L12_JVSPLIT_039E_DW. TO AVOID MISCHARGING FROM L12_DPVE_040E_WINZE. APPROVD ON MAY 08, 2025. STOPPED ON MAY 28, 2025. DUE TO PINCHED OUT VEIN. DUHIG WILL HANDLE L12_DPVE_048E_STOPE PREP. </t>
  </si>
  <si>
    <t xml:space="preserve">REPLACEMENT OF L08_JV_072E_DW_ISL. APPROVED ON APRIL 14, 2025. STOPPED ON MAY 8, 2025. DONE STOPE PREP AND CONVERTED TO BREAKING. STOPPED BREAKING ON MAY 31, 2025. AT THE SAME TIME TRAVERSED ON THE SAME DAY. 2ND SHIFT. CONVERTED TO PULL-OUT. </t>
  </si>
  <si>
    <t xml:space="preserve">REPLACEMENT OF L11_DPVE_040E_STOPE. APPROVED ON MAY 02, 2025. STOPPED ON MAY 27, 2025. ALREADY FINISHED HEADING. </t>
  </si>
  <si>
    <t xml:space="preserve">HORIZONTAL DRIVE TO EXPLORE VEIN PROJECTION OF JVFW VEIN. APPROVED ON MAY 8, 2025. MP FROM L08_DPVE_008W_RAISE. CHANGE TEAM LEADER FROM NITRO AX TO CARIKITAN 3 TO FAST-TRACK THE WORKPLACE. APPROVED ON MAY 22, 2025. STOPPED ON JUNE 02, 2025. DUE TO CONSECUTIVE LOW ASSAY GRADES ONBOTH AND BULK SAMPLES. </t>
  </si>
  <si>
    <t>L08_DPVE_012W_STOPE</t>
  </si>
  <si>
    <t xml:space="preserve"> REPLACEMENT OF NITRO CB. APPROVED ON APRIL 21,2025.CHANGE TEAM LEADER FROM NITRO CB TO CARIKITAN 1 FROM L12. APPROVED ON MAY 19, 2025. STOPPED PREPARATION ON MAY 29, 2025. CONVERTED TO STOPEBREAK. </t>
  </si>
  <si>
    <t>L08_GHVFW_029E_DW</t>
  </si>
  <si>
    <t xml:space="preserve">SPECIAL PROJECT. COUNTER DRIVE TO ACCESS THE PROPOSED OREPASS OF LEVEL 8 TO LEVEL 9. APPROVED ON APRIL 30, 2025. STOPPED ON JUNE 03, 2025. ON-GOING CLEANING AND GROUND SUPPORT INSTALLATION REHAB MAINLINE AFTER BREAKTHROUGH FOR L08_OREPASS PURPOSES. </t>
  </si>
  <si>
    <t xml:space="preserve">ADDITIONAL SOURCE OF GOOD ORE. MANPOWER FROM L09_DPVE_006E_DW_ISL. APPROVED ON APRIL 24, 2025. SILL. L09_GHVFW_037W_ROBBING NITRO BS. TEMPORARY STOPPED ON MAY 6, 2025 TO PRIORITIZE ML CLEANING AND REHAB. RESUMED ON MAY 8, 2025. ALREADY DONE CLEANING AND REHAB. STOPPED ON JUNE 03, 2025. DUE TO CONSECUTIVE LOW ASSAY GRADES ON BOTH AND BULK SAMPLES. </t>
  </si>
  <si>
    <t>L09_NONE_091E_XCS</t>
  </si>
  <si>
    <t xml:space="preserve">REPLACEMENT OF L12_DPVE_050E_DW. APPROVED ON MARCH 14, 2025.TEMPORARY STOPPED ON MAY 05, 2025. MANPOWER CONVERTED AS STRIKING FORCE DUE TO POOR PERFORMANCE.RESUMED ON MAY 14, 2025. AT THE SAME TIME CHANGE TEAM LEADER FROM NITRO BC TO BALANGHIG 2. STOPPED ON JUNE 04, 2025. ALREADY FINISHED HEADING. PROCEED TO STOPE PREP. </t>
  </si>
  <si>
    <t>L12_DPVE_052E_STOPE PREP</t>
  </si>
  <si>
    <t xml:space="preserve">REPLACEMENT OF L425_NONE_050E_XCS. SPECIAL PROJECT FOR MECHANICAL AND BATTERY CHAMBER. CHANGED TEAM LEADER FROM OLIVEROS 2 TO MARTINEZ. MP OF OLIVEROS 2 HAS BEEN TRANSFERRED TO L425_GHVSPLIT_064E_STOPE PREP. APPROVED ON APRIL 25, 2025. STOPPED ON JUNE 06, 2025. ALREADY FINISHED HEADING. </t>
  </si>
  <si>
    <t xml:space="preserve">REPLACEMENT OF L12_DPVE_046E_STOPE PREP. APPROVED ON JANUARY 15, 2025 (3RD SHIFT).TEMPORARY STOPPED BREAKING ON MAY 19, 2025 DUE TO CONTINUOUS SLABBING. FOR SAFETY EVALUATION AND JOINT INSPECTION. RESUMED ON MAY 20, 2025. UPON ASSESSMENT OF NPRI OPS THEY WILL RESUME BREAKING AT THE EAST MANWAY SIDE ONLY. STOPPED BREAKING ON JUNE 04, 2025. AT THE SAME TIME TRAVERSED ONT HE SAME DAY. CONVERTED TO PULL-OUT CLEANING. </t>
  </si>
  <si>
    <t xml:space="preserve">ADDITIONAL HORIZONTAL DEVELOPMENT. APPROVED ON APRIL 30, 2025. STOPPED ON JUNE 5, 2025. DUE TO CONSECUTIVELY PRODUCING BELOW CUT-OFF GRADE AND POOR VEIN MINERALIZATION. </t>
  </si>
  <si>
    <t xml:space="preserve">REPLACEMENT OF L11_DPVE_002E_DW. APPROVED ON MAY 16, 2025. EXPLORATORY DRIVE. STOPPED ON JUNE 5, 2025. DUE TO CONSECUTIVELY PRODUCING BELOW CUT-OFF GRADE AND POOR VEIN MINERALIZATION. </t>
  </si>
  <si>
    <t>L425_GHVSPLIT_051E_STOPE PREP</t>
  </si>
  <si>
    <t>REPLACEMENT OF L12_JV_033E_STOPE PREP. APPROVED ON MARCH 15, 2025. STOPPED BREAKING ON JUNE 06, 2025. AT THE SAME TIME TRAVERSED ON THE SAME DAY. CONVERTED TO PULL-OUT TODAY.</t>
  </si>
  <si>
    <t xml:space="preserve">REPLACEMENT OF L11_GHVHW_069E_DE. APPROVED ON JANUARY 27, 2025. TEMPORARY STOPPED ON JANUARY 30, 2025 TO PRIORITIZE L11_GHV_058E_WINZE. RESUMED ON MAY 8,2025. FOR PREPARATION AND INSTALLATION OF RAILS BACK-UP OF L11_DPVE_047E_STOPE WIDENING ALONG MAINLINE WILL BE CONDUCTED NO SET QUOTA UNTIL THE PREPARATION WILL BE FINISHED AFTER 2 DAYS.TEMPORARY STOPPED ON MAY 17, 2025. DONE WIDENING FOR TURN-OUT PREPARATION. WILL RESUME ONCE L11_DPVE_047E_STOPE DECLARED MINED OUT. RESUMED ON MAY 19, 2025. MP FROM L11_DPVE_047E_STOPE. STOPPED ON JUNE 5,2025 DUE TO NARROW VEIN STRUCTURE WHICH EXHIBITS POOR VEIN MINERALIZATION. </t>
  </si>
  <si>
    <t>L11_GHVSPLIT_021E_DE</t>
  </si>
  <si>
    <t xml:space="preserve">VERTICAL DEVELOPMENT DRIVE TO EXPLORE UP-DIP EXTENSION OF THE VEIN. MP CORPO WITH L425_JV_057E_DE. APPROVED ON APRIL 10, 2025. CHANGED TEAM LEADER FROM OLIVEROS 3 TO CARIKITAN 1. APPROVED ON APRIL 14, 2025. TEMPORARY STOPPED ON MAY 14, 2025. DUE TO MEDICAL CASE; MP WILL BE TRANSFERRED BACK TO L08. RESUMED AT THE SAME TIME CHANGED TEAM LEADER FROM CARIKITAN 1 TO REBOTE 2 FROM L425_JVHW_059E_DE. APPROVED ON MAY 15, 2025. STOPPED ON JUNE 06, 2025. ALREADY MADE A BREAKTHROUGH. </t>
  </si>
  <si>
    <t xml:space="preserve">ADDITIONAL VERTICAL DEVELOPMENT. APPROVED ON FEBRUARY 20, 2025. TEMPORARY STOPPED ON MARCH 13, 2025. TO PRIORITIZE L12_GHVSPLIT_065E_RAISE. RESUMED ON MAY 07, 2025. AT THE SAME TIME CHANGE TEAM LEADER FROM NITRO BF 5 TO CAYMAN 3. RENAMED ALSO FROM L12_GHVHW_075E_RAISE TO L12_GHVHW_077E_RAISE. STOPPED ON JUNE 06, 2025. DUE TO CONSECUTIVE LOW ASSAY GRADE FLOORS. </t>
  </si>
  <si>
    <t xml:space="preserve">ADDITIONAL WORKING PLACE FOR GROUP. APPROVED ON DECEMBER 18, 2024.TEMPORARILY STOPPED ON JANUARY 20, 2025. LACK OF MANPOWER TO OPERATE THE HEADING.RESUMED ON MAY 07, 2025. AT THE SAME TIME CHANGE TEAM LEADER FROM NITRO BM 2 TO NITRO BO 2. RENAMED ALSO FROM L12_GHV_053E_RAISE TO L12_GHV_054E_RAISE. STOPPED ON JUNE 06, 2025. DUE TO CONSECUTIVE LOW ASSAY GRADE FLOORS. </t>
  </si>
  <si>
    <t xml:space="preserve">ADDITIONAL HORIZONTAL DRIVE TO EXPLORE WESTERN LATERAL EXTENSION OF DPVE VEIN. APPROVED ON MAY 21, 2025. MP FROM L12_DPVE_042E_STOPE. STOPPED ON JUNE 06, 2025. DUE TO PINCHED OUT VEIN. NO FURTHER TARGETS. </t>
  </si>
  <si>
    <t>MAINLINE REHAB TO ACCESS THE AREA OF THE PROPOSE WP L11_GHVHW_072E_DE_ISL. APPROVED ON MAY 22, 2025. TEMPORARY STOPPED ON JUNE 07, 2025. MANPOWER WILL BE TRANSFERRED TO L425.</t>
  </si>
  <si>
    <t>L12_JVHW_063E_DE</t>
  </si>
  <si>
    <t>L12_GHVSPLIT_069E_RAISE</t>
  </si>
  <si>
    <t>L425_DPVE_035E_DW</t>
  </si>
  <si>
    <t xml:space="preserve">REPLACEMENT OF L08_DPVE_020W_STOPE PREP. APPROVED ON FEBRUARY 15, 2025. STOPPED BREAKING ON JUNE 7, 2025 AND CONVERTED TO PULL-OUT CLEANING. ALREADY TRAVERSE. </t>
  </si>
  <si>
    <t xml:space="preserve">REPLACEMENT OF L08_JV_072E_DW_ISL. APPROVED ON APRIL 14, 2025. STOPPED ON MAY 8, 2025. DONE STOPE PREP AND CONVERTED TO BREAKING. STOPPED BREAKING ON MAY 31, 2025. AT THE SAME TIME TRAVERSED ON THE SAME DAY. 2ND SHIFT. CONVERTED TO PULL-OUT. STOPPED ON JUNE 9, 2025. ALREADY MINED-OUT WITH 138% PULL-OUT ATTAINMENT. </t>
  </si>
  <si>
    <t>L08_JV_073E_ROBBING</t>
  </si>
  <si>
    <t>L12_DPVE_056E_RAISE</t>
  </si>
  <si>
    <t>L425_GHV_038E_DW</t>
  </si>
  <si>
    <t xml:space="preserve">ADDITIONAL WORKPLACE FOR GROUP. APPROVED ON AUGUST 09, 2024. GROUP WILL ALSO HANDLE L425_GHV_054E_DE AT THE SAME TIME. TEMPORARY STOPPED ON NOVEMBER 08,2024. INSUFFICIENT MANPOWER. RESUMED ON DECEMBER 07, 2024. AT THE SAME TIME CHANGE TEAM LEADER FROM CAPPUYO 3 TO REBOTE. TEMPORARY STOPPED ON DECEMBER 11, 2024. TO PRIORITIZE L425_NONE_048E_XCS BREAKTHROUGH TO DSP 31A. RESUMED ON DECEMBER 14, 2024. TEMPORARY STOPPED ON JANUARY 02, 2025 TO PRIORITIZE L425_GHVHW_045E_RAISE. RESUMED ON FEBRUARY 13, 2025. TEMPORARY STOPPED ON MAY 29, 2025. TO PRIORITIZE L425_GHV_045E_RAISE. RESUMED ON JUNE 05, 2025. ALREADY DONE RAISE PREPARATION. STOPPED ON JUNE 07. 2025. DUE TO PINCHED OUT VEIN. NO FURTHER TARGETS. </t>
  </si>
  <si>
    <t xml:space="preserve">REPLACEMENT OF L03_JV_040W_ML CLEANINING. APPROVED ON OCTOBER 30, 2024. TEMPORARY STOPPED ON NOVEMBER 22, 2024 DUE TO COLLAPSED ON BAGUIO SHAFT AREA. FOR EVALUATION. 
RESUMED ON MAY 03, 2025. STOPPED ON JUNE 10, 2025. CHANGE STATUS TO ML CLEANING. 
</t>
  </si>
  <si>
    <t xml:space="preserve">ADDITIONAL VERTICAL DEVELOPMENT. APPROVED ON MAY 07, 2025. STOPPED ON JUNE 7, 2025 DUE TO CONSECUTIVE LOW GRADE. </t>
  </si>
  <si>
    <t>L11_GHVHW_077E_DE</t>
  </si>
  <si>
    <t>L425_GHVHW_066E_STOPE</t>
  </si>
  <si>
    <t>REPLACEMENT OF L12_DPVE_046E_STOPE PREP. APPROVED ON JANUARY 15, 2025 (3RD SHIFT).TEMPORARY STOPPED BREAKING ON MAY 19, 2025 DUE TO CONTINUOUS SLABBING. FOR SAFETY EVALUATION AND JOINT INSPECTION. RESUMED ON MAY 20, 2025. UPON ASSESSMENT OF NPRI OPS THEY WILL RESUME BREAKING AT THE EAST MANWAY SIDE ONLY. STOPPED BREAKING ON JUNE 04, 2025. AT THE SAME TIME TRAVERSED ONT HE SAME DAY. CONVERTED TO PULL-OUT CLEANING. STOPPED ON JUNE 06, 2025. ALREADY FINISHED HEADING. REMAINING MINECARS ARE UNSAFE TO PULL-OUT. STOPPED ON JUNE 07, 2025. WITH 88% PULL-OUT ATTAINMENT. REMAINING MINECARS ARE NOT ARECOMMENDED TO PULL-OUT DUE TO UNSAFE CONDITION.</t>
  </si>
  <si>
    <t>STOPPED ON MAY 14, 2025. ALREADY FINISH HEADING.</t>
  </si>
  <si>
    <t>L03_JV_043W_ML CLEANING</t>
  </si>
  <si>
    <t>L12_NONE_017E_XCS</t>
  </si>
  <si>
    <t xml:space="preserve">REPLACEMENT OF L12_JV_057E_STOPE. APPROVED ON MARCH 24, 2025. STOPPED ON JUNE 09, 2025. ALREADY MADE A BREAKTHROUGH. 
</t>
  </si>
  <si>
    <t xml:space="preserve">ADDITIONAL WORKPLACE FOR GROUP. EXTENSION OF L-425 MAINLINE NORTH TO TARGET JVHW AND DPVE PROJECTIONS. APPROVED ON AUGUST 19, 2024. TEMPORARY STOPPED ON DECEMBER 24, 2024 DUE TO CONGESTED MUCK FROM L425_NONE_035E_WIDENING. RESUMED ON JANUARY 03, 2025. STOPPED ON JUNE 11, 2025. ALREADY REACHED THE TARGET. </t>
  </si>
  <si>
    <t xml:space="preserve">REPLACEMENT OF L11_DPVE_023E_STOPE PREP. APPROVED ON APRIL 03, 2025. STOPPED BREAKING ON JUNE 11, 2025. AT THE SAME TIME TRAVERSED ON THE SAME DAY. CONVERTED TO PULL-OUT CLEANING TODAY. </t>
  </si>
  <si>
    <t>L425_DPVE_036E_DE</t>
  </si>
  <si>
    <t>L425_JV_037E_DW</t>
  </si>
  <si>
    <t xml:space="preserve">ADDITIONAL HORIZONTAL DEVELOPMENT. WITH 30 METERS DISTANCE TO 35E SHAFT EXCLUSION ZONE. APPROVED ON MAY 16, 2025. STOPPED ON JUNE 11, 2025. DUE TO PINCHED OUT VEIN.  </t>
  </si>
  <si>
    <t xml:space="preserve">HORIZONTAL DEVELOPMENT TO TARGET THE UPDIP EXTENSION OF L11_DPVE_014E_STOPE FILL RAISE. APPROVED ON APRIL 24, 2025. MP FROM L10_DPVE_082E_DW. STOPPED ON MAY 24, 2025. ALREADY REACHED ITS PROPOSED TARGET. </t>
  </si>
  <si>
    <t xml:space="preserve">REPLACEMENT OF L10_GHVHW_012W_DE. EXPLORATORY RAISE. APPROVED ON MAY 15, 2025.RECORRECT TEAM LEADER ORIGINALLY FROM NITRO BD NOT NITRO AY. STOPPED ON JUNE 07, 2025. DUE TO LOW ASSAY GRADES ON BOTH CUT AND BULK SAMPLES. </t>
  </si>
  <si>
    <t xml:space="preserve">ADDITIONAL HORIZONTAL DEVELOPMENT. APPROVED ON MAY 05, 2025.TRANSFER FROM NITRO BD TO NITRO AY ON MAY 8, 2025 FORMER GROUP WILL FOCUS ON THEIR OTHER WP L10_GHVHW_012W_DE. STOPPED ON JUNE 04, 2025. DUE TO LOW ASSAY GRADES ON BOTH CUT AND BULK SAMPLES. </t>
  </si>
  <si>
    <t>L12_GHVHW_071E_RAISE</t>
  </si>
  <si>
    <t>L08_NONE_038E_XCN</t>
  </si>
  <si>
    <t>L425_GHVHW_062E_DE</t>
  </si>
  <si>
    <t xml:space="preserve">HORIZONTAL DEVELOPMENT TO EXPLORE LATERAL EXTENSION OF DPVE VEIN AT 16W POSITION. APPROVED ON MAY 26, 2025. MP FROM L10_NONE_017E_XCN. STOPPED ON JUNE 13, 2025. DUE TO CONSECUTIVE LOW ASSAY GRADE ON BOTH CUT AND BULK SAMPLES. NO FURTHER TARGETS. </t>
  </si>
  <si>
    <t xml:space="preserve">HORIZONTAL DRIVE TO EXPLORE LATERAL EXTENSION OF THE GHVFW VEIN PROJECTION. APPROVED ON MAY 22, 2025. MP FROM L11_GHVFW_011E_RAISE. STOPPED ON JUNE 13, 2025. DUE TO CONSECUTIVE LOW ASSAY GRADE ON BOTH CUT AND BULK SAMPLES. NO FURTHER TARGETS. </t>
  </si>
  <si>
    <t>L425_NONE_039E_XCN</t>
  </si>
  <si>
    <t>L11_DPVE_025E_RAISE</t>
  </si>
  <si>
    <t xml:space="preserve"> REPLACEMENT OF L12_JV_031E_STOPE. APPROVED ON MAY 07, 2025. STOPPED ON JUNE 16, 2025, CONVERT TO ON-VEIN DRIVE. </t>
  </si>
  <si>
    <t>L12_DPVE_048E_STOPE</t>
  </si>
  <si>
    <t xml:space="preserve">ADDITIONAL STOPE ORE TONNAGE. APPROVED ON MAY 07, 2025. CHANGED TEAM LEADER FROM NITRO BA 2 TO DUHIG, P2. NITRO BA 2 WILL HANDLE MISCELLANEOUS ACTIVITIES. APPROVED ON MAY 31, 2025. STOPPED ON JUNE 16, 2025, DONE STOPE PREP. </t>
  </si>
  <si>
    <t>L425_GHVHW_057E_DE</t>
  </si>
  <si>
    <t xml:space="preserve">ADDITIONAL VERTICAL DEVELOPMENT. BLOCKING RAISE OF L12_JVFW_047E_RAISE. APPROVED ON MAY 24, 2025. STOPPED ON JUNE 17, 2025 DUE TO CONSECUTIVE LOW GRADE AND PINCHED-OUT VEIN. GEO RECCOMENDS NOT TO PULL-OUT REMAINING MUCK. </t>
  </si>
  <si>
    <t xml:space="preserve">REPLACEMENT OF L12_JVHW_067E_STOPE. EXPLORE THE WEST LATERAL OF DPVE 59E POSITION. APPROVED ON MAY 21, 2025. CHANGE TEAM LEADER FROM NITRO BP TO DUHIG, P4. NITRO BP WILL HANDLE L12_JVFW_041E_RAISE. AT THE SAME TIME CHANGE NAME HEADING FROM L12_DPVE_059E_DW TO L12_DPVE_055E_DW TO AVOID MISCHARGING FROM L12_GHVFW_059E_STOPE. APPROVED ON MAY 24, 2025. STOPPED ON JUNE 17, 2025. VEIN WAS CUT BY A FAULT. </t>
  </si>
  <si>
    <t>L11_GHVHW_076E_DE</t>
  </si>
  <si>
    <t xml:space="preserve">ADDITIONAL HORIZONTAL DRIVE. APPROVED ON APRIL 01, 2025. RENAMED FROM L425_JVHW_058E_DE TO L425_JVHW_059E_DE. TO AVOID MISCHARGING FROM L425_GHVSPLIT_058E_RAISE. APPROVED ON APRIL 04, 2025. CHANGED TEAM LEADER FROM NITRO BK TO REBOTE 2. MP WILL BE TRANSFERRED TO A NEW RAISE WP. TEMPORARY STOPPED ON MAY 14, 2025. GROUP WILL PRIORITIZE L425_JV_055E_RAISE. RESUMED ON MAY 21,2025 AT THE SAME TIME TRANSFER FROM REBOTE 2 TO OLIVEROS 4. STOPPED ON JUNE 18, 2025 DUE TO OFF-VEIN. </t>
  </si>
  <si>
    <t xml:space="preserve">REPLACEMENT OF L11_DPVE_036E_RAISE. BLOCKING RAISE. APPROVED ON MAY 31, 2025. STOPPED ON JUNE 18, 2025 DUE TO CONSECUTIVE LOW GRADE. GEO RECCOMENDS NOT TO PULL-OUT REMAINING MUCK. STOPPED ON JUNE 18, 2025 DUE TO CONSECUTIVE LOW GRADE. GEO RECCOMENDS NOT TO PULL-OUT REMAINING MUCK. </t>
  </si>
  <si>
    <t xml:space="preserve">REPLACEMENT OF L11_DPVE_039E_DE. BLOCKING RAISE OF L11_DPVE_036E_RAISE. APPROVED ON MAY 24, 2025. STOPPED ON JUNE 18, 2025 DUE TO CONSECUTIVE LOW GRADE. GEO RECCOMENDS NOT TO PULL-OUT REMAINING MUCK. </t>
  </si>
  <si>
    <t xml:space="preserve">SPECIAL PROJECT FOR EXPLOSIVE MAGAZINE. APPROVED ON APRIL 26, 2025. CHANGED TEAM LEADER FROM OLIVEROS 1 TO BABOR 3. AS TEMPORARILY REPLACEMENT FOR L425_GHVHW_066E_STOPE PREP. STOPPED ON JUNE 18, 2025. ALREADY FINISH HEADING. </t>
  </si>
  <si>
    <t xml:space="preserve">SPECIAL PROJECT - ELECTIRAL CHAMBER. APPROVED ON APRIL 23, 2025. STOPPED ON JUNE 18, 2025. ALREADY FINISH HEADING. </t>
  </si>
  <si>
    <t xml:space="preserve">SPECIAL PROJECT FOR DRILLING CHAMBER AT L425. APPROVED ON MAY 27, 2025. STOPPED ON JUNE 18, 2025. ALREADY FINISH HEADING. </t>
  </si>
  <si>
    <t xml:space="preserve">EXPLORATORY HORIZONTAL DEVELOPMENT DRIVE TO EXPLORE THEWEST SIDE OF THE INTERCEPTED VEIN OF 039E_XCN. APPROVED ON APRIL 7, 2025, MP FROM L11_DPVE_024E_RAISE. TEMPORARILY STOPPED ON APRIL 28, 2025. DUE TO INACCESSIBLE AREA - ON-GOING RAISE PREP.RESUMED ON MAY 06, 2025. 1ST SHIFT. AT THE SAME TIME CHANGED TEAM LEADER FROM NITRO BB TO BAÑEZ. CHANGE TEAM LEADER FROM BAÑEZ TO LERIO 1. MP OF BAÑEZ WILL HANDLE L11_NONE_090E_XCS. APPROVED ON MAY 26, 2025. TEMPORARY STOPPED ON JUNE 02, 2025. INACCESSIBLE AREA DUE TO NEWLY OPENED L11_DPVE_037E_RAISE. RESUMED ON JUNE 06, 2025. AT THE SAME TIME CHANGED TEAM LEADER FROM LERIO 1 TO NITRO BB. STOPPED ON JUNE 12, 2025. ALREADY REACHED RECOMMENDED STRIKE LENGYTH AND INTERCEPTED THE DH TARGET PRODUCING BELOW CUT-OFF GRADE. </t>
  </si>
  <si>
    <t xml:space="preserve">REPLACEMENT OF L12_GHV_072E_STOPE PREP. APPROVED MARCH 13, 2025. AT THE SAME TIME CHANGE TEAM LEADER FROM NITRO BQ TO NITRO BM DUE TO INADEQUATE SKILL/KNOWLEDGE TO OPERATE. STOPPED BREAKING ON JUNE 18, 2025. ALREADY TRAVERSED. CONVERTED TO PULL-OUT CLEANING. </t>
  </si>
  <si>
    <t>L10_NONE_025W_XCS</t>
  </si>
  <si>
    <t>L12_JVHW_049E_RAISE</t>
  </si>
  <si>
    <t>L12_DPVE_055E_RAISE</t>
  </si>
  <si>
    <t>L03_NONE_043W_DW</t>
  </si>
  <si>
    <t xml:space="preserve">ML CLEANING TO ACCESS WESTERN PORTION OF BAGUIO SHAFT AREA FOR ROBBING. APPROVED ON JUNE 10, 2025. CHANGE HEADING TO L03_NONE_043W_DW. FOR WIDENING TO ACCESS ML FOR ROBBING. APPROVED ON JUNE 19, 2025. </t>
  </si>
  <si>
    <t>L11_JVHW_071E_DE_ISL</t>
  </si>
  <si>
    <t xml:space="preserve">REPLACEMENT OF L12_JVHW_061E_RAISE. APPROVED ON APRIL 04, 2025. TEMPORARY STOPPED ON APRIL 10, 2025 TO PRIORITIZE HORIZONTAL DRIVE. RESUME DON MAY 20, 2025. AT THE SAME TIME CHANGE TEAM LEADER FROM BALANGHIG 1 TO NITRO BR. BALANGHIG MP CONVERTED AS STRIKING FORCE DUE TO POOR PERFORMANCE. STOPPED ON JUNE 04, 2025. DUE TO PINCHED OUT VEIN. </t>
  </si>
  <si>
    <t>L425_NONE_059E_XCS</t>
  </si>
  <si>
    <t xml:space="preserve">ADDITIONAL VERTICAL DEVELOPMENT. APPROVED ON MARCH 26, 2025. TEMPORARY STOPPED ON APRIL 07, 2025. DUE TO 1 MINER SUSPENDED. RESUMED ON APRIL 15, 2025. 1ST SHIFT. TEMPORARILY STOPPED ON APRIL 28, 2025. MAINLINE CLOSED FOR INVESTIGATION. RESUMED AND AT THE SAME TIME CHANGED TEAM LEADER FROM CAPPUYO 4 TO BABOR. APPROVED ON MAY 16, 2025. STOPPED ON JUNE 18, 2025 ALREADY MADE A BREAKTHROUGH AT LEVEL 12. </t>
  </si>
  <si>
    <t xml:space="preserve">REPLACEMENT OF L11_GHVSPLIT_058E_DE_ISL. APPROVED ON MAY 16, 2025. STOPPED ON JUNE 20, 2025. ALREADY REACHED RECOMMENDED STRIKE LENGTH. FOR STOPE PREP. </t>
  </si>
  <si>
    <t>L11_GHVSPLIT_058E_WINZE STOPE PREP</t>
  </si>
  <si>
    <t>L425_GHVSPLIT_070E_DE</t>
  </si>
  <si>
    <t xml:space="preserve">ADDITIONAL VERTICAL DEVELOPMENT. BLOCKING RAISE. APPROVED ON JUNE 04, 2025. RENAMED FROM L12_DPVE_058E_RAISE TO L12_DPVE_056E_RAISE. TO AVOID MISCHARGING FROM L12_NONE_058E_XCS. APPROVED FROM JUNE 10, 2025. TEMPORARY STOPPED ON JUNE 21, 2025. WORKING PLACE IS UNDER INVESTIGATION DUE TO REPORTED ACCIDENT. </t>
  </si>
  <si>
    <t>REPLACEMENT OF L12_DPVE_048E_STOPE PREP. APPROVED ON JUNE 16, 2025.TEMPORARY STOPPED ON JUNE 21, 2025 DUE TO REPORTED ACCIDENT. ADJACENT WORKPLACE OF L12_DPVE_056E_RAISE.</t>
  </si>
  <si>
    <t>L08_DPVE_041E_ROBBING</t>
  </si>
  <si>
    <t>ADDITIONAL SOURCE OF GOOD ORE. MP FROM L08_JV_072E_WINZE STOPE. APPROVED ON JUNE 9, 2025. TOPSLICE.STOPPED ON JUNE 21, 2025. ALREADY MINED OUT.</t>
  </si>
  <si>
    <t>L08_DPVE_039E_WINZE</t>
  </si>
  <si>
    <t>L08_DPVE_035E_DW</t>
  </si>
  <si>
    <t>NITRO BZ 2</t>
  </si>
  <si>
    <t>REPLACEMENT OF L08_DPVE_007W_RAISE. EXPLORATORY DRIVE. APPROVED ON MAY 20, 2025. CHANGE TEAM LEADER FROM CARIKITAN TO NITRO AX. APPROVED ON MAY 22, 2025. CHANGED TEAM LEADER FROM NITRO AX TO CARIKITAN 3. MP OF NITRO AX WILL HANDLE L08_GHVFW_029E_DW. APPROVED ON JUNE 03, 2025. STOPPED ON JUNE 23, 2025 DUE TO OFF-VEIN. NO FURTHER TARGET.</t>
  </si>
  <si>
    <t>L09_DPVE_084E_WINZE STOPE</t>
  </si>
  <si>
    <t xml:space="preserve">REPLACEMENT OF L09_DPVE_084E_DE_ISL. APPROVED ON MAY 17, 2025. 3RD SHIFT. STOPPED PREPARATION ON JUNE 24, 2025. CONVERT TO BREAKING. </t>
  </si>
  <si>
    <t xml:space="preserve">REPLACEMENT OF L12_JVHW_075E_DE. EXPLORATORY RAISE. APPROVED ON MAY 30, 2025. 1ST SHIFT. STOPPED ON JUNE 23, 2025. VEIN WAS CUT BY A N-S TRENDING FAULT. </t>
  </si>
  <si>
    <t>L12_JVHW_045E_DE</t>
  </si>
  <si>
    <t>L12_NONE_070E_XCS</t>
  </si>
  <si>
    <t>CAYMAN</t>
  </si>
  <si>
    <t xml:space="preserve">REPLACEMENT OF L12_NONE_024E_XCS AS ON-VEIN DRIVE. APPROVED ON MAY 09, 2025. STOPPED ON JUNE 23, 2025. VEIN HAS PINCHED DUE TO N-S TRENDING FAULT INTERCEPT. </t>
  </si>
  <si>
    <t>L12_JVFW_040E_RAISE</t>
  </si>
  <si>
    <t xml:space="preserve">HORIZONTAL DRIVE TO EXPLORE WESTERN LATERAL EXTENSION OF THE INTERCEPTED DPVE VEIN. APPROVED ON MAY 7, 2025, 3RD SHIFT. MP FROM L10_DPVE_093E_DW. STOPPED ON JUNE 6, 2025 DUE TO OFF-VEIN. </t>
  </si>
  <si>
    <t>L10_NONE_093E_XCS</t>
  </si>
  <si>
    <t>L09_DPVE_041E_DW</t>
  </si>
  <si>
    <t>L12_GHVFW_034E_DE</t>
  </si>
  <si>
    <t>L425_GHV_042E_DE</t>
  </si>
  <si>
    <t>L425_JV_045E_DW</t>
  </si>
  <si>
    <t>L425_JV_055E_STOPE PREP</t>
  </si>
  <si>
    <t>REPLACEMENT OF L11_DPVE_023E_STOPE PREP. APPROVED ON APRIL 03, 2025. STOPPED BREAKING ON JUNE 11, 2025. AT THE SAME TIME TRAVERSED ON THE SAME DAY. CONVERTED TO PULL-OUT CLEANING TODAY. STOPPED ON JUNE 29,2025. MINED OUT WITH 111% ATTAINMENT.</t>
  </si>
  <si>
    <t>L11_NONE_021E_XCN</t>
  </si>
  <si>
    <t xml:space="preserve">REPLACEMENT OF L10_DPVE_092E_DW FOR BREAKTHROUGH TO OPPOSITE MAINLINE FOR VENTILATION PURPOSES. APPROVED ON JUNE 26, 2025. STOPPED ON JUNE 30, 2025. ALREADY MADE A BREAKTHROUGH.  </t>
  </si>
  <si>
    <t>L08_DPVE_016W_WINZE</t>
  </si>
  <si>
    <t>L12_NONE_029E_XCS</t>
  </si>
  <si>
    <t>L12_NONE_073E_XCN</t>
  </si>
  <si>
    <t>L10_DPVE_091E_RAISE</t>
  </si>
  <si>
    <t>L10_NONE_065E_SUMP</t>
  </si>
  <si>
    <t>L12_GHVSPLIT_065E_STOPE</t>
  </si>
  <si>
    <t xml:space="preserve">ADDITIONAL SOURCE OF ORE PRODUCTION. APPROVED ON MAY 15, 2025. CHANGED TEAM LEADER FROM NITRO BI TO NITRO BR. APPROVED ON JUNE 06, 2025. STOPPED PREPARATION ON JUNE 28, 2025. CONVERTED TO BREAKING. </t>
  </si>
  <si>
    <t>L425_DPVE_046E_RAISE</t>
  </si>
  <si>
    <t xml:space="preserve">REPLACEMENT OF L12_DPVE_055E_DW EXPLORE UP DIP EXTENSION OF L12 DPVE 055E DW. APPROVED ON JUNE 19, 2025. TEMPORARY STOPPED ON JUNE 26, 2025. DUE TO NO MANPOWER ASSIGNED.  </t>
  </si>
  <si>
    <t xml:space="preserve">ADDITIONAL HORIZONTAL DRIVE. TO DRIVE ANOTHER VEIN INTERCEPT. APPROVED ON MAY 30, 2025. TEMPORARY STOPPED ON JUNE 02, 2025. TO PRIORITIZE L425_GHV_054E_DE. RESUMED ON JUNE 9, 2025 AT THE SAME TIME TRANSFERRED FROM DELOS REYES TO REBOTE (L425_JV_055E_RAISE). STOPPED ON JULY 02, 2025. DUE TO PINCHED VEIN AND CONSECUTIVE LOW ASSAY GRADES. </t>
  </si>
  <si>
    <t xml:space="preserve">ADDITIONAL VERTICAL DEVELOPMENT FOR FUTURE WINZE STOPE. APPROVED ON FEBRUARY 10, 2025. TEMPORARY STOPPED ON APRIL 16,2025 TO PRIORITIZED WIDENING AT 91E DRILLING CHAMBER. RESUMED ON APRIL 22, 2025 AT THE SAME TIME TRANSFER FROM ALEÑAR 2 TO COMAINGKING. STOPPED ON JUNE 26, 2025. ALREADY REACHED RECOMMENDED SLOPE HT. </t>
  </si>
  <si>
    <t>L11_DPVE_032E_DE_ISL</t>
  </si>
  <si>
    <t>L12_JVSPLIT_062E_DE</t>
  </si>
  <si>
    <t xml:space="preserve">REPLACEMENT OF L12_NONE_035E_XCN AS ON-VEIN DRIVE. APPROVED ON MAY 24, 2025. STOPPED ON JULY 02, 2025. DUE TO PINCHED OUT VEIN AND TO BE CONVERTED TO CROSSCUT TARGETTING GHV VEIN PROJECTION. </t>
  </si>
  <si>
    <t>L11_DPVE_028E_DW_ISL</t>
  </si>
  <si>
    <t>L11_JVHW_002E_DW</t>
  </si>
  <si>
    <t xml:space="preserve">REPLACEMENT OF L12_JVFW_041E_RAISE. BLOCKING RAISE OF L12_JVHW_043E_STOPE. APPROVED ON JUNE 19, 2025. STOPPED ON JULY 3,2025, 3RD SHIFT DUE TO PINCHED OUT VEIN. </t>
  </si>
  <si>
    <t>L08_JVSPLIT_027W_DW_ISL</t>
  </si>
  <si>
    <t>CAPUYAN 4</t>
  </si>
  <si>
    <t>L08_GHVFW_031E_RAISE</t>
  </si>
  <si>
    <t>NITRO BZ 1</t>
  </si>
  <si>
    <t>ADDITIONAL VERTICAL DEVELOPMENT FOR CONFIRMATION OF THE DOWN DIP EXTENSION OF DPVE VEIN AT LEVEL 425 AND FOR VENTILATION PURPOSES. APPROVED ON FEBRUARY 15, 2025. STOPPED ON JUNE 23, 2025. FINISHED HEADING.</t>
  </si>
  <si>
    <t>L12_JVHW_050E_RAISE</t>
  </si>
  <si>
    <t>L12_DPVE_028E_RAISE</t>
  </si>
  <si>
    <t>L12_NONE_036E_XCN</t>
  </si>
  <si>
    <t xml:space="preserve">HORIZONTAL DRIVE TARGETING RESERVE BLOCKS. APPROVED ON JUNE 18. 2025. STOPPED ON JULY 4, 2025 3RD SHIFT. FINISHED HEADING. </t>
  </si>
  <si>
    <t xml:space="preserve">ADDITIONAL SOURCE OF ORE PRODUCTION WITH A DESIGNED GRADE OF 4.29 GPT. APPROVED ON MAY 16, 2025. STOPPED BREAKING ON JULY 4, 2025, 3RD SHIFT. FOR STOPE TRAVERSE. </t>
  </si>
  <si>
    <t xml:space="preserve">REPLACEMENT OF L12_JV_033E_STOPE PREP. APPROVED ON MARCH 15, 2025. STOPPED BREAKING ON JUNE 06, 2025. AT THE SAME TIME TRAVERSED ON THE SAME DAY. CONVERTED TO PULL-OUT TODAY. START PULL-OUT JUNE 6 = 242.50 MC FROM JUNE 6-10. STOPPED ON JULY 2, 2025. DECLARED MINED-OUT 95% PULL-OUT ATTAINMENT. </t>
  </si>
  <si>
    <t>L12_DPVE_052E_STOPE</t>
  </si>
  <si>
    <t xml:space="preserve">REPLACEMENT OF L12_DPVE_052E_RAISE. APPROVED ON JUNE 04, 2025. STOPPED ON JULY 2, 2025, DONE PREPARATION AND CONVERTED TO BREAKING. </t>
  </si>
  <si>
    <t>L08_NONE_007E_XCS</t>
  </si>
  <si>
    <t>L12_GHVHW_063E_DW</t>
  </si>
  <si>
    <t>NITRO BO 3</t>
  </si>
  <si>
    <t xml:space="preserve">HORIZONTAL DRIVE TO EXPLORE THE WESTERN LATERAL DPVE VEIN PROJECTION AT 60E POSITION. APPROVED ON JUNE 10, 2025. MP FROM L11_072E_ML REHAB.TRANSFER OF MANPOWER FROM ALEÑAR TO NITRO BB. EFFECTIVE ON JUNE 23,2025, 2ND SHIFT. STOPPED ON JUNE 30, 2025. PINCHED OUT VEIN. NO FURTHER TARGET. </t>
  </si>
  <si>
    <t xml:space="preserve">REPLACEMENT OF L10_JVSPLIT_067E_WINZE STOPE PREP. APPROVED ON MARCH 12, 2025. STOPPED BREAKING ON MAY 30, 2025. AT THE SAME TIME TRAVERSED ON THE SAME DAY. 3RD SHIFT. CONVERTED TO PULL-OUT. STOPPED ON JULY 5, 2025. DECLARED MINED-OUT AT 95% P/O ATTAINMENT. </t>
  </si>
  <si>
    <t xml:space="preserve">REPLACEMENT OF L12_GHV_072E_STOPE PREP. APPROVED MARCH 13, 2025. AT THE SAME TIME CHANGE TEAM LEADER FROM NITRO BQ TO NITRO BM DUE TO INADEQUATE SKILL/KNOWLEDGE TO OPERATE. STOPPED BREAKING ON JUNE 18, 2025. ALREADY TRAVERSED. CONVERTED TO PULL-OUT CLEANING. STOPPED ON JULY 5, 2025. ALREADY MINED-OUT AT 108% P/O ATTAINMENT. </t>
  </si>
  <si>
    <t>L12_JVHW_064E_RAISE</t>
  </si>
  <si>
    <t>L425_JV_047E_DE</t>
  </si>
  <si>
    <t>L12_JVHW_058E_RAISE</t>
  </si>
  <si>
    <t xml:space="preserve">REPLACEMENT OF L11_JVHW_070E_STOPE PREP. APPROVED ON APRIL 23, 2025. STOPPED ON JUNE 16, 2025. FOR ISL. RESUMED FOR STOPE PULL-OUT. APPROVED ON JULY 9, 2025. </t>
  </si>
  <si>
    <t xml:space="preserve">ADDITIONAL HORIZONTAL DRIVE TO TARGET DEFINITION DRILLING INTERCEPTS. APPROVED ON MAY 24, 2025. CHANGED TEAM LEADER FROM BADBADON TO COMAINGKING. BADBADON WILL MERGED TO L11_JV_013E_RAISE. APPROVED ON MAY 27, 2025. STOPPED ON JULY 2, 2025 ALREADY REACHED THE TARGET VEIN PROJECTION. </t>
  </si>
  <si>
    <t>L11_GHVSPLIT_059E_ROBBING</t>
  </si>
  <si>
    <t xml:space="preserve">REPLACEMENT OF L11_DPVE_076E_DE. TARGETTING DRILLING  INTERCEPT L11_6E_004. APPROVED ON MAY 31, 2025. TRANSFERRED FROM DUHIG R. TO BADBADON. APPROVED ON JUNE 10, 2025. DUHIG, R GROUP WILL BE TRANSFER TO L425. STOPPED ON JULY 03, 2025 TO CONVERT ON-VEIN. INTERCEPTED 0.10m EAST-WEST VEIN. </t>
  </si>
  <si>
    <t xml:space="preserve">REPLACEMENT OF L11_JV_010E_DW. FOR EXPLORATORY DRIVE. APPROVED ON MAY 24, 2025. STOPPED ON JULY 03, 2025 TO CONVERT ON-VEIN. INTERCEPTED 0.10m ON FOOTWALL OF DRIVE. </t>
  </si>
  <si>
    <t xml:space="preserve">ADDITIONAL HORIZONTAL DRIVE TO EXPLORE THE EASTWARD EXTENSION OF VEIN. APPROVED ON JUNE 26, 2025. STOPPED ON JULY 10, 2025 DUE TO PINCHED OUT VEIN. </t>
  </si>
  <si>
    <t>L09_GHVSPLIT_032W_DW</t>
  </si>
  <si>
    <t xml:space="preserve">REPLACEMENT OF L09_DPVE_059E_WINZE STOPE PREP. APPROVED ON MAY 14, 2025. STOPPED BREAKING JULY 09,2025. FOR STOPE TRAVERSE. L09_DPVE_059E_WINZE STOPE BALANGHIG 3
CONVERTED TO PULL-OUT. APPROVED ON JULY 10,2025.
 </t>
  </si>
  <si>
    <t xml:space="preserve">REPLACEMENT OF L12_DPVE_024E_DW. APPROVED ON JUNE 06, 2025. TEMPORARY STOPPED ON JULY 4, 2025 3RD SHIFT TO PRIORITIZE L12_JVHW_064E_RAISE. </t>
  </si>
  <si>
    <t xml:space="preserve">REPLACEMENT OF L09_GHVHW_024W_DE. EXPLROATORY DRIVE. APPROVED ON MAY 29, 2025. 3RD SHIFT. STOPPED ON JULY 09, 2025. ALREADY BREAKTHROUGH TO ADJACENT DRIFT. </t>
  </si>
  <si>
    <t xml:space="preserve">REPLACEMENT OF L03_JV_014W_RAISE. APPROVED ON DECEMBER 11, 2024. TEMPORARY STOPPED ON FEBRUARY 25, 2025 TO PRIORITIZE SPECIAL PROJECT AT L03_003E_ML. RESUMED AND CONVERTED TO STOPE BREAKING. APPROVED ON MARCH 31, 2025. STOPPED BREAKING JULY 09,2025 DUE TO NO DATA ON THE UPPER AREA TOWARDS SMALL SCALE MINING ACTIVITIES. FOR STOPE TRAVERSE. </t>
  </si>
  <si>
    <t xml:space="preserve">REPLACEMENT OF L12_GHV_070E_STOPE. APPROVED ON MARCH 24, 2025. STOPPED ON APRIL 02, 2025. DUE TO CONSECUTIVE LOW ASSAY GRADES. RESUMED ON MAY 08, 2025. FOR FURTHER ASSESSMENT IN THE WORKING AREA. RENAMED FROM L12_JVFW_035E_DW TO L12_JVFW_037E_DW. TEMPORARY STOPPED ON JUNE 25, 2025. TO PRIORITIZE TH RAISE PREPARATION OF L12_JVFW_041E_RAISE. RESUMED ON JULY 2, 2025. STOPPED ON JULY 10,2025 DUE TO NO FURTHER VEIN TARGET. </t>
  </si>
  <si>
    <t xml:space="preserve">REPLACEMENT OF L09_DPVE_030E_RAISE. APPROVED ON JUNE 18, 2025. STOPPED ON JULY 10, 2025 DUE TO NEARING TO EXCLUSION ZONE OF LEVEL 8 MAGAZINE. </t>
  </si>
  <si>
    <t>L11_GHVHW_005E_DW</t>
  </si>
  <si>
    <t>L11_JVFW_060E_DW_ISL</t>
  </si>
  <si>
    <t>L12_JVSPLIT_061E_DE</t>
  </si>
  <si>
    <t xml:space="preserve">HORIZONTAL DRIVE TO EXPLORE LATERAL EXTENSION OF GHVS VEIN AT 21E POSITION. APPROVED ON JUNE 6. 2025. MP FROM L11_JV_013E_RAISE. STOPPED ON JULY 01, 2025. CONVERTED TO CROSSCUT L11_NONE_021E_XCN. </t>
  </si>
  <si>
    <t xml:space="preserve">HORIZONTAL DRIVE TO EXPLORE WEST LATERAL EXTENSION OF JVHW VEIN AT 62E POSITION.MP FROM L12_NONE_058E_XCS. APPROVED ON JUNE 16, 2025. CHANGED NAME FROM L12_JVHW_062E_DW TO L12_JVHW_062E_DE. FOR PROPER NAMING OF VEIN DIRECTION. APPROVED ON JUNE 17, 2025. RENAMED FROM L12_JVHW_062E_DE TO L12_JVSPLIT_062E_DE. FOR PROPER VEIN NAMING. APPROVED ON JULY 02, 2025. STOPPED ON JULY 08, 2025 DUE TO PINCHED OUT-VEIN. NO FURTHER TARGET. CONSECUTIVE LOW ASSAY GRADE. </t>
  </si>
  <si>
    <t>L12_JVFW_038E_RAISE</t>
  </si>
  <si>
    <t>L12_GHVSPLIT_050E_DW</t>
  </si>
  <si>
    <t xml:space="preserve">REPLACEMENT OF L08_DPVE_020W_STOPE PREP. APPROVED ON FEBRUARY 15, 2025. STOPPED BREAKING ON JUNE 7, 2025 AND CONVERTED TO PULL-OUT CLEANING. ALREADY TRAVERSE. STOPPED ON JULY 11, 2025. 106% PULL-OUT ATTAINMENT. </t>
  </si>
  <si>
    <t>L10_JVSPLIT_068E_DE_ISL</t>
  </si>
  <si>
    <t>L425_JVHW_068E_DE</t>
  </si>
  <si>
    <t>OLIVEROS 6</t>
  </si>
  <si>
    <t>L08_DPVE_010W_DW_ISL</t>
  </si>
  <si>
    <t xml:space="preserve">REPLACEMENT OF L12_JVFW_036E_RAISE. TO EXPLORE THE LATERAL EXTENSION OF THE VEIN. APPROVED ON JUNE 23, 2025. STOPPED ON JULY 12, 2025. ALREADY BREAKTHROUGH TO THE ADJACENT DRIFT. </t>
  </si>
  <si>
    <t xml:space="preserve">REPLACEMENT OF L425_GHVSPLIT_065E_DE. APPROVED ON APRL 16, 2025. EXPLORATORY DRIVE. TEMPORARY STOPPED JULY 14, 2025. TO PRIORITY L425_JVHW_043E_STOPE PREP. </t>
  </si>
  <si>
    <t>REPLACEMENT OF L11_GHVSPLIT_057E_DW_ISL. APPROVED ON JUNE 20, 2025.STOPPED ON JULY 14,2025. FOR STOPE BREAKING.</t>
  </si>
  <si>
    <t>L11_GHVSPLIT_058E_WINZE STOPE</t>
  </si>
  <si>
    <t>L08_GHVSPLIT_037E_ROBBING</t>
  </si>
  <si>
    <t>L08_JVSPLIT_021W_DW_ISL</t>
  </si>
  <si>
    <t>L08_NONE_040E_XCS</t>
  </si>
  <si>
    <t>REPLACEMENT OF L12_GHVFW_059E_STOPE PREP. APPROVED ON MARCH 26, 2025. TEMPORARY STOPPED DUE TO SAFETY CONCERN. PORTION OF HANGING WALL MOVED. APPROVED ON JULY  1, 2025. RESUMED ON JULY 4, 2025 3RD SHIFT. CONVERTED TO PULL-OUT. APPROVED ON JULY 13, 2025.</t>
  </si>
  <si>
    <t>VERTICAL DEVELOPMENT TO TARGET/ACCESS OLD MUCK AT L08_GHV_007W_STOPE FOR ROBBING. APPROVED ON MAY 15, 2025. MP FROM L08_GHV_006W_ROBBING. STOPPED ON MAY 29, 2025. ALREADY FINISHED HEADING. WILL RESUME TO ROBBING. RESUMED ON JUNE 7, 2025 TO RECOVER MUCK AT 6W ROBBING.TEMPORARY STOPPED DUE TO SAFETY EVALUATION. APPROVED ON JUNE 28, 2025.</t>
  </si>
  <si>
    <t>RobS 79</t>
  </si>
  <si>
    <t>L09_GHV_010E_WINZE</t>
  </si>
  <si>
    <t>L12_GHV_073E_ROBBING</t>
  </si>
  <si>
    <t>L12_GHVSPLIT_060E_DW</t>
  </si>
  <si>
    <t>L11_JV_009E_DW</t>
  </si>
  <si>
    <t xml:space="preserve">                             MINE PLANNING ENGINEER</t>
  </si>
  <si>
    <t xml:space="preserve">                                                                JC VILLARUEL  / MZ CUREG / RJ DAVID /JN SEMBLANTE/ JM CIRIO</t>
  </si>
  <si>
    <t xml:space="preserve">                               MINE PLANNING ENGINEER</t>
  </si>
  <si>
    <t xml:space="preserve">BLOCKING RAISE FOR EAST SIDE OF L12_GHVHW_067E_STOPE. MANPOWER FROM L12_JV_033E_STOPE. APPROVED ON JUNE 11,2025. STOPPED ON JULY 13, 2025 DUE TO CONSECUTIVE LOW ASSAY GRADE. </t>
  </si>
  <si>
    <t xml:space="preserve">REPLACEMENT OF L11_GHVSPLIT_021E_DE. TO TARGET VEIN INTERCEPT. APPROVED ON JUNE 30, 2025. STOPPED ON JULY 17, 2025. WILL BE CONVERTED TO ON-VEIN DRIVE. </t>
  </si>
  <si>
    <t>L11_GHVSPLIT_019E_DE</t>
  </si>
  <si>
    <t xml:space="preserve">ADDITIONAL WORKING PLACE. APPROVED ON JULY 16, 2025. TEMPORARY STOPPED ON JULY 17, 2025 DUE TO AVAILABILITY OF MANPOWER CURRENTLY ON CLEANING. </t>
  </si>
  <si>
    <t xml:space="preserve">VENTILATION CROSSCUT FOR ALIMAK RAISE. APPROVED ON JUNE 9, 2025. TRANSFERRED FOM NITRO CB TO CAPUYAN TO FAST-TRACK THE ALIMAK PROJECT. APPROVED ON JUNE 17, 2025. FINISHED HEADING. TURNOVER TO ALIMAK MINERS. APPROVED ON JULY 13,2025. </t>
  </si>
  <si>
    <t xml:space="preserve">REPLACEMENT OF L425_NONE_039E_XCN. APPROVED ON JULY 1, 2025. STOPPED ON JULY 17, 2025 DUE TO PINCHED OUT VEIN.  </t>
  </si>
  <si>
    <t xml:space="preserve">ADDITIONAL HORIZONTAL DRIVE WITH 30 METERS DISTANCE TO 35E SHAFT EXCLUSION ZONE. PRIORITY HEADING. APPROVED ON MAY 28, 2025. STOPPED ON JULY 17, 2025 DUE TO PINCHED OUT VEIN. </t>
  </si>
  <si>
    <t xml:space="preserve">ADDITIONAL SOURCE OF ORE PRODUCTION WITH A DESIGNED GRADE OF 4.29 GPT. APPROVED ON MAY 16, 2025. STOPPED BREAKING ON JULY 4, 2025, 3RD SHIFT. FOR STOPE TRAVERSE. MINED OUT. LAST PULL-OUT JULY 13. 110% ATTAINMENT. APPROVED JULY 18,2025. </t>
  </si>
  <si>
    <t xml:space="preserve">REPLACEMENT OF L11_GHVHW_068E_DW. EXPLORATORY DRIVE. APPROVED ON JUNE 18, 2025. STOPPED ON JUNE 24, 2025. NO FURTHER TARGETS. APPROVED ON JUNE 24, 2025. </t>
  </si>
  <si>
    <t xml:space="preserve">REPLACEMENT OF L12_DPVE_051E_STOPE PREP. APPROVED ON APRIL 28, 2025. STOPPED BREAKING ON JULY 18, 2025. </t>
  </si>
  <si>
    <t xml:space="preserve">ADDITIONAL VERTICAL DEVELOPMENT. TO EXPLORE THE VERTICAL EXTENSION OF THE VEIN. APPROVED ON JUNE 25, 2025. STOPPED ON JULY 19, 2025, HAS ENTERED L11 EXCLUSION ZONE (EXPLOSIVES MAGAZINE).  </t>
  </si>
  <si>
    <t>L09_GHV_020W_DE</t>
  </si>
  <si>
    <t>L09_GHV_019W_DW</t>
  </si>
  <si>
    <t>L11_JVFW_060E_STOPE PREP</t>
  </si>
  <si>
    <t>REPLACEMENT OF L425_GHVSPLIT_052E_STOPE PREP. APPROVED ON APRIL 7, 2025. STOPPED ON JULY 20, 2025. FOR STOPE TRAVERSE. CONVERTED TO PULL-OUT. APPROVED ON JULY 20, 2025.</t>
  </si>
  <si>
    <t xml:space="preserve">REPLACEMENT OF L11_DPVE_023E_STOPE. APPROVED ON JULY 5, 2025. 3RD SHIFT. RENAMED FROM L11_GHVFW_015E_RAISE TO L11_GHVFW_015E_DE_ISL TO PROCEED ON ISL. APPROVED ON JULY 09,2025. RENAMED FROM L11_GHVFW_015E_DE_ISL TO L11_JVFW_060_DW_ISL FOR PROPER NAMING OF VEIN TYPE AND POSITION. APPROVED ON JULY 10, 2025. STOPPED ON JULY 20, 2025. </t>
  </si>
  <si>
    <t xml:space="preserve">ADDITIONAL HORIZONTAL DEVELOPMENT. APPROVED ON JUNE 26, 2025. STOPPED ON JULY 18, 2025. PINCHED OUT VEIN. NO FURTHER TARGET AHEAD. </t>
  </si>
  <si>
    <t>L11_GHVHW_072E_ROBBING</t>
  </si>
  <si>
    <t xml:space="preserve">ADDITIONAL HORIZONTAL DRIVE TARGETTING RESERVE BLOCKS. APPROVED ON JUNE 23, 2025. STOPPED ON JULY 19, 2025 DUE TO PINCHED OUT VEIN. </t>
  </si>
  <si>
    <t>L08_DPVE_014W_DE</t>
  </si>
  <si>
    <t>L10_DPVE_098E_ROBBING</t>
  </si>
  <si>
    <t>L425_JV_055E_STOPE</t>
  </si>
  <si>
    <t xml:space="preserve">ADDITIONAL SOURCE OF ORE PRODUCTION. MANPOWER FROM L12. APPROVED ON JUNE 27, 2025.STOPPED ON JULY 21,2025 FOR STOPE BREAKING. </t>
  </si>
  <si>
    <t>L09_DPVE_043E_DE</t>
  </si>
  <si>
    <t xml:space="preserve">REPLACEMENT OF L12_JVSPLIT_062E_DE. APPROVED ON JULY 08, 2025.STOPPED ON JULY 21, 2025. ALREADY MADE A BREAKTHROUGH. </t>
  </si>
  <si>
    <t xml:space="preserve">REPLACEMENT OF L12_DPVE_028E_DW. APPROVED ON JUNE 26, 2025. TEMPORARY STOPPED TO PRIORITIZED RAISE PREP OF L12 DPVE 27E RAISE. APPROVED ON JULY  4, 2025. 3RD SHIFT. RESUMED ON JULY 6, 2025. STOPPED ON JULY 21, 2025. ALREADY REACHED THE VEIN TARGET. </t>
  </si>
  <si>
    <t>REPLACEMENT OF L12_JV_053E_RAISE. APPROVED ON JUNE 11, 2025 TO TARGET 3 DRILLING INTERCEPT JVFW.STOPPED ON JULY 21, 2025. ALREADY REACHED THE TARGET VEIN PROJECTION.</t>
  </si>
  <si>
    <t>REPLACEMENT OF L12_JVHW_063E_DE. APPROVED ON JULY 6, 2025.THIS HEADING HAS STOPPED DUE TO A LOW DIPPING VEIN STRUCTURE WITH AN AVERAGE ANGLE OF 13 DEGREES.   STOPPED ON JULY 21, 2025.</t>
  </si>
  <si>
    <t>DEVELOP RESOURCE BLOCK OF GHV WEST. APPROVED ON MARCH 14,2025. STOPPED ON APRIL 01, 2025. DUE TO CONSECUTIVE LOW ASSAY GRADES ON BOTH CUT AND BULK SAMPLES. AND FOR PRIORITIZATION OF HIGHER PAYABALITY LEVELS. RESUMED ON MAY 21, 2025 TO FURTHER EXPLORE PROJECTED VEIN AT THE SAME TIME TRAFERRED FROM FABROA 1 TO NITRO CD.THIS HEADING CONSECUTIVELY PRODUCING BELOW CUT-OFF GRADE DUE TO POOR MINERALIZATION.  STOPPED ON JULY 8, 2025.</t>
  </si>
  <si>
    <t>REPLACEMENT OF L12_GHVSPLIT_060E_DW. APPROVED ON JULY 18, 2025. 3RD SHIFT. STOPPED ON JULY 21, 2024 DUE TO LACK OF MANPOWER. EXISTING MANPOWER TRANSFERRED TO L425_JV_055E_STOPE UNDER SAME TEAM LEADER.  TEMPORARILY STOPPED DUE TO LACK OF MANPOWER. STOPPED ON JULY 21, 2025.</t>
  </si>
  <si>
    <t>REPLACEMENT OF L12_GHVFW_035E_DW. APPROVED ON JULY 3, 2025.   TEMPORARILY STOP THIS HEADING TO PRIORITIZE RAISE. STOPPED ON JULY 22, 2025.</t>
  </si>
  <si>
    <t>L12_GHVSPLIT_064E_DW</t>
  </si>
  <si>
    <t>L12_JVFW_044E_RAISE</t>
  </si>
  <si>
    <t>L12_JVHW_053E_RAISE</t>
  </si>
  <si>
    <t xml:space="preserve">L12_JVHW_053E_RAISE </t>
  </si>
  <si>
    <t>L425_GHVHW_056E_RAISE</t>
  </si>
  <si>
    <t>BANEZ</t>
  </si>
  <si>
    <t>GHVS</t>
  </si>
  <si>
    <t xml:space="preserve">HORIZONTAL DRIVE TO ACCESS ROBBING AREA ADJACENT TO 006W ROBBING. APPROVED ON JULY 6, 2025.TEMPORARY STOPPED DUE TO LACK OF MINERS. FOR SECURING THE ACTIVE WIRINGS @ OLD DRILLING CHAMBER ADJACENT TO WORKING PLACE. APPROVED ON JULY 10, 2025. RESUMED ON JULY 10, 2025. TRANSFER OF MANPOWER FROM FERNANDEZ TO CAPUYAN. APPROVED ON JULY 16,2025. FOR SURVEY.  STOPPED ON JULY 22, 2025. </t>
  </si>
  <si>
    <t xml:space="preserve">REPLACEMENT OF L425_JV_067E_DE. APPROVED ON JUNE 29, 2025. STOPPED ON JULY 23, 2025 DUE TO PINCHED OUT VEIN. </t>
  </si>
  <si>
    <t xml:space="preserve">ADDITIONAL HORIZONTAL DRIVE. MP CORPO WITH L425_NONE_039E_XCN. APPROVED ON JUNE 28, 2025. STOPPED ON JULY 23, 2025 DUE TO PINCHED OUT VEIN. </t>
  </si>
  <si>
    <t>BANEZ 2</t>
  </si>
  <si>
    <t>L425_JVFW_048E_RAISE</t>
  </si>
  <si>
    <t>L425_DPVE_033E_RAISE</t>
  </si>
  <si>
    <t>L425_GHV_067E_DE</t>
  </si>
  <si>
    <t>L09_GHVSPLIT_017E_WINZE</t>
  </si>
  <si>
    <t>L10_GHV_024W_DE</t>
  </si>
  <si>
    <t>L10_GHVFW_028W_RAISE</t>
  </si>
  <si>
    <t xml:space="preserve">FOR BACK SWITCH PURPOSES, 2-3 BLAST ONLY APPROVED ON JULY 21, 2025. STOPPED ON JULY 25, 2025. ALREADY FINISHED HEADING. </t>
  </si>
  <si>
    <t>L12_DPVE_018E_DW</t>
  </si>
  <si>
    <t>REPLACEMENT OF L09_DPVE_084E_WINZE STOPE PREP. APPROVED ON JUNE 24, 2025.STOPPED ON JULY 26, 2025 DUE TO CONSECUTIVE LOW ASSAY GRADE WITH NO VEIN IMPROVEMENT.</t>
  </si>
  <si>
    <t>L09_NONE_022E_XCS</t>
  </si>
  <si>
    <t>L11_JVHW_003E_DE</t>
  </si>
  <si>
    <t>L09_DPVE_085E_ROBBING</t>
  </si>
  <si>
    <t>L425_JVHW_045E_STOPE PREP</t>
  </si>
  <si>
    <t>L12_GHVS_066E_RAISE</t>
  </si>
  <si>
    <t>L425_JVFW_046E_RAISE</t>
  </si>
  <si>
    <t>L425_DPVE_039E_RAISE</t>
  </si>
  <si>
    <t>REPLACEMENT OF L11_JVHW_070E_STOPE PREP. APPROVED ON APRIL 23, 2025. STOPPED ON JUNE 16, 2025. FOR ISL. RESUMED FOR STOPE PULL-OUT. APPROVED ON JULY 9, 2025. STOPPED ON JULY 22, 2025. DUE TO LOW ORE GRADES. PULL OUT ATTAINMENT IS AT 80% .</t>
  </si>
  <si>
    <t>L11_GHVFW_024E_DE</t>
  </si>
  <si>
    <t>REPLACEMENT OF L11_DPVE_014E_RAISE. APPROVED ON JULY 18, 2024. TEMPORARY STOPPED ON NOVEMBER 06,2024. TO PRIORITIZE DRILLING ACTIVITY. RESUMED ON NOVEMBER 8,2024. FOR MARKING. TEMPORARY STOPPED ON JUNE 07, 2025. WAITING FOR UPDATED DESIGN. STOPPED ON JULY 30, 2025. ALREADY MADE A BREAKTHROUGH.</t>
  </si>
  <si>
    <t>ADDITIONAL STOPE ORE TONNAGE. APPROVED ON JUNE 06, 2025. TEMPORARY STOPPED ON JUNE 07, 2025. PRIORITIZE CLEANING AND SWITCH INSTALLATION ON MAINLINE. RESUMED ON JUNE 11, 2025. CHANGED TEAM LEADER FROM NITRO BE TO BABOR 4 (FROM  L425_NONE_049E_CHAMBER) APPROVED ON JUNE 20, 2025. STOPPED ON JULY 22, 2025, AT THE SAME TIME CONVERTED TO STOPE BREAKING.</t>
  </si>
  <si>
    <t>L425_GHVSPLIT_051E_STOPE</t>
  </si>
  <si>
    <t>L425_GHVSPLIT_046E_RAISE</t>
  </si>
  <si>
    <t>L425_JVS_052E_DE</t>
  </si>
  <si>
    <t>CAPPUYO 1,</t>
  </si>
  <si>
    <t xml:space="preserve">REPLACEMENT OF L425_GHVSPLIT_059E_DW. TARGETTING VEIN INTERCEPT. APPROVED ON JUNE 19, 2025. TRANSFFER OF MANPOWER FROM OLIVEROS TO CAPPUYO. APPROVED ON JULY 14, 2025. STOPPED ON JULY 18, 2025 TO CONVERT ON-VEIN. RESUMED ON JULY 19, 2025 FOR FURTHER EXPLORATION. STOPPED ON JULY 30, 2025. ALREADY REACHED THE TARGET VEIN. </t>
  </si>
  <si>
    <t>L425_JV_071E_DE</t>
  </si>
  <si>
    <t>ADDITIONAL HORIZONTAL DRIVE TO EXPLORE JVHW VEIN. MP COMPOSED FROM 2 DIFFERENT GROUPS L12_JVHW_067E_STOPE &amp; L12_DPVE_059E_DW. APPROVED ON MAY 23, 2025. TEMPORARY STOPPED ON JULY 4, 2025 TO PRIORITIZED L12_JVHW_057E_RAISE. RESUMED ON JULY 9, 2025. STOPPED ON JULY 12, 2025. NOT FOR BREAKTHROUGH DUE TO THE DIFFERENCE OF ELEVATION.RESUMED ON JULY 14,2025.STOPPED ON JULY 26, 2025 THE HEADING MADE A BREAKTHROUGH TO THE ADJACENT MAINLINE.</t>
  </si>
  <si>
    <t>L08_GHV_038E_ROBBING</t>
  </si>
  <si>
    <t>ADDITIONAL WORKPLACE. GROUP FROM LEVEL 9. APPROVED ON MARCH 31, 2025. TEMPORARY STOPPED ON APRIL 23, 2025. AFFECTED DUE TO CONGESTION OF L425_GHVHW_STOPE PREP. WILL RESUME ONCE STOPE PREP IS DONE. RESUMED ON APRIL 29, 2025. STOPPED ON MAY 16, 2025. ALREADY HIT THE TARGET VEIN. WILL BE REPLACED WITH ON-VEIN DRIVE. RESUMED OFF-VEIN DRIVE ON JUNE 12, 2025. ANOTHER VEIN INTERCEPT WILL BE TARGETTED. ALSO RENAMED FROM L425_NONE_040E_XCN TO L425_NONE_039E_XCN. AT THE SAME TIME CHANGE TEAM LEADER FROM DELOS REYES TO BAÑEZ 2. TEMPORARY STOPPED ON JULY 1, 2025. TO PRIORITIZE L425_JV_047E_DE. RESUMED ON JULY 18, 2025. STOPPED ON JULY 31, 2025. FINISHED HEADING.</t>
  </si>
  <si>
    <t xml:space="preserve">REPLACEMENT OF L425_JVSPLIT_049E_DE. POSSIBLE MERGING OF VEIN WITH L425_JV_041E_DW. APPROVED ON JUNE 11, 2025. CHANGED TEAM LEADER FROM BAÑEZ 1 TO CAPPUYO 1. MP FROM L425_NONE_056E_SUMP. APPROVED ON JUNE 17, 2025. TEMPORARY STOPPED ON JUNE 26, 2025. FOR EVALUATION TO LOCATE THE PROJECTED VEIN'S LATERAL EXTENSION AND TO PRIORITIZE L425_GHV_042E_DE. RESUMED ON JULY 23, 2025 AND WILL BE TRANSFER TO BANEZ 2. APPROVED ON JULY 23, 2025. STOPPED ON JULY 30, 2025 DUE TO PINCHED OUT VEIN. </t>
  </si>
  <si>
    <t>L425_NONE_069E_XCN</t>
  </si>
  <si>
    <t>ADDITIONAL STOPE ORE TONNAGE. APPROVED ON JUNE 23, 2025.STOPPED ON JULY 31, 2025. THE HEADING IS ALREADY FINISHED.</t>
  </si>
  <si>
    <t>L425_JV_031E_DW</t>
  </si>
  <si>
    <t>L425_NONE_067E_XCS</t>
  </si>
  <si>
    <t>L09_DPVE_069E_WINZE</t>
  </si>
  <si>
    <t>REPLACEMENT OF L425_GHVHW_066E_RAISE. APPROVED ON APRIL 24, 2025. TEMPORARILY STOPPED ON APRIL 28, 2025. WORKING PLACE IS UNDER INVESTIGATION DUE TO REPORTED ACCIDENT. RESUMED ON MAY 15, 2025. ALREADY DONE INVESTIGATION. STOPPED STOPE PREPARATION ON JUNE 10, 2025. CONVERT TO STOPEBREAKING.</t>
  </si>
  <si>
    <t>ADDITIONAL GOOD SOURCE OF ORE. APPROVED ON MAY 17, 2025. 3RD SHIFT. SILL. STOPPED ON JULY 13,2025. ALREADY MINED OUT.</t>
  </si>
  <si>
    <t>REPLACEMENT OF L10_DPVE_091E_RAISE APPROVED ON JULY 21, 2025. STOPPED ON AUGUST 2, 2025. FINISHED HEADING.</t>
  </si>
  <si>
    <t>L10_NONE_025W_XCN</t>
  </si>
  <si>
    <t xml:space="preserve">REPLACEMENT OF L09_DPVE_059E_WINZE STOPE PREP. APPROVED ON MAY 14, 2025. STOPPED BREAKING JULY 09,2025. FOR STOPE TRAVERSE. L09_DPVE_059E_WINZE STOPE BALANGHIG 3 CONVERTED TO PULL-OUT. APPROVED ON JULY 10, 2025. STOPPED ON AUGUST 01, 2025. FINISHED HEADING. 
 </t>
  </si>
  <si>
    <t>EXPLORATORY BLOCKING RAISE OF DPVE_24E_RAISE. APPROVED ON JUNE 13, 2025.STOPPED ON JULY 29, 2025. DID NOT PASS THE WIREFRAMING.</t>
  </si>
  <si>
    <t xml:space="preserve">REPLACEMENT OF L12_GHV_054E_RAISE. APPROVED ON JUNE 06, 2025. TRANSFERRED TO TEAMLEADER NITRO BR. NITRO BO WILL PRIORITIZE NEW WORKPLACE. APPROVED ON JULY 22, 2025. TEMPORARY STOPPED ON JULY 19, 2025 TRANSFER OF MANPOWER TO  L12_GHVSPLIT_064E_DW. MEMO RECEIVED ON JULY 24, 2025. RESUMED ON JULY 25, 2025. TEMPORARY STOPPED ON AUGUST 02, 2025 TO PRIORITIZE L12_GHV_065E_STOPE. </t>
  </si>
  <si>
    <t>L03_NONE_045W_MAINLINE_CLEANING</t>
  </si>
  <si>
    <t>REPLACEMENT OF L03_JV_043W_ML CLEANING. APPROVED ON JUNE 19, 2025.STOPPED ON AUGUST 3, 2025. CONVERTED TO MAINLINE CLEANING.</t>
  </si>
  <si>
    <t>MAINLINE_CLEANING</t>
  </si>
  <si>
    <t>ADDITIONAL WORKPLACE OF MAPAYO DUE TO EXCESS MANPOWER. APPROVED ON JULY 29,2025.TEMPORARY STOPPED DUE TO PRIORITIZATION OF NEW HEADING WITH GOOD GRADES. STOPPED ON AUGUST 3, 2025.</t>
  </si>
  <si>
    <t>L11_GHVFW_028E_DE</t>
  </si>
  <si>
    <t> MAPAYO</t>
  </si>
  <si>
    <t xml:space="preserve">REPLACEMENT OF L12_JVFW_037E_DW. APPROVED ON JULY 11, 2025. TEMPORARY STOPPED ON JULY 25, 2024 DUE TO  RAISE PREPARATION OF THE ADJACENT MAINLINE. RESUMED ON JULY 26,2025.STOPPED ON JULY 30, 2025 DUE TO PINCHED OUT OF VEIN. </t>
  </si>
  <si>
    <t>ADDITIONAL WORKING PLACE. MERGED EXCESS MANPOWER OF CAPUYAN. APPROVED ON JULY 3,2025. STOPPED ON AUGUST 3, 2025 DUE TO CONSECUTIVE LOW ASSAY GRADES ON CUT AND BULK SAMPLES.</t>
  </si>
  <si>
    <t>L12_JVHW_058E_STOPE PREP</t>
  </si>
  <si>
    <t>L08_DPVE_020W_DE</t>
  </si>
  <si>
    <t>REPLACEMENT OF L08_JVSPLIT_019W_STOPE PREP. APPROVED ON APRIL 23, 2025.STOPPED ON AUGUST 3, 2025 DUE TO LOW GRADE IPR AND CONSECUTIVE LOW ASSAY GRADE. STOPPED BREAKING ON AND CONVERT TO STOPE PULL-OUT ON AUG. 4, 2025 (3RD SHIFT) , AND TRAVERSED ON THE SAME DAY 2ND SHIFT.</t>
  </si>
  <si>
    <t>REPLACEMENT OF L10_JVSPLIT_067E_WINZE STOPE. WINZE ISL. APPROVED ON JULY 11,2025, 3RD SHIFT. STOPPED AND TO BE CONVERTED TO WINZE STOPE PREP. APPROVED ON AUGUST 3, 2025.</t>
  </si>
  <si>
    <t>L10_JVSPLIT_068E_WINZE STOPE PREP</t>
  </si>
  <si>
    <t>L12_GHVHW_055E_RAISE</t>
  </si>
  <si>
    <t>REPLACEMENT OF L12_JVHW_057E_DW. APPROVED ON JULY 4, 2025. 3RD SHIFT. RENAMED FROM L12_JVHW_057E_RAISE TO L12_JVHW_058E_RAISE TO AVOID MISCHARGING TO L12_JVHW_057E_DW. APPROVED ON JULY 8, 2025. STOPPED ON AUGUST 04, 2025. ALREADY REACHED THE TARGET. STOPPED ON AUG. 4, 2025 ALREADY FINISHED HEADING.</t>
  </si>
  <si>
    <t>L10_DPVE_007W_DW</t>
  </si>
  <si>
    <t>REPLACEMENT OF L03_JV_014W_RAISE. APPROVED ON DECEMBER 11, 2024. TEMPORARY STOPPED ON FEBRUARY 25, 2025 TO PRIORITIZE SPECIAL PROJECT AT L03_003E_ML. RESUMED AND CONVERTED TO STOPE BREAKING. APPROVED ON MARCH 31, 2025. STOPPED BREAKING JULY 09, 2025 DUE TO NO DATA ON THE UPPER AREA TOWARDS SMALL SCALE MINING ACTIVITIES. FOR STOPE TRAVERSE. CONVERTED TO PULL-OUT. APPROVED ON JULY 10, 2025 3RD SHIFT.TO BE CONVERTED INTO ROBBING. STOPPED ON AUGUST 5, 2025.</t>
  </si>
  <si>
    <t>L03_JV_014W_ROBBING</t>
  </si>
  <si>
    <t>FERNANDEZ RM</t>
  </si>
  <si>
    <t>L12_DPVE_036E_RAISE</t>
  </si>
  <si>
    <t xml:space="preserve">REPLACEMENT OF L425_GHV_053E_DW WITG E-W TRENDING VEIN. APPROVED ON JUNE 10, 2025. TEMPORARILY STOP THIS HEADING DUE TO CONSECUTIVE LOW ASSAY GRADE. STOPPED ON AUGUST 5, 2025.  </t>
  </si>
  <si>
    <t>L425_GHV_032E_DW</t>
  </si>
  <si>
    <t xml:space="preserve">REPLACEMENT OF L425_GHV_067E_DE. TO TARGET ANOTHER VEIN ~10m. APPROVED ON AUGUST 01, 2025.STOPPED THIS HEADING AS THIS CROSSCUT HAS ALREADY HIT THE TARGET VEIN. STOPPED ON AUGUST 5, 2025. </t>
  </si>
  <si>
    <t>REPLACEMENT OF L09_DPVE_041E_DW. APPROVED ON JULY 21, 2025.L09_DPVE_043E_DE FORMELY OPERATED BY NITRO BY (PENGLA) GROUP WILL BE TRANSFERRED TO BALANGHIG GROUP.  NITRO BY GROUP WILL BE ASSIGNED TO A NEW WORKPLACE. APPROVED ON AUGUST 3, 2025.STOPPED ON AUGUST 5, 2025 DUE TO NO IMPROVEMENT ON ITS VEIN MATERIAL. NO FURTHER TARGET.</t>
  </si>
  <si>
    <t>L09_NONE_002E_XCN</t>
  </si>
  <si>
    <t>ADDITIONAL WORKING PLACE.  APPROVED ON JULY 6, 2025.STOPPED ON AUGUST 06, 2025 DUE TO SWERVING OF VEIN  AND FOR SAFETY PURPOSES (3 METERS REMAINING PILLAR).</t>
  </si>
  <si>
    <t>L12_GHVSPLIT_068E_DW</t>
  </si>
  <si>
    <t xml:space="preserve">REPLACEMENT OF L12_GHVFW_059E_STOPE PREP. APPROVED ON MARCH 26, 2025. TEMPORARY STOPPED DUE TO SAFETY CONCERN. PORTION OF HANGING WALL MOVED. APPROVED ON JULY  1, 2025. RESUMED ON JULY 4, 2025 3RD SHIFT. CONVERTED TO PULL-OUT. APPROVED ON JULY 13, 2025.STOPPED ON AUGUST 5, 2025. DECLARED MINED-OUT. </t>
  </si>
  <si>
    <t>L08_GHVFW_028E_RAISE</t>
  </si>
  <si>
    <t>ADDITIONAL WORKING PLACE. APPROVED ON JULY 1,2025. STOPPED ON AUGUST 7, 2025 BEFORE REACHING THE EXCLUSION ZONE OF TIGERWAY AND ALIMAK.</t>
  </si>
  <si>
    <t xml:space="preserve">REPLACEMENT OF L11_JVHW_070E_STOPE. APPROVED ON JUNE 19, 2025. TEMPORARY STOPPED ON JUNE 29, 2025. TO PRIORITIZE L11_JVHW_070E_STOPE STOPE PULL-OUT. RESUMED ON JULY 10, 2025. TEMPORARY STOPPED ON JULY 22, 2025 DUE TO INSUFFICIENT MANPOWER AND TO PRIORITIZE L11_JVHW_070E_STOPE PULL-OUT. RESUMED ON JULY 24, 2025. STOPPED ON  AUGUST 07, 2025. IT HAS REACHED ITS PROJECTED STRIKELENGTH. </t>
  </si>
  <si>
    <t xml:space="preserve">REPLACEMENT OF L12_DPVE_056E_RAISE TO TARGET DRILLING INTERCEPT. APPROVED ON JULY 1, 2025. TEMPORARY STOPPED ON AUGUST 07, 2025. TO DRIVE DRIFT WEST. </t>
  </si>
  <si>
    <t>REPLACEMENT L12_GHVFW_034E_DE. APPROVED ON JULY 11, 2025.STOPPED ON AUGUST 07, 2025 DUE TO DRIFT APPROCHING IN SUBSTATION CHAMBER EXCLUSION ZONE ABOUT  2m.</t>
  </si>
  <si>
    <t xml:space="preserve">REPLACEMENT OF L11_DPVE_023E_STOPE. APPROVED ON JULY 5, 2025. 3RD SHIFT. CHANGE HEADING FROM L11_DPVE_010E_DW TO L11_DPVE_010E_DE. APPROVED ON JULY 10, 2025. STOPPED ON AUGUST 7, 2025 DUE TO CONSECUTIVE LOW GRADE ON BOTH CUT AND BULK SAMPLE. </t>
  </si>
  <si>
    <t>08W</t>
  </si>
  <si>
    <t>L11_NONE_08W_CHAMBER</t>
  </si>
  <si>
    <t>L12_DPVE_029E_RAISE</t>
  </si>
  <si>
    <t>ADDITIONAL STOPE ORE TONNAGE. APPROVED ON MARCH 18, 2025. MANPOWER FROM L08_NONE_025E_XCN. SILL. TRANSFERRED FROM NITRO CA TO FERNANDEZ, THE GROUP OF NITRO CA WILL DRIVE THE L08_NONE_002E_XCN. APPROVED ON MARCH 21, 2025. TEMPORARILY STOPPED ON APRIL 24, 2025 TO DEVELOP EXPLORATORY RAISE. RESUMED ON MAY 02, 2025. ALREADY DISCUSSED WITH MINE OPS, NITRO OPS, PMC &amp; NITRO ENGINEERING THAT DRIVING DRIFT AND RAISE ARE NOT POSSIBLE. TEMPORARY STOPPED ON JUNE 21, 2025. DUE TO UNAVAILABILITY OF  MATERIALS. RESUMED FOR OPERATION ON JULY 22, 2025. TEMPORARY STOPPED ON AUGUST 6, 2025 DUE TO UNSAFE CONDITION AND FOR SAFETY EVALUATION.</t>
  </si>
  <si>
    <t>REPLACEMENT OF L08_DPVE_020W_STOPE. RAISE ISL. APPROVED ON JULY 12,2025, 3RD SHIFT. TEMPORARY STOPPED ON AUGUST 7, 2025 DUE TO UNSAFE CONDITION. THE HEADING ALREADY IN SCHEDULE FOR GEOTECH EVALUATION.</t>
  </si>
  <si>
    <t>L10_GHV_027W_DW</t>
  </si>
  <si>
    <t>NITRO CC 1</t>
  </si>
  <si>
    <t>L11_GHVHW_074E_DW</t>
  </si>
  <si>
    <t>HORIZONTAL DRIVE TO EXPLORE THE EAST LATERAL GHVHW VEIN PROJECTION AT 77E POSITION. APPROVED ON JUNE 10, 2025. MP FROM L11_GHVHW_068E_DW.STOPPED ON AUGUST 08, 2025 DUE TO PINCHED OUT VEIN. 3RD SHIFT</t>
  </si>
  <si>
    <t>L09_NONE_023W_XCS</t>
  </si>
  <si>
    <t>L12_JVS_041E_DW</t>
  </si>
  <si>
    <t>L12_JVS_061E_RAISE</t>
  </si>
  <si>
    <t>ADDITIONAL WORKING PLACE. APPROVED ON JULY 19,2025.STOPPED ON AUGUST 9, 2025 DUE TO CONSECUTIVE LOW ASSAY GRADE. THE HEADING IS NOT FOR BREAKTHROUGH TO OTHER MAINLINE.</t>
  </si>
  <si>
    <t>L11_JVHW_001E_DE</t>
  </si>
  <si>
    <t>L09_GHV_024W_RAISE</t>
  </si>
  <si>
    <t>L12_DPVE_071E_DW</t>
  </si>
  <si>
    <t xml:space="preserve">REPLACEMENT OF L425_GHVHW_050E_STOPE PREP. APPROVED ON MAY 21, 2025.STOPPED ON AUGUST 11, 2025. AT THE SAME TIME CONVERTED FROM STOPE BREAKING TO STOPE PULL-OUT. </t>
  </si>
  <si>
    <t>BAÑEZ 1.</t>
  </si>
  <si>
    <t>REPLACEMENT OF L11_GHV_055E_ROBBING . APPROVED ON JULY 20, 2025. CHANGE TEAM LEADER FROM REX FERNANDEZ TO NITRO BN DUE TO LACK OF MANPOWER. APPROVED ON JULY 23, 2025.  STOPPED ON AUGUST 11, 2025. ALREADY FINISHED HEADING.</t>
  </si>
  <si>
    <t>L08_GHV_057E_ROBBING</t>
  </si>
  <si>
    <t>STOPPED BREAKING ON AND CONVERT TO STOPE PULL-OUT ON AUG. 4, 2025 (3RD SHIFT) , AND TRAVERSED ON THE SAME DAY 2ND SHIFT.STOPPED ON AUGUST 5, 2025 DUE TO CONSECUTIVE LOW GRADE.</t>
  </si>
  <si>
    <t>REPLACEMENT OF L11_NONE_003E_XCN. APPROVED ON JULY 3, 2025.STOPPED ON AUGUST 08, 2025. TO DRIVE THE EAST PART OF DRIFT L11_JVHW_001E_DE.</t>
  </si>
  <si>
    <t>L08_DPVE_027E_RAISE</t>
  </si>
  <si>
    <t>REPLACEMENT OF L10_NONE_025W_XCN. APPROVED ON AUGUST 8, 2025.STOPPED ON AUG. 12, 2025 DUE TO OFF-VEIN.</t>
  </si>
  <si>
    <t>L11_DPVE_096E_DW</t>
  </si>
  <si>
    <t>L11_DPVE_097E_DE</t>
  </si>
  <si>
    <t>REPLACEMENT OF L425_GHVSPLIT_055E_DE. APPROVED ON MARCH 29, 2025.  TEMPORARY STOPPED ON APRIL 11,2025 DUE TO DELAY BY FOLLOW UP OF L425_GHVSPLIT_064E_STOPE PREP. RESUMED ON MAY 09, 2025. AT THE SAME TIME CHANGED GROUP FROM CAPPUYO 1 TO CAPPUYO 4 TO PRIOTITIZE THE SAID HEADING. CHANGED TEAM LEADER FROM CAPPUYO 4 TO OLIVEROS 4. CAPPUYO 4 WILL MERGED TO L425_NONE_056E_SUMP. APPROVED ON MAY 28, 2025. CHANGED TEAM LEADER FROM OLIVEROS 4 TO DUHIG. APPROVED ON JUNE 12, 2025. LEAST PRIORITY WORKPLACE. TEMPORARY STOPPED ON JULY 23, 2025.RESUMED ON AUGUST 01, 2025. MINE GEOLOGY RECOMMENDS TO TEMPORARILY STOP THIS HEADING DUE TO PINCHED OUT VEIN AND LOW CONSECUTIVE LOW ASSAY GRADES. TEMPORARY STOPPED ON AUGUST 13, 2025.</t>
  </si>
  <si>
    <t>REPLACEMENT OF L09_DPVE_084E_WINZE STOPE. CROWN PILLAR ROBBING. APPROVED ON JULY 26, 2025.STOPPED ON AUGUST 13, 2025 DUE TO CONSECUTIVE LOW ASSAY GRADES. TO BE REPLACED BY ANOTHER ROBBING ON ITS ADJACENT STOPE.</t>
  </si>
  <si>
    <t xml:space="preserve">ROBBING </t>
  </si>
  <si>
    <t xml:space="preserve">L09_DPVE_083E_ROBBING </t>
  </si>
  <si>
    <t>REPLACEMENT OF L12_GHVSPLIT_065E_STOPE PREP. APPROVED ON JUNE 28, 2025. TEMPORARY STOPPED ON AUG. 12, 2025, WAITING FOR THE RESULT OF IPR.RESUMED ON AUGUST 14, 2025 THEN CONVERTED TO STOPE PULL-OUT. IPR RESULTS TO LOW GRADE.</t>
  </si>
  <si>
    <t>L09_GHV_023W_DW</t>
  </si>
  <si>
    <t>REPLACEMENT OF L10_GHVHW_014W_RAISE. TO TARGET +75m VEIN INTERCEPT. CHANGED TEAM LEADER FROM NITRO BD TO LARGO. APPROVED ON JUNE 13, 2025. TEMPORARY STOPPED ON AUGUST 15, 2025 TO PRIORITIZE ON VEIN TURN OUT PREPARATIONS.</t>
  </si>
  <si>
    <t>L10_DPVE_022E_DE</t>
  </si>
  <si>
    <t>ADDITIONAL WORKING PLACE. APPROVED ON JULY 26,2025.STOPPED ON AUGUST 14, 2025 DUE TO PINCHED OUT VEIN WITH NO FURTHER TARGET AND HAS ±3 METERS REMAINING BALANCE TO THE ADJACENT MAINLINE, NOT FOR BREAKTHROUGH.</t>
  </si>
  <si>
    <t>CORPO WITH L09_GHV_020W_DE  TO TARGET DRILLING INTERCEPT. APPROVED ON JULY 26, 2025.RENAMED FROM L09_NONE_022W_XCS TO AVOID MISCONCEPTION. APPROVED ON AUGUST 8, 2025.STOPPED ON AUGUST 15, 2025. ALREADY INTERCEPTED THE TARGET VEIN. REPLACED BY THE ON-VEIN DRIVE.</t>
  </si>
  <si>
    <t>REPLACEMENT OF L12_JVS_061E_DE. APPROVED ON JULY 22, 2025.RENAMED FROM L12_DPVE_061E_RAISE TO L12_JVS_061E_RAISE. APPROVED ON AUGUST 09, 2025. TEMPORARY STOPPED DUE TO INSUFFICIENT MANPOWER TO OPERATE THE HEADING. APPROVED ON AUGUST 14, 2025.</t>
  </si>
  <si>
    <t>REPLACEMENT OF L12_NONE_029E_XCS. APRROVED ON JULY 22, 2025.TEMPORARY STOPPED ON AUGUST 07, 2025 TO PRIORITIZED L12_DPVE_034E_RAISE.RESUMED ON AUGUST 08, 2025. TEMPORARY STOPPED DUE TO MANPOWER WILL BE TRANSFER TO L425. APPROVED ON AUGUST 11, 2025.</t>
  </si>
  <si>
    <t xml:space="preserve">ON-VEIN DRIVE OF L11_NONE_021E_XCN. APPROVED ON JULY 17, 2025.MINE GEOLOGY RECOMMENDS TO STOPPED THE HEADING ON AUGUST 15, 2025 DUE TO DISPLACEMENT OF THE VEIN. </t>
  </si>
  <si>
    <t>L11_JVHW_004E_DE</t>
  </si>
  <si>
    <t>L11_GHVSPLIT_018E_DW</t>
  </si>
  <si>
    <t>REPLACEMENT OF L425_NONE_040E_XCN. APPROVED ON MAY 16, 2025. TEMPORARY STOPPED ON MAY 30, 2025. TO PRIORITZE L425_JV_043E_DE. RESUMED ON JUNE 11, 2025. CONTINUE ADVANCE AND POSSIBLE MERGING OF VEIN WITH L425_JV_037E_DW. STOPPED ON AUGUST 13, 2025. TO BE CONVERTED TO CROSSCUT.</t>
  </si>
  <si>
    <t>L425_NONE_041E_XCS</t>
  </si>
  <si>
    <t>DUHIG R. </t>
  </si>
  <si>
    <t xml:space="preserve">ADDITONAL HORIZONTAL DRIVE. VEIN INTERPRETED FROM ACTIVE DEVELOPMENT OF L12. APPROVED ON JUNE 11, 2025. LEAST PRIORITY WORKPLACE. TEMPORARY STOPPED ON JULY 23, 2025. RESUMED ON JULY 30, 2025.TEMPORARY STOPPED ON AUGUST 16, 2025 DUE TO PRIORITIZATION OF L425_DPVE_043E_DE. </t>
  </si>
  <si>
    <t>L425_DPVE_043E_DE</t>
  </si>
  <si>
    <t xml:space="preserve">REPLACEMENT OF L425_NONE_049E_CHAMBER. APPROVED ON JULY 15,2025. RENAMED FROM L425_JVHW_043E_STOPE_PREP TO L425_JVHW_048E_STOPE PREP TO AVOID MISCHARGING WITH L425_JV_043E_DE ON JULY 16, 2025. RENAMED FROM L425_JVHW_048E_STOPE PREP TO L425_JVHW_045E_STOPE PREP TO ENSURE PROPER SEGREGATION OF WASTE AND DEVELOPMENT ORE. APPROVED ON JULY 28, 2025.STOPPED ON AUGUST 15, 2025 WILL BE CONVERTED TO STOPE BREAKING. 
 </t>
  </si>
  <si>
    <t>L425_JVHW_045E_STOPE</t>
  </si>
  <si>
    <t>REPLACEMENT OF L12_DPVE_051E_STOPE PREP. APPROVED ON APRIL 28, 2025. STOPPED BREAKING ON JULY 18, 2025. CONVERTED TO PULL-OUT ON JULY 18, 2025. 3RD SHIFT. MINED-OUT ON AUGUST 16, 2025 WITH 93% PULL-OUT.</t>
  </si>
  <si>
    <t>REPLACEMENT OF L10_DPVE_098E_ROBBING. APPROVED ON AUGUST 02, 2025.TEMPORARY STOPPED DUE TO INSUFFICIENT MANPOWER AND TO PRIORITIZE THE ON-VEIN DRIVE. APPROVED ON AUGUST 8, 2025.RESUMED ON AUG. 12, 2025 AS WELL AS TRANSFERRED FROM GROUP OF NITRO CC TO NITRO CC AND REPLACEMENT OF L10_GHV_027W_DW.CHANGE TEAMLEADER FROM NITRO CC TO BABOR 2. APRROVED ON AUGUST 15, 2025.TEMPORARY STOPPED ON AUG. 16, 2025 DUE TO SAFETY CONCERN, WIDE FAULTED AREA.</t>
  </si>
  <si>
    <t xml:space="preserve">REPLACEMENT OF L09_GHVSPLIT_031W_DW. APPROVED ON JULY 10, 2025. STOPPED ON AUGUST 18, 2025 DUE TO PINCHED OUT VEIN WITH NO ADDITIONAL TARGETS ACCORDING MINE GEO. </t>
  </si>
  <si>
    <t>ADDITIONAL HORIZONTAL DEVELOPMENT DRIVE. APPROVED ON OCTOBER 29, 2024. CHANGED GROUP NAME FROM CAPPUYO 1 TO CAPPUYO 2 FOR PROPER GROUP DESIGNATION. TEMPORARY STOPPED ON DECEMBER 21, 2024. TO PRIORITIZE L425_GHVS_058E_RAISE. RESUMED ON JANUARY 17, 2025. TEMPORARY STOPPED ON MARCH 13, 2025. TO EVALUATE VEIN INTERCEPT AND PRIORITIZE HIGH-GRADE BACK-UP. RESUMED ON JUNE 20, 2025. AT THE SAME TIME CHANGED TEAM LEADER FROM CAPPUYO 2 TO TORMIS 1. RESUMED ON JUNE 20, 2025. ALSO RENAMED FROM  L425_GHVSPLIT_044E_DE TO L425_GHVSPLIT_070E_DE AT THE SAME TIME CHANGED TEAM LEADER FROM CAPPUYO 2 TO TORMIS 1. MINE GEOLOGY RECOMMENDS TO STOP THIS HEADING DUE TO PINCHED OUT VEIN. STOPPED ON AUGUST 18, 2025.</t>
  </si>
  <si>
    <t>L425_GHVS_059E_RAISE</t>
  </si>
  <si>
    <t xml:space="preserve">REPLACEMENT OF  L12_JVFW_040E_RAISE NITRO BM  APPROVED ON JULY 22, 2025. STOPPED ON AUGUST 20, 2025 DUE TO PINCHED OUT VEIN. 
</t>
  </si>
  <si>
    <t xml:space="preserve">CONVERTED TO DRIFT. ON-VEIN OF L11_NONE_005E_XCS. APPROVED ON JULY 03, 2025, 3RD SHIFT. TEMPORARY STOPPED ON AUGUST 20, 2025 TO PRIORITIZED L11_GHVHW_001E_DW. 
 </t>
  </si>
  <si>
    <t xml:space="preserve">REPLACEMENT OF L11_DPVE_020E_DE. TARGETTING RESERVES. APPROVED ON MAY 30, 2025. CHANGED TEAM LEADER FROM NITRO BB TO LERIO 1. NITRO BB WILL MERGED TO L11_DPVE_037E_RAISE. APPROVED ON JUNE 02, 2025. TRANSFERRED FROM LERIO TO BADBADON. APPROVED ON JUNE 10, 2025. LERIO GROUP WILL BE TRANSFER TO L425. STOPPED ON AUGUST 20, 2025, DUE TO PINCHED OUT VEIN. </t>
  </si>
  <si>
    <t xml:space="preserve">REPLACEMENT OF L425_GHVSPLIT_052E_STOPE PREP. APPROVED ON APRIL 7, 2025. STOPPED ON JULY 20, 2025. FOR STOPE TRAVERSE. CONVERTED TO PULL-OUT. APPROVED ON JULY 20, 2025.STOPPED ON AUGUST 11, 2025. ALREADY MINED-OUT WITH 103% PULL-OUT ATTAINMENT. </t>
  </si>
  <si>
    <t>REPLACEMENT OF L12_DPVE_027E_STOPE PREP. APPROVED ON APRIL 22, 2025. TEMPORARY STOPPED ON JULY 4, 2025. LAYOUT AND INSTALLATION OF PRESSURE TANK. RESUMED ON JULY 5, 2025. WILL BE TRANSFERRED TO TEAM LEADER CAYMAN DUE TO INADEQUATE SKILL. APPROVED ON JULY 22, 2025. STOPPED STOPE BREAKING ON AUGUST 20, 2025 AND CONVERTED TO PULL-OUT AT THE SAME TIME.</t>
  </si>
  <si>
    <t>L11_DPVE_046E_DW</t>
  </si>
  <si>
    <t>REPLACEMENT OF L08_JVFW_024W_DW. TARGETING RESERVE BLOCKS. APPROVED ON JUNE 03, 2025. FOR MAINLINE CLEANING AND REGRADING. APPROVED ON JUNE 17, 2025. TRANSFER OF TEAM LEADER FROM NITRO AX TO NITRO BZ STARTING AUGUST 02, 2025.STOPPED ON AUGUST 20, 2025. HAS REACHED THE EXCLUSION ZONE OF TIGERWAY PROJECT.</t>
  </si>
  <si>
    <t>L11_GHVHW_006E_DW</t>
  </si>
  <si>
    <t xml:space="preserve">REPLACEMENT OF L11_JVFW_060E_DW_ISL. APPROVED ON JULY 20,2025.STOPPED ON AUGUST 15, 2025. RECOMMENDED TO CONVERT TO STOPE BREAKING. APPROVED ON AUGUST 15, 2025. </t>
  </si>
  <si>
    <t>ADDITIONAL WORKING PLACE OF L10. APPROVED ON AUGUST 5, 2025, CHANGE TEAMLEADER FROM NITRO AY TO LARGO 2. APRROVED ON AUGUST 15, 2025.STOPPED ON AUGUST 22, 2025. TO BE CONVERTED TO CROSSCUT.</t>
  </si>
  <si>
    <t>L08_GHVFW_031E_DE</t>
  </si>
  <si>
    <t xml:space="preserve">REPLACEMENT OF L11_DPVE_025E_RAISE. APPROVED ON JULY 29,2025.TEMPORARY STOPPED DUE TO DELAYED BY ON-GOING PULL-OUT OF THE OLD STOPE FOR VENTILATION PURPOSES. APPROVED ON AUGUST 22, 2025. </t>
  </si>
  <si>
    <t>L11_GHVS_064E_DE</t>
  </si>
  <si>
    <t>ADDITIONAL WORKING PLACE. APPROVED ON JULY 12,2025. STOPPED ON AUGUST 22, 2025 DUE TO PINCHED OUT VEIN</t>
  </si>
  <si>
    <t>L425_NONE_044E_XCS</t>
  </si>
  <si>
    <t>SPECIAL PROJECT - MAIN SUMP AT L425. APPROVED ON MAY 14, 2025.STOPPED ON AUGUST 20, 2025. FINISHED HEADING</t>
  </si>
  <si>
    <t>L09_JVS_094E_DW</t>
  </si>
  <si>
    <t>L12_DPVE_049E_DW_ISL</t>
  </si>
  <si>
    <t>ADDITIONAL WORKING PLACES. SILL PILLAR. APPROVED ON JULY 16, 2025.STOPPED ON AUGUST 25, 2025. FINISHED HEADING</t>
  </si>
  <si>
    <t>REPLACEMENT OF L425_JVHW_068E_DE. APPROVED ON AUGUST 22, 2025. TEMPORARY STOPPED ON AUGUST 25, 2025 DUE TO 2 HEADINGS WILL BE AFFECTED IF THIS WILL COMMENCE UNLESS THE REGRADING OF THE BREAKTHROUGH FOR LOOP WILL BE ESTABLISHED.</t>
  </si>
  <si>
    <t>L10_GHV_026W_DW</t>
  </si>
  <si>
    <t>ADDITIONAL WORKING PLACE. APPROVED ON JUL7 29, 2025.MINE GEOLOGY RECOMMENDS TO STOP THIS HEADING DUE TO PINCHED VEIN AND HAVING LOW ASSAY GRADES. APRROVED ON AUGUST 25, 2025.</t>
  </si>
  <si>
    <t>REPLACEMENT OF L11_GHVHW_077E_DE.  APPROVED ON AUGUST 09, 2025. L11_GHVHW_074E_DW MAPAYO STOPPED ON AUGUST 21, 2025 DUE TO PINCHED OUT VEIN. RESUMED ON AUGUST 22, 2025.MINE GEOLOGY RECOMMENDS TO STOP THIS HEADING, IT HAS NO FURTHER TRAGET AND THE VEIN HAS N-S DIREECTION. APRROVED ON AUGUST 25, 2025</t>
  </si>
  <si>
    <t xml:space="preserve">REPLACEMENT OF L425_JV_041E_DW. APPROVED ON AUGUST 13, 2025. THIS CROSSCUT HAS ALREADY REACHED THE RECOMMENDED STRIKE LENGTH. STOPPED ON AUGUST 26, 2025.
 </t>
  </si>
  <si>
    <t>L12_NONE_042E_XCN</t>
  </si>
  <si>
    <t>REPLACEMENT OF L08_JVSPLIT_026W_STOPE. APPROVED ON JULY 15,2025.MINE GEOLOGY RECOMMENDS TO STOP THIS SUBLEVEL ISL. STOPPED ON AUGUST 27, 2025.</t>
  </si>
  <si>
    <t>L11_JV_011E_DW</t>
  </si>
  <si>
    <t>L08_DPVE_015W_RAISE</t>
  </si>
  <si>
    <t>DSP</t>
  </si>
  <si>
    <t>31B</t>
  </si>
  <si>
    <t>REPLACEMENT OF L11_DPVE_026E_RAISE. APPROVED ON AUGUST 22, 2025. STOPPED ON AUGUST 23, 2025 DUE TO SAFETY CONCERN. PARALLEL TO ANOTHER MAINLINE WITH ~1METER IN BETWEEN.</t>
  </si>
  <si>
    <t>L11_GHVHW_067E_DW</t>
  </si>
  <si>
    <t>L11_JVHW_071E_STOPE PREP</t>
  </si>
  <si>
    <t>L11_NONE_030E_MAINLINE CLEANING</t>
  </si>
  <si>
    <t>L12_GHVHW_061E_RAISE</t>
  </si>
  <si>
    <t>L425_JVFW_044E_RAISE</t>
  </si>
  <si>
    <t>BLOCKING RAISE AND REPLACEMENT OF L08_GHVFW_031E_RAISE (WILL BE STOPPED ON AUGUST 7, 2025 3RD SHIFT). APPROVED ON AUGUST 7, 2025.MINE GEOLOGY RECOMMENDS TO STOP THIS HEADING DUE TO POSSIBLE LOW ORE GRADES ON UP-DIP EXTENSION. APPROVED ON AUGUST 28, 2025</t>
  </si>
  <si>
    <t xml:space="preserve">REPLACEMENT OF L09_GHVSPLIT_032W_DW. APRROVED ON AUGUST 23, 2025. TEMPORARY STOPPED ON AUGUST 28, 2025 TO PRIORITIZE L09_NONE_091E_XCS. </t>
  </si>
  <si>
    <t>HORIZONTAL DRIVE TO EXPLORE WESTERN PORTION OF INTERCEPTED VEIN OF L425_NONE_046E_XCN. MP CORPO WITH 046E XCN. APPROVED ON JUNE 9, 2025.MINE GEOLOGY RECOMMENDS TO TEMPORARILY STOP THIS HEADING TO PRIORITIZE L425_DPVE_033E_RAISE. STOPPED ON AUGUST 19, 2025. RESUMED OPERATION ON AUGUST 25, 2025 MANPOWER FROM L425_NONE_044E_XCS. MINE GEOLOGY RECOMMENDS TO STOP THIS HEADING DUE TO PINCHED OUT VEIN. STOPPED ON AUGUST 28, 2025.</t>
  </si>
  <si>
    <t>L425_GHVSPLIT_049E_RAISE</t>
  </si>
  <si>
    <t>REPLACEMENT OF L12_GHVSPLIT_065E_STOPE PREP. APPROVED ON JUNE 28, 2025. TEMPORARY STOPPED ON AUG. 12, 2025, WAITING FOR THE RESULT OF IPR.RESUMED ON AUGUST 14, 2025 THEN CONVERTED TO STOPE PULL-OUT. IPR RESULTS TO LOW GRADE.STOPPED ON AUGUST 28, 2025. ALREADY MINED OUT.</t>
  </si>
  <si>
    <t>DUHIG P.</t>
  </si>
  <si>
    <t>L12_GHVHW_048E_DE</t>
  </si>
  <si>
    <t xml:space="preserve">REPLACEMENT OF L11_GHVFW_012E_DE. APPROVED ON AUGUST 20, 2025. STOPPED ON AUGUST 29, 2025. ALREADY MADE A BREAKTHROUGH. </t>
  </si>
  <si>
    <t xml:space="preserve">REPLACEMENT OF L11_GHV_055E_ROBBING. SILL PILLAR APPROVED ON JULY 09, 2025. STOPPED ON JULY 13, 2025. ALREADY MINED OUT. STOPPED ON AUGUST 29, 2025. ALREADY FINISHED HEADING. 
</t>
  </si>
  <si>
    <t>L11_JVFW_060E_STOPE</t>
  </si>
  <si>
    <t>REPLACEMENT OF L08_GHV_062E_ROBBING FERNANDEZ. APPROVED ON AUGUST 12, 2025.ALREADY FINISHED HEADING. STOPPED ON AUGUST 26, 2025.</t>
  </si>
  <si>
    <t>L08_NONE_010E_XCN</t>
  </si>
  <si>
    <t>REPLACEMENT OF L12_JVHW_058E_RAISE. APPROVED ON AUGUST 04, 2025.STOPPED ON AUGUST 29, 2025. RECOMMENDED FOR STOPE BREAKING.</t>
  </si>
  <si>
    <t>L12_JVHW_058E_STOPE</t>
  </si>
  <si>
    <t>L10_NONE_044E_XCS</t>
  </si>
  <si>
    <t>L12_JVHW_075E_DW</t>
  </si>
  <si>
    <t>L425_GHV_030E_RAISE</t>
  </si>
  <si>
    <t>PMC MINER 1</t>
  </si>
  <si>
    <t>FERNANDEZ 5</t>
  </si>
  <si>
    <t>REPLACEMENT OF L425_GHV_038E_DW. APPROVED ON AUGUST 5, 2025.MINE GEOLOGY RECOMMENDS TO STOP THIS HEADING DUE TO PINCHED OUT VEIN. STOPPED ON AUGUST 30, 2025.</t>
  </si>
  <si>
    <t>REPLACEMENT OF L11_JVHW_003E_DE. APPROVED ON AUGUST 16, 2025. 2ND SHIFT.GEOLOGY RECOMMENDS TO STOP THIS HEADING DUE TO PINCHED OUT VEIN. APPROVED ON AUGUST 29,2025.</t>
  </si>
  <si>
    <t>REPLACEMENT OF JVHW_071E_DE_ISL. APPROVED ON AUGUST 07, 2025.STOPPED ON AUGUST 29, 2025 ALREADY MADE A BREAKTHROUGH.</t>
  </si>
  <si>
    <t>REPLACEMENT OF L11_GHVHW_072E_ROBBING. APPROVED ON AUGUST 13, 2025. 2ND SHIFT.STOPPED ON AUGUST 29,2025. FINISHED HEADING.</t>
  </si>
  <si>
    <t>REPLACEMENT OF L11_DPVE_010E_DE. DRILLING CHAMBER APPROVED ON AUGUST 07, 2025. FINISHED HEADING. APPROVED ON AUGUST 29,2025</t>
  </si>
  <si>
    <t>L11_JVHW_007E_DW</t>
  </si>
  <si>
    <t>L09_GHVHW_003E_DW</t>
  </si>
  <si>
    <t>L425_GHVSPLIT_063E_RAISE</t>
  </si>
  <si>
    <t>REPLACEMENT OF L10_NONE_025W_XCS.  APPROVED ON JULY 25, 2025. CHANGE TEAMLEADER FROM NITRO BD TO BABOR 1. APPROVED ON AUGUST 15, 2025.STOPPED DUE TO FOR BREAKTHROUGH AT LEVEL MAINLINE. STOPPED ON AUGUST 30, 2025.</t>
  </si>
  <si>
    <t>L08_JVSPLIT_029W_STOPE PREP</t>
  </si>
  <si>
    <t>L08_GHV_007E_ROBBING</t>
  </si>
  <si>
    <t>REPLACEMENT OF L08_GHVFW_028E_RAISE. APPROVED ON AUGUST 29, 2025.STOPPED ON AUGUST 30, 2025. WITHIN THE EXPLOSIVE MAGAZINE'S EXCLUSION ZONE.</t>
  </si>
  <si>
    <t>L08_NONE_025W_XCN</t>
  </si>
  <si>
    <t>REPLACEMENT OF L11_GHVHW_074E_DW. APRROVED ON AUGUST 28, 2025.MINE GEOLOGY RECOMMENDS TO STOP THIS HEADING DUE TO PILLAR CONCERN. STOPPED ON AUGUST 31, 2025.</t>
  </si>
  <si>
    <t>L11_DPVE_079E_DE</t>
  </si>
  <si>
    <t>ADDITIONAL WORKING PLACE. MP CORPO FROM L12_GHVFW_059E_STOPE. APPROVED ON JULY 12,2025. TEMPORARY STOPPED ON JULY 18, 2025 DUE TO PRIORITIZATION OF L12_GHV_73E_ROBBING.  RESUMED ON AUGUST 05, 2025. MINE GEOLOGY RECOMMENDS TO STOP THIS HEADING DUE TO CONSECUTIVE LOW ASSAY GRAE ON BULK AND CUT SAMPLE. THIS HEADING ALSO HAS +-5 METERS REMAINING TO REACH ADJACENT MAINLINE. APPROVED ON AUGUST 31, 2025</t>
  </si>
  <si>
    <t>ADDITIONAL WORKING PLACE OF L09. COUNTERDRIVE CROSSCUT TO ACCESS THE OLD MAINLINE. APPROVED ON AUGUST 6, 2025.STOPPED ON AUGUST 30, 2025 ALREADY MADE A BREAKTHROUGH.</t>
  </si>
  <si>
    <t>ADDITIONAL WORKING PLACE. APPROVED ON JULY 19,2025.STOPPED ON AUGUST 30, 2025 ALREADY MADE A BREAKTHROUGH.</t>
  </si>
  <si>
    <t xml:space="preserve">REPLACEMENT OF L10_DPVE_007W_DW. APRROVED ON AUGUST 22, 2025. STOPPED ON AUGUST 31, 2025. ALREADY REACH THE PROJECTED TARGET. </t>
  </si>
  <si>
    <t>L10_GHVHW_005W_DW</t>
  </si>
  <si>
    <t>ADDITIONAL WORKPLACE. APPROVED ON AUGUST 26, 2025.CANCEL DUE TO RESERVE MUCKING MACHINE WILL BE USED FOR PROPOSED ROBBING. APPROVED AT SEPTEMBER 02, 2025.</t>
  </si>
  <si>
    <t xml:space="preserve">REPLACEMENT OF L12_NONE_029E_XCS. APPROVED ON JULY  4, 2025. 3RD SHIFT.TEMPORARY STOPPED ON AUGUST 14, 2025, MANPOWER TO TRANSFER TO L425. RESUMED ON AUGUST 16, 2025 AS WELL AS TRANSER OF TEAM LEAM LEADR FROM NITRO BF 5 TO NITRO BR. L12_DPVE_028E_RAISE NITRO BR TEMPORARY STOPPED ON AUGUST 29, 2025, DUE TO MANPOWER WILL BE TRANSFERRED TO L12_DPVE_052E_STOPE.
 </t>
  </si>
  <si>
    <t>L09_NONE_045W_XCN</t>
  </si>
  <si>
    <t>DELOS REYES </t>
  </si>
  <si>
    <t>L12_DPVE_016E_RAISE</t>
  </si>
  <si>
    <t>L12_DPVE_072E_RAISE</t>
  </si>
  <si>
    <t xml:space="preserve">REPLACEMENT OF L08_JVSPLIT_027W_DW_ISL  CAPUYAN 4. SERVE AS EXPLORATORY DRIVE. APPROVED ON AUGUST 04, 2025.  TEMPORARY STOPPED DUE TO MANPOWER WILL TRANSFERRED TO L08_DPVE_027W_STOPE PREP. APPROVED ON AUGUST 13, 2025. RESUME ON AUGUST 19, 2025. 2ND SHIFT.MINE GEOLOGY RECOMMENDS TO STOP THIS HEADING DUE TO CONSISTENTLY LOW ASSAY GRADES AND NO FURTHER TARGET. STOPPED ON SEPTEMBER 02, 2025. </t>
  </si>
  <si>
    <t>REPLACEMENT OF L09_GHV_019W_DW. APRROVED ON AUGUST 10, 2025. MINE GEOLOGY RECOMMENDS TO STOP THIS HEADING DUT TO CONSECUTIVE LOW ASSAY GRADES. STOPPED ON SEPTEMBER 02, 2025.</t>
  </si>
  <si>
    <t>SHEPHERD1</t>
  </si>
  <si>
    <t>SHEPHERD 2</t>
  </si>
  <si>
    <t>L08_DPVE_011W_DE_ISL</t>
  </si>
  <si>
    <t>ADDITIONAL WORKPLACE FOR GROUP. APPROVED ON AUGUST 09, 2024. GROUP WILL ALSO HANDLE L425_GHV_053E_DW AT THE SAME TIME. TRANSFER OF TL FROM CAPPUYO TO BABOR. APPROVED ON NOVEMBER 08, 2024. TEMPORARY STOPPED ON NOVEMBER 09, 2024.DUE TO INSUFFICIENT MANPOWER. RESUMED ON NOVEMBER 18, 2024. AT THE SAME TIME TRANSFERRED FROM BABOR TO OLIVEROS. CHANGED TEAM LEADER FROM OLIVEROS TO FERNANDEZ 1. APPROVD ON DECEMBER 20, 2024. TEMPORARY STOPPED ON DECEMBER 24, 2024 DUE TO REHAB ACTIVITY. RESUMED ON JANUARY 17, 2025. TEMPORARY STOPPED ON JANUARY 27, 2025. DUE TO ON-GOING TURN-OUT PREP OF L425_GHVSPLIT_041E_DW. RESUMED ON FEBRUARY 18, 2025. CHANGED TEAM LEADER FROM FERNANDEZ 1 TO DELOS REYES. DUE TO PRIORITIZATION OF THE WORKPLACE. APPROVED ON APRIL 19, 2025. 1ST SHIFT. TEMPORARY STOPPED ON MAY 30, 2025. TO PRIORITZE L425_GHV_060E_DE. RESUMED ON JUNE 02, 2025. TO EVALUATE VEIN INTERCEPT AND PRIORITIZE BACK-UP. TEMPORARILY STOPPED ON JULY 1, 2025, AFFECTED BY LOW AIR AND WATER PRESSURE. RESUMED ON JULY 4, 2025 2ND SHIFT. TRANSFER OF MANPOWER FROM DELOS REYES TO REBOTE DUE TO SAFETY CONCERNS. TEMPORARY STOPPED ON JULY 1, 2025. AFFECTED BY LOW WATER AND AIR PRESSURE. STOPPED ON SEPTEMBER 3, 2025. MADE A BREAKTHROUGH.</t>
  </si>
  <si>
    <t>REPLACEMENT OF L425_GHVHW_050E_STOPE PREP. APPROVED ON MAY 21, 2025.STOPPED ON AUGUST 11, 2025. AT THE SAME TIME CONVERTED FROM STOPE BREAKING TO STOPE PULL-OUT. MINED-OUT ON AUGUST 25, 2025 WITH 99% PULL-OUT. STOPPED ON AUGUST 29, 2025.</t>
  </si>
  <si>
    <t>APPROVED ON AUGUST 15, 2025. REPLACEMENT OF L08_JVS_020W_DE.       RENAMED FROM L08_JVS_027W_STOPE PREP TO L08_JVS_029W_STOPE PREP TO AVOID MISCHARGING WITH L08_DPVE_027E_RAISE. APRROVED ON AUGUST 19, 2025. STOPPED ON AUGUST 28, 2025. RECOMMENDED FOR ACTIVE STOPE BREAKING..</t>
  </si>
  <si>
    <t>L08_JVSPLIT_029W_STOPE</t>
  </si>
  <si>
    <t>L12_GHV_067E_ROBBING</t>
  </si>
  <si>
    <t>FERNANDEZ 7</t>
  </si>
  <si>
    <t>L08_DPVE_017W_RAISE</t>
  </si>
  <si>
    <t>REPLACEMENT OF L425_GHVSPLIT_070E_DE.  APPROVED ON AUGUST 18, 2025. MINE GEOLOGY RECOMMENDS TO TEMPORARILY STOP THIS HEADING TO PRIORITIZED L425_NONE_044E_XCN. STOPPED ON SEPTEMBER 3, 2025.</t>
  </si>
  <si>
    <t xml:space="preserve">REPLACEMENT OF L12_GHVHW_063E_DW. APPROVED ON AUGUST 06, 2025. STOPPED ON SEPTEMBER 03, 2025 DUE TO LOW ASSAY GRADE. </t>
  </si>
  <si>
    <t>L12_GHVSPLIT_060E_RAISE</t>
  </si>
  <si>
    <t>REPLACEMENT OF L12_JVFW_038E_RAISE. APPROVED ON AUGUST 5, 2025.STOPPED ON SEPTEMBER 04, 2025, DUE TO CONSECUTIVE LOW-GRADE FLOORS ON BOTH CUT AND BULK SAMPLES.</t>
  </si>
  <si>
    <t xml:space="preserve">ADDITIONAL WORKPLACE. APPROVED ON JULY 22, 2025,.STOPPED ON SEPTEMBER 04, 2025 DUE TO LOW ASSAY GRADE. </t>
  </si>
  <si>
    <t>L08_DPVE_040E_DE</t>
  </si>
  <si>
    <t>L11_GHVFW_059E_FILL WINZE</t>
  </si>
  <si>
    <t>L09_GHVHW_011E_DE</t>
  </si>
  <si>
    <t>REPLACEMENT OF L09_GHV_020W_DE. APPROVED ON AUGUST 30, 2025. RENAMED FROM L09_GHVHW_010E_DE TO L09_GHVHW_011E_DE TO AVOID MISCHARGING WITH OTHER HEADING. APPROVED ON SEPTEMBER 5, 2025</t>
  </si>
  <si>
    <t>L12_GHVSPLIT_065E_ROBBING</t>
  </si>
  <si>
    <t>L425_NONE_040E_XCN</t>
  </si>
  <si>
    <t>L11_DPVE_030E_ROBBING</t>
  </si>
  <si>
    <t>REPLACEMENT L11_GHVSPLIT_059E_ROBBING, APPROVED ON AUGUST 28, 2025.MINE GEOLOGY RECOMMENDS TO CHANGE THE STATUS FROM ROBBING TO MAINLINE CLEANING. ALSO RENAME FROM L11_DPVE_030E_ROBBING TO L11_NONE_030E_MAINLINE CLEANING. MAINLINE CLEANING ACTIVITIES INCLUDES GROUND SUPPORT SUCH AS TIMBERING, HAULING OF OLD MUCK, TEARING OUT AND REPLACING RAILS. STOPPED ON SEPTEMBER 06, 2025. RECOMMENDED TO PROCEED IN ROBBING.</t>
  </si>
  <si>
    <t>L10_JVSPLIT_068E_WINZE STOPE</t>
  </si>
  <si>
    <t>NEW WORKING PLACE, REPLACEMENT OF L10_JVSPLIT_068E_DE_ISL. APPROVED ON AUGUST 4, 2025. STOPPED ON SEPTEMBER 6, 2025. RECOMMENDED FOR ACTIVE STOPE BREAKING.</t>
  </si>
  <si>
    <t>L11_DPVE_048E_ROBBING</t>
  </si>
  <si>
    <t xml:space="preserve">REPLACEMENT OF L11_GHVFW_024E_DE . APPROVED ON AUGUST 3, 2025.STOPPED ON SEPTEMBER 08, 2025, DUE TO PINCHED OUT VEIN. </t>
  </si>
  <si>
    <t>L11_GHVFW_029E_DE</t>
  </si>
  <si>
    <t xml:space="preserve">REPLACEMENT OF L12_JVHW_057E_DW. APPROVED ON JULY 31,2025.RENAMED WORKPLACE FROM L12_GHVHW_056E_RAISE TO L12_GHVHW_055E_RAISE. TO AVOID MISCONCEPTION OF L12_DPVE_056E_RAISE. APPROVED ON AUGUST 04, 2025.STOPPED ON SEPTEMBER 08, 2025, DUE TO CONSECUTIVE LOW ASSAY GRADE. </t>
  </si>
  <si>
    <t>L12_DPVE_031E_RAISE</t>
  </si>
  <si>
    <t>REPLACEMENT OF L12_GHVSPLIT_064E_DW. APPROVED ON SEPTEMBER 04, 2025.STOPPED ON SEPTEMBER 08, 2025 DUE TO SAFETY CONCERN.</t>
  </si>
  <si>
    <t>L425_GHVSPLIT_041E_RAISE</t>
  </si>
  <si>
    <t>L12_GHVHW_069E_DW</t>
  </si>
  <si>
    <t>REPLACEMENT OF L12_DPVE_027E_STOPE. APPROVED ON SEPTEMBER 10, 2025. </t>
  </si>
  <si>
    <t>REPLACEMENT OF L08_DPVE_041E_ROBBING. SILL. APPROVED ON JULY 31, 2025.TEMPOY STOPPED ON AUGUST 15, 2025 TO PRESERVE THE ML FOR VENTILATION PURPOSES.RESUMED FOR OPERATIONS ON AUGUST 2025. TO DIVERT POSSIBLE AIRFLOW CONNECTING TO EPE. STOPPED ON SEPTEMBER 4, 2025. ALREADY MINED OUT.</t>
  </si>
  <si>
    <t>REPLACEMENT OF L08_DPVE_010W_DW_ISL. APPROVED ON AUGUST 20, 2025. RENAMED FROM L08_DPVE_013W_DE_ISL TO L08_DPVE_011W_DE_ISL. APPROVED ON SEPTEMBER 3, 2025. TEMPORARY STOPPED ON SEPTEMBER 5, 2025 FOR GEOLOGY EVALUATION.</t>
  </si>
  <si>
    <t>L09_DPVE_025E_ROBBING</t>
  </si>
  <si>
    <t>FERNANDEZ 8</t>
  </si>
  <si>
    <t xml:space="preserve">REPLACEMENT OF L11_GHVSPLIT_019E_DE. APPROVED ON AUGUST 16, 2025. 2ND SHIFT. STOPPED ON SEPTEMBER 10, 2025 DUE TO CONSECUTIVE LOW GRADE ON BOTH CUT AND BULK SAMPLES. </t>
  </si>
  <si>
    <t xml:space="preserve">REPLACEMENT OF L11_JVHW_004E_DE. APPROVED ON AUGUST 30, 2025. STOPPED ON SEPTEMBER 10, 2025, DUE TO PINCHED OUT VEIN. </t>
  </si>
  <si>
    <t>L11_GHVSPLIT_018E_RAISE</t>
  </si>
  <si>
    <t>L11_DPVE_078E_RAISE</t>
  </si>
  <si>
    <t>L11_DPVE_069E_DW</t>
  </si>
  <si>
    <t>ADDITIONAL WORKPLACE. MANPOWER CORPO TO L425_GHVSPLIT_052E_STOPE. APPROVED ON JULY 22, 2025.RENAMED FROM L425_GHVS_041E_RAISE TO L425_GHVSPLIT_046E_RAISE TO AVOID MISCHARGING FROM OTHER ACTIVE WORKPLACES.
APPROVED ON JULY 29, 2025.MINE GEOLOGY RECOMMENDS TO STOP THIS RAISE TO START THE STOPE PREPARATION. STOPPED ON SEPTEMBER 10, 2025.</t>
  </si>
  <si>
    <t>REPLACEMENT OF L11_NONE_014E_XCN. APPROVED ON JULY 3, 2025. MINE GEOLOGY RECOMMENDS TO CHANGE HEADING FROM L11_JV_011E_DE TO L11_JV_011E_DW. APPROVED ON AUGUST 27, 2025.STOPPED ON SEPTEMBER 11, 2025. ALREADY MADE A BREAKTHROUGH.</t>
  </si>
  <si>
    <t>L11_JV_012E_RAISE</t>
  </si>
  <si>
    <t>L11_DPVE_095E_RAISE</t>
  </si>
  <si>
    <t>L11_JVHW_004E_RAISE</t>
  </si>
  <si>
    <t>L08_JV_019E_RAISE</t>
  </si>
  <si>
    <t>REPLACEMENT OF L08_GHVFW_031E_DE. APPROVED ON SEP. 3, 2025.TEMPORARY STOPPED ON SEPTEMBER 12, 2025 TO AVOID REACHING THE EXCLUSION ZONE OF TIGERWAY.</t>
  </si>
  <si>
    <t>APPROVED ON AUGUST 13, 2025. REPLACEMENT OF L09_DPVE_085E_ROBBING. TOP SLICE.RENAMED FROM L09_DPVE_084E_ROBBING TO AVOID MISCONCEPTION WITH OLD HEADING.APPROVED ON AUGUST 14, 2025.RENAMED FROM L09_DPVE_083E_ROBBING TO AVOID MISCONCEPTION WITH OLD HEADING.APPROVED ON AUGUST 20, 2025.STOPPED ON SEPTEMBER 11, 2025. THE HEADING IS ALREADY MINED OUT.</t>
  </si>
  <si>
    <t>REPLACEMENT  OF L09_GHVFW_037W_ROBBING. TARGETING DRILLING INTERCEPT. APPROVED ON JUNE 04, 2025.CHANGE TEAM LEADER FROM NITRO BS TO NITRO BT DUE TO LOW PERFORMANCE. APPROVED ON JUNE 23, 2025.RESUMED ON AUGUST 7, 2025 AS WELL AS TRANSFERRED FROM NITRO BT TO BALANGHIG 2.TEMPORARY STOPPED ON AUGUST 23, 2025 DUE TO INSUFFICIENT MANPOWER TO OPERATE THE HEADING. SUBJECT FOR CHANGE TEAMLEADER.RESUMED FOR OPERATIONS AND AT THE SAME TIME CHANGED TEAM LEADER FROM BALANGHIG 2 TO DELOS REYES V2. APRROVED ON AUGUST 28, 2025.STOPPED ON SEPTEMBER 12, 2025. ALREADY REACHED THE TARGET.</t>
  </si>
  <si>
    <t>REPLACEMENT OF L11_JVFW_060E_STOPE PREP. APPROVED ON AUGUST 15, 2025. RECOMMENDED TO CONVERT TO STOPE BREAKING. APPROVED ON AUGUST 15, 2025. STOPPED BREAKING ON SEPTEMBER 12, 2025. RECOMMENDED TO CONVERT TO PULL-OUT. SEPTEMBER 13, 2025.</t>
  </si>
  <si>
    <t>SPECIAL PROJECT FOR VENTILATION. APPROVED ON DECEMBER 26, 2024. TEMPORARY STOPPED ON JULY 2, 2025. WAITING FOR SHOTCRETE CEMENT.</t>
  </si>
  <si>
    <t>REPLACEMENT OF L09_NONE_023W_XCS. APPROVED ON AUGUST 15, 2025.MINE GEOLOGY RECOMMENDS TO STOP THIS HEADING DUE TO PINCHED OUT VEIN. STOPPED ON SEPTEMBER 15, 2025</t>
  </si>
  <si>
    <t xml:space="preserve">NEW WORKPLACE, MANPOWER FROM L12_NONE_017E_XCS. APPROVED ON JULY 22, 2025. RENAMED FROM L12_JV_029E_RAISE TO L12_DPVE_029E_RAISE FOR PROPER NAMING OF VEIN TYPE. APPROVED ON AUGUST 08, 2025.  TEMPORARY STOPPED DUE TO INSUFFICIENT MANPOWER TO OPERATE THE HEADING. APPROVED ON AUGUST 14, 2025.RSUMED ON SEPTEMEBER 4, 2025, REPLACEMENT OF L12_DPVE_036E_RAISE. TEMPORARY STOPPED ON SEPTEMBER 08, 2025, TO PRIORITIZED L12_DPVE_052E_STOPE. RESUMED ON SEPTEMBER 08, 2025. 3RD SHIFT. CHANGE TEAM LEADER FROM NITRO BM TO NITRO BP. APPROVED ON SEPTEMBER 08, 2025. STOPPED ON SEPTEMBER 15, 2025 DUE TO UNSAFE CONDITION. </t>
  </si>
  <si>
    <t>L425_GHVSPLIT_046E_STOPE PREP</t>
  </si>
  <si>
    <t>L12_GHVFW_070E_DW</t>
  </si>
  <si>
    <t> HORIZONTAL DRIVE TARGETING THREE DRILLING INTERCEPTS. APPROVED ON JUNE 23, 2025.STOPPED ON SEPTEMBER 15, 2025, CONVERT TO ON-VEIN DRIFT.</t>
  </si>
  <si>
    <t>REPLACEMENT OF L12_GHVSPLIT_050E_DW. APPROVED ON AUGUST 08, 2025. RENAMED FROM L12_JVS_039E_DW TO L12_JVS_041E_DW. APPROVED ON AUGUST 08, 2025. STOPPED ON SEPTEMBER 15, 2025, DUE TO AN OFF-VEIN CUT BY A PERPINDICULAR FAULT AND NO FURTHER TARGET. 3RD SHIFT</t>
  </si>
  <si>
    <t>REPLACEMENT OF L12_GHVS_066E_RAISE. APPROVED ON AUGUST 29, 2025.RENAMED TO L12_GHVHW_048E_DE       DUHIG P.  TO AVOID MISCHARGING WITH L12_DPVE_049E_DW_ISL. APROVED ON AUG 29, 2025. STOPPED ON SEPTEMBER 15, 2025, DUE TO THE VEIN TRAIN SWERVING TO THE RIGHT. 3RD SHIFT</t>
  </si>
  <si>
    <t>ADDITIONAL WORKING PLACE. APPROVED ON JULY 18, 2025.STOPPED ON SEPTEMBER 15, 2025, ALREADY HIT THE TARGET AND WILL CONVERT TO ON-VEIN DRIFT.</t>
  </si>
  <si>
    <t>L425_GHVHW_060E_DW</t>
  </si>
  <si>
    <t>REPLACEMENT OF L425_GHVHW_061E_DW. APPROVED ON JULY 22, 2025.STOPPED ON SEPTEMBER 16, 2025, ALREADY MADE  A BREAKTHROUGH. MANPOWER WAS REVERTED TO  L425_GHVHW_060E_DW.</t>
  </si>
  <si>
    <t>REPLACEMENT OF L08_DPVE_027E_RAISE. APPROVED ON SEPTEMBER 5, 2025.STOPPED ON SEPTEMBVER 14, 2025. ALREADY MADE A BREAKTHROUGH.</t>
  </si>
  <si>
    <t>L12_JVHW_055E_RAISE</t>
  </si>
  <si>
    <t>DUHIG, P.</t>
  </si>
  <si>
    <t>L12_GHVFW_026E_DW</t>
  </si>
  <si>
    <t>L12_GHVSPLIT_054E_ROBBING</t>
  </si>
  <si>
    <t>L425_JVSPLIT_047E_DW</t>
  </si>
  <si>
    <t>L425_JVSPLIT_053E_DE</t>
  </si>
  <si>
    <t>L425_GHVSPLIT_073E_DE</t>
  </si>
  <si>
    <t>L11_DPVE_045E_DW</t>
  </si>
  <si>
    <t>L12_JVSPLIT_042E_RAISE</t>
  </si>
  <si>
    <t>REPLACEMENT OF L08_GHVFW_029E_DW. APPROVED ON AUGUST 22, 2025.STOPPED ON SEPTEMBER 2, 2025. NOT FOR BREAKTHROUGH.RESUMED ON SEPTEMBER 12, 2025 AS A REPLACEMENT OF L08_GHVFW_026E_RAISE.MINE GEOLOGY RECOMMENDS TO STOP THIS HEADING. STOPPED ON SEPTEMBER 16, 2025</t>
  </si>
  <si>
    <t>REPLACEMENT OF L08_JV_073E_ROBBING. APPROVED ON JUNE 23, 2025.MINE GEOLOGY RECOMMENDS TO STOP THIS HEADING TO PROCEED TO ISL. STOPPED ON SEPTEMBER 16, 2025</t>
  </si>
  <si>
    <t>L09_DPVE_073E_WINZE</t>
  </si>
  <si>
    <t>L09_JV_061E_WINZE</t>
  </si>
  <si>
    <t>ADDITIONAL WORKING PLACE. INCLUDES REGRADING ACTIVITY OF MAINLINE. APPROVED ON JULY 24, 2025.  TRANSFERRED FROM FABROA TO QUIJANO 3 STARTING ON JULY 28, 2025, DUE TO MP SUSPENSION.MINE GEOLOGY RECOMMENDS TO STOP THIS HEADING DUE TO CONSECUTIVE LOW ASSAY GRADE. STOPPED ON SEPTEMBER 15, 2025</t>
  </si>
  <si>
    <t xml:space="preserve">REPLACEMENT OF L425_JV_043E_DE. APPROVED ON JULY 23, 2025.CHANGE TEAM LEADER TO BAÑEZ 1 FROM DELOS REYES. APPROVED AUGUST 14, 2025. STOPPED ON SEPTEMBER 16, 2025, ALREADY FINISHED HEADING. </t>
  </si>
  <si>
    <t>REPLACEMENT OF L425_NONE_057E_XCN. APPROVED ON FEBRUARY 24,2025. TEMPORARY STOPPED ON APRIL 11, 2025. TO PRIORITIZE L425_JV_055E_RAISE PREP. WILL RESUME IMMEDIATELY AFTER THE PREPARATION. RESUMED ON APRIL 15, 2025. 1ST SHIFT. TEMPORARY STOPPED ON MAY 29, 2025. TO PRIORITIZE L425_JV_067E_DE.RESUMED ON JULY 30, 2025.AT THE SAME TIME TRANSFER OF TEAM LEADER FROM OLIVEROS TO DELOS REYES. APPROVED ON JULY 30, 2025 ALSO RENAMED TO L425_JV_071E_DE FROM L425_JV_057E_DE STARTING JULY 30, 2025 TO AVOID MISCHARGING TO L425_GHV_057E_DE.ADDITIONAL HORIZONTAL DRIVE. EXPLORATORY DRIVE. APPROVED ON MAY 29, 2025.STOPPED ON JUNE 28, 2025 DUE TO PINCHED OUT OF VEIN.RESUMED ON JULY 30, 2025 AT THE SAME TIME TRANSFER OF TEAM LEADER FROM OLIVEROS 3 TO DELOS REYES. RENAMED TO L425_JV_071E_DE FROM L425_JV_057E_DE STARTING JULY 30, 2025 TO AVOID MISCHARGING TO L425_GHV_057E_DE. MINE GEOLOGY RECOMMENDS TO STOP THIS HEADING DUE TO PINCHED OUT VEIN. STOOPED ON SEPTEMEBER 16, 2025</t>
  </si>
  <si>
    <t>REPLACEMENT OF L11_GHVSPLIT_018E_DW. APPROVED ON SEPTEMBER 10, 2025. CANCEL WORKPLACE DUE TO INSUFFICIENT MANPOWER. APPROVED ON SEPTEMBER 17,2025.</t>
  </si>
  <si>
    <t>REPLACEMENT OF L10_NONE_025W_XCS. APPROVED ON JULY 4, 2025. 3RD SHIFT. TEMPORARY STOPPED ON JULY 24, 2025 TO PRIORITIZE FOLLOW UP RAISE. RESUMED FOR OPERATIONS ON AUGUST 15, 2025.MINE GEOLOGY RECOMMENDS TO RENAME FROM L10_GHVSPLIT_026W_DW TO L10_GHV_026W_DW FOR PROPER DESIGNATION BASED ON ITS EXTENSION. APPROVED ON AUGUST 25, 2025. MINE GEOLOGY RECOMMENDS TO STOP THIS HEADING DUE TO POOR VEIN MINERALIZATION AND NARROW VEIN STRUCTION. STOPPED ON SEPTEMBER 17, 2025</t>
  </si>
  <si>
    <t>REPLACEMENT OF L08_DPVE_035E_DW. APPROVED ON JULY 20, 2025.TEMPORARY STOPPED ON AUGUST 28, 2025 IN ORDER TO PRIORITIZE THE RAISE PREPARATION IN THE SAME MAINLINE. RESUMED ON SEP. 3, 2025 AS RAISE PREP ON ADJACENT ML WAS DONE. MINE GEOLOGY RECOMMENDS TO STOP THIS HEADING DUE TO CONSECUTIVE LOW ASSAY GRADES. STOPPED ON SEPTEMBER 17, 2025.</t>
  </si>
  <si>
    <t>L08_DPVE_018W_DW</t>
  </si>
  <si>
    <t>L08_DPVE_009W_DW_ISL</t>
  </si>
  <si>
    <t>REPLACEMENT OF L425_DPVE_035E_DW. APPROVED ON AUGUST 29, 2025. TEMPORARY STOPPED ON SEPTEMBER 17, 2025 TO PRIORITIZE THE STOPE PREPERATION.</t>
  </si>
  <si>
    <t>L425_GHV_059E_STOPE PREP</t>
  </si>
  <si>
    <t>REPLACEMENT OF L09_NONE_091E_XCS. APPROVED ON SEPTEMBER 12, 2025.MINE GEOLOGY RECOMMENDS TO STOP THIS HEADING DUE TO PINCHED OUT VEIN. STOPPED ON SEPTEMBER 18, 2025</t>
  </si>
  <si>
    <t xml:space="preserve">REPLACEMENT OF L11_JVHW_007E_DW. APPROVED ON SEPTEMBER 10, 2025.TEMPORARY STOPPED ON SEPTEMBER 16, 2025 DUE TO PRIORITIZATION OF WORKPLACE. -CANCEL WORKPLACE DUE TO INSUFFICIENT WORKPLACE. </t>
  </si>
  <si>
    <t>L11_GHVFW_029E_DW</t>
  </si>
  <si>
    <t xml:space="preserve">REPLACEMENT OF L11_GHVHW_005E_DW. APPROVED ON AUGUST 21, 2025. STOPPED ON SEPTEMBER 18, 2025, DUE TO PINCHED OUT VEIN. </t>
  </si>
  <si>
    <t>REPLACEMENT OF L11_DPVE_078E_RAISE. APPROVED ON SEPTEMBER 16, 2025. 3RD SHIFT. CANCEL WORKPLACE DUE TO PRIORITIZATION OF WIREMESH INSTALLATION AT L11_JVHW_001E_DE. APPROVED SEPTEMBER 18, 2025.</t>
  </si>
  <si>
    <t xml:space="preserve">REPLACEMENT OF L11_GHVFW_028E_DE. APPROVED ON SEPTEMBER 08, 2025. STOPPED ON SEPTEMBER 14, 2025, TO DRIVE DRIFT WEST. </t>
  </si>
  <si>
    <t>L425_JVSPLIT_070E_DW</t>
  </si>
  <si>
    <t>L08_DPVE_040E_DE_ISL</t>
  </si>
  <si>
    <t xml:space="preserve">REPLACEMENT OF L11_JVFW_060E_STOPE PREP. APPROVED ON AUGUST 15, 2025. RECOMMENDED TO CONVERT TO STOPE BREAKING. APPROVED ON AUGUST 15, 2025. STOPPED BREAKING ON SEPTEMBER 12, 2025. RECOMMENDED TO CONVERT TO PULL-OUT. SEPTEMBER 13, 2025.CONVERTED TO PULL-OUT ON SEPTEMBER 13, 2025. STOPPED PULL-OUT ON SEPTEMBER 18, 2025. ALREADY MINED OUT WITH 122% PULL-OUT. </t>
  </si>
  <si>
    <t>REPLACEMENT OF L425_JVHW_045E_STOPE PREP. APPROVED ON AUGUST 16, 2025. MINE GEOLOGY RECOMMENDS TO STOP THIS HEADING AND PROCEED TO PULLOUT DUE TO LOW ASSAY GRADES OF IPR. STOPPED ON SEPTEMBER 18, 2025</t>
  </si>
  <si>
    <t>L425_JV_068E_RAISE</t>
  </si>
  <si>
    <t>L425_GHVHW_048E_STOPE PREP</t>
  </si>
  <si>
    <t>L425_JVSPLIT_049E_RAISE</t>
  </si>
  <si>
    <t>ADDITONAL HORIZONTAL DRIVE. APPROVED ON JUNE 11, 2025. LEAST PRIORITY WORKPLACE. TEMPORARY STOPPED ON JULY 23, 2025. RESUMED ON JULY 25, 2025. STOPPED ON JULY 26, 2025. RESUMED ON SEPTEMBER 16, 2025.  AT THE SAME TIME RENAMED FROM L425_GHVHW_061E_DW TO L425_GHVHW_060E_DW.STOPPED ON SEPTEMBER 19, 2025 TO AVOID REACHING THE EXCLUSION ZONE OF 35 SHAFT.</t>
  </si>
  <si>
    <t>L03_GHV_051W_RAISE</t>
  </si>
  <si>
    <t>051W</t>
  </si>
  <si>
    <t>L09_NONE_044E_OREPASS</t>
  </si>
  <si>
    <t>CABRIADAS</t>
  </si>
  <si>
    <t>OREPASS</t>
  </si>
  <si>
    <t>REPLACEMENT OF L11_GHVSPLIT_058E_WINZE STOPE PREP. APPROVED ON JULY 14,2025. STOPPED ON JULY 14,2025.CONVERTED FOR STOPE BREAKING. STOPPED BREAKING ON SEPTEMBER 17, 2025. RECOMMENDED TO CONVERT TO PULL-OUT.</t>
  </si>
  <si>
    <t>L10_JV_018W_DW</t>
  </si>
  <si>
    <t xml:space="preserve">REPLACEMENT OF L12_GHVSPLIT_065E_STOPE. APPROVED ON AUGUST 30, 2025.STOPPED ON SEPTEMBER 19, 2025. ALREADY MADE A BREAKTHROUGH TO ADJACENT MAINLINE. </t>
  </si>
  <si>
    <t>L08_JV_035E_DW</t>
  </si>
  <si>
    <t xml:space="preserve">ADDITIONAL WORKING PLACE. APPROVED ON AUGUST 16, 2025.STOPPED ON SEPTEMBER 19, 2025 DUE TO PINCHED OUT VEIN. </t>
  </si>
  <si>
    <t>L425_JVSPLIT_072E_DE</t>
  </si>
  <si>
    <t>LEVEL 460</t>
  </si>
  <si>
    <t>L460</t>
  </si>
  <si>
    <t>L13</t>
  </si>
  <si>
    <t>LEVEL 13</t>
  </si>
  <si>
    <t>L14</t>
  </si>
  <si>
    <t>LEVEL 14</t>
  </si>
  <si>
    <t>35E SHAFT - 250 MC 11/14/25</t>
  </si>
  <si>
    <t>Level 460</t>
  </si>
  <si>
    <t>V</t>
  </si>
  <si>
    <t>ADDITIONAL HEADING OF L08 CORPO WITH L08_DPVE_037E_DW_ISL. APPROVED ON SEPTEMBER 17, 2025.TEMPORARY STOPPED ON SEPTEMBER 23, 2025 TO PRIORITIZE THE DRIFT WEST ISL.</t>
  </si>
  <si>
    <t>L425_GHVHW_071E_RAISE</t>
  </si>
  <si>
    <t xml:space="preserve">ADDITIONAL SOURCE OF ORE PRODUCTION. MANPOWER FROM L12. APPROVED ON JUNE 27, 2025. STOPPED ON JULY 21,2025 FOR STOPE BREAKING. REPLACEMENT OF L425_JV_055_STOPE PREP. APPROVED ON JULY 21, 2025. STOPPED BREAKING ON SEPTEMBER 23, 2025. 
 </t>
  </si>
  <si>
    <t>REPLACEMENT OF L425_GHVSPLIT_064E_STOPE PREP. APPROVED ON MAY 28, 2025. TEMPORARY STOPPED ON JULY 2, 2025. AFFECTED BY LOW WATER AND AIR PRESSURE. RESUMED ON JULY 23, 2025. STOPPED BREAKING ON SEPTEMBER 23, 2025. RECOMMENDED TO PROCEED TO PULL OUT.</t>
  </si>
  <si>
    <t>L425_JVSPLIT_050E_RAISE</t>
  </si>
  <si>
    <t>L425_JVSPLIT_061E_DE</t>
  </si>
  <si>
    <t>REPLACEMENT OF L08_DPVE_020W_STOPE. APPROVED ON JUNE 30, 2025.MINE GEOLOGY RECOMMENDS TO STOP THIS WORKPLACE ABD TO PROCEED TO DRIFT ISL. STOPPED ON SEPTEMBER 22, 2025.</t>
  </si>
  <si>
    <t>L08_DPVE_021W_DE_ISL</t>
  </si>
  <si>
    <t>L08_DPVE_038E_DW_ISL</t>
  </si>
  <si>
    <t>L08_DPVE_022W_DW_ISL</t>
  </si>
  <si>
    <t>ADDITIONAL WORKPLACE. APPROVED ON JULY 23, 2025.STOPPED ON JUNE 29, 2025.RESUMED ON JULY 30, 2025 AT THE SAME TIME TRANSFER OF TEAM LEADER FROM OLIVEROS 3 TO DELOS REYES. STOPPED ON JULY 31, 2025. TO BE CONVERTED TO CROSSCUT.STOPPED DUE TO PINCHED OUT VEIN. MEMO TO BE FOLLOWED. APPROVED ON AUGUST 01, 2025.REPLACEMENT OF L425_NONE_067E_XCS. RESUMED FOR OPERATION. RESUME ON AUGUST 5, 2025.MINE GEOLOGY RECOMMENDS TO STOP THIS HEADING TO DRIVE ITS OPPOSITE SIDE FOR BREAKTHROUGH. STOPPED ON SEPTEMBER 24,2025.</t>
  </si>
  <si>
    <t>L425_GHV_065E_DW</t>
  </si>
  <si>
    <t>ADDITIONAL HORIZONTAL DRIVE. . TO DRIVE ANOTHER VEIN INTERCEPT. APPROVED ON JUNE 27, 2025. BACKSWITCH OF L425_GHV_038E_DW. APPROVED ON JUNE 29, 2025. CHANGE TEAMLEADER FROM CAPPUYO 1 TO NITRO BF 3. MANPOWER FROM LEVEL 12. APPROVED ON AUGUST 16, 2025. MINE GEOLOGY RECOMMENDS TO STOP THIS HEADING DUE TO PINCHED OUT VEIN. STOPPED ON SEPTEMBER 10, 2025.</t>
  </si>
  <si>
    <t>REPLACEMENT OF L12_JVFW_040E_DW. APPROVED ON JANUARY 13, 2025 (3RD SHIFT). TEMPORARY STOPPED ON MARCH 06, 2025. TO PRIORITIZE L12_GHV_070E_STOPE. RESUMED ON MARCH 17, 2025. STOPPED ON APRIL 01, 2025. DUE TO CONSECUTIVE LOW ASSAY GRADES ON BOTH CUT AND BULK SAMPLES. AND FOR PRIORITIZATION OF HIGHER PAYABALITY LEVELS. RESUMED ON AUGUST 14, 2025. TEMPORARY STOPPED DUE TO FINALIZATION OF GROUP TO HANDLE ON AUGUST 15, 2025. RESUMED ON AUGUST 20, 2025. REPLACEMENT OF L12_JVFW_044E_RAISE.STOPPED ON SEPTEMBER 23, 2025 (3RD SHIFT) DUE TO LOW ASSAY GRADES FROM CUT AND BULK SAMPLES.</t>
  </si>
  <si>
    <t>REPLACEMENT OF L12_DPVE_071E_DW. APPROVED ON SEPTEMBER 2, 2025. STOPPED ON SEPTEMBER 23, 2025 (3RS SHIFT) DUE TO LOW ASSAY GRADES FROM CUT AND BULK. SAMPLES.</t>
  </si>
  <si>
    <t>L12_DPVE_022E_RAISE</t>
  </si>
  <si>
    <t>REPLACEMENT OF L425_GHV_032E_DW. APPROVED ON AUGUST 30, 2025. MINE GEOLOGY RECOMMENDS TO STOP THIS HEADING DUE TO CONSECUTIVE LOW ASSAY GRADES. STOPPED ON SEPTEMBER 25, 2025.</t>
  </si>
  <si>
    <t>L11_DPVE_102E_DE</t>
  </si>
  <si>
    <t>REPLACEMENT OF L11_NONE_08W_CHAMBER. APPROVED ON SEPTEMBER 10, 2025. CHANGE TEAM LEADER FROM NITRO BB TO BADBADON. APPROVED ON SEPTEMBER 12, 2025. STOPPED ON SEPTEMBER 26, 2025, RECOMMEND TO CONVERT THIS HEADING TO CROSSCUT.</t>
  </si>
  <si>
    <t>L11_NONE_067E_XCN</t>
  </si>
  <si>
    <t>ADDITIONAL HORIZONTAL DEVT DRIVE. APPROVED ON SEPT 17, 2024. CHANGED GROUP NAME FROM CAPPUYO 1 TO CAPPUYO 4 FOR PROPER GROUP DESIGNATION. TEMPORARY STOPPED ON DECEMBER 21, 2024. TO PRIORITIZE L425_GHVS_062E_RAISE. RESUMED ON JANUARY 13, 2025. TEMPORARY STOPPED ON MARCH 26, 2025. TO PRIORITIZE L425_GHVHW_063E_RAISE. RESUMED ON APRIL 02, 2025. TEMPORARY STOPPED ON APRIL 16,2025 DELAY BY RAISE PREPARATION AT L425_GHVHW_066E_RAISE. RESUMED ON JUNE 13, 2025 ALSO RENAMED FROM L425_GHVHW_061E_DE TO L425_GHVHW_062E_DE TO AVOID MISCHARGING. AT THE SAME TIME CHANGED TEAM LEADER FROM CAPPUYO 4 TO BABOR 3. TEMPORARY STOPPED ON SEPTEMBER 23, 2025 TO PRIORITIZE THE RAISE PREP ON THE SAME MAINLINE. APPROVED ON SEPTEMBER 26, 2025</t>
  </si>
  <si>
    <t>L12_GHVHW_066E_DW</t>
  </si>
  <si>
    <t>REPLACEMENT OF L12_NONE_070E_XCS. APPROVED ON SEPTEMBER 15, 2025. STOPPED DUE TO CONSECUTIVE LOW GRADE ON BOTH CUT AND BULK SAMPLES. APPROVED ON SEPTEMBER 26,2025</t>
  </si>
  <si>
    <t>HAGANAS</t>
  </si>
  <si>
    <t>BACLAS</t>
  </si>
  <si>
    <t>BACLAS 2</t>
  </si>
  <si>
    <t>DURANGO 3</t>
  </si>
  <si>
    <t>DURANGO</t>
  </si>
  <si>
    <t>DURANGO 2</t>
  </si>
  <si>
    <t>LANTACA</t>
  </si>
  <si>
    <t>NITRO CG</t>
  </si>
  <si>
    <t>L08_NONE_001W_RAISE</t>
  </si>
  <si>
    <t>NITRO CF 1</t>
  </si>
  <si>
    <t>NITRO CF 2</t>
  </si>
  <si>
    <t>CANTAGO 1</t>
  </si>
  <si>
    <t>CANTAGO 3</t>
  </si>
  <si>
    <t>CANTAGO</t>
  </si>
  <si>
    <t>CANTAGO 2</t>
  </si>
  <si>
    <t>REPLACEMENT OF L08_DPVE_011W_DE_ISL. APPROVED ON SEPTEMBER 15, 2025.RENAMED FROM L08_DPVE_015W_DW_ISL TO L08_DPVE_009W_DW_ISL TO AVOID MISCONCEPTION WITH OTHER HEADING. APPROVED ON SEPTEMBER 17, 2025. CHANGED TEAMLEADER FROM CARIKITAN 2 TO NITRO CF 2. NITRO CF WILL TAKE OVER THE HEADINGS OF CARIKITAN. APPROVED ON SEPTEMBER 27, 2025.TEMPORARY STOPPED DUE TO ABSENTEEISM OF MEN RESULTING TO ABANDONMENT OF WORKPLACE. APPROVED ON SEPTEMBER 27, 2025</t>
  </si>
  <si>
    <t xml:space="preserve">REPLACEMENT OF L09_DPVE_092E_DW. APPROVED ON SEPTEMBER 16, 2025.STOPPED ON SEPTEMBER 29, 2025, DUE TO LOW ORE GRADES ON CUT SAMPLES. </t>
  </si>
  <si>
    <t xml:space="preserve">REPLACEMENT OF L09_GHV_024W_RAISE. APPROVED ON SEPTEMBER 02, 2025. STOPPED ON SEPTEMBER 30, 2025, DUE TO POOR VEIN MINERALIZATION ON THE CURRENT INTERCEPTED VEIN. </t>
  </si>
  <si>
    <t xml:space="preserve">      LEVEL 425</t>
  </si>
  <si>
    <t xml:space="preserve">     LEVEL 460</t>
  </si>
  <si>
    <t xml:space="preserve">REPLACEMENT OF L425_NONE_039E_XCN BAÑEZ 4. APPROVED ON AUGUST 01, 2025. CHANGE OF TEAM LEADER FROM BAÑEZ 4 TO OLIVEROS . APPROVED ON SEPTEMBER 16, 2025.TEMPORARY STOPPED ON SEPTEMBER 29, 2025 TO DRIVE ITS ON VEIN SWITCH. </t>
  </si>
  <si>
    <t>L425_JV_038E_DW</t>
  </si>
  <si>
    <t>REPLACEMENT OF L08_DPVE_012W_STOPE. APPROVED ON MAY 29, 2025. CHANGED TEAMLEADER FROM CARIKITAN 1 TO NITRO CF 1. NITRO CF WILL TAKE OVER THE HEADINGS OF CARIKITAN. APPROVED ON SEPTEMBER 27, 2025.STOPPED BREAKING ON SEPTEMBER 29, 2025. RECOMMENDED TO CONVERT PULL-OUT ON SEPTEMBER 30, 2025.</t>
  </si>
  <si>
    <t>ADDITIONAL WORKPLACE. MANPOWER CORPO TO L425_GHVS_059E_RAISE. APPROVED ON SEPTEMBER 3, 2025.ADDITIONAL WORKPLACE. MANPOWER CORPO TO L425_GHVS_059E_RAISE. APPROVED ON SEPTEMBER 3, 2025.RENAME FROM L425_NONE_044E_XCN TO L425_NONE_040E_XCN. APPROVED SEPTEMBER 06, 2025.STOPPED ON SEPTEMBER 30, 2025. TARGET PROJECTED VEIN WAS ALREADY REACHED.</t>
  </si>
  <si>
    <t>L425_GHV_045E_DW</t>
  </si>
  <si>
    <t>L08_DPVE_010W_DE_ISL</t>
  </si>
  <si>
    <t>NITRO CF1</t>
  </si>
  <si>
    <t>L08_NONE_008W_RAISE</t>
  </si>
  <si>
    <t>L425_GHVSPLIT_056E_WINZE</t>
  </si>
  <si>
    <t xml:space="preserve">SPECIAL PROJECT FOR VENTILATION. APPROVED ON APRIL 26, 2025.STOPPED ON JULY 2, 2025 ALREADY MADE A BREAKTHROUGH AT LEVEL 12.  MEMO TO BE FOLLOWED AS PER DCN. </t>
  </si>
  <si>
    <t>L460_DSP_033E_ALIMAK_RAISE</t>
  </si>
  <si>
    <t>L11_DPVE_101E_DW</t>
  </si>
  <si>
    <t>REPLACEMENT OF L08_NONE_010E_XCN. APRROVED ON AUGUST 30, 2025. MINE GEOLOGY RECOMMENDS TO STOP THIS HEADING AND TO PROCEED TO ON-VEIN DRIVE APPROVED ON SEPTEMBER 23, 2025.</t>
  </si>
  <si>
    <t>L09_NONE_041E_XCS</t>
  </si>
  <si>
    <t>L11_DPVE_080E_RAISE</t>
  </si>
  <si>
    <t xml:space="preserve">ADDITIONAL WORKING PLACE. FILL WINZE AS WASTE PASS TO BREAKTHROUGH AT L12_GHVFW_059E_STOPE. APPROVED ON SEPTEMBER 05, 2025. STOPPED ON SEPTEMBER 28, 2025. ALREADY FINISHED HEADING. </t>
  </si>
  <si>
    <t>L08_DPVE_011W_RAISE</t>
  </si>
  <si>
    <t>REPLACEMENT OF L425_JV_071E_DE. APPROVED ON SEPTEMBER 19, 2025. THIS WORKING PLACE WILL BE TEMPORARY STOPPED DUE TO INADEQUATE SKILL TO OPERATE THE HEADING. APPROVED ON OCTOBER 1, 2025.</t>
  </si>
  <si>
    <t xml:space="preserve">REPLACEMENT OF L425_GHV_067E_DE. APPROVED ON SEPTEMBER 24, 2025. STOPPED ON OCTOBER 1 2025. MADE A BREAKTHROUGH. </t>
  </si>
  <si>
    <t>L425_GHVHW_075E_DE</t>
  </si>
  <si>
    <t>L425_GHV_063E_DE</t>
  </si>
  <si>
    <t>L425_DSP_31B_ALIMAK_RAISE</t>
  </si>
  <si>
    <t>L01_TIGERWAY_DSP24-20_ALIMAK_RAISE</t>
  </si>
  <si>
    <t>L07_NONE_035E_ALIMAK_RAISE</t>
  </si>
  <si>
    <t>REPLACEMENT OF L11_GHVFW_029E_DE. APPROVED SEPTEMBER 15, 2025. STOPPED ON OCTOBER 02, 2025, DUE TO LOW GRADE ON BOTH BULK AND CUT SAMPLES.</t>
  </si>
  <si>
    <t>L08_GHV_016W_ROBBING</t>
  </si>
  <si>
    <t>L09_GHVSPLIT_002E_WINZE</t>
  </si>
  <si>
    <t>L12_JVHW_053E_DW_ISL</t>
  </si>
  <si>
    <t>REPLACEMENT OF L10_NONE_018E_XCN. APPROVED ON AUGUST 15, 2025. TEMPORARY STOPPED ON SEPTEMBER 9, 2025 TO PRIORITIZE THE DRIFT WEST.RESUMED ON SEPTEMBER 19, 2025.TEMPORARY STOPPED DUE TO INSUFFICIENT MANPOWER TO OPERATE THE HEADING AND TO PRIORITIZE L10_DPVE_021E_DW. EFFECTIVE ON OCTOBER 3, 2025.</t>
  </si>
  <si>
    <t xml:space="preserve">ADDITIONAL WORKING PLACE. CORPO WITH L11_NONE_090E_XCS. APPROVED ON AUGUST 12, 2025.TEMPORARY STOPPED ON AUGUST 21, 2025 TO PRIORITIZED L11_DPVE_096E_DW. RESUMED OPERATION ON AUG. 28, 2025.CORPO WITH L11_DPVE_047E_DE AT THE SAME TIME REPLACEMENT OF L11_DPVE_047E_DE WHEN HEADING WILL BE FINISHED INSTALLATION OF GROUND SUPPORT. CHANGE TEAM LEADER FROM BAÑEZ TO BADBADON. APPROVED ON SEPTEMBER 23, 2025. TEMPORARY STOPPED ON SEPTEMBER 23, 2025, DUE TO PRIORITIZATION OF ADJACENT RAISE PREP.RESUMPTION OF THE WORKPLACE. APPROVED ON SEPTEMBER 28, 2025.STOPPED ON OCTOBER 04, 2025, DUE TO PINCHED OUT ON THE CURRENT FACE OF THE DRIVE. RECOMMEND TO DEVELOP THE EAST-WEST TREND VEIN INTERCEPT. </t>
  </si>
  <si>
    <t>L11_DPVE_096E_DE</t>
  </si>
  <si>
    <t>REPLACEMENT OF L09_GHV_023W_DW. APPROVED ON SEPTEMBER 15, 2025.STOPPED ON OCTOBER 04, 2025, WILL BE CONVERTED TO ON-VEIN DRIVE.</t>
  </si>
  <si>
    <t>L09_GHVFW_023E_DE</t>
  </si>
  <si>
    <t xml:space="preserve">REPLACEMENT OF L08_GHVFW_031E_DE. APPROVED ON SEPTEMBER 19, 2025. RENAME OF TEAMLEADER FROM NITRO BZ TO CANTAGO DUE TO FULL-FLEDGED TEAM LEADER. APPROVED ON SEPTEMBER 27, 2025. STOPPED ON OCTOBER 3, 2025, ALREADY MADE A BREAKTHROUGH. </t>
  </si>
  <si>
    <t>L09_DPVE_040E_DW</t>
  </si>
  <si>
    <t>REPLACEMENT OF L11_DPVE_046E_DW, APPROVED ON AUGUST 30, 2025. ALREADY MADE A BREAKTHROUGH. STOPPED ON SEPTEMBER 24, 2025.</t>
  </si>
  <si>
    <t>L11_DPVE_068E_DW</t>
  </si>
  <si>
    <t>REPLACEMENT OF L11_GHVSPLIT_058E_WINZE STOPE PREP. APPROVED ON JULY 14,2025. STOPPED ON JULY 14,2025.CONVERTED FOR STOPE BREAKING. STOPPED BREAKING ON SEPTEMBER 17, 2025. RECOMMENDED TO CONVERT TO PULL-OUT.RECOMMENDED TO CONVERT TO PULL-OUT. APPROVED ON SEPTEMBER 17, 2025.ALREADY MINED OUT AT 98% PULL OUT. STOPPED ON OCTOBER 5, 2025.</t>
  </si>
  <si>
    <t>REPLACEMENT OF L11_DPVE_069E_DW. APPROVED ON SEPTEMBER 26, 2025.STOPPED ON OCTOBER 5, 2025 ALREADY REACHED ITS TARGET VEIN.</t>
  </si>
  <si>
    <t>REPLACEMENT OF L11_JVHW_007E_DW. APPROVED ON SEPTEMBER 11, 2025.STOPPED DUE TO CONSECUTIVE LOW GRADE FLOOR IN BOTH BULK AND CUT SAMPLES. APPROVED OCTOBER 5, 2025</t>
  </si>
  <si>
    <t>CATCHMENT SUMP FOR DRILLING CHAMBER. APPROVED ON JULY 2, 2025. TEMPORARY STOPPED ON AUGUST 15, 2025 DUE TO INSUFFICIENT MANPOWER.</t>
  </si>
  <si>
    <t xml:space="preserve">REPLACEMENT OF L425_GHVSPLIT_065E_DE. APPROVED ON JULY 22, 2025.CHANGE THE NAME OF THIS HEADING  L425_GHVSPLIT_065E_RAISE INTO L425_GHVS_063E_RAISE TO AVOID MISCHARGING FROM  L425_GHVSPLIT_065E_DE. APPROVED ON AUGUST 13, 2025.CHANGE TEAM LEADER FROM DUHIG, R TO NITRO BF 2. APPROVED ON AUGUST 16, 2025.  STOPPED ON SEPTEMBER 19, 2025 SINCE THE HEADING IS NOT FOR BREAKTHROUGH TO AVOID THE DELAYS FROM THE WORKPLACE ABOVE.
</t>
  </si>
  <si>
    <t>L12_NONE_025E_XCS</t>
  </si>
  <si>
    <t>L09_GHVFW_020E_DW</t>
  </si>
  <si>
    <t>L09_NONE_090E_XCN</t>
  </si>
  <si>
    <t xml:space="preserve">REPLACEMENT OF L09_DPVE_012E_RAISE. APPROVED ON JULY 16,2025. TRANSFERRED FROM NITRO AA TO QUIJANO 1 STARTING ON JULY 28, 2025, DUE TO MP SUSPENSION. MINE GEOLOGY RECOMMENDS TO STOP HEADING DUE AND NOT PROCEED TO DRIVE ISL DUE TO LOW CONSECUTIVE LOW ASSAY GRADE DESPITE REACHING +-30m. STOPPED ON OCTOBER 5, 2025.
 </t>
  </si>
  <si>
    <t>REPLACEMENT OF L425_NONE_059E_XCS. APPROVED ON JULY 30, 2025. RENAMED TO L425_JVS_053E_DE FROM L425_JVS_052E_DE TO AVOID MISCHARGING FROM L425_GHVS_052E_STOPE ON JULY 30, 2025.STOPPED ON SEPTEMBER 20, 2025 DUE TO CONSECUTIVE LOW ASSAY GRADE RESULTS. TEMPORARY STOPPED ON SEPTEMBER 20, 2025 DUE TO CONSECUTIVE LOW ASSAY GRADE RESULTS AND TO PRIORITIZE OTHER WORKPLACES.WILL BE RESUMED FOR OPERATION AND WILL BE TRANSFERRED UNDER TEAM LEADER DELOS REYES. APPROVED ON OCTOBER 1, 2025.MINE GEOLOGY RECOMMENDS TO STOP THIS WORKPLACE DUE TO PINCHED OUT VEIN APPROVED ON OCTOBER 6, 2025.</t>
  </si>
  <si>
    <t>ADDITIONAL WORKING PLACE. APPROVED ON SEPTEMBER 10, 2025.  STOPPED DUE TO CONSECUTIVE LOW ASSAY GRADES ON CUT/BULK SAMPLES DUE TO POOR VEIN TEXTURE AND MINERALIZATION APPROVED ON OCTOBER 6, 2025.</t>
  </si>
  <si>
    <t>L425_GHVSPLIT_046E_STOPE</t>
  </si>
  <si>
    <t>ADDITIONAL WORKING PLACE. APPROVED ON SEPTEMBER 05, 2025. SILL PILLAR. FINISHED HEADING ON OCTOBER 6, 2025.</t>
  </si>
  <si>
    <t xml:space="preserve">REPLACEMENT OF L12_GHV_073E_ROBBING. APPROVED ON AUGUST 25,2025. CHANGE TEAM LEADER FROM FERNANDEZ  TO CAYMAN. APPROVED ON SEPTEMBER 17, 2025. L12_GHVSPLIT_054E_ROBBING CAYMAN
STOPPED. FINISHED HEADING ON OCTOBER 6, 2025.
 </t>
  </si>
  <si>
    <t>SILL PILLAR ROBBING. REPLACEMENT OF L08_GHV_057E_ROBBING. APPROVED ON AUGUST 27, 2025. STOPPED. FINISHED HEADING ON SEPTEMBER 29, 2025.</t>
  </si>
  <si>
    <t>ADDITIONAL WORKING PLACE. APPROVED ON AUGUST 27, 2025.TEMPORARY STOPPED ON SEP. 2, 2025 TO PRIORITIZE HORIZONTAL DEVELOPMENT L08_DPVE_014W_DE. RESUMED FOR OPERATIONS ON SEPTEMBER 17, 2025. REPLACEMENT OF L08_DPVE_014W_DE. RENAME OF TEAMLEADER FROM NITRO BZ TO CANTAGO DUE TO FULL-FLEDGED TEAM LEADER. APPROVED ON SEPTEMBER 27, 2025.STOPPED. FINISHED HEADING ON OCTOBER 1, 2025.</t>
  </si>
  <si>
    <t>ADDITIONAL HEADING OF L08. APPROVED ON AUGUST 30, 2025. TEMPORARY STOPPED FOR MILL HOLE PREPARATION EFFECTIVE OCTOBER 3, 2025.</t>
  </si>
  <si>
    <t>REPLACEMENT OF L08_DPVE_012W_STOPE. APPROVED ON MAY 29, 2025. CHANGED TEAMLEADER FROM CARIKITAN 1 TO NITRO CF 1. NITRO CF WILL TAKE OVER THE HEADINGS OF CARIKITAN. APPROVED ON SEPTEMBER 27, 2025.STOPPED BREAKING ON SEPTEMBER 29, 2025. RECOMMENDED TO CONVERT PULL-OUT ON SEPTEMBER 30, 2025.TEMPORARY STOPPED ON OCTOBER 04, 2025, DUE TO LARGE SLABBING ON OCTOBER 03, 2025. STOPPED. FINISHED HEADING ON OCTOBER 4, 2025.</t>
  </si>
  <si>
    <t>ADDITIONAL WORKING PLACE. APPROVED ON SEPTEMBER 23, 2025.MINE GEOLOGY RECOMMENDS TO CHANGE HEADING FROM L11_DPVE_102E_DW TO L11_DPVE_102E_DE. APPROVED ON SEPTEMBER 26, 2025. STOPPED. THE VEIN WAS CUT BY MINERALIZED FAULT EFFECTIVE ON OCTOBER 7, 2025</t>
  </si>
  <si>
    <t>L425_GHV_047E_RAISE</t>
  </si>
  <si>
    <r>
      <rPr>
        <b/>
        <sz val="11"/>
        <color theme="1"/>
        <rFont val="Calibri"/>
        <family val="2"/>
        <scheme val="minor"/>
      </rPr>
      <t xml:space="preserve"> </t>
    </r>
    <r>
      <rPr>
        <sz val="11"/>
        <color theme="1"/>
        <rFont val="Calibri"/>
        <family val="2"/>
        <scheme val="minor"/>
      </rPr>
      <t>REPLACEMENT OF L12_JVHW_064E_RAISE, APPROVED ON JULY 22, 2025. CHANGE  TEAMLEADER FROM NITRO BO TO NITRO CG DUE TO RESIGNATION OF PREVIOUS TEAM LEADER. APPROVED ON SEPTEMBER 27, 2025. STOPPED. FINISHED HEADING ALREADY MADE A BREAKTHROUGH AND REPLACED BY L12_JVHW_053E_DW_ISL. APPROVE ON OCTOBER 1, 2025</t>
    </r>
  </si>
  <si>
    <t>L08_JV_024E_DW_ISL</t>
  </si>
  <si>
    <t>L08_GHV_068E_ROBBING</t>
  </si>
  <si>
    <t>L425_GHVHW_048E_STOPE</t>
  </si>
  <si>
    <t>L425_GHV_052E_WINZE</t>
  </si>
  <si>
    <t>DUHIG,P</t>
  </si>
  <si>
    <t>L12_GHVSPLIT_069E_DW</t>
  </si>
  <si>
    <t>L11_DPVE_102E_RAISE</t>
  </si>
  <si>
    <t>REPLACEMENT OF L425_GHVHW_060E_DW. APPROVED ON SEPTEMBER 19, 2025.CONVERTED TO STOPE BREAKING APPROVED ON OCTOBER 8, 2025.</t>
  </si>
  <si>
    <t>REPLACEMENT OF L425_GHVSPLIT_065E_DE. APRROVED ON AUGUST 13, 2025.MINE GEOLOGY RECOMMENDS TO STOP THIS HEADING DUE TO CONSECUTIVE LOW ASSAY GRADE ON BOTH CUT AND BULK SAMPLES. STOPPED ON OCTOBER 7, 2025.</t>
  </si>
  <si>
    <t>L10_DPVE_012W_DW</t>
  </si>
  <si>
    <t>REPLACEMENT OF L12_DPVE_027E_STOPE PREP. APPROVED ON APRIL 22, 2025. TEMPORARY STOPPED ON JULY 4, 2025. LAYOUT AND INSTALLATION OF PRESSURE TANK. RESUMED ON JULY 5, 2025. WILL BE TRANSFER TEAM LEADER TO CAYMAN FROM NITRO BN DUE TO INADEQUATE SKILL. APPROVED ON JULY 22, 2025. STOPPED STOPE BREAKING ON AUGUST 20, 2025 AND CONVERTED TO PULL-OUT AT THE SAME TIME.STOPPED STOPE BREAKING ON AUGUST 20, 2025 AND CONVERTED TO PULL-OUT AT THE SAME TIME.STOPPED ON SEPTEMBER 10, 2025. ALREADY MINED OUT. PULL OUT ATTAINMENT IS AT 107%</t>
  </si>
  <si>
    <t>L425_GHV_074E_DE</t>
  </si>
  <si>
    <t>ADDITIONAL WORKPLACE. MANPOWER CORPO WITH L425_NONE_069E_XCN. APPROVED ON SEPTEMBER 13, 2025.RENAME FROM L425_JVSPLIT_061E_DW TO L425_JVSPLIT_061E_DE. APPROVED ON SEPTEMBER 16, 2025. RENAMED FROM L425_JVSPLIT_061E_DE TO L425_JVSPLIT_072E_DE. APPROVED ON SEPTEMBER 20, 2025. MINE GEOLOGY RECOMMENDS TO TEMPORARY STOP THIS HEADING DUE TO PINCHED OUT VEIN. STOPPED ON OCTOBER 09, 2025.</t>
  </si>
  <si>
    <t>ADDITIONAL HEADING OF L425. CORPO WITH L425_JVSPLIT_061E_DE. APPROVED ON SEPTEMBER 17, 2025.MINE GEOLOGY RECCOMMENDS TO TEMPORARY STOP THIS HEADING DUE TO PINCHED OUT VEIN. STOPPED ON OCTOBER 09, 2025.</t>
  </si>
  <si>
    <t>REPLACEMENT OF L11_JV_011E_DW  COMAINGKING. APPROVED ON SEPTEMBER 11, 2025. TEMPORARY STOPPED ON SEPTEMBER 15, 2025, TO PRIORITIZED  L11_DPVE_032E_DE_ISL.RESUME ON OCTOBER 02, 2025 (3RD SHIFT). AT THE SAME TIME CHANGE TEAM LEADER  FROM COMAINGKING TO MAPAYO. REPLACEMENT OF L11_GHVFW_029E_DW.APRROVED ON OCTOBER 02, 2025. TRANSFERRED FFROM COMAINGKING TO MAPAYO EFFECTIVE OCT. 2, 2025. TEMPORARY STOPPED. MANPOWER WILL BE TRANSFERRED TO L11_DPVE_080E_RAISE. APPROVED ON OCTOBER 9, 2025</t>
  </si>
  <si>
    <t>REPLACEMENT OF L12_GHVHW_048E_DE. APPROVED ON SEPTEMBER 16, 2025. RENAME FROM L12_NONE_042E_XCN TO L12_NONE_043E_XCN. APPROVED ON SEPTEMBER 18, 2025. STOPPED, ALREADY HIT THE TARGET VEIN PROJECTION. APPROVED ON OCTOBER 9, 2025.</t>
  </si>
  <si>
    <t>L425_JVSPLIT_070E_RAISE</t>
  </si>
  <si>
    <t>L425_JVSPLIT_076E_DE</t>
  </si>
  <si>
    <t>L12_JVSPLIT_043E_DW</t>
  </si>
  <si>
    <t>DUHIG P,</t>
  </si>
  <si>
    <t>L425_JV_057E_STOPE PREP</t>
  </si>
  <si>
    <t>REPLACEMENT OF L425_JV_037E_DW. APPROVED ON JULY 31, 2025. MINE GEOLOGY RECOMMENDS TO STOP THIS HEADING TO PRIORITIZE L425_JVSPLIT_076E_DE. STOPPED ON OCTOBER 11, 2025.</t>
  </si>
  <si>
    <t xml:space="preserve">ADDITIONAL WORKPLACE.MANPOWER CORPO TO L10_DPVE_022E_DE. APPROVED ON SEPTEMBER 02, 2025. L10_DPVE_021E_DW	LARGO 1
STOPPED DUE TO LOW ASSAY GRADES ON CUT SAMPLES. APPROVED ON OCTOBER 11,2025
 </t>
  </si>
  <si>
    <t>ADDITIONAL WORKPLACE. APPROVED ON OCTOBER 5, 2025. STOPPED DUE TO VEIN MOVING TOWARDS ADJACENT MAINLINE APPROVED ON OCTOBER 11, 2025.</t>
  </si>
  <si>
    <t>LANTACA 1</t>
  </si>
  <si>
    <t>L12_NONE_060E_FILL WINZE</t>
  </si>
  <si>
    <t>L08_DPVE_009W_RAISE</t>
  </si>
  <si>
    <t>NITRO CF2</t>
  </si>
  <si>
    <t>L425_NONE_030E_XCS</t>
  </si>
  <si>
    <t xml:space="preserve">REPLACEMENT OF L12_GHVSPLIT_060E_RAISE. APPROVED ON SEPTEMBER 09, 2025.TEMPORARY STOPPED ON SEPTEMBER 15, 2025, DUE TO ABSENTEEISM OF MEN RESULTING TO ABANDONMENT OF WORKPLACE. RESUMED ON SEPTEMBER 20, 2025. REPLACEMENT OF L12_JVHW_075E_DW. CHANGE TEAMLEADER FROM NITRO BO TO NITRO BR. APRROVED ON SEPTEMBER 20, 2025.RENAME OF TEAMLEADER FROM NITRO BR TO LANTACA DUE TO FULL-FLEDGED TEAM LEADER. APPROVED ON SEPTEMBER 27, 2025. STOPPED ON OCTOBER 12, 2025, DUE TO PINCHED OUT VEIN. </t>
  </si>
  <si>
    <t>REPLACEMENT OF L11_JVHW_002E_DW, APPROVED ON AUG. 8, 2025. STOPPED. 5 METERS REMAINING TO BREAKTHROUGH TO THE ADJACENT MAINLINE. APPROVED ON OCTOBER 11, 2025.</t>
  </si>
  <si>
    <t>REPLACEMENT OF L08_DPVE_009W_DW_ISL. APPROVED ON SEPTEMBER 30, 2025. MINE GEOLOGY RECOMMENDS TO STOP THIS HEADING TO DO EXPLORATORY RAISE ON +-20 METERS BLOCKING. STOPPED ON OCTOBER 12, 2025.</t>
  </si>
  <si>
    <t>L12_DPVE_054E_RAISE</t>
  </si>
  <si>
    <t>REPLACEMENT OF L08_DPVE_040E_DE. APPROVED ON SEPTEMBER 16, 2025.RENAMED FROM L08_DPVE_016W_DW TO L08_DPVE_018W_DW TO AVOID MISCONCEPTION WITH OTHER HEADING. APPROVED ON SEPTEMBER 17, 2025. MINE GEOLOGY RECOMMENDS TO STOP THIS HEADING DUE TO LOW ASSAY GRADES. STOPPED ON OCTOBER 13, 2025.</t>
  </si>
  <si>
    <t>REPLACEMENT OF L08_DPVE_020W_DE. APPROVED ON SEP. 3, 2025.MINE GEOLOGY RECOMMENDS TO STOP THIS HEADING SINCE IT REACHED THE TARGET STRIKE LENGTH. STOPPED ON OCTOBER 13, 2025.</t>
  </si>
  <si>
    <t>REPLACEMENT OF L08_DPVE_039E_WINZE. APPROVED ON SEPTEMBER 16, 2025.TEMPORARY STOPPED ON SEPTEMBER 17, 2025 TO PRIORITIZE THE EAST DRIFT.RESUMED FOR OPERATIONS OM SEPTEMBER 23. 2025 AS REPLACEMENT OF L08_DPVE_040E_DE_ISL.RENAMED FROM L08_DPVE_037E_DW_ISL TO L08_DPVE_038E_DW_ISL TO AVOID MISCHARGING WITH OTHER HEADING. APPROVED ON SEPTEMBER 23, 2025. RENAME OF TEAMLEADER FROM NITRO BZ TO CANTAGO DUE TO FULL-FLEDGED TEAM LEADER. APPROVED ON SEPTEMBER 27, 2025. MINE GEOLOGY RECOMMENDS TO STOP THIS HEADING DUE TO UNSAFE CONDITION IF THE DEVELOPMENT WILL CONTINUE. STOPPED ON OCTOBER 13, 2025.</t>
  </si>
  <si>
    <t>L11_DPVE_070E_DW</t>
  </si>
  <si>
    <t>FERNANDEZ 3</t>
  </si>
  <si>
    <t>FERNANDEZ 6</t>
  </si>
  <si>
    <t>FERNANDEZ 9</t>
  </si>
  <si>
    <t>L08_DPVE_007W_DE_ISL</t>
  </si>
  <si>
    <t xml:space="preserve">REPLACEMENT OF L08_DPVE_017W_RAISE. APPROVED ON OCTOBER 2, 2025. STOPPED ON OCTOBER 13, 2025 SINCE IT ALREADY MADE A BREAKTHROUGH. </t>
  </si>
  <si>
    <t>ADDITIONAL WORKING PLACE OF L08. APPROVED ON SEPTEMBER 12, 2025. STOPPED ON OCTOBER 13, 2025. FINISHED HEADING.</t>
  </si>
  <si>
    <t>REPLACEMENT OF L08_DPVE_016W_WINZE. APPROVED ON SEPTEMBER 22, 2025. CHANGED TEAMLEADER FROM CARIKITAN 2 TO NITRO CF 2. NITRO CF WILL TAKE OVER THE HEADINGS OF CARIKITAN. APPROVED ON SEPTEMBER 27, 2025. TEMPORARY STOPPED ON OCTOBER 13, 2025 TO DIRECT MANPOWER PRIORITIZED DRIFT.</t>
  </si>
  <si>
    <t>REPLACEMENT OF L10_NONE_093E_XCS. APPROVED ON JULY 2, 2025.TEMPORARY STOPPED ON JULY 4, 2025 TO PRIORITIZE GROUND SUPPORT INSTALLATION. RESUMED ON JULY 14, 2025. CHANGED TEAMLEADER FROM NITRO CC TO NITRO AY GROUP. APPROVED ON JULY 22, 2025.TEMPORARY STOPPED DUE TO WORKPLACE FOR EVALUATION. EFFECTIVITY ON JULY 31, 2025.RESUMED FOR OPERATIONS AND AT THE SAME TIME CHANGED TEAM LEADER FROM NITRO AY TO BABOR 1. APPROVED ON AUGUST 30, 2025.TEMPORARY STOPPED - WAITING FOR SLUSHER. APPROVED ON SEPTEMBER 23, 2025.RESUMED ON SEPTEMBER 30, 2025.  MINE GEOLOGY RECOMMENDS TO STOPPED THIS HEADING SINCE IT BREAKTHROUGH ON OLD STOPE. STOPPED ON OCTOBER 13, 2025.</t>
  </si>
  <si>
    <t>L425_DPVE_034E_STOPE PREP</t>
  </si>
  <si>
    <t>L425_DPVE_033E_STOPE PREP</t>
  </si>
  <si>
    <t>L425_GHVSPLIT_072E_STOPE PREP</t>
  </si>
  <si>
    <t>L425_GHV_067E_STOPE PREP</t>
  </si>
  <si>
    <t>L425_DPVE_040E_RAISE</t>
  </si>
  <si>
    <t>REPLACEMENT AND ON-VEIN DRIVE OF L09_NONE_021E_XCN. APPROVED ON OCTOBER 04, 2025.  MINE GEOLOGY RECOMMENDS TO STOP THIS HEADING DUE TO NARROW VEIN AND LOW CUT GRADES. STOPPED ON OCTOBER 14, 2025</t>
  </si>
  <si>
    <t>REPLACEMENT OF L09_NONE_045W_XCN. APPROVED ON OCTOBER 1, 2025.TEMPORARY STOPPED ON OCTOBER 04, 2025, DUE TO PRIORITIZATION OF L09_DPVE_40E_MAINLINE CLEANING. L09_NONE_041E_XCS	DELOS REYES 
RESUMPTION OF THIS WORKPLACE TARGETING RESERVES EFFECTIVE ON OCTOBER 11,2025. MINE GEOLOGY RECOMMENDS TO STOP THIS HEADING TO PRIORITIZE WIMZE DEVELOPMENT. STOPPED ON OCTOBER 14, 2025.</t>
  </si>
  <si>
    <t xml:space="preserve">REPLACEMENT OF L11_JVFW_060E_STOPE. APPROVED ON SEPTEMBER 24, 2025. 2ND SHIFT.  STOPPED ON OCTOBER 14, 2025, DUE TO CONSECUTIVE LOW GRADE FLOORS ON BOTH CUT AND BILK SAMPLES. </t>
  </si>
  <si>
    <t>ADDITIONAL WORKING PLACE. CORPO WITH L11_DPVE_069E_DW. APPROVED ON SEPTEMBER 11, 2025.  STOPPED ON OCTOBER 14, 2025,DUE TO CUT BY A FAULT 3 METERS OFF-VEIN.</t>
  </si>
  <si>
    <t xml:space="preserve">ADDITIONAL VERTICAL DRIVE. EXPLORATORY RAISE. APPROVED ON MAY 29, 2025. TEMPORARY STOPPED ON JUNE 07, 2025. PRIORITIZE L425_GHVSPLIT_038E_DW HORIZONTAL DEVELOPMENT. THIS WORKING PLACE WILL BE RESUMED FOR OPERATION. REPLACEMENT OF L425_GHV_030E_RAISE. APPROVED ON OCTOBER 1, 2025. MINE GEOLOGY RECOMMENDS TO CHANGE THE NAME OF THIS HEADING FROM L425_GHV_045E_RAISE TO L425_GHV_047E_RAISE FOR PROPER ORE SEGREGATION. APPROVED ON OCTOBER 7, 2025. MINE GEOLOGY RECOMMENDS TO STOP THIS HEADING DUE TO CONSECUTIVE LOW ASSAY GRADES ON CUT SAMPLES. STOPPED ON OCTOBER 15, 2025.
</t>
  </si>
  <si>
    <t>NITRO CF3</t>
  </si>
  <si>
    <t>ADDITIONAL WORKING PLACE. MP FROM LEVEL 11. APPROVED ON JULY 15, 2025. RENAMED TEAMLEADER FROM FERNANDEZ TO FERNANDEZ 1. APPROVED ON OCTOBER 13, 2025. MINE GEOLOGY RECOMMENDS TO STOP THIS HEADING DUE TO THE CONSECUTIVELY LOW ORE GRADES PRODUCED. STOPPED ON OCTOBER 15, 2025.</t>
  </si>
  <si>
    <t>REPLACEMENT OF L10_NONE_008W_XCS. APPROVED ON SEPTEMBER 01, 2025. STOPPED ON SEPTEMBER 30, 2025. ALREADY REACHED ITS TARGET. RESUMED ON OCT. 6, 2O25 FOR BLASTING IN BACK-SWITCH. STOPPED ON OCTOBER 6, 2025. FINISHED HEADING.</t>
  </si>
  <si>
    <t>REPLACEMENT OF L09_DPVE_059E_WINZE STOPE BALANGHIG 3. APPROVED ON AUGUST 01, 2025. MINE GEOLOGY RECOMMENDS TO STOP THIS HEADING DUE TO CONSECUTIVE LOW ASSAY GRADES. STOPPED ON OCTOBER 15, 2025</t>
  </si>
  <si>
    <t>ADDITIONAL WORKPLACE. MANPOWER CORPO TO L425_DPVE_035E_DW  APPROVED ON JULY 23, 2025. TEMPORARY STOPPED ON AUGUST 11, 2025 TO PRIORITIZE L425_GHVSPLIT_064E_STOPE, MANPOWER WAS TRANSFERRED TO THE PRIORITIZED HEADING.RESUMED ON AUGUST 19, 2025. REPLACEMENT OF L425_DPVE_035E_DW.TEMPORARY STOPPED ON SEPTEMBER 23, 2025. FOR CLOSE TRAVERSE. HAS +5 REMAINING METERS TO BREAKTROUGH TO UPPER LEVEL.RESUMED ON OCTOBER 10, 2025. FOR BREAKTHROUGH WITH REMAINING CURRENT BALANCE OF 3m. ALREADY MADE A BREAKTHROUGH. STOPPED ON OCTOBER 13, 2025.</t>
  </si>
  <si>
    <t>REPLACEMENT OF L425_NONE_041E_XCS. APPROVED ON AUGUST 27, 2025.MINE GEOLOGY RECOMMENDS TO CHANGE THE NAME OF THIS HEADING INTO  L425_JVFW_044E_RAISE TO AVOID MISCHARGING FROM L425_JVHW_045E_STOPE. 
ALREADY MADE A BREAKTHROUGH. STOPPED ON OCTOBER 13, 2025.</t>
  </si>
  <si>
    <t>NITRO BB1</t>
  </si>
  <si>
    <t>L11_JV_005E_RAISE</t>
  </si>
  <si>
    <t>L11_DPVE_094E_DW</t>
  </si>
  <si>
    <t>NITRO BB2</t>
  </si>
  <si>
    <t>CLOSE TRAVERSED AND AT THE SAME TIME CONVERTED TO PULL-OUT ON SEPTEMBER 23, 2025. STOPPED ON OCTOBER 13, 2025. ALREADY MINED OUT. PULL OUT ATTAINMENT IS AT 107%.</t>
  </si>
  <si>
    <t xml:space="preserve">CLOSE TRAVERSED AND AT THE SAME TIME CONVERTED TO PULL-OUT ON SEPTEMBER 23, 2025. STOPPED ON OCTOBER 13, 2025. ALREADY MINED OUT. PULL OUT ATTAINMENT IS AT 108%
  </t>
  </si>
  <si>
    <t>L425_GHV_073E_RAISE</t>
  </si>
  <si>
    <t xml:space="preserve">REPLACEMENT OF L12_GHVHW_069E_DW. APPROVED ON SEPTEMBER 26,2025.CHANGE VEIN TYPE FROM L12_GHVHW_066E_DW TO L12_GHVSPLIT_067E_DW. APPROVED ON SEPTEMBER 29, 2025. CHANGE HEADING FROM L12_GHVSPLIT_067E_DW TO L12_GHVSPLIT_069E_DW TO AVOID MISCHARGING OF THE OTHER WORKPLACES. APPROVED ON OCTOBER 4, 2025. STOPPED ON OCTOBER 16, 2025 (3RD SHIFT), DUE TO CONSECUTIVE LOW GRADE ON BOTH CUT AND BULK SAMPLES. </t>
  </si>
  <si>
    <t xml:space="preserve">REPLACEMENT OF L12_DPVE_018E_DW. APPROVED ON SEPTEMBER 2, 2025.RENAME OF TEAMLEADER FROM NITRO BC 2 TO DURANGO 2 DUE TO FULL-FLEDGED TEAM LEADER. APPROVED ON SEPTEMBER 27, 2025. STOPPED ON OCTOBER 16, 2025 (3RD SHIFT), DUE TO CONSECUTIVE LOW GRADES ON CURRENT 3 FLOORS. </t>
  </si>
  <si>
    <t xml:space="preserve">REPLACEMENT OF L12_NONE_030E_XCS. APPROVED ON SEPTEMBER 16, 2025. RENAME OF TEAMLEADER FROM NITRO BC TO DURANGO  DUE TO FULL-FLEDGED TEAM LEADER. APPROVED ON SEPTEMBER 27, 2025. TEMPORARY STOPPED ON OCTOBER 16, 2025 (3RD SHIFT) TO PRIORITIZED L12_GHVSPLIT_038E_DW. </t>
  </si>
  <si>
    <t xml:space="preserve">REPLACEMENT OF L12_DPVE_052E_STOPE. APPROVED ON AUGUST 28, 2025.  STOPPED ON OCTOBER 16, 2025. ALREADY MADE A BREAKTHROUGH. </t>
  </si>
  <si>
    <t>L12_GHVSPLIT_066E_RAISE</t>
  </si>
  <si>
    <t xml:space="preserve">REPLACEMENT OF L12_JVS_041E_DW. APPROVED ON SEPTEMBER 16, 2025. 3RD SHIFT.  STOPPED ON OCTOBER 14, 2025, DUE TO PINCHED OUT VEIN CAUSED BY FAULT. </t>
  </si>
  <si>
    <t>L12_JVHW_059E_STOPE PREP</t>
  </si>
  <si>
    <t>L12_GHVSPLIT_038E_DW</t>
  </si>
  <si>
    <t>DURANGO </t>
  </si>
  <si>
    <t>L12_DPVE_050E_RAISE</t>
  </si>
  <si>
    <t>L08_DPVE_025W_RAISE</t>
  </si>
  <si>
    <t>L08_JV_042E_RAISE</t>
  </si>
  <si>
    <t>L08_DPVE_039E_DW_ISL</t>
  </si>
  <si>
    <t>CANTAGO 4</t>
  </si>
  <si>
    <t xml:space="preserve">ADDITIONAL WORKING PLACE OF L09, SILL PILLAR ROBBING. APPROVED ON SEPTEMBER 8, 2025. STOPPED ON OCTOBER 18, 2025. ALREADY MINED OUT. </t>
  </si>
  <si>
    <t>L12_JVFW_048E_RAISE</t>
  </si>
  <si>
    <t>L11_DPVE_045E_ROBBING</t>
  </si>
  <si>
    <t>L11_JVHW_071E_STOPE</t>
  </si>
  <si>
    <t>REPLACEMENT OF L11_JVHW_070E_RAISE, APPROVED ON AUGUST 28, 2025. STOPPED ON OCTOBER 18, 2025. RECOMMENDED TO CONVERT TO STOPE BREAKING.</t>
  </si>
  <si>
    <t>L12_JVSPLIT_051E_DW</t>
  </si>
  <si>
    <t>REPLACEMENT OF L425_DPVE_036E_DE. APPROVED ON JULY 22, 2025. RENAMED FROM L425_DPVE_038E_RAISE TO L425_DPVE_039E_RAISE TO AVOID MISCHARGING FROM OTHER ACTIVE WORKPLACES. THIS WORKPLACE HAS ALREADY REACHED ITS RECOMMENDED SLOPE HEIGHT. STOPPED ON OCTOBER 8, 2025. APPROVED ON JULY 29, 2025.STOPPAGE WILL BE EFFECTIVE ON AUGUST 23, 2025 - ALREADY PASSED THE WIREFRAME AT 6.95 GPT DILUTED GRADE. MINE GEOLOGY RECOMMENDS TO RESUME THIS WORKPLACE AS REPLACEMENT OF L425_DPVE_033E_RAISE. APPROVED ON SEPTEMBER 23, 2025. THIS WORKPLACE HAS ALREADY REACHED ITS RECOMMENDED SLOPE HEIGHT. STOPPED ON OCTOBER 8, 2025.</t>
  </si>
  <si>
    <t>REPLACEMENT OF L425_JVHW_045E_STOPE PREP. APPROVED ON AUGUST 16, 2025. MINE GEOLOGY RECOMMENDS TO STOP THIS HEADING AND PROCEED TO PULLOUT DUE TO LOW ASSAY GRADES OF IPR. STOPPED ON SEPTEMBER 18, 2025. ALREADY FINISHED STOPE TRAVERSE AND NOW CONVERTED TO PULLOUT. APPROVED ON SEPTEMBER 18, 2025. L425_JVHW_045E_STOPE BABOR 2. L425_JVHW_045E_STOPE	BABOR 2. STOPPED ON SEPTEMBER 23, 2025. ALREADY MINED OUT.</t>
  </si>
  <si>
    <t>REPLACEMENT OF L08_DPVE_010W_DE_ISL. APPROVED ON OCTOBER 12, 2025. MINE GEOLOGY RECOMMENDS TO STOP THIS HEADING AND TO PROCEED TO STOPE PREPRATIONS. APPROVED ON OCTOBER 20, 2025.</t>
  </si>
  <si>
    <t>L08_DPVE_010W_STOPE PREP</t>
  </si>
  <si>
    <t>L11_JVHW_065E_RAISE</t>
  </si>
  <si>
    <t>REPLACEMENT OF L08_NONE_038E_XCN. SPECIAL PROJECT BYPASS .ACCESS TO L8 OREPASS. APPROVED ON JULY 15, 2025.STOPPED ON AUGUST 13, 2025. ALREADY MADE A BREAKTHROUGH. RESUMED FOR OPERATIONS TO REGRADE THE AREA. APPROVED ON SEPTEMBER 23, 2025. STOPPED ON OCTOBER 20, 2025. FINISHED HEADING.</t>
  </si>
  <si>
    <t>REPLACEMENT OF L10_GHV_026W_DW. APPROVED ON SEPTEMBER 19, 2025. MINE GEOLOGY RECOMMENDS TO STOP THIS HEADING DUE TO CONSECUTIVE LOW ASSAY GRADES WAS PRODUCED. STOPPED ON OCTOBER 20, 2025.</t>
  </si>
  <si>
    <t>L425_GHV_078E_STOPE PREP</t>
  </si>
  <si>
    <t>DUHIG R.</t>
  </si>
  <si>
    <t xml:space="preserve">ADDITIONAL WORKPLACE OF LEVEL 09. APPROVED ON AUGUST 31, 2025.CURRENTLY IN MAINLINE CLEANING AND REHAB WHICH WILL INCLUDE TIMBERING AND WIREMESH INSTALLATION.CHANGE TEAMLEADER FROM NITRO BY TO BALANGHIG. APPROVED ON SEPTEMBER 4, 2025.CHANGE TEAM LEADER FROM BALANGHIG TO NITRO BY. APPROVED ON SEPTEMBER 09, 2025. TRANSFER OF TEAMLEADER FROM NITRO BY TO BALANGHIG. APPROVED ON SEPTEMBER 16, 2025.  MINE GEOLOGY RECOMMENDS TO STOP THIS HEADING DUE TO LOW ORE GRADES ON CUT AND DILUTED SAMPLE. STOPPED ON OCTOBER 20, 2025. </t>
  </si>
  <si>
    <t>L425_JVSPLIT_045E_DE</t>
  </si>
  <si>
    <t xml:space="preserve">REPLACEMENT OF L425_NONE_040E_XCN. APPROVED ON SEPTEMBER 30, 2025. STOPPED ON OCTOBER 17, 2025 DUE TO CONSECUTIVE LOW ASSAY GRADE RESULTS. </t>
  </si>
  <si>
    <t>L08_NONE_034E_WIDENING</t>
  </si>
  <si>
    <t>REPLACEMENT OF L425_GHVSPLIT_063E_RAISE. APPROVED ON SEPTEMBER 19, 2025.  STOPPED ON OCTOBER 17, 2025 DUE TO LOW ASSAY GRADE RESULTS.</t>
  </si>
  <si>
    <t>REPLACEMENT OF L425_GHV_065E_DW. APPROVED ON OCTOBER 1, 2025. STOPPED ON OCTOBER 17, 2025 DUE CONSECUTIVE TO LOW ASSAY GRADE RESULTS.</t>
  </si>
  <si>
    <t>L425_GHVSPLIT_042E_DE</t>
  </si>
  <si>
    <t>REPLACEMENT OF L08_DPVE_020W_RAISE SPECIAL PROJECT OF LEVEL 08, INCLUDES REGRADING AND WIDENING TO MATCH THE ELEVEATION FROM THE ACCESS MAINLINE AND THE MAINLINE OF FUTURE STOPE (L08_DPVE_034E_STOPE  (NON-PROG). APPROVED ON OCTOBER 21, 2025</t>
  </si>
  <si>
    <t xml:space="preserve">REPLACEMENT OF L11_DPVE_020E_ROBBING. APPROVED ON SEPTEMBER 7, 2025. STOPPED ON OCTOBER 19, 2025. ALREADY FINISHED HEADING. </t>
  </si>
  <si>
    <t>L09_GHV_007E_MAINLINE CLEANING</t>
  </si>
  <si>
    <t>L09_DPVE_085E_WINZE</t>
  </si>
  <si>
    <t>L12_GHVSPLIT_047E_DW</t>
  </si>
  <si>
    <t>L425_GHVSPLIT_047E_RAISE</t>
  </si>
  <si>
    <t>REPLACEMENT OF L08_JV_019E_RAISE. APPROVED ON OCTOBER 8, 2025.L08_JV_024E_DW_ISL CAPUYAN.STOPPED ON OCTOBER 22, 2025. FINISHED HEADING AND WILL BE CONVERTED TO STOPE PREPARATIONS.
STOPPED ON OCTOBER 22, 2025.</t>
  </si>
  <si>
    <t>L08_JV_023E_STOPE PREP</t>
  </si>
  <si>
    <t>GOC-ONG 1</t>
  </si>
  <si>
    <t>ESPINOSA</t>
  </si>
  <si>
    <t>SPECIAL PROJECT OF L09. INCLUDES REHABILITION AND CLEANING OF OREPASS FROM L08 TO L09. APPROVED ON SEPTEMBER 19, 2025.TRANSFER OF TEAM LEADER FROM CABRIADAS TO QUIJANO. APPROVED ON OCTOBER 6, 2025. TEMPORARY STOPPED ON OCTOBER 19, 2025. FINISHED HEADING.</t>
  </si>
  <si>
    <t>REPLACEMENT OF  L08_DPVE_012W_STOPE. APPROVED ON OCTOBER 12, 2025. CHANGED HEADING POSITION FROM L08_DPVE_008W_DE_ISL TO L08_DPVE_007W_DE_ISL TO AVOID MISCONCEPTION AND MISCHARGING WITH THE OTHER HEADING. APPROVED ON OCTOBER 14, 2025. RENAMED TEAMLEADER FROM NITRO CF2 TO NITRO CF3. APPROVED ON OCTOBER 15, 2025. MINE GEOLOGY RECOMMENDS TO STOP THIS HEADING DUE TO LOW ASSAY GRADES. STOPPED ON OCTOBER 20, 2025.TEMPORARY STOPPED ON OCTOBER 15, 2025 TO PRIORITIZE RAISE PREPRATIONS. RESUMED FOR OPERATIONS ON OCTOBER 17, 2025.</t>
  </si>
  <si>
    <t>ADDITIONAL WORKPLACE. MP CORPO WITH L08_DPVE_015W_RAISE. APPROVED ON OCTOBER 1, 2025.MINE GEOLOGY RECOMMENDS TO STOP THIS HEADING. STOPPED ON OCTOBER 23, 2025.</t>
  </si>
  <si>
    <t>SPECIAL PROJECT OF LEVEL 9, INCLUDES MAINLINE CLEANING AND REHABILITATION BEFORE PROCEEDING TO ROBBING. APRROVED ON OCTOBER 21, 2025. STOPPED ON OCTOBER 23, 2025. TO BE REPLACED BY CROSSCUT AS MILLHOLE FOR ROBBING.</t>
  </si>
  <si>
    <t>L09_NONE_004E_XCS</t>
  </si>
  <si>
    <t>L08_GHV_005E_ROBBING</t>
  </si>
  <si>
    <t>L09_GHVFW_021E_DE</t>
  </si>
  <si>
    <t xml:space="preserve">ADDITIONAL WORKING PLACE. MUST LIMIT BREAKING UNTIL +20m SLOPE DISTANCE. APPROVED ON SEPTEMBER 11, 2025.RENAMED FROM L03_GHV_051E_RAISE TO L03_GHV_051W_RAISE FOR PROPER POSITIONING. APPROVED ON SEPTEMBER 19, 2025. RENAMED TEAMLEADER FROM FERNANDEZ TO FERNANDEZ 6. APPROVED ON OCTOBER 13, 2025. STOPPED ON OCTOBER 24, 2025. ALREADY MADE A BREAKTHROUGH. </t>
  </si>
  <si>
    <t xml:space="preserve">REPLACEMENT OF L425_DPVE_043E_DE. APPROVED ON OCTOBER 14, 2025. TEMPORARY STOPPED ON OCT 25, 2025. ALREADY DONE RAISE PREP AND TO PRIORITIZE HORIZONTAL DEVELOPMENT. </t>
  </si>
  <si>
    <t>REPLACEMENT OF L12_NONE_043E_XCN .APPROVED ON OCTOBER 10, 2025. MINE GEOLOGY RECOMMENDS TO STOP THIS HEADING DUE TO OFF VEIN. STOPPED ON OCTOBER 25,2025.</t>
  </si>
  <si>
    <t xml:space="preserve">REPLACEMENT OF L425_JV_031E_DW. APPROVED ON SEPTEMBER 29, 2025. L425_JV_038E_DW OLIVEROS
-MINE GEOLOGY RECOMMENDS TO STOP THIS HEADING AND DRIVE ITS ON-VEIN SWITCH. APPROVED ON OCTOBER 28, 2025.
 </t>
  </si>
  <si>
    <t>REPLACEMENT OF L09_DPVE_093E_DW. APPROVED ON SEPTEMBER 29, 2025.  MINE GEOLOGY RECOMMENDS TO STOP THIS HEADING DUE TO CONSECUTIVE LOW GRADES ON ASSAY AND BULK SAMPLE, ALSO PINCHED OUT VEIN. STOPPED ON OCTOBER 28, 2025</t>
  </si>
  <si>
    <t>L09_JVHW_054E_DW</t>
  </si>
  <si>
    <t>L08_DPVE_024W_RAISE</t>
  </si>
  <si>
    <t>ADDITIONAL WORKPLACE OF L08, ONE COMPARTMENT RAISE FOR OPERATIONAL PROCEDURE PURPOSES. APPROVED ON OCOTBER 18, 2025. STOPPED ON OCOTBER 19, 2025. FINISHED HEADING.</t>
  </si>
  <si>
    <t>REPLACEMENT OF L11_NONE_030E_MAINLINE CLEANING.SILL PILLAR. APPROVED ON SEPTEMBER 06, 2025. RENAMED TEAMLEADER FROM FERNANDEZ TO FERNANDEZ 9. APPROVED ON OCTOBER 13, 2025. STOPPED ON OCTOBER 24, 2025. ALREADY FINISHED HEADING.</t>
  </si>
  <si>
    <t>ADDITIONAL WORKING PLACE. APPROVED ON OCTOBER 18, 2025. TEMPORARY STOPPED ON OCTOBER 27, 2025. MANPOWER TRANSFERRED TO L08 PRIORITY HEADING.</t>
  </si>
  <si>
    <t>REPLACEMENT OF L425_JVSPLIT_072E_DE. APPROVED ON OCTOBER 10, 2025. MINE GEOLOGY RECOMMENDS TO STOP THIS HEADING DUE TO PINCHED OUT VEIN. STOPPED ON OCTOBER 28, 2025.</t>
  </si>
  <si>
    <t>REPLACEMENT OF L11_DPVE_078E_RAISE. APPROVED ON OCTOBER 16, 2025. TEMPORARY STOPPED ON OCTOBER 28, 2025, FOR GEOTECH EVALUATION.</t>
  </si>
  <si>
    <t>L03_GHV_053W_ROBBING</t>
  </si>
  <si>
    <t xml:space="preserve">ADDITIONAL WORKPLACE OF L12. SILL .APPROVED ON SEPTEMBER 3, 2025. TEMPORARY STOPPED ON SEPTEMBER 29, 2025, DUE TO 2 MINER MEDICAL CASE,2 BREAVEMENT LEAVE. RESUME ON OCTOBER 01, 2025. STOPPED ON OCTOBER 29, 2025. ALREADY FINISHED HEADING. </t>
  </si>
  <si>
    <t>L11_DPVE_106E_DW</t>
  </si>
  <si>
    <t>REPLACEMENT OF L12_DPVE_029E_RAISE. APPROVED ON SEPTEMBER 15, 2025. CHANGE HEADING NAME FROM L12_JVHW_054E_RAISE  TO L12_JVHW_055E_RAISE . APPROVED ON SEPTEMBER 16, 2025. RENAME OF TEAMLEADER FROM NITRO BP TO HAGANAS DUE TO FULL-FLEDGED TEAM LEADER. APPROVED ON SEPTEMBER 27, 2025. STOPPED ON OCTOBER 29, 2025, DUE TO LOW ASSAY GRADE.</t>
  </si>
  <si>
    <t>L12_DPVE_028E_STOPE PREP</t>
  </si>
  <si>
    <t>REPLACEMENT OF L12_JVHW_055E_RAISE. APPROVED ON OCTOBER 29, 2025. </t>
  </si>
  <si>
    <t xml:space="preserve">REPLACEMENT OF L12_DPVE_016E_RAISE. APPROVED ON OCTOBER 18, 2025. STOPPED ON OCTOBER 29, 2025. DUE TO PINCHED OUT VEIN. </t>
  </si>
  <si>
    <t>ADDITIONAL WORKING PLACE. MANPOWER CORPO WITH L10_JV_018W_DW. APPROVED ON OCTOBER 19, 2025. STOPPED ON OCOTBER 29, 2025. ALREADY FINISHED HEADING</t>
  </si>
  <si>
    <t>L12_JVFW_041E_STOPE PREP</t>
  </si>
  <si>
    <t>L425_JVSPLIT_076E_RAISE</t>
  </si>
  <si>
    <t>L12_DPVE_067E_RAISE</t>
  </si>
  <si>
    <t>L12_JVHW_043E_RAISE</t>
  </si>
  <si>
    <t>DURANGO 2</t>
  </si>
  <si>
    <t>L425_JV_036E_DW</t>
  </si>
  <si>
    <t>REPLACEMENT OF L12_JVHW_044E_DW. APPROVED ON SEPTEMBER 24, 2025.RENAME OF TEAMLEADER FROM NITRO BM 2 TO BACLAS DUE TO FULL-FLEDGED TEAM LEADER. APPROVED ON SEPTEMBER 27, 2025.CHANGED HEADING NAME FROM L12_JVHW_047E_RAISE TO L12_JVFW_048E_RAISE FOR PROPER NAMING OF VEIN. APPROVED ON OCTOBER 18, 2025. STOPPED ON OCTOBER 30, 2025, DUE TO CONSECUTIVE LOW ASSAY GRADE IN BOTH BULK AND CUT SAMPLE.</t>
  </si>
  <si>
    <t>REPLACEMENT OF L08_DPVE_009W_RAISE. APPROVED ON OCTOBER 20, 2025. STOPPED ON OCTOBER 28, 2025. RECOMMENDED FOR ACTIVE STOPE BREAKING.</t>
  </si>
  <si>
    <t>L08_DPVE_010W_STOPE</t>
  </si>
  <si>
    <t>L10_DPVE_096E_ROBBING</t>
  </si>
  <si>
    <t xml:space="preserve">ADDITIONAL WORKPLACE. APPROVED ON OCTOBER 01, 2025. TEMPORARY STOPPED ON OCTOBER 31, 2025, TO PRIORITIZED L11_DPVE_107E_DW. </t>
  </si>
  <si>
    <t>REPLACEMENT OF L425_JVSPLIT_047E_DW. APPROVED ON SEPTEMBER 20, 2025. CHANGED TEAMLEADER FROM CAPPUYO TO DELOS REYES. APPROVED ON OCTOBER 17, 2025. MINE GEOLOGY RECOMMENDS TO STOP THIS HEADING AS IT DIDNT PASS WIREFRAME. STOPPED ON OCOTBER 31, 2025.</t>
  </si>
  <si>
    <t>L12_JVFW_022E_STOPE PREP</t>
  </si>
  <si>
    <t>L12_JV_033E_ROBBING</t>
  </si>
  <si>
    <t xml:space="preserve">ADDITIONAL WORKPLACE. MANPOWER CORPO WITH L425_GHV_074E_DE. APPROVED ON OCTOBER 16, 2025.  STOPPED ON OCTOBER 20, 2025, WILL BE CONVERTED TO STOPE PREP (L425_GHV_078E_STOPE PREP). </t>
  </si>
  <si>
    <t xml:space="preserve">ADDITIONAL WORKING PLACE. MANPOWER CORPO WITH L10_DPVE_091E_RAISE. APPROVED ON OCTOBER 11, 2025.MINE GEOLOGY RECOMMEDS TO TEMPORARY STOPPED THIS HEADING TO PRIORITIZED OTHER WORKPLACES. APPROVED ON OCOTBER 29, 2025. STOPPED ON OCTOBER 31, 2025, DUE TO SAFETY CONCERN. </t>
  </si>
  <si>
    <t>.</t>
  </si>
  <si>
    <t>DVA 73</t>
  </si>
  <si>
    <r>
      <t xml:space="preserve">ADDITIONAL WORKING PLACE. APPROVED ON JULY 25, 2025.  TEMPORARY STOPPED ON JULY 29, 2025 DUE TO INSUFFICIENT MANPOWER. TO PRIORITIZE L10_GHV_024W_DE.RESUMED ON AUGUST 19, 2025, AT THE SAME TIME CHANGED TEAMLEADER FROM NITRO BD TO BABOR 2.TEMPORARY STOPPED ON AUGUST 23, 2025 DUE TO INSUFFICIENT MANPOWER.RESUMED FOR OPERATIONS AND AT THE SAME TIME CHANGED TEAMLEADER FROM BABOR 2 TO LERIO 2. APPROVED ON SEPTEMBER 17, 2025.STOPPED ON SEPTEMBER 22, 2025 DUE TO INSUFFICIENT MANPOWER. MINE GEOLOGY RECOMMENDS TO STOPPED THIS HEADING SINCE IT BREAKTHROUGH ON OLD STOPE. STOPPED ON OCTOBER 13, 2025. </t>
    </r>
    <r>
      <rPr>
        <b/>
        <sz val="11"/>
        <color theme="1"/>
        <rFont val="Calibri"/>
        <family val="2"/>
        <scheme val="minor"/>
      </rPr>
      <t>RESUMED FOR OPERATIONS ON OCOTBER 29, 2025 AND AT THE SAME TIME CHANGED TEAMLEADER FROM LERIO TO NITRO BD. TEMPORARY STOPPED ON NOVEMBER 04, 2025 TO PRIORITIZE OTHER HEADING.</t>
    </r>
  </si>
  <si>
    <t>L10_JV_065E_ROBBING</t>
  </si>
  <si>
    <t>L10_GHVFW_022W_RAISE</t>
  </si>
  <si>
    <t>L425_JVHW_053E_RAISE</t>
  </si>
  <si>
    <t>L08_DPVE_039E_DE_ISL</t>
  </si>
  <si>
    <t>REPLACEMENT OF L03_JV_014W_WINZE STOPE. TOPSLICE. APPROVED ON AUGUST 5, 2025.   STOPPED ON NOVEMBER 4, 2025. ALREADY FINISHED HEADING.</t>
  </si>
  <si>
    <t>L09_GHV_007E_ROBBING</t>
  </si>
  <si>
    <t>L08_JV_011E_ROBBING</t>
  </si>
  <si>
    <t>REPLACEMENT OF L09_GHV_010E_WINZE. APPROVED ON OCTOBER 5, 2025. CHANGED TEAMLEADER FROM QUIJANO 1 TO DELOS REYES 1. APPROVED ON OCTOBER 17, 2025. THE HEADING INCLUDES CLEANING AND REHAB OF MAINLINE. DONE CLEANING ON OCTOBER 19, 2025. CONVERTED TO WORKINGPLACE ON THE SAME DAY. MINE GEOLOGY RECOMMENDS TO STOP THIS HEADING TO PRIORITIZE ON VEIN DRIVE. STOPPED ON NOVEMBER 05, 2025</t>
  </si>
  <si>
    <t>L09_DPVE_094E_DE</t>
  </si>
  <si>
    <t xml:space="preserve">REPLACEMENT OF L09_GHVSPLIT_017E_WINZE. APPROVED ON SEPTEMBER 16, 2025. TEMPORARY STOPPED ON SEPTEMBER 18, 2025 TO PRIORITIZE L09_DPVE_028E_WINZE. RESUMED ON OCTOBER 26, 2025. RESUMPTION OF THIS WORKPLACE MANPOWER FROM L09_NONE_044E_OREPASS APPROVED ON OCTOBER 26, 2025. TEMPORARY STOPPED ON NOVEMBER 5, 2025 TO PRIORITIZE OTHER HEADING. </t>
  </si>
  <si>
    <t xml:space="preserve">REPLACEMENT OF L11_DPVE_032E_DE_ISL. APPROVED ON SEPTEMBER 02, 2025. 3RD SHIFT. STOPPED ON NOVEMBER 06, 2025. (2ND SHIFT) ALREADY FINISHED HEADING. </t>
  </si>
  <si>
    <t>L11_NONE_033E_RAISE</t>
  </si>
  <si>
    <t xml:space="preserve">REPLACEMENT OF L12_GHVFW_026E_DW. APPROVED ON OCTOBER 17, 2025.  TEMPORARY STOPPED ON NOVEMBER 05, 2025, TO PRIORITIZED OTHER HEADING AS THIS HEADING CURRENTLY OFF-VEIN. </t>
  </si>
  <si>
    <t>REPLACEMENT OF L425_GHVSPLIT_046E_RAISE. APPROVED ON SEPTEMBER 15, 2025.CONVERTED TO STOPE BREAKING ON OCTOBER 3, 2025.</t>
  </si>
  <si>
    <t>REPLACEMENT OF L425_JVSPLIT_070E_DW. APPROVED ON OCTOBER 10, 2025. MINE GEOLOGY RECOMMENDS TO STOP THIS HEADING DUE TO CONSECUTIVE LOW ASSAY GRADES. STOPPED ON NOVEMBER 5, 2025.</t>
  </si>
  <si>
    <t>NITRO CF 3</t>
  </si>
  <si>
    <t>L08_JV_019E_ROBBING</t>
  </si>
  <si>
    <t>CAPUYAN 5</t>
  </si>
  <si>
    <t>L11_DPVE_107E_DE</t>
  </si>
  <si>
    <t xml:space="preserve">REPLACEMENT OF L11_DPVE_048E_ROBBING.APPROVED ON OCTOBER 21, 2025 (2ND SHIFT). TEMPORARY STOPPED ON NOVEMBER 06, 2025, TO PRIORITIZED L11_DPVE_046E_ROBBING. </t>
  </si>
  <si>
    <t>L11_DPVE_046E_ROBBING</t>
  </si>
  <si>
    <t>APPROVED ON OCTOBER 8, 2025. STOPPED ON NOVEMBER 05, 2025,WILL BE CONVERTED TO STOPE BREAKING.</t>
  </si>
  <si>
    <t>L12_JVFW_041E_STOPE</t>
  </si>
  <si>
    <t>L11_JV_057E_STOPE PREP</t>
  </si>
  <si>
    <t>L12_GHVSPLIT_057E_DW</t>
  </si>
  <si>
    <t xml:space="preserve">REPLACEMENT OF L08_JV_035E_DW. APPROVED ON OCTOBER 04, 2025.RENAMED FROM L08_DPVE_026E_RAISE TO L08_JV_035E_RAISE FOR PROPER NAMING OF VEIN AND POSITION. APPROVED ON OCTOBER 22, 2025. STOPPED ON NOVEMBER 07, 2025 DUE TO CONSECUTIVE LOW ASSAY RESULTS. </t>
  </si>
  <si>
    <t>L12_GHVSPLIT_075E_DE</t>
  </si>
  <si>
    <t>L11_DPVE_100E_DE</t>
  </si>
  <si>
    <t>L08_JV_023E_STOPE</t>
  </si>
  <si>
    <t>ON VEIN DRIVE OF L11_NONE_067E_XCN. APPROVED ON OCTOBER 5, 2025. TEMPORARY STOPPED ON NOVEMBER 08, 2025, DUE TO PRIORITIZATION OF L11_DPVE_100E_DE.</t>
  </si>
  <si>
    <t>REPLACEMENT OF L08_JV_024E_DW_ISL. APPROVED ON OCTOBER 22, 2025. STOPPED ON NOVEMBER 8, 2025. RECOMMENDED TO BE CONVERTED TO STOPE BREAKING.</t>
  </si>
  <si>
    <t>L12_JVHW_055E_STOPE PREP</t>
  </si>
  <si>
    <t xml:space="preserve">REPLACEMENT OF L12_JVHW_053E_RAISE. APPROVED ON OCTOBER 4, 2025. STOPPED ON NOVEMBER 10, 2025, TO BE CONVERTED TO STOPE PREP. </t>
  </si>
  <si>
    <t>L12_JVHW_053E_STOPE PREP</t>
  </si>
  <si>
    <t>REPLACEMENT OF L09_DPVE_022E_DE. APPROVED ON OCTOBER 28, 2025. MINE GEOLOGY RECOMMENDS TO STOP THIS HEADING. NOT FOR BREAKTHROUGH. STOPPED ON NOVEMBER 10, 2025.</t>
  </si>
  <si>
    <t>REPLACEMENT OF L425_GHVSPLIT_049E_RAISE. APPROVED ON SEPTEMBER 17, 2025. STOPPED ON NOVEMBER 10, 2025. TO BE CONERTED TO STOPE BREAKING.</t>
  </si>
  <si>
    <t>L425_GHV_059E_STOPE</t>
  </si>
  <si>
    <t xml:space="preserve">REPLACEMENT OF L425_DPVE_033E_RAISE APPROVED ON OCTOBER 14, 2025. STOPPED ON NOVEMBER 10, 2025. TO BE CONVERTED TO STOPE BREAKING. </t>
  </si>
  <si>
    <t>L425_DPVE_033E_STOPE</t>
  </si>
  <si>
    <t>REPLACEMENT OF L425_GHVSPLIT_041E_RAISE. APPROVED ON OCTOBER 11, 2025. STOPPED ON NOVEMBER 10, 2025. TO BE CONVERTED TO STOPE BREAKING.</t>
  </si>
  <si>
    <t>L425_JV_057E_STOPE</t>
  </si>
  <si>
    <t xml:space="preserve">REPLACEMENT OF L425_NONE_058E_XCN. SPECIAL PROJECT FOR VENTILATION PURPOSES AFTER COMPLETION OF L425_058E_XCN. APPROVED ON MAY 06, 2025. RENAMED FROM L425_NONE_055E_WINZE TO L425_NONE_058E_WINZE. TO AVOID MISCHARGING FROM L425_JV_055E_RAISE. APPROVED ON MAY 16, 2025.  STOPPED ON NOVEMBER 10, 2025. ALREADY FINISHED HEADING. </t>
  </si>
  <si>
    <t>REPLACEMENT OF L425_GHV_045E_DW. APPROVED ON OCTOBER 21, 2025.  MINE GEOLOGY RECOMMENDS TO STOP THIS HEADING DUE TO PINCHED OUT VEIN. STOPPED ON NOVEMBER 10, 2025.</t>
  </si>
  <si>
    <t>REPLACEMENT OF L09_GHV_007E_MAINLINE CLEANING. SPECIAL PROJECT FOR TAKE OFF OF MILL HOLE FOR ROBBING IN L09. APPROVED ON OCTOBER 23, 2025. TEMPORARY STOPPED ON NOVEMEBER 10, 2025. TO PRIORITIZE L09_GHV_007E_ROBBING.</t>
  </si>
  <si>
    <t>L08_DPVE_037E_ROBBING</t>
  </si>
  <si>
    <t>L425_GHVSPLIT_044E_DW</t>
  </si>
  <si>
    <t>REPLACEMENT OF L12_DPVE_054E_RAISE. APPROVED ON OCTOBER 17, 2025. CHANGED HEADING FROM L12_DPVE_022E_STOPE PREP TO L12_JVFW_022E_STOPE PREP FOR PROPER NAMING OF VEIN. APPROVED ON OCTOBER 18, 2025. STOPPED ON NOVEMBER 11, 2025. TO BE CONVERTED TO STOPE BREAKING.</t>
  </si>
  <si>
    <t>L09_JVFW_052E_RAISE</t>
  </si>
  <si>
    <t>L425_JV_040E_RAISE</t>
  </si>
  <si>
    <t>ADDITIONAL WORKING PLACE. APPROVED ON OCTOBER 30, 2025. CHANGED TEAMLEADER FROM BABOR TO FERNANDEZ. APPROVED ON NOVEMBER 4, 2025. TEMPORARY STOPPED ON NOVEMBER 9, 2025 DUE TO PRESENCE OF CRACKS AND SLABBING ON HANGING WALL OF PILLARS.</t>
  </si>
  <si>
    <t xml:space="preserve">REPLACEMENT OF L12_GHVHW_061E_RAISE. APPROVED ON OCTOBER 17, 2025.  STOPPED ON NOVEMBER 13, 2025, DUE TO CONSECUTIVE LOW ASSAY GRADE. </t>
  </si>
  <si>
    <t>EXPLORATORY RAISE FROM UNMINED AREA. ADVICE TO IMMEDIATELY STOP IF RESULTED TO CONSECUTIVE LOW GRADE IN 10 METERS ADVANCE. APPROVED ON MAY 19, 2025. TEMPORARY STOPPED ON JUNE 16, 2025. THE AREA IS UNDER INVESTIGATION DUE TO FIRE INCIDENT. RESUMED FOR OPERATIONS ON NOVEMBER 10, 2025, AT THE SAME TIME CHANGED TEAMLEADER FROM NITRO BT TO DELOS REYES V2 REPLACEMENT OF L09_JVHW_054E_DW.  MINE GEOLOGY RECOMMENDS TO STOP THIS HEADING DUE TO POSSIBLE BREAKTHROUGH AT OLD INCLINED RAISE. STOPPED ON NOVEMBER 11, 2025</t>
  </si>
  <si>
    <t>REPLACEMENT OF L11_JV_005E_RAISE. APPROVED ON NOVEMBER 06, 2025.  TEMPORARY STOPPED ON NOVEMBER 13, 2025, TO PRIORITIZED L11_DPVE_018E_ROBBING.</t>
  </si>
  <si>
    <t>L11_DPVE_018E_ROBBING</t>
  </si>
  <si>
    <t>L08_DPVE_033E_RAISE</t>
  </si>
  <si>
    <t>L10_DPVE_014W_RAISE</t>
  </si>
  <si>
    <t>REPLACEMENT OF L12_DPVE_022E_RAISE. APPROVED ON OCTOBER 17, 2025.  STOPPED ON NOVEMBER 12, 2025. RECOMMENDED FOR STOPE BREAKING.</t>
  </si>
  <si>
    <t>L12_JVHW_059E_STOPE</t>
  </si>
  <si>
    <t>L11_DPVE_081E_RAISE</t>
  </si>
  <si>
    <t xml:space="preserve">REPLACEMENT OF L425_NONE_069E_XCN APPROVED ON OCTOBER 14,2025. STOPPED ON NOVEMBER 12, 2025. TO BE CONVERTED TO STOPE BREAKING. </t>
  </si>
  <si>
    <t>L425_GHVSPLIT_072E_STOPE</t>
  </si>
  <si>
    <t>L425_GHV_058E_RAISE</t>
  </si>
  <si>
    <t>REPLACEMENT OF L425_GHVHW_062E_DE. APPROVED ON OCTOBER 1, 2025. MINE GEOLOGY RECOMMENDS TO STOP THIS HEADING DUE TO PINCHED OUT VEIN. STOPPED ON NOVEMBER 14, 2025</t>
  </si>
  <si>
    <t>L425_GHVHW_077E_RAISE</t>
  </si>
  <si>
    <t>L425_GHVHW_075E_RAISE</t>
  </si>
  <si>
    <t xml:space="preserve">REPLACEMENT OF L11_JVHW_001E_DE. APPROVED ON OCTOBER 14, 2025. 2ND SHIFT. TEMPORARY STOPPED ON NOVEMBER 14, 2025, DUE TO POOR VEIN QUALITY WHICH PRODUCED LOW ASSAY GRADES. </t>
  </si>
  <si>
    <t>REPLACEMENT OF L10_GHVFW_028W_RAISE. APPROVED ON NOVEMBER 4, 2025. STOPPED ON NOVEMBER 14, 2025. RECOMMENDED FOR STOPE PREPRATIONS.</t>
  </si>
  <si>
    <t>L10_GHV_023W_STOPE PREP</t>
  </si>
  <si>
    <t xml:space="preserve">HORIZONTAL DEVELOPMENT TO EXPLORE DOWN DIP LATERAL EXTENSION OF L11_GHVSPLIT_058E_WINZE. APPROVED ON APRIL 25, 2025.TEMPORARY STOPPED ON MAY 15, 2025. WILL PROCEED TO DRIVE ON ITS WEST SIDE.RESUMPTION OF WORKPLACE AND REPLACEMENT OF L11_GHVSPLIT_058E_WINZE STOPE APPROVED ON OCTOBER 5, 2025. STOPPED ON NOVEMBER 14, 2025. TO BE CONVERTED TO STOPE PREP. 
 </t>
  </si>
  <si>
    <t xml:space="preserve">REPLACEMENT OF L12_GHVSPLIT_069E_DW. APPROVED ON OCTOBER 17, 2025. CHANGE OF TEAM LEADER FROM CAYMAN TO DURANGO. APPROVED ON NOVEMBER 5, 2025. RENAME HEADING FROM L12_JVFW_057E_DW TO L12_GHVSPLIT_057E_DW. APPROVED ON NOVEMBER 07, 2025.  STOPPED ON NOVEMBER 13, 2025. ALREADY MADE A BREAKTHROUGH. </t>
  </si>
  <si>
    <t>L12_DPVE_069E_RAISE</t>
  </si>
  <si>
    <t>ADDITIONAL WORKPLACE. MP CORPO WITH L09_GHVFW_023E_DE. APPROVED ON OCTOBER 5, 2025. STOPPED ON NOVEMBER 14, 2025.. ALREADY FINISHED HEADING</t>
  </si>
  <si>
    <t>L11_NONE_097E_XCN</t>
  </si>
  <si>
    <t>L425_JV_038E_RAISE</t>
  </si>
  <si>
    <t>REPLACEMENT OF L08_DPVE_016W_WINZE AND CORPO WITH L08_DPVE_021W_DE_ISL. APPROVED ON SEPTEMBER 22, 2025. CHANGED TEAMLEADER FROM CARIKITAN 2 TO NITRO CF 2. NITRO CF WILL TAKE OVER THE HEADINGS OF CARIKITAN. APPROVED ON SEPTEMBER 27, 2025.TEMPORARY STOPPED ON OCTOBER 16, 2025 TO PRIORITIZE RAISE PREP.RESUMED FOR OPERATIONS ON OCTOBER 20, 2025.TEMPORARY STOPPED ON NOVEMBER 15, 2025 TO PRIORITIZE WINZE STOPE PREPARATION.</t>
  </si>
  <si>
    <t>L08_DPVE_018W_WINZE STOPE PREP</t>
  </si>
  <si>
    <t>L11_DPVE_031E_WINZE STOPE PREP</t>
  </si>
  <si>
    <t>L11_GHVSPLIT_059E_WINZE STOPE PREP</t>
  </si>
  <si>
    <t>REPLACEMENT OF L425_GHVSPLIT_064E_STOPE APPROVED ON OCTOBER 14, 2025.STOPPED ON NOVEMBER 16, 2025. TO BE CONVERTED TO STOPE BREAKING.</t>
  </si>
  <si>
    <t>L425_DPVE_034E_STOPE</t>
  </si>
  <si>
    <t>REPLACEMENT OF L425_JVHW_045E_STOPE. APPROVED ON SEPTEMBER 23, 2025.STOPPED ON NOVEMBER 13, 2025. FINISHED HEADING.</t>
  </si>
  <si>
    <t>NITRO CK 3</t>
  </si>
  <si>
    <t>NITRO CK 2</t>
  </si>
  <si>
    <t>L09_DPVE_075E_ROBBING</t>
  </si>
  <si>
    <t>FERNANDEZ </t>
  </si>
  <si>
    <t xml:space="preserve">SPECIAL PROJECT FOR THE PREPARATION OF ALIMAK RAISE IN L10. APRROVED ON AUGUST 30, 2025.L10_NONE_044E_XCS PMC MINER 1
-TEMPORARY STOPPED ON NOVEMBER 17, 2025.
 </t>
  </si>
  <si>
    <t>NITRO CJ</t>
  </si>
  <si>
    <t>108E</t>
  </si>
  <si>
    <t>L11_DPVE_108E_DE</t>
  </si>
  <si>
    <t>L12_GHV_015E_DW</t>
  </si>
  <si>
    <t>L11_DPVE_072E_DE</t>
  </si>
  <si>
    <t>REPLACEMENT OF L12_GHVSPLIT_068E_DW. APPROVED ON SEPTEMBER 06, 2025. 3RD SHIFT.WILL BE RENAME FROM L12_NONE_024E_XCS TO L12_NONE_025E_XCS APPROVED ON OCTOBER 5, 2025. STOPPED ALREADY HIT THE TARGET VEIN ON NOVEMBER 18,2025.</t>
  </si>
  <si>
    <t>REPLACEMENT OF L12_DPVE_049E_DW_ISL. APPROVED ON OCTOBER 17, 2025.  TEMPORARY STOPPED ON NOVEMBER 18, 2025 TO PRIORITIZE CLEANING AT UPPER LEVEL.</t>
  </si>
  <si>
    <t>L08_JV_048E_WINZE</t>
  </si>
  <si>
    <t>REPLACEMENT OF L425_GHVSPLIT_064E_STOPE. APPROVED ON OCTOBER 12, 2025. TRANSFER OF TEAM LEADER FROM OLIVEROS 2 TO REBOTE. EFFEECTIVE OCTOBER 25, 2025.  MINE GEOLOGY RECOMMENDS TO STOP THIS HEADING AS IT ALREADY REACHED THE RECOMMENDED STRIKE LENGTH. STOPPED ON NOVEMBER 19, 2025</t>
  </si>
  <si>
    <t>L425_GHVSPLIT_069E_DE</t>
  </si>
  <si>
    <t>ADDITIONAL AND CORPO FROM OF L425_GHV_063E_DE. APPROVED ON OCTOBER 14, 2025. STOPPED ON NOVEMBER 18, 2025. TO BE CONVERTED TO STOPE BREAKING.</t>
  </si>
  <si>
    <t>L425_GHV_067E_STOPE</t>
  </si>
  <si>
    <t>ADDITIONAL WORKPLACE. APPROVED ON OCTOBER 01, 2025.  TEMPORARY STOPPED ON OCTOBER 8, 2025 TO PRIORITIZE L11_DPVE_079E_DE. RESUMPTION OF THIS WORKPLACE EFFECTIVE ON OCTOBER 9, 2025. STOPPED DUE TO PINCHED OUT VEIN ON NOVEMBER 18, 2025</t>
  </si>
  <si>
    <t>REPLACEMENT OF L11_DPVE_096E_DW. APPROVED ON OCTOBER 04, 2025.  STOPPED DUE TO THE DRIFT ALREADY REACHED THE RECOMMENDED STRIKE LENGTH ON NOVEMBER 18, 2025.</t>
  </si>
  <si>
    <t>REPLACEMENT OF L08_GHVHW_070E_WINZE. APPROVED ON JULY 22, 2023.STOPPED ON AUGUST 8, 2023 TO BE CONVERTED TO ROBBING TOPSLICE.RESUMED ON OCTOBER 25, 2023 AT THE SAME TIME CHANGE TEAM LEADER FROM MARTINEZ, DN 3 TO CAPUYAN 1.TEMPORARILY STOPPED ON NOVEMBER 11, 2023 FOR SAFETY EVALUATION. RESUMED FOR OPERATIONS ON OCROBER 21, 2025 AND AT THE SAME TIME CHANGED TEAMLEADER FROM CAPUYAN 1 TO FERNANDEZ 1.  MINE GEOLOGY RECOMMENDS TO STOP THIS HEADING DUE TO PINCHED OUT VEIN. STOPPED ON NOVEMBER 19, 2025</t>
  </si>
  <si>
    <t>REPLACEMENT OF L12_GHVSPLIT_054E_ROBBING. APPROVED ON OCTOBER 7, 2025.RENAMED HEADING FROM L12_GHVSPLIT_048E_DW TO L12_GHVSPLIT_047E_DW TO AVOID MISCHARGING WITH OTHER WORKPLACE. APPROVED ON OCTOBER 22, 2025. TEMPORARY STOPPED ON NOVEMBER 03, 2025, TO PRIORITIZED L12_JV_033E_ROBBING. RESUME ON NOVEMBER 04,2025.STOPPED DUE TO PINCHED OUT VEIN ON NOVEMBER 17, 2025. RESUMPTION FOR BREAKTHROUGH AND VENTILATION PURPOSES APPROVED ON NOVEMBER 18,2025. STOPPED ALREADY MADE A BREAKTHROUGH ON NOVEMBER 19,2025.</t>
  </si>
  <si>
    <t>L12_GHVSPLIT_046E_RAISE</t>
  </si>
  <si>
    <t>L11_DPVE_095E_DW</t>
  </si>
  <si>
    <t>L11_DPVE_110E_DW</t>
  </si>
  <si>
    <t>110E</t>
  </si>
  <si>
    <t>HORIZONTAL DRIVE TO TARGET ON-THE LEVEL DEFINITION DRILLING INTERCEPTS. APPROVED ON MAY 13, 2025. MP FROM L11_DPVE_038E_DW.TEMPORARY STOPPED ON AUGUST 12, 2025 TO PRIORITIZED L11_DPVE_097E_DE AND L11_DPVE_096E_DW.THIS HEADING WILL BE RESUMED FOR OPERATION. APPROVED ON AUGUST 26, 2025. MINE GEOLOGY RCOMMENDS TO STOPPED THIS HEADING SINCE IT HAS LAREADY REACHED THE DESIRED STRIKE LENGTH. STOPPED ON NOVEMBER 20, 2025.</t>
  </si>
  <si>
    <t>REPLACEMENT OF L11_DPVE_101E_DW. APPROVED ON NOVEMBER 06, 2025.  MINE GEOLOGY RCOMMENDS TO STOPPED THIS HEADING SINCE IT HAS LAREADY REACHED THE DESIRED STRIKE LENGTH. STOPPED ON NOVEMBER 20, 2025.</t>
  </si>
  <si>
    <t>L425_JVHW_071E_DE</t>
  </si>
  <si>
    <t>L11_DPVE_092E_RAISE</t>
  </si>
  <si>
    <t>L425_GHV_078E_STOPE</t>
  </si>
  <si>
    <t>REPLACEMENT OF L12_JVHW_048E_RAISE APPROVED ON OCTOBER 30, 2025. STOPPED DUE TO PINCHED OUT VEIN ON NOVEMBER 21, 2025.</t>
  </si>
  <si>
    <t>REPLACEMENT OF L11_JV_057E_STOPE PREP. APPROVED ON NOVEMBER 13, 2025. STOPPED . FINISHED HEADING ON NOVEMBER 21, 2025</t>
  </si>
  <si>
    <t>REPLACEMENT OF L425_GHV_074E_DE. APPROVED ON OCTOBER 20, 2025.  STOPPED ON NOVEMBER 20, 2025. TO BE CONVERTED TO STOPE BREAKING.</t>
  </si>
  <si>
    <t>REPLACEMENT OF L11_DPVE_097E_DE. APPROVED ON OCTOBER 04, 2025. CHANGE HEADING FROM L11_DPVE_097E_DW TO L11_NONE_097E_XCN. APPROVED ON NOVEMBER 15, 2025. STOPPED ALREADY HIT THE TARGET VEIN ON NOVEMBER 21, 2025.</t>
  </si>
  <si>
    <t>REPLACEMENT OF  L12_NONE_060E_FILL WINZE. APPROVED ON NOVEMBER 7, 2025. STOPPED CONVERTED TO STOPE BREAKING ON NOVEMBER 21, 2025</t>
  </si>
  <si>
    <t>L12_JVHW_055E_STOPE</t>
  </si>
  <si>
    <t>L12_DPVE_028E_STOPE</t>
  </si>
  <si>
    <t>L425_NONE_058E_WINZE_ISL</t>
  </si>
  <si>
    <t>REPLACEMENT AND ISL OF L425_NONE_058E_WINZE. FIRST BLAST ON OCTOBER 31, 2025. APPROVED ON OCTOBER 31, 2025.FINISHED HEADING. STOPPED ON NOVEMBER 10, 2025.</t>
  </si>
  <si>
    <t>WINZE ISL</t>
  </si>
  <si>
    <t>L425_NONE_058E_WINZE ISL</t>
  </si>
  <si>
    <t>ADDITIONAL WORKING PLACE OF L09. CORPO WITH L09_GHVFW_020E_DW. APPROVED ON OCTOBER 24, 2025. TEMPORARY STOPPED ON NOVEMBER 3, 2025 TO PRIORITIZE THE BREAKTHROUGH OF CORPO HEADING. RESUMED FOR OPERATIONS ON NOVEMBER 14, 2025. MINE GEOLOGY RECOMMENDS TO STOP THIS HEADING DUE TO PINCHED OUT VEIN. STOPPED ON NOVEMBER 21, 2025.</t>
  </si>
  <si>
    <t>L09_DPVE_026E_ROBBING</t>
  </si>
  <si>
    <t>L11_DPVE_097E_DW</t>
  </si>
  <si>
    <t>REPLACEMENT OF L425_GHVHW_066E_STOPE PREP. APPROVED ON JUNE 10, 2025.CONVERTED TO STOPE PULL OUT ON NOVEMBER 22, 2025 3RD SHIFT</t>
  </si>
  <si>
    <t>L425_JVFW_041E_STOPE PREP</t>
  </si>
  <si>
    <t>L425_JVSPLIT_060E_RAISE</t>
  </si>
  <si>
    <t>L03_GHV_052E_ROBBING</t>
  </si>
  <si>
    <t>REPLACEMENT OF L425_NONE_058E_WINZE. APPROVED ON NOVEMBER 14, 2025. TEMPORARY STOPPED ON NOV. 24, 2025, MANPOWER WILL BE ASSIGNED TO L425 jv 038E RAISE.</t>
  </si>
  <si>
    <t>REPLACEMENT OF L425_JVSPLIT_050E_RAISE. APPROVED ON NOVEMBER 4, 2025. TEMPORARY STOPPED ON NOV. 19, 2025, MANPOWER WILL BE ASSIGNED TO L425 JVFW 041E STOPE PREP.</t>
  </si>
  <si>
    <t>L08_NONE_017W_XCS</t>
  </si>
  <si>
    <t>REPLACEMENT OF L09_DPVE_073E_WINZE. APRROVED ON OCTOBER 03, 2025. MINE GEOLOGY RECOMMENDS TO STOP THIS HEADING DUE TO CONSECUTIVE LOW ASSAY GRADE. STOPPED ON NOVEMBER 25, 2025.</t>
  </si>
  <si>
    <t>L09_JVFW_050E_DW</t>
  </si>
  <si>
    <t>L08_NONE_038E_ALIMAK_RAISE</t>
  </si>
  <si>
    <t>REPLACEMENT OF L10_NONE_044E_XCS. APPROVED ON NOV. 25, 2025. SPECIAL PROJECT</t>
  </si>
  <si>
    <t xml:space="preserve">REPLACEMENT OF L425_GHVSPLIT_046E_RAISE. APPROVED ON SEPTEMBER 15, 2025. CONVERTED TO STOPE BREAKING ON OCTOBER 3, 2025. STOPPED BREAKING ON NOVEMBER 25, 2025 AND AT THE SAME TIME DONE CLOSE TRAVERSE. </t>
  </si>
  <si>
    <t xml:space="preserve">BAÑEZ 1 </t>
  </si>
  <si>
    <t>REPLACEMENT OF L09_NONE_090E_XCN. APPROVED ON NOVEMBER 5, 2025. MINE GEOLOGY RECOMMENDS TO RENAME THIS HEEADING FROM L09_DPVE_094E_DE TO L09_NONE_094E_XCS. APPROVED ON NOVEMBER 26, 2025.</t>
  </si>
  <si>
    <t>L09_NONE_094E_XCS</t>
  </si>
  <si>
    <t xml:space="preserve">ADDITIONAL WORKPLACE. FILL WINZE. APPROVED ON OCTOBER 11, 2025. STOPPED ON NOVEMBER 06, 2025 TO PRIORITIZE STOPE PREP. RESUME ON NOVEMBER 14, 2025. REPLACEMENT OF L12_GHVSPLIT_057E_DW. AND AT THE SAME TIME CHANGED TEAMLEADER FROM LANTACA TO DURANGO. STOPPED ON NOVEMBER 25, 2025. ALREADY REACHED THE RECOMMENDED SLOPE DISTANCE. </t>
  </si>
  <si>
    <t>L12_JVFW_054E_RAISE</t>
  </si>
  <si>
    <t xml:space="preserve">REPLACEMENT OF L11_DPVE_070E_DW APPROVE ON NOVEMBER 18, 2025. STOPPED ON NOVEMBER 28, 2025. ALREADY MADE A BREAKTHROUGH. </t>
  </si>
  <si>
    <t xml:space="preserve">REPLACEMENT OF L11_DPVE_102E_DE. APPROVED ON OCTOBER 8, 2025. TEMPORARY STOPPED ON OCTOBER 20, 2025, DUE TO ABSENTEEISM OF MEN RESULTING TO ABANDOMENT OF WORKPLACE. RESUMED FOR OPERATIONS ON OCTOBER 25,2025 AND AT THE SAME TIME CHANGED TEAMLEADER FROM BAÑEZ TO BADBADON. STOPPED ON NOVEMBER 28, 2025, DUE TO VEIN PINCHED ON THE CURRENT BACK OF THE RAISE. </t>
  </si>
  <si>
    <t xml:space="preserve">REPLACEMENT OF L11_DPVE_068E_DW. APPROVED ON NOVEMBER 08, 2025. STOPPED ON NOVEMBER 28, 2025, DUE TO CONSECUTIVE LOW ASSAY GRADES ON CUT SAMPLES. </t>
  </si>
  <si>
    <t xml:space="preserve">REPLACEMENT OF L08_DPVE_022W_DW_ISL. APPROVED ON NOVEMBER 15, 2025. STOPPED ON NOVEMBER 28, 2025. RECOMMENDED FOR ACTIVE STOPE BREAKING. </t>
  </si>
  <si>
    <t>ADDITIONAL WORKING PLACE OF L08, CORPO WITH L08_DPVE_020W_DW. APPROVED ON OCTOBER 15, 2025. TEMPORARY STOPPED ON NOVEMBER 28, 2025 TO PRIORITIZE THE BLOCKING RAISE</t>
  </si>
  <si>
    <t>L11_DPVE_099E_RAISE</t>
  </si>
  <si>
    <t>L11_DPVE_103E_RAISE</t>
  </si>
  <si>
    <t>BADBADON  1</t>
  </si>
  <si>
    <t>L08_DPVE_018W_WINZE STOPE</t>
  </si>
  <si>
    <t>L425_NONE_068E_XCN</t>
  </si>
  <si>
    <t>L10_GHV_023W_STOPE</t>
  </si>
  <si>
    <t>REPLACEMENT OF L10 GHVFW_022W_RAISE. APPROVED ON NOVEMBER 14, 2025. STOPPED ON NOVEMBER 29, 2025. RECOMMENDED FOR ACTIVE STOPE BREAKING.</t>
  </si>
  <si>
    <t>L11_DPVE_072E_RAISE</t>
  </si>
  <si>
    <t>REPLACEMENT OF L12_JVHW_053E_DW_ISL. APPROVED ON NOVEMBER 10, 2025.  STOPPED ON NOVEMBER 30, 2025. TO BE CONVERTED TO STOPE BREAKING.</t>
  </si>
  <si>
    <t>L12_JVHW_053E_STOPE</t>
  </si>
  <si>
    <t>L425_JVFW_042E_STOPE PREP</t>
  </si>
  <si>
    <t xml:space="preserve">REPLACEMENT OF L12_GHVHW_070E_DW. APPROVED ON SEPTEMBER 26,2025.CHANGE VEIN TYPE FROM L12_GHVHW_071E_DE TO L12_GHVSPLIT_071E_DE. APPROVED ON SEPTEMBER 29, 2025. TEMPORARY STOPPED ON DECEMBER 01, 2025, TO PRIORITIZED L12_GHVSPLIT_071E_RAISE. </t>
  </si>
  <si>
    <t>L08_JVSPLIT_029W_ROBBING</t>
  </si>
  <si>
    <t>L12_GHVSPLIT_071E_RAISE</t>
  </si>
  <si>
    <t xml:space="preserve">REPLACEMENT OF L11_DPVE_096E_DE. APPROVED ON NOVEMBER 20, 2025.  STOPPED ON NOVEMBER 21, 2025, DUE TO PINCHED OUT VEIN. </t>
  </si>
  <si>
    <t xml:space="preserve">REPLACEMENT OF L12_DPVE_052E_STOPE PREP. APPROVED ON JULY 2, 2025. TEMPORARY STOPPED ON AUGUST 26, 2025 DUE TO CONSTANT SLABBING DURING DRILLING AND BLASTING WAS OBSERVED, FOR SAFETY AND GEOTECH EVALUATION. RESUMED ON SEPTEMBER 08, 2025. RESUMED ON SEPTEMBER 08, 2025. CHANGE TEAM LEADER FROM BALANGHIG TO NITRO BM. APPROVED SEPTEMBER 08, 2025.RENAME OF TEAMLEADER FROM NITRO BM TO BACLAS DUE TO FULL-FLEDGED TEAM LEADER. APPROVED ON SEPTEMBER 27, 2025. TEMPORARY STOPPED ON OCTOBER 13, 2025, DUE TO SAFETY CONCERN AND FOR ASSESSMENT OF GEOLOGY.  RESUMED ON OCTOBER 14, 2025. TEMPORARY STOPPED DUE TO INACCESSIBLE MANWAY. FOR REHABILITATION AND REPAIR OF TIMBER ON MANWAY. APPROVED ON NOVEMBER 05, 2025.RESUME ON NOVEMBER 08, 2025. CONVERTED TO STOPE PULL-OUT. APPROVED ON DECEMBER 02, 2025. </t>
  </si>
  <si>
    <t>DELOS REYES v2</t>
  </si>
  <si>
    <t xml:space="preserve">REPLACEMENT OF L12_NONE_060E_FILL WINZE. APPROVED ON NOVEMBER 27, 2025. STOPPED ON DECEMBER 03, 2025, DUE TO PILLAR CONCERN OF ADJACENT DRIFT, SINCE THE DIPPING CHANGES TO 5 DEGREES. </t>
  </si>
  <si>
    <t>L12_GHV_074E_DW</t>
  </si>
  <si>
    <t xml:space="preserve">ADDITIONAL WORKPLACE. APPROVED ON NOVEMBER 12, 2025.  THIS WORKING PLACE FORMELY OPERATED BY TORMIS WILL BE TRANSFERRED TO BAÑEZ DUE TO WORKPLACE PRIORITIZATION. APPROVED ON NOVEMBER 26, 2025 3RD SHIFT. TEMPORARY STOPPED ON DECEMBER 3, 2025. </t>
  </si>
  <si>
    <t>REPLACEMENT OF L12_JVFW_054E_RAISE. APPROVED ON DECEMBER 03, 2025. Cancel due to prioritization of drift recommended by EMS.</t>
  </si>
  <si>
    <t xml:space="preserve">REPPLACEMENT OF L11_DPVE_032E_DE_ISL. APPROVED ON NOVEMBER 06, 2025. RENAME FROM L11_DPVE_031E_STOPE PREP TO L11_DPVE_031E_WINZE_STOPE PREP. APPROVED ON NOVEMBER 15, 2025.  STOPPED ON DECEMBER 04, 2025, TO BE CONVERTED TO STOPE BREAKING. </t>
  </si>
  <si>
    <t>REPLACEMENT OF L11_GHVSPLIT_058E_DE_ISL. APPROVED ON NOVEMBER 14, 2025. RENAME FROM L11_GHVSPLIT_059E_STOPE PREP TO LL11_GHVSPLIT_059E_WINZE_STOPE PREP. APPROVED ON NOVEMBER 15, 2025.STOPPED ON DECEMBER 04, 2025, TO BE CONVERTED TO STOPE BREAKING.</t>
  </si>
  <si>
    <t>L11_GHVSPLIT_059E_WINZE STOPE</t>
  </si>
  <si>
    <t>L11_DPVE_031E_WINZE STOPE</t>
  </si>
  <si>
    <t>L12_JVHW_023E_DE</t>
  </si>
  <si>
    <t>L12_GHV_017E_DW</t>
  </si>
  <si>
    <t>L12_DPVE_047E_RAISE</t>
  </si>
  <si>
    <t xml:space="preserve">REPLACEMENT OF L12_NONE_025E_XCS APPROVED ON NOVEMBER 18, 2025.  TEMPORARY STOPPED ON DECEMBER 05, 2025, TO PRIORITIZED L12_GHV_017E_DW. </t>
  </si>
  <si>
    <t xml:space="preserve">(ISL RAISE) REPLACEMENT OF L12_DPVE_51E_STOPE APPROVED ON AUGUST 25, 2025 . TEMPORARY STOPPED ON OCTOBER 17, 2025, DUE TO PRIORITIZATION OF L12_DPVE_050E_RAISE. RESUME ON NOVEMBER 05, 2025. STOPPED ON DECEMBER 05, 2025, DUE TO VEIN AND WIDTH CONTINUES TO DECLINE. </t>
  </si>
  <si>
    <t xml:space="preserve">ADDITIONAL WORKING PLACE. APPROVED ON OCTOBER 29, 2025. STOPPED ON DECEMBER 06, 2025. ALREADY MADE A BREAKTHROUGH. </t>
  </si>
  <si>
    <t>L11_DPVE_106E_RAISE</t>
  </si>
  <si>
    <t>L425_NONE_073E_XCN</t>
  </si>
  <si>
    <t xml:space="preserve">REPLACEMENT OF L11_DPVE_018E_ROBBING APPROVED ON NOVEMBER 22, 2025. STOPPED ON DECEMBER 08, 2025, DUE TO CONSECUTIVE LOW GRADE FLOORS ASSOCIATED WITH NARROW VEIN OF 0.10 meters. </t>
  </si>
  <si>
    <t>REPLACEMENT OF L425_GHVSPLIT_051E_STOPE PREP. APPROVED ON JULY 22, 2025. MEMO TO BE FOLLOWED. RECOMMENDED FOR ACTIVE STOPE PULLOUT. APPROVED ON DECEMBER 6, 2025</t>
  </si>
  <si>
    <t>REPLACEMENT OF L09_JVHW_054E_DW. APPROVED ON NOVEMBER 11, 2025. MINE GEOLOGY RECOMMENDS TO STOP THIS HEADING DUE TO CONSECUTIVE LOW ASSAY GRADE. STOPPED ON DECEMBER 8, 2025</t>
  </si>
  <si>
    <t>L08_DPVE_034E_DE_ISL</t>
  </si>
  <si>
    <t>ADDITIONAL WORKING PALCE OF LEVEL 8, CORPO WITH L08_NONE_034E_WIDENING. APPROVED ON NOVEMBER 12, 2025. TEMPORARY STOPPED ON NOV. 18, 2025 DUE TO MP ISSUE (ABSENTEEISM EMERGENCY). RESUMED ON NOV, 24, 2025. MINE GEOLOGY RECOMMENDS TO STOP THIS HEADING. ALREADY REACHED THE ADVANCE TO TAKE OFF FOR ISL. STOPPED ON DECEMBER 8, 2025</t>
  </si>
  <si>
    <t>L11_GHVHW_060E_DW_ISL</t>
  </si>
  <si>
    <t xml:space="preserve">REPLACEMENT OF L09_GHVSPLIT_002E_WINZE. APPROVED ON NOVEMBER 25, 2025. STOPPED ON DECEMBER 8, 2025. ALREADY MADE ABREAKTHROUGH. </t>
  </si>
  <si>
    <t>L09_GHV_020E_ROBBING</t>
  </si>
  <si>
    <t xml:space="preserve">REPLACEMENT OF L425_GHVSPLIT_064E_STOPE. APPROVED ON JULY 2, 2025. WILL BE TRANSFERED TO OLIVEROS 3. OLIVEROS 2 WILL HANDLE L425_GHV_064E_STOPE. APPROVED ON JULY 23, 2025. MINE GEOLOGY RECOMMENDS TO STOP THIS HEADING DUE TO CONSECUTIVE LOW ASSAY GRADES. STOPPED ON JULY 30, 2025. </t>
  </si>
  <si>
    <t>L425_DPVE_045E_RAISE</t>
  </si>
  <si>
    <t>L425_DPVE_049E_RAISE</t>
  </si>
  <si>
    <t>L425_JV_039E_RAISE</t>
  </si>
  <si>
    <t xml:space="preserve">REPLACEMENT OF L11_DPVE_033E_RAISE. HEADROOM PREPARATION. APPROVED ON NOVEMBER 06, 2025. STOPPED ON DECEMBER 11, 2025. ALREADY FINISHED HEADING. </t>
  </si>
  <si>
    <t xml:space="preserve">REPLACEMENT OF L11_DPVE_072E_DE. APPROVED ON NOVEMBER 28, 2025. RENAME FROM L11_DPVE_071E_RAISE TO L11_DPVE_072E_RAISE TO AVOID MISCHARGING FROM L11_JVHW_071E_STOPE. APPROVED ON NOVEMBER 29, 2025.  STOPPED ON DECEMBER 12, 2025, DUE TO PINCHED OUT VEIN. </t>
  </si>
  <si>
    <t>L09_DPVE_095E_DW</t>
  </si>
  <si>
    <t>095W</t>
  </si>
  <si>
    <t>L09_DPVE_095W_DW</t>
  </si>
  <si>
    <t>REPLACEMENT OF L09_NONE_090E_XCN. APPROVED ON NOVEMBER 5, 2025. MINE GEOLOGY RECOMMENDS TO RENAME THIS HEEADING FROM L09_DPVE_094E_DE TO L09_NONE_094E_XCS. APPROVED ON NOVEMBER 26, 2025. MINE GEOLOGY RECOMMENDS TO STOP THIS HEADING SINCE IT ALREADY REACHED THE VEIN INTERCEPT. STOPPED ON DECEMBER 12,2025</t>
  </si>
  <si>
    <t>L425_JV_037E_RAISE</t>
  </si>
  <si>
    <t>REPLACEMENT OF L08_JV_029W_STOPE. APPROVED ON DECEMBER 01, 2025.STOPPED ON DECEMBER 12, 2025. ALREADY FINISHED HEADING.</t>
  </si>
  <si>
    <t>REPLACEMENT OF L08_JVSPLIT_019W_STOPE. APPROVED ON AUG. 12, 2025.TEMPORARY STOPPED ON AUG. 17, 2025 DUE TO UNAVAILABILTY OF TIMBERS FOR CHUTE INSTALLATION HENCE MP WILL BE MERGED TO L08_JVS_027W_STOPE PREP. MOREOVER, THIS WP WILL BE RESUMED ON AUG. 18, 2025.RESUMED ON AUGUST 20, 2025.TEMPORARY STOPPED SEP. 3, 2025 TO PRIORITIZE HORIZONTAL DEVELOPMENT DUE TO MULTIPLE ACTIVE RAISES. RESUMED FOR OPERATIONS ON NOVEMBER 6, 2025 AND AT THE SAME TIME TRANSFER TEAMLEADER FROM CAPUYAN 3 TO NITRO CF3. TEMPORARY STOPPED ON NOV. 19, 2025 DUE TO MP ISSUE (ABSENTEEISM EMERGENCY). RESUMED NOV. 24, 2025. MINE GEOLOGY RECOMMENDS TO STOP THIS HEADING DUE TO PINCHED OUT VEIN. STOPPED ON DECEMBER 12, 2025</t>
  </si>
  <si>
    <t>L12_GHV_073E_DW</t>
  </si>
  <si>
    <t>CONVERTED TO STOPE PULL-OUT. APPROVED ON NOVEMBER 26, 2025.STOPPED ON DECEMBER 12, 2025 WITH 87% PULL-OUT ATTAINMENT.</t>
  </si>
  <si>
    <t xml:space="preserve">REPLACEMENT OF L11_GHVHW_067E_DW. APPROVED ON AUGUST 31, 2025.TEMPORARY STOPPED DUE TO PRIORITIZATION OF L11_DPVE_080E_RAISE. APPROVED ON OCTOBER 3, 2025. RESUMPTION OF THE WORKPLACE APPROVED ON OCTOBER 8, 2025. TEMPORARY STOPPED TO PRIORITIZE L11_DPVE_081E_RAISE. APPROVED ON NOVEMBER 13, 2025. RESUMED ON NOVEMBER 11, 2025. MAINLINE PASSABLE. APRROVED ON NOVEMBER 11, 2025.STOPPED ON DECEMBER 12, 2025, DUE TO CONSECUTIVE LOW ASSAY GRADES ON BOTH CUT AND BULK SAMPLES. </t>
  </si>
  <si>
    <t>L11_NONE_098E_RAISE</t>
  </si>
  <si>
    <t>REPLACEMENT OF L10_DPVE_012W_DW. APPROVED ON NOVEMBER 13, 2025.TEMPORARY STOPPED ON NOVEMBER 15, 2025. ALREADY DONE FOLLOW UP AND MUCKED OUT ALL THE BROKEN ORE. RESUMED FOR OPERATIONS ON NOVEMBER 17, 2025. AT THE SAME TIME CHANGED TEAMLEADER FROM LARGO 3 TO LARGO 2.STOPPED ON DECEMBER 12, 2025, DUE TO PINCHED OUT VEIN.</t>
  </si>
  <si>
    <t>L10_NONE_027E_XCS</t>
  </si>
  <si>
    <t>L11_DPVE_083E_RAISE</t>
  </si>
  <si>
    <t>MAPAYO 2 </t>
  </si>
  <si>
    <t>REPLACEMENT OF L10_JVSPLIT_068E_WINZE STOPE PREP. APPROVED ON SEPTEMBER 6, 2025.RENAMED TEAMLEADER FROM LARGO TO LARGO 1. APPROVED ON OCTOBER 13, 2025. CONVERTED TO WINZE STOPE PULL OUT ON DECEMBER 15, 2025</t>
  </si>
  <si>
    <t xml:space="preserve">REPLACEMENT OF L11_DPVE_100E_DE. APPROVED ON NOVEMBER 28, 2025. STOPPED ON DECEMBER 13, 2025 DUE TO CONSECUTIVE LOW ASSAY GRADE ASSOCIATED BY PINCHED OUT VEIN. </t>
  </si>
  <si>
    <t>REPLACEMENT OF L12_DPVE_049E_DW_ISL. APPROVED ON OCTOBER 17, 2025.  TEMPORARY STOPPED ON NOVEMBER 18, 2025 TO PRIORITIZE CLEANING AT UPPER LEVEL. RESUMED ON NOVEMBER 29, 2025. STOPPED ON DECEMBER 16, 2025</t>
  </si>
  <si>
    <t>L08_NONE_003E_XCS</t>
  </si>
  <si>
    <t>L12_DPVE_050E_STOPE PREP</t>
  </si>
  <si>
    <t>REPLACEMENT OF L11_DPVE_095E_DW. APPROVED ON NOVEMBER 21, 2025.  STOPPED ON DECEMBER 16, 2025 DUE TO CONSECUTIVE LOW ASSAY GRADE ON BOTH CUT AND BULK SAMPLES.</t>
  </si>
  <si>
    <t>L12_NONE_074E_XCN</t>
  </si>
  <si>
    <t>REPLACEMENT OF L08_DPVE_018W_DW. APPROVED ON OCTOBER 17, 2025. MINE GEOLOGY RECOMMENDS TO STOP THIS HEADING DUE TO PINCHED OUT VEIN. STOPPED ON NOVEMBER 25, 2025.</t>
  </si>
  <si>
    <t>REPLACEMENT OF L12_GHV_015E_DW. APPROVED ON DECEMBER 05, 2025.  STOPPED ON DECEMBER 16, 2025 DUE TO VEIN PINCHED OUT AND WILL BE CONVERTED TO L12_NONE_017E_XCS. APPROVED ON DECEMBER 16, 2025.</t>
  </si>
  <si>
    <t>L12_NONE_016E_XCS</t>
  </si>
  <si>
    <t>L11_DPVE_045E_RAISE</t>
  </si>
  <si>
    <t>REPLACEMENT OF L08_GHV_068E_ROBBING. APPROVED ON NOVEMBER 11, 2025.STOPPED ON DECEMBER 17, 2025. ALREADY FINISHED HEADING.</t>
  </si>
  <si>
    <t>L11_JVHW_070E_DE</t>
  </si>
  <si>
    <t xml:space="preserve">REPLACEMENT OF L12_JVSPLIT_051E_DW. APPROVED ON OCTOBER 30, 2025. STOPPED ON DECEMBER 18, 2025, DUE TO CONSECUTIVE LOW GRADE FLOORS AND DID NOT PASS WIREFRAMING AND STOPE DESIGN. </t>
  </si>
  <si>
    <t>REPLACEMENT OF L425_JVSPLIT_049E_RAISE. APPROVED ON OCTOBER 22, 2025.STOPPED ON DECEMBER 18, 2025. ALREADY MADE A BREAKTHROUGH.</t>
  </si>
  <si>
    <t>L425_GHVSPLIT_047E_STOPE PREP</t>
  </si>
  <si>
    <t>L425_GHVSPLIT_040E_STOPE PREP</t>
  </si>
  <si>
    <t>L08_JV_040E_DE_ISL</t>
  </si>
  <si>
    <t>L425_NONE_031E_XCS</t>
  </si>
  <si>
    <t>APPROVED ON AUGUST 28, 2025. REPLACEMENT OF L08_JVSPLIT_029W_STOPE PREP.STOPPED ON NOVEMBER 29, 2025. ALREADY FINISHED HEADING WITH 103% PULLOUT.</t>
  </si>
  <si>
    <t xml:space="preserve">ADDITIONAL WORKPLACE APPROVED ON NOVEMBER 18, 2025.STOPPED ON DECEMBER 19, 2025, DUE TO PINCHED OUT VEIN. </t>
  </si>
  <si>
    <t>L11_DPVE_111E_RAISE</t>
  </si>
  <si>
    <t>111E</t>
  </si>
  <si>
    <t>ADDITIONAL WORKPLACE OF L08, CORPO WITH L08_DPVE_020W_DW. APPROVED ON NOVEMBER 15, 2025. TEMPORARY STOPPED ON NOV. 17, 2025. RESUMED FOR OPERATIONS ON NOVEMBER 28, 2025 AS REPLACEMENT OF L08_DPVE_025W_RAISE.  MINE GEOLOGY RECOMMENDS TO STOP THIS HEADING TO AVOID BREAKTHROUGH AT OLD RAISE. STOPPED ON DECEMBER 20, 2025</t>
  </si>
  <si>
    <t>L08_DPVE_030W_RAISE</t>
  </si>
  <si>
    <t>REPLACEMENT OF L08_DPVE_038E_DW_ISL. APPROVED ON OCTOBER 17, 2025. MINE GEOLOGY RECOMMENDS TO STOP THIS HEADING DUE TO PINCHED OUT VEIN. STOPPED ON DECEMBER 20, 2025.</t>
  </si>
  <si>
    <t>L08_DPVE_041E_DE_ISL</t>
  </si>
  <si>
    <t xml:space="preserve">REPLACEMENT OF L11_DPVE_046E_ROBBING. APPROVED ON DECEMBER 17, 2025.  STOPPED ON DECEMBER 20, 2025, DUE TO PINCHED OUT VEIN. </t>
  </si>
  <si>
    <t xml:space="preserve">REPLACEMENT OF L11_DPVE_079E_DE. APPROVED ON NOVEMBER 13, 2025. STOPPED ON DECEMBER 21, 2025, DUE TO PINCHED OUT VEIN ON THE CURRENT BACK WITH CONSECUTIVE LOW ASSAY GRADE. </t>
  </si>
  <si>
    <t>L425_GHV_040E_RAISE</t>
  </si>
  <si>
    <t>REPLACEMENT OF L425_NONE_030E_XCS. APRROVED ON NOVEMBER 19, 2025. STOPPED ON DECEMBER 21, 2025 ALREADY REACHED THE RECOMMENDED STRIKE LENGTH.</t>
  </si>
  <si>
    <t>REPLACEMENT OF L09_JVFW_050E_DW. APPROVED ON DECEMBER 10, 2025. STOPPED ON DECEMBER 22, 2025. ALREADY FINISHED HEADING.</t>
  </si>
  <si>
    <t>L09_GHV_021E_ROBBING</t>
  </si>
  <si>
    <t>ADDITIONAL WORKING PLACE OF NITRO CF1. APPROVED ON DECEMBER 14, 2025. RENAMED FROM L08_NONE_037E_XCN TO L08_NONE_036E_XCN TO AVOID MISCHARGING WITH OTHER HEADING. APPROVED ON DECEMBER 17, 2025. TEMPORARY STOPPED ON DECEMBER 22, 2025. TO PRIORITIZE ON VEIN DEVELOPMENT.</t>
  </si>
  <si>
    <t>L425_JVHW_068E_DE CAPPUYO ADDITIONAL WORKPLACE. APPROVED ON NOVEMBER 21, 2025.CHANGE NAME TO L425_JVHW_071E_DE  TO AVOID MISCHARGING TO OTHER WORKPLACES. STOPPED ON DECEMBER 22, 2025. ALREADY MADE A BREAKTHROUGH.</t>
  </si>
  <si>
    <t>REPLACEMENT OF L08_DPVE_010W_STOPE PREP. APPROVED ON OCTOBER 28, 2025. STOPPED ON DECEMBER 15, 2025. RECOMMENDED FOR ACTIVE STOPE PULLOUT.</t>
  </si>
  <si>
    <t xml:space="preserve">REPLACEMENT OF L08_DPVE_010W_STOPE PREP. APPROVED ON OCTOBER 28, 2025. STOPPED ON DECEMBER 15, 2025. RECOMMENDED FOR ACTIVE STOPE PULLOUT.STOPPED ON DECEMBER 22, 2025. ALREADY MINED OUT WITH 105% PULLOUT ATTAINMENT. </t>
  </si>
  <si>
    <t>L08_NONE_007W_XCS</t>
  </si>
  <si>
    <t>REPLACEMENT OF L10_DPVE_014W_RAISE. APPROVED ON DECEMBER 14, 2025. MINE GEOLOGY RECOMMENDS TO STOP THIS HEADING AND PROCEED TO ON-VEIN DRIVE. APPROVED ON DECEMBER 23, 2025.</t>
  </si>
  <si>
    <t>L10_JV_027W_DW</t>
  </si>
  <si>
    <t>L12_JVSPLIT_051E_DE</t>
  </si>
  <si>
    <t>L08_JV_022E_MAINLINE CLEANING</t>
  </si>
  <si>
    <t xml:space="preserve">REPLACEMENT OF L08_JVSPLIT_029W_ROBBING. APPROVED ON DECEMBER 12, 2025. CHANGE HEADING FROM L08_JV_022E_DW TO L08_JV_022E_MAINLINE CLEANING. APPROVED ON DECEMBER 26, 2025. </t>
  </si>
  <si>
    <t>L425_GHV_052E_DW_ISL</t>
  </si>
  <si>
    <t xml:space="preserve">REPLACEMENT OF L11_DPVE_106E_DW. APPROVED ON DECEMBER 06, 2025.  STOPPED ON JANUARY 03, 2025, TO PRIORITIZE L11_NONE_001E_XCS. </t>
  </si>
  <si>
    <t xml:space="preserve">REPLACEMENT OF L11_DPVE_095E_RAISE. APPROVED ON OCTOBER 16, 2025. TEMPORARY STOPPED ON OCTOBER 30, 2025. DUE TO CONSECUTIVE LOW ASSAY GRADE IN BOTH BULK AND CUT SAMPLE. RESUMED ON OCTOBER 31, 2025.  TEMPORARY STOPPED TO PRIORITY L11_DPVE_092E_RAISE PREPARATION ON NOVEMBER 23, 2025. RESUME ON NOVEMBER 24, 2025. STOPPED ON JANUARY 03, 2025, TO PRIORITIZE L11_NONE_007E_XCN. </t>
  </si>
  <si>
    <t>L11_NONE_096E_XCN</t>
  </si>
  <si>
    <t xml:space="preserve">REPLACEMENT OF L12_DPVE_018E_DW. APPROVED ON NOVEMBER 07, 2025. STOPPED ON JANUARY 03, 2025, DUE TO PINCHED OUT VEIN  AND LOW ASSAY GRADE ON BOTH CUT AND BULK SAMPLE. </t>
  </si>
  <si>
    <t>L12_JV_075E_RAISE</t>
  </si>
  <si>
    <t>L11_NONE_001E_XCS</t>
  </si>
  <si>
    <t xml:space="preserve">REPLACEMENT OF L11_DPVE_079E_DE. APPROVED ON DECEMBER 14, 2025.  TEMPORARY STOPPED ON JANUARY 03, 2026, DUE TO SAFETY CONCERN (LOOSE GROUND). </t>
  </si>
  <si>
    <t>L460_NONE_050E_XCN</t>
  </si>
  <si>
    <t>NITRO BK 2</t>
  </si>
  <si>
    <t>L12_JVFW_045E_RAISE</t>
  </si>
  <si>
    <t xml:space="preserve">REPLACEMENT OF L12_GHVSPLIT_047E_DW. APPROVED ON NOVEMBER 03, 2025.  STOPPED ON JANUARY 04, 2026. ALREADY FINISHED HEADING. </t>
  </si>
  <si>
    <t>L12_GHVFW_014E_DE</t>
  </si>
  <si>
    <t>L425_GHVHW_080E_RAISE</t>
  </si>
  <si>
    <t>L425_GHVSPLIT_079E_DW</t>
  </si>
  <si>
    <t xml:space="preserve">REPLACEMENT OF L12_JVFW_054E_RAISE. APRROVED ON DECEMBER 04, 2025. CHANGE HEADING FROM L12_NONE_074E_XCE TO L12_NONE_074E_XCN. APPROVED ON DECEMBER 17, 2025.  STOPPED ON JANUARY 05, 2026. TO BE CONVERTED TO ON-VEIN DRIVE. </t>
  </si>
  <si>
    <t>L12_GHV_074E_DE</t>
  </si>
  <si>
    <t xml:space="preserve">REPLACEMENT OF L09_GHVSPLIT_017E_WINZE. APPROVED ON SEPTEMBER 18, 2025. TEMPORARY STOPPED DUE TO CURRENT FACE IS ON OFF VEIN. APPROVED ON OCTOBER 26, 2025. RESUMED FOR OPERATION NOVEMBER 5, 2025. STOPPED ON  JANUARY 05, 2026. ALREADY FINISHED. </t>
  </si>
  <si>
    <t>REPLACEMENT OF L09_GHVFW_021E_DE. APPROVED ON NOVEMBER 22, 2025. STOPPED ON JANUARY 05, 2026. ALREADY FINISHED HEADING.</t>
  </si>
  <si>
    <t xml:space="preserve">REPLACEMENT OF L12_GHVSPLIT_047E_DW APPROVED ON NOVEMBER 19, 2025. STOPPED ON JANUARY 05, 2026. ALREADY REACHED THE L11 EXPLOSIVE MAGAZINE (EXCLUSION ZONE). </t>
  </si>
  <si>
    <t>L11_NONE_007W_XCN</t>
  </si>
  <si>
    <t>NITRO BB 3</t>
  </si>
  <si>
    <t xml:space="preserve">REPLACEMENT OF L425_JVSPLIT_070E_RAISE. APPROVED ON NOVEMBER 8, 2025. STOPPED ON NOVEMBER 20, 2025.RESUMED FOR OPERATIONS ON DECEMBER 19, 2025 AND AT THE SAME TIME CHANGED TEAMLEADER FROM BANEZ TO OLIVEROS. MANPOWER FROM  L425_GHV_059E_STOPE. RENAME THIS HEADING FROM L425_GHV_044E_RAISE TO L425_GHV_040E_RAISE TO AVOID MISCHARGING. APPROVED ON DECEMBER 21, 2025. STOPPED ON JANUARY 06, 2026, DUE TO PINCHED OUT VEIN. </t>
  </si>
  <si>
    <t>L12_GHVSPLIT_046E_STOPE PREP</t>
  </si>
  <si>
    <t>L08_JVSPLIT_021E_RAISE</t>
  </si>
  <si>
    <t>L08_DPVE_042E_WINZE STOPE PREP</t>
  </si>
  <si>
    <t xml:space="preserve">ADDITIONAL WORKING PLACE. APPROVED ON AUGUST 12, 2025.CHANGE TEAMLEADER FROM BANEZ 1 TO NITRO BD. APPROVED ON AUGUST 26, 2025. CHANGE TEAM LEADER FROM BADBADON TO NITRO BB. APPROVED ON SEPTEMBER 12, 2025. STOPPED ON OCTOBER 04, 2025, DUE TO PINCHED OUT ON THE CURRENT FACE OF THE DRIVE. RECOMMEND TO DEVELOP THE EAST-WEST TREND VEIN INTERCEPT.  RESUMED ON DECEMBER 12, 2025 AT THE SAME TIME CHANGE TEAM LEADER FROM NITRO BB TO BADBADON 1. REPLACEMENT OF L11_DPVE_072E_RAISE. CHANGE HEADING FROM L11_DPVE_096E_DW TO L11_NONE_096E_XCN. APPROVED ON JANUARY 03, 2025.  STOPPED ON JANUARY 07, 2026, TO BE CONVERTED TO ON-VEIN DRIVE. </t>
  </si>
  <si>
    <t>REPLACEMENT OF L425_GHVSPLIT_042E_DE. APPROVED ON NOVEMBER 11, 2025. RENAMED FROM L425_GHVSPLIT_041E_DW   TO L425_GHVSPLIT_044E_DW,   TO AVOID MISCHARGING WITH OTHER WORKPLACES.  APPROVED NOV 11, 2025. TRANSFER OF TEAM LEADER FROM TORMIS TO BANEZ. APPROVED ON NOVEMBER 21, 2025. STOPPED ON JANUARY 7, 2026. ALREADY FINISHED HEADING.</t>
  </si>
  <si>
    <t>REPLACEMENT OF L08_DPVE_039E_DW_ISL. APPROVED ON DECEMEBER 20, 2025. TEMPORARY STOPPED ON JANUARY 7, 2026 TO PRIORITIZE THE WINZE STOPE PREPARATION AT WEST SIDE.</t>
  </si>
  <si>
    <t>REPLACEMENT OF L425_GHVHW_075E_DE. APPROVED ON NOVEMBER 14, 2025. MINE GEOLOGY RECOMMENDS TO STOP THIS HEADING DUE TO CONSECUTIVE LOW ASSAY GRADE STOPPED ON DECEMBER 23, 2025.</t>
  </si>
  <si>
    <t>REPLACEMENT OF L08_GHVSPLIT_037E_ROBBING. APPROVED ON OCTOBER 19, 2025. SILL PILLAR. CHANGE GROUP FROM FERNANDEZ 1 TO FERNANDEZ 5. APPROVED ON OCOTBER 20, 2025.OFFICIALLY STARTED ITS FIRST BLASTING ON OCTOBER 21, 2025. ALL CLEANING ACTIVITIES ARE STOPPED. STOPPED ON JANUARY 8, 2025. ALREADY FINISHED HEADING.</t>
  </si>
  <si>
    <t>L11_JV_038E_WINZE</t>
  </si>
  <si>
    <t>L08_GHV_012W_ROBBING</t>
  </si>
  <si>
    <t>L09_DPVE_029E_DE_ISL</t>
  </si>
  <si>
    <t>REPLACEMENT OF L425_JVSPLIT_076E_DE  BAÑEZ. APPROVED ON OCTOBER 29, 2025. TEMPORARY STOPPED ON JANUARY 8, 2026 TO PRIORITIZE STOPE PREPARATIONS.</t>
  </si>
  <si>
    <t>CONVERTED TO STOPE PULL OUT ON NOVEMBER 22, 2025 3RD SHIFT. STOPPED ON JANUARY 8, 2026. ALREADY MINED OUT WITH 104% ATTAINMENT</t>
  </si>
  <si>
    <t xml:space="preserve">REPLACEMENT OF L12_DPVE_052E_STOPE. APPROVED ON OCTOBER 13, 2025.  TEMPORARY STOPPED ON OCTOBER 17, 2025, FOR PRIORITIZATION OF L12_DPVE_22E_STOPE PREPARATION. RESUMED ON DECEMBER 04, 2025, AT THE SAME TIME CHANGE TEAMLEADER FROM LANTACA TO BACLAS. THIS WILL BE ADDITIONAL WORKPLACE OF TEAM LEADER BACLAS.  STOPPED ON JANUARY 09, 2026, DUE TO LOW ASSAY GRADE AND OFF-VEIN AT THE WEST SIDE PORTION. </t>
  </si>
  <si>
    <t>REPLACEMENT OF L11_JVHW_065E_RAISE. APPROVED ON NOVEMBER 06, 2025.  TEMPORARY STOPPED ON DECEMBER 17, 2025, TO PRIORITIZED L11_DPVE_045E_RAISE. RESUMED ON DECEMBER 20, 2025. STOPPED ON JANUARY 09, 2026. ALREADY FINISHED HEADING</t>
  </si>
  <si>
    <t>L11_DPVE_042E_DW</t>
  </si>
  <si>
    <t>GOC-ONG</t>
  </si>
  <si>
    <t xml:space="preserve">REPLACEMENT OF L12_DPVE_050E_RAISE. APPROVED ON DECEMBER 16, 2025. STOPPED ON JANUARY 11, 2026. WILL BE CONVERTED TO STOPE BREAKING. </t>
  </si>
  <si>
    <t>L12_DPVE_050E_STOPE</t>
  </si>
  <si>
    <t>L460_NONE_051E_XCS</t>
  </si>
  <si>
    <t>NITRO BK 3</t>
  </si>
  <si>
    <t>L460_NONE_052E_XCS</t>
  </si>
  <si>
    <t>L12_DPVE_021E_RAISE</t>
  </si>
  <si>
    <t xml:space="preserve">REPLACEMENT OF L12_GHV_017E_DW. APPROVED ON DECEMBER 16, 2025.  STOPPED ON JANUARY 13, 2026, WILL BE CONVERTED TO ON-VEIN DRIVE. </t>
  </si>
  <si>
    <t>ADDITIONAL WORKING PLACE. APPROVED ON JANUARY 03, 2026. CHANGE TEAM LEADER FROM NITRO BK TO DUHIG P EFFECTIVE ON JANUARY 13,2026</t>
  </si>
  <si>
    <t>DUHIG P</t>
  </si>
  <si>
    <t>L08_DPVE_033E_DE</t>
  </si>
  <si>
    <t>L11_DPVE_095E_DE</t>
  </si>
  <si>
    <t>L10_DPVE_008E_WINZE</t>
  </si>
  <si>
    <t>L08_JV_024E_WINZE</t>
  </si>
  <si>
    <t>NITRO CF </t>
  </si>
  <si>
    <t>L12_GHVFW_016E_DW</t>
  </si>
  <si>
    <t>REPLACEMENT OF L425_GHVSPLIT_044E_DW APPROVED ON JANUARY 7, 2026. MINE GEOLOGY RECOMMENDS TO STOP THIS HEADING DUE TO PINCHED OUT VEIN. STOPPED ON JANUARY 14, 2026.</t>
  </si>
  <si>
    <t>REPLACEMENT OF L425_GHVHW_071E_RAISE (WHICH ALREADY MADE A BREAKTHROUGH, STOP MEMO WILL FOLLOW AFTER THE ASSESSMENT IF FURTHER WIDENING WILL COMMENCE). APPROVED ON NOVEMBER 14, 2025. STOPPED ON JANUARY 14, 2026. ALREADY MADE A BREAKTHROUGH.</t>
  </si>
  <si>
    <t>L425_GHVSPLIT_044E_RAISE</t>
  </si>
  <si>
    <t>L425_JVFW_035E_DW</t>
  </si>
  <si>
    <t xml:space="preserve">BAÑEZ </t>
  </si>
  <si>
    <t>L425_JVSPLIT_071E_DW</t>
  </si>
  <si>
    <t>REPLACEMENT OF L08_DPVE_037E_ROBBING. APPROVED ON DECEMBER 17, 2025. STOPPED ON JAN 14, 2026, FINISHED HEADING.</t>
  </si>
  <si>
    <t>REPLACEMENT OF L08_DPVE_033E_RAISE (RAISE ISL FOR L08_DPVE_033E_STOPE PREP). APPROVED ON DECEMBER 09, 2025. STOPPED ON JAN 14, 2026, ALREADY MADE A BREAKTHROUGH.</t>
  </si>
  <si>
    <t xml:space="preserve">REPLACEMENT OF L11_DPVE_108E_DE. APPROVED ON DECEMBER 19, 2025.  STOPPED ON JANUARY 14, 2026, DUE TO  VEIN CUT BY THE FAULT. </t>
  </si>
  <si>
    <t>REPLACEMENT OF L08_DPVE_027E_RAISE. APPROVED ON DECEMBER 12, 2025. MINE GEOLOGY RECOMMENDS TO STOP THIS HEADING DUE TO CONSECUTIVE LOW ASSAY GRADES. STOPPED ON JANUARY 14, 2026</t>
  </si>
  <si>
    <t>L11_DPVE_112E_RAISE</t>
  </si>
  <si>
    <t>112E</t>
  </si>
  <si>
    <t>REPLACEMENT OF L08_GHV_016W_ROBBING. APPROVED ON NOVEMBER 25, 2025. STOPPED ON DECEMBER 20, 2025. ALREADY MADE A BREAKTHROUGH.</t>
  </si>
  <si>
    <t>REPLACEMENT OF L425_GHVSPLIT_072E_STOPE PREP. APPROVED NOVEMBER 14, 2025. CONVERTED TO STOPE PULL OUT AS OF JANUARY 12, 2026.</t>
  </si>
  <si>
    <t>L11_DPVE_104E_RAISE</t>
  </si>
  <si>
    <t>104E</t>
  </si>
  <si>
    <t>L08_DPVE_034E_STOPE PREP</t>
  </si>
  <si>
    <t xml:space="preserve">ADDITIONAL WORKING PLACE. APPROVED ON AUGUST 12, 2025.CHANGE TEAMLEADER FROM BANEZ 1 TO NITRO BD. APPROVED ON AUGUST 26, 2025. CHANGE TEAM LEADER FROM BADBADON TO NITRO BB. APPROVED ON SEPTEMBER 12, 2025. STOPPED ON OCTOBER 04, 2025, DUE TO PINCHED OUT ON THE CURRENT FACE OF THE DRIVE. RECOMMEND TO DEVELOP THE EAST-WEST TREND VEIN INTERCEPT.  RESUMED ON DECEMBER 12, 2025 AT THE SAME TIME CHANGE TEAM LEADER FROM NITRO BB TO BADBADON 1. REPLACEMENT OF L11_DPVE_072E_RAISE. REPLACEMENT OF L11_NONE_096E_XCN. APPROVED ON JANUARY 07, 2026. TEMPORARY STOPPED ON JANUARY 17, 2026, DUE TO PRIORITIZATION OF L11_NONE_098E_RAISE (VENTILATION PURPOSE). </t>
  </si>
  <si>
    <t>L425_GHVHW_076E_RAISE</t>
  </si>
  <si>
    <t>L11_DPVE_043E_DE_ISL</t>
  </si>
  <si>
    <t xml:space="preserve">REPLACEMENT OF L12_JVHW_059E_STOPE PREP. APPROVED ON NOVEMBER 12, 2025. STOPPED ON JANUARY 17, 2026, WILL BE CONVERTED TO STOPE PULL-OUT. </t>
  </si>
  <si>
    <t xml:space="preserve">REPLACEMENT OF L12_GHVSPLIT_066E_RAISE. APPROVED ON NOVEMBER 14, 2025.  STOPPED ON JANUARY 03, 2026, DUE TO LOW ASSAY GRADE ON BOTH CUT AND BULK SAMPLE. </t>
  </si>
  <si>
    <t xml:space="preserve">REPLACEMENT OF L11_DPVE_046E_ROBBING. APPROVED ON JANUARY 10, 2026.  STOPPED ON JANUARY 15, 2026. </t>
  </si>
  <si>
    <t>REPLACEMENT OF L425_GHVSPLIT_047E_RAISE. APPROVED ON DECEMBER 18, 2025.  STOPPED ON JANUARY 15, 2026. RECOMMENDED FOR STOPE BREAKING</t>
  </si>
  <si>
    <t>L425_GHVSPLIT_047E_STOPE</t>
  </si>
  <si>
    <t>ADDITIONAL WORKPLACE OF L425, JOINED MANPOWER WITH L425_GHVSPLIT_047E_STOPE PREP. APPROVED ON DECEMBER 18, 2025. CHANGE TEAMLEADER FROM ESPINOSA TO BAÑEZ  DUE TO WORKPLACE PRIORITIZATION. APPROVED ON JANUARY 4, 2026. STOPPED ON JANUARY 19, 2026. RECOMMENDED FOR STOPE BREAKING</t>
  </si>
  <si>
    <t>L425_GHVSPLIT_040E_STOPE</t>
  </si>
  <si>
    <t xml:space="preserve">REPLACEMENT OF L12_JVHW_055E_STOPE PREP APPROVED ON NOVEMBER 21, 2025; </t>
  </si>
  <si>
    <t>REPLACEMENT OF L09_NONE_094E_XCS. APPROVED ON DECEMBER 12, 2025. STOPPED PINCHED OUT VEIN ON JANUARY 20,2026.</t>
  </si>
  <si>
    <t>REPLACEMENT OF L09_DPVE_026E_ROBBING. APPROVED ON JANUARY 06, 2025. MINE GEOLOGY RECOMMENDS TO RENAME THIS HEADING FROM L09_DPVE_035E_DE TO L09_GHVFW_035E_DE. APPROVED ON JANUARY 7, 2026. 
STOPPED, PINCHED OUT VEIN. VEIN SPLIT HAS POOR VEIN MINERALIZATION AND NARROW VEIN WIDTH  OF 0.05 METERS APPROVED ON JANUARY 20,2026</t>
  </si>
  <si>
    <t>DUHIG, P</t>
  </si>
  <si>
    <t>L09_JVHW_010W_DW</t>
  </si>
  <si>
    <t>L09_NONE_095E_XCS</t>
  </si>
  <si>
    <t>ADDITIONAL WORKING PLACE OF L425. CORPO WITH L425_NONE_031E_XCS. APPROVED ON JANUARY 8, 2026. MINE GEOLOGY RECOMMENDS TO STOP THIS HEADING AS IT ALREADY REACHED THE TARGETED STRIKE LENGTH. STOPPED ON JANUARY 21, 2026.</t>
  </si>
  <si>
    <t xml:space="preserve">REPLACEMENT OF L11_DPVE_111E_RAISE. APPROVED ON JANUARY 14, 2026. STOPPED ON JANUARY 20, 2026, DUE TO CUT BY A FAULT. </t>
  </si>
  <si>
    <t>L10_GHV_021W_DE</t>
  </si>
  <si>
    <t xml:space="preserve">NEW WORKPLACE, CORPO WITH L08_GHV_005E_ROBBING. APPROVED ON DECEMBER 16, 2025. TEMPORARY STOPPED ON JANUARY 7, 2026 TO PRIORITIZE THE TEAR OUT CUTTING ON OLD WINZE HEADROOM AND FLOORING. L08_NONE_003E_XCS FERNANDEZ 5
RESUMED FOR OPERATIONS ON JANUARY 8, 2026. STOPPED ON JANUARY 19, 2026. ALREADY MADE A BREAKTHROUGH.
  </t>
  </si>
  <si>
    <t>ADDITIONAL WORKING PLACE OF L08, JOINT MANPOWER WITH L08_DPVE_041E_DE_ISL. APPROVED ON JANUARY 7, 2026. STOPPED ON JANUARY 21, 2026. RECOMMENDED FOR ACTIVE STOPE BREAKING.</t>
  </si>
  <si>
    <t>L08_DPVE_042E_WINZE STOPE</t>
  </si>
  <si>
    <t>ADDITIONAL WORKPLACE. SPECIAL PROJECT MILL HOLE. MANPOWER JOINED WITH L08_NONE_008W_RAISE AND L08_GHV_006W_ROBBING. APPROVED ON JANUARY 5, 2026.STOPPED ON JANUARY 20, 2026. ALREADY MADE A BREAKTHROUGH.</t>
  </si>
  <si>
    <t>REPLACEMENT OF L425_GHV_052E_WINZE. APPROVED ON DECEMBER 27, 2025.  STOPPED ON JANUARY 22, 2025. FINISHED HEADING.</t>
  </si>
  <si>
    <t>SPECIAL PROJECT FOR VENTILATION. APPROVED ON JANUARY 23, 2026. </t>
  </si>
  <si>
    <t>L08_DPVE_035E_DE_ISL</t>
  </si>
  <si>
    <t>REPLACEMENT OF L08_NONE_025W_XCN. APPROVED ON SEPTEMBER 23, 2025. RENAME OF TEAMLEADER FROM NITRO BZ TO CANTAGO DUE TO FULL-FLEDGED TEAM LEADER. APPROVED ON SEPTEMBER 27, 2025.TEMPORARY STOPPED ON OCTOBER 15, 2025 TO PRIORITIZE L08_DPVE_025W_RAISE.RESUMED FOR OPERATIONS ON OCTOBER 23, 2025, REPLACEMENT OF L08_DPVE_011W_RAISE. MINE GEOLOGY RECOMMENDS TO STOP THIS HEADING DUE TO CONSECUTIVE LOW ASSAY GRADE. STOPPED ON JANUARY 20, 2026</t>
  </si>
  <si>
    <t xml:space="preserve">REPLACEMENT OF L12_DPVE_052E_STOPE PREP. APPROVED ON JULY 2, 2025. TEMPORARY STOPPED ON AUGUST 26, 2025 DUE TO CONSTANT SLABBING DURING DRILLING AND BLASTING WAS OBSERVED, FOR SAFETY AND GEOTECH EVALUATION. RESUMED ON SEPTEMBER 08, 2025. RESUMED ON SEPTEMBER 08, 2025. CHANGE TEAM LEADER FROM BALANGHIG TO NITRO BM. APPROVED SEPTEMBER 08, 2025.RENAME OF TEAMLEADER FROM NITRO BM TO BACLAS DUE TO FULL-FLEDGED TEAM LEADER. APPROVED ON SEPTEMBER 27, 2025. TEMPORARY STOPPED ON OCTOBER 13, 2025, DUE TO SAFETY CONCERN AND FOR ASSESSMENT OF GEOLOGY.  RESUMED ON OCTOBER 14, 2025. TEMPORARY STOPPED DUE TO INACCESSIBLE MANWAY. FOR REHABILITATION AND REPAIR OF TIMBER ON MANWAY. APPROVED ON NOVEMBER 05, 2025.RESUME ON NOVEMBER 08, 2025. CONVERTED TO STOPE PULL-OUT. APPROVED ON DECEMBER 02, 2025.  TEMPORARY STOPPED ON JANUARY 13, 2025, WATER SPRAYING ON FROZEN MUCK.  STOPPED ON JANUARY 23, 2026. ALREADY MINED OUT WITH 88% PULL-OUT. </t>
  </si>
  <si>
    <t>L425_GHVHW_062E_STOPE PREP</t>
  </si>
  <si>
    <t>MANPOWER CORPO WITH L425_GHVHW_066E_STOPE. PURPOSE OF THIS CROSSCUT IS TO ETABLISH TRAMMING LOOP TO OPEN UP THE STOPE PREPARATION AT ADJACENT MAINLINE. APPROVED ON NOV. 29, 2025. STOPPED ON JANUARY 19, 2026.</t>
  </si>
  <si>
    <t xml:space="preserve">REPLACEMENT OF L12_NONE_074E_XCN. APPROVED ON JANUARY 05, 2026. TEMPORARY STOPPED ON JANUARY 24, 2026, TO PRIORITIZED L12_GHV_066E_STOPE PREP. </t>
  </si>
  <si>
    <t>REPLACEMENT OF L09_DPVE_069E_WINZE. APPROVED ON OCTOBER 17, 2025. CHANGED TEAMLEADER FROM NITRO CK3 TO NITRO CJ. APPROVED ON NOVEMBER 18, 2025. MINE GEOLOGY RECOMMENDS TO STOP THIS HEADING AND TO RECOMMEND FOR ISL. STOPPED ON JANUARY 23, 2026.</t>
  </si>
  <si>
    <t>L09_DPVE_040E_DE_ISL</t>
  </si>
  <si>
    <t>L09_DPVE_036E_DW_ISL</t>
  </si>
  <si>
    <t>REPLACEMENT OF L09_JVFW_052E_RAISE. APPROVED ON DECEMBER 8, 2025. MINE GEOLOGY RECOMMENDS TO STOP THIS HEADING DUE TO PINCHED OUT VEIN. STOPPED ON JANUARY 23, 2026</t>
  </si>
  <si>
    <t>L09_JV_037E_DE_ISL</t>
  </si>
  <si>
    <t>L09_JV_035E_DW_ISL</t>
  </si>
  <si>
    <t>DURANGO, R</t>
  </si>
  <si>
    <t xml:space="preserve">ADDITIONAL WORKING PLACE. MANPOWER JOINED WITH L11_NONE_098E_RAISE. APPROVED ON JANUARY 08, 2026.  STOPPED ON JANUARY 24, 2026, DUE TO PINCHED OUT VEIN. </t>
  </si>
  <si>
    <t>L11_DPVE_093E_RAISE</t>
  </si>
  <si>
    <t>CONVERTED TO STOPE PULL-OUT. APPROVED ON JANUARY 05, 2026. STOPPED ON JANUARY 22, 2026. ALREADY MINED OUT WITH 85% ATTAINMENT.</t>
  </si>
  <si>
    <t xml:space="preserve">RECOMMENDED FOR ACTIVE STOPE PULLOUT. APPROVED ON DECEMBER 6, 2025. STOPPED ON JANUARY 20, 2026. ALREADY MINED OUT WITH 98% ATTAINMENT. </t>
  </si>
  <si>
    <t>REPLACEMENT OF L10_GHV_023W_STOPE PREP. APPROVED ON NOVEMBER 29, 2025. STOPPED STOPE BREAKING ON JANUARY 27, 2026. WILL BE CONVERTED TO STOPE PULL-OUT</t>
  </si>
  <si>
    <t>L425_GHVSPLIT_068E_DE</t>
  </si>
  <si>
    <t>REPLACEMENT OF L09_GHV_020E_ROBBING. APPROVED ON DECEMBER 22, 2025. STOPPED ON JAN. 26, 2026, DECLARED MINED-OUT.</t>
  </si>
  <si>
    <t>ADDITIONAL WORKPLACE. CORPO WITH L11_NONE_033E_RAISE. APPROVED ON NOVEMBER 13, 2025. TEMPORARY STOPPED ON NOVEMBER 25, 2025. TO PRIORITIZED L11_NONE_033E_RAISE.  RESUMED ON DECEMBER 11, 2025. STOPPED ON JANUARY 28, 2026, DUE TO CONSECUTIVE LOW ASSAY GRADE.</t>
  </si>
  <si>
    <t xml:space="preserve">ADDITIONAL WORKPLACE OF L08. APPROVED ON NOVEMBER 5, 2025. STOPPED ON JANUARY 24, 2026. ALREADY FINISHED HEADING. </t>
  </si>
  <si>
    <t xml:space="preserve">REPLACEMENT OF L11_DPVE_094E_DW. APPROVED ON JANUARY 03, 2026. CHANGE HEADING ON JANUARY 28, 2026. WILL BE CONVERTED TO ON-VEIN DRIVE. </t>
  </si>
  <si>
    <t>L11_GHVHW_002E_DW</t>
  </si>
  <si>
    <t>L10_GHV_025W_RAISE</t>
  </si>
  <si>
    <t xml:space="preserve">REPLACEMENT OF L08_DPVE_018W_WINZE STOPE PREP. APPROVED ON NOVEMBER 28, 2025. STOPPED WINZE STOPE BREAKING ON JANUARY 24, 2026. WILL BE CONVERTED TO WINZE STOPE PULL-OUT. </t>
  </si>
  <si>
    <t xml:space="preserve">REPLACEMENT OF L12_DPVE_028E_STOPE PREP APPROVED ON NOVEMBER 21, 2025.TEMPORARY STOPPED ON DECEMBER 10, 2025 (3RD SHIFT), DUE TO TEAR OUT REPLACE OF DETERIORATED TIMBERS @28E_WINZE.RESUMED ON DECEMBER 13, 2025.  STOPPED STOPE BREAKING ON JANUARY 27, 2026. WILL BE CONVERTED TO STOPE PULL-OUT. </t>
  </si>
  <si>
    <t>REPLACEMENT OF L425_GHVSPLIT_046E_STOPE. APPROVED ON DECEMBER 11, 2025. MINE GEOLOGY RECOMMENDS TO STOP THIS HEADING AS THIS RAISE HAS ALREADY REACHED ITS DESIRED SLOPE HEIGHT. STOPPED ON JANUARY 28, 2026.</t>
  </si>
  <si>
    <t>ADDITIONAL WORKING PLACE. APPROVED ON JANUARY 13, 2026. MINE GEOLOGY RECOMMENDS TO STOP THIS HEADING DUE TO PINCHED OUT VEIN. STOPPED ON JANUARY 28, 2026</t>
  </si>
  <si>
    <t>ADDITIONAL WORKING PLACE. APPROVED ON JANUARY 21, 2026. MINE GEOLOGY RECOMMENDS TO STOP THIS HEADING DUE TO PINCHED OUT VEIN. STOPPED ON JANUARY 28, 2026</t>
  </si>
  <si>
    <t xml:space="preserve">REPLACEMENT OF L11_DPVE_027E_RAISE. APPROVED ON DECEMBER 10, 2025.  STOPPED ON JANUARY 29, 2026, DUE TO CONSECUTIVE LOW ASSAY GRADE ON CUT SAMPLES AND WITH NO FURTHER TARGET. </t>
  </si>
  <si>
    <t>L11_DPVE_008W_DW</t>
  </si>
  <si>
    <t xml:space="preserve">REPLACEMENT OF L12_JVSPLIT_043E_DW. APPROVED ON OCTOBER 27, 2025.  RENAMED FROM L12_DPVE_023E_DW TO L12_JV_023E_DW. APPROVED ON OCTOBER 29, 2025.  CHANGE HEADING DIRECTION FROM L12_JV_023E_DW TO L12_JV_023E_DE. APPROVED ON NOVEMBER 15, 2025. RENAME FROM L12_JV_023E_DE TO L12_JVHW_023E_DE, FOR PROPER NAMING OF VEIN. APPROVED ON DECEMBER 04, 2025.TEMPORARY STOPPED ON JANUARY 13, 2026, DUE TO PRIORITIZATION OF L12_DPVE_21E_RAISE. -RESUMED ON JANUARY 22, 2026.  STOPPED ON JANUARY 30, 2026, DUE TO PINCHED OUT VEIN. </t>
  </si>
  <si>
    <t>L08_JV_018E_DE</t>
  </si>
  <si>
    <t>REPLACEMENT OF L08_DPVE_018W_WINZE STOPE BREAKING. APPROVED ON JANUARY 24, 2026. STOPPED ON JANUARY 30, 2026. ALREADY MINED OUT WITH 106% ATTAINMENT.</t>
  </si>
  <si>
    <t>L08_DPVE_014W_WINZE</t>
  </si>
  <si>
    <t>L12_GHVSPLIT_066E_STOPE PREP</t>
  </si>
  <si>
    <t xml:space="preserve">REPLACEMENT OF L12_DPVE_072E_RAISE. APPROVED ON SEPTEMBER 24, 2025. STOPPED ON OCTOBER 17, 2025, WILL BE CONVERTED TO STOPE PREPARATION.  RESUME ON DECEMBER 12, 2025, AT THE SAME TIME CHANGE TEAM LEADER FROM DUHIG, P1 TO LANTACA.  STOPPED ON JANUARY 30, 2026, PROCEED TO ISL. </t>
  </si>
  <si>
    <t>L12_DPVE_022E_DE_ISL</t>
  </si>
  <si>
    <t xml:space="preserve">CONVERTED TO STOPE PULL OUT AS OF JANUARY 12, 2026. STOPPED ON JANUARY 21, 2026. ALREADY MINED OUT WTH 101% ATTAINMENT. </t>
  </si>
  <si>
    <t xml:space="preserve">REPLACEMENT OF L425_GHV_067E_STOPE. APPROVED ON DECEMBER 19, 2025. STOPPED ON JANUARY 29, 2026. MADE A BREAKTHROUGH. </t>
  </si>
  <si>
    <t>REPLACEMENT OF L11_JVHW_071E_STOPE PREP. APPROVED ON OCTOBER 18, 2025. STOPPED BREAKING ON JANUARY 31, 2026. WILL BE CONVERTED TO STOPE-PULL-OUT.</t>
  </si>
  <si>
    <t>REPLACEMENT OF L425_JV_036E_DW. APPROVED ON NOVEMBER 16, 2025. TRANSFER OF TEAMLEADER FROM OLIVEROS TO CAPPUYO. APPROVED ON NOVEMBER 21, 2025. ALREADY MADE A BREAKTHROUGH. STOPPED ON JANUARY 31, 2026.</t>
  </si>
  <si>
    <t>L460_NONE_049E_XCS</t>
  </si>
  <si>
    <t>L460_NONE_053E_SUMP</t>
  </si>
  <si>
    <t>REPLACEMENT OF L425_JVHW_053E_RAISE APPROVED ON NOVEMBER 24, 2025. TEMPORARY STOPPED ON DECEMBER 11, 2025 DUE TO MANPOWER INSUFFICIENT SKILLS TO OPERATE THIS HEADING. RESUME ON JANUARY 17, 2026, AT THE SAME TIME TRANSFER OF TEAM LEADER FROM DELOS REYES TO ESPINOSA.  RESUME ON JANUARY 17, 2026, AT THE SAME TIME TRANSFER OF TEAM LEADER FROM DELOS REYES TO ESPINOSA.  STOPPED ON JANUARY 27, 2026. RECOMMENDED FOR ACTIVE STOPE BREAKING.</t>
  </si>
  <si>
    <t>L425_JVFW_041E_STOPE</t>
  </si>
  <si>
    <t>L425_NONE_075E_XCN</t>
  </si>
  <si>
    <t>REPLACEMENT OF L425_JV_039E_RAISE. APPROVED ON FEBRUARY 2, 2026.</t>
  </si>
  <si>
    <t>BAÑEZ </t>
  </si>
  <si>
    <t>L12_JVFW_037E_STOPE PREP</t>
  </si>
  <si>
    <t>L425_GHV_082E_RAISE</t>
  </si>
  <si>
    <t>REPLACEMENT OF L09_DPVE_086E_ROBBING. APPROVED ON SEPTEMBER 16, 2025.TEMPORARY STOPPED ON OCTOBER 03, 2025, DUE TO PRIORITIZATION OF WORKPLACE. RESUMPTION OF THIS WORKPLACE. REPLACEMENT OF L09_DPVE_028E_WINZE. APPROVED ON OCTOBER 26, 2025. ON-GOING CLEANING. TRANSFER OF TEAM LEADER FROM QUIANO 1 TO DELOS REYES, EFFECTIVE NOVEMBER 07, 2025.  DONE CLEANING AND PREPARATIONS. STARTED ITS ADVANCE FOR SINKING ON NOVEMBER 17, 2025. MINE GEOLOGY RECOMMENDS TO STOP THIS HEADING DUE TO PINCHED OUT VEIN. STOPPED ON JANUARY 31, 2026</t>
  </si>
  <si>
    <t>ADDITIONAL WORKPLACE OF L425. APPROVED ON JANUARY 14, 2026. CHANGE TEAMLEADER FROM DELOS REYES TO LERIO DUE TO WORKPLACE PRIORITIZATION. APPROVED ON JANUARY 22, 2026.  MINE GEOLOGY RECOMMENDS TO STOP THIS HEADING DUE TO PINCHED OUT VEIN. STOPPED ON FEBRUARY 2, 2026.</t>
  </si>
  <si>
    <t xml:space="preserve">REPLACEMENT OF L12_NONE_016E_XCS. APPROVED ON JAN 13, 2026. STOPPED ON FEBRUARY 03, 2026, DUE TO PINCHED OUT VEIN. </t>
  </si>
  <si>
    <t>L12_GHVSPLIT_015E_DW</t>
  </si>
  <si>
    <t xml:space="preserve">REPLACEMENT OF L12_JV_033E_ROBBING. APPROVED ON JANUARY 04, 2026.  STOPPED ON FEBRUARY 03, 2026, DUE TO PINCHED OUT VEIN AT THE CURRENT BACK AND SHOWS LOW GRADE INTERVALS. </t>
  </si>
  <si>
    <t>L08_JV_025E_WINZE</t>
  </si>
  <si>
    <t>REPLACEMENT OF L12_GHVSPLIT_075E_DE. APPROVED ON JANUARY 03, 2026.  STOPPED ON FEBRUARY 03, 2026, DUE TO CONSECUTIVE LOW GRADE FLOORS.</t>
  </si>
  <si>
    <t>REPLACEMENT OF L08_DPVE_028E_RAISE. APPROVED ON DECEMBER 20, 2025. MINE GEOLOGY RECOMMENDS TO STOP THIS HEADING DUE TO CONSECUTIVE LOW ASSAY GRADE. STOPPED ON FEBRUARY 5, 2026</t>
  </si>
  <si>
    <t xml:space="preserve">REPLACEMENT OF L12_JVHW_043E_RAISE. APPROVED ON DECEMBER 19, 2025.  STOPPED ON FEBRUARY 05, 2026, DUE TO PINCHED OUT VEIN. </t>
  </si>
  <si>
    <t>L10_NONE_095E_XCS</t>
  </si>
  <si>
    <t>L460_NONE_053E_XCS</t>
  </si>
  <si>
    <t>REPLACEMENT OF L08_JV_035E_RAISE. APPROVED ON NOVEMBER 18, 2025. STOPPED ON FEBRUARY 4, 2026. ALREADY FINISHED HEADING AND RECOMMENDED FOR ISL.</t>
  </si>
  <si>
    <t>L12_GHVSPLIT_051E_RAISE</t>
  </si>
  <si>
    <t>L08_JV_046E_DW_ISL</t>
  </si>
  <si>
    <t>L08_JV_060E_DE_ISL</t>
  </si>
  <si>
    <t>REPLACEMENT OF L12_JVHW_058E_STOPE PREP. APPROVED ON AUGUST 29, 2025. RENAME OF TEAMLEADER FROM NITRO BP TO HAGANAS DUE TO FULL-FLEDGED TEAM LEADER. APPROVED ON SEPTEMBER 27, 2025.  CONVERTED TO STOPE PULL OUT ON FEBRUARY 5, 2026</t>
  </si>
  <si>
    <t>ADDITIONAL WORKING PLACE. APPROVED JANUARY 12, 2026.  CHANGE TEAMLEADER FROM NITRO BK 3 TO DUHIG, P1. APPROVED ON JANUARY 14, 2026.STOPPED. FINISHED HEADING ON FEBRUARY 7, 2026.</t>
  </si>
  <si>
    <t xml:space="preserve">REPLACEMENT OF L12_GHVSPLIT_046E_RAISE. APPROVED ON JANUARY 06, 2026.STOPPED ON FEBRUARY 07, 2026. WILL BE CONVERTED TO STOPE BREAKING. </t>
  </si>
  <si>
    <t>L12_GHVSPLIT_046E_STOPE</t>
  </si>
  <si>
    <t>REPLACEMENT OF L12_GHVSPLIT_046E_STOPE PREP. APPROVED ON FEBRUARY 08, 2026. </t>
  </si>
  <si>
    <t>L425_DPVE_031E_DW</t>
  </si>
  <si>
    <t>REPLACEMENT OF L10_GHV_023W_STOPE BREAKING. APPROVED ON JANUARY 27, 2026.  MINE GEOLOGY RECOMMENDS TO STOP PULL-OUT OF THIS STOPE AND CONTINUE THE RAISE ON THIS STOPE. STOPPED ON FEBRUARY 10, 2026.</t>
  </si>
  <si>
    <t>REPLACEMENT OF L425_GHVSPLIT_069E_DE. APPROVED ON JANUARY 5, 2026. TEMPORARY STOPPED ON FEBRUARY 7, 2026 DUE TO CONSECUTIVE LOW ASSAY GRADES ON CUT AND BULK SAMPLES.</t>
  </si>
  <si>
    <t>L425_GHVSPLIT_064E_DE</t>
  </si>
  <si>
    <t>REBOTE </t>
  </si>
  <si>
    <t>L425_JVSPLIT_070E_DE</t>
  </si>
  <si>
    <t>REPLACEMENT OF L08_JV_048E_WINZE. APPROVED ON FEBRUARY 6, 2026. TEMPORARY STOPPED ON FEB 10, 2026, TO PRIORITIZE L08_JV_046E_DE_ISL.</t>
  </si>
  <si>
    <t xml:space="preserve">ADDTIONAL WORKPLACE APPROVED ON NOVEMBER 19, 2025. TEMPORARY STOPPED ON JANUARY 16, 2026, DUE TO PRIORITIZATION OF L11_DPVE_112E_RAISE.  RESUMED ON JANUARY 19, 2026. STOPPED ON JANUARY 31, 2026. ALREADY MADE A BREAKTHROUGH. </t>
  </si>
  <si>
    <t>ADDITIONAL WORKPLACE. MANPOWER JOINED WITH L425_NONE_073E_XCN. APPROVED ON FEBRUARY 2, 2026. MINE GEOLOGY RECOMMENDS TO STOP THIS HEADING DUE TO PINCHED OUT VEIN. STOPPED ON FEBRUARY 11, 2026.</t>
  </si>
  <si>
    <t>L425_GHVSPLIT_056E_DE_ISL</t>
  </si>
  <si>
    <t>L425_GHVSPLIT_056E_DW_ISL</t>
  </si>
  <si>
    <t>L08_NONE_030E_MAINLINE_CLEANING</t>
  </si>
  <si>
    <t>ON-VEIN DRIVE OF L11_NONE_001E_XCS. APPROVED ON JANUARY 28, 2026. MINE GEOLOGY RECOMMENDS TO STOP THIS HEADING DUE TO PINCH OUT VEIN. STOPPED ON FEBRUARY 12, 2026.</t>
  </si>
  <si>
    <t>L11_NONE_001E_XCN</t>
  </si>
  <si>
    <t>NITRO BB </t>
  </si>
  <si>
    <t>L11_DPVE_107E_DW</t>
  </si>
  <si>
    <t xml:space="preserve">REPLACEMENT OF L12_JVHW_053E_STOPE PREP. APPROVED ON NOVEMBER 30, 2025. CONVERTED TO PULL-OUT CLEANING ON FEBRUARY 11, 2026.  </t>
  </si>
  <si>
    <t>CONVERTED TO WINZE STOPE PULL OUT ON DECEMBER 15, 2025. MINE GEOLOGY RECOMMENDS TO STOP THIS HEADING DUE TO CONSECUTIVE LOW ASSAY GRADES. STOPPED ON FEBRUARY 12, 2026</t>
  </si>
  <si>
    <t>L425_GHVSPLIT_066E_RAISE</t>
  </si>
  <si>
    <t>REPLACEMENT OF L08_GHV_006W_ROBBING. APPROVED ON OCTOBER 2, 2025. SILL PILLAR. RENAMED TEAMLEADER FROM FERNANDEZ TO FERNANDEZ 3. APPROVED ON OCTOBER 13, 2025. STILL ON-GOING MAINLINE CLEANING STARTING FROM OCTOBER 2, 2025 LM WILL PROVIDE A MEMO FOR THE FIRST BLAST ON PILLARS.OFFICIALLY STARTED ITS FIRST BLASTING ON OCTOBER 21, 2025. ALL CLEANING ACTIVITIES ARE STOPPED. CONVERT TO MILL HOLE EFFECTIVE ON NOV. 19, 2025. MINE GEOLOGY RECOMMENDS TO TEMPORARY STOP THIS HEADING TO PRIORITIZE THE NEW RAISE DEVELOPMENT. TEMPORARY STOPPED ON FEBRUARY 12, 2026</t>
  </si>
  <si>
    <t>L08_GHV_015W_RAISE</t>
  </si>
  <si>
    <t>L425_JV_032E_RAISE</t>
  </si>
  <si>
    <t>L10_JV_022W_RAISE</t>
  </si>
  <si>
    <t>REPLACEMENT OF L09_GHV_021E_ROBBING. APPROVED ON JANUARY 29, 2026. TEMPORARY STOPPED ON FEBRUARY 14, 2026 DUE TO POSSIBLE BREAKTHROUGH ON OLD STOPE.</t>
  </si>
  <si>
    <t>L08_GHVHW_032W_DW</t>
  </si>
  <si>
    <t>L09_JV_050E_ROBBING</t>
  </si>
  <si>
    <t>ADDITIONAL SPECIAL PROJECT. APPROVED ON FEBRUARY 01, 2026. STOPPED ON FEBRUARY 16, 2026. FINISHED HEADING.</t>
  </si>
  <si>
    <t>L460_GHV_048E_DW</t>
  </si>
  <si>
    <t>REPLACEMENT OF L11_DPVE_112E_RAISE. APPROVED ON JANUARY 21, 2026.  STOPPED THE RAISE HAS REACHED THE L10 EXPLOSIVE MAGAZINE EXCLUSION ZONE. APPROVED ON FEBRUARY 17, 2026.</t>
  </si>
  <si>
    <t>L11_JVFW_045E_RAISE</t>
  </si>
  <si>
    <t>REPLACEMENT OF L425_JV_038E_DW. APPROVED ON OCOTBER 28, 2025. TEMPORARY STOPPED ON NOVEMBER 11, 2025, TO PRIORITIZED L425_JV_040E_RAISE.  RESUMED ON NOVEMBER 19, 2025.  TEMPORARILY STOPPED DUE TO RAISE PRIORITIZATION. STOPPED ON DECEMBER 12, 2025.RESUMED FOR OPERATIONS ON DECEMBER 19, 2025. REPLACEMENT OF L425_JV_037E_RAISE. TEMPORARY STOPPED ON FEBRUARY 13, 2026 TO PRIORITIZE RAISE PREPARATION.  RESUMED WORKPLACE. ALREADY ACCESSIBLE. MANPOWER FROM  L425_DPVE_043E_DE.
 APPROVED ON FEBRUARY 18, 2026</t>
  </si>
  <si>
    <t>REPLACEMENT OF L425_GHVHW_077E_RAISE. APPROVED ON JANUARY 4, 2026. TEMPORARY STOPPED ON JANUARY 17, 2026 TO PRIORITIZE L425_GHVHW_076E_RAISE. RESUMED ON JANUARY 27, 2026. MINE GEOLOGY RECOMMENDS TO STOP THIS HEADING DUE TO PINCHED OUT VEIN. STOPPED ON FEBRUARY 18, 2026.</t>
  </si>
  <si>
    <t>ADDITIONAL WORKPLACE OF L425. APPROVED ON JANUARY 14, 2026. MINE GEOLOGY RECOMMENDS TO STOP THIS HEADING DUE TO PINCHED OUT VEIN. STOPPED ON FEBRUARY 18, 2026.</t>
  </si>
  <si>
    <t>REPLACEMENT OF L425_DPVE_036E_DE. APPROVED ON AUGUST 16, 2025. TEMPORARILY STOPPED ON OCTOBER 14, 2025 DUE TO PRIORITIZATION OF STOPE PREP AND RAISE PREP.  RESUMED ON OCTOBER 24, 2025. RAISE PREP AT JUNCTION IS ALREADY DONE. TEMPORARILY STOPPED DUE TO PRIORITIZATION OF RAISE PREPARATION. APPROVED DECEMBER 11, 2025.RESUMED FOR OPERATIONS ON DECEMBER 19, 2025. REPLACEMENT OF L425_DPVE_049E_RAISE. MINE GEOLOGY RECOMMENDS TO STOP THIS HEADING DUE TO PINCHED OUT VEIN. STOPPED ON FEBRUARY 18, 2026.</t>
  </si>
  <si>
    <t>CONVERT TO PULL-OUT. APPROVED ON JANUARY 20, 2026.  STOPPED. ALREADY MINED OUT AS OF FEBRUARY 12, 2026.</t>
  </si>
  <si>
    <t>L12_DPVE_025E_DW</t>
  </si>
  <si>
    <t>REPLACEMENT OF L11_GHVSPLIT_059E_WINZE STOPE PREP. APPROVED ON DECEMBER 04, 2025.CONVERTED TO PULL WINZE STOPE PULL OUT. APPROVED ON FEBRUARY 18, 2026.</t>
  </si>
  <si>
    <t>ADDITIONAL WORKPLACE OF L08, JOINED MANPOWER WITH L08_JV_022E_DW. APPROVED ON DECEMBER 19, 2025. TEMPORARY STOPPED ON JANUARY 14, 2026 TO PRIORITIZE THE REHABILITATION OF OLD RAISE AT L08_JV_023E_STOPE. L08_JV_040E_DE_ISL CAPUYAN
RESUMED FOR OPERATIONS ON FEBRUARY 4, 2026. MINE GEOLOGY RECOMMENDS TO STOP THIS HEADING DUE TO CONSECUTIVE LOW ASSAY GRADES. STOPPED ON FEBRUARY 18, 2026.</t>
  </si>
  <si>
    <t>L425_GHV_029E_RAISE</t>
  </si>
  <si>
    <t xml:space="preserve">REPLACEMENT OF L425_NONE_068E_XCN. APPROVED ON JANUARY 24, 2026. STOPPED ON FEBRUARY 17, 2026. RECOMMENDED FOR STOPE BREAKING. </t>
  </si>
  <si>
    <t xml:space="preserve">ADDITIONAL WORKPLACE OF L425. APPROVED ON DECEMBER 1, 2025. TEMPORARY STOPPED ON DECEMBER 11, 2025 DUE TO MANPOWER INSUFFICIENT SKILLS TO OPERATE THIS HEADING. THIS HEADING WILL BE RESUMED FOR OPERATION. APPROVED ON JANUARY 4, 2026. CHANGE TEAMLEADER FROM DELOS REYES TO ESPINOSA. APPROVED ON JANUARY 4, 2026. TEMPORARY STOPPED ON JANUARY 7, 2026 TO PRIORITIZE THE STOPE PULLOUT. THIS WORKPLACE FORMERLY OPERATED BY ESPINOSA WILL RESUME AND WILL BE TRANSFERRED TO BAÑEZ. MANPOWER FROM L425_GHVSPLIT_072E_STOPE. APPROVED ON FEBRUARY 2, 2026. STOPPED ON FEBRUARY 17,2026. RECOMMENDED FOR STOPE BREAKING. </t>
  </si>
  <si>
    <t>L425_JVFW_042E_STOPE</t>
  </si>
  <si>
    <t>L425_GHVHW_062E_STOPE</t>
  </si>
  <si>
    <t>REPLACEMENT OF L425_GHVHW_062E_STOPE PREP. APPROVED ON FEBRUARY 17, 2026.</t>
  </si>
  <si>
    <t xml:space="preserve"> BABOR 3</t>
  </si>
  <si>
    <t>REPLACEMENT OF L11_DPVE_102E_RAISE. APPROVED ON NOVEMBER 28, 2025. TEMPORARY STOPPED ON FEBRUARY 11, 2026 DUE TO DEFECTIVE SLUSHER.  RESUMED ON FEBRUARY 16, 2026. STOPPED. THE RAISE HAS ALREADY REACHED THE MAXIMUM DISTANCE THAT THE SLUSHER CABLE COUD REACH. APPROVED ON FEBRUARY 20, 2026</t>
  </si>
  <si>
    <t>L11_DPVE_101E_RAISE</t>
  </si>
  <si>
    <t>ADDITIONAL WORKPLACE. MANPOWER JOINED WITH L09_JV_037E_DE_ISL. APPROVED ON JANUARY 24, 2026.MINE GEOLOGY RECOMMENDS TO STOP THIS HEADING DUE TO PINCHED OUT VEIN. STOPPED ON FEBRUARY 23, 2026.</t>
  </si>
  <si>
    <t>L09_NONE_043E_MAINLINE_CLEANING</t>
  </si>
  <si>
    <t>L09_NONE_043E_MAINLINE CLEANING</t>
  </si>
  <si>
    <t>L08_JV_038E_DE_RAISE_ISL</t>
  </si>
  <si>
    <t>REPLACEMENT OF L425_DPVE_034E_STOPE PREP. APPROVED ON NOVEMBER 16, 2025.RECOMMENDED FOR ACTIVE STOPE PULL-OUT. APPROVED ON FEBRUARY 23, 2026</t>
  </si>
  <si>
    <t xml:space="preserve">ADDITIONAL WORKING PLACE. APPROVED ON JANUARY 06, 2026. STOPPED ON FEBRUARY 24, 2026. FINISHED HEADING. </t>
  </si>
  <si>
    <t>L08_JVSPLIT_021E_DE_RAISE_ISL</t>
  </si>
  <si>
    <t>REPLACEMENT OF L11_DPVE_092E_RAISE. APPROVED ON DECEMBER 18, 2025. CHANGE TEAM LEADER FROM NITRO BB TO MAPAYO 2. APPROVED ON DECEMBER 21, 2025. STOPPED ON FEBRUARY 24, 2026,  DUE TO PINCHED OUT VEIN.</t>
  </si>
  <si>
    <t>REPLACEMENT OF L11_DPVE_035E_RAISE. APPROVED ON JANUARY 28, 2026.  STOPPED ON FEBRUARY 24, 2026,  DUE TO PINCHED OUT VEIN.</t>
  </si>
  <si>
    <t>ADDITIONAL WORKING PLACE. APPROVED ON JANUARY 16, 2026. STOPPED ON FEBRUARY 24, 2026,  DUE TO PINCHED OUT VEIN.</t>
  </si>
  <si>
    <t xml:space="preserve">ADDITIONAL WORKING PLACE. APPROVED ON JANUARY 03, 2026. SPECIAL PROJECT.CHANGE HEADING FROM L460_NONE_049E_WIDENING TO L460_NONE_049E_XCS. APPROVED ON FEBRUARY 01, 2026.  CHANGE TEAM LEADER FROM NITRO BK 2 TO DUHIG, P.APPROVED ON FEBRUARY 04, 2026.L460_NONE_049E_XCS DUHIG, P. STOPPED. FINISHED HEADING ON FEBRUARY 7, 2026
 </t>
  </si>
  <si>
    <t xml:space="preserve">REPLACEMENT OF L12_GHVSPLIT_071E_RAISE. APPROVED ON DECEMBER 13, 2025.  TEMPORARY STOPPED ON JANUARY 03, 2025, DUE TO INACCESSIBLE MAINLINE CAUSED BY COLLAPSED OF OLD CHUTE.  RESUMED ON JANUARY 4, 2026. TEMPORARY STOPPED ON JANUARY 19, 2026, DUE TO PRIORITIZATION OF L12_GHVSPLIT_071E_RAISE. RESUMED ON JANUARY 24, 2026, AT THE SAME TIME CHANGE TEAM LEADER FROM CAYMAN 2 TO DURANGO. STOPPED ON FEBRUARY 24, 2026. ALREADY MADE A BREAKTHROUGH. </t>
  </si>
  <si>
    <t xml:space="preserve">CONVERTED TO PULL-OUT. APPROVED ON JANUARY 17, 2026. STOPPED ON FEBRUARY 21, 2026. ALREADY FINISHED HEADING. </t>
  </si>
  <si>
    <t>L12_GHVSPLIT_078E_DE</t>
  </si>
  <si>
    <t xml:space="preserve">REPLACEMENT OF L12_JVFW_041E_STOPE PREP. APPROVED ON NOVEMBER 06, 2025. TEMPORARY STOPPED ON DECEMBER 21, 2025, DUE TO SCHEDULE PULL-OUT WILL BE ON JANUARY 03, 2026.STOPPED ON JANUARY 05, 2026, DUE TO CONSECUTIVE LOW ASSAY GRADE. </t>
  </si>
  <si>
    <t>REPLACEMENT OF L12_GHVFW_016E_DW. APPROVED ON FEBRUARY 03, 2026. STOPPED ON FEBRUARY 26, 2026, DUE TO PINCHED OUT VEIN.</t>
  </si>
  <si>
    <t>L09_DPVE_029E_WINZE STOPE PREP</t>
  </si>
  <si>
    <t>L425_JVSPLIT_077E_DW</t>
  </si>
  <si>
    <t>REPLACEMENT OF L425_GHVHW_075E_RAISE. APPROVED ON JANUARY 17, 2026.  STOPPED THIS HEADING DUE TO PINCHED OUT VEIN. STOPPED ON FEBRUARY 26, 2026.</t>
  </si>
  <si>
    <t>REPLACEMENT OF L425_GHVSPLIT_042E_DE. APPROVED ON JANUARY 14, 2026. CHANGE TEAMLEADER FROM BAÑEZ  TO CAPPUYO. APPROVED ON JANUARY 31, 2026. STOPPED THIS HEADING DUE TO PINCHED OUT VEIN. STOPPED ON FEBRUARY 26, 2026.</t>
  </si>
  <si>
    <t xml:space="preserve">DRIFT WEST SIDE OF L11_DPVE_032E_DE_ISL. APPROVED ON JULY 3, 2025. TEMPORARY STOPPED ON JULY 10, 2025 TO PRIORITIZE L11_DPVE_032E_DE_ISL. RESUMED ON JULY 21, 2024.TEMPORARY STOPPED ON JULY 30, 2025 DUE TO INSUFFICIENT MANPOWER AND TO PRIORITIZE L11_DPVE_032_DE_ISL. RESUME ON JANUARY 31, 2026.  TEMPORARY STOPPED ON FEBRUARY 05, 2026, DUE TO INSUFFICIENT MANPOWER TO OPERATE THE HEADING.  STOPPED ON FEBRUARY 26, 2026. TO BE CONVERTED TO STOPE PREPARATION. </t>
  </si>
  <si>
    <t>REPLACEMENT OF L11_NONE_097E_XCN APPROVED ON NOVEMBER 22, 2025. TEMPORARY STOPPED ON JANUARY 27, 2026, DUE TO PRIORITIZATION OF L11_DPVE_093E_RAISE. RESUME ON JANUARY 31, 2026.STOPPED THIS HEADING DUE TO CONSECUTIVE LOW ASSAY GRADES AND PINCHED OUT VEIN. APPROVED ON FEBRUARY 27, 2026.</t>
  </si>
  <si>
    <t>L460_NONE_058E_XCN</t>
  </si>
  <si>
    <t>L12_GHVFW_014E_RAISE</t>
  </si>
  <si>
    <t>L12_DPVE_022E_FILL RAISE</t>
  </si>
  <si>
    <t>FILL RAISE</t>
  </si>
  <si>
    <t>L09_DPVE_049E_DE</t>
  </si>
  <si>
    <t>ADDITIONAL WORKING PLACE. APPROVED ON JANUARY 13, 2026. MINE GEOLOGY RECOMMENDS TO STOPPED THIS HEADING SINCE IT ALREADY REACHED THE DESIRED SLOPE DISTANCE BEFORE THE EXCLUSION ZONE. STOPPED ON FEBRUARY 28, 2026.</t>
  </si>
  <si>
    <t xml:space="preserve">REPLACEMENT OF L11_DPVE_042E_DW. APPROVED ON JANUARY 17, 2026. STOPPED THIS HEADING ON MARCH 1, 2026. ALREADY MADE A BREAKTHROUGH. </t>
  </si>
  <si>
    <t>L425_GHVHW_065E_STOPE PREP</t>
  </si>
  <si>
    <t xml:space="preserve">ADDITIONAL WORKPLACE. MANPOWER JOINED WITH L425_GHVSPLIT_051E_STOPE. APPROVED ON DECEMBER 11, 2025.STOPPED ON FEBRUARY 28, 2026. MADE A BREAKTHROUGH. </t>
  </si>
  <si>
    <t>REPLACEMENT OF L09_GHVFW_035E_DE. APPROVED ON JANUARY 21, 2026.MINE GEOLOGY RECOMMENDS TO STOP THIS HEADING DUE TO CONSECUTIVE LOW ASSAY GRADES. STOPPED ON FEBRUARY 28, 2026</t>
  </si>
  <si>
    <t>L07_NONE_015E_MAINLINE_REHABILITATION</t>
  </si>
  <si>
    <t>REPLACEMENT OF L12_GHVSPLIT_071E_DE. APPROVED ON DECEMBER 01, 2025.TEMPORARY STOPPED ON DECEMBER 13, 2025, DUE TO PRIORITIZATION OF L12_GHV_073E_DW. RESUMED ON JANUARY 19, 2026. MINE GEOLOGY RECOMMENDS TO STOP THIS HEADING DUE TO CONSECUTIVE LOW ASSAY GRADES. STOPPED ON MARCH 2, 2026.</t>
  </si>
  <si>
    <t>L12_GHVSPLIT_076E_RAISE</t>
  </si>
  <si>
    <t>REPLACEMENT OF L12_DPVE_022E_RAISE. APPROVED ON JANUARY 31, 2026. STOPPED ON MARCH 2, 2026. ALREADY FINISHED HEADING.</t>
  </si>
  <si>
    <t>ADDITIONAL WORKING PLACE OF LEVEL 12. APPROVED ON FEBRUARY 2, 2026.STOPPED ON MARCH 2, 2026. RECOMMENDED FOR ACTIVE STOPE BREAKING.</t>
  </si>
  <si>
    <t>L12_JVFW_037E_STOPE</t>
  </si>
  <si>
    <t xml:space="preserve">REPLACEMENT OF L11_GHVHW_002E_DW,  APPROVED ON FEBRUARY 12, 2026.TEMPORARY STOPPED ON MARCH 02, 2026 DUE TO ABSENTEEISM OF MANPOWER RESULTING TO ABANDONMENT OF WORKPLACE. </t>
  </si>
  <si>
    <t>MAINLINE_REHABILITATION</t>
  </si>
  <si>
    <t>L10_NONE_016E_XCS</t>
  </si>
  <si>
    <t>REPLACEMENT OF L09_DPVE_028E_WINZE. APPROVED ON JANUARY 06, 2026. TEMPORARY STOPPED ON FEBRUARY 28, 2026. ALREADY REACHED THE DESIRED LENGTH FOR STOP PRER.</t>
  </si>
  <si>
    <t>L460_GHVSPLIT_055E_DE</t>
  </si>
  <si>
    <t>DUHIG,P.</t>
  </si>
  <si>
    <t>REPLACEMENT OF L09_DPVE_037E_WINZE, JOINT MANPOWER WITH L09_DPVE_040E_DE ISL. APPROVED ON JANUARY 23, 2026. TEMPORARY STOPPED ON FEBRUARY 14, 2026 DUE TO DEFECTIVE MUCKING MACHINE. RESUMED FOR OPERATIONS ON FEBRUARY 16, 2026. MINE GEOLOGY RECOMMENDS TO STOP THIS HEADING AS IT REACHED THE DESIRED STRIKE LENGTH AND NOT FOR BREAKTHROUGH TO THE OLD STOPE SINCE IT WAS BACKFILLED. STOPPED ON MARCH 4, 2026.</t>
  </si>
  <si>
    <t>REPLACEMENT OF L08_DPVE_034E_DE_ISL. APPROVED ON JANUARY 16, 2026. STOPPED ON MARCH 4, 2026. RECOMMENDED FOR ACTIVE STOPE BREAKING.</t>
  </si>
  <si>
    <t>L08_DPVE_034E_STOPE</t>
  </si>
  <si>
    <t>REPLACEMENT OF L12_DPVE_054E_RAISE. APPROVED ON JANUARY 09, 2026. CHANGED TEAMLEADER FROM BACLAS TO DURANGO. BACLAS GROUP WILL OPERATE OTHER HEADING. APPROVED ON FEBRUARY 2, 2026. STOPPED ON MARCH 04, 2026, TO PRIORITIZED L12_JVFW_055E_STOPE PREP.</t>
  </si>
  <si>
    <t>REPLACEMENT OF L08_DPVE_031E_RAISE. APPROVED ON JANUARY 23, 2026. TEMPORAY STOPPED ON FEBRUARY 3, 2025 DUE TO SLUSHER INSTALLATION. RESUMED ON FEBRUARY 10, 2026, 3RD SHIFT.  MINE GEOLOGY RECOMMENDS TO STOP THIS HEADING AS IT REACHED THE DESIRED STRIKE LENGTH. STOPPED ON MARCH 4, 2026</t>
  </si>
  <si>
    <t>L08_DPVE_035E_STOPE PREP</t>
  </si>
  <si>
    <t>REPLACEMENT OF L425_GHVSPLIT_056E_WINZE. APPROVED ON FEBRUARY 11, 2026. STOPPED ON FEBRUARY 22, 2026. ALREADY FINISHED HEADING.</t>
  </si>
  <si>
    <t>ADDITIONAL WORKPLACE. MANPOWER JOINED WITH L425_GHVSPLIT_056E_DE_ISL. APPROVED ON FEBRUARY 11, 2026. STOPPED ON FEBRUARY 22, 2026. ALREADY FINISHED HEADING.</t>
  </si>
  <si>
    <t>REPLACEMENT OF  L425_JVSPLIT_053E_DE. APPROVED ON SEPTEMBER 20, 2025. TEMPORARY STOPPED ON SEPTEMBER 22, 2025 TO PRIORITIZE THE RAISE PREP ON THE SAME MAINLINE. APPROVED ON SEPTEMBER 26, 2025. RESUMED FOR OPERATIONS ON SEPTEMBER 26, 2025. TRANSFER OF TEAM LEADER FROM CAPPUYO TO DELOS REYES. APPROVED ON OCTOBER 21, 2025.TEMPORARY STOPPED ON DECEMBER 19, 2025 TO AVOID DELAYS WITH ADJACENT HEADING THAT IS FOR BREAKTHROUGH.  RESUME WORKPLACE. APPROVED ON JANUARY 5, 2026.  STOPPED ON FEBRUARY 22, 2026. ALREADY MADE BREAKTHROUGH.</t>
  </si>
  <si>
    <t>REPLACEMENT OF L425_DPVE_033E_STOPE PREP. APPROVED ON NOVEMBER 10, 2025.CONVERTED TO PULL-OUT. APPROVED ON FEBRUARY 7, 2026. STOPPED ON MARCH 4, 2026. ALREADY MINED OUT. PULL OUT ATTAINMENT IS AT 107%.</t>
  </si>
  <si>
    <t>L425_JVSPLIT_061E_RAISE</t>
  </si>
  <si>
    <t>REPLACEMENT OF L425_JV_036E_DW. APPROVED ON DECEMBER 12, 2025.TEMPORARY STOPPED ON DECEMBER 19, 2025. DONE RAISE PREP, TO DIVERT MANPOWER TO HORIZONTAL DEVELOPMENT. RESUMED ON JANUARY 06, 2026. REPLACEMENT OF L425_GHV_040E_RAISE.STOPPED ON MARCH 1, 2026. MADE A BREAKTHROUGH.</t>
  </si>
  <si>
    <t>L12_JVFW_055E_STOPE PREP</t>
  </si>
  <si>
    <t>REPLACEMENT OF L11_DPVE_043E_DE_ISL. APPROVED ON MARCH 01, 2026. TEMPORARY STOPPED ON MARCH 3, 2026 DUE TO INADEQUATE SKILL/KNOWLEDGE TO OPERATE THE HEADING.</t>
  </si>
  <si>
    <t>L11_DPVE_009W_RAISE</t>
  </si>
  <si>
    <t>ADDITIONAL WORKING PLACE. APPROVED JANUARY 30, 2026. STOPPED ON MARCH 06, 2026. WILL BE CONVERTED TO STOPE BREAKING.</t>
  </si>
  <si>
    <t>L11_DPVE_005W_DE</t>
  </si>
  <si>
    <t>REPLACEMENT OF L425_GHVSPLIT_079E_DW. APPROVED ON FEBRUARY 8, 2026.TEMPORARY STOPPED DUE TO INSUFFICIENT MANPOWER TO OPERATE HEADING. STOPPED ON FEBRUARY 22, 2026. THIS WOKPLACE FORMERLY OPERATED BY REBOTE WILL BE RESUME AND WILL BE TRANSFERRED TO ESPINOSA. ADDITIONAL WORKING PLACE. MANPOWER FROM L425_GHVSPLIT_056E_DW_ISL. RESUMED ON FEBRUARY 24,2026. -STOPPED ON MARCH 04, 2026, DUE TO PINCHED OUT VEIN.</t>
  </si>
  <si>
    <t>L425_GHVHW_056E_STOPE PREP</t>
  </si>
  <si>
    <t xml:space="preserve">ADDITIONAL WORKING PLACE. MANPOWER JOINED WITH L11_DPVE_103E_RAISE.  APPROVED ON FEBRUARY 12, 2026. STOPPED ON MARCH 07, 2026, DUE TO PINCHED OUT VEIN. </t>
  </si>
  <si>
    <t>L425_GHVHW_071E_STOPE PREP</t>
  </si>
  <si>
    <t>ESPINOSA 1</t>
  </si>
  <si>
    <t>ESPINOSA 2</t>
  </si>
  <si>
    <t>ESPINOSA 3</t>
  </si>
  <si>
    <t>ESPINOSA 4</t>
  </si>
  <si>
    <t>DUHIG,P3</t>
  </si>
  <si>
    <t>DELOS REYES 3</t>
  </si>
  <si>
    <t>REPLACEMENT OF L12_DPVE_028E_STOPE BREAKING. APPROVED ON JANUARY 27, 2026. STOPPED ON MARCH 07, 2026. ALREADY MINED OUT, WITH 106% PULL-OUT.</t>
  </si>
  <si>
    <t>SPECIAL PROJECT FOR VENTILATION PURPOSE. APPROVED ON JANUARY 25, 2026. TEMPORARY STOPPED ON MARCH 04, 2026, DUE TO PRESENCE OF BLOWER ON BREAKTHROUGH AREA. RESUME ON MARCH 05, 2026. STOPPED ON MARCH 07, 2026. ALREADY MADE A BREAKTHROUGH.</t>
  </si>
  <si>
    <t>REPLACEMENT OF L09_DPVE_073E_WINZE. TOP SLICE. APPROVED ON FEBRUARY 2, 2026. STOPPED ON MARCH 9, 2026. ALREADY FINISHED HEADING.</t>
  </si>
  <si>
    <t>REPLACEMENT OF L09_DPVE_072E_ROBBING. APPROVED ON MARCH 9, 2026</t>
  </si>
  <si>
    <t>CONVERTED TO PULL WINZE STOPE PULL OUT. APPROVED ON FEBRUARY 18, 2026. STOPPED ON MARCH 08, 2026. ALREADY MINED OUT.</t>
  </si>
  <si>
    <t>CONVERTED TO PULL-OUT CLEANING ON FEBRUARY 11, 2026.   STOPPED ON MARCH 10, 2026. ALREADY MINED OUT WITH 92% PULL-OUT.</t>
  </si>
  <si>
    <t>ADDITIONAL WORKPLACE OF LEVEL 8. JOINT MANPOWER WITH L08_JV_046E_DW_ISL. APPROVED ON FEBRUARY 6, 2026. MINE GEOLOGY RECOMMENDS TO STOPPED THIS HEADING DUE TO CONSECUTIVE LOW ASSAY GRADES. STOPPED ON MARCH 9, 2026</t>
  </si>
  <si>
    <t>ADDITIONAL WORKING PLACE OF LANTACA, MERGE WITH L12_DPVE_022E_DE_ISL, FOR BILLING PURPOSES. APPROVED ON FEBRUARY 28, 2026. STOPPED ON MARCH 10, 2026. ALREADY FINISHED.</t>
  </si>
  <si>
    <t>L12_DPVE_005E_RAISE</t>
  </si>
  <si>
    <t>L08_JV_048E_DE_ISL</t>
  </si>
  <si>
    <t>ADDITIONAL WORKING PLACE. CORPO WITH L460_NONE_053E_XCS. APPROVED ON MARCH 04, 2026. STOPPED ON MARCH 10, 2026, DUE TO PINCED OUT VEIN.</t>
  </si>
  <si>
    <t>L460_GHVSPLIT_056E_DE</t>
  </si>
  <si>
    <t>REPLACEMENT OF L460_GHVSPLIT_055E_DE. APPROVED ON MARCH 11, 2026.</t>
  </si>
  <si>
    <t>REPLACEMENT OF L12_JVHW_055E_STOPE. APPROVED ON FEBRUARY 18, 2026. STOPPED ON MARCH 12, 2026, DUE TO CONSECUTIVE LOW ASSAY GRADE.</t>
  </si>
  <si>
    <t xml:space="preserve">REPLACEMENT OF L11_JVHW_070E_DE. MANPOWER FROM  L11_JVHW_070E_DE WILL BE TRANSFER TO L11_JVFW_045E_RAISE. APPROVED ON FEBRUARY 26, 2026. HIGH DIP. STOPPED ON MARCH 11, 2026, WILL BE CONVERTED TO STOPE BREAKING. </t>
  </si>
  <si>
    <t>REPLACEMENT OF L08_GHVHW_032W_RAISE. APPROVED ON FEBRUARY 16, 2026. MINE GEOLOGY RECOMMENDS TO STOP THIS HEADING DUE TO CONSECUTIVE LOW ASSAY GRADES. STOPPED ON MARCH 12, 2026</t>
  </si>
  <si>
    <t>REPLACEMENT OF L08_DPVE_020W_DW. APPROVED ON FEBRUARY 03, 2026. MINE GEOLOGY RECOMMENDS TO STOP THIS HEADING DUE TO PINCHED OUT. STOPPED ON MARCH 6, 2026</t>
  </si>
  <si>
    <t>L12_DPVE_023E_RAISE</t>
  </si>
  <si>
    <t>LANTACA 1 </t>
  </si>
  <si>
    <t xml:space="preserve">ADDITIONAL WORKPLACE OF LEVEL 08. APPROVED ON NOVEMBER 6, 2025.DONE CLEANING THE WORKPLACE. EFFECTIVE DATE OF ROBBING STARTED ON NOVEMBER 7, 2025. TEMPORARY STOPPED ON MARCH 10, 2026 TO PRIORITIZE THE RAISE TO EXPLORE THE UNMINED AREA ABOVE THE ROBBING.  STOP MEMO RECEIVED MARCH 13, 2026.  </t>
  </si>
  <si>
    <t>REPLACEMENT OF L08_GHV_050E_ROBBING. INCLUDES CLEANING AND REHAB OF MAINLINE. APPROVED ON OCTOBER 17, 2025 (TOP SLICE). STILL ON-GOING MAINLINE CLEANING STARTING FROM OCTOBER 17, 2025 LM WILL PROVIDE A MEMO FOR THE FIRST BLAST ON PILLARS. TEMPORARY STOPPED ON OCTOBER 21, 2025 TO PRIORITIZE L08_GHVHW_070E_DW_ISL. RESUMED FOR OPERATIONS ON NOVEMBER 19, 2025.  STOPPED ON MARCH 13, 2026, FINISHED HEADING.</t>
  </si>
  <si>
    <t>ADDITIONAL WORKPLACE OF LARGO APPROVED ON DECEMBER 15,2025. TEMPORARY STOPPED ON JANUARY 25, 2026 DUE TO INSUFFICIENT MANPOWER TO OPERATE THE HEADING.  RESUMED ON FEBRUARY 12, 2026. CORPO WITH L10_DPVE_008E_WINZE. MINE GEOLOGY RECOMMENDS TO STOP THIS HEADING TO PROCEED TO STOPE PREP. STOPPED ON MARCH 14, 2026</t>
  </si>
  <si>
    <t>ADDITIONAL WORKING PLACE. APPROVED ON JANUARY 13, 2026. TEMPORARY STOPPED ON JANUARY 19, 2026 TO PRIORITIZE L10_JV_068E_WINZE_STOPE PULL-OUT. RESUMED ON FEBRUARY 12, 2026. CORPO WITH L10_DPVE_015W_RAISE. TEMPORARY STOPPED ON MARCH 14, 2026 TO PRIORITIZE RAISE DEVELOPMENT.</t>
  </si>
  <si>
    <t>L10_DPVE_015W_STOPE PREP</t>
  </si>
  <si>
    <t>REPLACEMENT OF L12_JVHW_023E_DE. APPROVED ON JANUARY 13, 2026.  TEMPORARY STOPPED ON JANUARY 22, 2026, DUE TO INSUFFICIENT MANPOWER TO OPRATE THE HEADING. RESUME ON FEBRUARY 05, 2026, AT THE SAME TIME CHANGE TEAMLEADER FROM DUHIG, P. TO DURANGO.STOPPED ON MARCH 14, 2026, DUE TO SAFETY CONCERN: 5 METERS REMAINING PILLAR BETWEEN L11_JVFW_022E_STOPE.</t>
  </si>
  <si>
    <t>ADDITIONAL WORKPLACE. MANPOWER JOINED WITH L425_GHVSPLIT_068E_DE. APPROVED ON FEBRUARY 12, 2026. RENAME FROM L425_GHVSPLIT_064E_RAISE TO L425_GHVSPLIT_066E_RAISE FOR PROPER WASTE AND ORE SEGREGATION. APPROVED ON FEBRUARY 13, 2026.STOPPED ON MARCH 14, 2026. DID NOT PASS WIREFRAME.</t>
  </si>
  <si>
    <t>REPLACEMENT OF L08_DPVE_035E_DE_ISL. APPROVED ON MARCH 4, 2026.ALREADY BREAKTHROUGH. CONVERTED TO STOPE BREAKING. APPROVED ON MARCH 14, 2026.</t>
  </si>
  <si>
    <t>L08_DPVE_035E_STOPE</t>
  </si>
  <si>
    <t>L08_DPVE_040E_RAISE</t>
  </si>
  <si>
    <t>REPLACEMENT OF L425_DSP31B_ALIMAK RAISE. APPROVED ON SEPTEMBER 30, 2025. STOPPED ON DECEMBER 19, 2026. ALREADY BREAKTHROUGH.</t>
  </si>
  <si>
    <t>L08_NONE_018E_XCN</t>
  </si>
  <si>
    <t>REPLACEMENT OF L08_DPVE_042E_WINZE STOPE PREP. APPROVED ON JANUARY 21, 2026. RECOMMENDED FOR ACTIVE STOPE PULL OUT. APPROVED ON MARCH 14, 2026</t>
  </si>
  <si>
    <t>L08_JV_022E_DE_ISL</t>
  </si>
  <si>
    <t xml:space="preserve">ADDITIONAL WORKING PLACE OF L08. JOINT MANPOWER OF L08_JV_026E_DW_ISL. TO DRIVE 5 METERS FOR LAYDOWN AREA. APPROVED ON MARCH 1, 2026. TEMPORARY STOPPED ON MARCH 6, 2026 TO PRIORITIZE L08_JV_026E_DW_ISL. </t>
  </si>
  <si>
    <t>L11_NONE_011E_XCS</t>
  </si>
  <si>
    <t>L10_JV_026W_RAISE</t>
  </si>
  <si>
    <t>REPLACEMENT OF L425_GHVHW_048E_STOPE PREP. APPROVED ON OCTOBER 8, 2025. RECOMMENDED FOR ACTIVE STOPE PULL-OUT. APPROVED ON MARCH 16, 2026.</t>
  </si>
  <si>
    <t xml:space="preserve">REPLACEMENT OF L11_DPVE_028E_RAISE. APPROVED ON FEBRUARY 18, 2026.CHANGE TEAM LEADER FROM BAÑEZ TO MAPAYO TO PRIORITIZE L11_DPVE_029E_STOPE PREP. APPROVED ON FEBRUARY 26, 2026. TEMPORARY STOPE ON MARCH 17, 2026 DUE TO ABSENTEEISM OF MANPOWER RESULTING TO ABANDONMENT OF WORKPLACE. </t>
  </si>
  <si>
    <t>L11_DPVE_006W_DW</t>
  </si>
  <si>
    <t>L12_JVHW_047E_DW_ISL</t>
  </si>
  <si>
    <t>L08_JV_045E_DW_ISL</t>
  </si>
  <si>
    <t>REPLACEMENT OF L12_GHVFW_014E_DE. APPROVED ON FEBRUARY 05, 2026. CHANGE HEADING FROM L12_GHVSPLIT_048E_RAISE TO L12_GHVSPLIT_051E_RAISE. APPROVED ON FEBRUARY 06, 2026. STOPPED ON MARCH 17, 2026, CURRENT BACK HAS REACHED L11 EXPLOSIVE MAGAZINE EXCLUSION ZONE.</t>
  </si>
  <si>
    <t>L12_GHVSPLIT_077E_RAISE</t>
  </si>
  <si>
    <t>REPLACEMENT OF L425_DPVE_034E_STOPE PREP. APPROVED ON NOVEMBER 16, 2025.RECOMMENDED FOR ACTIVE STOPE PULL-OUT. APPROVED ON FEBRUARY 23, 2026. STOPPED ON MARCH 13, 2026. ALREADY MINED OUT. 112% STOPE PULL-OUT ATTAINMENT.</t>
  </si>
  <si>
    <t>NITRO CM</t>
  </si>
  <si>
    <t>REPLACEMENT OF L08_DPVE_018W_WINZE STOPE. APPROVED ON JANUARY 30, 2026. TRANSFER OF TEAM LEADER FROM NITRO CF TO NITRO CN SINCE NITRO CF IS DISSOLVED DUE TO FAILURE ON OVERALL EVALUATION, AND WHOLE GROUP WILL BE UNDER NEW TL (MALDAN). EFFECTIVE MARCH 01, 2026.</t>
  </si>
  <si>
    <t>NITRO CN</t>
  </si>
  <si>
    <t xml:space="preserve">REPLACEMENT OF L11_GHVHW_006E_DW. APPROVED ON SEPTEMBER 23, 2025.CHANGE HEADING FROM L11_DPVE_098E_RAISE TO L11_NONE_098E_RAISE. APPROVED ON DECEMBER 14, 2025.  STOPPED ON JANUARY 25, 2026. ALREADY FINISHED HEADING.  RESUMED ON MARCH 13, 2026 FOR PULL-OUT ACTIVITY  OF REMAINING MC AS WELL AS BROKEN MUCK OF L10_DPVE_095E_XCS OF VENTILATION PROJECT.   STOPPED ON MARCH 18, 2026 ALREADY FINISHED HEADING. </t>
  </si>
  <si>
    <t>L11_DPVE_080E_STOPE PREP</t>
  </si>
  <si>
    <t>L425_GHVSPLIT_069E_RAISE</t>
  </si>
  <si>
    <t xml:space="preserve">ADDITIONAL WORKPLACE OF L425. APPROVED ON JANUARY 14, 2026.  MINE GEOLOGY RECOMMENDS TO RENAME THIS HEADING FROM L425_DPVE_041E_DW TO L425_DPVE_032E_DW FOR PROPER ARE AND WASTE DESIGNATION. APPROVED ON JANUARY 16, 2026,. MINE GEOLOGY RECOMMENDS TO RENAME THIS HEADING FROM L425_DPVE_032E_DW INTO L425_DPVE_031E_DW. APPROVED ON FEBRUARY 10, 2026. STOPPED ON MARCH 19, 2026. DUE TO PINCHED OUT VEIN. </t>
  </si>
  <si>
    <t>L12_DPVE_048E_DE</t>
  </si>
  <si>
    <t>REPLACEMENT OF L12_GHVSPLIT_015E_DW. APPROVED ON FEBRUARY 28, 2026. STOPPED ON MARCH 19, 2026, DUE TO CONSECUTIVE OFF-VEIN.</t>
  </si>
  <si>
    <t>L425_DPVE_031E_RAISE</t>
  </si>
  <si>
    <t>REPLACEMENT OF L09_JV_036E_RAISE. APPROVED ON JANUARY 24, 2026. TEMPORARY STOPPED ON FEBRUARY 4, 2025 TO PRIORITIZE THE DRIFT WEST ALSO REACHED THE DESIRED 5 METERS ADVANCE.RESUMED FOR OPERATIONS ON FEBRUARY 23, 2026. REPLACEMENT OF L09_JV_035E_DW_ISL. MINE GEOLOGY RECOMMENDS TO STOP THIS HEADING DUE TO PINCHED OUT VEIN. STOPPED ON MARCH 19. 2026</t>
  </si>
  <si>
    <t>L09_JV_039E_RAISE</t>
  </si>
  <si>
    <t>REPLACEMENT OF L03_GHV_051W_RAISE. APPROVED ON OCOTBER 29, 2025. TEMPORARY STOPPED ON DECEMBER 06, 2025, DUE TO INACCESSIBILITY OF MAINLINE CAUSED BY COLLAPSED PORTION AT 5W RAISE. RESUMED FOR OPERATIONS ON MARCH 21, 2026. JOINT MANPOWER WITH L03_GHV_052E_ROBBING.</t>
  </si>
  <si>
    <t>REPLACEMENT OF L425_JVSPLIT_061E_DE APPROVED ON NOVEMBER 24, 2025. TEMPORARY STOPPED ON DECEMBER 4, 2025 DUE TO LACK OF MANPOWER.RESUMED FOR OPERATIONS ON DECEMBER 19, 2025. MANPOWER FROM L425_JVSPLIT_061E_DE. TEMPORARY STOPPED ON JANUARY 7, 2026 TO PRIORITIZE HORIZONTAL DEVELOPMENT. THIS WORKING PLACE FOMERLY OPERATES BY DELOS REYES WILL BE RESUMED FOR OPERATION AND WILL BE TRANSFERRED TO CAPPUYO. MANPOWER FROML425_GHVSPLIT_044E_RAISE.   APPROVED ON MARCH 1, 2026. STOPPED ON MARCH 21, 2026, DUE TO OFF-VEIN FOR 3 METERS.</t>
  </si>
  <si>
    <t>REPLACEMENT OF L03_NONE_043W_DW. MAILINE CLEANING ACTIVITIES INCLUDES GROUND SUPPORT INSTALLATION,CLEANING AND INSTALLATION OF RAILINGS AND WIDENINGS.APPROVED ON AUGUST 3, 2025. STOPPED ON MARCH 21, 2026. ALREADY FINISHED MAINLINE ACTIVITIES AND CLEANING.</t>
  </si>
  <si>
    <t>CORPO WITH L425_GHVHW_066E_STOPE. APPROVED ON DECEMBER 8, 2025. CHANGE TEAM LEADER FROM BABOR TO DELOS REYES FOR PROPER RECORDING. APPROVED ON DECEMBER 10, 2025.  STOPPED ON MARCH 21, 2026. ALREADY REACHED THE PROJECTED TARGET.</t>
  </si>
  <si>
    <t>L425_NONE_039E_XCS</t>
  </si>
  <si>
    <t>L425_JVSPLIT_057E_RAISE</t>
  </si>
  <si>
    <t xml:space="preserve">REPLACEMENT OF L08_JV_011E_ROBBING. APPROVED ON JANUARY 30, 2026. STOPPED ON MARCH 16, 2026. ALREADY MADE A BREAKTHROUGH.  </t>
  </si>
  <si>
    <t>REPLACEMENT OF L12_JVHW_023E_DE. APPROVED ON JANUARY 30, 2026. STOPPED ON MARCH 20, 2026, DUE TO PINCHED OUT VEIN.</t>
  </si>
  <si>
    <t>L12_DPVE_020E_DW</t>
  </si>
  <si>
    <t>L425_JVSPLIT_079E_DE</t>
  </si>
  <si>
    <t>REPLACEMENT OF L12_DPVE_069E_RAISE. APPROVED ON JANUARY 03, 2025. TEMPORARY STOPPED ON MARCH 14, 2026, DUE TO ABSENTEEISM OF MANPOWER RESULTING TO ABANDONMENT OF WIRKING PLACE. RESUME ON MARCH 17, 2026. STOPPED ON MARCH 20, 2026. ALREADY MADE A BREAKTHROUGH.</t>
  </si>
  <si>
    <t>REPLACEMENT OF L09_DPVE_095E_DW. APPROVED ON JANUARY 21, 2026. TEMPORARY STOPPED ON FEBRUARY 6, 2026 DUE TO INSUFFICIENT MANPOWER (AWOL MINERS). RESUMED FOR OPERATIONS ON MARCH 14, 2026. JOINT MANPOWER WITH L09_DPVE_073E_ROBBING.  TEMPORARY STOPPED DUE TO INSUFFICIENT MANPOWER AND ABANDONEMENT. STOPPED ON MARCH 23, 2026.</t>
  </si>
  <si>
    <t>NITRO CK</t>
  </si>
  <si>
    <t>L12_JVFW_035E_STOPE PREP</t>
  </si>
  <si>
    <r>
      <t xml:space="preserve">            J</t>
    </r>
    <r>
      <rPr>
        <b/>
        <u/>
        <sz val="48"/>
        <color rgb="FFC00000"/>
        <rFont val="Calibri"/>
        <family val="2"/>
        <scheme val="minor"/>
      </rPr>
      <t>C VILLARUEL  / MZ CUREG /KN PORLARES/JNS SILVEDERIO /EJ LUMACANG</t>
    </r>
  </si>
  <si>
    <t>REPLACEMENT OF L12_GHV_073E_DW. APPROVED ON FEBRUARY 25, 2026. STOPPED ON MARCH 24, 2026, DUE TO PINCHED OUT VEIN.</t>
  </si>
  <si>
    <t>ADDITIONAL WORKPLACE OF LEVEL 8, JOINT MANPOWER WITH L08_JV_018E_DE. APPROVED ON FEBRUARY 13, 2026. TEMPORARY STOPPED DUE TO TARGET HAS ALREADY REACHED. FOR BACK SWITCH PURPOSES. TEMPORARY STOPPED ON FEBRUARY 17, 2026. RESUMED FOR OPERATIONS ON MARCH 16, 2026 AND AT THE SAME TIME CHANGED NAME FROM L08_NONE_017E_XCN TO L08_NONE_018E_XCN. STOPPED ON MARCH 23, 2026. ALREADY MADE A BREAKTHROUGH.</t>
  </si>
  <si>
    <t>REPLACEMENT OF L08_JV_040E_DE_ISL. APPROVED ON FEBRUARY 23, 2026. TEMPORARY STOPPED DUE TO INSUFFICIENT MANPOWER TO OPERATE THIS HEADING. APPROVED ON MARCH 24, 2026.</t>
  </si>
  <si>
    <t>L08_NONE_016E_XCN</t>
  </si>
  <si>
    <t>CANTAGO </t>
  </si>
  <si>
    <t>L11_DPVE_110E_WINZE</t>
  </si>
  <si>
    <t>ADDITIONAL WORKING PLACE (LOW DIPPING). APPROVED ON MARCH 24, 2026. </t>
  </si>
  <si>
    <t>REPLACEMENT OF L09_JV_047E_RAISE. TOP SLICE. APPROVED ON FEBRUARY 16, 2026. MINE GEOLOGY RECOMMENDS TO STOP THIS HEADING DUE TO PINCHED OUT VEIN. APPROVED ON MARCH 24, 2026.</t>
  </si>
  <si>
    <t>L09_JV_050E_FILL WINZE</t>
  </si>
  <si>
    <t>ADDITIONAL WORKPLACE. CORPO WITH L08_JV_018E_DE UNDER FERNANDEZ. APPROVED ON MARCH 15, 2026. TEMPORARY STOPPED THIS HEADING DUE TO ISL PREPARATION. TEMPORARY STOPPED ON MARCH 23, 2026.</t>
  </si>
  <si>
    <t xml:space="preserve">ADDITIONAL WORKING PLACE CORPO WITH L460_NONE_051E_XCS. APPROVED ON FEBRUARY 05,2026. STOPPED ON MARCH 24, 2026. ALREADY REACHED THE RECOMMENDED STRIKELENGTH. </t>
  </si>
  <si>
    <t>L460_NONE_051E_XCN</t>
  </si>
  <si>
    <t>REPLACEMENT OF L425_JVSPLIT_072E_DE. APPROVED ON FEBRUARY 11, 2026. MINE GEOLOGY RECOMMENDS TO RENAME THIS HEADING FROM L425_GHVSPLIT_077E_DW TO L425_JVSPLIT_077E_DW FOR PROPER VEIN DESIGNATION. APPROVED ON FEBRUARY 26, 2026.CHANGE TEAMLEADER FROM DELOS REYES 4 TO OLIVEROS  DUE TO WORKPLACE PRIORITIZATION. APPROVED ON MARCH 13, 2026. MINE GEOLOGY RECOMMENDS TO STOP THIS HEADING AS IT AREADY REACHED THE RECOMMENDED STRIKE LENGTH. STOPPED ON MARCH 25, 2026.</t>
  </si>
  <si>
    <t>REPLACEMENT OF L425_JV_036E_DW. APPROVED ON FEBRUARY 13, 2026. MINE GEOLOGY RECOMMENDS TO STOP THIS HEADING AS THIS HAS 6M REMAINING SLOPE DISTANCE TO BREAKTHROUGH IN LEVEL 12. NOT FOR BREAKTHROUGH. STOPPED ON MARCH 25, 2026.</t>
  </si>
  <si>
    <t xml:space="preserve">NEW WORKING PLACE, MANPOWER FROM L08_JV_025E_WINZE. FOR TRAMMING PURPOSES ONLY. APPROVED ON MARCH 21, 2026. STOPPED ON MARCH 25, 2026. ALREADY FINISHED HEADING. MADE A BREAKTHROUGH. </t>
  </si>
  <si>
    <t>L08_GHVHW_016E_WINZE</t>
  </si>
  <si>
    <t>REPLACEMENT OF L08_NONE_016E_XCN. APPROVED ON MARCH 25, 2026.</t>
  </si>
  <si>
    <t xml:space="preserve">REPLACEMENT OF L425_GHVSPLIT_070E_DE. APPROVED ON JANUARY 28, 2026. TEMPORARY STOPPED ON MARCH 20,2026 TO PRIORITIZE L425_GHVSPLIT_069E_RAISE.  RESUMED ON MARCH 26, 2026. </t>
  </si>
  <si>
    <t>CONVERTED TO STOPE PULL OUT ON FEBRUARY 5, 2026. STOPPED ON MARCH 25, 2026. ALREADY FINISHED HEADING.</t>
  </si>
  <si>
    <t>NEW WORKING PLACE FOR LEVEL 8. SPECIAL PROJECT APPROVED ON FEBRUARY 11, 2026. STOPPED ON MARCH 26, 2026. ALREADY FINISHED HEADING.</t>
  </si>
  <si>
    <t>L09_NONE_011E_MAINLINE CLEANING</t>
  </si>
  <si>
    <t>ADDITIONAL WORKPLACE OF L09. APPROVED ON NOVEMBER 17, 2025. STOPPED DUE TO WIDE BREAKING WIDTH CAUSING DILUTION TO ORE MATERIAL. STOPPED ON MARCH 26, 2026.</t>
  </si>
  <si>
    <t>L425_GHVHW_066E_WINZE</t>
  </si>
  <si>
    <t>L425_NONE_055E_XCN</t>
  </si>
  <si>
    <t>L425_JV_033E_RAISE</t>
  </si>
  <si>
    <t>REPLACEMENT OF L09_DPVE_037E_WINZE. APPROVED ON JANUARY 23, 2026. TEMPORARY STOPPED ON FEBRUARY 5, 2026. ALREADY REACH THE DESIRED ADVANCE FOR ISL PREP AND TO PRIORITIZE THE DRIFT WEST. RESUMED FOR OPERATIONS ON MARCH 4, 2026. REPLACEMENT OF L09_DPVE_036E_DW_ISL. STOPPED. PINCHED OUT VEIN APPROVED ON MARCH 25, 2026.</t>
  </si>
  <si>
    <t>REPLACEMENT OF L425_JVFW_035E_DW. APPROVED ON FEBRUARY 19, 2026. MINE GEOLOGY RECOMMENDS TO STOP THIS HEADING DUE TO PINCHED OUT VEIN. STOPPED ON MARCH 27, 2026.</t>
  </si>
  <si>
    <t>ADDITIONAL WORKING PLACE OF QUIJANO. APPROVED ON FEBRUARY 26, 2026. STOPPED ON MARCH 28, 2026. WILL BE CONVERTED TO STOPE BREAKING.</t>
  </si>
  <si>
    <t>L09_DPVE_029E_WINZE STOPE</t>
  </si>
  <si>
    <t>L460_GHV_052E_DE</t>
  </si>
  <si>
    <t>ADDITIONAL WORKING PLACE OF NITRO CG. CORPO WITH L12_JVHW_053E_STOPE. APPROVED ON FEBRUARY 25, 2026.TEMPORARY STOPPED ON FEBRUARY 28, 2026 TO PRIORITIZE L12_JVHW_053E_STOPE.RESUMED FOR OPERATIONS ON MARCH 2, 2025. RENAME FROM L12_JVHW_047E_DW_RAISE_ISL TO L12_JVHW_047E_DW_ISL. ABOVE THE RAIL (A). APPROVED ON MARCH 17, 2026. STOPPED ON MARCH 25, 2026. ALREADY FINISHED HEADING.</t>
  </si>
  <si>
    <t>L12_GHVSPLIT_045E_STOPE PREP</t>
  </si>
  <si>
    <t>L12_DPVE_022E_STOPE</t>
  </si>
  <si>
    <t>L425_JV_034E_RAISE</t>
  </si>
  <si>
    <t>REPLACEMENT OF L425_NONE_073E_XCN. SPECIAL PROJECT. APPROVED ON MARCH 21, 2026. STOPPPED ON MARCH 31, 2026. ALREADY MADE A BREAKTHROUGH.</t>
  </si>
  <si>
    <t>REPLACEMENT OF L425_GHVHW_080E_RAISE. APPROVED ON MARCH 1, 2026. STOPPED ON MARCH 31, 2026. RECOMMENDED FOR ACTIVE STOPE BREAKING.</t>
  </si>
  <si>
    <t>L425_GHVHW_065E_STOPE</t>
  </si>
  <si>
    <t>REPLACEMENT OF L425_GHVHW_065E_STOPE PREP. APPROVED ON MARCH 31, 2026.</t>
  </si>
  <si>
    <t xml:space="preserve">REPLACEMENT OF L11_DPVE_083E_RAISE. APPROVED ON JANUARY 07, 2026.  CHANGE HEADING FROM L11_JV_037E_WINZE TO L11_JV_038E_WINZE. APPROVED ON JANUARY 08, 2026. MINE GEOLOGY RECOMMEND TO STOP THIS HEADING DUE TO VEIN HAVE BEEN CUT BY FAULT AND LOW ASSAY GRADES. APRROVED ON MARCH 31, 2026. </t>
  </si>
  <si>
    <t>L11_DPVE_095E_WINZE</t>
  </si>
  <si>
    <t>REPLACEMENT OF L11_JV_038E_WINZE. APRROVED ON MARCH 31, 2026. </t>
  </si>
  <si>
    <t>REPLACEMENT OF L11_DPVE_104E_RAISE BAÑEZ. APPROVED ON FEBRUARY 24, 2026. STOPPED ON MARCH 31, 2026. RECOMMENDED FOR ACTIVE STOPE BREAKING.</t>
  </si>
  <si>
    <t>L11_DPVE_104E_STOPE</t>
  </si>
  <si>
    <t xml:space="preserve">REPLACEMENT OF L425_JVSPLIT_071E_DW. APPROVED ON FEBRUARY 11, 2026. STOPPED ON APRIL 1, 2026. TO CONVERT TO CROSSCUT FOR TRAMMING PURPOSES. FOR BREAKTHROUGH. </t>
  </si>
  <si>
    <t>L425_NONE_070E_XCS</t>
  </si>
  <si>
    <t>L425_JVSPLIT_063E_RAISE</t>
  </si>
  <si>
    <t>REPLACEMENT OF L09_JV_037E_DE_ISL, (ISL RAISE). APPROVED ON MARCH 19, 2026.  MINE GEOLOGY RECOMMENDS TO STOP THIS HEADING TO PROCEED FOR STOPE PREPARATION. STOPPED ON APRIL 6, 2026.</t>
  </si>
  <si>
    <t>L09_JV_037E_STOPE PREP</t>
  </si>
  <si>
    <t>REPLACEMENT OF L11_DPVE_103E_RAISE APPROVED ON FEBRUARY 21, 2026. STOPPED ON APRIL 07, 2026. RECOMMENDED FOR ACTIVE STOPE BREAKING.</t>
  </si>
  <si>
    <t>L11_DPVE_103E_STOPE</t>
  </si>
  <si>
    <t>REPLACEMENT OF L12_JVFW_037E_STOPE PREP. APPROVED ON MARCH 2, 2026.IPR IS COMPLETE AND STILL OF VEIN.  STOPPED ON APRIL 05, 2026. WILL NOT BE CONVERTED TO STOPE PULL-OUT, MATERIALS ALREADY PULL-OUT DURING BREAKING SINCE IT IS LOW DIP AND UNDERGOES IPR.</t>
  </si>
  <si>
    <t>L425_JVSPLIT_080E_DW</t>
  </si>
  <si>
    <t>DELOS REYES 5. </t>
  </si>
  <si>
    <t>REPLACEMENT OF L12_DPVE_049E_DW. APPROVED ON MARCH 05, 2026. STOPPED ON APRIL 07, 2026. WILL BE CONVERTED TO STOPE BREAKING.</t>
  </si>
  <si>
    <t>L12_JVFW_055E_STOPE</t>
  </si>
  <si>
    <t>REPLACEMENT OF L12_GHVSPLIT_051E_RAISE. APPROVED ON MARCH 19, 2026. STOPPED ON APRIL 07, 2026, DUE TO VEIN CUT BY A FAULT. WILL BE CONVERTED TO CROSSCUT.</t>
  </si>
  <si>
    <t>L12_NONE_047E_XCN</t>
  </si>
  <si>
    <t>REPLACEMENT OF L12_DPVE_021E_RAISE. APPROVED ON MARCH 17, 2026. STOPPED ON APRIL 08, 2026, DUE TO PINCHED OUT VEIN.</t>
  </si>
  <si>
    <t>ADDITIONAL WORKPLACE OF L10. JOINT MANPOWER WITH L10_JV_027W_DW. APPROVED ON FEBRUARY 14, 2026. TEMPORARY STOPPED THIS HEADING DUE TO WORKPLACE PRIORITIZATION. STOPPED ON FEBRUARY 24, 2026. RESUMED ON MARCH 14, 2026 AS REPLACEMENT OF L10_DPVE_008E_WINZE. MINE GEOLOGY RECOMMENDS TO STOP THIS HEADING DUE TO PINCHED OUT VEIN. STOPPED ON APRIL 7, 2026.</t>
  </si>
  <si>
    <t>REPLACEMENT OF L425_JVSPLIT_077E_DW. APPROVED ON MARCH 27, 2026. THIS CROSSCUT HAS INTERCEPTED THE TARGETVEIN PROJECTION. MONE GEOLOGY RECOMMENDS TO STOP THIS HEADING AND CONVERT TO ON-VEIN DRIVE. STOPPED ON APRIL 7, 2026.</t>
  </si>
  <si>
    <t>L425_GHVHW_055E_DE</t>
  </si>
  <si>
    <t xml:space="preserve">REPLACEMENT OF L425_GHVSPLIT_064E_DE. APPROVED MARCH 07, 2026. STOPPED ON 3RD SHIFT OF APRIL 5, 2026. RECOMMENDED FOR STOPE BREAKING. </t>
  </si>
  <si>
    <t>L425_GHVHW_071E_STOPE</t>
  </si>
  <si>
    <t>REPLACEMENT OF L425_GHVHW_071E_STOPE PREP. APPROVED ON APRIL 6, 2026.</t>
  </si>
  <si>
    <t>L460_GHVSPLIT_054E_DW</t>
  </si>
  <si>
    <t>REPLACEMENT OF L10_JV_027W_DW. APPROVED ON MARCH 16, 2026. MINE GEOLOGY RECOMMENDS TO STOP THIS HEADING TO PROCEED TO STOPE PREPARATION. STOPPED ON APRIL 8, 2026.</t>
  </si>
  <si>
    <t>L10_JV_026W_STOPE PREP</t>
  </si>
  <si>
    <t>L10_DPVE_018W_RAISE</t>
  </si>
  <si>
    <t>ADDITIONAL WORKING PLACE. MANPOWER JOINED WITH L460_GHVSPLIT_056E_DE.APPROVED ON APRIL 8, 2026.</t>
  </si>
  <si>
    <t>SPECIAL PROJECT FOR L460 TRAMMING LOOP. APPROVED ON FEBRUARY 28, 2026.  STOPPED ON APRIL 09, 2026. WILL BE CONVERTED TO ON-VEIN.</t>
  </si>
  <si>
    <t>L460_GHV_060E_DE</t>
  </si>
  <si>
    <t>REPLACEMENT OF L460_NONE_058E_XCN. MANPOWER FROM L425. APPROVED ON APRIL 09, 2026.</t>
  </si>
  <si>
    <t>L09_DPVE_085E_DE_ISL_B</t>
  </si>
  <si>
    <t>DE_ISL_B</t>
  </si>
  <si>
    <t>REPLACEMENT OF L12_NONE_048E_XCS. SPECIAL PROJECT. APPROVED ON APRIL 09, 2026.</t>
  </si>
  <si>
    <t>MECHANICAL CHAMBER</t>
  </si>
  <si>
    <t>L12_NONE_040E_MECHANICAL CHAMBER</t>
  </si>
  <si>
    <t>L12_JVHW_063E_RAISE</t>
  </si>
  <si>
    <t>ADDITIONAL WORKPLACE OF LEVEL 10. SPECIAL PROJECT FOR VENTILATION, MANPOWER FROM LEVEL 11. APPROVED ON FEBRUARY 5, 2026. STOPPED ON FEBRUARY 28, 2026. ALREADY FINISHED HEADING. RESUME ON MARCH 07, 2026, DUE TO CHANGE TRAVERSE FROM SURVEY. ADDITIONAL 1. 2 METERS TO DRIVE TO REACH THE TARGET. STOPPED ON APRIL 9, 2026. ALREADY FINISHED HEADING.</t>
  </si>
  <si>
    <t xml:space="preserve">REPLACEMENT OF L09_DPVE_085E_WINZE. APPROVED ON MARCH 28, 2026. MINE GEOLOGY RECOMMENDS TO TEMPORARY STOP ON APRIL 9, 2026 THIS HEADING TO PRIORITIZE THE BREAKTHROUGH OF L09_DPVE_085E_WINZE. </t>
  </si>
  <si>
    <t xml:space="preserve">REPLACEMENT OF L12_GHVSPLIT_071E_RAISE. APPROVED ON MARCH 2, 2026. TEMPORARY STOPPED ON MARCH 07, 2026, DUE TO INSUFFICIENT AND ABSENTEEISM OF MANPOWER. RESUMPTION OF THE WORKPLACE APPROVED ON MARCH 15, 2026. TEMPORARY STOPPED ON APRIL 10, 2026, DUE TO REALIGNMENT OF MANPOWER. </t>
  </si>
  <si>
    <t>NITRO CL</t>
  </si>
  <si>
    <t>L08_NONE_009W_XCS</t>
  </si>
  <si>
    <t xml:space="preserve">REPLACEMENT OF L425_GHVSPLIT_073E_DE. APPROVED ON OCTOBER 9, 2025. TEMPORARY STOPPED ON OCTOBER 20, 2025 TO PRIORITIZE STOPE PREP (L425_GHV_078E_STOPE). RESUMED FOR OPERATION ON NOVEMBER 4, 2025.  THIS WORKING PLACE FORMELY OPERATED BY DUHIG WILL BE TRANSFERRED TO TORMIS DUE TO DUHIG GROUP WILL PRIORITIZE L425_GHV_078E_STOPE. APPROVED ON NOVEMBER 26, 2025 3RD SHIFT. TEMPORARY STOPPED DUE TO WORKPLACE PRIORITIZATION. STOPPED ON FEBRUARY 2, 2026. RESUMED ON FEBRUARY 11,2026. MANPOWER FROM L425_GHV_082E_RAISE. TEMPORARY STOPPED ON APRIL 10, 2026, DUE TO TORMIS WILL BE TRANSFER TO L460. </t>
  </si>
  <si>
    <t>REPLACEMENT OF L425_DPVE_033E_STOPE. APPROVED ON MARCH 07, 2026.STOPPED PINCHED OUT VEIN ON APRIL 12, 2026</t>
  </si>
  <si>
    <t>ADDITIONAL WORKPLACE.MANPOWER JOINED WITH L425_NONE_073E_XCN. APPROVED ON MARCH 12, 2026. RENAME FROM L425_JVSPLIT_072E_DE TO L425_JVSPLIT_079E_DE TO AVOID MISCHARGING. APPROVED ON MARCH 22, 2026.STOPPED PINCHED OUT VEIN ON APRIL 12, 2026</t>
  </si>
  <si>
    <t>REPLACEMENT OF L11_DPVE_031E_WINZE STOPE PREP. APPROVED ON DECEMBER 04, 2025.CONVERTED TO WINZE STOPE PULL-OUT. APPROVED ON APRIL 11, 2026.</t>
  </si>
  <si>
    <t>REPLACEMENT OF L08_JVSPLIT_021E_RAISE. APPROVED ON FEBRUARY 24, 2026. STOPPED ON APRIL 12, 2026. ALREADY MADE A BREAKTHROUGH.</t>
  </si>
  <si>
    <t>L08_JV_021E_STOPE PREP</t>
  </si>
  <si>
    <t>REPLACEMENT OF L10_DPVE_021E_DW. APPROVED ON OCTOBER 13. 2023. STOPPED ON NOVEMBER 14, 2025. RECOMMENDED FOR STOPE PREPRATIONS. RESUMED ON JANUARY 27, 2026. CHANGE TEAM LEADER FROM LARGO 4 TO NITRO BD.  CHANGE HEADING FROM L10_GHV_023W_RAISE TO L10_GHV_025W_RAISE. APPROVED ON JANUARY 28, 2026. TEMPORARY STOPPED ON FEBRUARY 5, 2026 TO PRIORITIZE THE PULL OUT OF L10_GHV_O23W_STOPE. RESUMED ON FEBRUARY 10, 2026. REPLACEMENT OF L10_GHV_023W_STOPE. STOPPED ON FEB. 28, 2026, ALREADY MADE A BREAKTHROUGH. RESUMED ON MARCH 9, 2026. FOR THE PURPOSE OF PULL OUTING OF REMAINING MINECARS, FOR BILLING PURPOSES ONLY. STOPPED ON APRIL 13, 2026. ALREADY FINISHED THE PULLOUT REMAINING OF REMAINING BROKEN ORE.</t>
  </si>
  <si>
    <t>REPLACEMENT OF L09_JV_050E_ROBBING. APPROVED ON MARCH 24, 2026. STOPPED ON APRIL 14, 2026. ALREADY FINISHED HEADING.</t>
  </si>
  <si>
    <t xml:space="preserve">REPLACEMENT OF  L425_DPVE_043E_DE. APPROVED ON DECEMBER 11, 2025.TEMPORARY STOPPED ON DECEMBER 19, 2025. DONE RAISE PREP, MANPOWER WILL PRIORITIZE THE HORIZONTAL DEVELOPMENT.THIS WORKING PLACE FORMERLY OPERATED BY OLIVEROS WILL RESUME AND WILL BE TRANSFERRED TO BABOR. MANPOWER FROM L425_DPVE_045E_RAISE. APPROVED ON MARCH 1, 2026.REPLACEMENT OF L425_DPVE_049E_RAISE . APPROVED ON APRIL 14,2026
</t>
  </si>
  <si>
    <t>L11_DPVE_096E_RAISE</t>
  </si>
  <si>
    <t>L425_DPVE_050E_RAISE</t>
  </si>
  <si>
    <t>REPLACEMENT OF L12_DPVE_055E_DE. APPROVED ON APRIL 05, 2025. TEMPORARY STOPPED ON APRIL 10, 2025 TO PRIORITIZE HORIZONTAL DRIVE. MINE GEOLOGY RECOMMENDS TO STOP THIS HEADING DUE TO PINCHED OUT VEIN. STOPPED ON APRIL 13, 2026</t>
  </si>
  <si>
    <t>REPLACEMENT OF L425_NONE_039E_XCS. APPROVED ON APRIL 7, 2026.STOPPED ALREADY REACHED THE RECOMMENDED STRIKE LENGTH AND NOT FOR BREAKTHROUGH DUE TO 0.8 METERS DIFFERENCE IN ELEVATION. APPROVED ON APRIL 14,2026.</t>
  </si>
  <si>
    <t>REPLACEMENT OF L09_JVHW_010W_DW (WILL BE STOPPED AFTER THE BILLING MEASUREMENT). APPROVED ON FEBRUARY 28, 2026.MINE GEOLOGY RECOMMENDS TO STOP THIS HEADING SINCE THE VEIN IS CUT BY A FAULT. STOPPED ON APRIL 15, 2026.</t>
  </si>
  <si>
    <t xml:space="preserve">REPLACEMENT OF L11_GHVSPLIT_059E_WINZE STOPE. TOPSLICE ROBBING. APPROVED ON MARCH 9, 2026. STOPPED ON APRIL 15, 2026. ALREADY FINISHED HEADING. </t>
  </si>
  <si>
    <t>L11_JV_042E_WINZE</t>
  </si>
  <si>
    <t>REPLACEMENT OF L11_GHVSPLIT_059E_ROBBING. APPROVED ON APRIL 15, 2026. </t>
  </si>
  <si>
    <t xml:space="preserve">RECOMMENDED FOR ACTIVE STOPE PULL-OUT. APPROVED ON MARCH 16, 2026. STOPPED. ALREADY MINED OUT AT 95% STOPE PULL OUT ATTAINMENT ON APRIL 5, 2026.
 </t>
  </si>
  <si>
    <t xml:space="preserve">REPLACEMENT OF L11_DPVE_095E_DE. APPROVED ON JANUARY 25, 2026. TEMPORARY STOPPED ON FEBRUARY 7, 2026 DUE TO INSUFFICIENT MANPOWER. RESUMED ON MARCH 08, 2026 (2ND SHIFT). REPLACEMENT OF L11_DPVE_107E_DW. MINE GEOLOGY RECOMMENDS TO STOP THIS HEADING, DUE TO CONSECUTIVE LOW GRADES. APPROVED ON APRIL 15, 2026. </t>
  </si>
  <si>
    <t>NITRO CQ</t>
  </si>
  <si>
    <t>REPLACEMENT OF L425_GHV_074E_DE. APPROVED ON FEBRUARY 2, 2026. TEMPORARY STOPPED ON FEBRUARY 11, 2026. TO PRIORITIZE L425_GHV_074E_DE. THIS WOKPLACE FORMERLY OPERATED BY TORMIS WILL BE RESUME AND WILL BE TRANSFERRED TO BABOR. REPLACEMENT OF L425_GHVHW_080E_RAISE.  RESUMED ON FEBRUARY 24, 2026. STOPPED ALREADY REACHED THE RECOMMENDED SLOPE DISTANCE APPROVED ON APRIL 16,2026</t>
  </si>
  <si>
    <t>NITRO CO</t>
  </si>
  <si>
    <t>NITRO CP</t>
  </si>
  <si>
    <t xml:space="preserve">REPLACEMENT OF L08_JV_023E_STOPE PREP. APPROVED ON NOVEMBER 8, 2025. TEMPORARY STOPPED ON MARCH 16, 2026 TO PRIORITIZE THE TIMBERING ON THE BREAKTHROUGH AREA AT L07 ISL. RESUMED FOR OPERATIONS ON APRIL 7, 2026. TEMPORARY STOPPED ON APRIL 16, 2026 TO PRIORITIZED THE ROBBING OF SILL PILLARS ON THE INTERCEPTED ISL. </t>
  </si>
  <si>
    <t>SPECIAL PROJECT OF L08. FINGER RAISE FOR L08_GHV_006W_ROBBING. APPROVED ON SEPTEMBER 30, 2025. SPECIAL PROJECT. REPLACEMENT OF L08_GHV_006W_ROBBING APPROVE ON SEPTEMBER 30, 2025. RENAMED TEAMLEADER FROM FERNANDEZ TO FERNANDEZ 2. APPROVED ON OCTOBER 13, 2025.TEMPORARY STOPPED ON OCTOBER 14, 2025 TO FASTRACK THE CLEANING INL08_GHV_016W_ROBBING.RESUMED FOR OPERATIONS ON OCTOBER 17, 2025. CHANGED TEAMLEADER FROM FERNANDEZ 2 TO NITRO CQ DUE TO REASSIGNMENT OF LEADERSHIP TO OPTIMIZE OPERATIONAL EFFICIENCY. APPROVED ON APRIL 16, 2026</t>
  </si>
  <si>
    <t>ADDITIONAL WORKING PLACE OF L08. JOINT MANPOWER WITH L08_GHV_015W_RAISE. CONTINUATION OF L08_GHV_016W_ROBBING. APPROVED ON MARCH 4, 2026. CHANGED TEAMLEADER FROM FERNANDEZ 3 TO NITRO CQ DUE TO REASSIGNMENT OF LEADERSHIP TO OPTIMIZE OPERATIONAL EFFICIENCY. APPROVED ON APRIL 16, 2026</t>
  </si>
  <si>
    <t>RECOMMENDED FOR ACTIVE STOPE PULL OUT. APPROVED ON MARCH 14, 2026. MINE GEOLOGY RECOMMENDS TO STOP THIS STOPE PULL OUT DUE TO LOW GRADE. THIS STOPE HAS ALREADY REACHED 138%
ATTAINMENT. STOPPED ON MARCH 26, 2026.MINE GEOLOGY RECOMMENDS TO RESUME PULL-OUT THIS STOPE ONLY IN CHUTE #1 AND CHUTE #2. UPON EVALUATION GOOD GRADES ARE OBSERVED ON THE SAID CHUTES. RESUME ON APRIL 5, 2026. STOPPED ON APRIL 16, 2026. ALREADY FINISHED HEADING WITH 143% PULL OUT ATTAINMENT</t>
  </si>
  <si>
    <t>REPLACEMENT OF L10_DPVE_015E_RAISE. APPROVED ON MARCH 14, 2026. STOPPED ON APRIL 17, 2026. RECOMMENDED FOR ACTIVE STOPE BREAKING</t>
  </si>
  <si>
    <t>L10_DPVE_015W_STOPE</t>
  </si>
  <si>
    <t>REPLACEMENT OF L10_DPVE_015W_STOPE PREP. APPROVED ON APRIL 17, 2026</t>
  </si>
  <si>
    <t>L08_JV_023E_ROBBING</t>
  </si>
  <si>
    <t>REPLACEMENT OF L12_DPVE_050E_STOPE PREP. APPROVED ON JANUARY 11, 2026. TEMPORARY STOPPED ON MARCH 23, 2026, DUE TO REPAIR OF PASSABLE MANWAY.  RESUME ON MARCH 26, 2026. STOPPED STOPE BREAKING ON APRIL 17, 2026, WILL BE CONVERTED TO STOPE PULL-OUT.</t>
  </si>
  <si>
    <t>L12_JV_078E_STOPE PREP</t>
  </si>
  <si>
    <t>REPLACEMENT OF L425_GHVHW_076E_RAISE. APPROVED ON MARCH 07, 2026. STOPPPED CONVERTED TO STOPE BREAKING ON APRIL 16, 2026</t>
  </si>
  <si>
    <t>L425_GHVHW_056E_STOPE</t>
  </si>
  <si>
    <t>REPLACEMENT OF L425_GHVHW_056E_STOPE PREP APPROVED ON APRIL 16, 2026.</t>
  </si>
  <si>
    <t>L425_JVFW_064E_RAISE</t>
  </si>
  <si>
    <t xml:space="preserve">REPLACEMENT OF L11_GHVHW_060E_DW_ISL. APPROVED ON JANUARY 29, 2026.L11_DPVE_008W_DW NITRO BB1. TEMPORARY STOPPED ON MARCH 06, 2026. (3RD SHIFT). RESUMED ON MARCH 09, 2026, DONE PRIORITAZION OF L11_DPVE_009W_RAISE. TEMPORARY STOPPED ON APRIL 18, 2026, TO PRIORITIZE L11_DPVE_009W_RAISE.
 </t>
  </si>
  <si>
    <t xml:space="preserve">REPLACEMENT OF L09_GHVHW_003E_DW. APRROVED ON OCTOBER 21, 2025. TRANSFER OF TEAM LEADER FROM BALANGHIG TO QUIJANO. EFFECTIVE OCTOBER 28, 2025.  TEMPORARY STOPPED ON JANUARY 04, 2025, DUE TO REINFORCEMENT OF TIMBERS.  RESUMED ON JANUARY 06, 2026. STOPPED ON MARCH 28, 2026, ALREADY REACHED THE PROJECTED TARGET. MINE GEOLOGY RECOMMENDS TO RESUME THIS HEADING TO REACH THE DESIRED LENGTH FOR BREAKTHROUGH PURPOSES. APPROVED ON APRIL 9, 2026.STOPPED ON APRIL 17, 2026. ALREADY MADE A BREAKTHROUGH. </t>
  </si>
  <si>
    <t>L09_DPVE_086E_DW_ISL_B</t>
  </si>
  <si>
    <t>DW_ISL_B</t>
  </si>
  <si>
    <t>L425_GHV_083E_RAISE</t>
  </si>
  <si>
    <t>REPLACEMENT OF L425_JVSPLIT_070E_DE. APPROVED ON APRIL 5, 2026.STOPPED ON APRIL 19, 2026. ALREADY FINISHED HEADING.</t>
  </si>
  <si>
    <t>REPLACEMENT OF L11_NONE_098E_RAISE. APPROVED ON MARCH 19, 2026 (2ND SHIFT). STOPPPED CONVERTED TO STOPE BREAKING ON APRIL 19, 2026 (2ND SHIFT).</t>
  </si>
  <si>
    <t>L11_DPVE_080E_STOPE</t>
  </si>
  <si>
    <t>REPLACEMENT OF L12_DPVE_048E_DE. APPROVED ON APRIL 07, 2026. STOPPED ON APRIL 20, 2026. WILL BE CONVERTED TO ON-VEIN DRIFT.</t>
  </si>
  <si>
    <t>REPLACEMENT OF L425_NONE_055E_XCN. APPROVED ON APRIL 7, 2026. STOPPED ON APRIL 20, 2026, DUE TO SAFETY CONCERN: LESS THAN 5 METERS PILLAR.</t>
  </si>
  <si>
    <t>L09_DPVE_036E_WINZE STOPE PREP</t>
  </si>
  <si>
    <t>L09_NONE_008E_XCS</t>
  </si>
  <si>
    <t>ADDITIONAL WORKING PLACE OF L09. SPECIAL PROJECT MILL HOLE OF L09_GHV_007E_ROBBING. APPROVED ON APRIL 20, 2026</t>
  </si>
  <si>
    <t>REPLACEMENT OF L425_GHV_030E_RAISE. APPROVED ON MARCH 30, 2026.STOPPED ON APRIL 21, 2026. ALREADY REACHED SLOPE DISTANCE.</t>
  </si>
  <si>
    <t>REPLACEMENT OF L425_JVSPLIT_079E_DE APPROVED ON APRIL 18, 2026.TEMPORARY STOPPED ON APRIL 19, 2026, DUE TO MANPOWER ISSUE.RESUMPTION OF THIS WORKPLACE APPROVED ON APRIL 21, 2026</t>
  </si>
  <si>
    <t>REPLACEMENT OF L11_JVHW_071E_STOPE BREAKING. APPROVED ON JANUARY 31, 2026.STOPPED ON APRIL 21, 2026. ALREADY MINED OUT WITH 102% PULL-OUT ATTAINMENT.</t>
  </si>
  <si>
    <t>L12_DPVE_051E_DE</t>
  </si>
  <si>
    <t>L11_DPVE_098E_STOPE PREP</t>
  </si>
  <si>
    <t>L425_GHVHW_055E_RAISE</t>
  </si>
  <si>
    <t>L12_JVHW_048E_STOPE PREP</t>
  </si>
  <si>
    <t>REPLACEMENT OF L425_GHVSPLIT_040E_STOPE PREP. APPROVED ON JANUARY 19, 2026.  MINE GEOLOGY RECOMMENDS TO ESTABLISH IPR FOR THIS STOPE DUE TO CONSECUTIVE LOW ASSAY GRADE ON CONSECUTIVE 3 FLOORS. MEMO RECEIVED ON APRIL 7 2026.MINE GEOLOGY RECOMMENDS TO STOP THE BREAKING AND PROCEED TO PULL OUT, AS THE IPR THAT WAS ESTABLISHED PRODUCED LOW ASSAY GRADES. APPROVED ON APRIL 22, 2026.</t>
  </si>
  <si>
    <t xml:space="preserve">REPLACEMENT OF  L11_DPVE_106E_RAISE. LOW DIPPING (BLIND STOPE). APRROVED ON MARCH 31, 2026. TEMPORARY STOPPED ON APRIL 07, 2026. DUE TO DEFECTIVE SLUSHER WITH NO AVAILABLE REPLACEMENT. RESUMED ON APRIL 21, 2026. DEFECTIVED SLUSHER HAS BEEN REPLACED. </t>
  </si>
  <si>
    <t>REPLACEMENT OF L11_DPVE_033E_WINZE. APPROVED ON JULY 2, 2025. STOPPED ON SEPTEMBER 02, 2025, RECOMMENDED FOR BLOCKING RAISE. RESUMED ON SEPTEMBER 15, 2025. TEMPORARY STOPPED ON NOVEMBER 03, 2025, DUE TO PRIORITIZATION OF INSTALLATION OF BULKHEAD AND STOPE PREPARATION IN 33E_RAISE. RESUMED ON FEBRUARY 5, 2026. TEMPORARY STOPPED ON APRIL 8, 2026, DUE TO PRIORITIZATION OF L11_DPVE_038E_RAISE.  RESUMED FOR OPERATIONS ON APRIL 13, 2026.MINE GEOLOGY RECOMEND TO STOP THIS HEADING, DUE TO THE VEIN HAS BEEN CUT BY A FAULT. APRROVED ON APRIL 22, 2026.</t>
  </si>
  <si>
    <t>REPLACEMENT OF L09_JV_039E_RAISE. STOPE ID DESIGN: SD-26-087. APPROVED ON APRIL 06, 2026.STOPPED ON APRIL 22, 2026. RECOMMENDED FOR ACTIVE STOPE BREAKING.</t>
  </si>
  <si>
    <t>L09_JV_037E_STOPE</t>
  </si>
  <si>
    <t>L09_DPVE_086E_DE_ISL_B</t>
  </si>
  <si>
    <t>ADDITIONAL WORKPLACE. MANPOWER JOINED WITH L09_DPVE_040E_DE_ISL. APPROVED ON MARCH 23, 2026.MINE GEOLOGY RECOMMENDS TO STOP THIS HEADING TO PROCEED TO STOPE PREPARATIONS. STOPPED ON APRIL 20, 2026</t>
  </si>
  <si>
    <t>REPLACEMENT OF L12_DPVE_024E_DW. APPROVED ON MARCH 21, 2026.STOPPED ON APRIL 22, 2026. ALREADY COMPLETED LAST 3 BLAST WITH NO VEIN IMPROVEMENT AS OBSERVED BY MINE GEOLOGY.</t>
  </si>
  <si>
    <t>REPLACEMENT OF L12_JVFW_055E_STOPE PREP. APPROVED ON APRIL 09, 2026. STOPPED ON APRIL 20, 2026, DUE TO LOW GRADE ON RECENT IPR. REPLACEMENT OF L12_JVFW_055E_STOPE BREAKING. APPROVED ON APRIL 23, 2026.</t>
  </si>
  <si>
    <t>REPLACEMENT OF L12_DPVE_020E_DW. AT THE SAME TIME TEAM LEADER DUHIG, P. WILL MANNED L12_DPVE_051E_DE AND TEAM LEADER CAYMAN WILL MANNED L12_DPVE_071E_DW. APPROVED ON APRIL 23, 2026.</t>
  </si>
  <si>
    <t>REPLACEMENT OF L08_JV_019E_ROBBING. APPROVED ON MARCH 10, 2026 .TEMPORARY STOPPED ON APRIL 23, 2026 TO PRIORITIZE ITS RAISE ISL.</t>
  </si>
  <si>
    <t>REPLACEMENT OF L08_JV_060E_DE_ISL. ISL OF L08_JV_048E_WINZE, ADJACENT ISL IS L08_JV_045E_DW_ISL. APPROVED ON MARCH 10, 2026.STOPPED ON APRIL 23, 2026. ALREADY MADE A BREAKTHROUGH</t>
  </si>
  <si>
    <t>ADDITIONAL WORKPLACE OF L08, SPECIAL PROJECT MILL HOLE FOR L08_GHV_006W_ROBBING. JOINT MANPOWER WITH L08_NONE_008W_RAISE. APPROVED ON APRIL 9, 2026.CHANGED TEAMLEADER FROM FERNANDEZ TO NITRO CQ ALONGSIDE L08_NONE_008W_RAISE. JOINT MANPOWER WITH L08_NONE_008W_RAISE.STOPPED ON APRIL 21, 2026. ALREADY MADE A BREAKTHROUGH.</t>
  </si>
  <si>
    <t>L08_JV_020E_DE_ISL</t>
  </si>
  <si>
    <t>L425_NONE_070E_XCN</t>
  </si>
  <si>
    <t xml:space="preserve">REPLACEMENT OF  L11_DPVE_101E_RAISE. LOW DIPPING (BLIND STOPE). APPROVED ON APRIL 07, 2026.TEMPORARY STOPPED ON APRIL 14, 2026 (3RD SHIFT). DUE TO ABSENTEEISM OF MANPOWER.  RESUMED ON APRIL 24, 2026 (3RD SHIFT). CHANGED TEAM LEADER FROM BADBADON TO COMAINGKING, DUE TO AVAILABILITY OF MANPOWER. </t>
  </si>
  <si>
    <t>L425_JVHW_034E_DW</t>
  </si>
  <si>
    <t>REPLACEMENT OF L425_JV_034E_RAISE OLIVEROS APPROVED ON MARCH 21, 2026.</t>
  </si>
  <si>
    <t>REPLACEMENT OF L12_GHVSPLIT_077E_RAISE. APPROVED ON APRIL 09, 2026.TEMPORARY STOPPED ON APRIL 12, 2026, DUE TO PRIORITIZATION OF L12_DPVE_023E_RAISE.RESUME ON APRIL 18, 2026. CORPO WITH L12_JVFW_055E_STOPE. TEMPORARY STOPPED ON APRIL 24, 2026 DUE TO CONSECUTIVE LOW GRADE, FOR GEO-EVALUATION.</t>
  </si>
  <si>
    <t>REPLACEMENT OF L08_NONE_018E_XCN. APPROVED ON MARCH 27, 2026. MINE GEOLOGY RECOMMENDS TO STOP THIS HEADING DUE TO PINCHED OUT VEIN. STOOPED ON APRIL 17, 2026</t>
  </si>
  <si>
    <t>REPLACEMENT OF L10_JV_022W_RAISE. APPROVED ON APRIL 8, 2026. (SD-26-089).STOPPED ON APRIL 24, 2026. RECOMMENDED FOR ACTIVE STOPE BREAKING</t>
  </si>
  <si>
    <t>L10_JV_026W_STOPE</t>
  </si>
  <si>
    <t>REPLACEMENT OF L10_JV_026W_STOPE PREP. APPROVED ON APRIL 24, 2026</t>
  </si>
  <si>
    <t>CONVERTED TO WINZE STOPE PULL-OUT. APPROVED ON APRIL 11, 2026.STOPPED ON APRIL 24, 2026. ALREADY MINED OUT, WITH  141% PULL-OUT.</t>
  </si>
  <si>
    <t>REPLACEMENT OF L09_DPVE_049E_DE. APPROVED ON APRIL 15, 2026.STOPPED ON APRIL 21, 2026. ALREADY MADE A BREAKTHROUGH</t>
  </si>
  <si>
    <t>L11_DPVE_004W_RAISE</t>
  </si>
  <si>
    <t>044W</t>
  </si>
  <si>
    <t>ADDITIONAL WORKING PLACE. CORPO WITH L12_JVHW_058E_STOPE (PULL-OUT),  (HIGH DIPPING).  APPROVED ON MARCH 23, 2026. STOPPED TO BE CONVERTED TO STOPE BREAKING APPROVED ON APRIL 26, 2026</t>
  </si>
  <si>
    <t xml:space="preserve">L12_JVFW_035E_STOPE </t>
  </si>
  <si>
    <t>L12_JVFW_035E_STOPE</t>
  </si>
  <si>
    <t>REPLACEMENT OF L425_DPVE_031E_DW. APPROVED ON MARCH 19, 2026.CHANGE TEAMLEADER FROM CAPPUYO 3 TO NITRO CO (DAAROL) APPROVED ON APRIL 16, 2026.MINE GEOLOGY RECOMMENDS TO STOP THIS HEADING DUE TO CONSECUTIVE LOW ASSAY GRADE APPROVED ON APRIL 17, 2026</t>
  </si>
  <si>
    <t>ADDITIONAL WORKING PLACE. CORPO WITH L08_DPVE_042E_WINZE STOPE (PULL-OUT). APPROVED ON MARCH 15, 2026. TEMPORARY STOPPED ON MARCH 20, 2026 DUE TO UNAVAILABILITY OF MUCKING MACHINE. RESUMED ON MARCH 27, 2026. STOPPED ON APRIL 23, 2026. ALREADY MADE A BREAKTHROUGH.</t>
  </si>
  <si>
    <t>RPLACEMENT OF L425_GHVSPLIT_066E_RAISE. APPROVED ON MARCH 19, 2026.MINE GEOLOGY RECOMMENDS TO STOPPED THIS HEADING DUE TO CONSECUTIVE LOW ASSAY GRADES APPROVED ON APRIL 27, 2026</t>
  </si>
  <si>
    <t>REPLACEMENT OF L12_JVFW_055E_STOPE PREP. APPROVED ON APRIL 09, 2026. STOPPED ON APRIL 20, 2026, DUE TO LOW GRADE ON RECENT IPR. REPLACEMENT OF L12_JVFW_055E_STOPE BREAKING. APPROVED ON APRIL 23, 2026.STOPPED ON APRIL 24, 2026. ALREADY MINED OUT WITH 92% PULL-OUT.</t>
  </si>
  <si>
    <t>ADDITIONAL WORKING PLACE. APPROVED JANUARY 12, 2026. CHANGE TEAM LEADER FROM NITRO BK TO DUHIG, P APPROVED ON JANUARY 20,2026. STOPPED ON FEBRUARY 04, 2026. ALREADY MADE A BREAKTHROUGH. TO BE ACTIVE ON FEBRUARY 26, 2026 FOR THE PURPOSE OF GROUND SUPPORT AT THE SAME TIME CHANGE TEAM LEADER FROM DUHIG,P TO NITRO BK. SPECIAL PROJECT.STOPPED ON APRIL 25, 2026. ALREADY FINISHED INSTALLATION OF GROUND SUPPORT AT 52E_MAINLINE.</t>
  </si>
  <si>
    <t>NITRO BV</t>
  </si>
  <si>
    <t>REPLACEMENT OF L10_JV_026W_RAISE. APPROVED ON APRIL 8, 2026.MINE GEOLOGY RECOMMENDS TO STOP THIS HEADING SUE TO CONSECUTIVE LOW ASSAY GRADE. STOPPED ON APRIL 27, 2026</t>
  </si>
  <si>
    <t>ADDITIONAL WORKPLACE OF L08. CORPO WITH L08_NONE_001W_RAISE. APPROVED ON OCTOBER 24, 2025. DONE CLEANING THE WORKPLACE. EFFECTIVE DATE OF ROBBING STARTED ON NOVEMBER 5, 2025.MINE GEOLOGY RECOMMENDS TO TEMPORARY STOPPED THIS HEADING DUE TO CONSECUTIVE LOW ASSAY GRADE, NEEDS FURTHER GEO EVALUATION. STOPPED ON APRIL 27, 2026</t>
  </si>
  <si>
    <t>REPLACEMENT OF L08_NONE_002E_XCN. APPROVED ON JANUARY 5, 2025. SILL. TEMPORARY STOPPED ON MARCH 21, 2025 TO EXCAVATE ADDITIONAL MILL HOLE. RESUMED FOR OPERATIONS ON NOVEMBER 5, 2025.TEMPORARY STOPPED ON APRIL 21, 2026 DUE TO CONSECUTIVE LOW GRADE, HEADING IS SUBJECTED FOR GEOLOGIST OBSERVATION. RESUMED FOR OPERATIONS ON APRIL 24, 2026. GOOD MATERIAL IS AVAILABLE AT MILL HOLE #4.MINE GEOLOGY RECOMMENDS TO TEMPORARY STOPPED THIS HEADING DUE TO CONSECUTIVE LOW ASSAY GRADE, NEEDS FURTHER GEO EVALUATION. STOPPED ON APRIL 27, 2026</t>
  </si>
  <si>
    <t xml:space="preserve">REPLACEMENT OF L11_JVFW_045E_RAISE. APPROVED ON MARCH 17, 2026. STOPPED ON APRIL 28, 2026 (2ND SHIFT) DUE TO PINCHED OUT VEIN. </t>
  </si>
  <si>
    <t>NEW WORKING PLACE FOR LEVEL 07. SPECIAL PROJECT FOR GROUND SUPPORT INSTALLATION FROM 15E TO 43E MAINLINE. APPROVED ON MARCH 2, 2026.TEMPORARY STOPPED ON APRIL 28, 2026 DUE TO MANPOWER CONCERNS.</t>
  </si>
  <si>
    <t xml:space="preserve"> APPROVED ON FEBRUARY 24, 2025. STOPPED ON MARCH 07, 2025. ALREADY REACHED THE RECOMMENDED STRIKE LENGTH. CONVERTED ON-VEIN. </t>
  </si>
  <si>
    <t xml:space="preserve">REPLACEMENT OF L12_NONE_017E_XCS. APPROVED ON JULY 25, 2025.  TEMPORARY STOPPED ON AUGUST 31, 2025, RECOMMENDED TO RAISE. RESUMED ON SEPTEMBER 05, 2025. CORPO WITH L12_DPVE_016E_RAISE. RENAME OF TEAMLEADER FROM NITRO BC3 TO DURANGO 3 DUE TO FULL-FLEDGED TEAM LEADER. APPROVED ON SEPTEMBER 27, 2025. STOPPED ON NOVEMBER 07, 2025, DUE TO CONSECUTIVE LOW ASSAY GRADE.  GEOLOGY RECOMMENDS TO RESUME THIS WORKPLACE MANPOWER FROM L12_DPVE_067E_RAISE APPROVED ON NOVEMBER 21, 2025. AS WELL AS TRANSFERRED FROM DURANGO 3 TO BACLAS. TEMPORARY STOPPED ON DECEMBER 16, 2025 DUE TO WATERY AND GOUGY GROUND CONDITION REQUIRING GROUND SUPPORT INSTALLATION.RESUMED ON DECEMBER 18, 2025. TEMPORARY STOPPED ON JANUARY 03, 2026, DUE TO PRIORITIZATION OF INSTALLATION OF GROUND SUPPORT. L12_DPVE_018E_DW BACLAS. RESUMED ON JANAUARY 06, 2026. TEMPORARY STOPPED ON FEBRUARY 12, 2026 DUE TO INSUFFICIENT MANPOWER TO OPERATE THE HEADING. WILL BE RESUMED AFTER FINALIZING THE MANPOWER LINE-UP. RESUME OPERATION ON FEBRUARY 19, 2026. TEMPORARY STOPPED ON MARCH 10, 2026, DUE TO PRIORITIZATION OF L12_DPVE_005E_RAISE. RESUME ON MARCH 18, 2026.STOPPED ON APRIL 28, 2026 DUE TO PINCHED OUT VEIN, WILL BE CONVERTED TO CROSSCUT.
  </t>
  </si>
  <si>
    <t>L12_NONE_002E_XCN</t>
  </si>
  <si>
    <t>REPLACEMENT OF L10_DPVE_095E_DE. APPROVED ON NOVEMBER 4, 2025. CHANGED TEAMLEADER FROM BABOR 1 TO FERNANDEZ. APPROVED ON NOVEMBER 12, 2025.STOPPED ON APRIL 28, 2026. ALREADY FINISHED HEADING.</t>
  </si>
  <si>
    <t xml:space="preserve">REPLACEMENT OF L12_JV_075E_RAISE. APRROVED ON MARCH 23, 2026.  RENAME FROM L12_JVHW_077E_STOPE PREP TO L12_JVHW_078E_STOPE PREP. APPROVED ON MARCH 24, 2026. RENAME FROM L12_JVHW_078E_STOPE PREP TO L12_JV_078E_STOPE PREP FOR PROPER NAMING OF VEIN. APPROVED ON APRIL 17, 2026.STOPPED ON APRIL 24, 2026, WILL BE CONVERTED TO STOPE BREAKING. 
</t>
  </si>
  <si>
    <t>L12_JV_078E_STOPE</t>
  </si>
  <si>
    <t>L425_DPVE_044E_STOPE PREP</t>
  </si>
  <si>
    <t>REPLACEMENT OF L425_GHV_059E_STOPE PREP OLIVEROS 1. APPROVED ON NOVEMBER 10, 2025.CHANGED TEAMLEADER FROM OLIVEROS 1 TO BABOR. APPROVED ON DECEMBER 19, 2025. TEMPORARY STOPPED ON FEBRUARY 10, 2026 DUE TO LACK OF MANPOWER. THIS WOKPLACE FORMERLY OPERATED BY BABOR WILL BE RESUME AND WILL BE TRANSFERRED TO ESPINOSA DUE TO LACK OF MANPOWER. MANPOWER FROM L425_GHVSPLIT_056E_DE_ISL.  RESUMED ON FEBRUARY 25, 2026.CONVERTED TO STOPE PULLOUT ON APRIL 28, 2026.</t>
  </si>
  <si>
    <t>REPLACEMENT OF L12_JV_078E_STOPE PREP. APPROVED ON APRIL 24, 2026.</t>
  </si>
  <si>
    <t>REPLACEMENT OF L12_GHVFW_014E_RAISE. APPROVED ON MARCH 19, 2026. STOPPED ON APRIL 29, 2026, WILL BE CONVERTED TO ON-VEIN DRIFT.</t>
  </si>
  <si>
    <t>SPECIAL PROJECT OF L08. FINGER RAISE FOR L08_GHV_006W_ROBBING. APPROVED ON SEPTEMBER 27, 2025.  RENAMED TEAMLEADER FROM FERNANDEZ TO FERNANDEZ 5. APPROVED ON OCTOBER 13, 2025. TEMPORARY STOPPED ON OCTOBER 18, 2025 DUE TO MANPOWER ISSUE. RESUMED FOR OPERATIONS ON OCTOBER 23, 2025. MINE GEOLOGY RECOMMENDS TO STOP THIS HEADING DUE TO CONSECUTIVE LOW ASSAY GRADES. STOPPED ON APRIL 29, 2026</t>
  </si>
  <si>
    <t>REPLACEMENT OF L10_GHVHW_005W_DW APPROVED ON SEPTEMBER 30, 2025. THIS WORKPLACE WILL BE RENAME FROM L10_GHVHW_012E_DW TO L10_DPVE_012W_DW FOR PROPER DATA REFERENCE APPROVED ON OCTOBER 8, 2025. RENAMED TEAMLEADER FROM LARGO TO LARGO 3. APPROVED ON OCTOBER 13, 2025. TEMPORARY STOPPED TO PRIORITIZE THE RAISE PREP. APPROVED ON NOVEMBER 13, 2025.RESUMED FOR OPERATIONS ON NOVEMBER 15, 2025. TEMPORARY STOPPED ON DECEMBER 15, 2025, DUE TO PRIORITIZATION OF L10_DPVE_015W_RAISE. RESUME ON JANUARY 05, 2026. CORPO WITH L10_DPVE_015E_RAISE.EMPORARY STOPPED ON MARCH 01, 2026 DUE TO INSUFFICIENT MANPOWER TO OPERATE THE HEADING.RESUMED FOR OPERATION ON APRIL 24, 2026 AT THE SAME TIME CHANGED TEAM LEADER FROM LARGO 2 TO DELOS REYES. MANPOWER FROM L09. STOPPED ON APRIL 28, 2026. MINE GEO RECOMMENDS TO CONVERT THIS HEADING TO CROSSCUT.</t>
  </si>
  <si>
    <t>REPLACEMENT OF L10_NONE_027E_XCS. APPROVED ON DECEMBER 23, 2025.  TEMPORARY STOPPED ON FEBRUARY 14, 2026 TO PRIORITIZE THE RAISE PREP. RESUMED FOR OPERATIONS ON APPROVED ON FEBRUARY 20, 2026. ALREADY DONE RAISE PREP OF THE ADJACENT RAISE. TEMPORARY STOPPED ON MARCH 16, 2026 TO PRIORITIZE THE RAISE PREPARATION ALONG THE MAINLINE.  RESUMED FOR OPERATIONS ON MARCH 21, 2026.  TEMPORARY STOPPED ON APRIL 8, 2026. THE HEADING WILL BE AFFECTED BY THE STOPE PREPARATION OF L10_JV_026W_STOPE PREP.RESUMED FOR OPERATIONS ON APRIL 14, 2026. TEMPORARY STOPPED ON APRIL 18, 2026 DUE TO REALIAGNMENT OF MANPOWER. RESUMED ON APRIL 27, 2026. AVAILABLE MANPOWER OF LARGO. TEMPORARY STOPPED ON APRIL 28, 2026 DUE TO INADEQUATE MANPOWER TO OPERATE THE HEADING, PRIORITIZED THE WIREMESHING ACTIVITY IN THE AREA.</t>
  </si>
  <si>
    <t>ADDITIONAL SOURCE OF GOOD ORE. APPROVED ON MARCH 26, 2025. MP FROM L04_NONE_005E_SPECIAL PROJECT. SILL. TEMPORARY STOPPED ON MAY 14, 2025. 3RD SHUFT. RECOMMENDED TO CONDUCT FINGER RAISE TO REACH THE FROZEN MUCK. RESUMED ON MAY 29, 2025. TEMPORARY STOPPED DUE TO SAFETY CONCERN AT THE WORKPLACE AND WAS REPLACED BY L08_NONE_001W_RAISE . APPROVED ON SEPTEMBER 25, 2025.  RESUMED MUCK-OUT ON NOV. 21, 2025 TO INCREASE STOPE TONNAGE. TEMPORARY STOPPED ON DECEMBER 20, 2025 TO PRIORITIZE L08_NONE_007W_XCS. RESUMED FOR OPERATION ON JANUARY 21, 2026. TEMPORARY STOPPED ON MARCH 12, 2026 TO PRIORITIZE THE L08_GHV_017W_ROBBING AND L08_NONE_008W_RAISE.RESUMED FOR OPERATIONS ON APRIL 16, 2026. AT THE SAME TIME CHANGED TEAMLEADER FROM FERNANDEZ TO NITRO CQ. TEMPORARY STOPPED ON APRIL 20, 2026 TO PRIORITIZE THE BREAKTHROUGH OF L08_NONE_009W_XCS (MILL HOLE).RESUMED FOR OPERATION ON APRIL 23, 2026 SINCE ITS MILL HOLE ALREADY MADE A BREAKTHROUGH. MINE GEOLOGY RECOMMENDS TO STOP THIS HEADING DUE TO CONSECUTIVE LOW ASSAY GRADES. STOPPED ON APRIL 29, 2026</t>
  </si>
  <si>
    <t>REPLACEMENT OF L11_DPVE_029E_STOPE PREP. APPROVED ON MARCH 11, 2026 (2ND SHIFT).  THE STOPE HAS REACHED ITS RECOMMENDED SLOPE LENGTH. FURTHER CUTTING WOULD ENTER THE EXCLUSION ZONE OF THE L10 EXPLOSIVES MAGAZINE. THUS, MINE GEOLOGY RECOMMENDS CONVERTING IT INTO STOPE PULL OUT. APPROVED ON APRIL 29,2026</t>
  </si>
  <si>
    <t>REPLACEMENT OF L11_DPVE_080E_STOPE PREP. APRROVED ON APRIL 20, 2026. CHANGED TEAMLEADER FROM BADBADON TO NITRO CR DUE TO TEAMLEADER BADBADON HAS RESIGNED. APPROVED ON APRIL 29, 2026</t>
  </si>
  <si>
    <t>NITRO CR</t>
  </si>
  <si>
    <t>L12_DPVE_075E_DE</t>
  </si>
  <si>
    <t xml:space="preserve">ADDITIONAL WORKING PLACE OF L08. JOINT MANPOWER WITH L08_JV_048E_DE_ISL. TO DRIVE 5 METERS FOR LAYDOWN AREA. APPROVED ON MARCH 17, 2026. TEMPORARY STOPPED ON MARCH 19, 2026. DONE ISL PREP. RESUMED FOR OPERATION ON APRIL 23, 2026. EAST SIDE HAS MADE A BREAKTHROUGH.TEMPORARY STOPPED ON APRIL 30, 2026 TO PRIORITIZE THE STOPE PREPARATION IN THE AREA. </t>
  </si>
  <si>
    <t xml:space="preserve">ADDITIONAL WORKING PLACE. APPROVED ON OCTOBER 22, 2025.TEMPORARY STOPPED ON OCTOBER 26, 2025. DONE ISL PREP.RESUMED FOR OPERATIONS ON APRIL 27, 2026 AS REPLACEMENT OF L08_DPVE_040E_RAISE.TEMPORARY STOPPED ON APRIL 30, 2026. THE HEADING IS FOR FURTHER GEO ASSESSMENT.
 </t>
  </si>
  <si>
    <t>L11_DPVE_003W_DE</t>
  </si>
  <si>
    <t>L12_GHVSPLIT_045E_STOPE</t>
  </si>
  <si>
    <t>REPLACEMENT OF L12_GHVSPLIT_045E_STOPE PREP. APPROVED ON APRIL 30, 2026.</t>
  </si>
  <si>
    <t>l12</t>
  </si>
  <si>
    <t xml:space="preserve">REPLACEMENT OF L12_JVHW_047E_DW_ISL. APPROVED ON MARCH 28, 2026.STOPPED ON APRIL 30, 2026. WILL BE CONVERTED TO STOPE BREAKING AT THE SAME TIME CHANGE TEAM LEADER FROM NITRO CG TO DURANGO, TEAM LEADER NITRO CG WILL FOCUS ON L12_JVHW_048E_STOPE PREP. MANPOWER OF TEAM LEADER DURANGO ARE FROM L12_JVHW_063E_RAISE. </t>
  </si>
  <si>
    <t>REPLACEMENT OF L08_GHVHW_032W_DW. APPROVED ON MARCH 19, 2026. TEMPORARY STOPPED ON APRIL 9, 2026 DUE TO INSUFFICIENT MANPOWER.RESUMED FOR OPERATIONS ON APRIL 15, 2026. RESUMED FOR OPERATIONS ON APRIL 15, 2026. MINE GEOLOGY RECOMMENDS TO STOP THIS HEADING DUE TO PINCHED OUT VEIN. STOPPED ON MAY 3, 2026</t>
  </si>
  <si>
    <t xml:space="preserve">REPLACEMENT OF L12_DPVE_050E_STOPE BREAKING. APPROVED ON APRIL 17, 2026.STOPPED ON MAY 03, 2026. ALREADY MINED OUT WITH 104% STOPE PULL-OUT ATTAINMENT. </t>
  </si>
  <si>
    <t>L08_JV_019E_DW_ISL_A</t>
  </si>
  <si>
    <t>DW_ISL_A</t>
  </si>
  <si>
    <t>REPLACEMENT OF L425_GHVSPLIT_040E_STOPE PREP. APPROVED ON JANUARY 19, 2026.  MINE GEOLOGY RECOMMENDS TO ESTABLISH IPR FOR THIS STOPE DUE TO CONSECUTIVE LOW ASSAY GRADE ON CONSECUTIVE 3 FLOORS. MEMO RECEIVED ON APRIL 7 2026.MINE GEOLOGY RECOMMENDS TO STOP THE BREAKING AND PROCEED TO PULL OUT, AS THE IPR THAT WAS ESTABLISHED PRODUCED LOW ASSAY GRADES. APPROVED ON APRIL 22, 2026.STOPPED ON APRIL 30, 2026. ALREADY MINED OUT. PULL OUT ATTAINMENT 125%.</t>
  </si>
  <si>
    <t>REPLACEMENT OF L08_JV_019E_RAISE. APPROVED ON MARCH 23, 2026.STOPPED ON MAY 3, 2026. ALREADY MADE A BREAKTHROUGH.</t>
  </si>
  <si>
    <t>L08_JV_019E_STOPE PREP</t>
  </si>
  <si>
    <t>REPLACEMENT OF L08_JV_019E_DW_ISL_A. SD-26-060. APPROVED ON MAY 3, 2026</t>
  </si>
  <si>
    <t>REPLACEMENT OF L11_NONE_001E_XCN. APPROVED ON MARCH 07, 2026.STOPPED ON MAY 03, 2026, DUE TO CONSECUTIVE LOW GRADE BOTH ON CUT/BULK SAMPLES.</t>
  </si>
  <si>
    <t>L08_JV_027E_RAISE</t>
  </si>
  <si>
    <t>THE STOPE HAS REACHED ITS RECOMMENDED SLOPE LENGTH. FURTHER CUTTING WOULD ENTER THE EXCLUSION ZONE OF THE L10 EXPLOSIVES MAGAZINE. THUS, MINE GEOLOGY RECOMMENDS CONVERTING IT INTO STOPE PULL OUT. APPROVED ON APRIL 29,2026.STOPPED ON MAY 03, 2026, ALREADY FINISHED HEADING WITH 127% STOPE PULL-OUT ATTAINMENT.</t>
  </si>
  <si>
    <t>L08_DPVE_039E_WINZE_STOPE PREP</t>
  </si>
  <si>
    <t>L11_DPVE_091E_RAISE</t>
  </si>
  <si>
    <t>L11_DPVE_002W_DE</t>
  </si>
  <si>
    <t>L08_JV_049E_WINZE_STOPE PREP</t>
  </si>
  <si>
    <t xml:space="preserve">REPLACEMENT OF L12_GHVSPLIT_078E_DE. APPROVED ON MARCH 24, 2026. MINE GEOLOGY RECOMMENDS TO RENAME THIS HEADING FROM L12_GHVSPLIT_044E_DE INTO L12_GHVSPLIT_048E_DW FOR PROPER WASTE AND ORE SEGREGATION. APPROVED ON MARCH 31, 2026. RENAME FROM L12_GHVSPLIT_048E_DW TO L12_GHVSPLIT_044E_DW, FOR PROPER RENAMING OF POSITION. APPROVED ON APRIL 09, 2026.STOPPED ON MAY 5, 2026. ALREADY REACH THE TARGET STRIKE LENGTH AND THE LEVEL MANAGER DECIDED NOT TO BREAKTHROUGH TO ADJACENT MAINLINE. 
</t>
  </si>
  <si>
    <t>L12_GHVSPLIT_044E_RAISE</t>
  </si>
  <si>
    <t>REPLACEMENT OF L460_NONE_053E_SUMP. APPROVED ON FEBRUARY 16, 2026.CHANGED TEAMLEADER FROM DUHIG, P2 TO DUHIG R1 DUE TO INSUFFICIENT MANPOWER OF DUHIG, P2. APPROVED ON MAY 5, 2026.</t>
  </si>
  <si>
    <t>MANPOWER JOINED WITH L425_GHVHW_048E_STOPE. APPROVED ON APRIL 5, 2026. STOP THIS HEADING DUE TO UNSAFE CONDITION. EFFECTIVITY DATE: APRIL 25, 2026.</t>
  </si>
  <si>
    <t xml:space="preserve">REPLACEMENT OF  L425_JVSPLIT_053E_DE. APPROVED ON OCTOBER 8, 2025. CHANGED TEAMLEADER FROM DELOS REYES TO CAPPUYO. APPROVED ON OCOTOBER 20, 2025. TEMPORARY STOPPED ON JANUARY 14, 2026 TO PRIORITIZE THE ISL HEADING. RESUMED FOR OPERATION ON JANUARY 22, 2026. CHANGE TEAMLEADER FROM CAPPUYO 1 TO NITRO CP (GANO) APPROVED ON APRIL 16, 2026.STOPPED ON APRIL 28, 2026. ALREADY FINISHED HEADING. </t>
  </si>
  <si>
    <t>L425_GHV_052E_DE_ISL_B</t>
  </si>
  <si>
    <t>L425_GHV_052E_DW_ISL_B</t>
  </si>
  <si>
    <t>L425_JVHW_032E_DE</t>
  </si>
  <si>
    <t>REPLACEMENT OF L425_JVSPLIT_063E_RAISE. APPROVED ON MAY 5, 2026.</t>
  </si>
  <si>
    <t>L425_GHV_060E_RAISE</t>
  </si>
  <si>
    <t xml:space="preserve">REPLACEMENT OF L08_DPVE_034E_STOPE PREP. APPROVED ON MARCH 4, 2026. TEMPORARY STOPPED ON MARCH 16, 2026 TO PRIORITIZE THE REHAB ON OLD RAISE. RESUME ON MARCH 20, 2026. ON GOING REHAB OF OLD RAISE FOR ACCESS.CHANGED TEAMLEADER FROM CAPUYAN 1 TO FERNANDEZ  DUE TO MANPOWER ISSUE (APPREHENDED). APPROVED ON APRIL 21, 2026.STOPPED ON MAY 6, 2026 DUE TO SAFETY CONCERN, UNSAFE CONDITION. MINE GEOLOGY RECOMMENDS NOT TO PULL OUT DUE TO LOW GRADE. </t>
  </si>
  <si>
    <t>L08_DPVE_034E_DW_ISL_A</t>
  </si>
  <si>
    <t xml:space="preserve">REPLACEMENT OF L09_DPVE_075E_ROBBING. APPROVED ON APRIL 20, 2026.STOPPED ON APRIL 30, 2026. RECOMMENDED TO DO ISL. </t>
  </si>
  <si>
    <t>REPLACEMENT OF L08_GHV_016W_ROBBING. APPROVED ON FEBRUARY 13, 2026. STOPPED ON MARCH 26, 2026. ALREADY FINISHED HEADING.Transfer of Team Leader on March 16, 2026 from Fernandez to Nitro CQ.</t>
  </si>
  <si>
    <t>ADDITIONAL WORKPLACE OF LEVEL 03. APPROVED ON NOVEMBER 25, 2025. TEMPORARY STOPPED ON DECEMBER 06, 2025, DUE TO INACCESSIBILITY OF MAINLINE CAUSED BY COLLAPSED PORTION AT 5W RAISE. RESUMED FOR OPERATIONS ON FEBRUARY 10, 2026. THE MAINLINE REHAB IS NOW FINISHED AND SAFE.STOPPED ON MAY 6, 2026. ALREADY FINISHED HEADING. MANPOWER WILL BE ASSIGNED TO CLEAN FOR THE BACK UP ROBBING.</t>
  </si>
  <si>
    <t>REPLACEMENT OF L425_NONE_070E_XCS. APPROVED ON APRIL 19, 2026.TEMPORARY STOPPED ON MAY 8, 2026 DUE TO PRIORITIZATION OF L425_JVSPLIT_061E_RAISE.</t>
  </si>
  <si>
    <t>ADDITIONAL WORKING PLACE. APPROVED JANUARY 06, 2026.  STOPPED ON MAY 08, 2026. WILL BE CONVERTED TO ON-VEIN DRIFT.</t>
  </si>
  <si>
    <t>REPLACEMENT OF L11_DPVE_005W_DE. APPROVED ON MAY 04, 2026. STOPPED ON MAY 09, 2026, DUE TO PINCHED OUT VEIN.</t>
  </si>
  <si>
    <t>REPLACEMENT OF L425_JVSPLIT_080E_DW APPROVED ON APRIL 18, 2026. RENAME FROM L425_JVSPLIT_073E_DE TO L425_GHVSPLIT_073E_DE. APPROVED ON APRIL 20, 2026. STOPPED ON APRIL 29, 2026. ALREADY REACHED ITS RECOMMENDED STRIKE LENGTH.</t>
  </si>
  <si>
    <t>ADDITIONAL WORKING PLACE OF L11. JOINT MANPOWER WITH L11_DPVE_005W_DE.. APPROVED ON APRIL 25, 2026.TEMPORARY STOPPED ON MAY 04, 2026, DUE TO PRIORITIZATION OF L11_DPVE_002W_DE AND WILL BE AFFECTED BY ITS PREPARATION. RESUME ON MAY 09, 2026. MANPOWER FROM L11_DPVE_002W_DE.</t>
  </si>
  <si>
    <t>L09_GHV_004E_STOPE PREP</t>
  </si>
  <si>
    <t>REPLACEMENT OF L09_DPVE_035E_RAISE. APPROVED ON APRIL 20, 2026 (SD-26-097). STOPPED ON MAY 9, 2026. RECOMMENDED FOR ACTIVE STOPE BREAKING.</t>
  </si>
  <si>
    <t>L10_JV_028W_STOPE PREP</t>
  </si>
  <si>
    <t>L11_DPVE_007W_DE</t>
  </si>
  <si>
    <t>NITRO BB3</t>
  </si>
  <si>
    <t>REPLACEMENT OF L11_NONE_007W_XCN. APPROVED ON MAY 09, 2026.</t>
  </si>
  <si>
    <t>REPLACEMENT OF L12_GHVSPLIT_066E_STOPE PREP. APPROVED ON MARCH 06, 2026.STOPPED STOPE BREAKING ON MAY 09, 2026. WILL BE CONVERTED TO STOPE-PULL OUT</t>
  </si>
  <si>
    <t>ADDITIONAL WORKING PLACE, MANPOWER JOINED WITH L11_DPVE_032E_DE_ISL. APPROVED ON APRIL 7, 2026. STOPPED ON MAY 11, 2026. ALREADY MADE A BREAKTHROUGH.</t>
  </si>
  <si>
    <t>L11_DPVE_040E_WINZE STOPE PREP</t>
  </si>
  <si>
    <t>L425_GHVSPLIT_079E_DE</t>
  </si>
  <si>
    <t xml:space="preserve">REPLACEMENT OF L08_JVSPLIT_021E_DE_RAISE_ISL. APPROVED ON APRIL 12, 2026. STOPE ID: SD-26-092.STOPPED ON MAY 12, 2026. RECOMMENDED FOR ACTIVE STOPE BREAKING. </t>
  </si>
  <si>
    <t>L08_JV_021E_STOPE</t>
  </si>
  <si>
    <t>CONVERTED TO STOPE BREAKING ON MAY 12, 2026.</t>
  </si>
  <si>
    <t>L425_JV_031E_STOPE PREP</t>
  </si>
  <si>
    <t>L09_DPVE_036E_WINZE STOPE</t>
  </si>
  <si>
    <t>REPLACEMENT OF L09_DPVE_036E_WINZE STOPE PREP. APPROVED ON MAY 9, 2026</t>
  </si>
  <si>
    <t>REPLACEMENT OF L09_JV_037E_STOPE PREP. APPROVED ON APRIL 22, 2026.STOPPED BREAKING ON MAY 12, 2026. RECOMMENDED FOR ACTIVE STOPE PULL-OUT.</t>
  </si>
  <si>
    <t>REPLACEMENT OF L12_DPVE_025E_DW. APPROVED ON MARCH 13, 2026.TEMPORARY STOPPED ON APRIL 05, 2026, DUE TO ABSEENTEISM OF MANPOWER.RESUME ON APRIL 09, 2026. TEMPORARY STOPPED ON MARCH 30, 2026, DUE TO ABSENTEEISM OF MANPOWER. RESUME ON APRIL 11, 2026, AT THE SAME TIME CHANGE TEAM LEADER FROM LANTACA 1 TO DURANGO. STOPPED ON MAY 13, 2026, DUE TO CONSECUTIVE OFF-VEIN IN THE CURRENT FLOORS. WILL BE CONVERTED TO STOPE PREP.</t>
  </si>
  <si>
    <t>L12_DPVE_025E_STOPE PREP</t>
  </si>
  <si>
    <t>REPLACEMENT OF L12_DPVE_023E_RAISE. STOPE ID: SD-26-129. APPROVED ON MAY 13, 2026.</t>
  </si>
  <si>
    <t>ADDITIONAL WORKPLACE OF L08, JOINT MANPOWER WITH L08_NONE_008W_RAISE (FINGER RAISE). APPROVED ON MAY 14, 2026</t>
  </si>
  <si>
    <t>L425_GHV_058E_STOPE PREP</t>
  </si>
  <si>
    <t xml:space="preserve">REPLACEMENT OF L425_GHVHW_036E_DW. APPROVED ON MAY 23, 2025.RECOMMENDS TO STOPPED DUE TO PINCHED OUT VEIN. STOPPED ON JULY 30, 2025.RESUMPTION OF THIS WORKPLACE FOR LOOP TRAMMING PURPOSES ONLY AT THE SAME TIME CHANGE TEAM LEADER FROM DELOS REYES 3 TO NITRO BV APPROVED ON APRIL 27, 2026. STOPPED ON MAY 15, 2026. ALREADY FINISHED HEADING. </t>
  </si>
  <si>
    <t>REPLACEMENT OF L425_GHV_052E_WINZE. APPROVED ON APRIL 28, 2026. ALREADY FINISHED HEADING. STOPPED ON MAY 15, 2026.</t>
  </si>
  <si>
    <t xml:space="preserve">REPLACEMENT OF L425_GHVSPLIT_047E_STOPE PREP. APPROVED ON JANUARY 15, 2026. CONVERTED TO PULL-OUT ON MAY 12, 2026. </t>
  </si>
  <si>
    <t>REPLACEMENT OF L425_GHV_067E_STOPE PREP. APRROVED ON NOVEMBER 18, 2025.TEMPORARY STOPPED ON DECEMBER 19, 2025 DUE TO INADEQUATED SKILLS OF MINERS AND TO OPERATE NEW WORKPLACE. THIS WORKPLACE FORMERLY OPERATED BY REBOTE WILL BE RESUMED AND TRANSFERRED TO BAÑEZ 4. MANPOWER FROM L425_GHVSPLIT_044E_RAISE. APPROVED ON FEBRUARY 2, 2026.CONVERTED TO STOPE PULL OUT ON APRIL 17, 2026. STOPPED ON MAY 8, 2026. ALREADY MINED OUT. PULL OUT ATTAINMENT AT 97%.</t>
  </si>
  <si>
    <t xml:space="preserve">REPLACEMENT OF L11_DPVE_104E_STOPE. APPROVED ON APRIL 14, 2026.TEMPORARY STOPPED ON APRIL 14 2026, DUE TO REALIGNMENT OF MANPOWER.RESUME ON  MAY 03, 2026, AT THE SAME TIME REPLACEMENT OF L11_DPVE_029E_STOPE. CHANGE TEAM LEADER FROM BADBADON TO BAÑEZ. APPROVED ON MAY 03, 2026. MINE GEOLOGY RECOMEND TO STOP THIS HEADING DUE TO CONSECUTIVE LOW ASSAY GRADE. APPROVED ON MAY 14, 2026. </t>
  </si>
  <si>
    <t xml:space="preserve">REPLACEMENT OF L460_NONE_051E_XCN. APPROVED ON MARCH 28, 2026. STOPPED ON MAY 16, 2026. ALREADY MADE A BREAKTHROUGH. </t>
  </si>
  <si>
    <t>REPLACEMENT OF L08_JV_020E_RAISE. EFFECTIVE ON APRIL 24, 2026.STOPPED ALREADY MADE A BREAKTHROUGH. APPROVED ON MAY 16, 2026</t>
  </si>
  <si>
    <t>ADDITIONAL WORKPLACE OF L08. JOINT MANPOWER WITH L08_JV_026E_DW_ISL. APPROVED ON MAY 3, 2026. TEMPORARY STOPPED TO PRIORITIZE STOPE PREPERATION APPROVED ON MAY 15, 2026</t>
  </si>
  <si>
    <t>L08_JV_020E_STOPE PREP</t>
  </si>
  <si>
    <t>REPLACEMENT OF L08_JV_020E_DE_ISL. BLIND STOPE. APPROVED ON MAY 16, 2026.</t>
  </si>
  <si>
    <t>L08_JV_026E_WINZE STOPE PREP</t>
  </si>
  <si>
    <t>ADDITIONAL WORKPLACE OF L08. MANPOWER FROM L08_JV_027E_RAISE AND L08_JV_026E_DW_ISL_B. APPROVED ON MAY 16, 2026. SD-26-145 HIGH DIP STOPE.</t>
  </si>
  <si>
    <t>ADDITIONAL WORKING PLACE OF L09, MANPOWER FROM LEVEL 8. SD-26-078 HIGH DIPPING. APPROVED ON MAY 9, 2026.STOPPED ON MAY 15, 2026. INACCESSIBLE AREA DUE TO IN BETWEEN ROBBING.</t>
  </si>
  <si>
    <t>L09_GHV_004E_ROBBING</t>
  </si>
  <si>
    <t>REPLACEMENT OF L09_GHV_004E_STOPE PREP. APPROVED ON MAY 15, 2026.</t>
  </si>
  <si>
    <t>ALREADY FINISHED ITS L09_GHV_007E_MAINLINE CLEANING. RECOMMENDED TO BE CONVERTED TO ROBBING. APPROVED ON NOVEMBER 3, 2025. TEMPORARY STOPPED ON APRIL 20, 2026 TO PRIORITIZE THE ADVANCE OF ITS MILL HOLE.RESUMED FOR OPERATIONS ON MAY 14, 2026, ENOUGH MANPOWER TO OPERATE THE HEADING.</t>
  </si>
  <si>
    <t>REPLACEMENT OF L11_JVHW_071E_STOPE. LOW DIPPING (SD-26-099). APPROVED ON APRIL 21, 2026.STOPPED ON MAY 17, 2026. WILL BE CONVERTED TO STOPE BREAKING.</t>
  </si>
  <si>
    <t>L11_DPVE_098E_STOPE</t>
  </si>
  <si>
    <t>-REPLACEMENT OF L11_DPVE_098E_STOPE PREP. APPROVED ON MAY 17, 2026.</t>
  </si>
  <si>
    <t>CROSSCUT FOR L10 DRILLING CHAMBER. APPROVED ON MARCH 01, 2026, 2ND SHIFT. RENAMED FROM L10_NONE_015E_XCS TO L10_NONE_016W_XCS FOR PROPER NAMING POSITION AND TO AVOID MISCHARGING WITH OTHER WORKPLACE. APPROVED ON MARCH 3, 2026.TEMPORARY STOPPED ON APRIL 11, 2026 TO PRIORITIZE THE WIREMESHING AND TIMBERING OF ITS MAINLINE. RESUMED FOR OPERATIONS ON APRIL 14, 2026.STOPPED ON MAY 18, 2026. FINISHED HEADING. TO BE REPLACED WITH DRILLING CHAMBER.</t>
  </si>
  <si>
    <t>L10_NONE_017W_DRILLING CHAMBER</t>
  </si>
  <si>
    <t>REPLACEMENT OF L10_NONE_016W_XCS. SPECIAL PROJECT EFFECTIVE ON MAY 18, 2026.</t>
  </si>
  <si>
    <t>DRILLING CHAMBER</t>
  </si>
  <si>
    <t>L03_NONE_047E_MAINLINE CLEANING</t>
  </si>
  <si>
    <t>NEW WORKING PLACE OF L03. MANPOWER FROM L03_GHV_052E_ROBBING. SPECIAL PROJECT TO ACCESS THE BACK-UP FOR ROBBING. APPROVED ON MAY 18, 2026.</t>
  </si>
  <si>
    <t>l03</t>
  </si>
  <si>
    <t>REPLACEMENT OF L425_GHVSPLIT_047E_STOPE PREP. APPROVED ON JANUARY 15, 2026.CONVERTED TO PULL-OUT ON MAY 12, 2026. STOPPED ON MAY 16, 2026. ALREADY FINISHED HEADING, MINED OUT AT 118% PULLOUT ATTAINMENT.</t>
  </si>
  <si>
    <t>REPLACEMENT OF L425_JV_032E_RAISE. APPROVED ON MARCH 27, 2026.STOPPED ON MAY 15, 2026. ALREADY MADE A BREAKTHOUGH.</t>
  </si>
  <si>
    <t>REPLACEMENT OF L09_JV_037E_STOPE PREP. APPROVED ON APRIL 22, 2026.STOPPED BREAKING ON MAY 12, 2026. RECOMMENDED FOR ACTIVE STOPE PULL-OUT.STOPPED ON MAY 19, 2026. ALREADY MINED OUT. 95% PULL OUT ATTAINMENT.</t>
  </si>
  <si>
    <t>L09_JV_037E_ROBBING</t>
  </si>
  <si>
    <t>REPLACEMENT OF L09_JV_037E_STOPE. APPROVED ON MAY 19, 2026. SILL PILLAR ROBBING</t>
  </si>
  <si>
    <t>L09_GHV_026E_DW_ISL</t>
  </si>
  <si>
    <t>REPLACEMENT OF L08_DPVE_035E_DE_ISL. APPROVED ON MARCH 4, 2026.ALREADY BREAKTHROUGH. CONVERTED TO STOPE BREAKING. APPROVED ON MARCH 14, 2026.REPLACEMENT OF L08_DPVE_035E_STOPE PREP. APPROVED ON MARCH 14, 2026.STOPPED ON MAY 19, 2026. ALREADY FINISHED HEADING WITH 122% ATTAINMENT. LOW DIPPING STOPE</t>
  </si>
  <si>
    <t>L08_DPVE_035E_ROBBING</t>
  </si>
  <si>
    <t>L425_JVHW_045E_WINZE</t>
  </si>
  <si>
    <t>REPLACEMENT OF L425_GHV_052E_DE_ISL_B AND L425_GHV_052E_DW_ISL_B.  APRROVED ON MAY 15, 2026.MINE GEOLOGY RECOMMENDS TO RENAME THIS HEADING FROM L425_JVHW_046E_WINZE TO L425_JVHW_045E_WINZE FOR PROPER ORE AND WASTE SEGREGATION. APPROVED ON MAY 19, 2026.</t>
  </si>
  <si>
    <t>REPLACEMENT OF L11_DPVE_006W_DW. APPROVED ON APRIL 30, 2026.STOPPED ON MAY 19, 2026, DUE TO PINCHED OUT VEIN,</t>
  </si>
  <si>
    <t>L11_DPVE_012W_DE</t>
  </si>
  <si>
    <t>REPLACEMENT OF L11_DPVE_003W_DE. APPROVED ON MAY 19, 2026.</t>
  </si>
  <si>
    <t>REPLACEMENT OF L11_DPVE_043E_RAISE. APPROVED ON MARCH 08, 2026. RENAME FROM L11_DPVE_011E_XCN TO L11_DPVE_011E_XCS, FOR PROPER NAMING OF DIRECTION. APPROVED ON MARCH 14, 2026.STOPPED ON MAY 19, 2026. WILL BE CONVERTED TO ON-VEIN DRIVE.</t>
  </si>
  <si>
    <t>L11_DPVE_011E_DW</t>
  </si>
  <si>
    <t>REPLACEMENT OF L11_NONE_011E_XCS. APPROVED ON MAY 19, 2026.</t>
  </si>
  <si>
    <t>REPLACEMENT OF L425_JV_037E_RAISE. APPROVED ON MARCH 1, 2026. TEMPORARY STOPPED ON MARCH 04, 2026. TO PRIORITIZED OTHER STOPE PREP.RESUMPTION OF L425_DPVE_043E_STOPE PREP AND AT THE SAME TIME RENAME TO L425_DPVE_044E_STOPE PREP. SHARED MANPOWER FROM L425_GHVSPLIT_040E_STOPE. CHANGE TEAM LEADER FROM OLIVEROS TO BANEZ. EFFECTIVE APRIL 28, 2026.STOPPED ON MAY 19, 2026. TO BE CONVERTED TO STOPE BREAKING.</t>
  </si>
  <si>
    <t>L425_DPVE_044E_STOPE</t>
  </si>
  <si>
    <t>REPLACEMENT OF L425_DPVE_044E_STOPE PREP. APPROVED ON MAY 19, 2026.</t>
  </si>
  <si>
    <t>REPLACEMENT OF L12_JVFW_035E_STOPE PREP APPROVED ON APRIL 26, 2026.STOPPED STOPE BREAKING ON MAY 18, 2026. WILL BE CONVERTED TO STOPEPULL-OUT.</t>
  </si>
  <si>
    <t>REPLACEMENT OF L12_DPVE_022E_STOPE_PREP. APPROVED ON NOVEMBER 11, 2025. TEMPORARY STOPPED ON DECEMBER 12, 2025, PINCHED ON THE CURRENT BACK OF THE STOPE, AND TO PRIORITIZED L12_DPVE_022E_RAISE TO FURTHER EXPLORE VEIN CONTINUATION.RESUMED FOR OPERATIONS ON MARCH 2, 2026. MANPOWER FROM L12_DPVE_022E_DE_ISL. RENAME FROM L12_JVFW_022E_STOPE TO L12_DPVE_022E_STOPE. APPROVED ON MARCH 28, 2026.STOPPED STOPE BREAKING ON MAY 19, 2026. WILL BE CONVERTED TO STOPEPULL-OUT.</t>
  </si>
  <si>
    <t>REPLACEMENT OF L08_DPVE_040E_RAISE. STOPE ID: SD-26-120. APPROVED ON MAY 04, 2026.STOPPED ON MAY 20, 2026. TO BE CONVERTED TO STOPE BREAKING.</t>
  </si>
  <si>
    <t>L08_DPVE_039E_WINZE_STOPE</t>
  </si>
  <si>
    <t>REPLACEMENT OF L08_DPVE_039E_WINZE_STOPE PREP. APPROVED ON MAY 20, 2026.</t>
  </si>
  <si>
    <t>REPLACEMENT OF L09_DPVE_029E_WINZE STOPE PREP. APPROVED ON MARCH 28, 2026.STOPPED BREAKING ON MAY 19, 2026. RECOMMENDED FOR ACTIVE STOPE PULLOUT.</t>
  </si>
  <si>
    <t xml:space="preserve">ADDITIONAL WORKPLACE OF L09. JOINT MANPOWER WITH L09_GHV_026E_DW_ISL. TO DRIVE 5 METERS FOR TEMPORARY LAYDOWN AREA. APPROVED ON MAY 6, 2026.TEMPORARY STOPPED ON MAY 21, 2026. ALREADY REACHED THE DESIRED LENGTH FOR LAYDOWN AREA. PRIORITIZATION OF L09_GHV_026E_DE_ISL WILL COMMENCE. </t>
  </si>
  <si>
    <t xml:space="preserve">REPLACEMENT OF L12_JVFW_035E_STOPE PREP APPROVED ON APRIL 26, 2026.STOPPED STOPE BREAKING ON MAY 18, 2026. WILL BE CONVERTED TO STOPEPULL-OUT. REPLACEMENT OF L12_JVFW_035E_STOPE BREAKING. APPROVED ON MAY 18, 2026.STOPPED ON MAY 21, 2026. ALREADY MINED OUT. WITH 105% STOPE PULL-OUT ATTAINMENT. </t>
  </si>
  <si>
    <t>REPLACEMENT OF L12_GHVSPLIT_066E_STOPE PREP. APPROVED ON MARCH 06, 2026.STOPPED STOPE BREAKING ON MAY 09, 2026. WILL BE CONVERTED TO STOPE-PULL OUT. REPLACEMENT OF L12_GHVSPLIT_066E_STOPE BREAKING. APPROVED MAY 09, 2026.STOPPED ON MAY 17, 2026. ALREADY MINED OUT, WITH 81% STOPE PULL-OUT ATTAINMENT.</t>
  </si>
  <si>
    <t>REPLACEMENT OF L425_GHV_059E_STOPE PREP OLIVEROS 1. APPROVED ON NOVEMBER 10, 2025.CHANGED TEAMLEADER FROM OLIVEROS 1 TO BABOR. APPROVED ON DECEMBER 19, 2025. TEMPORARY STOPPED ON FEBRUARY 10, 2026 DUE TO LACK OF MANPOWER. THIS WOKPLACE FORMERLY OPERATED BY BABOR WILL BE RESUME AND WILL BE TRANSFERRED TO ESPINOSA DUE TO LACK OF MANPOWER. MANPOWER FROM L425_GHVSPLIT_056E_DE_ISL.  RESUMED ON FEBRUARY 25, 2026.CONVERTED TO STOPE PULLOUT ON APRIL 28, 2026.STOPPED ON MAY 14, 2026. ALREADY MINED OUT, WITH 87% STOPE PULL-OUT ATTAINMENT.</t>
  </si>
  <si>
    <t xml:space="preserve">REPLACEMENT OF L425_JV_057E_STOPE PREP ESPINOSA. APPROVED ON NOVEMBER 10, 2025. STOPPED ON JANUARY 05, 2026. TO BE CONVERTED TO STOPE PULL-OUT. </t>
  </si>
  <si>
    <t>REPLACEMENT OF L425_DPVE_033E_STOPE PREP OLIVEROS. APPROVED ON NOVEMBER 10, 2025.CONVERTED TO PULL-OUT. APPROVED ON FEBRUARY 7, 2026.</t>
  </si>
  <si>
    <t>REPLACEMENT OF L08_DPVE_035E_STOPE. APPROVED ON MAY 19, 2026.STOPPED ON MAY 25, 2026. ALREADY MINED OUT.</t>
  </si>
  <si>
    <t>L08_DPVE_032E_DW_ISL_A</t>
  </si>
  <si>
    <t>REPLACEMENT OF L08_DPVE_035E_ROBBING. APPROVED ON MAY 25, 2026</t>
  </si>
  <si>
    <t>L08_JV_024E_DW_ISL_B</t>
  </si>
  <si>
    <t>ADDITIONAL WORKPLACE, MANPOWER FROM LEVEL 12. APPROVED ON OCTOBER 8, 2025. SILL PILLAR. RENAMED TEAMLEADER FROM FERNANDEZ TO FERNANDEZ 4. APPROVED ON OCTOBER 13, 2025. STILL ON-GOING MAINLINE CLEANING STARTING FROM OCTOBER 8, 2025 LM  WILL PROVIDE A MEMO FOR THE FIRST BLAST ON PILLARS.OFFICIALLY STARTED ITS FIRST BLASTING ON OCTOBER 20, 2025. ALL CLEANING ACTIVITIES ARE STOPPED. TEMPORARY STOPPED ON NOVEMBER 11, 2025 DUE TO DELAYS EXPERIENCED WITH L08_GHVHW_070E_DW_ISL, AIR PRESSURE CONCERNS.RESUMED FOR OPERATIONS ON MARCH 14, 2026. REPLACEMENT OF L08_GHVHW_070E_ROBBING.  TEMPORARY STOPPED ON MARCH 13, 2026 DUE TO LACK OF MANPOWER. RESUMED ON MARCH 26, 2026. MANPOWER TRANSFER FROM LEVEL 9. MINE GEOLOGY RECOMMENDS TO STOP THIS HEADING SINCE IT PRODUCED CONSECUTIVE LOW ASSAY GRADES. STOPPED ON MAY 25, 2026</t>
  </si>
  <si>
    <t>L425_GHVSPLIT_077E_DW</t>
  </si>
  <si>
    <t>L12_GHVSPLIT_056E_DW</t>
  </si>
  <si>
    <t>REPLACEMENT OF L12_NONE_075E_XCS. APPROVED ON APRIL 30, 2026.STOPPED ON MAY 23, 2026, WILL BE CONVERTED TO CROSSCUT TO TARGET DRILLING INTERCEPT.</t>
  </si>
  <si>
    <t>L12_NONE_075E_XCN</t>
  </si>
  <si>
    <t>REPLACEMENT OF L12_DPVE_075E_DE. APPROVED ON MAY 23, 2026.</t>
  </si>
  <si>
    <t>L09_GHV_009E_ROBBING</t>
  </si>
  <si>
    <t>ADDITIONAL WORKING PLACE OF L09. JOINT MANPOWER WITH L09_NONE_008E_XCS. APPROVED ON MAY 25, 2026</t>
  </si>
  <si>
    <t>REPLACEMENT OF L09_JV_050E_FILL WINZE. SILL PILLAR ROBBING. APPROVED ON APRIL 14, 2026.TEMPORARY STOPPED ON MAY 5, 2026 DUE TO RECOMMENDATION OF SAFETY DEPARTMENT TO DO GEOTECHNICAL ASSESSMENT. RESUME ON MAY 25, 2026 AFTER GEOTECH ASSESSMENT (NO SIGNIFICANT GROUND INSTABILITY HAS BEEN OBSERVED WITHIN THE AREA).</t>
  </si>
  <si>
    <t>REPLACEMENT OF L460_NONE_053E_XCS. APPROVED ON MARCH 25, 2026. TEMPORARY STOPPED ON MARCH 28, 2026, DUE TO PRIORITIZATION OF L460_GHV_052E_DE.RESUME ON MAY 16, 2026. REPLACEMENT OF L460_GHV_052E_DE. TO DRIVE APPROXIMATE 8.6 METERS. STOPPED ON MAY 25, 2026. ALREADY MADE A BREAKTHROUGH.</t>
  </si>
  <si>
    <t>L460_GHVSPLIT_059E_DW</t>
  </si>
  <si>
    <t>L08_DPVE_032E_DE_ISL_A</t>
  </si>
  <si>
    <t>DE_ISL_A</t>
  </si>
  <si>
    <t>REPLACEMENT OF L08_DPVE_067E_ROBBING. APPROVED ON JANUARY 8, 2026.TEMPORARY STOPPED ON APRIL 14, 2026 TO PRIORITIZE THE INSTALLATION OF CHINAMAN CHUTE.RESUMED FOR OPERATIONS ON APRIL 18, 2026. CHINAMAN CHUTE WAS SUCCESSFULLY INSTALLED.TEMPORARY STOPPED ON MAY 8, 2026 DUE TO UNSAFE CONDITION OBSERVED AND SUBJECT FOE EVALUATION.RESUMED FOR OPERATIONS ON MAY 26, 2026. HEADING CONDITION WAS EVALUATED AND CORRECTED. MANPOWER FROM L08_GHV_068E_ROBBING.</t>
  </si>
  <si>
    <t>REPLACEMENT OF L10_DPVE_012W_DW. APPROVED ON APRIL 28, 2026. TEMPORARY STOPPED ON APRIL 28, 2026 DUE TO INADEQUATE MANPOWER TO OPERATE.RESUMED FOR OPERATIONS ON APRIL 30, 2026. ADEQUATE MANPOWER TO OPERATE THE AREA.TEMPORARY STOPPED ON MAY 22, 2026. MANPOWER WAS TRANSFERED TO L425.RESUMED FOR OPERATIONS ON MAY 26, 2026. MANPOWER ISSUE WAS SOLVED.</t>
  </si>
  <si>
    <t>L460_GHVSPLIT_062E_DE</t>
  </si>
  <si>
    <t>ADDITIONAL WORKING PLACE. APPROVED ON MAY 26, 2026.</t>
  </si>
  <si>
    <t>REPLACEMENT OF L12_NONE_047E_XCN. APPROVED ON APRIL 21, 2026.CHANGE TEAM LEADER FROM CAYMAN TO DUHIG, P DUE TO NEAR WORKPLACES OF DUHIG IN DPVE. APPROVED ON APRIL 23, 2026.STOPPED ON MAY 26, 2026, DUE TO CONSECUTIVE LOW ASSAY GRADES ON CUT AND BULK SAMPLES.</t>
  </si>
  <si>
    <t>REPLACEMENT OF L460_NONE_051E_XCN. APPROVED ON MAY 25, 2026.TEMPORARY STOPPED ON MAY 26, 2026, TO PRIORITIZE THE DEVELOPMENT OF EXPLOSIVE MAGAZINE.</t>
  </si>
  <si>
    <t>L12_DPVE_060E_DW</t>
  </si>
  <si>
    <t>REPLACEMENT OF L12_DPVE_051E_DE. APPROVED ON MAY 26, 2026.</t>
  </si>
  <si>
    <t>REPLACEMENT OF L11_DPVE_008W_DW. APPROVED ON MARCH 06, 2026.  TEMPORARY STOPPED ON MARCH 24, 2026, DUE TO INSUFFICIENT MANPOWER TO OPERATE THE HEADING.  RESUMED ON APRIL 17, 2025. JOINED MANPOWER WITH L11_DPVE_008W_DW.STOPPED ON MAY 26, 2026. ALREADY REACHED THE DESIRED SLOPE DISTANCE AND IS NOW FOR NON-PROGRESSIVE RE-WIREFRAME AND DESIGN.</t>
  </si>
  <si>
    <t>REPLACEMENT OF L12_DPVE_018E_DW. APPROVED ON APRIL 28, 2026. TEMPORARY STOPPED ON MAY 07, 2026 (3RD SHIFT), TO PRIORITIZED INSTALLATION OF GROUND SUPPORTS IN L12_DPVE_018E_DW MAINLINE.RESUME ON MAY 13, 2026.CHANGE TEAM LEADER FROM NITRO BM TO HAGANAS, DUE TO LACK OF MANPOWER OF NITRO BM. APPROVED ON MAY 18, 2026.TEMPORARY STOPPED ON MAY 27, 2026, TO PRIORITIZED L12_GHV_025E_DW.</t>
  </si>
  <si>
    <t>L11_DPVE_010W_DW</t>
  </si>
  <si>
    <t>REPLACEMENT OF L11_DPVE_009W_RAISE. APPROVED ON MAY 27, 2026.</t>
  </si>
  <si>
    <t>L460_GHVSPLIT_049E_DW</t>
  </si>
  <si>
    <t>z</t>
  </si>
  <si>
    <t xml:space="preserve">ADDITIONAL WORKPLACE OF L08. JOINT MANPOWER WITH L08_DPVE_034E_DW_ISL_A. FOR SLUSHER INSTALLATION AND LAYDOWN AREA, TO DRIVE 5 METERS ONLY. APPROVED ON MAY 7, 2026.STOPPED ON MAY 18, 2026. ALREADY REACHED THE DESIRED LENGTH FOR SLUSHER AREA. </t>
  </si>
  <si>
    <t>L09_DPVE_034E_DW_ISL_B</t>
  </si>
  <si>
    <t>REPLACEMENT OF L09_GHV_026E_RAISE. APPROVED ON MAY 6, 2026.RENAMED FROM L09_GHV_026E_DE_ISL TO L09_GHV_026E_DE_ISL_A. APPROVED ON MAY 28, 2026</t>
  </si>
  <si>
    <t>L09_GHV_026E_DE_ISL_A</t>
  </si>
  <si>
    <t>L11_DPVE_014W_RAISE</t>
  </si>
  <si>
    <t>L425_JVSPLIT_067E_RAISE</t>
  </si>
  <si>
    <t>REPLACEMENT OF L425_GHV_083E_RAISE. APPROVED ON MAY 26, 2026.</t>
  </si>
  <si>
    <t>L12_JV_077E_DW_ISL_A</t>
  </si>
  <si>
    <t>ADDITIONAL WORKING PLACE. APPROVED ON MAY 29, 2026.</t>
  </si>
  <si>
    <t>ADDITIONAL WORKPLACE OF L09. CORPO WITH L09_DPVE_029E_DE_ISL. TO DRIVE 5 METERS FOR LAYDWON AREA, WILL CONTINUE THE PRIORITIZATION OF DRIFT EAST AFTER. APPROVED ON JANUARY 16, 2026. MINE GEOLOGY RECOMMENDS TO TEMPORARY STOP THIS HEADING, ALREADY REACHED THE 5 METERS ADVANCE. STOPPED ON JANUARY 24, 2026.RESUMED FOR OPERATIONS ON MAY 21, 2026. JOINT MANPOWER WITH L09_DPVE_029E_WINZE STOPE PULLOUT.RENAMED FROM L09_DPVE_034E_DW_ISL TO L09_DPVE_034E_DW_ISL_B. APPROVED ON MAY 28, 2026.TEMPORARY STOPPED ON MAY 29, 2026. THE HEADING CANT PROCEED DUE TO THE EXCLUSION ZONE OF L10 EXPLOSIVE MAGAZINE.</t>
  </si>
  <si>
    <t>L425_GHVSPLIT_043E_STOPE PREP</t>
  </si>
  <si>
    <t>ADDITIONAL WORKING PLACE. MANPOWER JOINED WITH L425_JVFW_041E_STOPE. LOW DIPPING. SD-26-029. APPROVED ON MAY 29, 2026.</t>
  </si>
  <si>
    <t>ADDITIONAL WORKPLACE OF L10 AS REPLACEMENT OF L10_JV_065E_ROBBING. SILL PILLAR ROBBING. APPROVED ON APRIL 29, 2026.STOPPED ON MAY 27, 2026. ALREADY FINISHED HEADING.</t>
  </si>
  <si>
    <t>ADDITIONAL WORKPLACE OF NITRO CG. APPROVED ON APRIL 22, 2026. STOPE ID: SD-26-091. STOPPED ON MAY 29, 2026, WILL BE CONVERTED TO STOPE BREAKING.</t>
  </si>
  <si>
    <t>REPLACEMENT OF L12_JVHW_048E_STOPE PREP. APPROVED ON MAY 29, 2026.</t>
  </si>
  <si>
    <t>L12_JVHW_048E_STOPE</t>
  </si>
  <si>
    <t>REPLACEMENT OF L08_JV_045E_DW_ISL. STOPE ID: SD-26-109 (HIGH DIP).  APPROVED ON MAY 05, 2026. STOPPED ON MAY 29, 2026, WILL BE CONVERTED TO STOPE BREAKING.</t>
  </si>
  <si>
    <t>L08_JV_049E_WINZE_STOPE</t>
  </si>
  <si>
    <t>RobC 80</t>
  </si>
  <si>
    <t>REPLACEMENT OF L08_JV_024E_WINZE. APPROVED ON FEBRUARY 28, 2026. TRANSFER OF TEAM LEADER FROM NITRO CF TO NITRO CM SINCE NITRO CF IS DISSOLVED DUE TO FAILURE ON OVERALL EVALUATION, AND WHOLE GROUP WILL BE UNDER NEW TL (JESSIE CARIKITAN). EFFECTIVE MARCH 01, 2026.TEMPORARY STOPPED ON MAY 5, 2026 TO PRIORITIZE THE RAISE IN THE SAME AREA. RESUMED ON MAY 09, 2026. MANPOWER JOINED WITH L08_JV_027E_RAISE. RENAME FROM L08_JV_026E_DW_ISL TO L08_JV_026E_DW_ISL_B. TEMPORARY STOPPED TO PRIORITIZE STOPE PREPARATION. APPROVED ON MAY 15, 2026.RESUMED FOR OPERATIONS ON MAY 22, 2026, JOINT MANPOWER WITH L08_JV_026E_WINZE STOPE PREP. AT THE SAME TIME CHANGED NAME FROM L08_JV_026E_DW_ISL_B TO L08_JV_024E_DW_ISL_B. TEMPORARY STOPPED ON MAY 29 2026 TO PRIORITIZE THE L08_JV_026E_WINZE STOPE PREP.</t>
  </si>
  <si>
    <t>REPLACEMENT OF L10_JVSPLIT_066E_ROBBING. APPROVED ON MAY 27, 2026. SILL PILLAR.</t>
  </si>
  <si>
    <t>REPLACEMENT OF L425_JVHW_076E_DE APPROVED ON APRIL 24, 2026.</t>
  </si>
  <si>
    <t>REPLACEMENT OF L425_JVFW_041E_STOPE PREP. APPROVED ON JANUARY 27, 2026.STOPPED BREAKING ON MAY 29, 2026. RECOMMENDED FOR ACTIVE STOPE PULL-OUT.</t>
  </si>
  <si>
    <t>MANPOWER FROM L425_GHVHW_055E_RAISE. SD-26-086. LOW DIPPING. APPROVED ON MAY 10, 2026.STOPPED THIS WORKPLACE. CONVERTED TO BREAKING. STOPPED ON MAY 1, 2026.</t>
  </si>
  <si>
    <t>REPLACEMENT OF L425_JV_031E_STOPE PREP. CHECKLIST TO BE FOLLOW. APPROVED ON MAY 15, 2026.</t>
  </si>
  <si>
    <t>L425_JV_031E_STOPE</t>
  </si>
  <si>
    <t>REPLACEMENT OF L425_DPVE_043E_STOPE PREP. APPROVED ON MARCH 4, 2026.TEMPORARY STOPPED DUE TO LACK OF MANPOWER TO OPERATE. TEMPORARY STOPPED ON APRIL 30, 2026. RESUME ON MAY 09, 2026. MANPOWER FROM L425_GHV_083E_RAISE. CHANGE TEAM LEADER FROM OLIVEROS TO LERIO. APPROVED ON MAY 09, 2026.CHANGED TEAMLEADER FROM LERIO TO OLIVEROS. MANPOWER FROM L425_JV_033E_RAISE. LERIO GROUP WILL INSTALL WIREMESH AT DRILLING CHAMBER. APPROVED ON MAY 19, 2026.STOPPED THIS HEADING DUE TO UNSAFE CONDITION. STOPPED ON MAY 28, 2026.</t>
  </si>
  <si>
    <t>REPLACEMENT OF L425_JVSPLIT_057E_RAISE. APPROVED ON MARCH 27, 2026.CHANGE TEAMLEADER FROM CAPPUYO 2 TO NITRO CO (DAAROL) APPROVED ON APRIL 16, 2026.MINE GEOLOGY RECOMMENDS TO STOP THIS HEADING DUE TO PINCHED OUT VEIN. STOPPED ON MAY 25, 2026.</t>
  </si>
  <si>
    <t>REPLACEMENT OF L425_DPVE_049E_RAISE . APPROVED ON APRIL 14,2026.STOPPED THIS HEADING. ALREADY MADE A BREAKTHROUGH. STOPPED ON MAY 29, 2026.</t>
  </si>
  <si>
    <t>L425_GHV_059E_WINZE</t>
  </si>
  <si>
    <t>REPLACEMENT OF L425_GHVHW_066E_WINZE. APPROVED ON JUNE 2, 2026.</t>
  </si>
  <si>
    <t>REPLACEMENT OF L08_JV_011W_RAISE. APPROVED ON MAY 3, 2026.MINE GEOLOGY RECOMMENDS TO STOP THIS HEADING DUE TO PINCHED OUT VEIN CUT BY A FAULT. STOPPED ON JUNE 2, 2026</t>
  </si>
  <si>
    <t>REPLACEMENT OF L08_GHV_004E_ROBBING. APPROVED ON MAY 14, 2026.TEMPORARY STOPPED ON MAY 27, 2026 DUE TO INSUFFICIENT MANPOWER CAUSED BY ABSENTEEISM. RESUMED FOR OPERATIONS ON MAY 30, 2026. REQUIRED MANPOWER IS AVAILABLE TO OPERATE THE AREA.MINE GEOLOGY RECOMMENDS TO STOP THIS HEADING TO DO THE ADVANCE OF ITS ISL. STOPPED ON MAY 28, 2026.</t>
  </si>
  <si>
    <t>L08_GHV_007E_DW_ISL_A</t>
  </si>
  <si>
    <t>DVA 74</t>
  </si>
  <si>
    <t>REPLACEMENT OF L10_DPVE_018W_RAISE. APPROVED ON APRIL 28, 2026.TEMPORARY STOPPED ON MAY 21, 2026 DUE TO ABSENTEEISM OF MANPOWER. RESUMED FOR OPERATIONS ON JUNE 2, 2026. AT THE SAME TIME CHANGED TEAMLEADER FROM LARGO 1 TO NITRO CN. MANPOWER FROM L08.</t>
  </si>
  <si>
    <t>ALIMAK_SUMP</t>
  </si>
  <si>
    <t xml:space="preserve">REPLACEMENT OF L08_GHV_007E_RAISE. APPROVED ON MAY 28, 2026.STOPPED ON JUNE 3, 2026. THE HEADING ENCOUNTERED INCLINED RAISE AND DECIDED TO BE CONVERTED TO ROBBING. </t>
  </si>
  <si>
    <t>L08_GHV_006E_ROBBING</t>
  </si>
  <si>
    <t>REPLACEMENT OF L08_GHV_007E_DW_ISL_A. APPROVED ON JUNE 3, 2026</t>
  </si>
  <si>
    <t>L12_GHV_023E_DW</t>
  </si>
  <si>
    <t>REPLACEMENT OF L12_NONE_002E_XCN. APPROVED ON MAY 27, 2026.CHNAGED NAME FROM L12_GHV_025E_DW TO L12_GHV_023E_DW TO AVOID MISCHARGING WITH OTHER HEADING. APPROVED ON MAY 30, 2026</t>
  </si>
  <si>
    <t>REPLACEMENT OF L12_DPVE_022E_STOPE_PREP. APPROVED ON NOVEMBER 11, 2025. TEMPORARY STOPPED ON DECEMBER 12, 2025, PINCHED ON THE CURRENT BACK OF THE STOPE, AND TO PRIORITIZED L12_DPVE_022E_RAISE TO FURTHER EXPLORE VEIN CONTINUATION.RESUMED FOR OPERATIONS ON MARCH 2, 2026. MANPOWER FROM L12_DPVE_022E_DE_ISL. RENAME FROM L12_JVFW_022E_STOPE TO L12_DPVE_022E_STOPE. APPROVED ON MARCH 28, 2026.STOPPED STOPE BREAKING ON MAY 19, 2026. WILL BE CONVERTED TO STOPEPULL-OUT.REPLACEMENT OF L12_DPVE_022E_STOPE  BREAKING. APPROVED ON MAY 19, 2026.STOPPED ON MAY 30, 2026. ALREADY MINED OUT, WITH 98% STOPE PULL-OUT ATTAINMENT.</t>
  </si>
  <si>
    <t>REPLACEMENT OF L460_GHVSPLIT_059E_DW. ON-VEIN DRIVE TO BE CONVERTED TO EXPLOSIVE MAGAZINE. APPROVED ON MAY 27, 2026.STOPPED ON JUNE 03, 2026, WILL BE CONVERTED TO OFF-VEIN.</t>
  </si>
  <si>
    <t xml:space="preserve">REPLACEMENT OF L425_GHV_078E_STOPE. APRROVED ON NOVEMBER 20, 2025.CONVERTED TO STOPE PULL OUT ON APRIL 17, 2026.CHANGED TEAMLEADER FROM DUHIG R. TO NITRO BV. DUHIG, R GROUP IS NOW TRANSFEREDED TO LEVEL 460. APPROVED ON MAY 6, 2026.STOPPED ON JUNE 4, 2026 DUE TO CONSECUTIVE LOW ASSAY GRADES ON BULK SAMPLES. PULL OUT ATTAINMENT AT 97%. </t>
  </si>
  <si>
    <t>REPLACEMENT OF L460_GHVSPLIT_049E_DW. SPECIAL PROJECT: EXPLOSIVE CHAMBER. APPROVED ON JUNE 05, 2026.</t>
  </si>
  <si>
    <t>L460_NONE_049E_XCN</t>
  </si>
  <si>
    <t>ADDITIONAL WORKING PLACE. MANPOWER JOINED WITH L11_DPVE_012W_DE. APPROVED ON MAY 27, 2026.RENAME FROM L11_DPVE_011W_RAISE TO L11_DPVE_014W_RAISE TO AVOID MISCHARGING FROM L11_DPVE_011E_DW. APPROVED ON MAY 28, 2026. CHANGE TEAM LEADER FROM MAPAYO TO NITRO BB DUE TO PRIORITIZATION OF WORKPLACE. APPROVED ON JUNE 04, 2026 (3RD SHIFT).</t>
  </si>
  <si>
    <t>REPLACEMENT OF L12_JVFW_035E_STOPE. TO DRIVE ONLY 3 METERS. APPROVED ON MAY 23, 2026. STOPPED ON JUNE 04, 2026. ALREADY MADE A BREAKTHROUGH.</t>
  </si>
  <si>
    <t>L12_GHVSPLIT_057E_STOPE PREP</t>
  </si>
  <si>
    <t>REPLACEMENT OF L12_GHVSPLIT_056E_DW. STOPE ID: SD-26-164. APPROVED ON JUNE 05, 2026.</t>
  </si>
  <si>
    <t>REPLACEMENT OF L425_GHVHW_055E_DE APPROVED ON APRIL 21, 2026.TEMPORARY STOP THIS HEADING DUE TO MANPOWER ISSUE. STOPPED ON APRIL 26, 2026. RESUME ON MAY 08, 2026. MANPOWER JOINED WITH L425_GHV_067E_STOPE. CHANGE TEAM LEADER FROM OLIVEROS TO BAÑEZ 4. APPROVED ON MAY 08, 2026. STOPPED ON JUNE 6, 2026. ALREADY REACHED THE RECOMMENDED SLOPE HEIGHT.</t>
  </si>
  <si>
    <t>REPLACEMENT OF L425_JVFW_042E_STOPE PREP. APPROVED ON FEBRUARY 17, 2026. STOPPED BREAKING ON JUNE 1, 2026. RECOMMENDED FOR ACTIVE STOPE PULLOUT.</t>
  </si>
  <si>
    <t>REPLACEMENT OF L425_GHV_082E_RAISE APPROVED ON APRIL 17, 2026.TEMPORARY STOPPED DUE TO INSUFFICIENT MANPOWER. EFFECTIVE ON MAY 29, 2026. RESUMED FOR OPERATIONS ON JUNE 3, 2026. ENOUGH MANPOWER ALLOCATION. MANPOWER FROM L425_DPVE_050E_RAISE.</t>
  </si>
  <si>
    <t>L425_GHVHW_061E_RAISE</t>
  </si>
  <si>
    <t>REPLACEMENT OF L09_DPVE_085E_WINZE. APPROVED ON APRIL 19, 2026.ADDITIONAL WORKING PLACE, JOINED MANPOWER WITH L09_DPVE_086E_DW_ISL_B. DRIFT EAST OF L09_DPVE_086E_DW_ISL_B. APPROVED ON APRIL 19, 2026.TEMPORARY STOPPED ON APRIL 22, 2026. MADE A BREAKTHROUGH AND WILL PRIORITIZE THE DRIFT EAST WHILE THE REHAB ON BREAKTHROUGH IS ONGOING. RESUMPTION OF THIS WORKPLACE, REPLACEMENT OF L09_DPVE_086E_DE_ISL_B APPROVED ON APRIL 26, 2026.RESUMPTION OF THIS WORKPLACE, REPLACEMENT OF L09_DPVE_086E_DE_ISL_B APPROVED ON APRIL 26, 2026. TEMPORARY STOPPED ON MAY 28, 2026 TO PRIORITIZE L09_DPVE_086E_DE_ISL_B QUIJANO. RESUMED FOR OPERATIONS ON JUNE 6, 2026. PRIORITY HEADING</t>
  </si>
  <si>
    <t>ADDITIONAL WORKPLACE. SPECIAL PROJECT FOR L460 VENTILATION. APPROVED ON SEPTEMBER 30, 2025. TEMPORARY STOPPED ON FEBRUARY 11, 2026. PRIORITIZE DRIVING ISL. STOPPED ON JUNE 6, 2026. ALREADY FINISHED HEADING</t>
  </si>
  <si>
    <t>REPLACEMENT OF L11_DPVE_038E_RAISE. STOPE ID: SD-26-124. APPROVED ON MAY 11, 2026. LOW DIP.STOPPED ON JUNE 06, 2026, WILL BE CONVERTED TO STOPE BREAKING.</t>
  </si>
  <si>
    <t>L11_DPVE_040E_WINZE STOPE</t>
  </si>
  <si>
    <t>REPLACEMENT OF L11_DPVE_040E_WINZE STOPE PREP. APPROVED ON JUNE 06, 2026.</t>
  </si>
  <si>
    <t>ADDITIONAL WORKING PLACE. APPROVED ON JANUARY 17, 2026. LOW DIP. TEMPORARY STOPPED ON FEBRUARY 05, 2026, TO PRIORITIZE L11_DPVE_043E_DE_ISL. RESUMED ON MAY 16, 2026 REPLACEMENT OF L11_DPVE_096E_RAISE. CHANGE TEAM LEADER FROM GOC-ONG TO  BAÑEZ DUE TO AVAILABILITY OF MANPOWER. STOPPED ON JUNE 06, 2026, WILL BE CONVERTED TO STOPE BREAKING.</t>
  </si>
  <si>
    <t>REPLACEMENT OF L11_DPVE_044E_STOPE PREP. APPROVED ON JUNE 06, 2026.</t>
  </si>
  <si>
    <t>REPLACEMENT OF L12_DPVE_049E_DW_ISL. APPROVED ON DECEMBER 05, 2025.TEMPORARY STOPPED ON DECEMBER 19, 2025, DUE TO INSUFFICIENT MANPOWER TO OPERATE THE HEADING. RESUME ON JANUARY 17, 2026.  TEMPORARY STOPPED ON FEBRUARY 12, 2026 DUE TO INSUFFICIENT MANPOWER TO OPERATE THE HEADING. WILL BE RESUMED AFTER FINALIZING THE MANPOWER LINE-UP.RESUME ON MAY 23, 2026. MANPOWER FROM REHAB OF L11_DPVE_050E_WINZE.STOPPED ON JUNE 05, 2026. ALREADY REACH THE TARGET SLOPE DISTANCE, WILL BE CONVERTED TO STOPE PREP.</t>
  </si>
  <si>
    <t>L12_DPVE_047E_STOPE PREP</t>
  </si>
  <si>
    <t>REPLACEMENT OF L12_DPVE_047E_RAISE. STOPE ID: SD-26-163. APPROVED ON JUNE 06, 2026.</t>
  </si>
  <si>
    <t>REPLACEMENT OF L12_DPVE_018E_DW. APPROVED ON MARCH 10, 2026.TEMPORARY STOPPED ON MARCH 18, 2026, TO PRIORITIZED L12_DPVE_018E_DW. RESUME ON APRIL 07, 2026. MANPOWER FROM L12_JVFW_037E_STOPE.TEMPORARY STOPPED ON JUNE 07, 2026, TO PRIORITIZED TIMBERING.</t>
  </si>
  <si>
    <t>L11_DPVE_015E_DE</t>
  </si>
  <si>
    <t>GOC-ONG 2</t>
  </si>
  <si>
    <t>ADDITIONAL WORKING PLACE. MANPOWER JOINED WITH L11_DPVE_011E_DW. APPROVED ON JUNE 07, 2026.</t>
  </si>
  <si>
    <t>L08_NONE_043W_XCN</t>
  </si>
  <si>
    <t>ADDITIONAL WORKPLACE OF L08. APPROVED ON JUNE 6, 2026</t>
  </si>
  <si>
    <t>SPECIAL PROJECT. MANPOWER FROM L09_DPVE_075E_ROBBING. MAINLINE CLEANING FOR BACK UP ACCESS. APPROVED ON MARCH 27, 2026. CHANGE TEAM LEADER FROM FERNANDEZ TO NITRO BT. APPROVED ON MARCH 27, 2026. Change Team Leader from Nitro BT to Fernandez. Effective Date: May 6, 2026.STOPPED ON JUNE 6, 2026. AREADY FINISHED HEADING</t>
  </si>
  <si>
    <t>NEW WORKING PLACE FOR LEVEL 9. SPECIAL PROJECT TO ACCESS THE BACK UPS FOR FUTURE DEVELOPMENT. APPROVED ON FEBRUARY 23, 2026.STOPPED ON JUNE 6, 2026. AREADY FINISHED HEADING</t>
  </si>
  <si>
    <t>REPLACEMENT OF L09_DPVE_029E_WINZE STOPE PREP. APPROVED ON MARCH 28, 2026.STOPPED BREAKING ON MAY 19, 2026. RECOMMENDED FOR ACTIVE STOPE PULLOUT.STOPPED ON JUNE 7, 2026. ALREADY FINISHED HEADING WITH 124% PULLOUT.</t>
  </si>
  <si>
    <t>REPLACEMENT OF L09_DPVE_029E_WINZE STOPE. TOP SLICE ROBBING. APPROVED ON JUNE 7, 2026</t>
  </si>
  <si>
    <t>L460_GHVSPLIT_052E_RAISE</t>
  </si>
  <si>
    <t>ADDITIONAL WORKPLACE OF L460. JOINT MANPOWER WITH L460_GHVSPLIT_054E_DW. APPROVED ON JUNE 8, 2026</t>
  </si>
  <si>
    <t>REPLACEMENT OF L10_JV_027W_DW. SD-26-122 LOW DIP. APPROVED ON MAY 9, 2026.STOPPED ON JUNE 6, 2026. RECOMMENDED FOR ACTIVE STOPE BREAKING</t>
  </si>
  <si>
    <t>REPLACEMENT OF L08_JV_023E_STOPE. TOP SLICE PILLAR ROBBING. APPROVED ON APRIL 16, 2026. TEMPORARY STOPPED ON JUNE 4, 2026. PRIORITIZED THE HOISTING OF TIMBERS.RESUMED FOR OPERATIONS ON JUNE 6, 2026. ALREADY FINISHED HOISTING OF TIMBERS.</t>
  </si>
  <si>
    <t>REPLACEMENT OF L425_JVSPLIT_060E_RAISE. APPROVED ON MARCH 21, 2026. TEMPORARY STOPPED TO PRIORITIZE L425_GHVHW_066E_WINZE NEW WORKPLACE. TEMPORARY STOPPEDON MARCH 27, 2026.RESUMPTION OF THIS WORKPLACE, REPLACEMENT OF L425_DPVE_031E_RAISE AT THE SAME TIME CHANGE TEAM LEADER FROM CAPPUYO 2 TO NITRO CO APPROVED ON APRIL 18, 2026.TEMPORARY STOP THIS HEADING DUE TO MANPOWER ISSUE. STOPPED ON APRIL 26, 2026.RESUMED ON MARCH 7, 2025.  REDISTRIBUTION OF RESTDAYS TO AVOID ABANDONEMENT. HIGH DIP RAISE. CONVERTED TO PULL-OUT CLEANING ON JUNE 06, 2026.</t>
  </si>
  <si>
    <t xml:space="preserve">REPLACEMENT OF L425_GHVSPLIT_069E_RAISE. APPROVED ON MAY 10, 2026.TEMPORARY STOPPED THIS HEADING DUE TO PRIORITIZATION OF L425_GHVSPLIT_077E_DW. APPROVED ON MAY 28, 2026.RESUMED FOR OPERATIONS ON JUNE 9, 2026. ENOUGH MANPOWER TO OPERATE THE AREA, AT THE SAME TIME CHANGED TEAMLEADER FROM REBOTE TO NITRO CO. </t>
  </si>
  <si>
    <t>ADDITIONAL WORKPLACE OF L425. APPROVED ON JUNE 6, 2026. MANPOWER FROM L425_GHVHW_055E_RAISE.TEMPORARY STOPPED ON JUNE 8, 2026. MANPOWER WILL BE ASSIGNED TO RAISE BORING CHAMBER.</t>
  </si>
  <si>
    <t>REPLACEMENT OF L425_GHVSPLIT_069E_RAISE. APPROVED ON MAY 7, 2026. TEMPORARY STOPPED ON MAY 11, 2025. DUE TO MANPOWER UNAVAILABILITY. RESUMED FOR OPERATIONS ON JUNE 9, 2026. MANPOWER FROM L425_JVSPLIT_061E_RAISE. AT THE SAME TIME CHANGED TEAMLEADER FROM REBOTE TO OLIVEROS.</t>
  </si>
  <si>
    <t>L10_JV_028W_STOPE</t>
  </si>
  <si>
    <t>REPLACEMENT OF L10_JV_028W_STOPE PREP. APPROVED ON JUNE 6, 2026</t>
  </si>
  <si>
    <t>ADDITIONAL WORKPLACE OF L425. JOINT MANPOWER WITH L425_GHVSPLIT_047E_STOPE. HIGH DIP STOPE SD-25-101. APPROVED ON MAY 14, 2026.STOPPED ON JUNE 6, 2026. ALREADY FINISHED PREPARATIONS. RECOMMENDED FOR ACTIVE STOPE BREAKING.</t>
  </si>
  <si>
    <t>L425_GHV_058E_STOPE</t>
  </si>
  <si>
    <t>REPLACEMENT OF L425_GHV_058E_STOPE PREP. APPROVED ON JUNE 6, 2026.</t>
  </si>
  <si>
    <t>L425_GHV_069E_STOPE PREP</t>
  </si>
  <si>
    <t>ADDITIONAL WORKPLACE OF L425. JOINT MANPOWER WITH L425_JVFW_042E_STOPE. SD-26-072 HIGH DIPPING STOPE.</t>
  </si>
  <si>
    <t>REPLACEMENT OF L08_DPVE_034E_STOPE. APPROVED ON MAY 7, 2026.MINE GEOLOGY RECOMMENDS TO STOP THIS HEADING DUE TO CONSECUTIVE LOW ASSAY GRADES. STOPPED ON JUNE 8, 2026</t>
  </si>
  <si>
    <t>L08_JVSPLIT_051E_ROBBING</t>
  </si>
  <si>
    <t xml:space="preserve">REPLACEMENT OF L09_JV_051E_ROBBING. APPROVED ON MAY 6, 2026.TEMPORARY STOPPED ON MAY 29, 2026 DUE TO LOW PERFORMANCE OF MANPOWER.RESUMED FOR OPERATIONS ON JUNE 2, 2026. MANPOWER ISSUE WAS RESOLVED.TEMPORARY STOPPED ON JUNE 8, 2026. HAS 4 METERS BALANCE TO BREAKTHROUGH TO OLD STOPE, NOT FOR BREAKTHROUGH. WAITING FOR WIREFRAME. </t>
  </si>
  <si>
    <t>L12_GHVFW_033E_RAISE</t>
  </si>
  <si>
    <t>REPLACEMENT OF L12_DPVE_005E_RAISE. APPROVED ON JUNE 10, 2026</t>
  </si>
  <si>
    <t>ADDITIONAL WORKING PLACE. MANPOWER JOINED WITH L425_GHVSPLIT_079E_DE. APPROVED ON MAY 25, 2026.STOPPED THIS HEADING DUE TO PINCHED OUT VEIN. STOPPED ON JUNE 10, 2026.</t>
  </si>
  <si>
    <t>L425_JVHW_078E_DE</t>
  </si>
  <si>
    <t>REPLACEMENT OF L425_GHV_029E_RAISE. APPROVED ON MARCH 29, 2026. TEMPORARY STOPPED TO ADVANCE AT L425_NONE_070E_XCN APPROVED ON APRIL 24, 2026.RESUME THIS HEADING ON APRIL 30, 2026. CHANGE TEAMLEADER FROM BAÑEZ TO DELOS REYES DUE TO WORKPLACE PRIORITIZATION. APPROVED ON APRIL 30, 2026.RENAME THIS HEADING FROM L425_JVHW_076E_DE TO L425_JVHW_078E_DE FOR PROPER WASTE AND ORE SEGREGATION. APPROVED ON JUNE 10, 2025.</t>
  </si>
  <si>
    <t>REPLACEMENT OF L12_GHVSPLIT_044E_DW. APPROVED ON MAY 05, 2026.TEMPORARY STOPPED ON JUNE 8, 2026. PRIORITIZED THE TMBER REPLACEMENT IN THE AREA.</t>
  </si>
  <si>
    <t>REPLACEMENT OF L08_DPVE_034E_DW_ISL_A. APPROVED ON JUNE 9, 2026. IN SITU ROBBING.TEMPORARY STOPPED ON JUNE 10, 2026. NO AVAILABLE MANPOWER TO OPERATE THE HEADING.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</si>
</sst>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_(* #,##0.00_);_(* \(#,##0.00\);_(* &quot;-&quot;??_);_(@_)"/>
    <numFmt numFmtId="165" formatCode="_(* #,##0_);_(* \(#,##0\);_(* &quot;-&quot;??_);_(@_)"/>
    <numFmt numFmtId="166" formatCode="_-* #,##0_-;\-* #,##0_-;_-* &quot;-&quot;??_-;_-@_-"/>
    <numFmt numFmtId="167" formatCode="_(* #,##0.0_);_(* \(#,##0.0\);_(* &quot;-&quot;??_);_(@_)"/>
    <numFmt numFmtId="168" formatCode="[$-409]mmmm\ d\,\ yyyy;@"/>
    <numFmt numFmtId="169" formatCode="[$-3409]dd\-mmm\-yy;@"/>
  </numFmts>
  <fonts count="53" x14ac:knownFonts="1">
    <font>
      <sz val="11"/>
      <color theme="1"/>
      <name val="Calibri"/>
      <family val="2"/>
      <scheme val="minor"/>
    </font>
    <font>
      <sz val="10"/>
      <color theme="1"/>
      <name val="Calibri Light"/>
      <family val="2"/>
    </font>
    <font>
      <sz val="10"/>
      <color theme="1"/>
      <name val="Calibri Light"/>
      <family val="2"/>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2"/>
      <color theme="1"/>
      <name val="Calibri"/>
      <family val="2"/>
      <scheme val="minor"/>
    </font>
    <font>
      <b/>
      <sz val="20"/>
      <color theme="1"/>
      <name val="Calibri"/>
      <family val="2"/>
      <scheme val="minor"/>
    </font>
    <font>
      <sz val="9"/>
      <color indexed="81"/>
      <name val="Tahoma"/>
      <family val="2"/>
    </font>
    <font>
      <b/>
      <sz val="9"/>
      <color indexed="81"/>
      <name val="Tahoma"/>
      <family val="2"/>
    </font>
    <font>
      <sz val="11"/>
      <color theme="1"/>
      <name val="Calibri"/>
      <family val="2"/>
      <scheme val="minor"/>
    </font>
    <font>
      <sz val="16"/>
      <color theme="1"/>
      <name val="Calibri"/>
      <family val="2"/>
      <scheme val="minor"/>
    </font>
    <font>
      <b/>
      <sz val="16"/>
      <color theme="1"/>
      <name val="Calibri"/>
      <family val="2"/>
      <scheme val="minor"/>
    </font>
    <font>
      <sz val="24"/>
      <color theme="1"/>
      <name val="Calibri"/>
      <family val="2"/>
      <scheme val="minor"/>
    </font>
    <font>
      <sz val="11"/>
      <color rgb="FFFF0000"/>
      <name val="Calibri"/>
      <family val="2"/>
      <scheme val="minor"/>
    </font>
    <font>
      <sz val="18"/>
      <color theme="1"/>
      <name val="Calibri"/>
      <family val="2"/>
      <scheme val="minor"/>
    </font>
    <font>
      <i/>
      <sz val="11"/>
      <name val="Candara"/>
      <family val="2"/>
    </font>
    <font>
      <i/>
      <sz val="11"/>
      <color theme="1"/>
      <name val="Candara"/>
      <family val="2"/>
    </font>
    <font>
      <b/>
      <i/>
      <sz val="11"/>
      <color rgb="FFFF0000"/>
      <name val="Candara"/>
      <family val="2"/>
    </font>
    <font>
      <sz val="11"/>
      <name val="Cooper Black"/>
      <family val="1"/>
    </font>
    <font>
      <sz val="11"/>
      <color rgb="FF9C0006"/>
      <name val="Calibri"/>
      <family val="2"/>
      <scheme val="minor"/>
    </font>
    <font>
      <b/>
      <i/>
      <sz val="20"/>
      <color rgb="FFFF0000"/>
      <name val="Candara"/>
      <family val="2"/>
    </font>
    <font>
      <sz val="8"/>
      <name val="Calibri"/>
      <family val="2"/>
      <scheme val="minor"/>
    </font>
    <font>
      <sz val="20"/>
      <color theme="1"/>
      <name val="Times New Roman"/>
      <family val="1"/>
    </font>
    <font>
      <sz val="12"/>
      <color indexed="81"/>
      <name val="Tahoma"/>
      <family val="2"/>
    </font>
    <font>
      <b/>
      <sz val="12"/>
      <color indexed="81"/>
      <name val="Tahoma"/>
      <family val="2"/>
    </font>
    <font>
      <b/>
      <sz val="18"/>
      <color theme="1"/>
      <name val="Calibri"/>
      <family val="2"/>
      <scheme val="minor"/>
    </font>
    <font>
      <sz val="12"/>
      <name val="Calibri"/>
      <family val="2"/>
      <scheme val="minor"/>
    </font>
    <font>
      <sz val="12"/>
      <color rgb="FFFF0000"/>
      <name val="Calibri"/>
      <family val="2"/>
      <scheme val="minor"/>
    </font>
    <font>
      <i/>
      <sz val="11"/>
      <color theme="1"/>
      <name val="Calibri"/>
      <family val="2"/>
      <scheme val="minor"/>
    </font>
    <font>
      <b/>
      <sz val="36"/>
      <color theme="1"/>
      <name val="Calibri"/>
      <family val="2"/>
      <scheme val="minor"/>
    </font>
    <font>
      <sz val="36"/>
      <color theme="1"/>
      <name val="Calibri"/>
      <family val="2"/>
      <scheme val="minor"/>
    </font>
    <font>
      <b/>
      <sz val="48"/>
      <color theme="1"/>
      <name val="Calibri"/>
      <family val="2"/>
      <scheme val="minor"/>
    </font>
    <font>
      <sz val="48"/>
      <color theme="1"/>
      <name val="Calibri"/>
      <family val="2"/>
      <scheme val="minor"/>
    </font>
    <font>
      <b/>
      <u/>
      <sz val="48"/>
      <color theme="1"/>
      <name val="Calibri"/>
      <family val="2"/>
      <scheme val="minor"/>
    </font>
    <font>
      <b/>
      <sz val="72"/>
      <color theme="1"/>
      <name val="Calibri"/>
      <family val="2"/>
      <scheme val="minor"/>
    </font>
    <font>
      <sz val="11"/>
      <color theme="1"/>
      <name val="Candara"/>
      <family val="2"/>
    </font>
    <font>
      <sz val="9"/>
      <color theme="1"/>
      <name val="Calibri"/>
      <family val="2"/>
      <scheme val="minor"/>
    </font>
    <font>
      <i/>
      <sz val="9"/>
      <color rgb="FFFF0000"/>
      <name val="Calibri"/>
      <family val="2"/>
      <scheme val="minor"/>
    </font>
    <font>
      <b/>
      <sz val="12"/>
      <color rgb="FF000000"/>
      <name val="Calibri"/>
      <family val="2"/>
    </font>
    <font>
      <b/>
      <sz val="11"/>
      <color rgb="FF000000"/>
      <name val="Calibri"/>
      <family val="2"/>
    </font>
    <font>
      <b/>
      <sz val="12"/>
      <color rgb="FFFF0000"/>
      <name val="Calibri"/>
      <family val="2"/>
      <scheme val="minor"/>
    </font>
    <font>
      <b/>
      <u/>
      <sz val="48"/>
      <color rgb="FFC00000"/>
      <name val="Calibri"/>
      <family val="2"/>
      <scheme val="minor"/>
    </font>
    <font>
      <sz val="11"/>
      <color theme="1" tint="4.9989318521683403E-2"/>
      <name val="Calibri"/>
      <family val="2"/>
      <scheme val="minor"/>
    </font>
    <font>
      <sz val="11"/>
      <color theme="3" tint="-0.499984740745262"/>
      <name val="Calibri"/>
      <family val="2"/>
      <scheme val="minor"/>
    </font>
    <font>
      <sz val="12"/>
      <color theme="2" tint="-0.89999084444715716"/>
      <name val="Calibri"/>
      <family val="2"/>
      <scheme val="minor"/>
    </font>
    <font>
      <b/>
      <i/>
      <u/>
      <sz val="48"/>
      <color theme="1"/>
      <name val="Calibri"/>
      <family val="2"/>
      <scheme val="minor"/>
    </font>
    <font>
      <sz val="9"/>
      <name val="Calibri"/>
      <family val="2"/>
      <scheme val="minor"/>
    </font>
    <font>
      <sz val="11"/>
      <color theme="1"/>
      <name val="Calibri"/>
      <family val="2"/>
    </font>
    <font>
      <b/>
      <sz val="48"/>
      <color rgb="FFC00000"/>
      <name val="Calibri"/>
      <family val="2"/>
      <scheme val="minor"/>
    </font>
    <font>
      <u/>
      <sz val="48"/>
      <color theme="1"/>
      <name val="Calibri"/>
      <family val="2"/>
      <scheme val="minor"/>
    </font>
    <font>
      <sz val="11"/>
      <color theme="2" tint="-0.89999084444715716"/>
      <name val="Calibri"/>
      <family val="2"/>
      <scheme val="minor"/>
    </font>
  </fonts>
  <fills count="3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00B0F0"/>
        <bgColor indexed="64"/>
      </patternFill>
    </fill>
    <fill>
      <patternFill patternType="solid">
        <fgColor theme="6"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0000"/>
        <bgColor indexed="64"/>
      </patternFill>
    </fill>
    <fill>
      <patternFill patternType="solid">
        <fgColor rgb="FF99FF99"/>
        <bgColor indexed="64"/>
      </patternFill>
    </fill>
    <fill>
      <patternFill patternType="solid">
        <fgColor theme="8" tint="0.59999389629810485"/>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FFCC"/>
        <bgColor indexed="64"/>
      </patternFill>
    </fill>
    <fill>
      <patternFill patternType="solid">
        <fgColor rgb="FFFFC7CE"/>
      </patternFill>
    </fill>
    <fill>
      <patternFill patternType="solid">
        <fgColor theme="9"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FFCCFF"/>
        <bgColor indexed="64"/>
      </patternFill>
    </fill>
    <fill>
      <patternFill patternType="solid">
        <fgColor rgb="FFFF99FF"/>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FFCCCC"/>
        <bgColor indexed="64"/>
      </patternFill>
    </fill>
    <fill>
      <patternFill patternType="solid">
        <fgColor rgb="FF99CCFF"/>
        <bgColor indexed="64"/>
      </patternFill>
    </fill>
    <fill>
      <patternFill patternType="solid">
        <fgColor theme="2" tint="-0.249977111117893"/>
        <bgColor indexed="64"/>
      </patternFill>
    </fill>
    <fill>
      <patternFill patternType="solid">
        <fgColor rgb="FFDBDBDB"/>
        <bgColor rgb="FFDBDBDB"/>
      </patternFill>
    </fill>
    <fill>
      <patternFill patternType="solid">
        <fgColor rgb="FFFFE699"/>
        <bgColor rgb="FFFFE699"/>
      </patternFill>
    </fill>
    <fill>
      <patternFill patternType="solid">
        <fgColor theme="0" tint="-0.249977111117893"/>
        <bgColor indexed="64"/>
      </patternFill>
    </fill>
    <fill>
      <patternFill patternType="solid">
        <fgColor theme="8" tint="0.39997558519241921"/>
        <bgColor indexed="64"/>
      </patternFill>
    </fill>
    <fill>
      <patternFill patternType="solid">
        <fgColor rgb="FFFF66CC"/>
        <bgColor indexed="64"/>
      </patternFill>
    </fill>
    <fill>
      <patternFill patternType="solid">
        <fgColor theme="2" tint="-0.499984740745262"/>
        <bgColor indexed="64"/>
      </patternFill>
    </fill>
  </fills>
  <borders count="1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indexed="64"/>
      </bottom>
      <diagonal/>
    </border>
    <border>
      <left style="thin">
        <color auto="1"/>
      </left>
      <right/>
      <top/>
      <bottom style="thin">
        <color auto="1"/>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dotted">
        <color rgb="FFFF99CC"/>
      </left>
      <right style="medium">
        <color rgb="FFFF99CC"/>
      </right>
      <top style="dotted">
        <color rgb="FFFF99CC"/>
      </top>
      <bottom style="dotted">
        <color rgb="FFFF99CC"/>
      </bottom>
      <diagonal/>
    </border>
    <border>
      <left style="medium">
        <color rgb="FFFF99CC"/>
      </left>
      <right style="dotted">
        <color rgb="FFFF99CC"/>
      </right>
      <top style="dotted">
        <color rgb="FFFF99CC"/>
      </top>
      <bottom style="dotted">
        <color rgb="FFFF99CC"/>
      </bottom>
      <diagonal/>
    </border>
    <border>
      <left style="dotted">
        <color rgb="FFFF99CC"/>
      </left>
      <right/>
      <top style="dotted">
        <color rgb="FFFF99CC"/>
      </top>
      <bottom style="dotted">
        <color rgb="FFFF99CC"/>
      </bottom>
      <diagonal/>
    </border>
    <border>
      <left/>
      <right style="dotted">
        <color rgb="FFFF99CC"/>
      </right>
      <top style="dotted">
        <color rgb="FFFF99CC"/>
      </top>
      <bottom style="dotted">
        <color rgb="FFFF99CC"/>
      </bottom>
      <diagonal/>
    </border>
    <border>
      <left style="medium">
        <color rgb="FFFF99CC"/>
      </left>
      <right style="medium">
        <color rgb="FFFF99CC"/>
      </right>
      <top style="hair">
        <color rgb="FFFF99CC"/>
      </top>
      <bottom style="hair">
        <color rgb="FFFF99CC"/>
      </bottom>
      <diagonal/>
    </border>
    <border>
      <left style="dotted">
        <color rgb="FFFF99CC"/>
      </left>
      <right style="medium">
        <color rgb="FFFF99CC"/>
      </right>
      <top style="medium">
        <color rgb="FFFF99CC"/>
      </top>
      <bottom style="dotted">
        <color rgb="FFFF99CC"/>
      </bottom>
      <diagonal/>
    </border>
    <border>
      <left style="medium">
        <color rgb="FFFF99CC"/>
      </left>
      <right style="dotted">
        <color rgb="FFFF99CC"/>
      </right>
      <top style="medium">
        <color rgb="FFFF99CC"/>
      </top>
      <bottom style="dotted">
        <color rgb="FFFF99CC"/>
      </bottom>
      <diagonal/>
    </border>
    <border>
      <left style="dotted">
        <color rgb="FFFF99CC"/>
      </left>
      <right/>
      <top style="medium">
        <color rgb="FFFF99CC"/>
      </top>
      <bottom style="dotted">
        <color rgb="FFFF99CC"/>
      </bottom>
      <diagonal/>
    </border>
    <border>
      <left style="medium">
        <color rgb="FFFF99CC"/>
      </left>
      <right style="medium">
        <color rgb="FFFF99CC"/>
      </right>
      <top style="medium">
        <color rgb="FFFF99CC"/>
      </top>
      <bottom style="hair">
        <color rgb="FFFF99CC"/>
      </bottom>
      <diagonal/>
    </border>
    <border>
      <left/>
      <right style="thick">
        <color rgb="FFFF99CC"/>
      </right>
      <top style="thick">
        <color rgb="FFFF99CC"/>
      </top>
      <bottom style="thick">
        <color rgb="FFFF99CC"/>
      </bottom>
      <diagonal/>
    </border>
    <border>
      <left/>
      <right/>
      <top style="thick">
        <color rgb="FFFF99CC"/>
      </top>
      <bottom style="thick">
        <color rgb="FFFF99CC"/>
      </bottom>
      <diagonal/>
    </border>
    <border>
      <left style="thick">
        <color rgb="FFFF99CC"/>
      </left>
      <right/>
      <top style="thick">
        <color rgb="FFFF99CC"/>
      </top>
      <bottom style="thick">
        <color rgb="FFFF99CC"/>
      </bottom>
      <diagonal/>
    </border>
    <border>
      <left/>
      <right/>
      <top style="thin">
        <color indexed="64"/>
      </top>
      <bottom/>
      <diagonal/>
    </border>
    <border>
      <left style="medium">
        <color rgb="FFFF99CC"/>
      </left>
      <right/>
      <top style="hair">
        <color rgb="FFFF99CC"/>
      </top>
      <bottom style="hair">
        <color rgb="FFFF99CC"/>
      </bottom>
      <diagonal/>
    </border>
    <border>
      <left style="medium">
        <color rgb="FFFF99CC"/>
      </left>
      <right/>
      <top style="dotted">
        <color rgb="FFFF99CC"/>
      </top>
      <bottom style="dotted">
        <color rgb="FFFF99CC"/>
      </bottom>
      <diagonal/>
    </border>
    <border>
      <left style="thick">
        <color rgb="FFFF99CC"/>
      </left>
      <right/>
      <top style="thick">
        <color rgb="FFFF99CC"/>
      </top>
      <bottom style="medium">
        <color rgb="FFFF99CC"/>
      </bottom>
      <diagonal/>
    </border>
    <border>
      <left/>
      <right style="thick">
        <color rgb="FFFF99CC"/>
      </right>
      <top style="thick">
        <color rgb="FFFF99CC"/>
      </top>
      <bottom style="medium">
        <color rgb="FFFF99CC"/>
      </bottom>
      <diagonal/>
    </border>
    <border>
      <left style="thick">
        <color rgb="FFFF99CC"/>
      </left>
      <right/>
      <top style="thick">
        <color rgb="FFFF99CC"/>
      </top>
      <bottom/>
      <diagonal/>
    </border>
    <border>
      <left/>
      <right/>
      <top style="thick">
        <color rgb="FFFF99CC"/>
      </top>
      <bottom/>
      <diagonal/>
    </border>
    <border>
      <left/>
      <right style="thick">
        <color rgb="FFFF99CC"/>
      </right>
      <top style="thick">
        <color rgb="FFFF99CC"/>
      </top>
      <bottom/>
      <diagonal/>
    </border>
    <border>
      <left/>
      <right/>
      <top style="thick">
        <color rgb="FFFF99CC"/>
      </top>
      <bottom style="medium">
        <color rgb="FFFF99CC"/>
      </bottom>
      <diagonal/>
    </border>
    <border>
      <left/>
      <right style="dotted">
        <color rgb="FFFF99CC"/>
      </right>
      <top style="medium">
        <color rgb="FFFF99CC"/>
      </top>
      <bottom style="dotted">
        <color rgb="FFFF99CC"/>
      </bottom>
      <diagonal/>
    </border>
    <border>
      <left style="medium">
        <color rgb="FFFF99CC"/>
      </left>
      <right/>
      <top/>
      <bottom/>
      <diagonal/>
    </border>
    <border>
      <left/>
      <right style="medium">
        <color rgb="FFFF99CC"/>
      </right>
      <top/>
      <bottom/>
      <diagonal/>
    </border>
    <border>
      <left style="medium">
        <color rgb="FFFF99CC"/>
      </left>
      <right/>
      <top style="medium">
        <color rgb="FFFF99CC"/>
      </top>
      <bottom style="dotted">
        <color rgb="FFFF99CC"/>
      </bottom>
      <diagonal/>
    </border>
    <border>
      <left style="thick">
        <color rgb="FFFF99CC"/>
      </left>
      <right style="dotted">
        <color rgb="FFFF99CC"/>
      </right>
      <top style="medium">
        <color rgb="FFFF99CC"/>
      </top>
      <bottom style="dotted">
        <color rgb="FFFF99CC"/>
      </bottom>
      <diagonal/>
    </border>
    <border>
      <left style="dotted">
        <color rgb="FFFF99CC"/>
      </left>
      <right style="thick">
        <color rgb="FFFF99CC"/>
      </right>
      <top style="medium">
        <color rgb="FFFF99CC"/>
      </top>
      <bottom style="dotted">
        <color rgb="FFFF99CC"/>
      </bottom>
      <diagonal/>
    </border>
    <border>
      <left style="thick">
        <color rgb="FFFF99CC"/>
      </left>
      <right style="dotted">
        <color rgb="FFFF99CC"/>
      </right>
      <top style="dotted">
        <color rgb="FFFF99CC"/>
      </top>
      <bottom style="dotted">
        <color rgb="FFFF99CC"/>
      </bottom>
      <diagonal/>
    </border>
    <border>
      <left style="dotted">
        <color rgb="FFFF99CC"/>
      </left>
      <right style="thick">
        <color rgb="FFFF99CC"/>
      </right>
      <top style="dotted">
        <color rgb="FFFF99CC"/>
      </top>
      <bottom style="dotted">
        <color rgb="FFFF99CC"/>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style="medium">
        <color indexed="64"/>
      </top>
      <bottom/>
      <diagonal/>
    </border>
    <border>
      <left style="medium">
        <color indexed="64"/>
      </left>
      <right style="hair">
        <color indexed="64"/>
      </right>
      <top style="hair">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bottom style="medium">
        <color indexed="64"/>
      </bottom>
      <diagonal/>
    </border>
    <border>
      <left/>
      <right/>
      <top style="dotted">
        <color rgb="FFFF99CC"/>
      </top>
      <bottom style="dotted">
        <color rgb="FFFF99CC"/>
      </bottom>
      <diagonal/>
    </border>
    <border>
      <left style="thick">
        <color rgb="FFFF99CC"/>
      </left>
      <right/>
      <top/>
      <bottom/>
      <diagonal/>
    </border>
    <border>
      <left/>
      <right style="thick">
        <color rgb="FFFF99CC"/>
      </right>
      <top/>
      <bottom/>
      <diagonal/>
    </border>
    <border>
      <left style="thick">
        <color rgb="FFFF99CC"/>
      </left>
      <right style="dotted">
        <color rgb="FFFF99CC"/>
      </right>
      <top style="thick">
        <color rgb="FFFF99CC"/>
      </top>
      <bottom style="dotted">
        <color rgb="FFFF99CC"/>
      </bottom>
      <diagonal/>
    </border>
    <border>
      <left style="dotted">
        <color rgb="FFFF99CC"/>
      </left>
      <right/>
      <top style="thick">
        <color rgb="FFFF99CC"/>
      </top>
      <bottom style="dotted">
        <color rgb="FFFF99CC"/>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indexed="64"/>
      </left>
      <right style="medium">
        <color indexed="64"/>
      </right>
      <top/>
      <bottom/>
      <diagonal/>
    </border>
    <border>
      <left style="thick">
        <color rgb="FFFF99CC"/>
      </left>
      <right style="dotted">
        <color rgb="FFFF99CC"/>
      </right>
      <top style="dotted">
        <color rgb="FFFF99CC"/>
      </top>
      <bottom/>
      <diagonal/>
    </border>
    <border>
      <left style="dotted">
        <color rgb="FFFF99CC"/>
      </left>
      <right style="thick">
        <color rgb="FFFF99CC"/>
      </right>
      <top style="dotted">
        <color rgb="FFFF99CC"/>
      </top>
      <bottom/>
      <diagonal/>
    </border>
    <border>
      <left style="thick">
        <color rgb="FFFF99CC"/>
      </left>
      <right style="dotted">
        <color rgb="FFFF99CC"/>
      </right>
      <top style="dotted">
        <color rgb="FFFF99CC"/>
      </top>
      <bottom style="thick">
        <color rgb="FFFF99CC"/>
      </bottom>
      <diagonal/>
    </border>
    <border>
      <left style="dotted">
        <color rgb="FFFF99CC"/>
      </left>
      <right style="thick">
        <color rgb="FFFF99CC"/>
      </right>
      <top style="dotted">
        <color rgb="FFFF99CC"/>
      </top>
      <bottom style="thick">
        <color rgb="FFFF99CC"/>
      </bottom>
      <diagonal/>
    </border>
    <border>
      <left style="medium">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rgb="FFFF99CC"/>
      </left>
      <right/>
      <top style="medium">
        <color rgb="FFFF99CC"/>
      </top>
      <bottom/>
      <diagonal/>
    </border>
    <border>
      <left style="medium">
        <color rgb="FFFF99CC"/>
      </left>
      <right style="dotted">
        <color rgb="FFFF99CC"/>
      </right>
      <top style="medium">
        <color rgb="FFFF99CC"/>
      </top>
      <bottom/>
      <diagonal/>
    </border>
    <border>
      <left style="dotted">
        <color rgb="FFFF99CC"/>
      </left>
      <right style="medium">
        <color rgb="FFFF99CC"/>
      </right>
      <top style="medium">
        <color rgb="FFFF99CC"/>
      </top>
      <bottom/>
      <diagonal/>
    </border>
    <border>
      <left style="dotted">
        <color rgb="FFFF99CC"/>
      </left>
      <right style="thick">
        <color rgb="FFFF99CC"/>
      </right>
      <top style="medium">
        <color rgb="FFFF99CC"/>
      </top>
      <bottom/>
      <diagonal/>
    </border>
    <border>
      <left style="dotted">
        <color rgb="FFFF99CC"/>
      </left>
      <right/>
      <top style="medium">
        <color rgb="FFFF99CC"/>
      </top>
      <bottom/>
      <diagonal/>
    </border>
  </borders>
  <cellStyleXfs count="16">
    <xf numFmtId="0" fontId="0" fillId="0" borderId="0"/>
    <xf numFmtId="9" fontId="11" fillId="0" borderId="0" applyFont="0" applyFill="0" applyBorder="0" applyAlignment="0" applyProtection="0"/>
    <xf numFmtId="164" fontId="11" fillId="0" borderId="0" applyFont="0" applyFill="0" applyBorder="0" applyAlignment="0" applyProtection="0"/>
    <xf numFmtId="0" fontId="2" fillId="0" borderId="0"/>
    <xf numFmtId="0" fontId="1" fillId="0" borderId="0"/>
    <xf numFmtId="0" fontId="21" fillId="17" borderId="0" applyNumberFormat="0" applyBorder="0" applyAlignment="0" applyProtection="0"/>
    <xf numFmtId="43" fontId="11" fillId="0" borderId="0" applyFont="0" applyFill="0" applyBorder="0" applyAlignment="0" applyProtection="0"/>
    <xf numFmtId="0" fontId="7"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cellStyleXfs>
  <cellXfs count="461">
    <xf numFmtId="0" fontId="0" fillId="0" borderId="0" xfId="0"/>
    <xf numFmtId="0" fontId="0" fillId="0" borderId="1" xfId="0" applyBorder="1"/>
    <xf numFmtId="0" fontId="5" fillId="5" borderId="1" xfId="0" applyFont="1" applyFill="1" applyBorder="1" applyAlignment="1">
      <alignment horizontal="center" vertical="center"/>
    </xf>
    <xf numFmtId="0" fontId="5" fillId="10" borderId="1" xfId="0" applyFont="1" applyFill="1" applyBorder="1" applyAlignment="1">
      <alignment horizontal="center" vertical="center"/>
    </xf>
    <xf numFmtId="164" fontId="0" fillId="0" borderId="1" xfId="2" applyFont="1" applyBorder="1"/>
    <xf numFmtId="165" fontId="0" fillId="0" borderId="1" xfId="2" applyNumberFormat="1" applyFont="1" applyBorder="1"/>
    <xf numFmtId="0" fontId="4" fillId="0" borderId="0" xfId="0" applyFont="1" applyAlignment="1">
      <alignment horizontal="center" vertical="center"/>
    </xf>
    <xf numFmtId="0" fontId="5" fillId="0" borderId="0" xfId="0" applyFont="1" applyAlignment="1">
      <alignment horizontal="center" vertical="center"/>
    </xf>
    <xf numFmtId="165" fontId="0" fillId="0" borderId="0" xfId="2" applyNumberFormat="1" applyFont="1"/>
    <xf numFmtId="0" fontId="5" fillId="0" borderId="5" xfId="0" applyFont="1" applyBorder="1" applyAlignment="1">
      <alignment horizontal="center" vertical="center"/>
    </xf>
    <xf numFmtId="0" fontId="5" fillId="10" borderId="1" xfId="0" applyFont="1" applyFill="1" applyBorder="1" applyAlignment="1">
      <alignment vertical="center"/>
    </xf>
    <xf numFmtId="0" fontId="3" fillId="0" borderId="1" xfId="0" applyFont="1" applyBorder="1"/>
    <xf numFmtId="164" fontId="3" fillId="0" borderId="1" xfId="2" applyFont="1" applyBorder="1"/>
    <xf numFmtId="165" fontId="3" fillId="0" borderId="1" xfId="2" applyNumberFormat="1" applyFont="1" applyBorder="1"/>
    <xf numFmtId="165" fontId="0" fillId="0" borderId="1" xfId="0" applyNumberFormat="1" applyBorder="1"/>
    <xf numFmtId="9" fontId="0" fillId="11" borderId="1" xfId="1" applyFont="1" applyFill="1" applyBorder="1"/>
    <xf numFmtId="9" fontId="3" fillId="0" borderId="1" xfId="1" applyFont="1" applyBorder="1"/>
    <xf numFmtId="164" fontId="0" fillId="0" borderId="8" xfId="2" applyFont="1" applyBorder="1"/>
    <xf numFmtId="0" fontId="3" fillId="0" borderId="5" xfId="0" applyFont="1" applyBorder="1"/>
    <xf numFmtId="0" fontId="3" fillId="0" borderId="0" xfId="0" applyFont="1"/>
    <xf numFmtId="165" fontId="3" fillId="0" borderId="0" xfId="2" applyNumberFormat="1" applyFont="1"/>
    <xf numFmtId="165" fontId="0" fillId="16" borderId="1" xfId="0" applyNumberFormat="1" applyFill="1" applyBorder="1"/>
    <xf numFmtId="164" fontId="0" fillId="16" borderId="1" xfId="2" applyFont="1" applyFill="1" applyBorder="1"/>
    <xf numFmtId="166" fontId="0" fillId="0" borderId="8" xfId="2" applyNumberFormat="1" applyFont="1" applyBorder="1"/>
    <xf numFmtId="2" fontId="0" fillId="0" borderId="0" xfId="0" applyNumberFormat="1"/>
    <xf numFmtId="0" fontId="13" fillId="12" borderId="0" xfId="0" applyFont="1" applyFill="1" applyAlignment="1">
      <alignment horizontal="center"/>
    </xf>
    <xf numFmtId="165" fontId="3" fillId="0" borderId="1" xfId="2" applyNumberFormat="1" applyFont="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165" fontId="0" fillId="0" borderId="18" xfId="0" applyNumberFormat="1" applyBorder="1"/>
    <xf numFmtId="0" fontId="4" fillId="10" borderId="1" xfId="0" applyFont="1" applyFill="1" applyBorder="1" applyAlignment="1">
      <alignment vertical="center"/>
    </xf>
    <xf numFmtId="165" fontId="0" fillId="0" borderId="0" xfId="0" applyNumberFormat="1"/>
    <xf numFmtId="9" fontId="0" fillId="0" borderId="0" xfId="1" applyFont="1"/>
    <xf numFmtId="0" fontId="5" fillId="0" borderId="19" xfId="0" applyFont="1" applyBorder="1" applyAlignment="1">
      <alignment horizontal="center"/>
    </xf>
    <xf numFmtId="0" fontId="5" fillId="0" borderId="20" xfId="0" applyFont="1" applyBorder="1" applyAlignment="1">
      <alignment horizontal="center"/>
    </xf>
    <xf numFmtId="0" fontId="7" fillId="0" borderId="19" xfId="0" applyFont="1" applyBorder="1" applyAlignment="1">
      <alignment horizontal="center"/>
    </xf>
    <xf numFmtId="0" fontId="5" fillId="5" borderId="21" xfId="0" applyFont="1" applyFill="1" applyBorder="1"/>
    <xf numFmtId="0" fontId="5" fillId="5" borderId="19" xfId="0" applyFont="1" applyFill="1" applyBorder="1" applyAlignment="1">
      <alignment horizontal="center"/>
    </xf>
    <xf numFmtId="0" fontId="5" fillId="3" borderId="19" xfId="0" applyFont="1" applyFill="1" applyBorder="1" applyAlignment="1">
      <alignment horizontal="center"/>
    </xf>
    <xf numFmtId="0" fontId="0" fillId="0" borderId="14" xfId="0" applyBorder="1"/>
    <xf numFmtId="0" fontId="0" fillId="0" borderId="15" xfId="0" applyBorder="1"/>
    <xf numFmtId="0" fontId="16" fillId="0" borderId="9" xfId="0" applyFont="1" applyBorder="1"/>
    <xf numFmtId="0" fontId="0" fillId="0" borderId="10" xfId="0" applyBorder="1"/>
    <xf numFmtId="0" fontId="0" fillId="0" borderId="11" xfId="0" applyBorder="1"/>
    <xf numFmtId="0" fontId="5" fillId="5" borderId="19" xfId="0" applyFont="1" applyFill="1" applyBorder="1"/>
    <xf numFmtId="0" fontId="17" fillId="9" borderId="0" xfId="0" applyFont="1" applyFill="1"/>
    <xf numFmtId="9" fontId="0" fillId="0" borderId="1" xfId="1" applyFont="1" applyBorder="1"/>
    <xf numFmtId="0" fontId="3" fillId="10" borderId="1" xfId="0" applyFont="1" applyFill="1" applyBorder="1" applyAlignment="1">
      <alignment horizontal="center"/>
    </xf>
    <xf numFmtId="9" fontId="0" fillId="0" borderId="1" xfId="0" applyNumberFormat="1" applyBorder="1"/>
    <xf numFmtId="9" fontId="0" fillId="0" borderId="0" xfId="0" applyNumberFormat="1"/>
    <xf numFmtId="0" fontId="17" fillId="9" borderId="0" xfId="0" applyFont="1" applyFill="1" applyAlignment="1">
      <alignment vertical="top" wrapText="1"/>
    </xf>
    <xf numFmtId="14" fontId="0" fillId="0" borderId="0" xfId="0" applyNumberFormat="1"/>
    <xf numFmtId="3" fontId="0" fillId="0" borderId="1" xfId="0" applyNumberFormat="1" applyBorder="1"/>
    <xf numFmtId="0" fontId="17" fillId="14" borderId="0" xfId="0" applyFont="1" applyFill="1"/>
    <xf numFmtId="165" fontId="3" fillId="0" borderId="1" xfId="0" applyNumberFormat="1" applyFont="1" applyBorder="1" applyAlignment="1">
      <alignment horizontal="center"/>
    </xf>
    <xf numFmtId="165" fontId="0" fillId="0" borderId="1" xfId="0" applyNumberFormat="1" applyBorder="1" applyAlignment="1">
      <alignment horizontal="center"/>
    </xf>
    <xf numFmtId="3" fontId="3" fillId="0" borderId="1" xfId="0" applyNumberFormat="1" applyFont="1" applyBorder="1"/>
    <xf numFmtId="164" fontId="0" fillId="0" borderId="0" xfId="2" applyFont="1" applyBorder="1"/>
    <xf numFmtId="0" fontId="0" fillId="0" borderId="0" xfId="0" applyAlignment="1">
      <alignment horizontal="center"/>
    </xf>
    <xf numFmtId="0" fontId="20" fillId="4" borderId="0" xfId="0" applyFont="1" applyFill="1" applyAlignment="1">
      <alignment horizontal="center" vertical="center" wrapText="1"/>
    </xf>
    <xf numFmtId="0" fontId="0" fillId="9" borderId="0" xfId="0" applyFill="1" applyAlignment="1">
      <alignment horizontal="center"/>
    </xf>
    <xf numFmtId="0" fontId="0" fillId="0" borderId="1" xfId="0" applyBorder="1" applyAlignment="1">
      <alignment horizontal="left"/>
    </xf>
    <xf numFmtId="0" fontId="0" fillId="0" borderId="1" xfId="0" quotePrefix="1" applyBorder="1" applyAlignment="1">
      <alignment horizontal="center"/>
    </xf>
    <xf numFmtId="0" fontId="0" fillId="0" borderId="0" xfId="0" applyAlignment="1">
      <alignment horizontal="left"/>
    </xf>
    <xf numFmtId="0" fontId="3" fillId="0" borderId="0" xfId="0" applyFont="1" applyAlignment="1">
      <alignment horizontal="center"/>
    </xf>
    <xf numFmtId="0" fontId="0" fillId="0" borderId="38" xfId="0" applyBorder="1"/>
    <xf numFmtId="14" fontId="0" fillId="0" borderId="38" xfId="0" applyNumberFormat="1" applyBorder="1"/>
    <xf numFmtId="0" fontId="3" fillId="22" borderId="0" xfId="0" applyFont="1" applyFill="1" applyAlignment="1">
      <alignment horizontal="center"/>
    </xf>
    <xf numFmtId="0" fontId="3" fillId="18" borderId="0" xfId="0" applyFont="1" applyFill="1" applyAlignment="1">
      <alignment horizontal="center"/>
    </xf>
    <xf numFmtId="16" fontId="0" fillId="0" borderId="0" xfId="0" applyNumberFormat="1" applyAlignment="1">
      <alignment horizontal="left"/>
    </xf>
    <xf numFmtId="14" fontId="0" fillId="0" borderId="0" xfId="0" applyNumberFormat="1" applyAlignment="1">
      <alignment horizontal="center"/>
    </xf>
    <xf numFmtId="15" fontId="0" fillId="0" borderId="0" xfId="0" applyNumberFormat="1"/>
    <xf numFmtId="0" fontId="0" fillId="0" borderId="0" xfId="0" quotePrefix="1"/>
    <xf numFmtId="0" fontId="3" fillId="2" borderId="0" xfId="0" applyFont="1" applyFill="1" applyAlignment="1">
      <alignment horizontal="center"/>
    </xf>
    <xf numFmtId="0" fontId="0" fillId="2" borderId="0" xfId="0" applyFill="1"/>
    <xf numFmtId="0" fontId="0" fillId="4" borderId="0" xfId="0" applyFill="1"/>
    <xf numFmtId="0" fontId="17" fillId="0" borderId="0" xfId="0" applyFont="1"/>
    <xf numFmtId="0" fontId="18" fillId="0" borderId="0" xfId="0" applyFont="1"/>
    <xf numFmtId="0" fontId="12" fillId="0" borderId="0" xfId="0" applyFont="1"/>
    <xf numFmtId="14" fontId="12" fillId="0" borderId="0" xfId="0" applyNumberFormat="1" applyFont="1"/>
    <xf numFmtId="167" fontId="0" fillId="0" borderId="0" xfId="0" applyNumberFormat="1"/>
    <xf numFmtId="0" fontId="6" fillId="0" borderId="1" xfId="0" applyFont="1" applyBorder="1" applyAlignment="1">
      <alignment horizontal="center"/>
    </xf>
    <xf numFmtId="164" fontId="0" fillId="16" borderId="1" xfId="2" quotePrefix="1" applyFont="1" applyFill="1" applyBorder="1"/>
    <xf numFmtId="0" fontId="27" fillId="2" borderId="10" xfId="0" applyFont="1" applyFill="1" applyBorder="1"/>
    <xf numFmtId="0" fontId="0" fillId="14" borderId="0" xfId="0" applyFill="1"/>
    <xf numFmtId="9" fontId="0" fillId="0" borderId="1" xfId="1" applyFont="1" applyFill="1" applyBorder="1"/>
    <xf numFmtId="0" fontId="15" fillId="0" borderId="0" xfId="0" applyFont="1" applyAlignment="1">
      <alignment horizontal="left"/>
    </xf>
    <xf numFmtId="0" fontId="3" fillId="9" borderId="0" xfId="0" applyFont="1" applyFill="1"/>
    <xf numFmtId="0" fontId="6" fillId="0" borderId="1" xfId="0" quotePrefix="1" applyFont="1" applyBorder="1" applyAlignment="1">
      <alignment horizontal="center"/>
    </xf>
    <xf numFmtId="0" fontId="5" fillId="19" borderId="40" xfId="0" applyFont="1" applyFill="1" applyBorder="1"/>
    <xf numFmtId="0" fontId="5" fillId="19" borderId="53" xfId="0" applyFont="1" applyFill="1" applyBorder="1" applyAlignment="1">
      <alignment horizontal="center"/>
    </xf>
    <xf numFmtId="0" fontId="5" fillId="19" borderId="54" xfId="0" applyFont="1" applyFill="1" applyBorder="1"/>
    <xf numFmtId="0" fontId="5" fillId="19" borderId="29" xfId="0" applyFont="1" applyFill="1" applyBorder="1" applyAlignment="1">
      <alignment horizontal="center"/>
    </xf>
    <xf numFmtId="0" fontId="5" fillId="19" borderId="26" xfId="0" applyFont="1" applyFill="1" applyBorder="1"/>
    <xf numFmtId="0" fontId="5" fillId="19" borderId="28" xfId="0" applyFont="1" applyFill="1" applyBorder="1"/>
    <xf numFmtId="0" fontId="5" fillId="19" borderId="27" xfId="0" applyFont="1" applyFill="1" applyBorder="1" applyAlignment="1">
      <alignment horizontal="center"/>
    </xf>
    <xf numFmtId="0" fontId="5" fillId="0" borderId="0" xfId="0" applyFont="1"/>
    <xf numFmtId="0" fontId="5" fillId="19" borderId="30" xfId="0" applyFont="1" applyFill="1" applyBorder="1" applyAlignment="1">
      <alignment horizontal="center"/>
    </xf>
    <xf numFmtId="0" fontId="7" fillId="0" borderId="40" xfId="0" applyFont="1" applyBorder="1"/>
    <xf numFmtId="0" fontId="7" fillId="0" borderId="26" xfId="0" applyFont="1" applyBorder="1"/>
    <xf numFmtId="0" fontId="7" fillId="0" borderId="0" xfId="0" applyFont="1"/>
    <xf numFmtId="0" fontId="7" fillId="0" borderId="30" xfId="0" applyFont="1" applyBorder="1"/>
    <xf numFmtId="0" fontId="7" fillId="0" borderId="27" xfId="0" applyFont="1" applyBorder="1"/>
    <xf numFmtId="0" fontId="7" fillId="14" borderId="29" xfId="0" applyFont="1" applyFill="1" applyBorder="1"/>
    <xf numFmtId="0" fontId="7" fillId="0" borderId="53" xfId="0" applyFont="1" applyBorder="1"/>
    <xf numFmtId="0" fontId="7" fillId="0" borderId="54" xfId="0" applyFont="1" applyBorder="1"/>
    <xf numFmtId="0" fontId="7" fillId="0" borderId="29" xfId="0" applyFont="1" applyBorder="1"/>
    <xf numFmtId="0" fontId="7" fillId="0" borderId="28" xfId="0" applyFont="1" applyBorder="1"/>
    <xf numFmtId="0" fontId="5" fillId="0" borderId="34" xfId="0" applyFont="1" applyBorder="1" applyAlignment="1">
      <alignment wrapText="1"/>
    </xf>
    <xf numFmtId="0" fontId="7" fillId="8" borderId="50" xfId="0" applyFont="1" applyFill="1" applyBorder="1"/>
    <xf numFmtId="0" fontId="5" fillId="8" borderId="47" xfId="0" applyFont="1" applyFill="1" applyBorder="1"/>
    <xf numFmtId="0" fontId="5" fillId="8" borderId="31" xfId="0" applyFont="1" applyFill="1" applyBorder="1"/>
    <xf numFmtId="0" fontId="5" fillId="8" borderId="32" xfId="0" applyFont="1" applyFill="1" applyBorder="1"/>
    <xf numFmtId="0" fontId="5" fillId="21" borderId="33" xfId="0" applyFont="1" applyFill="1" applyBorder="1"/>
    <xf numFmtId="0" fontId="7" fillId="0" borderId="39" xfId="0" applyFont="1" applyBorder="1"/>
    <xf numFmtId="0" fontId="5" fillId="19" borderId="39" xfId="0" applyFont="1" applyFill="1" applyBorder="1" applyAlignment="1">
      <alignment horizontal="center"/>
    </xf>
    <xf numFmtId="0" fontId="30" fillId="0" borderId="0" xfId="0" applyFont="1"/>
    <xf numFmtId="165" fontId="6" fillId="0" borderId="0" xfId="0" applyNumberFormat="1" applyFont="1"/>
    <xf numFmtId="0" fontId="0" fillId="6" borderId="0" xfId="0" applyFill="1"/>
    <xf numFmtId="0" fontId="0" fillId="0" borderId="57" xfId="0" applyBorder="1"/>
    <xf numFmtId="1" fontId="0" fillId="0" borderId="58" xfId="0" applyNumberFormat="1" applyBorder="1"/>
    <xf numFmtId="1" fontId="0" fillId="0" borderId="59" xfId="0" applyNumberFormat="1" applyBorder="1"/>
    <xf numFmtId="1" fontId="3" fillId="0" borderId="19" xfId="0" applyNumberFormat="1" applyFont="1" applyBorder="1"/>
    <xf numFmtId="0" fontId="3" fillId="19" borderId="55" xfId="0" applyFont="1" applyFill="1" applyBorder="1"/>
    <xf numFmtId="0" fontId="0" fillId="19" borderId="56" xfId="0" applyFill="1" applyBorder="1"/>
    <xf numFmtId="0" fontId="3" fillId="0" borderId="19" xfId="0" applyFont="1" applyBorder="1"/>
    <xf numFmtId="0" fontId="3" fillId="25" borderId="19" xfId="0" applyFont="1" applyFill="1" applyBorder="1"/>
    <xf numFmtId="0" fontId="3" fillId="0" borderId="11" xfId="0" applyFont="1" applyBorder="1"/>
    <xf numFmtId="0" fontId="0" fillId="0" borderId="62" xfId="0" applyBorder="1"/>
    <xf numFmtId="1" fontId="0" fillId="0" borderId="63" xfId="0" applyNumberFormat="1" applyBorder="1"/>
    <xf numFmtId="0" fontId="3" fillId="0" borderId="64" xfId="0" applyFont="1" applyBorder="1"/>
    <xf numFmtId="0" fontId="0" fillId="19" borderId="60" xfId="0" applyFill="1" applyBorder="1"/>
    <xf numFmtId="9" fontId="3" fillId="19" borderId="61" xfId="1" applyFont="1" applyFill="1" applyBorder="1" applyAlignment="1">
      <alignment horizontal="center"/>
    </xf>
    <xf numFmtId="0" fontId="0" fillId="19" borderId="65" xfId="0" applyFill="1" applyBorder="1"/>
    <xf numFmtId="0" fontId="0" fillId="19" borderId="19" xfId="0" applyFill="1" applyBorder="1"/>
    <xf numFmtId="0" fontId="0" fillId="0" borderId="66" xfId="0" applyBorder="1"/>
    <xf numFmtId="0" fontId="3" fillId="25" borderId="11" xfId="0" applyFont="1" applyFill="1" applyBorder="1"/>
    <xf numFmtId="0" fontId="5" fillId="10" borderId="2" xfId="0" applyFont="1" applyFill="1" applyBorder="1" applyAlignment="1">
      <alignment horizontal="center" vertical="center"/>
    </xf>
    <xf numFmtId="0" fontId="5" fillId="10" borderId="4" xfId="0" applyFont="1" applyFill="1" applyBorder="1" applyAlignment="1">
      <alignment horizontal="center" vertical="center"/>
    </xf>
    <xf numFmtId="0" fontId="5" fillId="6" borderId="0" xfId="0" applyFont="1" applyFill="1" applyAlignment="1">
      <alignment horizontal="center" vertical="center"/>
    </xf>
    <xf numFmtId="0" fontId="13" fillId="12" borderId="5" xfId="0" applyFont="1" applyFill="1" applyBorder="1" applyAlignment="1">
      <alignment horizontal="center"/>
    </xf>
    <xf numFmtId="0" fontId="4" fillId="10"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5" fillId="10" borderId="17" xfId="0" applyFont="1" applyFill="1" applyBorder="1" applyAlignment="1">
      <alignment horizontal="center" vertical="center"/>
    </xf>
    <xf numFmtId="0" fontId="0" fillId="0" borderId="67" xfId="0" applyBorder="1"/>
    <xf numFmtId="0" fontId="18" fillId="0" borderId="67" xfId="0" applyFont="1" applyBorder="1"/>
    <xf numFmtId="0" fontId="0" fillId="6" borderId="67" xfId="0" applyFill="1" applyBorder="1"/>
    <xf numFmtId="0" fontId="18" fillId="6" borderId="67" xfId="0" applyFont="1" applyFill="1" applyBorder="1"/>
    <xf numFmtId="0" fontId="18" fillId="6" borderId="0" xfId="0" applyFont="1" applyFill="1"/>
    <xf numFmtId="1" fontId="0" fillId="0" borderId="0" xfId="0" applyNumberFormat="1"/>
    <xf numFmtId="0" fontId="28" fillId="0" borderId="28" xfId="0" applyFont="1" applyBorder="1"/>
    <xf numFmtId="0" fontId="22" fillId="0" borderId="0" xfId="0" applyFont="1" applyAlignment="1">
      <alignment vertical="top" wrapText="1"/>
    </xf>
    <xf numFmtId="0" fontId="22" fillId="0" borderId="0" xfId="0" applyFont="1" applyAlignment="1">
      <alignment vertical="center" wrapText="1"/>
    </xf>
    <xf numFmtId="0" fontId="17" fillId="0" borderId="0" xfId="0" applyFont="1" applyAlignment="1">
      <alignment vertical="center"/>
    </xf>
    <xf numFmtId="9" fontId="3" fillId="0" borderId="19" xfId="1" applyFont="1" applyBorder="1"/>
    <xf numFmtId="9" fontId="3" fillId="0" borderId="0" xfId="1" applyFont="1" applyBorder="1"/>
    <xf numFmtId="0" fontId="0" fillId="0" borderId="19" xfId="0" applyBorder="1"/>
    <xf numFmtId="0" fontId="32" fillId="0" borderId="0" xfId="0" applyFont="1"/>
    <xf numFmtId="0" fontId="33" fillId="0" borderId="1" xfId="0" applyFont="1" applyBorder="1"/>
    <xf numFmtId="0" fontId="34" fillId="0" borderId="1" xfId="0" applyFont="1" applyBorder="1" applyAlignment="1">
      <alignment horizontal="center" vertical="center"/>
    </xf>
    <xf numFmtId="0" fontId="34" fillId="0" borderId="1" xfId="0" applyFont="1" applyBorder="1"/>
    <xf numFmtId="0" fontId="34" fillId="0" borderId="0" xfId="0" applyFont="1"/>
    <xf numFmtId="0" fontId="33" fillId="0" borderId="1" xfId="0" applyFont="1" applyBorder="1" applyAlignment="1">
      <alignment horizontal="center"/>
    </xf>
    <xf numFmtId="0" fontId="31" fillId="0" borderId="0" xfId="0" applyFont="1"/>
    <xf numFmtId="0" fontId="18" fillId="0" borderId="68" xfId="0" applyFont="1" applyBorder="1"/>
    <xf numFmtId="0" fontId="4" fillId="0" borderId="9" xfId="0" applyFont="1" applyBorder="1"/>
    <xf numFmtId="0" fontId="4" fillId="21" borderId="19" xfId="0" applyFont="1" applyFill="1" applyBorder="1"/>
    <xf numFmtId="0" fontId="37" fillId="0" borderId="0" xfId="0" applyFont="1"/>
    <xf numFmtId="0" fontId="3" fillId="26" borderId="69" xfId="0" applyFont="1" applyFill="1" applyBorder="1"/>
    <xf numFmtId="14" fontId="38" fillId="0" borderId="21" xfId="0" applyNumberFormat="1" applyFont="1" applyBorder="1" applyAlignment="1">
      <alignment horizontal="center" vertical="center" wrapText="1"/>
    </xf>
    <xf numFmtId="14" fontId="38" fillId="0" borderId="12" xfId="0" applyNumberFormat="1" applyFont="1" applyBorder="1" applyAlignment="1">
      <alignment horizontal="center" vertical="center" wrapText="1"/>
    </xf>
    <xf numFmtId="9" fontId="0" fillId="0" borderId="1" xfId="0" applyNumberFormat="1" applyBorder="1" applyAlignment="1">
      <alignment horizontal="center"/>
    </xf>
    <xf numFmtId="164" fontId="0" fillId="0" borderId="0" xfId="2" applyFont="1"/>
    <xf numFmtId="0" fontId="39" fillId="0" borderId="0" xfId="0" applyFont="1"/>
    <xf numFmtId="0" fontId="5" fillId="26" borderId="0" xfId="0" applyFont="1" applyFill="1" applyAlignment="1">
      <alignment horizontal="center" vertical="center" wrapText="1"/>
    </xf>
    <xf numFmtId="3" fontId="0" fillId="0" borderId="0" xfId="0" applyNumberFormat="1"/>
    <xf numFmtId="0" fontId="37" fillId="6" borderId="0" xfId="0" applyFont="1" applyFill="1"/>
    <xf numFmtId="0" fontId="6" fillId="6" borderId="1" xfId="0" quotePrefix="1" applyFont="1" applyFill="1" applyBorder="1" applyAlignment="1">
      <alignment horizontal="center"/>
    </xf>
    <xf numFmtId="0" fontId="0" fillId="6" borderId="1" xfId="0" applyFill="1" applyBorder="1" applyAlignment="1">
      <alignment horizontal="center"/>
    </xf>
    <xf numFmtId="0" fontId="18" fillId="2" borderId="0" xfId="0" applyFont="1" applyFill="1"/>
    <xf numFmtId="0" fontId="7" fillId="6" borderId="53" xfId="0" applyFont="1" applyFill="1" applyBorder="1"/>
    <xf numFmtId="0" fontId="5" fillId="21" borderId="51" xfId="0" applyFont="1" applyFill="1" applyBorder="1"/>
    <xf numFmtId="0" fontId="5" fillId="21" borderId="52" xfId="0" applyFont="1" applyFill="1" applyBorder="1"/>
    <xf numFmtId="0" fontId="5" fillId="21" borderId="73" xfId="0" applyFont="1" applyFill="1" applyBorder="1"/>
    <xf numFmtId="0" fontId="5" fillId="21" borderId="74" xfId="0" applyFont="1" applyFill="1" applyBorder="1"/>
    <xf numFmtId="0" fontId="5" fillId="20" borderId="51" xfId="0" applyFont="1" applyFill="1" applyBorder="1"/>
    <xf numFmtId="0" fontId="5" fillId="20" borderId="52" xfId="0" applyFont="1" applyFill="1" applyBorder="1"/>
    <xf numFmtId="0" fontId="0" fillId="27" borderId="1" xfId="0" applyFill="1" applyBorder="1"/>
    <xf numFmtId="0" fontId="4" fillId="27" borderId="2" xfId="0" applyFont="1" applyFill="1" applyBorder="1" applyAlignment="1">
      <alignment horizontal="center" vertical="center"/>
    </xf>
    <xf numFmtId="0" fontId="4" fillId="27" borderId="3" xfId="0" applyFont="1" applyFill="1" applyBorder="1" applyAlignment="1">
      <alignment horizontal="center" vertical="center"/>
    </xf>
    <xf numFmtId="0" fontId="4" fillId="27" borderId="4" xfId="0" applyFont="1" applyFill="1" applyBorder="1" applyAlignment="1">
      <alignment horizontal="center" vertical="center"/>
    </xf>
    <xf numFmtId="0" fontId="5" fillId="27" borderId="1" xfId="0" applyFont="1" applyFill="1" applyBorder="1" applyAlignment="1">
      <alignment vertical="center"/>
    </xf>
    <xf numFmtId="0" fontId="5" fillId="27" borderId="1" xfId="0" applyFont="1" applyFill="1" applyBorder="1" applyAlignment="1">
      <alignment horizontal="center" vertical="center"/>
    </xf>
    <xf numFmtId="165" fontId="0" fillId="27" borderId="1" xfId="0" applyNumberFormat="1" applyFill="1" applyBorder="1"/>
    <xf numFmtId="0" fontId="3" fillId="27" borderId="1" xfId="0" applyFont="1" applyFill="1" applyBorder="1"/>
    <xf numFmtId="165" fontId="3" fillId="27" borderId="1" xfId="2" applyNumberFormat="1" applyFont="1" applyFill="1" applyBorder="1"/>
    <xf numFmtId="0" fontId="5" fillId="27" borderId="16" xfId="0" applyFont="1" applyFill="1" applyBorder="1" applyAlignment="1">
      <alignment horizontal="center" vertical="center"/>
    </xf>
    <xf numFmtId="0" fontId="5" fillId="27" borderId="17" xfId="0" applyFont="1" applyFill="1" applyBorder="1" applyAlignment="1">
      <alignment horizontal="center" vertical="center"/>
    </xf>
    <xf numFmtId="165" fontId="0" fillId="27" borderId="1" xfId="2" applyNumberFormat="1" applyFont="1" applyFill="1" applyBorder="1"/>
    <xf numFmtId="0" fontId="0" fillId="28" borderId="1" xfId="0" applyFill="1" applyBorder="1"/>
    <xf numFmtId="0" fontId="5" fillId="28" borderId="1" xfId="0" applyFont="1" applyFill="1" applyBorder="1" applyAlignment="1">
      <alignment horizontal="center" vertical="center"/>
    </xf>
    <xf numFmtId="0" fontId="0" fillId="28" borderId="1" xfId="0" applyFill="1" applyBorder="1" applyAlignment="1">
      <alignment horizontal="left"/>
    </xf>
    <xf numFmtId="165" fontId="0" fillId="28" borderId="1" xfId="0" applyNumberFormat="1" applyFill="1" applyBorder="1"/>
    <xf numFmtId="0" fontId="3" fillId="28" borderId="1" xfId="0" applyFont="1" applyFill="1" applyBorder="1"/>
    <xf numFmtId="165" fontId="3" fillId="28" borderId="1" xfId="2" applyNumberFormat="1" applyFont="1" applyFill="1" applyBorder="1"/>
    <xf numFmtId="0" fontId="3" fillId="2" borderId="0" xfId="0" applyFont="1" applyFill="1"/>
    <xf numFmtId="165" fontId="3" fillId="2" borderId="0" xfId="2" applyNumberFormat="1" applyFont="1" applyFill="1"/>
    <xf numFmtId="9" fontId="0" fillId="29" borderId="0" xfId="1" applyFont="1" applyFill="1"/>
    <xf numFmtId="0" fontId="5" fillId="8" borderId="52" xfId="0" applyFont="1" applyFill="1" applyBorder="1"/>
    <xf numFmtId="0" fontId="5" fillId="21" borderId="47" xfId="0" applyFont="1" applyFill="1" applyBorder="1"/>
    <xf numFmtId="0" fontId="28" fillId="0" borderId="29" xfId="0" applyFont="1" applyBorder="1"/>
    <xf numFmtId="0" fontId="7" fillId="0" borderId="71" xfId="0" applyFont="1" applyBorder="1"/>
    <xf numFmtId="0" fontId="37" fillId="2" borderId="0" xfId="0" applyFont="1" applyFill="1"/>
    <xf numFmtId="0" fontId="37" fillId="11" borderId="0" xfId="0" applyFont="1" applyFill="1"/>
    <xf numFmtId="0" fontId="0" fillId="24" borderId="0" xfId="0" applyFill="1"/>
    <xf numFmtId="0" fontId="0" fillId="0" borderId="0" xfId="0" applyAlignment="1">
      <alignment wrapText="1"/>
    </xf>
    <xf numFmtId="0" fontId="0" fillId="9" borderId="0" xfId="0" applyFill="1"/>
    <xf numFmtId="11" fontId="37" fillId="0" borderId="0" xfId="0" applyNumberFormat="1" applyFont="1"/>
    <xf numFmtId="0" fontId="7" fillId="14" borderId="53" xfId="0" applyFont="1" applyFill="1" applyBorder="1"/>
    <xf numFmtId="0" fontId="5" fillId="8" borderId="33" xfId="0" applyFont="1" applyFill="1" applyBorder="1"/>
    <xf numFmtId="0" fontId="5" fillId="8" borderId="51" xfId="0" applyFont="1" applyFill="1" applyBorder="1"/>
    <xf numFmtId="9" fontId="0" fillId="0" borderId="0" xfId="1" applyFont="1" applyAlignment="1">
      <alignment horizontal="center"/>
    </xf>
    <xf numFmtId="0" fontId="0" fillId="0" borderId="75" xfId="0" applyBorder="1"/>
    <xf numFmtId="0" fontId="40" fillId="30" borderId="76" xfId="0" applyFont="1" applyFill="1" applyBorder="1" applyAlignment="1">
      <alignment horizontal="center" vertical="center"/>
    </xf>
    <xf numFmtId="0" fontId="40" fillId="31" borderId="76" xfId="0" applyFont="1" applyFill="1" applyBorder="1" applyAlignment="1">
      <alignment horizontal="center" vertical="center"/>
    </xf>
    <xf numFmtId="0" fontId="40" fillId="31" borderId="77" xfId="0" applyFont="1" applyFill="1" applyBorder="1" applyAlignment="1">
      <alignment horizontal="center" vertical="center"/>
    </xf>
    <xf numFmtId="0" fontId="0" fillId="0" borderId="78" xfId="0" applyBorder="1"/>
    <xf numFmtId="0" fontId="0" fillId="0" borderId="79" xfId="0" applyBorder="1"/>
    <xf numFmtId="0" fontId="0" fillId="0" borderId="80" xfId="0" applyBorder="1"/>
    <xf numFmtId="0" fontId="0" fillId="0" borderId="81" xfId="0" applyBorder="1"/>
    <xf numFmtId="0" fontId="41" fillId="0" borderId="82" xfId="0" applyFont="1" applyBorder="1"/>
    <xf numFmtId="0" fontId="41" fillId="0" borderId="83" xfId="0" applyFont="1" applyBorder="1"/>
    <xf numFmtId="0" fontId="42" fillId="19" borderId="54" xfId="0" applyFont="1" applyFill="1" applyBorder="1"/>
    <xf numFmtId="0" fontId="28" fillId="0" borderId="40" xfId="0" applyFont="1" applyBorder="1"/>
    <xf numFmtId="0" fontId="28" fillId="14" borderId="53" xfId="0" applyFont="1" applyFill="1" applyBorder="1"/>
    <xf numFmtId="0" fontId="28" fillId="0" borderId="53" xfId="0" applyFont="1" applyBorder="1"/>
    <xf numFmtId="0" fontId="28" fillId="0" borderId="27" xfId="0" applyFont="1" applyBorder="1"/>
    <xf numFmtId="0" fontId="28" fillId="0" borderId="26" xfId="0" applyFont="1" applyBorder="1"/>
    <xf numFmtId="0" fontId="28" fillId="0" borderId="54" xfId="0" applyFont="1" applyBorder="1"/>
    <xf numFmtId="0" fontId="28" fillId="0" borderId="0" xfId="0" applyFont="1"/>
    <xf numFmtId="0" fontId="28" fillId="0" borderId="30" xfId="0" applyFont="1" applyBorder="1"/>
    <xf numFmtId="0" fontId="3" fillId="0" borderId="84" xfId="0" applyFont="1" applyBorder="1"/>
    <xf numFmtId="0" fontId="18" fillId="32" borderId="0" xfId="0" applyFont="1" applyFill="1"/>
    <xf numFmtId="0" fontId="37" fillId="32" borderId="0" xfId="0" applyFont="1" applyFill="1"/>
    <xf numFmtId="0" fontId="34" fillId="0" borderId="6" xfId="0" applyFont="1" applyBorder="1"/>
    <xf numFmtId="0" fontId="34" fillId="0" borderId="3" xfId="0" applyFont="1" applyBorder="1"/>
    <xf numFmtId="0" fontId="42" fillId="19" borderId="28" xfId="0" applyFont="1" applyFill="1" applyBorder="1"/>
    <xf numFmtId="0" fontId="0" fillId="0" borderId="2" xfId="0" applyBorder="1"/>
    <xf numFmtId="0" fontId="3" fillId="0" borderId="2" xfId="0" applyFont="1" applyBorder="1"/>
    <xf numFmtId="0" fontId="0" fillId="0" borderId="4" xfId="0" applyBorder="1" applyAlignment="1">
      <alignment horizontal="center"/>
    </xf>
    <xf numFmtId="0" fontId="0" fillId="0" borderId="16" xfId="0" quotePrefix="1" applyBorder="1" applyAlignment="1">
      <alignment horizontal="center"/>
    </xf>
    <xf numFmtId="165" fontId="0" fillId="0" borderId="1" xfId="2" applyNumberFormat="1" applyFont="1" applyFill="1" applyBorder="1"/>
    <xf numFmtId="0" fontId="35" fillId="0" borderId="0" xfId="0" applyFont="1"/>
    <xf numFmtId="0" fontId="28" fillId="0" borderId="71" xfId="0" applyFont="1" applyBorder="1"/>
    <xf numFmtId="0" fontId="29" fillId="0" borderId="29" xfId="0" applyFont="1" applyBorder="1"/>
    <xf numFmtId="0" fontId="7" fillId="0" borderId="70" xfId="0" applyFont="1" applyBorder="1"/>
    <xf numFmtId="0" fontId="7" fillId="26" borderId="0" xfId="0" applyFont="1" applyFill="1" applyAlignment="1">
      <alignment horizontal="center"/>
    </xf>
    <xf numFmtId="0" fontId="7" fillId="26" borderId="0" xfId="0" quotePrefix="1" applyFont="1" applyFill="1" applyAlignment="1">
      <alignment horizontal="center"/>
    </xf>
    <xf numFmtId="0" fontId="28" fillId="0" borderId="49" xfId="0" applyFont="1" applyBorder="1"/>
    <xf numFmtId="0" fontId="7" fillId="0" borderId="49" xfId="0" applyFont="1" applyBorder="1"/>
    <xf numFmtId="0" fontId="7" fillId="0" borderId="48" xfId="0" applyFont="1" applyBorder="1"/>
    <xf numFmtId="0" fontId="7" fillId="0" borderId="72" xfId="0" applyFont="1" applyBorder="1"/>
    <xf numFmtId="0" fontId="5" fillId="19" borderId="85" xfId="0" applyFont="1" applyFill="1" applyBorder="1" applyAlignment="1">
      <alignment horizontal="center"/>
    </xf>
    <xf numFmtId="0" fontId="5" fillId="19" borderId="86" xfId="0" applyFont="1" applyFill="1" applyBorder="1"/>
    <xf numFmtId="0" fontId="5" fillId="19" borderId="87" xfId="0" applyFont="1" applyFill="1" applyBorder="1" applyAlignment="1">
      <alignment horizontal="center"/>
    </xf>
    <xf numFmtId="0" fontId="5" fillId="19" borderId="88" xfId="0" applyFont="1" applyFill="1" applyBorder="1"/>
    <xf numFmtId="0" fontId="7" fillId="11" borderId="0" xfId="0" applyFont="1" applyFill="1" applyAlignment="1">
      <alignment horizontal="center"/>
    </xf>
    <xf numFmtId="0" fontId="7" fillId="24" borderId="0" xfId="0" applyFont="1" applyFill="1" applyAlignment="1">
      <alignment horizontal="center"/>
    </xf>
    <xf numFmtId="9" fontId="14" fillId="13" borderId="0" xfId="1" applyFont="1" applyFill="1" applyAlignment="1">
      <alignment horizontal="center" vertical="center"/>
    </xf>
    <xf numFmtId="0" fontId="13" fillId="13" borderId="0" xfId="0" applyFont="1" applyFill="1" applyAlignment="1">
      <alignment horizontal="center" vertical="center"/>
    </xf>
    <xf numFmtId="0" fontId="0" fillId="0" borderId="89" xfId="0" applyBorder="1"/>
    <xf numFmtId="0" fontId="0" fillId="0" borderId="90" xfId="0" applyBorder="1"/>
    <xf numFmtId="1" fontId="0" fillId="0" borderId="91" xfId="0" applyNumberFormat="1" applyBorder="1"/>
    <xf numFmtId="0" fontId="0" fillId="0" borderId="92" xfId="0" applyBorder="1"/>
    <xf numFmtId="0" fontId="0" fillId="0" borderId="93" xfId="0" applyBorder="1"/>
    <xf numFmtId="1" fontId="0" fillId="0" borderId="94" xfId="0" applyNumberFormat="1" applyBorder="1"/>
    <xf numFmtId="0" fontId="0" fillId="0" borderId="95" xfId="0" applyBorder="1"/>
    <xf numFmtId="0" fontId="0" fillId="0" borderId="96" xfId="0" applyBorder="1"/>
    <xf numFmtId="1" fontId="0" fillId="0" borderId="97" xfId="0" applyNumberFormat="1" applyBorder="1"/>
    <xf numFmtId="165" fontId="3" fillId="0" borderId="0" xfId="2" applyNumberFormat="1" applyFont="1" applyFill="1"/>
    <xf numFmtId="0" fontId="0" fillId="11" borderId="0" xfId="0" applyFill="1" applyAlignment="1">
      <alignment horizontal="center"/>
    </xf>
    <xf numFmtId="0" fontId="5" fillId="27" borderId="27" xfId="0" applyFont="1" applyFill="1" applyBorder="1" applyAlignment="1">
      <alignment horizontal="center"/>
    </xf>
    <xf numFmtId="0" fontId="5" fillId="33" borderId="19" xfId="0" applyFont="1" applyFill="1" applyBorder="1"/>
    <xf numFmtId="0" fontId="3" fillId="0" borderId="16" xfId="0" quotePrefix="1" applyFont="1" applyBorder="1" applyAlignment="1">
      <alignment horizontal="center"/>
    </xf>
    <xf numFmtId="0" fontId="7" fillId="0" borderId="19" xfId="0" quotePrefix="1" applyFont="1" applyBorder="1" applyAlignment="1">
      <alignment horizontal="center"/>
    </xf>
    <xf numFmtId="0" fontId="3" fillId="0" borderId="19" xfId="0" quotePrefix="1" applyFont="1" applyBorder="1" applyAlignment="1">
      <alignment horizontal="center"/>
    </xf>
    <xf numFmtId="0" fontId="6" fillId="0" borderId="1" xfId="0" applyFont="1" applyBorder="1" applyAlignment="1">
      <alignment horizontal="left"/>
    </xf>
    <xf numFmtId="164" fontId="0" fillId="16" borderId="1" xfId="0" applyNumberFormat="1" applyFill="1" applyBorder="1"/>
    <xf numFmtId="0" fontId="0" fillId="11" borderId="0" xfId="0" applyFill="1"/>
    <xf numFmtId="0" fontId="7" fillId="0" borderId="0" xfId="7"/>
    <xf numFmtId="0" fontId="37" fillId="0" borderId="0" xfId="0" applyFont="1" applyAlignment="1">
      <alignment horizontal="left" indent="1"/>
    </xf>
    <xf numFmtId="0" fontId="37" fillId="0" borderId="0" xfId="0" applyFont="1" applyAlignment="1">
      <alignment horizontal="left" vertical="center"/>
    </xf>
    <xf numFmtId="43" fontId="37" fillId="0" borderId="0" xfId="11" applyFont="1"/>
    <xf numFmtId="0" fontId="37" fillId="0" borderId="0" xfId="0" applyFont="1" applyAlignment="1">
      <alignment horizontal="left"/>
    </xf>
    <xf numFmtId="0" fontId="5" fillId="7" borderId="37" xfId="0" quotePrefix="1" applyFont="1" applyFill="1" applyBorder="1" applyAlignment="1">
      <alignment horizontal="centerContinuous" vertical="center"/>
    </xf>
    <xf numFmtId="0" fontId="5" fillId="7" borderId="36" xfId="0" quotePrefix="1" applyFont="1" applyFill="1" applyBorder="1" applyAlignment="1">
      <alignment horizontal="centerContinuous" vertical="center"/>
    </xf>
    <xf numFmtId="0" fontId="5" fillId="7" borderId="35" xfId="0" quotePrefix="1" applyFont="1" applyFill="1" applyBorder="1" applyAlignment="1">
      <alignment horizontal="centerContinuous" vertical="center"/>
    </xf>
    <xf numFmtId="0" fontId="5" fillId="8" borderId="41" xfId="0" applyFont="1" applyFill="1" applyBorder="1" applyAlignment="1">
      <alignment horizontal="centerContinuous"/>
    </xf>
    <xf numFmtId="0" fontId="5" fillId="8" borderId="46" xfId="0" applyFont="1" applyFill="1" applyBorder="1" applyAlignment="1">
      <alignment horizontal="centerContinuous"/>
    </xf>
    <xf numFmtId="0" fontId="5" fillId="8" borderId="42" xfId="0" applyFont="1" applyFill="1" applyBorder="1" applyAlignment="1">
      <alignment horizontal="centerContinuous"/>
    </xf>
    <xf numFmtId="0" fontId="5" fillId="21" borderId="43" xfId="0" applyFont="1" applyFill="1" applyBorder="1" applyAlignment="1">
      <alignment horizontal="centerContinuous"/>
    </xf>
    <xf numFmtId="0" fontId="5" fillId="21" borderId="44" xfId="0" applyFont="1" applyFill="1" applyBorder="1" applyAlignment="1">
      <alignment horizontal="centerContinuous"/>
    </xf>
    <xf numFmtId="0" fontId="5" fillId="21" borderId="45" xfId="0" applyFont="1" applyFill="1" applyBorder="1" applyAlignment="1">
      <alignment horizontal="centerContinuous"/>
    </xf>
    <xf numFmtId="0" fontId="5" fillId="20" borderId="41" xfId="0" applyFont="1" applyFill="1" applyBorder="1" applyAlignment="1">
      <alignment horizontal="centerContinuous"/>
    </xf>
    <xf numFmtId="0" fontId="5" fillId="20" borderId="42" xfId="0" applyFont="1" applyFill="1" applyBorder="1" applyAlignment="1">
      <alignment horizontal="centerContinuous"/>
    </xf>
    <xf numFmtId="0" fontId="0" fillId="7" borderId="0" xfId="0" applyFill="1"/>
    <xf numFmtId="0" fontId="0" fillId="23" borderId="0" xfId="0" applyFill="1"/>
    <xf numFmtId="0" fontId="3" fillId="34" borderId="0" xfId="0" applyFont="1" applyFill="1"/>
    <xf numFmtId="0" fontId="5" fillId="0" borderId="53" xfId="0" applyFont="1" applyBorder="1" applyAlignment="1">
      <alignment horizontal="center"/>
    </xf>
    <xf numFmtId="0" fontId="7" fillId="11" borderId="29" xfId="0" applyFont="1" applyFill="1" applyBorder="1"/>
    <xf numFmtId="0" fontId="6" fillId="0" borderId="0" xfId="0" applyFont="1"/>
    <xf numFmtId="0" fontId="43" fillId="0" borderId="38" xfId="0" applyFont="1" applyBorder="1"/>
    <xf numFmtId="43" fontId="7" fillId="0" borderId="29" xfId="11" applyFont="1" applyBorder="1"/>
    <xf numFmtId="0" fontId="6" fillId="4" borderId="0" xfId="0" applyFont="1" applyFill="1"/>
    <xf numFmtId="0" fontId="44" fillId="24" borderId="0" xfId="0" applyFont="1" applyFill="1"/>
    <xf numFmtId="0" fontId="0" fillId="4" borderId="0" xfId="0" applyFill="1" applyAlignment="1">
      <alignment wrapText="1"/>
    </xf>
    <xf numFmtId="1" fontId="0" fillId="0" borderId="1" xfId="0" applyNumberFormat="1" applyBorder="1" applyAlignment="1">
      <alignment horizontal="center"/>
    </xf>
    <xf numFmtId="0" fontId="0" fillId="0" borderId="28" xfId="0" applyBorder="1"/>
    <xf numFmtId="0" fontId="35" fillId="0" borderId="38" xfId="0" applyFont="1" applyBorder="1" applyAlignment="1">
      <alignment horizontal="left"/>
    </xf>
    <xf numFmtId="168" fontId="33" fillId="0" borderId="1" xfId="0" applyNumberFormat="1" applyFont="1" applyBorder="1" applyAlignment="1">
      <alignment horizontal="center" vertical="center"/>
    </xf>
    <xf numFmtId="0" fontId="36" fillId="0" borderId="1" xfId="0" applyFont="1" applyBorder="1" applyAlignment="1">
      <alignment horizontal="center" vertical="center"/>
    </xf>
    <xf numFmtId="0" fontId="33" fillId="0" borderId="1" xfId="0" applyFont="1" applyBorder="1" applyAlignment="1">
      <alignment vertical="center" wrapText="1"/>
    </xf>
    <xf numFmtId="0" fontId="15" fillId="0" borderId="0" xfId="0" applyFont="1"/>
    <xf numFmtId="0" fontId="46" fillId="0" borderId="29" xfId="0" applyFont="1" applyBorder="1"/>
    <xf numFmtId="0" fontId="0" fillId="24" borderId="0" xfId="0" applyFill="1" applyAlignment="1">
      <alignment wrapText="1"/>
    </xf>
    <xf numFmtId="169" fontId="0" fillId="0" borderId="0" xfId="0" applyNumberFormat="1"/>
    <xf numFmtId="169" fontId="0" fillId="0" borderId="0" xfId="0" applyNumberFormat="1" applyAlignment="1">
      <alignment horizontal="center"/>
    </xf>
    <xf numFmtId="0" fontId="0" fillId="0" borderId="0" xfId="0" applyAlignment="1">
      <alignment horizontal="center" vertical="center"/>
    </xf>
    <xf numFmtId="16" fontId="0" fillId="0" borderId="0" xfId="0" applyNumberFormat="1"/>
    <xf numFmtId="16" fontId="15" fillId="0" borderId="0" xfId="0" applyNumberFormat="1" applyFont="1"/>
    <xf numFmtId="0" fontId="34" fillId="29" borderId="1" xfId="0" applyFont="1" applyFill="1" applyBorder="1"/>
    <xf numFmtId="0" fontId="32" fillId="29" borderId="0" xfId="0" applyFont="1" applyFill="1"/>
    <xf numFmtId="0" fontId="12" fillId="29" borderId="0" xfId="0" applyFont="1" applyFill="1"/>
    <xf numFmtId="0" fontId="34" fillId="29" borderId="98" xfId="0" applyFont="1" applyFill="1" applyBorder="1"/>
    <xf numFmtId="0" fontId="34" fillId="29" borderId="99" xfId="0" applyFont="1" applyFill="1" applyBorder="1"/>
    <xf numFmtId="0" fontId="34" fillId="29" borderId="100" xfId="0" applyFont="1" applyFill="1" applyBorder="1"/>
    <xf numFmtId="0" fontId="34" fillId="29" borderId="101" xfId="0" applyFont="1" applyFill="1" applyBorder="1"/>
    <xf numFmtId="0" fontId="34" fillId="29" borderId="102" xfId="0" applyFont="1" applyFill="1" applyBorder="1"/>
    <xf numFmtId="0" fontId="34" fillId="29" borderId="103" xfId="0" applyFont="1" applyFill="1" applyBorder="1"/>
    <xf numFmtId="0" fontId="34" fillId="29" borderId="104" xfId="0" applyFont="1" applyFill="1" applyBorder="1"/>
    <xf numFmtId="0" fontId="34" fillId="29" borderId="105" xfId="0" applyFont="1" applyFill="1" applyBorder="1"/>
    <xf numFmtId="0" fontId="0" fillId="0" borderId="0" xfId="2" applyNumberFormat="1" applyFont="1"/>
    <xf numFmtId="0" fontId="5" fillId="4" borderId="0" xfId="0" applyFont="1" applyFill="1" applyAlignment="1">
      <alignment horizontal="center" vertical="center"/>
    </xf>
    <xf numFmtId="169" fontId="5" fillId="4" borderId="0" xfId="0" applyNumberFormat="1" applyFont="1" applyFill="1" applyAlignment="1">
      <alignment horizontal="center" vertical="center"/>
    </xf>
    <xf numFmtId="169" fontId="5" fillId="35" borderId="1" xfId="0" applyNumberFormat="1" applyFont="1" applyFill="1" applyBorder="1" applyAlignment="1">
      <alignment horizontal="left"/>
    </xf>
    <xf numFmtId="0" fontId="5" fillId="35" borderId="1" xfId="0" applyFont="1" applyFill="1" applyBorder="1"/>
    <xf numFmtId="43" fontId="7" fillId="0" borderId="28" xfId="13" applyFont="1" applyBorder="1"/>
    <xf numFmtId="0" fontId="0" fillId="4" borderId="29" xfId="0" applyFill="1" applyBorder="1"/>
    <xf numFmtId="0" fontId="7" fillId="4" borderId="28" xfId="0" applyFont="1" applyFill="1" applyBorder="1"/>
    <xf numFmtId="0" fontId="27" fillId="0" borderId="0" xfId="0" applyFont="1"/>
    <xf numFmtId="0" fontId="27" fillId="26" borderId="0" xfId="0" quotePrefix="1" applyFont="1" applyFill="1" applyAlignment="1">
      <alignment horizontal="center"/>
    </xf>
    <xf numFmtId="0" fontId="27" fillId="15" borderId="106" xfId="0" applyFont="1" applyFill="1" applyBorder="1"/>
    <xf numFmtId="0" fontId="27" fillId="15" borderId="107" xfId="0" applyFont="1" applyFill="1" applyBorder="1" applyAlignment="1">
      <alignment horizontal="center"/>
    </xf>
    <xf numFmtId="0" fontId="27" fillId="15" borderId="108" xfId="0" applyFont="1" applyFill="1" applyBorder="1"/>
    <xf numFmtId="0" fontId="27" fillId="15" borderId="109" xfId="0" applyFont="1" applyFill="1" applyBorder="1"/>
    <xf numFmtId="0" fontId="27" fillId="15" borderId="110" xfId="0" applyFont="1" applyFill="1" applyBorder="1"/>
    <xf numFmtId="0" fontId="7" fillId="0" borderId="0" xfId="0" applyFont="1" applyAlignment="1">
      <alignment horizontal="center"/>
    </xf>
    <xf numFmtId="14" fontId="48" fillId="0" borderId="21" xfId="0" applyNumberFormat="1" applyFont="1" applyBorder="1" applyAlignment="1">
      <alignment horizontal="center" vertical="center" wrapText="1"/>
    </xf>
    <xf numFmtId="0" fontId="2" fillId="0" borderId="0" xfId="3"/>
    <xf numFmtId="0" fontId="49" fillId="0" borderId="0" xfId="3" applyFont="1"/>
    <xf numFmtId="0" fontId="7" fillId="11" borderId="53" xfId="0" applyFont="1" applyFill="1" applyBorder="1"/>
    <xf numFmtId="0" fontId="0" fillId="11" borderId="0" xfId="0" applyFill="1" applyAlignment="1">
      <alignment wrapText="1"/>
    </xf>
    <xf numFmtId="0" fontId="45" fillId="4" borderId="0" xfId="0" applyFont="1" applyFill="1"/>
    <xf numFmtId="0" fontId="34" fillId="0" borderId="0" xfId="0" applyFont="1" applyAlignment="1">
      <alignment horizontal="center"/>
    </xf>
    <xf numFmtId="0" fontId="34" fillId="0" borderId="0" xfId="0" applyFont="1" applyAlignment="1">
      <alignment horizontal="left"/>
    </xf>
    <xf numFmtId="0" fontId="34" fillId="0" borderId="0" xfId="0" applyFont="1" applyAlignment="1">
      <alignment horizontal="right"/>
    </xf>
    <xf numFmtId="0" fontId="12"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50" fillId="0" borderId="38" xfId="0" applyFont="1" applyBorder="1" applyAlignment="1">
      <alignment horizontal="left"/>
    </xf>
    <xf numFmtId="0" fontId="33" fillId="0" borderId="38" xfId="0" applyFont="1" applyBorder="1" applyAlignment="1">
      <alignment horizontal="left"/>
    </xf>
    <xf numFmtId="0" fontId="51" fillId="0" borderId="0" xfId="0" applyFont="1"/>
    <xf numFmtId="0" fontId="50" fillId="0" borderId="38" xfId="0" applyFont="1" applyBorder="1"/>
    <xf numFmtId="0" fontId="35" fillId="0" borderId="38" xfId="0" applyFont="1" applyBorder="1"/>
    <xf numFmtId="0" fontId="52" fillId="4" borderId="0" xfId="0" applyFont="1" applyFill="1"/>
    <xf numFmtId="0" fontId="28" fillId="11" borderId="53" xfId="0" applyFont="1" applyFill="1" applyBorder="1"/>
    <xf numFmtId="0" fontId="52" fillId="2" borderId="0" xfId="0" applyFont="1" applyFill="1"/>
    <xf numFmtId="0" fontId="7" fillId="14" borderId="27" xfId="0" applyFont="1" applyFill="1" applyBorder="1"/>
    <xf numFmtId="0" fontId="0" fillId="2" borderId="0" xfId="0" applyFill="1" applyAlignment="1">
      <alignment wrapText="1"/>
    </xf>
    <xf numFmtId="1" fontId="3" fillId="0" borderId="0" xfId="0" applyNumberFormat="1" applyFont="1"/>
    <xf numFmtId="0" fontId="0" fillId="0" borderId="0" xfId="5" applyFont="1" applyFill="1"/>
    <xf numFmtId="0" fontId="0" fillId="0" borderId="0" xfId="5" applyFont="1" applyFill="1" applyAlignment="1"/>
    <xf numFmtId="44" fontId="0" fillId="4" borderId="0" xfId="15" applyFont="1" applyFill="1"/>
    <xf numFmtId="0" fontId="28" fillId="4" borderId="27" xfId="0" applyFont="1" applyFill="1" applyBorder="1"/>
    <xf numFmtId="0" fontId="28" fillId="4" borderId="26" xfId="0" applyFont="1" applyFill="1" applyBorder="1"/>
    <xf numFmtId="0" fontId="6" fillId="4" borderId="27" xfId="0" applyFont="1" applyFill="1" applyBorder="1"/>
    <xf numFmtId="0" fontId="6" fillId="4" borderId="26" xfId="0" applyFont="1" applyFill="1" applyBorder="1"/>
    <xf numFmtId="0" fontId="3" fillId="4" borderId="0" xfId="0" applyFont="1" applyFill="1"/>
    <xf numFmtId="0" fontId="52" fillId="0" borderId="0" xfId="0" applyFont="1"/>
    <xf numFmtId="0" fontId="7" fillId="6" borderId="28" xfId="0" applyFont="1" applyFill="1" applyBorder="1"/>
    <xf numFmtId="0" fontId="7" fillId="6" borderId="29" xfId="0" applyFont="1" applyFill="1" applyBorder="1"/>
    <xf numFmtId="0" fontId="28" fillId="6" borderId="53" xfId="0" applyFont="1" applyFill="1" applyBorder="1"/>
    <xf numFmtId="0" fontId="28" fillId="6" borderId="54" xfId="0" applyFont="1" applyFill="1" applyBorder="1"/>
    <xf numFmtId="0" fontId="7" fillId="6" borderId="26" xfId="0" applyFont="1" applyFill="1" applyBorder="1"/>
    <xf numFmtId="0" fontId="7" fillId="6" borderId="54" xfId="0" applyFont="1" applyFill="1" applyBorder="1"/>
    <xf numFmtId="0" fontId="7" fillId="6" borderId="27" xfId="0" applyFont="1" applyFill="1" applyBorder="1"/>
    <xf numFmtId="0" fontId="28" fillId="6" borderId="28" xfId="0" applyFont="1" applyFill="1" applyBorder="1"/>
    <xf numFmtId="0" fontId="28" fillId="6" borderId="29" xfId="0" applyFont="1" applyFill="1" applyBorder="1"/>
    <xf numFmtId="0" fontId="28" fillId="11" borderId="27" xfId="0" applyFont="1" applyFill="1" applyBorder="1"/>
    <xf numFmtId="0" fontId="7" fillId="11" borderId="27" xfId="0" applyFont="1" applyFill="1" applyBorder="1"/>
    <xf numFmtId="0" fontId="7" fillId="6" borderId="49" xfId="0" applyFont="1" applyFill="1" applyBorder="1"/>
    <xf numFmtId="0" fontId="28" fillId="11" borderId="29" xfId="0" applyFont="1" applyFill="1" applyBorder="1"/>
    <xf numFmtId="0" fontId="7" fillId="4" borderId="29" xfId="0" applyFont="1" applyFill="1" applyBorder="1"/>
    <xf numFmtId="0" fontId="7" fillId="4" borderId="54" xfId="0" applyFont="1" applyFill="1" applyBorder="1"/>
    <xf numFmtId="0" fontId="15" fillId="6" borderId="0" xfId="0" applyFont="1" applyFill="1"/>
    <xf numFmtId="0" fontId="6" fillId="11" borderId="0" xfId="0" applyFont="1" applyFill="1"/>
    <xf numFmtId="0" fontId="28" fillId="6" borderId="27" xfId="0" applyFont="1" applyFill="1" applyBorder="1"/>
    <xf numFmtId="0" fontId="28" fillId="6" borderId="26" xfId="0" applyFont="1" applyFill="1" applyBorder="1"/>
    <xf numFmtId="0" fontId="3" fillId="0" borderId="0" xfId="0" applyFont="1" applyAlignment="1">
      <alignment horizontal="center"/>
    </xf>
    <xf numFmtId="0" fontId="0" fillId="0" borderId="0" xfId="0" applyAlignment="1">
      <alignment horizontal="center"/>
    </xf>
    <xf numFmtId="0" fontId="7" fillId="14" borderId="0" xfId="0" applyFont="1" applyFill="1" applyAlignment="1">
      <alignment horizontal="center"/>
    </xf>
    <xf numFmtId="0" fontId="7" fillId="2" borderId="0" xfId="0" applyFont="1" applyFill="1" applyAlignment="1">
      <alignment horizontal="center"/>
    </xf>
    <xf numFmtId="0" fontId="7" fillId="4" borderId="0" xfId="0" applyFont="1" applyFill="1" applyAlignment="1">
      <alignment horizontal="center"/>
    </xf>
    <xf numFmtId="0" fontId="5" fillId="0" borderId="71" xfId="0" applyFont="1" applyBorder="1" applyAlignment="1">
      <alignment horizontal="center"/>
    </xf>
    <xf numFmtId="0" fontId="5" fillId="0" borderId="0" xfId="0" applyFont="1" applyAlignment="1">
      <alignment horizontal="center"/>
    </xf>
    <xf numFmtId="0" fontId="5" fillId="0" borderId="49"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22" xfId="0" applyFont="1" applyBorder="1" applyAlignment="1">
      <alignment horizontal="center"/>
    </xf>
    <xf numFmtId="0" fontId="47" fillId="0" borderId="13" xfId="0" applyFont="1" applyBorder="1" applyAlignment="1">
      <alignment horizontal="center" wrapText="1"/>
    </xf>
    <xf numFmtId="0" fontId="33" fillId="0" borderId="1" xfId="0" applyFont="1" applyBorder="1" applyAlignment="1">
      <alignment horizontal="center"/>
    </xf>
    <xf numFmtId="0" fontId="33" fillId="0" borderId="17" xfId="0" applyFont="1" applyBorder="1" applyAlignment="1">
      <alignment horizontal="center"/>
    </xf>
    <xf numFmtId="0" fontId="33" fillId="0" borderId="2" xfId="0" applyFont="1" applyBorder="1" applyAlignment="1">
      <alignment horizontal="center"/>
    </xf>
    <xf numFmtId="0" fontId="33" fillId="0" borderId="4" xfId="0" applyFont="1" applyBorder="1" applyAlignment="1">
      <alignment horizontal="center"/>
    </xf>
    <xf numFmtId="0" fontId="5" fillId="10" borderId="3" xfId="0" applyFont="1" applyFill="1" applyBorder="1" applyAlignment="1">
      <alignment horizontal="center" vertical="center"/>
    </xf>
    <xf numFmtId="0" fontId="5" fillId="10" borderId="2" xfId="0" applyFont="1" applyFill="1" applyBorder="1" applyAlignment="1">
      <alignment horizontal="center" vertical="center"/>
    </xf>
    <xf numFmtId="0" fontId="5" fillId="10" borderId="4" xfId="0" applyFont="1" applyFill="1" applyBorder="1" applyAlignment="1">
      <alignment horizontal="center" vertical="center"/>
    </xf>
    <xf numFmtId="0" fontId="5" fillId="10" borderId="1" xfId="0" applyFont="1" applyFill="1" applyBorder="1" applyAlignment="1">
      <alignment horizontal="center" vertical="center"/>
    </xf>
    <xf numFmtId="9" fontId="14" fillId="13" borderId="0" xfId="1" applyFont="1" applyFill="1" applyAlignment="1">
      <alignment horizontal="center" vertical="center"/>
    </xf>
    <xf numFmtId="0" fontId="13" fillId="13" borderId="0" xfId="0" applyFont="1" applyFill="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4" fillId="10" borderId="4" xfId="0" applyFont="1" applyFill="1" applyBorder="1" applyAlignment="1">
      <alignment horizontal="center" vertical="center"/>
    </xf>
    <xf numFmtId="0" fontId="13" fillId="12" borderId="5" xfId="0" applyFont="1" applyFill="1" applyBorder="1" applyAlignment="1">
      <alignment horizontal="center"/>
    </xf>
    <xf numFmtId="0" fontId="13" fillId="12" borderId="0" xfId="0" applyFont="1" applyFill="1" applyAlignment="1">
      <alignment horizont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13" fillId="12" borderId="7" xfId="0" applyFont="1" applyFill="1" applyBorder="1" applyAlignment="1">
      <alignment horizontal="center"/>
    </xf>
    <xf numFmtId="0" fontId="13" fillId="12" borderId="6" xfId="0" applyFont="1" applyFill="1" applyBorder="1" applyAlignment="1">
      <alignment horizontal="center"/>
    </xf>
    <xf numFmtId="0" fontId="4" fillId="10" borderId="1" xfId="0" applyFont="1" applyFill="1" applyBorder="1" applyAlignment="1">
      <alignment horizontal="center" vertical="center"/>
    </xf>
    <xf numFmtId="0" fontId="4" fillId="27" borderId="2" xfId="0" applyFont="1" applyFill="1" applyBorder="1" applyAlignment="1">
      <alignment horizontal="center" vertical="center"/>
    </xf>
    <xf numFmtId="0" fontId="4" fillId="27" borderId="3" xfId="0" applyFont="1" applyFill="1" applyBorder="1" applyAlignment="1">
      <alignment horizontal="center" vertical="center"/>
    </xf>
    <xf numFmtId="0" fontId="4" fillId="27" borderId="4" xfId="0" applyFont="1" applyFill="1" applyBorder="1" applyAlignment="1">
      <alignment horizontal="center" vertical="center"/>
    </xf>
    <xf numFmtId="0" fontId="4" fillId="28" borderId="1" xfId="0" applyFont="1" applyFill="1" applyBorder="1" applyAlignment="1">
      <alignment horizontal="center" vertical="center"/>
    </xf>
    <xf numFmtId="0" fontId="4" fillId="28" borderId="2" xfId="0" applyFont="1" applyFill="1" applyBorder="1" applyAlignment="1">
      <alignment horizontal="center" vertical="center"/>
    </xf>
    <xf numFmtId="0" fontId="4" fillId="28" borderId="3" xfId="0" applyFont="1" applyFill="1" applyBorder="1" applyAlignment="1">
      <alignment horizontal="center" vertical="center"/>
    </xf>
    <xf numFmtId="0" fontId="4" fillId="28" borderId="4" xfId="0" applyFont="1" applyFill="1" applyBorder="1" applyAlignment="1">
      <alignment horizontal="center" vertical="center"/>
    </xf>
    <xf numFmtId="0" fontId="5" fillId="28" borderId="2" xfId="0" applyFont="1" applyFill="1" applyBorder="1" applyAlignment="1">
      <alignment horizontal="center" vertical="center"/>
    </xf>
    <xf numFmtId="0" fontId="5" fillId="28" borderId="4" xfId="0" applyFont="1" applyFill="1" applyBorder="1" applyAlignment="1">
      <alignment horizontal="center" vertical="center"/>
    </xf>
    <xf numFmtId="0" fontId="13" fillId="12" borderId="2" xfId="0" applyFont="1" applyFill="1" applyBorder="1" applyAlignment="1">
      <alignment horizontal="center"/>
    </xf>
    <xf numFmtId="0" fontId="13" fillId="12" borderId="3" xfId="0" applyFont="1" applyFill="1" applyBorder="1" applyAlignment="1">
      <alignment horizontal="center"/>
    </xf>
    <xf numFmtId="0" fontId="13" fillId="12" borderId="4" xfId="0" applyFont="1" applyFill="1" applyBorder="1" applyAlignment="1">
      <alignment horizontal="center"/>
    </xf>
    <xf numFmtId="0" fontId="24" fillId="17" borderId="23" xfId="5" quotePrefix="1" applyFont="1" applyBorder="1" applyAlignment="1">
      <alignment horizontal="center"/>
    </xf>
    <xf numFmtId="0" fontId="24" fillId="17" borderId="24" xfId="5" quotePrefix="1" applyFont="1" applyBorder="1" applyAlignment="1">
      <alignment horizontal="center"/>
    </xf>
    <xf numFmtId="0" fontId="24" fillId="17" borderId="25" xfId="5" quotePrefix="1" applyFont="1" applyBorder="1" applyAlignment="1">
      <alignment horizontal="center"/>
    </xf>
    <xf numFmtId="168" fontId="3" fillId="0" borderId="9" xfId="0" applyNumberFormat="1" applyFont="1" applyBorder="1" applyAlignment="1">
      <alignment horizontal="center"/>
    </xf>
    <xf numFmtId="168" fontId="3" fillId="0" borderId="10" xfId="0" applyNumberFormat="1" applyFont="1" applyBorder="1" applyAlignment="1">
      <alignment horizontal="center"/>
    </xf>
    <xf numFmtId="168" fontId="3" fillId="0" borderId="11" xfId="0" applyNumberFormat="1" applyFont="1" applyBorder="1" applyAlignment="1">
      <alignment horizontal="center"/>
    </xf>
  </cellXfs>
  <cellStyles count="16">
    <cellStyle name="Bad" xfId="5" builtinId="27"/>
    <cellStyle name="Comma" xfId="2" builtinId="3"/>
    <cellStyle name="Comma 3" xfId="6" xr:uid="{00000000-0005-0000-0000-000002000000}"/>
    <cellStyle name="Comma 3 2" xfId="8" xr:uid="{00000000-0005-0000-0000-000003000000}"/>
    <cellStyle name="Comma 3 2 2" xfId="10" xr:uid="{00000000-0005-0000-0000-000004000000}"/>
    <cellStyle name="Comma 3 2 2 2" xfId="14" xr:uid="{00000000-0005-0000-0000-000005000000}"/>
    <cellStyle name="Comma 3 2 3" xfId="12" xr:uid="{00000000-0005-0000-0000-000006000000}"/>
    <cellStyle name="Comma 3 3" xfId="9" xr:uid="{00000000-0005-0000-0000-000007000000}"/>
    <cellStyle name="Comma 3 3 2" xfId="13" xr:uid="{00000000-0005-0000-0000-000008000000}"/>
    <cellStyle name="Comma 3 4" xfId="11" xr:uid="{00000000-0005-0000-0000-000009000000}"/>
    <cellStyle name="Currency" xfId="15" builtinId="4"/>
    <cellStyle name="Normal" xfId="0" builtinId="0"/>
    <cellStyle name="Normal 2" xfId="3" xr:uid="{00000000-0005-0000-0000-00000C000000}"/>
    <cellStyle name="Normal 2 2" xfId="4" xr:uid="{00000000-0005-0000-0000-00000D000000}"/>
    <cellStyle name="Normal 2 3" xfId="7" xr:uid="{00000000-0005-0000-0000-00000E000000}"/>
    <cellStyle name="Percent" xfId="1" builtinId="5"/>
  </cellStyles>
  <dxfs count="247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C00000"/>
      </font>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ont>
        <color rgb="FF9C0006"/>
      </font>
      <fill>
        <patternFill>
          <bgColor theme="0" tint="-0.14996795556505021"/>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F99FF"/>
      <color rgb="FFFF6600"/>
      <color rgb="FF006600"/>
      <color rgb="FFFFCCCC"/>
      <color rgb="FF00FF00"/>
      <color rgb="FF00FFCC"/>
      <color rgb="FFFFCCFF"/>
      <color rgb="FF99FF99"/>
      <color rgb="FF99CC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682487</xdr:colOff>
      <xdr:row>0</xdr:row>
      <xdr:rowOff>168965</xdr:rowOff>
    </xdr:from>
    <xdr:ext cx="65" cy="172227"/>
    <xdr:sp macro="" textlink="">
      <xdr:nvSpPr>
        <xdr:cNvPr id="2" name="TextBox 1">
          <a:extLst>
            <a:ext uri="{FF2B5EF4-FFF2-40B4-BE49-F238E27FC236}">
              <a16:creationId xmlns:a16="http://schemas.microsoft.com/office/drawing/2014/main" id="{00000000-0008-0000-0500-00001B010000}"/>
            </a:ext>
          </a:extLst>
        </xdr:cNvPr>
        <xdr:cNvSpPr txBox="1"/>
      </xdr:nvSpPr>
      <xdr:spPr>
        <a:xfrm>
          <a:off x="8378687" y="1689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682487</xdr:colOff>
      <xdr:row>0</xdr:row>
      <xdr:rowOff>168965</xdr:rowOff>
    </xdr:from>
    <xdr:ext cx="65" cy="172227"/>
    <xdr:sp macro="" textlink="">
      <xdr:nvSpPr>
        <xdr:cNvPr id="3" name="TextBox 2">
          <a:extLst>
            <a:ext uri="{FF2B5EF4-FFF2-40B4-BE49-F238E27FC236}">
              <a16:creationId xmlns:a16="http://schemas.microsoft.com/office/drawing/2014/main" id="{00000000-0008-0000-0500-00001C010000}"/>
            </a:ext>
          </a:extLst>
        </xdr:cNvPr>
        <xdr:cNvSpPr txBox="1"/>
      </xdr:nvSpPr>
      <xdr:spPr>
        <a:xfrm>
          <a:off x="8378687" y="1689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682487</xdr:colOff>
      <xdr:row>0</xdr:row>
      <xdr:rowOff>168965</xdr:rowOff>
    </xdr:from>
    <xdr:ext cx="65" cy="172227"/>
    <xdr:sp macro="" textlink="">
      <xdr:nvSpPr>
        <xdr:cNvPr id="4" name="TextBox 3">
          <a:extLst>
            <a:ext uri="{FF2B5EF4-FFF2-40B4-BE49-F238E27FC236}">
              <a16:creationId xmlns:a16="http://schemas.microsoft.com/office/drawing/2014/main" id="{00000000-0008-0000-0500-00001D010000}"/>
            </a:ext>
          </a:extLst>
        </xdr:cNvPr>
        <xdr:cNvSpPr txBox="1"/>
      </xdr:nvSpPr>
      <xdr:spPr>
        <a:xfrm>
          <a:off x="8378687" y="1689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682487</xdr:colOff>
      <xdr:row>0</xdr:row>
      <xdr:rowOff>168965</xdr:rowOff>
    </xdr:from>
    <xdr:ext cx="65" cy="172227"/>
    <xdr:sp macro="" textlink="">
      <xdr:nvSpPr>
        <xdr:cNvPr id="5" name="TextBox 4">
          <a:extLst>
            <a:ext uri="{FF2B5EF4-FFF2-40B4-BE49-F238E27FC236}">
              <a16:creationId xmlns:a16="http://schemas.microsoft.com/office/drawing/2014/main" id="{00000000-0008-0000-0500-00001E010000}"/>
            </a:ext>
          </a:extLst>
        </xdr:cNvPr>
        <xdr:cNvSpPr txBox="1"/>
      </xdr:nvSpPr>
      <xdr:spPr>
        <a:xfrm>
          <a:off x="8378687" y="1689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682487</xdr:colOff>
      <xdr:row>0</xdr:row>
      <xdr:rowOff>168965</xdr:rowOff>
    </xdr:from>
    <xdr:ext cx="65" cy="172227"/>
    <xdr:sp macro="" textlink="">
      <xdr:nvSpPr>
        <xdr:cNvPr id="6" name="TextBox 5">
          <a:extLst>
            <a:ext uri="{FF2B5EF4-FFF2-40B4-BE49-F238E27FC236}">
              <a16:creationId xmlns:a16="http://schemas.microsoft.com/office/drawing/2014/main" id="{00000000-0008-0000-0500-00001F010000}"/>
            </a:ext>
          </a:extLst>
        </xdr:cNvPr>
        <xdr:cNvSpPr txBox="1"/>
      </xdr:nvSpPr>
      <xdr:spPr>
        <a:xfrm>
          <a:off x="8378687" y="16896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 name="TextBox 6">
          <a:extLst>
            <a:ext uri="{FF2B5EF4-FFF2-40B4-BE49-F238E27FC236}">
              <a16:creationId xmlns:a16="http://schemas.microsoft.com/office/drawing/2014/main" id="{61E46BA6-9E02-46F9-8B9E-B1C00CC9D59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 name="TextBox 7">
          <a:extLst>
            <a:ext uri="{FF2B5EF4-FFF2-40B4-BE49-F238E27FC236}">
              <a16:creationId xmlns:a16="http://schemas.microsoft.com/office/drawing/2014/main" id="{DB2A45FD-BB6C-4950-8453-0A4FA86D514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 name="TextBox 8">
          <a:extLst>
            <a:ext uri="{FF2B5EF4-FFF2-40B4-BE49-F238E27FC236}">
              <a16:creationId xmlns:a16="http://schemas.microsoft.com/office/drawing/2014/main" id="{F43985B9-BB2B-4DFF-BAD6-5D94B7848DC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 name="TextBox 9">
          <a:extLst>
            <a:ext uri="{FF2B5EF4-FFF2-40B4-BE49-F238E27FC236}">
              <a16:creationId xmlns:a16="http://schemas.microsoft.com/office/drawing/2014/main" id="{51AD53DC-163D-4BDF-87D1-DAE7DEA946E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 name="TextBox 10">
          <a:extLst>
            <a:ext uri="{FF2B5EF4-FFF2-40B4-BE49-F238E27FC236}">
              <a16:creationId xmlns:a16="http://schemas.microsoft.com/office/drawing/2014/main" id="{13898171-FE2E-45E8-846E-3A58FA46537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 name="TextBox 11">
          <a:extLst>
            <a:ext uri="{FF2B5EF4-FFF2-40B4-BE49-F238E27FC236}">
              <a16:creationId xmlns:a16="http://schemas.microsoft.com/office/drawing/2014/main" id="{3D83C062-4469-4FE6-BF30-FD654D9C09A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 name="TextBox 12">
          <a:extLst>
            <a:ext uri="{FF2B5EF4-FFF2-40B4-BE49-F238E27FC236}">
              <a16:creationId xmlns:a16="http://schemas.microsoft.com/office/drawing/2014/main" id="{AEC41023-CDD3-4CF7-BBB5-864A8E2DF57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 name="TextBox 13">
          <a:extLst>
            <a:ext uri="{FF2B5EF4-FFF2-40B4-BE49-F238E27FC236}">
              <a16:creationId xmlns:a16="http://schemas.microsoft.com/office/drawing/2014/main" id="{17AE5BA7-891D-4975-8B9B-AEF1AA2FA16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 name="TextBox 14">
          <a:extLst>
            <a:ext uri="{FF2B5EF4-FFF2-40B4-BE49-F238E27FC236}">
              <a16:creationId xmlns:a16="http://schemas.microsoft.com/office/drawing/2014/main" id="{2C2464C1-CFBD-4F10-B708-5A28893E83F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 name="TextBox 15">
          <a:extLst>
            <a:ext uri="{FF2B5EF4-FFF2-40B4-BE49-F238E27FC236}">
              <a16:creationId xmlns:a16="http://schemas.microsoft.com/office/drawing/2014/main" id="{A5E8E5EE-20C3-42EE-999E-14155B320F1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 name="TextBox 16">
          <a:extLst>
            <a:ext uri="{FF2B5EF4-FFF2-40B4-BE49-F238E27FC236}">
              <a16:creationId xmlns:a16="http://schemas.microsoft.com/office/drawing/2014/main" id="{ED169233-1D1F-4914-9774-7FDC86C52D5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 name="TextBox 17">
          <a:extLst>
            <a:ext uri="{FF2B5EF4-FFF2-40B4-BE49-F238E27FC236}">
              <a16:creationId xmlns:a16="http://schemas.microsoft.com/office/drawing/2014/main" id="{4ECA7F2F-B132-44FD-B825-DD263A50FE7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 name="TextBox 18">
          <a:extLst>
            <a:ext uri="{FF2B5EF4-FFF2-40B4-BE49-F238E27FC236}">
              <a16:creationId xmlns:a16="http://schemas.microsoft.com/office/drawing/2014/main" id="{ED636AED-C717-4C4A-A5F3-78B3962991E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 name="TextBox 19">
          <a:extLst>
            <a:ext uri="{FF2B5EF4-FFF2-40B4-BE49-F238E27FC236}">
              <a16:creationId xmlns:a16="http://schemas.microsoft.com/office/drawing/2014/main" id="{499DE0F7-B1FC-4857-BBF6-A68913EF56A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 name="TextBox 20">
          <a:extLst>
            <a:ext uri="{FF2B5EF4-FFF2-40B4-BE49-F238E27FC236}">
              <a16:creationId xmlns:a16="http://schemas.microsoft.com/office/drawing/2014/main" id="{E59FF1CC-BE9C-4489-8C96-730F45120C5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 name="TextBox 21">
          <a:extLst>
            <a:ext uri="{FF2B5EF4-FFF2-40B4-BE49-F238E27FC236}">
              <a16:creationId xmlns:a16="http://schemas.microsoft.com/office/drawing/2014/main" id="{36E1D446-0AD0-4B49-8B0D-D25DEF81129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 name="TextBox 22">
          <a:extLst>
            <a:ext uri="{FF2B5EF4-FFF2-40B4-BE49-F238E27FC236}">
              <a16:creationId xmlns:a16="http://schemas.microsoft.com/office/drawing/2014/main" id="{0A98F935-2B7C-40E5-9D30-2CB44A53888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 name="TextBox 23">
          <a:extLst>
            <a:ext uri="{FF2B5EF4-FFF2-40B4-BE49-F238E27FC236}">
              <a16:creationId xmlns:a16="http://schemas.microsoft.com/office/drawing/2014/main" id="{BD9DB447-681C-420C-A610-E16E916E5C8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 name="TextBox 24">
          <a:extLst>
            <a:ext uri="{FF2B5EF4-FFF2-40B4-BE49-F238E27FC236}">
              <a16:creationId xmlns:a16="http://schemas.microsoft.com/office/drawing/2014/main" id="{E070AB60-7F32-46E1-B17A-54241411E8F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 name="TextBox 25">
          <a:extLst>
            <a:ext uri="{FF2B5EF4-FFF2-40B4-BE49-F238E27FC236}">
              <a16:creationId xmlns:a16="http://schemas.microsoft.com/office/drawing/2014/main" id="{31B4525E-9913-405B-988D-2FE832D5DB0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 name="TextBox 26">
          <a:extLst>
            <a:ext uri="{FF2B5EF4-FFF2-40B4-BE49-F238E27FC236}">
              <a16:creationId xmlns:a16="http://schemas.microsoft.com/office/drawing/2014/main" id="{1F5BB70A-4C25-41DB-BE8B-B84783BBB03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 name="TextBox 27">
          <a:extLst>
            <a:ext uri="{FF2B5EF4-FFF2-40B4-BE49-F238E27FC236}">
              <a16:creationId xmlns:a16="http://schemas.microsoft.com/office/drawing/2014/main" id="{30AF56AA-DA80-411B-BA50-351788191A3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 name="TextBox 28">
          <a:extLst>
            <a:ext uri="{FF2B5EF4-FFF2-40B4-BE49-F238E27FC236}">
              <a16:creationId xmlns:a16="http://schemas.microsoft.com/office/drawing/2014/main" id="{1EB35A9E-016B-4E7E-AB7A-7D386EF76A7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 name="TextBox 29">
          <a:extLst>
            <a:ext uri="{FF2B5EF4-FFF2-40B4-BE49-F238E27FC236}">
              <a16:creationId xmlns:a16="http://schemas.microsoft.com/office/drawing/2014/main" id="{7883B7CF-B43F-484E-A4F8-7E966FB647E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 name="TextBox 30">
          <a:extLst>
            <a:ext uri="{FF2B5EF4-FFF2-40B4-BE49-F238E27FC236}">
              <a16:creationId xmlns:a16="http://schemas.microsoft.com/office/drawing/2014/main" id="{D6E0043F-0E46-40E8-BDD6-33CD07F3A92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 name="TextBox 31">
          <a:extLst>
            <a:ext uri="{FF2B5EF4-FFF2-40B4-BE49-F238E27FC236}">
              <a16:creationId xmlns:a16="http://schemas.microsoft.com/office/drawing/2014/main" id="{0DB79E05-603E-47A6-A266-1CE74962007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 name="TextBox 32">
          <a:extLst>
            <a:ext uri="{FF2B5EF4-FFF2-40B4-BE49-F238E27FC236}">
              <a16:creationId xmlns:a16="http://schemas.microsoft.com/office/drawing/2014/main" id="{44113756-EB0B-4A6E-A8DD-8EC505E349D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 name="TextBox 33">
          <a:extLst>
            <a:ext uri="{FF2B5EF4-FFF2-40B4-BE49-F238E27FC236}">
              <a16:creationId xmlns:a16="http://schemas.microsoft.com/office/drawing/2014/main" id="{637FDC4E-0E78-4138-859D-9607C293B44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 name="TextBox 34">
          <a:extLst>
            <a:ext uri="{FF2B5EF4-FFF2-40B4-BE49-F238E27FC236}">
              <a16:creationId xmlns:a16="http://schemas.microsoft.com/office/drawing/2014/main" id="{B23C199E-4B25-4591-9D0D-A9A8B2B44A3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 name="TextBox 35">
          <a:extLst>
            <a:ext uri="{FF2B5EF4-FFF2-40B4-BE49-F238E27FC236}">
              <a16:creationId xmlns:a16="http://schemas.microsoft.com/office/drawing/2014/main" id="{09A2130D-2DD2-4F79-9007-774AA174872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 name="TextBox 36">
          <a:extLst>
            <a:ext uri="{FF2B5EF4-FFF2-40B4-BE49-F238E27FC236}">
              <a16:creationId xmlns:a16="http://schemas.microsoft.com/office/drawing/2014/main" id="{B23FA4C6-80C7-4F90-9199-697F31A969F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 name="TextBox 37">
          <a:extLst>
            <a:ext uri="{FF2B5EF4-FFF2-40B4-BE49-F238E27FC236}">
              <a16:creationId xmlns:a16="http://schemas.microsoft.com/office/drawing/2014/main" id="{B7BF4371-ADAB-4066-B0A1-1CB68E45252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 name="TextBox 38">
          <a:extLst>
            <a:ext uri="{FF2B5EF4-FFF2-40B4-BE49-F238E27FC236}">
              <a16:creationId xmlns:a16="http://schemas.microsoft.com/office/drawing/2014/main" id="{34380731-D5F6-444B-B663-EE0213A2F5F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 name="TextBox 39">
          <a:extLst>
            <a:ext uri="{FF2B5EF4-FFF2-40B4-BE49-F238E27FC236}">
              <a16:creationId xmlns:a16="http://schemas.microsoft.com/office/drawing/2014/main" id="{132D01AC-3A0E-46B2-BD3B-82435601D21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 name="TextBox 40">
          <a:extLst>
            <a:ext uri="{FF2B5EF4-FFF2-40B4-BE49-F238E27FC236}">
              <a16:creationId xmlns:a16="http://schemas.microsoft.com/office/drawing/2014/main" id="{6C3CABB6-E1AF-45A6-A879-F3CAC9DFAF6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 name="TextBox 41">
          <a:extLst>
            <a:ext uri="{FF2B5EF4-FFF2-40B4-BE49-F238E27FC236}">
              <a16:creationId xmlns:a16="http://schemas.microsoft.com/office/drawing/2014/main" id="{544E3DC9-D7DB-4C37-8EED-9455A18A187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 name="TextBox 42">
          <a:extLst>
            <a:ext uri="{FF2B5EF4-FFF2-40B4-BE49-F238E27FC236}">
              <a16:creationId xmlns:a16="http://schemas.microsoft.com/office/drawing/2014/main" id="{65BD41E1-38A8-4224-8C88-8B7DAB41195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 name="TextBox 43">
          <a:extLst>
            <a:ext uri="{FF2B5EF4-FFF2-40B4-BE49-F238E27FC236}">
              <a16:creationId xmlns:a16="http://schemas.microsoft.com/office/drawing/2014/main" id="{29C2A703-BC86-4906-AE47-B76B1A21353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 name="TextBox 44">
          <a:extLst>
            <a:ext uri="{FF2B5EF4-FFF2-40B4-BE49-F238E27FC236}">
              <a16:creationId xmlns:a16="http://schemas.microsoft.com/office/drawing/2014/main" id="{5D90206C-BAF3-49FC-A6DB-37830464673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6" name="TextBox 45">
          <a:extLst>
            <a:ext uri="{FF2B5EF4-FFF2-40B4-BE49-F238E27FC236}">
              <a16:creationId xmlns:a16="http://schemas.microsoft.com/office/drawing/2014/main" id="{9698B423-D8EE-4F0A-81CE-447A2087572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7" name="TextBox 46">
          <a:extLst>
            <a:ext uri="{FF2B5EF4-FFF2-40B4-BE49-F238E27FC236}">
              <a16:creationId xmlns:a16="http://schemas.microsoft.com/office/drawing/2014/main" id="{250546C1-5FF4-461D-B543-047AF3F30B3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8" name="TextBox 47">
          <a:extLst>
            <a:ext uri="{FF2B5EF4-FFF2-40B4-BE49-F238E27FC236}">
              <a16:creationId xmlns:a16="http://schemas.microsoft.com/office/drawing/2014/main" id="{4378E65E-B9D4-454D-AEBE-908C2BE7862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9" name="TextBox 48">
          <a:extLst>
            <a:ext uri="{FF2B5EF4-FFF2-40B4-BE49-F238E27FC236}">
              <a16:creationId xmlns:a16="http://schemas.microsoft.com/office/drawing/2014/main" id="{BBF3502B-562B-41C0-A5EA-9EC495D1ECE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0" name="TextBox 49">
          <a:extLst>
            <a:ext uri="{FF2B5EF4-FFF2-40B4-BE49-F238E27FC236}">
              <a16:creationId xmlns:a16="http://schemas.microsoft.com/office/drawing/2014/main" id="{3FC8459A-4BB0-45D0-B67E-42CE152A9C5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1" name="TextBox 50">
          <a:extLst>
            <a:ext uri="{FF2B5EF4-FFF2-40B4-BE49-F238E27FC236}">
              <a16:creationId xmlns:a16="http://schemas.microsoft.com/office/drawing/2014/main" id="{09AFA322-92BF-4F04-AD64-57A1E459424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2" name="TextBox 51">
          <a:extLst>
            <a:ext uri="{FF2B5EF4-FFF2-40B4-BE49-F238E27FC236}">
              <a16:creationId xmlns:a16="http://schemas.microsoft.com/office/drawing/2014/main" id="{4FB6F19C-4F0B-474F-AB67-7AC220BA9EA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3" name="TextBox 52">
          <a:extLst>
            <a:ext uri="{FF2B5EF4-FFF2-40B4-BE49-F238E27FC236}">
              <a16:creationId xmlns:a16="http://schemas.microsoft.com/office/drawing/2014/main" id="{F226DFFE-CA5E-4DD3-A4AE-A48784F8431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4" name="TextBox 53">
          <a:extLst>
            <a:ext uri="{FF2B5EF4-FFF2-40B4-BE49-F238E27FC236}">
              <a16:creationId xmlns:a16="http://schemas.microsoft.com/office/drawing/2014/main" id="{CE2EB8B0-A7A8-4A79-AB57-74B6F3F5F6A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5" name="TextBox 54">
          <a:extLst>
            <a:ext uri="{FF2B5EF4-FFF2-40B4-BE49-F238E27FC236}">
              <a16:creationId xmlns:a16="http://schemas.microsoft.com/office/drawing/2014/main" id="{A533AD16-EDE0-45A4-957F-2B68DE95B08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6" name="TextBox 55">
          <a:extLst>
            <a:ext uri="{FF2B5EF4-FFF2-40B4-BE49-F238E27FC236}">
              <a16:creationId xmlns:a16="http://schemas.microsoft.com/office/drawing/2014/main" id="{86E8AD30-4151-485C-B7AF-387846CA2E6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7" name="TextBox 56">
          <a:extLst>
            <a:ext uri="{FF2B5EF4-FFF2-40B4-BE49-F238E27FC236}">
              <a16:creationId xmlns:a16="http://schemas.microsoft.com/office/drawing/2014/main" id="{F9615A9D-B124-4A75-8C26-97448E5A5F8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8" name="TextBox 57">
          <a:extLst>
            <a:ext uri="{FF2B5EF4-FFF2-40B4-BE49-F238E27FC236}">
              <a16:creationId xmlns:a16="http://schemas.microsoft.com/office/drawing/2014/main" id="{482E4A79-9CC0-4821-970B-27F070FA877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59" name="TextBox 58">
          <a:extLst>
            <a:ext uri="{FF2B5EF4-FFF2-40B4-BE49-F238E27FC236}">
              <a16:creationId xmlns:a16="http://schemas.microsoft.com/office/drawing/2014/main" id="{F1C32EC0-0EB6-433D-86DB-1A5F3D9182D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0" name="TextBox 59">
          <a:extLst>
            <a:ext uri="{FF2B5EF4-FFF2-40B4-BE49-F238E27FC236}">
              <a16:creationId xmlns:a16="http://schemas.microsoft.com/office/drawing/2014/main" id="{22E26F44-0E89-4EC9-AA07-0EEB73AE8CA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1" name="TextBox 60">
          <a:extLst>
            <a:ext uri="{FF2B5EF4-FFF2-40B4-BE49-F238E27FC236}">
              <a16:creationId xmlns:a16="http://schemas.microsoft.com/office/drawing/2014/main" id="{B88BE5A8-386E-44A1-BFA3-5B545C2EB16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2" name="TextBox 61">
          <a:extLst>
            <a:ext uri="{FF2B5EF4-FFF2-40B4-BE49-F238E27FC236}">
              <a16:creationId xmlns:a16="http://schemas.microsoft.com/office/drawing/2014/main" id="{E2921EE8-B23B-4ADC-8B50-8FE8F78D64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3" name="TextBox 62">
          <a:extLst>
            <a:ext uri="{FF2B5EF4-FFF2-40B4-BE49-F238E27FC236}">
              <a16:creationId xmlns:a16="http://schemas.microsoft.com/office/drawing/2014/main" id="{07E36348-6847-4505-BEA1-B5DB9F46CA3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4" name="TextBox 63">
          <a:extLst>
            <a:ext uri="{FF2B5EF4-FFF2-40B4-BE49-F238E27FC236}">
              <a16:creationId xmlns:a16="http://schemas.microsoft.com/office/drawing/2014/main" id="{AC7A9AA5-624A-4E15-8D39-301DA53B4EE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5" name="TextBox 64">
          <a:extLst>
            <a:ext uri="{FF2B5EF4-FFF2-40B4-BE49-F238E27FC236}">
              <a16:creationId xmlns:a16="http://schemas.microsoft.com/office/drawing/2014/main" id="{FBB46F41-7BB4-40A2-BD83-9655101FC15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6" name="TextBox 65">
          <a:extLst>
            <a:ext uri="{FF2B5EF4-FFF2-40B4-BE49-F238E27FC236}">
              <a16:creationId xmlns:a16="http://schemas.microsoft.com/office/drawing/2014/main" id="{F3BEE8E8-6CE9-4361-8FC6-DAA2CFE5A97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7" name="TextBox 66">
          <a:extLst>
            <a:ext uri="{FF2B5EF4-FFF2-40B4-BE49-F238E27FC236}">
              <a16:creationId xmlns:a16="http://schemas.microsoft.com/office/drawing/2014/main" id="{171FDCAE-42D5-4922-82F9-03837B04B8F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8" name="TextBox 67">
          <a:extLst>
            <a:ext uri="{FF2B5EF4-FFF2-40B4-BE49-F238E27FC236}">
              <a16:creationId xmlns:a16="http://schemas.microsoft.com/office/drawing/2014/main" id="{045B2FDC-56B5-4C61-B607-BE0AF57D436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69" name="TextBox 68">
          <a:extLst>
            <a:ext uri="{FF2B5EF4-FFF2-40B4-BE49-F238E27FC236}">
              <a16:creationId xmlns:a16="http://schemas.microsoft.com/office/drawing/2014/main" id="{CBA529A6-ACD5-4ABE-BFF2-831CF0CC491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0" name="TextBox 69">
          <a:extLst>
            <a:ext uri="{FF2B5EF4-FFF2-40B4-BE49-F238E27FC236}">
              <a16:creationId xmlns:a16="http://schemas.microsoft.com/office/drawing/2014/main" id="{9E510815-78F1-4AC1-A557-DF027D0C5D2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1" name="TextBox 70">
          <a:extLst>
            <a:ext uri="{FF2B5EF4-FFF2-40B4-BE49-F238E27FC236}">
              <a16:creationId xmlns:a16="http://schemas.microsoft.com/office/drawing/2014/main" id="{D95D0601-1EEB-45B7-8A77-AB833016E45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2" name="TextBox 71">
          <a:extLst>
            <a:ext uri="{FF2B5EF4-FFF2-40B4-BE49-F238E27FC236}">
              <a16:creationId xmlns:a16="http://schemas.microsoft.com/office/drawing/2014/main" id="{0F8558EC-E1A0-417C-A7A6-A0291D1711D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3" name="TextBox 72">
          <a:extLst>
            <a:ext uri="{FF2B5EF4-FFF2-40B4-BE49-F238E27FC236}">
              <a16:creationId xmlns:a16="http://schemas.microsoft.com/office/drawing/2014/main" id="{B6D2AD8A-638C-42E2-B8BB-FA59B70C63F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4" name="TextBox 73">
          <a:extLst>
            <a:ext uri="{FF2B5EF4-FFF2-40B4-BE49-F238E27FC236}">
              <a16:creationId xmlns:a16="http://schemas.microsoft.com/office/drawing/2014/main" id="{0B745E85-9B05-40A4-9E35-B326D62C89E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5" name="TextBox 74">
          <a:extLst>
            <a:ext uri="{FF2B5EF4-FFF2-40B4-BE49-F238E27FC236}">
              <a16:creationId xmlns:a16="http://schemas.microsoft.com/office/drawing/2014/main" id="{87CB90D4-D94D-433B-9126-C85BEE46635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6" name="TextBox 75">
          <a:extLst>
            <a:ext uri="{FF2B5EF4-FFF2-40B4-BE49-F238E27FC236}">
              <a16:creationId xmlns:a16="http://schemas.microsoft.com/office/drawing/2014/main" id="{E324D918-0FF8-4667-B38D-EAF9DC8C963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7" name="TextBox 76">
          <a:extLst>
            <a:ext uri="{FF2B5EF4-FFF2-40B4-BE49-F238E27FC236}">
              <a16:creationId xmlns:a16="http://schemas.microsoft.com/office/drawing/2014/main" id="{0B79E381-5FE9-4485-829D-463C87CEE6A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8" name="TextBox 77">
          <a:extLst>
            <a:ext uri="{FF2B5EF4-FFF2-40B4-BE49-F238E27FC236}">
              <a16:creationId xmlns:a16="http://schemas.microsoft.com/office/drawing/2014/main" id="{EC2F0DA2-AC5B-4EF6-861D-863D1DD9123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79" name="TextBox 78">
          <a:extLst>
            <a:ext uri="{FF2B5EF4-FFF2-40B4-BE49-F238E27FC236}">
              <a16:creationId xmlns:a16="http://schemas.microsoft.com/office/drawing/2014/main" id="{CC44944F-ECB8-4243-884D-47CD061A9F7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0" name="TextBox 79">
          <a:extLst>
            <a:ext uri="{FF2B5EF4-FFF2-40B4-BE49-F238E27FC236}">
              <a16:creationId xmlns:a16="http://schemas.microsoft.com/office/drawing/2014/main" id="{A9C9426D-FF37-4F82-B0B5-31874F224BA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1" name="TextBox 80">
          <a:extLst>
            <a:ext uri="{FF2B5EF4-FFF2-40B4-BE49-F238E27FC236}">
              <a16:creationId xmlns:a16="http://schemas.microsoft.com/office/drawing/2014/main" id="{2F7D1367-EFFA-4DA7-A632-8DCF444E256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2" name="TextBox 81">
          <a:extLst>
            <a:ext uri="{FF2B5EF4-FFF2-40B4-BE49-F238E27FC236}">
              <a16:creationId xmlns:a16="http://schemas.microsoft.com/office/drawing/2014/main" id="{0F1ABA3D-EBA0-42CB-BAEF-37E7CF4283F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3" name="TextBox 82">
          <a:extLst>
            <a:ext uri="{FF2B5EF4-FFF2-40B4-BE49-F238E27FC236}">
              <a16:creationId xmlns:a16="http://schemas.microsoft.com/office/drawing/2014/main" id="{B58FE48D-74FB-428B-9A9E-47303275BE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4" name="TextBox 83">
          <a:extLst>
            <a:ext uri="{FF2B5EF4-FFF2-40B4-BE49-F238E27FC236}">
              <a16:creationId xmlns:a16="http://schemas.microsoft.com/office/drawing/2014/main" id="{01523401-C978-445F-A6B8-425185D15EE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5" name="TextBox 84">
          <a:extLst>
            <a:ext uri="{FF2B5EF4-FFF2-40B4-BE49-F238E27FC236}">
              <a16:creationId xmlns:a16="http://schemas.microsoft.com/office/drawing/2014/main" id="{E5BE4EEA-FA34-4F63-9A97-A797039FDE3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6" name="TextBox 85">
          <a:extLst>
            <a:ext uri="{FF2B5EF4-FFF2-40B4-BE49-F238E27FC236}">
              <a16:creationId xmlns:a16="http://schemas.microsoft.com/office/drawing/2014/main" id="{C01F5181-C238-4BDD-BE59-B8C5D711F27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7" name="TextBox 86">
          <a:extLst>
            <a:ext uri="{FF2B5EF4-FFF2-40B4-BE49-F238E27FC236}">
              <a16:creationId xmlns:a16="http://schemas.microsoft.com/office/drawing/2014/main" id="{CA1D851A-181B-43FB-BF63-B3B49141970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8" name="TextBox 87">
          <a:extLst>
            <a:ext uri="{FF2B5EF4-FFF2-40B4-BE49-F238E27FC236}">
              <a16:creationId xmlns:a16="http://schemas.microsoft.com/office/drawing/2014/main" id="{0CBBC166-4C40-4DCE-B27F-9B3496CA040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89" name="TextBox 88">
          <a:extLst>
            <a:ext uri="{FF2B5EF4-FFF2-40B4-BE49-F238E27FC236}">
              <a16:creationId xmlns:a16="http://schemas.microsoft.com/office/drawing/2014/main" id="{4FB7F569-2FAE-4E2C-A0F2-B592F10A03F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0" name="TextBox 89">
          <a:extLst>
            <a:ext uri="{FF2B5EF4-FFF2-40B4-BE49-F238E27FC236}">
              <a16:creationId xmlns:a16="http://schemas.microsoft.com/office/drawing/2014/main" id="{E7707E62-6C8C-49D6-9D78-A81E6084F70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1" name="TextBox 90">
          <a:extLst>
            <a:ext uri="{FF2B5EF4-FFF2-40B4-BE49-F238E27FC236}">
              <a16:creationId xmlns:a16="http://schemas.microsoft.com/office/drawing/2014/main" id="{E6056141-CF2C-416A-913F-C8F9301569B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2" name="TextBox 91">
          <a:extLst>
            <a:ext uri="{FF2B5EF4-FFF2-40B4-BE49-F238E27FC236}">
              <a16:creationId xmlns:a16="http://schemas.microsoft.com/office/drawing/2014/main" id="{981ED33F-FFA1-4523-999B-50F0AE1B762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3" name="TextBox 92">
          <a:extLst>
            <a:ext uri="{FF2B5EF4-FFF2-40B4-BE49-F238E27FC236}">
              <a16:creationId xmlns:a16="http://schemas.microsoft.com/office/drawing/2014/main" id="{9D303027-BB6A-40C2-878F-CA6F6E59378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4" name="TextBox 93">
          <a:extLst>
            <a:ext uri="{FF2B5EF4-FFF2-40B4-BE49-F238E27FC236}">
              <a16:creationId xmlns:a16="http://schemas.microsoft.com/office/drawing/2014/main" id="{5B691E95-36A7-4852-B9E1-1CFD68C2649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5" name="TextBox 94">
          <a:extLst>
            <a:ext uri="{FF2B5EF4-FFF2-40B4-BE49-F238E27FC236}">
              <a16:creationId xmlns:a16="http://schemas.microsoft.com/office/drawing/2014/main" id="{C3C62907-A4A3-4467-8C89-D5DAB4C6BCA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6" name="TextBox 95">
          <a:extLst>
            <a:ext uri="{FF2B5EF4-FFF2-40B4-BE49-F238E27FC236}">
              <a16:creationId xmlns:a16="http://schemas.microsoft.com/office/drawing/2014/main" id="{D8B55C25-F7C8-4C84-8C9C-B74CCE95513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7" name="TextBox 96">
          <a:extLst>
            <a:ext uri="{FF2B5EF4-FFF2-40B4-BE49-F238E27FC236}">
              <a16:creationId xmlns:a16="http://schemas.microsoft.com/office/drawing/2014/main" id="{0240797D-FCF2-43D2-BB8E-5FAB605D31D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8" name="TextBox 97">
          <a:extLst>
            <a:ext uri="{FF2B5EF4-FFF2-40B4-BE49-F238E27FC236}">
              <a16:creationId xmlns:a16="http://schemas.microsoft.com/office/drawing/2014/main" id="{955DC517-ACEC-4540-B55C-EC8B152D77B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99" name="TextBox 98">
          <a:extLst>
            <a:ext uri="{FF2B5EF4-FFF2-40B4-BE49-F238E27FC236}">
              <a16:creationId xmlns:a16="http://schemas.microsoft.com/office/drawing/2014/main" id="{566B4A58-2D0F-4AEB-B94F-1481D4EC407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0" name="TextBox 99">
          <a:extLst>
            <a:ext uri="{FF2B5EF4-FFF2-40B4-BE49-F238E27FC236}">
              <a16:creationId xmlns:a16="http://schemas.microsoft.com/office/drawing/2014/main" id="{938E670F-5BA2-4D4B-BA50-36FE60110D9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1" name="TextBox 100">
          <a:extLst>
            <a:ext uri="{FF2B5EF4-FFF2-40B4-BE49-F238E27FC236}">
              <a16:creationId xmlns:a16="http://schemas.microsoft.com/office/drawing/2014/main" id="{736C7F57-7BD5-4B62-8278-7E1A74D9AE4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2" name="TextBox 101">
          <a:extLst>
            <a:ext uri="{FF2B5EF4-FFF2-40B4-BE49-F238E27FC236}">
              <a16:creationId xmlns:a16="http://schemas.microsoft.com/office/drawing/2014/main" id="{DFF624DC-3629-4408-9EFD-E9CF331E197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3" name="TextBox 102">
          <a:extLst>
            <a:ext uri="{FF2B5EF4-FFF2-40B4-BE49-F238E27FC236}">
              <a16:creationId xmlns:a16="http://schemas.microsoft.com/office/drawing/2014/main" id="{7C10BC00-CB4C-47D8-806A-CB0ED7F3E61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4" name="TextBox 103">
          <a:extLst>
            <a:ext uri="{FF2B5EF4-FFF2-40B4-BE49-F238E27FC236}">
              <a16:creationId xmlns:a16="http://schemas.microsoft.com/office/drawing/2014/main" id="{926DDC56-9126-47A1-B8CC-333211CB771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5" name="TextBox 104">
          <a:extLst>
            <a:ext uri="{FF2B5EF4-FFF2-40B4-BE49-F238E27FC236}">
              <a16:creationId xmlns:a16="http://schemas.microsoft.com/office/drawing/2014/main" id="{5A102D66-584A-460A-A148-F515014112C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6" name="TextBox 105">
          <a:extLst>
            <a:ext uri="{FF2B5EF4-FFF2-40B4-BE49-F238E27FC236}">
              <a16:creationId xmlns:a16="http://schemas.microsoft.com/office/drawing/2014/main" id="{F490932E-D78E-44E7-A567-140E14592F9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7" name="TextBox 106">
          <a:extLst>
            <a:ext uri="{FF2B5EF4-FFF2-40B4-BE49-F238E27FC236}">
              <a16:creationId xmlns:a16="http://schemas.microsoft.com/office/drawing/2014/main" id="{010093C7-9DC3-470B-B9E7-9DF2E2E7237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8" name="TextBox 107">
          <a:extLst>
            <a:ext uri="{FF2B5EF4-FFF2-40B4-BE49-F238E27FC236}">
              <a16:creationId xmlns:a16="http://schemas.microsoft.com/office/drawing/2014/main" id="{07D12A71-A471-464F-9CB8-9351A57318A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09" name="TextBox 108">
          <a:extLst>
            <a:ext uri="{FF2B5EF4-FFF2-40B4-BE49-F238E27FC236}">
              <a16:creationId xmlns:a16="http://schemas.microsoft.com/office/drawing/2014/main" id="{91D3206B-0CEC-4B4B-87F8-A6F884DBC18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0" name="TextBox 109">
          <a:extLst>
            <a:ext uri="{FF2B5EF4-FFF2-40B4-BE49-F238E27FC236}">
              <a16:creationId xmlns:a16="http://schemas.microsoft.com/office/drawing/2014/main" id="{755857AA-CDCD-4609-94C8-E06ED330A41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1" name="TextBox 110">
          <a:extLst>
            <a:ext uri="{FF2B5EF4-FFF2-40B4-BE49-F238E27FC236}">
              <a16:creationId xmlns:a16="http://schemas.microsoft.com/office/drawing/2014/main" id="{4A74F596-C487-4521-9959-3A5194D30F6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2" name="TextBox 111">
          <a:extLst>
            <a:ext uri="{FF2B5EF4-FFF2-40B4-BE49-F238E27FC236}">
              <a16:creationId xmlns:a16="http://schemas.microsoft.com/office/drawing/2014/main" id="{CBF0A32D-9750-45D0-A5E4-0F4E276C694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3" name="TextBox 112">
          <a:extLst>
            <a:ext uri="{FF2B5EF4-FFF2-40B4-BE49-F238E27FC236}">
              <a16:creationId xmlns:a16="http://schemas.microsoft.com/office/drawing/2014/main" id="{626E8494-F53B-4A3A-8F21-649B069423B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4" name="TextBox 113">
          <a:extLst>
            <a:ext uri="{FF2B5EF4-FFF2-40B4-BE49-F238E27FC236}">
              <a16:creationId xmlns:a16="http://schemas.microsoft.com/office/drawing/2014/main" id="{78DA1FB0-1898-4118-ADEA-C58B43712CE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5" name="TextBox 114">
          <a:extLst>
            <a:ext uri="{FF2B5EF4-FFF2-40B4-BE49-F238E27FC236}">
              <a16:creationId xmlns:a16="http://schemas.microsoft.com/office/drawing/2014/main" id="{0B8A1E57-6288-4672-9141-981279944A7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6" name="TextBox 115">
          <a:extLst>
            <a:ext uri="{FF2B5EF4-FFF2-40B4-BE49-F238E27FC236}">
              <a16:creationId xmlns:a16="http://schemas.microsoft.com/office/drawing/2014/main" id="{21360DB3-DDC7-4D33-B21F-7CD0E84E00E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7" name="TextBox 116">
          <a:extLst>
            <a:ext uri="{FF2B5EF4-FFF2-40B4-BE49-F238E27FC236}">
              <a16:creationId xmlns:a16="http://schemas.microsoft.com/office/drawing/2014/main" id="{89539F49-BBA6-4A8E-BF93-713280DA03D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8" name="TextBox 117">
          <a:extLst>
            <a:ext uri="{FF2B5EF4-FFF2-40B4-BE49-F238E27FC236}">
              <a16:creationId xmlns:a16="http://schemas.microsoft.com/office/drawing/2014/main" id="{3ADBA47F-A838-48BD-B6D5-AD74C430E9A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19" name="TextBox 118">
          <a:extLst>
            <a:ext uri="{FF2B5EF4-FFF2-40B4-BE49-F238E27FC236}">
              <a16:creationId xmlns:a16="http://schemas.microsoft.com/office/drawing/2014/main" id="{AD6D3A27-09F3-43AB-B633-1616B158A22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0" name="TextBox 119">
          <a:extLst>
            <a:ext uri="{FF2B5EF4-FFF2-40B4-BE49-F238E27FC236}">
              <a16:creationId xmlns:a16="http://schemas.microsoft.com/office/drawing/2014/main" id="{DFCE27D9-8C1D-4B90-9DEE-EDDE3D5C03B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1" name="TextBox 120">
          <a:extLst>
            <a:ext uri="{FF2B5EF4-FFF2-40B4-BE49-F238E27FC236}">
              <a16:creationId xmlns:a16="http://schemas.microsoft.com/office/drawing/2014/main" id="{2347B391-85DA-44C2-A5A6-70097EB3A69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2" name="TextBox 121">
          <a:extLst>
            <a:ext uri="{FF2B5EF4-FFF2-40B4-BE49-F238E27FC236}">
              <a16:creationId xmlns:a16="http://schemas.microsoft.com/office/drawing/2014/main" id="{D006AB9B-386A-445B-B20E-9448AF04F1F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3" name="TextBox 122">
          <a:extLst>
            <a:ext uri="{FF2B5EF4-FFF2-40B4-BE49-F238E27FC236}">
              <a16:creationId xmlns:a16="http://schemas.microsoft.com/office/drawing/2014/main" id="{FB59429A-426E-4B81-8962-A1D25981312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4" name="TextBox 123">
          <a:extLst>
            <a:ext uri="{FF2B5EF4-FFF2-40B4-BE49-F238E27FC236}">
              <a16:creationId xmlns:a16="http://schemas.microsoft.com/office/drawing/2014/main" id="{0E595503-CD2B-4080-863A-0084EF9085E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5" name="TextBox 124">
          <a:extLst>
            <a:ext uri="{FF2B5EF4-FFF2-40B4-BE49-F238E27FC236}">
              <a16:creationId xmlns:a16="http://schemas.microsoft.com/office/drawing/2014/main" id="{FEE7A9E2-11A0-4C16-9459-2AC6A136BAF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6" name="TextBox 125">
          <a:extLst>
            <a:ext uri="{FF2B5EF4-FFF2-40B4-BE49-F238E27FC236}">
              <a16:creationId xmlns:a16="http://schemas.microsoft.com/office/drawing/2014/main" id="{25396B06-B387-4183-A406-C7601126634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7" name="TextBox 126">
          <a:extLst>
            <a:ext uri="{FF2B5EF4-FFF2-40B4-BE49-F238E27FC236}">
              <a16:creationId xmlns:a16="http://schemas.microsoft.com/office/drawing/2014/main" id="{A8FD27F6-E5B6-4FFD-8A4F-80FD6A2FDDF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8" name="TextBox 127">
          <a:extLst>
            <a:ext uri="{FF2B5EF4-FFF2-40B4-BE49-F238E27FC236}">
              <a16:creationId xmlns:a16="http://schemas.microsoft.com/office/drawing/2014/main" id="{FC2DFBD7-3F4A-498A-BD17-F711BEE9A86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29" name="TextBox 128">
          <a:extLst>
            <a:ext uri="{FF2B5EF4-FFF2-40B4-BE49-F238E27FC236}">
              <a16:creationId xmlns:a16="http://schemas.microsoft.com/office/drawing/2014/main" id="{49CE45CD-4865-4B05-84C5-3504A7445DB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0" name="TextBox 129">
          <a:extLst>
            <a:ext uri="{FF2B5EF4-FFF2-40B4-BE49-F238E27FC236}">
              <a16:creationId xmlns:a16="http://schemas.microsoft.com/office/drawing/2014/main" id="{D3684B93-B879-4B5B-BBE6-A80C1BDFEF5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1" name="TextBox 130">
          <a:extLst>
            <a:ext uri="{FF2B5EF4-FFF2-40B4-BE49-F238E27FC236}">
              <a16:creationId xmlns:a16="http://schemas.microsoft.com/office/drawing/2014/main" id="{8C133EFA-D0EB-4566-97C5-6B166CE16F8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2" name="TextBox 131">
          <a:extLst>
            <a:ext uri="{FF2B5EF4-FFF2-40B4-BE49-F238E27FC236}">
              <a16:creationId xmlns:a16="http://schemas.microsoft.com/office/drawing/2014/main" id="{E026EC61-D14B-451B-B8C5-1D1EABE9827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3" name="TextBox 132">
          <a:extLst>
            <a:ext uri="{FF2B5EF4-FFF2-40B4-BE49-F238E27FC236}">
              <a16:creationId xmlns:a16="http://schemas.microsoft.com/office/drawing/2014/main" id="{8980D212-B44B-461D-BA5C-4ACAA8D9C11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4" name="TextBox 133">
          <a:extLst>
            <a:ext uri="{FF2B5EF4-FFF2-40B4-BE49-F238E27FC236}">
              <a16:creationId xmlns:a16="http://schemas.microsoft.com/office/drawing/2014/main" id="{9CA27F4F-7E65-4301-A534-A7F28EA1CD4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5" name="TextBox 134">
          <a:extLst>
            <a:ext uri="{FF2B5EF4-FFF2-40B4-BE49-F238E27FC236}">
              <a16:creationId xmlns:a16="http://schemas.microsoft.com/office/drawing/2014/main" id="{F5E1F7ED-052B-4C01-8E38-352FA0D0FC1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6" name="TextBox 135">
          <a:extLst>
            <a:ext uri="{FF2B5EF4-FFF2-40B4-BE49-F238E27FC236}">
              <a16:creationId xmlns:a16="http://schemas.microsoft.com/office/drawing/2014/main" id="{36A1FE86-A19E-4BDF-B16F-679976E3A6B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7" name="TextBox 136">
          <a:extLst>
            <a:ext uri="{FF2B5EF4-FFF2-40B4-BE49-F238E27FC236}">
              <a16:creationId xmlns:a16="http://schemas.microsoft.com/office/drawing/2014/main" id="{F704025D-8D32-434F-98CF-41BB6B8608D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8" name="TextBox 137">
          <a:extLst>
            <a:ext uri="{FF2B5EF4-FFF2-40B4-BE49-F238E27FC236}">
              <a16:creationId xmlns:a16="http://schemas.microsoft.com/office/drawing/2014/main" id="{ED2493A5-5F1E-45FD-AF03-7D4E53C85A5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39" name="TextBox 138">
          <a:extLst>
            <a:ext uri="{FF2B5EF4-FFF2-40B4-BE49-F238E27FC236}">
              <a16:creationId xmlns:a16="http://schemas.microsoft.com/office/drawing/2014/main" id="{7F779C03-CDDA-45C3-956A-FD843F493EF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0" name="TextBox 139">
          <a:extLst>
            <a:ext uri="{FF2B5EF4-FFF2-40B4-BE49-F238E27FC236}">
              <a16:creationId xmlns:a16="http://schemas.microsoft.com/office/drawing/2014/main" id="{0080B3E4-33A0-4237-8B15-1D35586006F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1" name="TextBox 140">
          <a:extLst>
            <a:ext uri="{FF2B5EF4-FFF2-40B4-BE49-F238E27FC236}">
              <a16:creationId xmlns:a16="http://schemas.microsoft.com/office/drawing/2014/main" id="{4ED6B53E-F45B-4E55-87CD-A4ED8641E68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2" name="TextBox 141">
          <a:extLst>
            <a:ext uri="{FF2B5EF4-FFF2-40B4-BE49-F238E27FC236}">
              <a16:creationId xmlns:a16="http://schemas.microsoft.com/office/drawing/2014/main" id="{32E333FE-F02F-466F-AE1E-DDC522384C4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3" name="TextBox 142">
          <a:extLst>
            <a:ext uri="{FF2B5EF4-FFF2-40B4-BE49-F238E27FC236}">
              <a16:creationId xmlns:a16="http://schemas.microsoft.com/office/drawing/2014/main" id="{64CF88E1-6F75-4352-B211-6FF618FF2F4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4" name="TextBox 143">
          <a:extLst>
            <a:ext uri="{FF2B5EF4-FFF2-40B4-BE49-F238E27FC236}">
              <a16:creationId xmlns:a16="http://schemas.microsoft.com/office/drawing/2014/main" id="{B9522D8F-332C-49E6-91A5-D5CD4D5FCF5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5" name="TextBox 144">
          <a:extLst>
            <a:ext uri="{FF2B5EF4-FFF2-40B4-BE49-F238E27FC236}">
              <a16:creationId xmlns:a16="http://schemas.microsoft.com/office/drawing/2014/main" id="{72EC14A3-5634-410C-A4E6-9569012EFEF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6" name="TextBox 145">
          <a:extLst>
            <a:ext uri="{FF2B5EF4-FFF2-40B4-BE49-F238E27FC236}">
              <a16:creationId xmlns:a16="http://schemas.microsoft.com/office/drawing/2014/main" id="{5DA5FDAF-7CF1-49C1-A008-5DE1F561EAF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7" name="TextBox 146">
          <a:extLst>
            <a:ext uri="{FF2B5EF4-FFF2-40B4-BE49-F238E27FC236}">
              <a16:creationId xmlns:a16="http://schemas.microsoft.com/office/drawing/2014/main" id="{04A162AA-D9A6-4A04-8878-93CD74E74BE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8" name="TextBox 147">
          <a:extLst>
            <a:ext uri="{FF2B5EF4-FFF2-40B4-BE49-F238E27FC236}">
              <a16:creationId xmlns:a16="http://schemas.microsoft.com/office/drawing/2014/main" id="{82FEA8E4-F4D9-4887-ABD3-27BF2FAEFBF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49" name="TextBox 148">
          <a:extLst>
            <a:ext uri="{FF2B5EF4-FFF2-40B4-BE49-F238E27FC236}">
              <a16:creationId xmlns:a16="http://schemas.microsoft.com/office/drawing/2014/main" id="{1CA21278-780B-4766-A261-6A972B09C19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0" name="TextBox 149">
          <a:extLst>
            <a:ext uri="{FF2B5EF4-FFF2-40B4-BE49-F238E27FC236}">
              <a16:creationId xmlns:a16="http://schemas.microsoft.com/office/drawing/2014/main" id="{50212209-D982-4AD0-A63E-08C26EE4376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1" name="TextBox 150">
          <a:extLst>
            <a:ext uri="{FF2B5EF4-FFF2-40B4-BE49-F238E27FC236}">
              <a16:creationId xmlns:a16="http://schemas.microsoft.com/office/drawing/2014/main" id="{E6D2850D-875A-48BA-A693-2496405A044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2" name="TextBox 151">
          <a:extLst>
            <a:ext uri="{FF2B5EF4-FFF2-40B4-BE49-F238E27FC236}">
              <a16:creationId xmlns:a16="http://schemas.microsoft.com/office/drawing/2014/main" id="{010627A4-C303-4A42-B194-ABC35FD09A8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3" name="TextBox 152">
          <a:extLst>
            <a:ext uri="{FF2B5EF4-FFF2-40B4-BE49-F238E27FC236}">
              <a16:creationId xmlns:a16="http://schemas.microsoft.com/office/drawing/2014/main" id="{252EC49E-8071-4E8A-B11D-8E3A991193F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4" name="TextBox 153">
          <a:extLst>
            <a:ext uri="{FF2B5EF4-FFF2-40B4-BE49-F238E27FC236}">
              <a16:creationId xmlns:a16="http://schemas.microsoft.com/office/drawing/2014/main" id="{FE761896-1B47-4121-983D-2E3AD840E2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5" name="TextBox 154">
          <a:extLst>
            <a:ext uri="{FF2B5EF4-FFF2-40B4-BE49-F238E27FC236}">
              <a16:creationId xmlns:a16="http://schemas.microsoft.com/office/drawing/2014/main" id="{3FE18303-F931-4690-82D1-06AA58081D7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6" name="TextBox 155">
          <a:extLst>
            <a:ext uri="{FF2B5EF4-FFF2-40B4-BE49-F238E27FC236}">
              <a16:creationId xmlns:a16="http://schemas.microsoft.com/office/drawing/2014/main" id="{6BA75A43-1EA6-4D95-92B9-F9721F342F2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7" name="TextBox 156">
          <a:extLst>
            <a:ext uri="{FF2B5EF4-FFF2-40B4-BE49-F238E27FC236}">
              <a16:creationId xmlns:a16="http://schemas.microsoft.com/office/drawing/2014/main" id="{BC349336-3EE1-421C-88EE-FAAE96B0BDF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8" name="TextBox 157">
          <a:extLst>
            <a:ext uri="{FF2B5EF4-FFF2-40B4-BE49-F238E27FC236}">
              <a16:creationId xmlns:a16="http://schemas.microsoft.com/office/drawing/2014/main" id="{F118874F-D8A0-4811-9602-17901CBA249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59" name="TextBox 158">
          <a:extLst>
            <a:ext uri="{FF2B5EF4-FFF2-40B4-BE49-F238E27FC236}">
              <a16:creationId xmlns:a16="http://schemas.microsoft.com/office/drawing/2014/main" id="{BC6EBAAA-5BEF-4B86-9A7D-3A875B96AE8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0" name="TextBox 159">
          <a:extLst>
            <a:ext uri="{FF2B5EF4-FFF2-40B4-BE49-F238E27FC236}">
              <a16:creationId xmlns:a16="http://schemas.microsoft.com/office/drawing/2014/main" id="{CC6683A8-D17C-49F4-9750-9739076EDDB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1" name="TextBox 160">
          <a:extLst>
            <a:ext uri="{FF2B5EF4-FFF2-40B4-BE49-F238E27FC236}">
              <a16:creationId xmlns:a16="http://schemas.microsoft.com/office/drawing/2014/main" id="{655DA77F-D904-43DA-BBAF-F6ED29327ED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2" name="TextBox 161">
          <a:extLst>
            <a:ext uri="{FF2B5EF4-FFF2-40B4-BE49-F238E27FC236}">
              <a16:creationId xmlns:a16="http://schemas.microsoft.com/office/drawing/2014/main" id="{166E3489-491A-4338-AF81-D4A23FB55F0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3" name="TextBox 162">
          <a:extLst>
            <a:ext uri="{FF2B5EF4-FFF2-40B4-BE49-F238E27FC236}">
              <a16:creationId xmlns:a16="http://schemas.microsoft.com/office/drawing/2014/main" id="{EBB2DE33-DC29-45E5-843E-735807A8F3C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4" name="TextBox 163">
          <a:extLst>
            <a:ext uri="{FF2B5EF4-FFF2-40B4-BE49-F238E27FC236}">
              <a16:creationId xmlns:a16="http://schemas.microsoft.com/office/drawing/2014/main" id="{CD89AF79-BAB4-4272-A8FD-6981B955FEA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5" name="TextBox 164">
          <a:extLst>
            <a:ext uri="{FF2B5EF4-FFF2-40B4-BE49-F238E27FC236}">
              <a16:creationId xmlns:a16="http://schemas.microsoft.com/office/drawing/2014/main" id="{4CD0155B-E1F5-4DC4-840E-8AA724F0DE9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6" name="TextBox 165">
          <a:extLst>
            <a:ext uri="{FF2B5EF4-FFF2-40B4-BE49-F238E27FC236}">
              <a16:creationId xmlns:a16="http://schemas.microsoft.com/office/drawing/2014/main" id="{E4772E45-2E45-40EA-80F1-1FBDEC97188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7" name="TextBox 166">
          <a:extLst>
            <a:ext uri="{FF2B5EF4-FFF2-40B4-BE49-F238E27FC236}">
              <a16:creationId xmlns:a16="http://schemas.microsoft.com/office/drawing/2014/main" id="{5885CF23-577C-4094-BB63-E7EA4F63482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8" name="TextBox 167">
          <a:extLst>
            <a:ext uri="{FF2B5EF4-FFF2-40B4-BE49-F238E27FC236}">
              <a16:creationId xmlns:a16="http://schemas.microsoft.com/office/drawing/2014/main" id="{0D6AE09C-7B62-4FB3-8C58-0CE481CC3BB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69" name="TextBox 168">
          <a:extLst>
            <a:ext uri="{FF2B5EF4-FFF2-40B4-BE49-F238E27FC236}">
              <a16:creationId xmlns:a16="http://schemas.microsoft.com/office/drawing/2014/main" id="{AB6FE9A2-744F-49BD-A353-0712AD722F9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0" name="TextBox 169">
          <a:extLst>
            <a:ext uri="{FF2B5EF4-FFF2-40B4-BE49-F238E27FC236}">
              <a16:creationId xmlns:a16="http://schemas.microsoft.com/office/drawing/2014/main" id="{1DD8C961-42F2-4E17-BF2F-26D64A0CA3E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1" name="TextBox 170">
          <a:extLst>
            <a:ext uri="{FF2B5EF4-FFF2-40B4-BE49-F238E27FC236}">
              <a16:creationId xmlns:a16="http://schemas.microsoft.com/office/drawing/2014/main" id="{866387CE-320F-4039-A466-7F1E3A9F7E1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2" name="TextBox 171">
          <a:extLst>
            <a:ext uri="{FF2B5EF4-FFF2-40B4-BE49-F238E27FC236}">
              <a16:creationId xmlns:a16="http://schemas.microsoft.com/office/drawing/2014/main" id="{69E2BD9C-6CAF-4006-9231-B728EB7B4D5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3" name="TextBox 172">
          <a:extLst>
            <a:ext uri="{FF2B5EF4-FFF2-40B4-BE49-F238E27FC236}">
              <a16:creationId xmlns:a16="http://schemas.microsoft.com/office/drawing/2014/main" id="{1C5A3754-82D5-4BAB-A1D5-E89207578D2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4" name="TextBox 173">
          <a:extLst>
            <a:ext uri="{FF2B5EF4-FFF2-40B4-BE49-F238E27FC236}">
              <a16:creationId xmlns:a16="http://schemas.microsoft.com/office/drawing/2014/main" id="{5CA1C60D-C5B0-4AE8-B685-56E6337A576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5" name="TextBox 174">
          <a:extLst>
            <a:ext uri="{FF2B5EF4-FFF2-40B4-BE49-F238E27FC236}">
              <a16:creationId xmlns:a16="http://schemas.microsoft.com/office/drawing/2014/main" id="{8FC315F1-2F76-4333-A528-87FF0626CEA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6" name="TextBox 175">
          <a:extLst>
            <a:ext uri="{FF2B5EF4-FFF2-40B4-BE49-F238E27FC236}">
              <a16:creationId xmlns:a16="http://schemas.microsoft.com/office/drawing/2014/main" id="{78DBB53A-794F-4416-A1BE-B5A9E351A1B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7" name="TextBox 176">
          <a:extLst>
            <a:ext uri="{FF2B5EF4-FFF2-40B4-BE49-F238E27FC236}">
              <a16:creationId xmlns:a16="http://schemas.microsoft.com/office/drawing/2014/main" id="{7CDE09A6-7A30-4CB5-A830-59C2333F10B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8" name="TextBox 177">
          <a:extLst>
            <a:ext uri="{FF2B5EF4-FFF2-40B4-BE49-F238E27FC236}">
              <a16:creationId xmlns:a16="http://schemas.microsoft.com/office/drawing/2014/main" id="{819B3975-5E91-4E18-BDF0-8C47BA58F7E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79" name="TextBox 178">
          <a:extLst>
            <a:ext uri="{FF2B5EF4-FFF2-40B4-BE49-F238E27FC236}">
              <a16:creationId xmlns:a16="http://schemas.microsoft.com/office/drawing/2014/main" id="{5C537ABD-ECEE-426D-92D6-CBEFBB7BE48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0" name="TextBox 179">
          <a:extLst>
            <a:ext uri="{FF2B5EF4-FFF2-40B4-BE49-F238E27FC236}">
              <a16:creationId xmlns:a16="http://schemas.microsoft.com/office/drawing/2014/main" id="{DB1AD3E9-FC23-416F-8AC4-DC1A71B85F1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1" name="TextBox 180">
          <a:extLst>
            <a:ext uri="{FF2B5EF4-FFF2-40B4-BE49-F238E27FC236}">
              <a16:creationId xmlns:a16="http://schemas.microsoft.com/office/drawing/2014/main" id="{6E9699B4-7154-415B-A191-BA73E0A0BDA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2" name="TextBox 181">
          <a:extLst>
            <a:ext uri="{FF2B5EF4-FFF2-40B4-BE49-F238E27FC236}">
              <a16:creationId xmlns:a16="http://schemas.microsoft.com/office/drawing/2014/main" id="{37F45267-6202-422D-B0E9-5F19AB413A0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3" name="TextBox 182">
          <a:extLst>
            <a:ext uri="{FF2B5EF4-FFF2-40B4-BE49-F238E27FC236}">
              <a16:creationId xmlns:a16="http://schemas.microsoft.com/office/drawing/2014/main" id="{491CEE72-2DD1-4EFC-8D56-9273F77004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4" name="TextBox 183">
          <a:extLst>
            <a:ext uri="{FF2B5EF4-FFF2-40B4-BE49-F238E27FC236}">
              <a16:creationId xmlns:a16="http://schemas.microsoft.com/office/drawing/2014/main" id="{4D77F692-D981-4D90-AFFC-313BAB338D4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5" name="TextBox 184">
          <a:extLst>
            <a:ext uri="{FF2B5EF4-FFF2-40B4-BE49-F238E27FC236}">
              <a16:creationId xmlns:a16="http://schemas.microsoft.com/office/drawing/2014/main" id="{F396F223-243D-4AB5-99EB-1FE2C2DFB32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6" name="TextBox 185">
          <a:extLst>
            <a:ext uri="{FF2B5EF4-FFF2-40B4-BE49-F238E27FC236}">
              <a16:creationId xmlns:a16="http://schemas.microsoft.com/office/drawing/2014/main" id="{1BDBCB8F-FC2C-43FC-AF4D-3997EA9FD7F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7" name="TextBox 186">
          <a:extLst>
            <a:ext uri="{FF2B5EF4-FFF2-40B4-BE49-F238E27FC236}">
              <a16:creationId xmlns:a16="http://schemas.microsoft.com/office/drawing/2014/main" id="{0AFFBD62-DA0D-4FB0-8750-4F77318B597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8" name="TextBox 187">
          <a:extLst>
            <a:ext uri="{FF2B5EF4-FFF2-40B4-BE49-F238E27FC236}">
              <a16:creationId xmlns:a16="http://schemas.microsoft.com/office/drawing/2014/main" id="{19375E10-3EBB-434A-9A5A-0C34717585F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89" name="TextBox 188">
          <a:extLst>
            <a:ext uri="{FF2B5EF4-FFF2-40B4-BE49-F238E27FC236}">
              <a16:creationId xmlns:a16="http://schemas.microsoft.com/office/drawing/2014/main" id="{28E5030C-638A-4B62-91AB-BF350BBEFC7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0" name="TextBox 189">
          <a:extLst>
            <a:ext uri="{FF2B5EF4-FFF2-40B4-BE49-F238E27FC236}">
              <a16:creationId xmlns:a16="http://schemas.microsoft.com/office/drawing/2014/main" id="{F9618DDE-612D-48BC-84DF-04F47F445EA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1" name="TextBox 190">
          <a:extLst>
            <a:ext uri="{FF2B5EF4-FFF2-40B4-BE49-F238E27FC236}">
              <a16:creationId xmlns:a16="http://schemas.microsoft.com/office/drawing/2014/main" id="{1408929B-3E95-40E0-9E75-C4C154EC736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2" name="TextBox 191">
          <a:extLst>
            <a:ext uri="{FF2B5EF4-FFF2-40B4-BE49-F238E27FC236}">
              <a16:creationId xmlns:a16="http://schemas.microsoft.com/office/drawing/2014/main" id="{58A0258F-F6EA-442A-A2AA-32371BD3434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3" name="TextBox 192">
          <a:extLst>
            <a:ext uri="{FF2B5EF4-FFF2-40B4-BE49-F238E27FC236}">
              <a16:creationId xmlns:a16="http://schemas.microsoft.com/office/drawing/2014/main" id="{68AB03D7-D5D3-437C-87AD-48BB698BB0B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4" name="TextBox 193">
          <a:extLst>
            <a:ext uri="{FF2B5EF4-FFF2-40B4-BE49-F238E27FC236}">
              <a16:creationId xmlns:a16="http://schemas.microsoft.com/office/drawing/2014/main" id="{C3EAAED8-A05E-44B8-AD9C-5B49B8062AD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5" name="TextBox 194">
          <a:extLst>
            <a:ext uri="{FF2B5EF4-FFF2-40B4-BE49-F238E27FC236}">
              <a16:creationId xmlns:a16="http://schemas.microsoft.com/office/drawing/2014/main" id="{B2D4BDA5-2370-428D-962A-D7241982382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6" name="TextBox 195">
          <a:extLst>
            <a:ext uri="{FF2B5EF4-FFF2-40B4-BE49-F238E27FC236}">
              <a16:creationId xmlns:a16="http://schemas.microsoft.com/office/drawing/2014/main" id="{A03104B7-D438-415F-8927-5B786C8C08F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7" name="TextBox 196">
          <a:extLst>
            <a:ext uri="{FF2B5EF4-FFF2-40B4-BE49-F238E27FC236}">
              <a16:creationId xmlns:a16="http://schemas.microsoft.com/office/drawing/2014/main" id="{415B0B16-2FD7-4EBB-8526-A3F7C3BBF42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8" name="TextBox 197">
          <a:extLst>
            <a:ext uri="{FF2B5EF4-FFF2-40B4-BE49-F238E27FC236}">
              <a16:creationId xmlns:a16="http://schemas.microsoft.com/office/drawing/2014/main" id="{8B72DB3F-974E-4F9F-A63C-63C22ADACE7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199" name="TextBox 198">
          <a:extLst>
            <a:ext uri="{FF2B5EF4-FFF2-40B4-BE49-F238E27FC236}">
              <a16:creationId xmlns:a16="http://schemas.microsoft.com/office/drawing/2014/main" id="{18F2C029-CBFB-4D2E-A7BF-848E06FBD1A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0" name="TextBox 199">
          <a:extLst>
            <a:ext uri="{FF2B5EF4-FFF2-40B4-BE49-F238E27FC236}">
              <a16:creationId xmlns:a16="http://schemas.microsoft.com/office/drawing/2014/main" id="{00F03F87-671D-4F6A-B923-A7908390CB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1" name="TextBox 200">
          <a:extLst>
            <a:ext uri="{FF2B5EF4-FFF2-40B4-BE49-F238E27FC236}">
              <a16:creationId xmlns:a16="http://schemas.microsoft.com/office/drawing/2014/main" id="{B3026577-62DD-42A6-B618-31B13CBDBC1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2" name="TextBox 201">
          <a:extLst>
            <a:ext uri="{FF2B5EF4-FFF2-40B4-BE49-F238E27FC236}">
              <a16:creationId xmlns:a16="http://schemas.microsoft.com/office/drawing/2014/main" id="{72AD05C8-B000-4271-909D-2B6AE55F5D7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3" name="TextBox 202">
          <a:extLst>
            <a:ext uri="{FF2B5EF4-FFF2-40B4-BE49-F238E27FC236}">
              <a16:creationId xmlns:a16="http://schemas.microsoft.com/office/drawing/2014/main" id="{F61A5081-5FE2-481A-A200-49AD3F2B19D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4" name="TextBox 203">
          <a:extLst>
            <a:ext uri="{FF2B5EF4-FFF2-40B4-BE49-F238E27FC236}">
              <a16:creationId xmlns:a16="http://schemas.microsoft.com/office/drawing/2014/main" id="{1CF68FB5-BD0B-484E-BBCF-8DBA4F1BCCA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5" name="TextBox 204">
          <a:extLst>
            <a:ext uri="{FF2B5EF4-FFF2-40B4-BE49-F238E27FC236}">
              <a16:creationId xmlns:a16="http://schemas.microsoft.com/office/drawing/2014/main" id="{C697B170-5D5E-4A2E-B5B6-100B9AD9FE8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6" name="TextBox 205">
          <a:extLst>
            <a:ext uri="{FF2B5EF4-FFF2-40B4-BE49-F238E27FC236}">
              <a16:creationId xmlns:a16="http://schemas.microsoft.com/office/drawing/2014/main" id="{9F8C41CA-A20F-4761-A1E2-0F74F39A385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7" name="TextBox 206">
          <a:extLst>
            <a:ext uri="{FF2B5EF4-FFF2-40B4-BE49-F238E27FC236}">
              <a16:creationId xmlns:a16="http://schemas.microsoft.com/office/drawing/2014/main" id="{C45055AE-2AEB-43B0-9E30-AEA1A1A6455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8" name="TextBox 207">
          <a:extLst>
            <a:ext uri="{FF2B5EF4-FFF2-40B4-BE49-F238E27FC236}">
              <a16:creationId xmlns:a16="http://schemas.microsoft.com/office/drawing/2014/main" id="{5AA4FA80-29FC-40C6-94B0-B7C471D7212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09" name="TextBox 208">
          <a:extLst>
            <a:ext uri="{FF2B5EF4-FFF2-40B4-BE49-F238E27FC236}">
              <a16:creationId xmlns:a16="http://schemas.microsoft.com/office/drawing/2014/main" id="{AFDF0D20-C5BD-4DBA-BDB2-2A8CDAAE1EA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0" name="TextBox 209">
          <a:extLst>
            <a:ext uri="{FF2B5EF4-FFF2-40B4-BE49-F238E27FC236}">
              <a16:creationId xmlns:a16="http://schemas.microsoft.com/office/drawing/2014/main" id="{400F8E9E-4658-4BA1-845D-0DEB5538920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1" name="TextBox 210">
          <a:extLst>
            <a:ext uri="{FF2B5EF4-FFF2-40B4-BE49-F238E27FC236}">
              <a16:creationId xmlns:a16="http://schemas.microsoft.com/office/drawing/2014/main" id="{C889C23E-7B1A-4A9F-A61B-AA9F43BCB10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2" name="TextBox 211">
          <a:extLst>
            <a:ext uri="{FF2B5EF4-FFF2-40B4-BE49-F238E27FC236}">
              <a16:creationId xmlns:a16="http://schemas.microsoft.com/office/drawing/2014/main" id="{33BE0592-EC88-47F9-A166-17E526B5E0A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3" name="TextBox 212">
          <a:extLst>
            <a:ext uri="{FF2B5EF4-FFF2-40B4-BE49-F238E27FC236}">
              <a16:creationId xmlns:a16="http://schemas.microsoft.com/office/drawing/2014/main" id="{B62C8A31-FEDB-4089-BD17-85067040293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4" name="TextBox 213">
          <a:extLst>
            <a:ext uri="{FF2B5EF4-FFF2-40B4-BE49-F238E27FC236}">
              <a16:creationId xmlns:a16="http://schemas.microsoft.com/office/drawing/2014/main" id="{D90271D7-2DE5-427E-BF0E-2956243D60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5" name="TextBox 214">
          <a:extLst>
            <a:ext uri="{FF2B5EF4-FFF2-40B4-BE49-F238E27FC236}">
              <a16:creationId xmlns:a16="http://schemas.microsoft.com/office/drawing/2014/main" id="{521F0111-5538-434C-A436-DD16D957A70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6" name="TextBox 215">
          <a:extLst>
            <a:ext uri="{FF2B5EF4-FFF2-40B4-BE49-F238E27FC236}">
              <a16:creationId xmlns:a16="http://schemas.microsoft.com/office/drawing/2014/main" id="{33C9DD74-C5B1-4C50-B6E0-EC20F991AD7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7" name="TextBox 216">
          <a:extLst>
            <a:ext uri="{FF2B5EF4-FFF2-40B4-BE49-F238E27FC236}">
              <a16:creationId xmlns:a16="http://schemas.microsoft.com/office/drawing/2014/main" id="{13A9C75A-5290-49EF-BE8F-941D1EB7788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8" name="TextBox 217">
          <a:extLst>
            <a:ext uri="{FF2B5EF4-FFF2-40B4-BE49-F238E27FC236}">
              <a16:creationId xmlns:a16="http://schemas.microsoft.com/office/drawing/2014/main" id="{A69F31C6-08AB-4728-9B56-F82CA61EEFD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19" name="TextBox 218">
          <a:extLst>
            <a:ext uri="{FF2B5EF4-FFF2-40B4-BE49-F238E27FC236}">
              <a16:creationId xmlns:a16="http://schemas.microsoft.com/office/drawing/2014/main" id="{CED477C3-41E6-4E82-BF1E-7C541F6647E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0" name="TextBox 219">
          <a:extLst>
            <a:ext uri="{FF2B5EF4-FFF2-40B4-BE49-F238E27FC236}">
              <a16:creationId xmlns:a16="http://schemas.microsoft.com/office/drawing/2014/main" id="{2A0003C9-E431-4084-A8F5-6F9946230E4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1" name="TextBox 220">
          <a:extLst>
            <a:ext uri="{FF2B5EF4-FFF2-40B4-BE49-F238E27FC236}">
              <a16:creationId xmlns:a16="http://schemas.microsoft.com/office/drawing/2014/main" id="{D3EF6F06-F993-4A37-91F1-CCFED0255D9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2" name="TextBox 221">
          <a:extLst>
            <a:ext uri="{FF2B5EF4-FFF2-40B4-BE49-F238E27FC236}">
              <a16:creationId xmlns:a16="http://schemas.microsoft.com/office/drawing/2014/main" id="{480035E9-DCDD-4ECE-BFFE-E18E6E98DF2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3" name="TextBox 222">
          <a:extLst>
            <a:ext uri="{FF2B5EF4-FFF2-40B4-BE49-F238E27FC236}">
              <a16:creationId xmlns:a16="http://schemas.microsoft.com/office/drawing/2014/main" id="{08E11BD8-5C6D-4B7E-A37F-CACDC347C74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4" name="TextBox 223">
          <a:extLst>
            <a:ext uri="{FF2B5EF4-FFF2-40B4-BE49-F238E27FC236}">
              <a16:creationId xmlns:a16="http://schemas.microsoft.com/office/drawing/2014/main" id="{B96327F5-7D0B-4571-9FFD-315CBAFBDE9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5" name="TextBox 224">
          <a:extLst>
            <a:ext uri="{FF2B5EF4-FFF2-40B4-BE49-F238E27FC236}">
              <a16:creationId xmlns:a16="http://schemas.microsoft.com/office/drawing/2014/main" id="{9E7C0F8F-7EEF-4929-AAAC-25242FFF98D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6" name="TextBox 225">
          <a:extLst>
            <a:ext uri="{FF2B5EF4-FFF2-40B4-BE49-F238E27FC236}">
              <a16:creationId xmlns:a16="http://schemas.microsoft.com/office/drawing/2014/main" id="{E3EC156D-EE4E-42AC-92A0-5FC4CC72FBE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7" name="TextBox 226">
          <a:extLst>
            <a:ext uri="{FF2B5EF4-FFF2-40B4-BE49-F238E27FC236}">
              <a16:creationId xmlns:a16="http://schemas.microsoft.com/office/drawing/2014/main" id="{2BEAD857-F98F-4E33-A90C-85295D177E5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8" name="TextBox 227">
          <a:extLst>
            <a:ext uri="{FF2B5EF4-FFF2-40B4-BE49-F238E27FC236}">
              <a16:creationId xmlns:a16="http://schemas.microsoft.com/office/drawing/2014/main" id="{96EE7289-D5FF-41B8-B30C-F7917E8CEA9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29" name="TextBox 228">
          <a:extLst>
            <a:ext uri="{FF2B5EF4-FFF2-40B4-BE49-F238E27FC236}">
              <a16:creationId xmlns:a16="http://schemas.microsoft.com/office/drawing/2014/main" id="{E81BAEC9-175A-417B-9CF8-EE5C7A094B6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0" name="TextBox 229">
          <a:extLst>
            <a:ext uri="{FF2B5EF4-FFF2-40B4-BE49-F238E27FC236}">
              <a16:creationId xmlns:a16="http://schemas.microsoft.com/office/drawing/2014/main" id="{9A50EF62-0592-4974-AEED-07ECA1A1948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1" name="TextBox 230">
          <a:extLst>
            <a:ext uri="{FF2B5EF4-FFF2-40B4-BE49-F238E27FC236}">
              <a16:creationId xmlns:a16="http://schemas.microsoft.com/office/drawing/2014/main" id="{132F7021-30F7-4C41-B987-7F2653CC425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2" name="TextBox 231">
          <a:extLst>
            <a:ext uri="{FF2B5EF4-FFF2-40B4-BE49-F238E27FC236}">
              <a16:creationId xmlns:a16="http://schemas.microsoft.com/office/drawing/2014/main" id="{BD8B20BA-AEED-4B5E-9120-C61802A4D9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3" name="TextBox 232">
          <a:extLst>
            <a:ext uri="{FF2B5EF4-FFF2-40B4-BE49-F238E27FC236}">
              <a16:creationId xmlns:a16="http://schemas.microsoft.com/office/drawing/2014/main" id="{D895635F-4944-4808-8313-D88A1E1B3DA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4" name="TextBox 233">
          <a:extLst>
            <a:ext uri="{FF2B5EF4-FFF2-40B4-BE49-F238E27FC236}">
              <a16:creationId xmlns:a16="http://schemas.microsoft.com/office/drawing/2014/main" id="{C141998E-9210-4BEC-88E2-FB018CF1B2D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5" name="TextBox 234">
          <a:extLst>
            <a:ext uri="{FF2B5EF4-FFF2-40B4-BE49-F238E27FC236}">
              <a16:creationId xmlns:a16="http://schemas.microsoft.com/office/drawing/2014/main" id="{F9BD7214-D4F9-4DC4-AEC9-6C0B8B5A0E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6" name="TextBox 235">
          <a:extLst>
            <a:ext uri="{FF2B5EF4-FFF2-40B4-BE49-F238E27FC236}">
              <a16:creationId xmlns:a16="http://schemas.microsoft.com/office/drawing/2014/main" id="{C50A7F25-48D2-43CE-B888-7D7073BB3CB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7" name="TextBox 236">
          <a:extLst>
            <a:ext uri="{FF2B5EF4-FFF2-40B4-BE49-F238E27FC236}">
              <a16:creationId xmlns:a16="http://schemas.microsoft.com/office/drawing/2014/main" id="{6CF47624-1D0D-41ED-AA48-558E4F6DEB6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8" name="TextBox 237">
          <a:extLst>
            <a:ext uri="{FF2B5EF4-FFF2-40B4-BE49-F238E27FC236}">
              <a16:creationId xmlns:a16="http://schemas.microsoft.com/office/drawing/2014/main" id="{4C41BFA4-7407-479E-93F2-ADD8CAD46F1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39" name="TextBox 238">
          <a:extLst>
            <a:ext uri="{FF2B5EF4-FFF2-40B4-BE49-F238E27FC236}">
              <a16:creationId xmlns:a16="http://schemas.microsoft.com/office/drawing/2014/main" id="{211EF8AB-9DA1-4E3A-9643-593B29E628C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0" name="TextBox 239">
          <a:extLst>
            <a:ext uri="{FF2B5EF4-FFF2-40B4-BE49-F238E27FC236}">
              <a16:creationId xmlns:a16="http://schemas.microsoft.com/office/drawing/2014/main" id="{65E13FD3-23E7-4707-9CE7-B61D3C7A82E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1" name="TextBox 240">
          <a:extLst>
            <a:ext uri="{FF2B5EF4-FFF2-40B4-BE49-F238E27FC236}">
              <a16:creationId xmlns:a16="http://schemas.microsoft.com/office/drawing/2014/main" id="{4313733F-4B4E-4712-81C0-5BC33282DB0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2" name="TextBox 241">
          <a:extLst>
            <a:ext uri="{FF2B5EF4-FFF2-40B4-BE49-F238E27FC236}">
              <a16:creationId xmlns:a16="http://schemas.microsoft.com/office/drawing/2014/main" id="{DF1D7889-BA96-464B-B329-16D1A600151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3" name="TextBox 242">
          <a:extLst>
            <a:ext uri="{FF2B5EF4-FFF2-40B4-BE49-F238E27FC236}">
              <a16:creationId xmlns:a16="http://schemas.microsoft.com/office/drawing/2014/main" id="{D6D495DF-A0FF-4475-AA2B-CD6CB5BC8A4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4" name="TextBox 243">
          <a:extLst>
            <a:ext uri="{FF2B5EF4-FFF2-40B4-BE49-F238E27FC236}">
              <a16:creationId xmlns:a16="http://schemas.microsoft.com/office/drawing/2014/main" id="{6AF30B09-9E04-4399-9630-CF2648320D9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5" name="TextBox 244">
          <a:extLst>
            <a:ext uri="{FF2B5EF4-FFF2-40B4-BE49-F238E27FC236}">
              <a16:creationId xmlns:a16="http://schemas.microsoft.com/office/drawing/2014/main" id="{108480A1-CA56-4BDE-AF90-8BE377D20CC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6" name="TextBox 245">
          <a:extLst>
            <a:ext uri="{FF2B5EF4-FFF2-40B4-BE49-F238E27FC236}">
              <a16:creationId xmlns:a16="http://schemas.microsoft.com/office/drawing/2014/main" id="{21529EE3-093E-4DDE-BC79-A341A805CC6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7" name="TextBox 246">
          <a:extLst>
            <a:ext uri="{FF2B5EF4-FFF2-40B4-BE49-F238E27FC236}">
              <a16:creationId xmlns:a16="http://schemas.microsoft.com/office/drawing/2014/main" id="{DD8D5EFB-6337-43A9-B958-F511D519D48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8" name="TextBox 247">
          <a:extLst>
            <a:ext uri="{FF2B5EF4-FFF2-40B4-BE49-F238E27FC236}">
              <a16:creationId xmlns:a16="http://schemas.microsoft.com/office/drawing/2014/main" id="{D737153D-A86C-411D-9E34-61459AFA076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49" name="TextBox 248">
          <a:extLst>
            <a:ext uri="{FF2B5EF4-FFF2-40B4-BE49-F238E27FC236}">
              <a16:creationId xmlns:a16="http://schemas.microsoft.com/office/drawing/2014/main" id="{77EA0AB1-1334-4043-88ED-D024E4AAD0C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0" name="TextBox 249">
          <a:extLst>
            <a:ext uri="{FF2B5EF4-FFF2-40B4-BE49-F238E27FC236}">
              <a16:creationId xmlns:a16="http://schemas.microsoft.com/office/drawing/2014/main" id="{4956B022-A4A8-4109-BB33-DD4F8A37A63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1" name="TextBox 250">
          <a:extLst>
            <a:ext uri="{FF2B5EF4-FFF2-40B4-BE49-F238E27FC236}">
              <a16:creationId xmlns:a16="http://schemas.microsoft.com/office/drawing/2014/main" id="{1447A22C-299D-4CC4-A34A-2A97588EBAD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2" name="TextBox 251">
          <a:extLst>
            <a:ext uri="{FF2B5EF4-FFF2-40B4-BE49-F238E27FC236}">
              <a16:creationId xmlns:a16="http://schemas.microsoft.com/office/drawing/2014/main" id="{32C90995-8CAA-495C-B44D-8128F687D5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3" name="TextBox 252">
          <a:extLst>
            <a:ext uri="{FF2B5EF4-FFF2-40B4-BE49-F238E27FC236}">
              <a16:creationId xmlns:a16="http://schemas.microsoft.com/office/drawing/2014/main" id="{1DA52FD8-002E-455E-BE3E-AB883616331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4" name="TextBox 253">
          <a:extLst>
            <a:ext uri="{FF2B5EF4-FFF2-40B4-BE49-F238E27FC236}">
              <a16:creationId xmlns:a16="http://schemas.microsoft.com/office/drawing/2014/main" id="{0F30CC49-EA24-43C2-97FD-19BDD1C9A84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5" name="TextBox 254">
          <a:extLst>
            <a:ext uri="{FF2B5EF4-FFF2-40B4-BE49-F238E27FC236}">
              <a16:creationId xmlns:a16="http://schemas.microsoft.com/office/drawing/2014/main" id="{3FC8CB00-BAFC-4E4B-B398-B0249D07C36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6" name="TextBox 255">
          <a:extLst>
            <a:ext uri="{FF2B5EF4-FFF2-40B4-BE49-F238E27FC236}">
              <a16:creationId xmlns:a16="http://schemas.microsoft.com/office/drawing/2014/main" id="{D3E69A92-8DDC-4FEA-8C77-35419AD33AD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7" name="TextBox 256">
          <a:extLst>
            <a:ext uri="{FF2B5EF4-FFF2-40B4-BE49-F238E27FC236}">
              <a16:creationId xmlns:a16="http://schemas.microsoft.com/office/drawing/2014/main" id="{36500634-CB64-43A9-8F53-0BCEA99D1E6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8" name="TextBox 257">
          <a:extLst>
            <a:ext uri="{FF2B5EF4-FFF2-40B4-BE49-F238E27FC236}">
              <a16:creationId xmlns:a16="http://schemas.microsoft.com/office/drawing/2014/main" id="{4BA256BF-2374-4FDA-AE8A-BBA7E1B51BA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59" name="TextBox 258">
          <a:extLst>
            <a:ext uri="{FF2B5EF4-FFF2-40B4-BE49-F238E27FC236}">
              <a16:creationId xmlns:a16="http://schemas.microsoft.com/office/drawing/2014/main" id="{DD638592-DF73-4B6B-B957-52AB4273B58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0" name="TextBox 259">
          <a:extLst>
            <a:ext uri="{FF2B5EF4-FFF2-40B4-BE49-F238E27FC236}">
              <a16:creationId xmlns:a16="http://schemas.microsoft.com/office/drawing/2014/main" id="{C75F2946-2239-40D9-9BAB-85CEA50CB5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1" name="TextBox 260">
          <a:extLst>
            <a:ext uri="{FF2B5EF4-FFF2-40B4-BE49-F238E27FC236}">
              <a16:creationId xmlns:a16="http://schemas.microsoft.com/office/drawing/2014/main" id="{7B64C866-61AA-4F39-A416-7E0A7D83C90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2" name="TextBox 261">
          <a:extLst>
            <a:ext uri="{FF2B5EF4-FFF2-40B4-BE49-F238E27FC236}">
              <a16:creationId xmlns:a16="http://schemas.microsoft.com/office/drawing/2014/main" id="{7F5B848B-A261-4738-8543-813A3768CD5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3" name="TextBox 262">
          <a:extLst>
            <a:ext uri="{FF2B5EF4-FFF2-40B4-BE49-F238E27FC236}">
              <a16:creationId xmlns:a16="http://schemas.microsoft.com/office/drawing/2014/main" id="{4ACDE5DB-1DB7-4DD7-B197-BD2D074967D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4" name="TextBox 263">
          <a:extLst>
            <a:ext uri="{FF2B5EF4-FFF2-40B4-BE49-F238E27FC236}">
              <a16:creationId xmlns:a16="http://schemas.microsoft.com/office/drawing/2014/main" id="{08CB3108-1C9F-4FC2-A855-FBD5D8651D6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5" name="TextBox 264">
          <a:extLst>
            <a:ext uri="{FF2B5EF4-FFF2-40B4-BE49-F238E27FC236}">
              <a16:creationId xmlns:a16="http://schemas.microsoft.com/office/drawing/2014/main" id="{C8BD2072-3B4C-4A44-BC6D-396C92136A1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6" name="TextBox 265">
          <a:extLst>
            <a:ext uri="{FF2B5EF4-FFF2-40B4-BE49-F238E27FC236}">
              <a16:creationId xmlns:a16="http://schemas.microsoft.com/office/drawing/2014/main" id="{03D14CF0-03D2-4E08-B034-877C0C8D0AA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7" name="TextBox 266">
          <a:extLst>
            <a:ext uri="{FF2B5EF4-FFF2-40B4-BE49-F238E27FC236}">
              <a16:creationId xmlns:a16="http://schemas.microsoft.com/office/drawing/2014/main" id="{B22CB39D-0598-443B-A49D-30A1F2CB434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8" name="TextBox 267">
          <a:extLst>
            <a:ext uri="{FF2B5EF4-FFF2-40B4-BE49-F238E27FC236}">
              <a16:creationId xmlns:a16="http://schemas.microsoft.com/office/drawing/2014/main" id="{E1D7A7D8-2464-458D-84BE-9EFC1F184BA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69" name="TextBox 268">
          <a:extLst>
            <a:ext uri="{FF2B5EF4-FFF2-40B4-BE49-F238E27FC236}">
              <a16:creationId xmlns:a16="http://schemas.microsoft.com/office/drawing/2014/main" id="{2A303FF7-0512-4294-BBFC-60E728AB2FC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0" name="TextBox 269">
          <a:extLst>
            <a:ext uri="{FF2B5EF4-FFF2-40B4-BE49-F238E27FC236}">
              <a16:creationId xmlns:a16="http://schemas.microsoft.com/office/drawing/2014/main" id="{2ED6CBD1-0DEE-47EB-B626-DBCEE128D76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1" name="TextBox 270">
          <a:extLst>
            <a:ext uri="{FF2B5EF4-FFF2-40B4-BE49-F238E27FC236}">
              <a16:creationId xmlns:a16="http://schemas.microsoft.com/office/drawing/2014/main" id="{4A6E671C-DB1D-4B86-BEAF-C9869FC2745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2" name="TextBox 271">
          <a:extLst>
            <a:ext uri="{FF2B5EF4-FFF2-40B4-BE49-F238E27FC236}">
              <a16:creationId xmlns:a16="http://schemas.microsoft.com/office/drawing/2014/main" id="{DFE5B930-F6F4-4C91-84E6-BA304DF85D4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3" name="TextBox 272">
          <a:extLst>
            <a:ext uri="{FF2B5EF4-FFF2-40B4-BE49-F238E27FC236}">
              <a16:creationId xmlns:a16="http://schemas.microsoft.com/office/drawing/2014/main" id="{02A7914E-5C97-4DA6-8389-AB71D5A1FD1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4" name="TextBox 273">
          <a:extLst>
            <a:ext uri="{FF2B5EF4-FFF2-40B4-BE49-F238E27FC236}">
              <a16:creationId xmlns:a16="http://schemas.microsoft.com/office/drawing/2014/main" id="{C50DF825-4CE1-4348-B4EF-84DA469EEB4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5" name="TextBox 274">
          <a:extLst>
            <a:ext uri="{FF2B5EF4-FFF2-40B4-BE49-F238E27FC236}">
              <a16:creationId xmlns:a16="http://schemas.microsoft.com/office/drawing/2014/main" id="{71FD8C4A-02C3-4E03-92B7-635981CB54C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6" name="TextBox 275">
          <a:extLst>
            <a:ext uri="{FF2B5EF4-FFF2-40B4-BE49-F238E27FC236}">
              <a16:creationId xmlns:a16="http://schemas.microsoft.com/office/drawing/2014/main" id="{9C196FD5-10B6-4AD0-8071-044B2A5252C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7" name="TextBox 276">
          <a:extLst>
            <a:ext uri="{FF2B5EF4-FFF2-40B4-BE49-F238E27FC236}">
              <a16:creationId xmlns:a16="http://schemas.microsoft.com/office/drawing/2014/main" id="{18555FD8-9747-4EE5-B510-0636C999A62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8" name="TextBox 277">
          <a:extLst>
            <a:ext uri="{FF2B5EF4-FFF2-40B4-BE49-F238E27FC236}">
              <a16:creationId xmlns:a16="http://schemas.microsoft.com/office/drawing/2014/main" id="{9204D4DF-AAC2-4049-8EF5-6F184A67B95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79" name="TextBox 278">
          <a:extLst>
            <a:ext uri="{FF2B5EF4-FFF2-40B4-BE49-F238E27FC236}">
              <a16:creationId xmlns:a16="http://schemas.microsoft.com/office/drawing/2014/main" id="{B3465B31-B8D6-47A9-AD01-64B1C37D294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0" name="TextBox 279">
          <a:extLst>
            <a:ext uri="{FF2B5EF4-FFF2-40B4-BE49-F238E27FC236}">
              <a16:creationId xmlns:a16="http://schemas.microsoft.com/office/drawing/2014/main" id="{FF38A11E-36CC-4430-9B70-C9208514BFC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1" name="TextBox 280">
          <a:extLst>
            <a:ext uri="{FF2B5EF4-FFF2-40B4-BE49-F238E27FC236}">
              <a16:creationId xmlns:a16="http://schemas.microsoft.com/office/drawing/2014/main" id="{2F7D9F35-20D0-4E25-8E56-E45D2E1DEB7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2" name="TextBox 281">
          <a:extLst>
            <a:ext uri="{FF2B5EF4-FFF2-40B4-BE49-F238E27FC236}">
              <a16:creationId xmlns:a16="http://schemas.microsoft.com/office/drawing/2014/main" id="{F1664246-8E48-482C-8AF2-0440C81CB03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3" name="TextBox 282">
          <a:extLst>
            <a:ext uri="{FF2B5EF4-FFF2-40B4-BE49-F238E27FC236}">
              <a16:creationId xmlns:a16="http://schemas.microsoft.com/office/drawing/2014/main" id="{593E1F10-027B-4CCA-BEE5-707F05378D5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4" name="TextBox 283">
          <a:extLst>
            <a:ext uri="{FF2B5EF4-FFF2-40B4-BE49-F238E27FC236}">
              <a16:creationId xmlns:a16="http://schemas.microsoft.com/office/drawing/2014/main" id="{EC8BA398-FB8B-41C3-B503-7355091A1CD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5" name="TextBox 284">
          <a:extLst>
            <a:ext uri="{FF2B5EF4-FFF2-40B4-BE49-F238E27FC236}">
              <a16:creationId xmlns:a16="http://schemas.microsoft.com/office/drawing/2014/main" id="{330F5217-787D-41A1-B440-3DCBE65C309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6" name="TextBox 285">
          <a:extLst>
            <a:ext uri="{FF2B5EF4-FFF2-40B4-BE49-F238E27FC236}">
              <a16:creationId xmlns:a16="http://schemas.microsoft.com/office/drawing/2014/main" id="{4030DC3E-46CA-408D-AD8E-C0B912055A8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7" name="TextBox 286">
          <a:extLst>
            <a:ext uri="{FF2B5EF4-FFF2-40B4-BE49-F238E27FC236}">
              <a16:creationId xmlns:a16="http://schemas.microsoft.com/office/drawing/2014/main" id="{255CAE28-6DA3-4995-BEF0-C7B24CB2964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8" name="TextBox 287">
          <a:extLst>
            <a:ext uri="{FF2B5EF4-FFF2-40B4-BE49-F238E27FC236}">
              <a16:creationId xmlns:a16="http://schemas.microsoft.com/office/drawing/2014/main" id="{F364E569-0F2D-411D-88B1-6B49706255E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89" name="TextBox 288">
          <a:extLst>
            <a:ext uri="{FF2B5EF4-FFF2-40B4-BE49-F238E27FC236}">
              <a16:creationId xmlns:a16="http://schemas.microsoft.com/office/drawing/2014/main" id="{2DD8A37E-2E18-4DF2-9863-97ECF22E473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0" name="TextBox 289">
          <a:extLst>
            <a:ext uri="{FF2B5EF4-FFF2-40B4-BE49-F238E27FC236}">
              <a16:creationId xmlns:a16="http://schemas.microsoft.com/office/drawing/2014/main" id="{C3E27949-409E-4BE8-A894-CD07E1032BB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1" name="TextBox 290">
          <a:extLst>
            <a:ext uri="{FF2B5EF4-FFF2-40B4-BE49-F238E27FC236}">
              <a16:creationId xmlns:a16="http://schemas.microsoft.com/office/drawing/2014/main" id="{9BB9D0DB-7004-4BA2-90B1-3653BF1FF92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2" name="TextBox 291">
          <a:extLst>
            <a:ext uri="{FF2B5EF4-FFF2-40B4-BE49-F238E27FC236}">
              <a16:creationId xmlns:a16="http://schemas.microsoft.com/office/drawing/2014/main" id="{0995C333-80B4-4497-A636-28069D0CC1C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3" name="TextBox 292">
          <a:extLst>
            <a:ext uri="{FF2B5EF4-FFF2-40B4-BE49-F238E27FC236}">
              <a16:creationId xmlns:a16="http://schemas.microsoft.com/office/drawing/2014/main" id="{E26C3F4E-C314-4D2D-90B2-5A9F7E8C47C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4" name="TextBox 293">
          <a:extLst>
            <a:ext uri="{FF2B5EF4-FFF2-40B4-BE49-F238E27FC236}">
              <a16:creationId xmlns:a16="http://schemas.microsoft.com/office/drawing/2014/main" id="{04021C6A-0F38-4A87-BD2E-DB6BA82682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5" name="TextBox 294">
          <a:extLst>
            <a:ext uri="{FF2B5EF4-FFF2-40B4-BE49-F238E27FC236}">
              <a16:creationId xmlns:a16="http://schemas.microsoft.com/office/drawing/2014/main" id="{39210BEA-579C-48E7-8C2B-AAB8B1AD2C1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6" name="TextBox 295">
          <a:extLst>
            <a:ext uri="{FF2B5EF4-FFF2-40B4-BE49-F238E27FC236}">
              <a16:creationId xmlns:a16="http://schemas.microsoft.com/office/drawing/2014/main" id="{E6182FD0-3E9B-49E4-8C09-61C75C84998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7" name="TextBox 296">
          <a:extLst>
            <a:ext uri="{FF2B5EF4-FFF2-40B4-BE49-F238E27FC236}">
              <a16:creationId xmlns:a16="http://schemas.microsoft.com/office/drawing/2014/main" id="{031EAF0F-8BD6-45EA-B00F-6CB79DF06B3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8" name="TextBox 297">
          <a:extLst>
            <a:ext uri="{FF2B5EF4-FFF2-40B4-BE49-F238E27FC236}">
              <a16:creationId xmlns:a16="http://schemas.microsoft.com/office/drawing/2014/main" id="{403A1AB6-80FA-4FF0-A9FC-69FE6F7DD03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299" name="TextBox 298">
          <a:extLst>
            <a:ext uri="{FF2B5EF4-FFF2-40B4-BE49-F238E27FC236}">
              <a16:creationId xmlns:a16="http://schemas.microsoft.com/office/drawing/2014/main" id="{40F8CA5A-F34B-494D-84F5-3EF27D17324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0" name="TextBox 299">
          <a:extLst>
            <a:ext uri="{FF2B5EF4-FFF2-40B4-BE49-F238E27FC236}">
              <a16:creationId xmlns:a16="http://schemas.microsoft.com/office/drawing/2014/main" id="{BCE1778E-B910-456B-A12F-3AAD47410E2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1" name="TextBox 300">
          <a:extLst>
            <a:ext uri="{FF2B5EF4-FFF2-40B4-BE49-F238E27FC236}">
              <a16:creationId xmlns:a16="http://schemas.microsoft.com/office/drawing/2014/main" id="{CD5492A4-E28D-4F7C-91BF-9927ECF1B9B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2" name="TextBox 301">
          <a:extLst>
            <a:ext uri="{FF2B5EF4-FFF2-40B4-BE49-F238E27FC236}">
              <a16:creationId xmlns:a16="http://schemas.microsoft.com/office/drawing/2014/main" id="{DEADA385-CBD0-45BA-B29B-B84947A0B4E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3" name="TextBox 302">
          <a:extLst>
            <a:ext uri="{FF2B5EF4-FFF2-40B4-BE49-F238E27FC236}">
              <a16:creationId xmlns:a16="http://schemas.microsoft.com/office/drawing/2014/main" id="{59E40C97-9BFC-438E-9B45-93121CBE0C8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4" name="TextBox 303">
          <a:extLst>
            <a:ext uri="{FF2B5EF4-FFF2-40B4-BE49-F238E27FC236}">
              <a16:creationId xmlns:a16="http://schemas.microsoft.com/office/drawing/2014/main" id="{E1CC87CD-AED0-414C-AEB5-78F0C1B8255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5" name="TextBox 304">
          <a:extLst>
            <a:ext uri="{FF2B5EF4-FFF2-40B4-BE49-F238E27FC236}">
              <a16:creationId xmlns:a16="http://schemas.microsoft.com/office/drawing/2014/main" id="{7665BD67-FF93-41D5-A80C-9277D6E807D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6" name="TextBox 305">
          <a:extLst>
            <a:ext uri="{FF2B5EF4-FFF2-40B4-BE49-F238E27FC236}">
              <a16:creationId xmlns:a16="http://schemas.microsoft.com/office/drawing/2014/main" id="{FA7BDF34-CAA5-44FF-93BF-EB9272F4274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7" name="TextBox 306">
          <a:extLst>
            <a:ext uri="{FF2B5EF4-FFF2-40B4-BE49-F238E27FC236}">
              <a16:creationId xmlns:a16="http://schemas.microsoft.com/office/drawing/2014/main" id="{9F950F06-68A6-4BFD-96E9-7EFA3E2C132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8" name="TextBox 307">
          <a:extLst>
            <a:ext uri="{FF2B5EF4-FFF2-40B4-BE49-F238E27FC236}">
              <a16:creationId xmlns:a16="http://schemas.microsoft.com/office/drawing/2014/main" id="{C33396FF-0A41-486E-A679-EE535199E81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09" name="TextBox 308">
          <a:extLst>
            <a:ext uri="{FF2B5EF4-FFF2-40B4-BE49-F238E27FC236}">
              <a16:creationId xmlns:a16="http://schemas.microsoft.com/office/drawing/2014/main" id="{9201A91E-AF9B-4F40-AD1D-B6679B24249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0" name="TextBox 309">
          <a:extLst>
            <a:ext uri="{FF2B5EF4-FFF2-40B4-BE49-F238E27FC236}">
              <a16:creationId xmlns:a16="http://schemas.microsoft.com/office/drawing/2014/main" id="{9C2B3181-7582-4021-85C9-A5DD4816D2D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1" name="TextBox 310">
          <a:extLst>
            <a:ext uri="{FF2B5EF4-FFF2-40B4-BE49-F238E27FC236}">
              <a16:creationId xmlns:a16="http://schemas.microsoft.com/office/drawing/2014/main" id="{29EE33C1-71D6-4962-9473-1205F8FE2FE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2" name="TextBox 311">
          <a:extLst>
            <a:ext uri="{FF2B5EF4-FFF2-40B4-BE49-F238E27FC236}">
              <a16:creationId xmlns:a16="http://schemas.microsoft.com/office/drawing/2014/main" id="{7A0BFA86-DEC4-445F-9331-7EE247787AC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3" name="TextBox 312">
          <a:extLst>
            <a:ext uri="{FF2B5EF4-FFF2-40B4-BE49-F238E27FC236}">
              <a16:creationId xmlns:a16="http://schemas.microsoft.com/office/drawing/2014/main" id="{2BDD7090-48F7-417F-8989-61AE7AE126E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4" name="TextBox 313">
          <a:extLst>
            <a:ext uri="{FF2B5EF4-FFF2-40B4-BE49-F238E27FC236}">
              <a16:creationId xmlns:a16="http://schemas.microsoft.com/office/drawing/2014/main" id="{FC18A43D-C264-487D-9FA9-4318E2F0AA5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5" name="TextBox 314">
          <a:extLst>
            <a:ext uri="{FF2B5EF4-FFF2-40B4-BE49-F238E27FC236}">
              <a16:creationId xmlns:a16="http://schemas.microsoft.com/office/drawing/2014/main" id="{82C59EF5-7830-4F48-B4DA-3E0CF857BA3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6" name="TextBox 315">
          <a:extLst>
            <a:ext uri="{FF2B5EF4-FFF2-40B4-BE49-F238E27FC236}">
              <a16:creationId xmlns:a16="http://schemas.microsoft.com/office/drawing/2014/main" id="{241513F6-8209-4822-BEB0-F6E546E40F5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7" name="TextBox 316">
          <a:extLst>
            <a:ext uri="{FF2B5EF4-FFF2-40B4-BE49-F238E27FC236}">
              <a16:creationId xmlns:a16="http://schemas.microsoft.com/office/drawing/2014/main" id="{0BBFD495-46A9-448F-9FAB-AC5650866D8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8" name="TextBox 317">
          <a:extLst>
            <a:ext uri="{FF2B5EF4-FFF2-40B4-BE49-F238E27FC236}">
              <a16:creationId xmlns:a16="http://schemas.microsoft.com/office/drawing/2014/main" id="{315C4F7E-2E1D-4586-A918-F5A40EE641F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19" name="TextBox 318">
          <a:extLst>
            <a:ext uri="{FF2B5EF4-FFF2-40B4-BE49-F238E27FC236}">
              <a16:creationId xmlns:a16="http://schemas.microsoft.com/office/drawing/2014/main" id="{18ED3E24-F035-4103-A88B-85837EF5805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0" name="TextBox 319">
          <a:extLst>
            <a:ext uri="{FF2B5EF4-FFF2-40B4-BE49-F238E27FC236}">
              <a16:creationId xmlns:a16="http://schemas.microsoft.com/office/drawing/2014/main" id="{79362BA5-8A84-4911-8DC6-1F660F162C7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1" name="TextBox 320">
          <a:extLst>
            <a:ext uri="{FF2B5EF4-FFF2-40B4-BE49-F238E27FC236}">
              <a16:creationId xmlns:a16="http://schemas.microsoft.com/office/drawing/2014/main" id="{4AE3978D-57A4-4D51-819A-E71386FACF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2" name="TextBox 321">
          <a:extLst>
            <a:ext uri="{FF2B5EF4-FFF2-40B4-BE49-F238E27FC236}">
              <a16:creationId xmlns:a16="http://schemas.microsoft.com/office/drawing/2014/main" id="{3985048B-6889-4CAE-96F2-5B92F42CA61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3" name="TextBox 322">
          <a:extLst>
            <a:ext uri="{FF2B5EF4-FFF2-40B4-BE49-F238E27FC236}">
              <a16:creationId xmlns:a16="http://schemas.microsoft.com/office/drawing/2014/main" id="{0FB730E6-7C8F-42B7-A65B-5E8A7C3FC2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4" name="TextBox 323">
          <a:extLst>
            <a:ext uri="{FF2B5EF4-FFF2-40B4-BE49-F238E27FC236}">
              <a16:creationId xmlns:a16="http://schemas.microsoft.com/office/drawing/2014/main" id="{CB805559-76B4-4B9B-A71C-84A5DB3370F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5" name="TextBox 324">
          <a:extLst>
            <a:ext uri="{FF2B5EF4-FFF2-40B4-BE49-F238E27FC236}">
              <a16:creationId xmlns:a16="http://schemas.microsoft.com/office/drawing/2014/main" id="{97C6D080-A2ED-488E-97D9-3BE17AB69E7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6" name="TextBox 325">
          <a:extLst>
            <a:ext uri="{FF2B5EF4-FFF2-40B4-BE49-F238E27FC236}">
              <a16:creationId xmlns:a16="http://schemas.microsoft.com/office/drawing/2014/main" id="{F4F1DED9-AB22-4C3F-AE14-50F5708E3EF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7" name="TextBox 326">
          <a:extLst>
            <a:ext uri="{FF2B5EF4-FFF2-40B4-BE49-F238E27FC236}">
              <a16:creationId xmlns:a16="http://schemas.microsoft.com/office/drawing/2014/main" id="{D6842879-4E82-42EA-AD46-373579B714F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8" name="TextBox 327">
          <a:extLst>
            <a:ext uri="{FF2B5EF4-FFF2-40B4-BE49-F238E27FC236}">
              <a16:creationId xmlns:a16="http://schemas.microsoft.com/office/drawing/2014/main" id="{B6456309-F070-47E4-9050-FA4F4EE9CCC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29" name="TextBox 328">
          <a:extLst>
            <a:ext uri="{FF2B5EF4-FFF2-40B4-BE49-F238E27FC236}">
              <a16:creationId xmlns:a16="http://schemas.microsoft.com/office/drawing/2014/main" id="{811AB4DE-C3FA-424D-95E5-C20C956EB0E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0" name="TextBox 329">
          <a:extLst>
            <a:ext uri="{FF2B5EF4-FFF2-40B4-BE49-F238E27FC236}">
              <a16:creationId xmlns:a16="http://schemas.microsoft.com/office/drawing/2014/main" id="{3A09D31C-BE92-408D-B026-653308E7CF4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1" name="TextBox 330">
          <a:extLst>
            <a:ext uri="{FF2B5EF4-FFF2-40B4-BE49-F238E27FC236}">
              <a16:creationId xmlns:a16="http://schemas.microsoft.com/office/drawing/2014/main" id="{58D58279-F64A-4D7D-B132-4ADFEE4488F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2" name="TextBox 331">
          <a:extLst>
            <a:ext uri="{FF2B5EF4-FFF2-40B4-BE49-F238E27FC236}">
              <a16:creationId xmlns:a16="http://schemas.microsoft.com/office/drawing/2014/main" id="{F4790739-9E7E-4943-9992-EA79463BC51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3" name="TextBox 332">
          <a:extLst>
            <a:ext uri="{FF2B5EF4-FFF2-40B4-BE49-F238E27FC236}">
              <a16:creationId xmlns:a16="http://schemas.microsoft.com/office/drawing/2014/main" id="{F112E4D6-891E-40D5-AE03-11FE3483EDB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4" name="TextBox 333">
          <a:extLst>
            <a:ext uri="{FF2B5EF4-FFF2-40B4-BE49-F238E27FC236}">
              <a16:creationId xmlns:a16="http://schemas.microsoft.com/office/drawing/2014/main" id="{1CE82969-1BC8-4897-B8D8-6B2AED583E1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5" name="TextBox 334">
          <a:extLst>
            <a:ext uri="{FF2B5EF4-FFF2-40B4-BE49-F238E27FC236}">
              <a16:creationId xmlns:a16="http://schemas.microsoft.com/office/drawing/2014/main" id="{E204A8C0-5D0C-4506-A678-4C1BC186C60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6" name="TextBox 335">
          <a:extLst>
            <a:ext uri="{FF2B5EF4-FFF2-40B4-BE49-F238E27FC236}">
              <a16:creationId xmlns:a16="http://schemas.microsoft.com/office/drawing/2014/main" id="{BE7D9E06-4F08-4ADB-BA50-1BDFDAB8D76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7" name="TextBox 336">
          <a:extLst>
            <a:ext uri="{FF2B5EF4-FFF2-40B4-BE49-F238E27FC236}">
              <a16:creationId xmlns:a16="http://schemas.microsoft.com/office/drawing/2014/main" id="{D49C70C4-78D8-40EA-9B27-BFB07573A04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8" name="TextBox 337">
          <a:extLst>
            <a:ext uri="{FF2B5EF4-FFF2-40B4-BE49-F238E27FC236}">
              <a16:creationId xmlns:a16="http://schemas.microsoft.com/office/drawing/2014/main" id="{BAB48E06-9166-4706-8CAC-83D4FA26C00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39" name="TextBox 338">
          <a:extLst>
            <a:ext uri="{FF2B5EF4-FFF2-40B4-BE49-F238E27FC236}">
              <a16:creationId xmlns:a16="http://schemas.microsoft.com/office/drawing/2014/main" id="{C610BE5E-B870-44D6-8059-A304142315D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0" name="TextBox 339">
          <a:extLst>
            <a:ext uri="{FF2B5EF4-FFF2-40B4-BE49-F238E27FC236}">
              <a16:creationId xmlns:a16="http://schemas.microsoft.com/office/drawing/2014/main" id="{1ADC1284-FD17-4648-A5D1-01BFC88BB7A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1" name="TextBox 340">
          <a:extLst>
            <a:ext uri="{FF2B5EF4-FFF2-40B4-BE49-F238E27FC236}">
              <a16:creationId xmlns:a16="http://schemas.microsoft.com/office/drawing/2014/main" id="{BFA5B062-A009-4807-8BFF-BA88DD431C1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2" name="TextBox 341">
          <a:extLst>
            <a:ext uri="{FF2B5EF4-FFF2-40B4-BE49-F238E27FC236}">
              <a16:creationId xmlns:a16="http://schemas.microsoft.com/office/drawing/2014/main" id="{010DCF2F-E83C-404D-BCEF-70755EDE675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3" name="TextBox 342">
          <a:extLst>
            <a:ext uri="{FF2B5EF4-FFF2-40B4-BE49-F238E27FC236}">
              <a16:creationId xmlns:a16="http://schemas.microsoft.com/office/drawing/2014/main" id="{3032949A-F65D-4DC9-A67C-8869F5D3512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4" name="TextBox 343">
          <a:extLst>
            <a:ext uri="{FF2B5EF4-FFF2-40B4-BE49-F238E27FC236}">
              <a16:creationId xmlns:a16="http://schemas.microsoft.com/office/drawing/2014/main" id="{6250FAAA-E28A-47E7-8C5E-924D3C6DD35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5" name="TextBox 344">
          <a:extLst>
            <a:ext uri="{FF2B5EF4-FFF2-40B4-BE49-F238E27FC236}">
              <a16:creationId xmlns:a16="http://schemas.microsoft.com/office/drawing/2014/main" id="{5E9D310E-DBB2-4409-9F43-450FB76FB83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6" name="TextBox 345">
          <a:extLst>
            <a:ext uri="{FF2B5EF4-FFF2-40B4-BE49-F238E27FC236}">
              <a16:creationId xmlns:a16="http://schemas.microsoft.com/office/drawing/2014/main" id="{0B79A266-726E-4977-8127-49E54E81145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7" name="TextBox 346">
          <a:extLst>
            <a:ext uri="{FF2B5EF4-FFF2-40B4-BE49-F238E27FC236}">
              <a16:creationId xmlns:a16="http://schemas.microsoft.com/office/drawing/2014/main" id="{CF0C11E5-364F-4FEC-854F-876F27AB369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8" name="TextBox 347">
          <a:extLst>
            <a:ext uri="{FF2B5EF4-FFF2-40B4-BE49-F238E27FC236}">
              <a16:creationId xmlns:a16="http://schemas.microsoft.com/office/drawing/2014/main" id="{1B5CA3A4-7E50-40C1-9B59-CCEBDE7EE13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49" name="TextBox 348">
          <a:extLst>
            <a:ext uri="{FF2B5EF4-FFF2-40B4-BE49-F238E27FC236}">
              <a16:creationId xmlns:a16="http://schemas.microsoft.com/office/drawing/2014/main" id="{E33D19C1-7059-46CF-9024-B409600869F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0" name="TextBox 349">
          <a:extLst>
            <a:ext uri="{FF2B5EF4-FFF2-40B4-BE49-F238E27FC236}">
              <a16:creationId xmlns:a16="http://schemas.microsoft.com/office/drawing/2014/main" id="{A7037E4D-A94F-47E5-B3B1-43C213BC655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1" name="TextBox 350">
          <a:extLst>
            <a:ext uri="{FF2B5EF4-FFF2-40B4-BE49-F238E27FC236}">
              <a16:creationId xmlns:a16="http://schemas.microsoft.com/office/drawing/2014/main" id="{401E0D74-1B32-4712-9D38-F803D3ECB5F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2" name="TextBox 351">
          <a:extLst>
            <a:ext uri="{FF2B5EF4-FFF2-40B4-BE49-F238E27FC236}">
              <a16:creationId xmlns:a16="http://schemas.microsoft.com/office/drawing/2014/main" id="{91AC36FC-FC96-4C7C-A9B0-E2109536108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3" name="TextBox 352">
          <a:extLst>
            <a:ext uri="{FF2B5EF4-FFF2-40B4-BE49-F238E27FC236}">
              <a16:creationId xmlns:a16="http://schemas.microsoft.com/office/drawing/2014/main" id="{1E32E1B0-64DF-44E2-9C84-49C74AF8E03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4" name="TextBox 353">
          <a:extLst>
            <a:ext uri="{FF2B5EF4-FFF2-40B4-BE49-F238E27FC236}">
              <a16:creationId xmlns:a16="http://schemas.microsoft.com/office/drawing/2014/main" id="{B8CAEE12-E601-4A73-B931-B85CE44BDD8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5" name="TextBox 354">
          <a:extLst>
            <a:ext uri="{FF2B5EF4-FFF2-40B4-BE49-F238E27FC236}">
              <a16:creationId xmlns:a16="http://schemas.microsoft.com/office/drawing/2014/main" id="{AB7E467E-802C-409F-86D9-2E374D0C005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6" name="TextBox 355">
          <a:extLst>
            <a:ext uri="{FF2B5EF4-FFF2-40B4-BE49-F238E27FC236}">
              <a16:creationId xmlns:a16="http://schemas.microsoft.com/office/drawing/2014/main" id="{8A64634F-7F13-44D9-AD4A-5F115DBF222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7" name="TextBox 356">
          <a:extLst>
            <a:ext uri="{FF2B5EF4-FFF2-40B4-BE49-F238E27FC236}">
              <a16:creationId xmlns:a16="http://schemas.microsoft.com/office/drawing/2014/main" id="{2AA00C64-0680-4070-AC29-5625201BA87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8" name="TextBox 357">
          <a:extLst>
            <a:ext uri="{FF2B5EF4-FFF2-40B4-BE49-F238E27FC236}">
              <a16:creationId xmlns:a16="http://schemas.microsoft.com/office/drawing/2014/main" id="{1C4594D3-5B86-4501-BFEA-2A57671EB0C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59" name="TextBox 358">
          <a:extLst>
            <a:ext uri="{FF2B5EF4-FFF2-40B4-BE49-F238E27FC236}">
              <a16:creationId xmlns:a16="http://schemas.microsoft.com/office/drawing/2014/main" id="{6E183EEB-1A13-42F7-B557-F49E34999FB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0" name="TextBox 359">
          <a:extLst>
            <a:ext uri="{FF2B5EF4-FFF2-40B4-BE49-F238E27FC236}">
              <a16:creationId xmlns:a16="http://schemas.microsoft.com/office/drawing/2014/main" id="{BF04103A-1DDF-4663-8943-0E0088AD9A4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1" name="TextBox 360">
          <a:extLst>
            <a:ext uri="{FF2B5EF4-FFF2-40B4-BE49-F238E27FC236}">
              <a16:creationId xmlns:a16="http://schemas.microsoft.com/office/drawing/2014/main" id="{1357893E-AD7E-47A8-A58B-1B314178EA8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2" name="TextBox 361">
          <a:extLst>
            <a:ext uri="{FF2B5EF4-FFF2-40B4-BE49-F238E27FC236}">
              <a16:creationId xmlns:a16="http://schemas.microsoft.com/office/drawing/2014/main" id="{1E9B8355-C7D5-45E9-A783-AFA3ECF35AF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3" name="TextBox 362">
          <a:extLst>
            <a:ext uri="{FF2B5EF4-FFF2-40B4-BE49-F238E27FC236}">
              <a16:creationId xmlns:a16="http://schemas.microsoft.com/office/drawing/2014/main" id="{B9594F19-1CBA-4882-841F-35F94B68DBF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4" name="TextBox 363">
          <a:extLst>
            <a:ext uri="{FF2B5EF4-FFF2-40B4-BE49-F238E27FC236}">
              <a16:creationId xmlns:a16="http://schemas.microsoft.com/office/drawing/2014/main" id="{3C1E62CC-4959-4340-827C-DB797B4EF3A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5" name="TextBox 364">
          <a:extLst>
            <a:ext uri="{FF2B5EF4-FFF2-40B4-BE49-F238E27FC236}">
              <a16:creationId xmlns:a16="http://schemas.microsoft.com/office/drawing/2014/main" id="{984DB812-B23D-41FB-9E20-7F6A1A32CD9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6" name="TextBox 365">
          <a:extLst>
            <a:ext uri="{FF2B5EF4-FFF2-40B4-BE49-F238E27FC236}">
              <a16:creationId xmlns:a16="http://schemas.microsoft.com/office/drawing/2014/main" id="{80C457CF-5125-488E-9949-83D8C39F77D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7" name="TextBox 366">
          <a:extLst>
            <a:ext uri="{FF2B5EF4-FFF2-40B4-BE49-F238E27FC236}">
              <a16:creationId xmlns:a16="http://schemas.microsoft.com/office/drawing/2014/main" id="{6D82BED4-D505-400E-9CF6-58D3836F1A4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8" name="TextBox 367">
          <a:extLst>
            <a:ext uri="{FF2B5EF4-FFF2-40B4-BE49-F238E27FC236}">
              <a16:creationId xmlns:a16="http://schemas.microsoft.com/office/drawing/2014/main" id="{994DA52C-144D-4FF1-B34A-D09B8BFA925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69" name="TextBox 368">
          <a:extLst>
            <a:ext uri="{FF2B5EF4-FFF2-40B4-BE49-F238E27FC236}">
              <a16:creationId xmlns:a16="http://schemas.microsoft.com/office/drawing/2014/main" id="{E4CF6B64-E7AE-4E37-8D19-DA587E2286D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0" name="TextBox 369">
          <a:extLst>
            <a:ext uri="{FF2B5EF4-FFF2-40B4-BE49-F238E27FC236}">
              <a16:creationId xmlns:a16="http://schemas.microsoft.com/office/drawing/2014/main" id="{071B5130-DC3C-4093-9B62-211B59575BB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1" name="TextBox 370">
          <a:extLst>
            <a:ext uri="{FF2B5EF4-FFF2-40B4-BE49-F238E27FC236}">
              <a16:creationId xmlns:a16="http://schemas.microsoft.com/office/drawing/2014/main" id="{6B40AB0A-218B-4E13-8654-13C9ECDB2A7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2" name="TextBox 371">
          <a:extLst>
            <a:ext uri="{FF2B5EF4-FFF2-40B4-BE49-F238E27FC236}">
              <a16:creationId xmlns:a16="http://schemas.microsoft.com/office/drawing/2014/main" id="{4C6A2326-1A54-4902-9CF4-E8A2F844328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3" name="TextBox 372">
          <a:extLst>
            <a:ext uri="{FF2B5EF4-FFF2-40B4-BE49-F238E27FC236}">
              <a16:creationId xmlns:a16="http://schemas.microsoft.com/office/drawing/2014/main" id="{892CF4EF-6EA0-462E-873B-4A629690952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4" name="TextBox 373">
          <a:extLst>
            <a:ext uri="{FF2B5EF4-FFF2-40B4-BE49-F238E27FC236}">
              <a16:creationId xmlns:a16="http://schemas.microsoft.com/office/drawing/2014/main" id="{1D60E7B4-8BFD-46BC-B53C-903BDF8AEE1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5" name="TextBox 374">
          <a:extLst>
            <a:ext uri="{FF2B5EF4-FFF2-40B4-BE49-F238E27FC236}">
              <a16:creationId xmlns:a16="http://schemas.microsoft.com/office/drawing/2014/main" id="{1AC9C75C-1AB4-470C-8E14-D47EB67B1F2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6" name="TextBox 375">
          <a:extLst>
            <a:ext uri="{FF2B5EF4-FFF2-40B4-BE49-F238E27FC236}">
              <a16:creationId xmlns:a16="http://schemas.microsoft.com/office/drawing/2014/main" id="{A1BE3339-3F86-4487-BC26-64A568810DA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7" name="TextBox 376">
          <a:extLst>
            <a:ext uri="{FF2B5EF4-FFF2-40B4-BE49-F238E27FC236}">
              <a16:creationId xmlns:a16="http://schemas.microsoft.com/office/drawing/2014/main" id="{2410EDAD-17D3-4AFF-A22B-2260DB04F68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8" name="TextBox 377">
          <a:extLst>
            <a:ext uri="{FF2B5EF4-FFF2-40B4-BE49-F238E27FC236}">
              <a16:creationId xmlns:a16="http://schemas.microsoft.com/office/drawing/2014/main" id="{8E162A63-3C60-462D-A9F1-9A87D4A66F5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79" name="TextBox 378">
          <a:extLst>
            <a:ext uri="{FF2B5EF4-FFF2-40B4-BE49-F238E27FC236}">
              <a16:creationId xmlns:a16="http://schemas.microsoft.com/office/drawing/2014/main" id="{EC5D6165-6023-4EEB-AB4E-292881116DD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0" name="TextBox 379">
          <a:extLst>
            <a:ext uri="{FF2B5EF4-FFF2-40B4-BE49-F238E27FC236}">
              <a16:creationId xmlns:a16="http://schemas.microsoft.com/office/drawing/2014/main" id="{C997BF98-6669-4378-9265-52328B9FE9AD}"/>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1" name="TextBox 380">
          <a:extLst>
            <a:ext uri="{FF2B5EF4-FFF2-40B4-BE49-F238E27FC236}">
              <a16:creationId xmlns:a16="http://schemas.microsoft.com/office/drawing/2014/main" id="{8040E583-45D7-42A2-BDA7-E245A0501A7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2" name="TextBox 381">
          <a:extLst>
            <a:ext uri="{FF2B5EF4-FFF2-40B4-BE49-F238E27FC236}">
              <a16:creationId xmlns:a16="http://schemas.microsoft.com/office/drawing/2014/main" id="{99176B0F-563A-4045-9E72-61826E1A869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3" name="TextBox 382">
          <a:extLst>
            <a:ext uri="{FF2B5EF4-FFF2-40B4-BE49-F238E27FC236}">
              <a16:creationId xmlns:a16="http://schemas.microsoft.com/office/drawing/2014/main" id="{21C6DB8F-098A-48B7-B470-00C74FFF063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4" name="TextBox 383">
          <a:extLst>
            <a:ext uri="{FF2B5EF4-FFF2-40B4-BE49-F238E27FC236}">
              <a16:creationId xmlns:a16="http://schemas.microsoft.com/office/drawing/2014/main" id="{D317545B-7B95-4009-8878-FACE33390C3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5" name="TextBox 384">
          <a:extLst>
            <a:ext uri="{FF2B5EF4-FFF2-40B4-BE49-F238E27FC236}">
              <a16:creationId xmlns:a16="http://schemas.microsoft.com/office/drawing/2014/main" id="{19FE8FED-0592-4814-8F0D-5C58A70B8BD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6" name="TextBox 385">
          <a:extLst>
            <a:ext uri="{FF2B5EF4-FFF2-40B4-BE49-F238E27FC236}">
              <a16:creationId xmlns:a16="http://schemas.microsoft.com/office/drawing/2014/main" id="{5FD3FC21-8C7E-4100-8AB9-94EF6BE4988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7" name="TextBox 386">
          <a:extLst>
            <a:ext uri="{FF2B5EF4-FFF2-40B4-BE49-F238E27FC236}">
              <a16:creationId xmlns:a16="http://schemas.microsoft.com/office/drawing/2014/main" id="{F12ED71B-CFD8-40FA-A854-C43178B2ACD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8" name="TextBox 387">
          <a:extLst>
            <a:ext uri="{FF2B5EF4-FFF2-40B4-BE49-F238E27FC236}">
              <a16:creationId xmlns:a16="http://schemas.microsoft.com/office/drawing/2014/main" id="{315EE005-9C0C-401D-922A-9D2C0F7F71C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89" name="TextBox 388">
          <a:extLst>
            <a:ext uri="{FF2B5EF4-FFF2-40B4-BE49-F238E27FC236}">
              <a16:creationId xmlns:a16="http://schemas.microsoft.com/office/drawing/2014/main" id="{CAB13F8D-7FCC-41FF-A52F-D4C2F528CE1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0" name="TextBox 389">
          <a:extLst>
            <a:ext uri="{FF2B5EF4-FFF2-40B4-BE49-F238E27FC236}">
              <a16:creationId xmlns:a16="http://schemas.microsoft.com/office/drawing/2014/main" id="{8D1A2452-54F8-4FC0-A401-1B8D5FD4EC8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1" name="TextBox 390">
          <a:extLst>
            <a:ext uri="{FF2B5EF4-FFF2-40B4-BE49-F238E27FC236}">
              <a16:creationId xmlns:a16="http://schemas.microsoft.com/office/drawing/2014/main" id="{D7477601-9E79-4F00-9A20-98DCB4A9D15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2" name="TextBox 391">
          <a:extLst>
            <a:ext uri="{FF2B5EF4-FFF2-40B4-BE49-F238E27FC236}">
              <a16:creationId xmlns:a16="http://schemas.microsoft.com/office/drawing/2014/main" id="{42FF8A0F-70A9-4AAE-BD92-A5746EA63A1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3" name="TextBox 392">
          <a:extLst>
            <a:ext uri="{FF2B5EF4-FFF2-40B4-BE49-F238E27FC236}">
              <a16:creationId xmlns:a16="http://schemas.microsoft.com/office/drawing/2014/main" id="{28BD69EB-B3D8-47A6-9665-49B54A38A35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4" name="TextBox 393">
          <a:extLst>
            <a:ext uri="{FF2B5EF4-FFF2-40B4-BE49-F238E27FC236}">
              <a16:creationId xmlns:a16="http://schemas.microsoft.com/office/drawing/2014/main" id="{4E21BE56-733A-40F7-8507-87BA5258FCC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5" name="TextBox 394">
          <a:extLst>
            <a:ext uri="{FF2B5EF4-FFF2-40B4-BE49-F238E27FC236}">
              <a16:creationId xmlns:a16="http://schemas.microsoft.com/office/drawing/2014/main" id="{C32A0EEB-E3EC-4D96-B351-E7C1C879775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6" name="TextBox 395">
          <a:extLst>
            <a:ext uri="{FF2B5EF4-FFF2-40B4-BE49-F238E27FC236}">
              <a16:creationId xmlns:a16="http://schemas.microsoft.com/office/drawing/2014/main" id="{96832E3D-662F-4D60-9650-1B0970AFBA0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7" name="TextBox 396">
          <a:extLst>
            <a:ext uri="{FF2B5EF4-FFF2-40B4-BE49-F238E27FC236}">
              <a16:creationId xmlns:a16="http://schemas.microsoft.com/office/drawing/2014/main" id="{442F6D7A-863C-4C05-A89B-FCDDE3C2AC2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8" name="TextBox 397">
          <a:extLst>
            <a:ext uri="{FF2B5EF4-FFF2-40B4-BE49-F238E27FC236}">
              <a16:creationId xmlns:a16="http://schemas.microsoft.com/office/drawing/2014/main" id="{E1D2A510-26EC-465E-B69F-D0286580114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399" name="TextBox 398">
          <a:extLst>
            <a:ext uri="{FF2B5EF4-FFF2-40B4-BE49-F238E27FC236}">
              <a16:creationId xmlns:a16="http://schemas.microsoft.com/office/drawing/2014/main" id="{82A2F6B2-0899-485F-B7FC-EDBA723D9E9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0" name="TextBox 399">
          <a:extLst>
            <a:ext uri="{FF2B5EF4-FFF2-40B4-BE49-F238E27FC236}">
              <a16:creationId xmlns:a16="http://schemas.microsoft.com/office/drawing/2014/main" id="{594011F6-AB92-4649-9C5D-9A90EB7ABC4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1" name="TextBox 400">
          <a:extLst>
            <a:ext uri="{FF2B5EF4-FFF2-40B4-BE49-F238E27FC236}">
              <a16:creationId xmlns:a16="http://schemas.microsoft.com/office/drawing/2014/main" id="{9AA1332A-5FE6-45B8-B12F-C1F41D8E88D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2" name="TextBox 401">
          <a:extLst>
            <a:ext uri="{FF2B5EF4-FFF2-40B4-BE49-F238E27FC236}">
              <a16:creationId xmlns:a16="http://schemas.microsoft.com/office/drawing/2014/main" id="{496B309D-6130-4050-81C7-625D10DC14D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3" name="TextBox 402">
          <a:extLst>
            <a:ext uri="{FF2B5EF4-FFF2-40B4-BE49-F238E27FC236}">
              <a16:creationId xmlns:a16="http://schemas.microsoft.com/office/drawing/2014/main" id="{94D4AA35-280E-4BBF-8FBA-2B12086A006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4" name="TextBox 403">
          <a:extLst>
            <a:ext uri="{FF2B5EF4-FFF2-40B4-BE49-F238E27FC236}">
              <a16:creationId xmlns:a16="http://schemas.microsoft.com/office/drawing/2014/main" id="{E01B60D3-F240-4078-B18C-F9F5DEDB529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5" name="TextBox 404">
          <a:extLst>
            <a:ext uri="{FF2B5EF4-FFF2-40B4-BE49-F238E27FC236}">
              <a16:creationId xmlns:a16="http://schemas.microsoft.com/office/drawing/2014/main" id="{C7ED4F7E-4852-4BF5-9D7E-E40F45BB4FD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6" name="TextBox 405">
          <a:extLst>
            <a:ext uri="{FF2B5EF4-FFF2-40B4-BE49-F238E27FC236}">
              <a16:creationId xmlns:a16="http://schemas.microsoft.com/office/drawing/2014/main" id="{56CA9032-809D-4094-9C82-D08392BAFEB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7" name="TextBox 406">
          <a:extLst>
            <a:ext uri="{FF2B5EF4-FFF2-40B4-BE49-F238E27FC236}">
              <a16:creationId xmlns:a16="http://schemas.microsoft.com/office/drawing/2014/main" id="{E89FC8C9-7248-4333-80EB-381A0973454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8" name="TextBox 407">
          <a:extLst>
            <a:ext uri="{FF2B5EF4-FFF2-40B4-BE49-F238E27FC236}">
              <a16:creationId xmlns:a16="http://schemas.microsoft.com/office/drawing/2014/main" id="{704998DB-7A96-4CCD-A60A-7900CF8F8CE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09" name="TextBox 408">
          <a:extLst>
            <a:ext uri="{FF2B5EF4-FFF2-40B4-BE49-F238E27FC236}">
              <a16:creationId xmlns:a16="http://schemas.microsoft.com/office/drawing/2014/main" id="{A317A66C-CD15-4579-9377-201CB1CA410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0" name="TextBox 409">
          <a:extLst>
            <a:ext uri="{FF2B5EF4-FFF2-40B4-BE49-F238E27FC236}">
              <a16:creationId xmlns:a16="http://schemas.microsoft.com/office/drawing/2014/main" id="{91DD151D-28B8-4138-BA99-E38C5EE62A4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1" name="TextBox 410">
          <a:extLst>
            <a:ext uri="{FF2B5EF4-FFF2-40B4-BE49-F238E27FC236}">
              <a16:creationId xmlns:a16="http://schemas.microsoft.com/office/drawing/2014/main" id="{6A1DCFFF-A516-4AEB-AAD7-F3A9BEC69A8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2" name="TextBox 411">
          <a:extLst>
            <a:ext uri="{FF2B5EF4-FFF2-40B4-BE49-F238E27FC236}">
              <a16:creationId xmlns:a16="http://schemas.microsoft.com/office/drawing/2014/main" id="{98E429CF-1918-4719-BCB6-7CCEF5DF41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3" name="TextBox 412">
          <a:extLst>
            <a:ext uri="{FF2B5EF4-FFF2-40B4-BE49-F238E27FC236}">
              <a16:creationId xmlns:a16="http://schemas.microsoft.com/office/drawing/2014/main" id="{F28EE0B2-F9A9-42F9-A8E4-DA0636C4347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4" name="TextBox 413">
          <a:extLst>
            <a:ext uri="{FF2B5EF4-FFF2-40B4-BE49-F238E27FC236}">
              <a16:creationId xmlns:a16="http://schemas.microsoft.com/office/drawing/2014/main" id="{69BB5E95-A665-4051-AA5A-E970CC7DEE2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5" name="TextBox 414">
          <a:extLst>
            <a:ext uri="{FF2B5EF4-FFF2-40B4-BE49-F238E27FC236}">
              <a16:creationId xmlns:a16="http://schemas.microsoft.com/office/drawing/2014/main" id="{89481102-776C-48F9-9FCF-E8275FB93FA2}"/>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6" name="TextBox 415">
          <a:extLst>
            <a:ext uri="{FF2B5EF4-FFF2-40B4-BE49-F238E27FC236}">
              <a16:creationId xmlns:a16="http://schemas.microsoft.com/office/drawing/2014/main" id="{5704D41C-DB85-42D3-BD93-E864A003F3D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7" name="TextBox 416">
          <a:extLst>
            <a:ext uri="{FF2B5EF4-FFF2-40B4-BE49-F238E27FC236}">
              <a16:creationId xmlns:a16="http://schemas.microsoft.com/office/drawing/2014/main" id="{EC9726E3-76A7-4827-987A-A8D4F99EF1B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8" name="TextBox 417">
          <a:extLst>
            <a:ext uri="{FF2B5EF4-FFF2-40B4-BE49-F238E27FC236}">
              <a16:creationId xmlns:a16="http://schemas.microsoft.com/office/drawing/2014/main" id="{940DDDB0-4264-47CA-9B1A-45A33A404A9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19" name="TextBox 418">
          <a:extLst>
            <a:ext uri="{FF2B5EF4-FFF2-40B4-BE49-F238E27FC236}">
              <a16:creationId xmlns:a16="http://schemas.microsoft.com/office/drawing/2014/main" id="{8282D153-0322-483D-A7C8-AE2D755695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0" name="TextBox 419">
          <a:extLst>
            <a:ext uri="{FF2B5EF4-FFF2-40B4-BE49-F238E27FC236}">
              <a16:creationId xmlns:a16="http://schemas.microsoft.com/office/drawing/2014/main" id="{2CB2ED9D-DAD2-4F0C-B0D5-3DAE3F96B1C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1" name="TextBox 420">
          <a:extLst>
            <a:ext uri="{FF2B5EF4-FFF2-40B4-BE49-F238E27FC236}">
              <a16:creationId xmlns:a16="http://schemas.microsoft.com/office/drawing/2014/main" id="{A9CA668E-35B3-42FF-8C0F-EAA733A4C8A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2" name="TextBox 421">
          <a:extLst>
            <a:ext uri="{FF2B5EF4-FFF2-40B4-BE49-F238E27FC236}">
              <a16:creationId xmlns:a16="http://schemas.microsoft.com/office/drawing/2014/main" id="{4C9D9BD1-F745-4450-8F6F-B5E49A6F2DD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3" name="TextBox 422">
          <a:extLst>
            <a:ext uri="{FF2B5EF4-FFF2-40B4-BE49-F238E27FC236}">
              <a16:creationId xmlns:a16="http://schemas.microsoft.com/office/drawing/2014/main" id="{B12FA517-584D-4197-AABA-87C27D00243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4" name="TextBox 423">
          <a:extLst>
            <a:ext uri="{FF2B5EF4-FFF2-40B4-BE49-F238E27FC236}">
              <a16:creationId xmlns:a16="http://schemas.microsoft.com/office/drawing/2014/main" id="{74E16F17-A55E-4132-813C-CD842C87B73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5" name="TextBox 424">
          <a:extLst>
            <a:ext uri="{FF2B5EF4-FFF2-40B4-BE49-F238E27FC236}">
              <a16:creationId xmlns:a16="http://schemas.microsoft.com/office/drawing/2014/main" id="{E439E7C3-5476-4EC1-B4B1-AC1182FBA8A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6" name="TextBox 425">
          <a:extLst>
            <a:ext uri="{FF2B5EF4-FFF2-40B4-BE49-F238E27FC236}">
              <a16:creationId xmlns:a16="http://schemas.microsoft.com/office/drawing/2014/main" id="{73F7CA2E-551C-4328-9BD3-AD09367394C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7" name="TextBox 426">
          <a:extLst>
            <a:ext uri="{FF2B5EF4-FFF2-40B4-BE49-F238E27FC236}">
              <a16:creationId xmlns:a16="http://schemas.microsoft.com/office/drawing/2014/main" id="{330A234D-587F-40F2-B55C-02CD28F95C5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8" name="TextBox 427">
          <a:extLst>
            <a:ext uri="{FF2B5EF4-FFF2-40B4-BE49-F238E27FC236}">
              <a16:creationId xmlns:a16="http://schemas.microsoft.com/office/drawing/2014/main" id="{F6E659DE-7F82-4893-B31D-24C3D1F583A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29" name="TextBox 428">
          <a:extLst>
            <a:ext uri="{FF2B5EF4-FFF2-40B4-BE49-F238E27FC236}">
              <a16:creationId xmlns:a16="http://schemas.microsoft.com/office/drawing/2014/main" id="{E2440A92-B9F1-455B-9FE9-C69D94CFF14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0" name="TextBox 429">
          <a:extLst>
            <a:ext uri="{FF2B5EF4-FFF2-40B4-BE49-F238E27FC236}">
              <a16:creationId xmlns:a16="http://schemas.microsoft.com/office/drawing/2014/main" id="{87FC9FE9-AE6C-4E49-B59C-E66E7486567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1" name="TextBox 430">
          <a:extLst>
            <a:ext uri="{FF2B5EF4-FFF2-40B4-BE49-F238E27FC236}">
              <a16:creationId xmlns:a16="http://schemas.microsoft.com/office/drawing/2014/main" id="{7E896BF6-7929-43A2-A8F2-87EDEE8E51D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2" name="TextBox 431">
          <a:extLst>
            <a:ext uri="{FF2B5EF4-FFF2-40B4-BE49-F238E27FC236}">
              <a16:creationId xmlns:a16="http://schemas.microsoft.com/office/drawing/2014/main" id="{33A33C22-7A06-4F2A-8222-52441C663D5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3" name="TextBox 432">
          <a:extLst>
            <a:ext uri="{FF2B5EF4-FFF2-40B4-BE49-F238E27FC236}">
              <a16:creationId xmlns:a16="http://schemas.microsoft.com/office/drawing/2014/main" id="{30C8AB95-EBF9-41AA-A15F-2763C36FC41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4" name="TextBox 433">
          <a:extLst>
            <a:ext uri="{FF2B5EF4-FFF2-40B4-BE49-F238E27FC236}">
              <a16:creationId xmlns:a16="http://schemas.microsoft.com/office/drawing/2014/main" id="{D4929D84-908B-40DC-9261-68EC8D052C53}"/>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5" name="TextBox 434">
          <a:extLst>
            <a:ext uri="{FF2B5EF4-FFF2-40B4-BE49-F238E27FC236}">
              <a16:creationId xmlns:a16="http://schemas.microsoft.com/office/drawing/2014/main" id="{22E733D6-5BC5-423B-93D4-E4F9D9C4AFC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6" name="TextBox 435">
          <a:extLst>
            <a:ext uri="{FF2B5EF4-FFF2-40B4-BE49-F238E27FC236}">
              <a16:creationId xmlns:a16="http://schemas.microsoft.com/office/drawing/2014/main" id="{9E0CF0B5-1CDE-4930-9C5C-BE96D52C1356}"/>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7" name="TextBox 436">
          <a:extLst>
            <a:ext uri="{FF2B5EF4-FFF2-40B4-BE49-F238E27FC236}">
              <a16:creationId xmlns:a16="http://schemas.microsoft.com/office/drawing/2014/main" id="{57AA0F39-930A-433F-85E4-C478F4FD4D8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8" name="TextBox 437">
          <a:extLst>
            <a:ext uri="{FF2B5EF4-FFF2-40B4-BE49-F238E27FC236}">
              <a16:creationId xmlns:a16="http://schemas.microsoft.com/office/drawing/2014/main" id="{D33BE0B6-AE0E-4415-8D2F-D962010D9D9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39" name="TextBox 438">
          <a:extLst>
            <a:ext uri="{FF2B5EF4-FFF2-40B4-BE49-F238E27FC236}">
              <a16:creationId xmlns:a16="http://schemas.microsoft.com/office/drawing/2014/main" id="{25F9184B-F6E2-48C4-8556-7BD6308496B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0" name="TextBox 439">
          <a:extLst>
            <a:ext uri="{FF2B5EF4-FFF2-40B4-BE49-F238E27FC236}">
              <a16:creationId xmlns:a16="http://schemas.microsoft.com/office/drawing/2014/main" id="{2B87F852-71E8-4460-A391-37DA1CDA0AF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1" name="TextBox 440">
          <a:extLst>
            <a:ext uri="{FF2B5EF4-FFF2-40B4-BE49-F238E27FC236}">
              <a16:creationId xmlns:a16="http://schemas.microsoft.com/office/drawing/2014/main" id="{8085720E-9254-4E2E-AB4C-C26ACBDC951E}"/>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2" name="TextBox 441">
          <a:extLst>
            <a:ext uri="{FF2B5EF4-FFF2-40B4-BE49-F238E27FC236}">
              <a16:creationId xmlns:a16="http://schemas.microsoft.com/office/drawing/2014/main" id="{45ADD0CA-E6DD-4E0E-A7F7-A2AC0F8C1AF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3" name="TextBox 442">
          <a:extLst>
            <a:ext uri="{FF2B5EF4-FFF2-40B4-BE49-F238E27FC236}">
              <a16:creationId xmlns:a16="http://schemas.microsoft.com/office/drawing/2014/main" id="{DB90A860-90EF-46F1-8265-2E4509D846F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4" name="TextBox 443">
          <a:extLst>
            <a:ext uri="{FF2B5EF4-FFF2-40B4-BE49-F238E27FC236}">
              <a16:creationId xmlns:a16="http://schemas.microsoft.com/office/drawing/2014/main" id="{C7DDE731-EA5E-4516-875C-092A96FA9F8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5" name="TextBox 444">
          <a:extLst>
            <a:ext uri="{FF2B5EF4-FFF2-40B4-BE49-F238E27FC236}">
              <a16:creationId xmlns:a16="http://schemas.microsoft.com/office/drawing/2014/main" id="{1CB07840-DDEE-4A49-9844-D0CECDB6C7E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6" name="TextBox 445">
          <a:extLst>
            <a:ext uri="{FF2B5EF4-FFF2-40B4-BE49-F238E27FC236}">
              <a16:creationId xmlns:a16="http://schemas.microsoft.com/office/drawing/2014/main" id="{A8B8FEB7-F12D-413D-A803-3B7DD3FDDD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7" name="TextBox 446">
          <a:extLst>
            <a:ext uri="{FF2B5EF4-FFF2-40B4-BE49-F238E27FC236}">
              <a16:creationId xmlns:a16="http://schemas.microsoft.com/office/drawing/2014/main" id="{163DB931-6B98-46B7-B2F8-BAA5686C7DE9}"/>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8" name="TextBox 447">
          <a:extLst>
            <a:ext uri="{FF2B5EF4-FFF2-40B4-BE49-F238E27FC236}">
              <a16:creationId xmlns:a16="http://schemas.microsoft.com/office/drawing/2014/main" id="{118ECB38-2655-4F75-BF8B-B7202D6DD22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49" name="TextBox 448">
          <a:extLst>
            <a:ext uri="{FF2B5EF4-FFF2-40B4-BE49-F238E27FC236}">
              <a16:creationId xmlns:a16="http://schemas.microsoft.com/office/drawing/2014/main" id="{5596BD40-CAAD-48A6-827F-CDE7963771F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0" name="TextBox 449">
          <a:extLst>
            <a:ext uri="{FF2B5EF4-FFF2-40B4-BE49-F238E27FC236}">
              <a16:creationId xmlns:a16="http://schemas.microsoft.com/office/drawing/2014/main" id="{A041AEF9-0A52-45EE-AABB-923FAFA83CEC}"/>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1" name="TextBox 450">
          <a:extLst>
            <a:ext uri="{FF2B5EF4-FFF2-40B4-BE49-F238E27FC236}">
              <a16:creationId xmlns:a16="http://schemas.microsoft.com/office/drawing/2014/main" id="{0C883A67-8818-4EB5-B3F4-166F77B8D404}"/>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2" name="TextBox 451">
          <a:extLst>
            <a:ext uri="{FF2B5EF4-FFF2-40B4-BE49-F238E27FC236}">
              <a16:creationId xmlns:a16="http://schemas.microsoft.com/office/drawing/2014/main" id="{D6096BB6-E0D9-448F-80F2-6DE6B92FC751}"/>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3" name="TextBox 452">
          <a:extLst>
            <a:ext uri="{FF2B5EF4-FFF2-40B4-BE49-F238E27FC236}">
              <a16:creationId xmlns:a16="http://schemas.microsoft.com/office/drawing/2014/main" id="{1A55392A-F09D-45CD-A3D4-2A956B32CF40}"/>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4" name="TextBox 453">
          <a:extLst>
            <a:ext uri="{FF2B5EF4-FFF2-40B4-BE49-F238E27FC236}">
              <a16:creationId xmlns:a16="http://schemas.microsoft.com/office/drawing/2014/main" id="{E4A62379-C62F-4BD4-AE9D-C6D36B33CBB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5" name="TextBox 454">
          <a:extLst>
            <a:ext uri="{FF2B5EF4-FFF2-40B4-BE49-F238E27FC236}">
              <a16:creationId xmlns:a16="http://schemas.microsoft.com/office/drawing/2014/main" id="{75DBF63E-E0AE-43B4-81D3-C22379C7E295}"/>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6" name="TextBox 455">
          <a:extLst>
            <a:ext uri="{FF2B5EF4-FFF2-40B4-BE49-F238E27FC236}">
              <a16:creationId xmlns:a16="http://schemas.microsoft.com/office/drawing/2014/main" id="{B198199B-BEEC-4C24-8397-E492AAB8A9C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7" name="TextBox 456">
          <a:extLst>
            <a:ext uri="{FF2B5EF4-FFF2-40B4-BE49-F238E27FC236}">
              <a16:creationId xmlns:a16="http://schemas.microsoft.com/office/drawing/2014/main" id="{89BAB109-E477-4190-AA86-E8A58225DFDF}"/>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8" name="TextBox 457">
          <a:extLst>
            <a:ext uri="{FF2B5EF4-FFF2-40B4-BE49-F238E27FC236}">
              <a16:creationId xmlns:a16="http://schemas.microsoft.com/office/drawing/2014/main" id="{C896953A-AC34-41FA-8519-0F6967333437}"/>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59" name="TextBox 458">
          <a:extLst>
            <a:ext uri="{FF2B5EF4-FFF2-40B4-BE49-F238E27FC236}">
              <a16:creationId xmlns:a16="http://schemas.microsoft.com/office/drawing/2014/main" id="{5D7B6A4B-FA65-4898-9F05-1CCD382D6E3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60" name="TextBox 459">
          <a:extLst>
            <a:ext uri="{FF2B5EF4-FFF2-40B4-BE49-F238E27FC236}">
              <a16:creationId xmlns:a16="http://schemas.microsoft.com/office/drawing/2014/main" id="{9B12991E-6916-4098-A2FC-EE5EBCB18D0B}"/>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61" name="TextBox 460">
          <a:extLst>
            <a:ext uri="{FF2B5EF4-FFF2-40B4-BE49-F238E27FC236}">
              <a16:creationId xmlns:a16="http://schemas.microsoft.com/office/drawing/2014/main" id="{893DE25A-723B-4108-8E5B-05A35D2E2CCA}"/>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6</xdr:col>
      <xdr:colOff>682487</xdr:colOff>
      <xdr:row>0</xdr:row>
      <xdr:rowOff>0</xdr:rowOff>
    </xdr:from>
    <xdr:ext cx="65" cy="172227"/>
    <xdr:sp macro="" textlink="">
      <xdr:nvSpPr>
        <xdr:cNvPr id="462" name="TextBox 461">
          <a:extLst>
            <a:ext uri="{FF2B5EF4-FFF2-40B4-BE49-F238E27FC236}">
              <a16:creationId xmlns:a16="http://schemas.microsoft.com/office/drawing/2014/main" id="{1FF17961-B553-4C29-B076-1026F2343FE8}"/>
            </a:ext>
          </a:extLst>
        </xdr:cNvPr>
        <xdr:cNvSpPr txBox="1"/>
      </xdr:nvSpPr>
      <xdr:spPr>
        <a:xfrm>
          <a:off x="7026137"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6548437</xdr:colOff>
      <xdr:row>0</xdr:row>
      <xdr:rowOff>419100</xdr:rowOff>
    </xdr:from>
    <xdr:to>
      <xdr:col>0</xdr:col>
      <xdr:colOff>9739312</xdr:colOff>
      <xdr:row>0</xdr:row>
      <xdr:rowOff>2546350</xdr:rowOff>
    </xdr:to>
    <xdr:pic>
      <xdr:nvPicPr>
        <xdr:cNvPr id="4" name="Picture 3">
          <a:extLst>
            <a:ext uri="{FF2B5EF4-FFF2-40B4-BE49-F238E27FC236}">
              <a16:creationId xmlns:a16="http://schemas.microsoft.com/office/drawing/2014/main" id="{712BE7E3-51A3-26F3-5679-C7251C1F948F}"/>
            </a:ext>
          </a:extLst>
        </xdr:cNvPr>
        <xdr:cNvPicPr>
          <a:picLocks noChangeAspect="1"/>
        </xdr:cNvPicPr>
      </xdr:nvPicPr>
      <xdr:blipFill>
        <a:blip xmlns:r="http://schemas.openxmlformats.org/officeDocument/2006/relationships" r:embed="rId1"/>
        <a:stretch>
          <a:fillRect/>
        </a:stretch>
      </xdr:blipFill>
      <xdr:spPr>
        <a:xfrm>
          <a:off x="6548437" y="419100"/>
          <a:ext cx="3190875" cy="2127250"/>
        </a:xfrm>
        <a:prstGeom prst="rect">
          <a:avLst/>
        </a:prstGeom>
      </xdr:spPr>
    </xdr:pic>
    <xdr:clientData/>
  </xdr:twoCellAnchor>
  <xdr:twoCellAnchor editAs="oneCell">
    <xdr:from>
      <xdr:col>0</xdr:col>
      <xdr:colOff>195263</xdr:colOff>
      <xdr:row>30</xdr:row>
      <xdr:rowOff>347662</xdr:rowOff>
    </xdr:from>
    <xdr:to>
      <xdr:col>0</xdr:col>
      <xdr:colOff>3386138</xdr:colOff>
      <xdr:row>30</xdr:row>
      <xdr:rowOff>2474912</xdr:rowOff>
    </xdr:to>
    <xdr:pic>
      <xdr:nvPicPr>
        <xdr:cNvPr id="6" name="Picture 5">
          <a:extLst>
            <a:ext uri="{FF2B5EF4-FFF2-40B4-BE49-F238E27FC236}">
              <a16:creationId xmlns:a16="http://schemas.microsoft.com/office/drawing/2014/main" id="{2744DFB5-EDC0-457A-89BA-EF05F941B906}"/>
            </a:ext>
          </a:extLst>
        </xdr:cNvPr>
        <xdr:cNvPicPr>
          <a:picLocks noChangeAspect="1"/>
        </xdr:cNvPicPr>
      </xdr:nvPicPr>
      <xdr:blipFill>
        <a:blip xmlns:r="http://schemas.openxmlformats.org/officeDocument/2006/relationships" r:embed="rId1"/>
        <a:stretch>
          <a:fillRect/>
        </a:stretch>
      </xdr:blipFill>
      <xdr:spPr>
        <a:xfrm>
          <a:off x="195263" y="27589162"/>
          <a:ext cx="3190875" cy="2127250"/>
        </a:xfrm>
        <a:prstGeom prst="rect">
          <a:avLst/>
        </a:prstGeom>
      </xdr:spPr>
    </xdr:pic>
    <xdr:clientData/>
  </xdr:twoCellAnchor>
  <xdr:twoCellAnchor editAs="oneCell">
    <xdr:from>
      <xdr:col>0</xdr:col>
      <xdr:colOff>242888</xdr:colOff>
      <xdr:row>76</xdr:row>
      <xdr:rowOff>295275</xdr:rowOff>
    </xdr:from>
    <xdr:to>
      <xdr:col>0</xdr:col>
      <xdr:colOff>3433763</xdr:colOff>
      <xdr:row>76</xdr:row>
      <xdr:rowOff>2422525</xdr:rowOff>
    </xdr:to>
    <xdr:pic>
      <xdr:nvPicPr>
        <xdr:cNvPr id="9" name="Picture 8">
          <a:extLst>
            <a:ext uri="{FF2B5EF4-FFF2-40B4-BE49-F238E27FC236}">
              <a16:creationId xmlns:a16="http://schemas.microsoft.com/office/drawing/2014/main" id="{6B1E697A-19EB-4D71-998D-63BACCA9AE19}"/>
            </a:ext>
          </a:extLst>
        </xdr:cNvPr>
        <xdr:cNvPicPr>
          <a:picLocks noChangeAspect="1"/>
        </xdr:cNvPicPr>
      </xdr:nvPicPr>
      <xdr:blipFill>
        <a:blip xmlns:r="http://schemas.openxmlformats.org/officeDocument/2006/relationships" r:embed="rId1"/>
        <a:stretch>
          <a:fillRect/>
        </a:stretch>
      </xdr:blipFill>
      <xdr:spPr>
        <a:xfrm>
          <a:off x="242888" y="66741675"/>
          <a:ext cx="3190875" cy="2127250"/>
        </a:xfrm>
        <a:prstGeom prst="rect">
          <a:avLst/>
        </a:prstGeom>
      </xdr:spPr>
    </xdr:pic>
    <xdr:clientData/>
  </xdr:twoCellAnchor>
  <xdr:twoCellAnchor editAs="oneCell">
    <xdr:from>
      <xdr:col>0</xdr:col>
      <xdr:colOff>180975</xdr:colOff>
      <xdr:row>119</xdr:row>
      <xdr:rowOff>400050</xdr:rowOff>
    </xdr:from>
    <xdr:to>
      <xdr:col>0</xdr:col>
      <xdr:colOff>3371850</xdr:colOff>
      <xdr:row>119</xdr:row>
      <xdr:rowOff>2527300</xdr:rowOff>
    </xdr:to>
    <xdr:pic>
      <xdr:nvPicPr>
        <xdr:cNvPr id="10" name="Picture 9">
          <a:extLst>
            <a:ext uri="{FF2B5EF4-FFF2-40B4-BE49-F238E27FC236}">
              <a16:creationId xmlns:a16="http://schemas.microsoft.com/office/drawing/2014/main" id="{4CB0455D-88A4-45A5-A919-2F31FBE111C3}"/>
            </a:ext>
          </a:extLst>
        </xdr:cNvPr>
        <xdr:cNvPicPr>
          <a:picLocks noChangeAspect="1"/>
        </xdr:cNvPicPr>
      </xdr:nvPicPr>
      <xdr:blipFill>
        <a:blip xmlns:r="http://schemas.openxmlformats.org/officeDocument/2006/relationships" r:embed="rId1"/>
        <a:stretch>
          <a:fillRect/>
        </a:stretch>
      </xdr:blipFill>
      <xdr:spPr>
        <a:xfrm>
          <a:off x="180975" y="105022650"/>
          <a:ext cx="3190875" cy="2127250"/>
        </a:xfrm>
        <a:prstGeom prst="rect">
          <a:avLst/>
        </a:prstGeom>
      </xdr:spPr>
    </xdr:pic>
    <xdr:clientData/>
  </xdr:twoCellAnchor>
  <xdr:twoCellAnchor editAs="oneCell">
    <xdr:from>
      <xdr:col>0</xdr:col>
      <xdr:colOff>238125</xdr:colOff>
      <xdr:row>162</xdr:row>
      <xdr:rowOff>295275</xdr:rowOff>
    </xdr:from>
    <xdr:to>
      <xdr:col>0</xdr:col>
      <xdr:colOff>3429000</xdr:colOff>
      <xdr:row>162</xdr:row>
      <xdr:rowOff>2422525</xdr:rowOff>
    </xdr:to>
    <xdr:pic>
      <xdr:nvPicPr>
        <xdr:cNvPr id="11" name="Picture 10">
          <a:extLst>
            <a:ext uri="{FF2B5EF4-FFF2-40B4-BE49-F238E27FC236}">
              <a16:creationId xmlns:a16="http://schemas.microsoft.com/office/drawing/2014/main" id="{27C6FE41-4D1E-4BF1-AF04-989849EB7F37}"/>
            </a:ext>
          </a:extLst>
        </xdr:cNvPr>
        <xdr:cNvPicPr>
          <a:picLocks noChangeAspect="1"/>
        </xdr:cNvPicPr>
      </xdr:nvPicPr>
      <xdr:blipFill>
        <a:blip xmlns:r="http://schemas.openxmlformats.org/officeDocument/2006/relationships" r:embed="rId1"/>
        <a:stretch>
          <a:fillRect/>
        </a:stretch>
      </xdr:blipFill>
      <xdr:spPr>
        <a:xfrm>
          <a:off x="238125" y="142827375"/>
          <a:ext cx="3190875" cy="2127250"/>
        </a:xfrm>
        <a:prstGeom prst="rect">
          <a:avLst/>
        </a:prstGeom>
      </xdr:spPr>
    </xdr:pic>
    <xdr:clientData/>
  </xdr:twoCellAnchor>
  <xdr:twoCellAnchor editAs="oneCell">
    <xdr:from>
      <xdr:col>0</xdr:col>
      <xdr:colOff>214312</xdr:colOff>
      <xdr:row>205</xdr:row>
      <xdr:rowOff>361950</xdr:rowOff>
    </xdr:from>
    <xdr:to>
      <xdr:col>0</xdr:col>
      <xdr:colOff>3405187</xdr:colOff>
      <xdr:row>205</xdr:row>
      <xdr:rowOff>2489200</xdr:rowOff>
    </xdr:to>
    <xdr:pic>
      <xdr:nvPicPr>
        <xdr:cNvPr id="12" name="Picture 11">
          <a:extLst>
            <a:ext uri="{FF2B5EF4-FFF2-40B4-BE49-F238E27FC236}">
              <a16:creationId xmlns:a16="http://schemas.microsoft.com/office/drawing/2014/main" id="{D9B0D6DC-8A5D-482C-B0C5-8044C5A55631}"/>
            </a:ext>
          </a:extLst>
        </xdr:cNvPr>
        <xdr:cNvPicPr>
          <a:picLocks noChangeAspect="1"/>
        </xdr:cNvPicPr>
      </xdr:nvPicPr>
      <xdr:blipFill>
        <a:blip xmlns:r="http://schemas.openxmlformats.org/officeDocument/2006/relationships" r:embed="rId1"/>
        <a:stretch>
          <a:fillRect/>
        </a:stretch>
      </xdr:blipFill>
      <xdr:spPr>
        <a:xfrm>
          <a:off x="214312" y="181260750"/>
          <a:ext cx="3190875" cy="2127250"/>
        </a:xfrm>
        <a:prstGeom prst="rect">
          <a:avLst/>
        </a:prstGeom>
      </xdr:spPr>
    </xdr:pic>
    <xdr:clientData/>
  </xdr:twoCellAnchor>
  <xdr:twoCellAnchor editAs="oneCell">
    <xdr:from>
      <xdr:col>0</xdr:col>
      <xdr:colOff>195262</xdr:colOff>
      <xdr:row>249</xdr:row>
      <xdr:rowOff>366712</xdr:rowOff>
    </xdr:from>
    <xdr:to>
      <xdr:col>0</xdr:col>
      <xdr:colOff>3386137</xdr:colOff>
      <xdr:row>249</xdr:row>
      <xdr:rowOff>2522537</xdr:rowOff>
    </xdr:to>
    <xdr:pic>
      <xdr:nvPicPr>
        <xdr:cNvPr id="13" name="Picture 12">
          <a:extLst>
            <a:ext uri="{FF2B5EF4-FFF2-40B4-BE49-F238E27FC236}">
              <a16:creationId xmlns:a16="http://schemas.microsoft.com/office/drawing/2014/main" id="{79332845-CAB9-4DD7-993F-E0004E1AAD3C}"/>
            </a:ext>
          </a:extLst>
        </xdr:cNvPr>
        <xdr:cNvPicPr>
          <a:picLocks noChangeAspect="1"/>
        </xdr:cNvPicPr>
      </xdr:nvPicPr>
      <xdr:blipFill>
        <a:blip xmlns:r="http://schemas.openxmlformats.org/officeDocument/2006/relationships" r:embed="rId1"/>
        <a:stretch>
          <a:fillRect/>
        </a:stretch>
      </xdr:blipFill>
      <xdr:spPr>
        <a:xfrm>
          <a:off x="195262" y="211631212"/>
          <a:ext cx="3190875" cy="2155825"/>
        </a:xfrm>
        <a:prstGeom prst="rect">
          <a:avLst/>
        </a:prstGeom>
      </xdr:spPr>
    </xdr:pic>
    <xdr:clientData/>
  </xdr:twoCellAnchor>
  <xdr:twoCellAnchor editAs="oneCell">
    <xdr:from>
      <xdr:col>0</xdr:col>
      <xdr:colOff>200025</xdr:colOff>
      <xdr:row>296</xdr:row>
      <xdr:rowOff>447675</xdr:rowOff>
    </xdr:from>
    <xdr:to>
      <xdr:col>0</xdr:col>
      <xdr:colOff>3390900</xdr:colOff>
      <xdr:row>296</xdr:row>
      <xdr:rowOff>2574925</xdr:rowOff>
    </xdr:to>
    <xdr:pic>
      <xdr:nvPicPr>
        <xdr:cNvPr id="14" name="Picture 13">
          <a:extLst>
            <a:ext uri="{FF2B5EF4-FFF2-40B4-BE49-F238E27FC236}">
              <a16:creationId xmlns:a16="http://schemas.microsoft.com/office/drawing/2014/main" id="{59E27CBB-E9E0-4980-9A96-7FEABBF1B052}"/>
            </a:ext>
          </a:extLst>
        </xdr:cNvPr>
        <xdr:cNvPicPr>
          <a:picLocks noChangeAspect="1"/>
        </xdr:cNvPicPr>
      </xdr:nvPicPr>
      <xdr:blipFill>
        <a:blip xmlns:r="http://schemas.openxmlformats.org/officeDocument/2006/relationships" r:embed="rId1"/>
        <a:stretch>
          <a:fillRect/>
        </a:stretch>
      </xdr:blipFill>
      <xdr:spPr>
        <a:xfrm>
          <a:off x="200025" y="261280275"/>
          <a:ext cx="3190875" cy="2127250"/>
        </a:xfrm>
        <a:prstGeom prst="rect">
          <a:avLst/>
        </a:prstGeom>
      </xdr:spPr>
    </xdr:pic>
    <xdr:clientData/>
  </xdr:twoCellAnchor>
  <xdr:twoCellAnchor editAs="oneCell">
    <xdr:from>
      <xdr:col>0</xdr:col>
      <xdr:colOff>142875</xdr:colOff>
      <xdr:row>340</xdr:row>
      <xdr:rowOff>357187</xdr:rowOff>
    </xdr:from>
    <xdr:to>
      <xdr:col>0</xdr:col>
      <xdr:colOff>3333750</xdr:colOff>
      <xdr:row>340</xdr:row>
      <xdr:rowOff>2484437</xdr:rowOff>
    </xdr:to>
    <xdr:pic>
      <xdr:nvPicPr>
        <xdr:cNvPr id="15" name="Picture 14">
          <a:extLst>
            <a:ext uri="{FF2B5EF4-FFF2-40B4-BE49-F238E27FC236}">
              <a16:creationId xmlns:a16="http://schemas.microsoft.com/office/drawing/2014/main" id="{0AFB2D80-D27B-4C99-A675-76CCC82EDF33}"/>
            </a:ext>
          </a:extLst>
        </xdr:cNvPr>
        <xdr:cNvPicPr>
          <a:picLocks noChangeAspect="1"/>
        </xdr:cNvPicPr>
      </xdr:nvPicPr>
      <xdr:blipFill>
        <a:blip xmlns:r="http://schemas.openxmlformats.org/officeDocument/2006/relationships" r:embed="rId1"/>
        <a:stretch>
          <a:fillRect/>
        </a:stretch>
      </xdr:blipFill>
      <xdr:spPr>
        <a:xfrm>
          <a:off x="142875" y="306147787"/>
          <a:ext cx="3190875" cy="2127250"/>
        </a:xfrm>
        <a:prstGeom prst="rect">
          <a:avLst/>
        </a:prstGeom>
      </xdr:spPr>
    </xdr:pic>
    <xdr:clientData/>
  </xdr:twoCellAnchor>
  <xdr:twoCellAnchor editAs="oneCell">
    <xdr:from>
      <xdr:col>0</xdr:col>
      <xdr:colOff>119062</xdr:colOff>
      <xdr:row>383</xdr:row>
      <xdr:rowOff>300038</xdr:rowOff>
    </xdr:from>
    <xdr:to>
      <xdr:col>0</xdr:col>
      <xdr:colOff>3309937</xdr:colOff>
      <xdr:row>383</xdr:row>
      <xdr:rowOff>2427288</xdr:rowOff>
    </xdr:to>
    <xdr:pic>
      <xdr:nvPicPr>
        <xdr:cNvPr id="16" name="Picture 15">
          <a:extLst>
            <a:ext uri="{FF2B5EF4-FFF2-40B4-BE49-F238E27FC236}">
              <a16:creationId xmlns:a16="http://schemas.microsoft.com/office/drawing/2014/main" id="{14251CE1-8049-411E-BACE-E2A5C0E04E79}"/>
            </a:ext>
          </a:extLst>
        </xdr:cNvPr>
        <xdr:cNvPicPr>
          <a:picLocks noChangeAspect="1"/>
        </xdr:cNvPicPr>
      </xdr:nvPicPr>
      <xdr:blipFill>
        <a:blip xmlns:r="http://schemas.openxmlformats.org/officeDocument/2006/relationships" r:embed="rId1"/>
        <a:stretch>
          <a:fillRect/>
        </a:stretch>
      </xdr:blipFill>
      <xdr:spPr>
        <a:xfrm>
          <a:off x="119062" y="344000138"/>
          <a:ext cx="3190875" cy="2127250"/>
        </a:xfrm>
        <a:prstGeom prst="rect">
          <a:avLst/>
        </a:prstGeom>
      </xdr:spPr>
    </xdr:pic>
    <xdr:clientData/>
  </xdr:twoCellAnchor>
  <xdr:twoCellAnchor editAs="oneCell">
    <xdr:from>
      <xdr:col>0</xdr:col>
      <xdr:colOff>409575</xdr:colOff>
      <xdr:row>422</xdr:row>
      <xdr:rowOff>361950</xdr:rowOff>
    </xdr:from>
    <xdr:to>
      <xdr:col>0</xdr:col>
      <xdr:colOff>3600450</xdr:colOff>
      <xdr:row>422</xdr:row>
      <xdr:rowOff>2489200</xdr:rowOff>
    </xdr:to>
    <xdr:pic>
      <xdr:nvPicPr>
        <xdr:cNvPr id="17" name="Picture 16">
          <a:extLst>
            <a:ext uri="{FF2B5EF4-FFF2-40B4-BE49-F238E27FC236}">
              <a16:creationId xmlns:a16="http://schemas.microsoft.com/office/drawing/2014/main" id="{00807C05-38CE-4F67-8050-CD9C833DF1AF}"/>
            </a:ext>
          </a:extLst>
        </xdr:cNvPr>
        <xdr:cNvPicPr>
          <a:picLocks noChangeAspect="1"/>
        </xdr:cNvPicPr>
      </xdr:nvPicPr>
      <xdr:blipFill>
        <a:blip xmlns:r="http://schemas.openxmlformats.org/officeDocument/2006/relationships" r:embed="rId1"/>
        <a:stretch>
          <a:fillRect/>
        </a:stretch>
      </xdr:blipFill>
      <xdr:spPr>
        <a:xfrm>
          <a:off x="409575" y="363550200"/>
          <a:ext cx="3190875" cy="2127250"/>
        </a:xfrm>
        <a:prstGeom prst="rect">
          <a:avLst/>
        </a:prstGeom>
      </xdr:spPr>
    </xdr:pic>
    <xdr:clientData/>
  </xdr:twoCellAnchor>
  <xdr:oneCellAnchor>
    <xdr:from>
      <xdr:col>0</xdr:col>
      <xdr:colOff>409575</xdr:colOff>
      <xdr:row>464</xdr:row>
      <xdr:rowOff>361950</xdr:rowOff>
    </xdr:from>
    <xdr:ext cx="3190875" cy="2127250"/>
    <xdr:pic>
      <xdr:nvPicPr>
        <xdr:cNvPr id="2" name="Picture 1">
          <a:extLst>
            <a:ext uri="{FF2B5EF4-FFF2-40B4-BE49-F238E27FC236}">
              <a16:creationId xmlns:a16="http://schemas.microsoft.com/office/drawing/2014/main" id="{A5188F13-FC5D-4D9C-BD70-95A83AADA8A1}"/>
            </a:ext>
          </a:extLst>
        </xdr:cNvPr>
        <xdr:cNvPicPr>
          <a:picLocks noChangeAspect="1"/>
        </xdr:cNvPicPr>
      </xdr:nvPicPr>
      <xdr:blipFill>
        <a:blip xmlns:r="http://schemas.openxmlformats.org/officeDocument/2006/relationships" r:embed="rId1"/>
        <a:stretch>
          <a:fillRect/>
        </a:stretch>
      </xdr:blipFill>
      <xdr:spPr>
        <a:xfrm>
          <a:off x="409575" y="363550200"/>
          <a:ext cx="3190875" cy="212725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47"/>
  <sheetViews>
    <sheetView workbookViewId="0">
      <selection sqref="A1:C1"/>
    </sheetView>
  </sheetViews>
  <sheetFormatPr defaultRowHeight="15" x14ac:dyDescent="0.25"/>
  <cols>
    <col min="1" max="1" width="37.7109375" bestFit="1" customWidth="1"/>
    <col min="2" max="2" width="17.140625" customWidth="1"/>
    <col min="3" max="3" width="20.42578125" customWidth="1"/>
    <col min="4" max="4" width="27.85546875" customWidth="1"/>
    <col min="5" max="5" width="31.28515625" customWidth="1"/>
  </cols>
  <sheetData>
    <row r="1" spans="1:5" x14ac:dyDescent="0.25">
      <c r="A1" s="410" t="s">
        <v>5478</v>
      </c>
      <c r="B1" s="410"/>
      <c r="C1" s="410"/>
      <c r="D1" s="411" t="s">
        <v>802</v>
      </c>
      <c r="E1" s="411"/>
    </row>
    <row r="2" spans="1:5" x14ac:dyDescent="0.25">
      <c r="A2" s="87" t="s">
        <v>5477</v>
      </c>
      <c r="B2" s="87" t="s">
        <v>525</v>
      </c>
    </row>
    <row r="3" spans="1:5" x14ac:dyDescent="0.25">
      <c r="A3" t="e">
        <f t="array" ref="A3">#REF!</f>
        <v>#REF!</v>
      </c>
    </row>
    <row r="20" spans="1:1" x14ac:dyDescent="0.25">
      <c r="A20" t="e">
        <f t="array" ref="A20">#REF!</f>
        <v>#REF!</v>
      </c>
    </row>
    <row r="37" spans="1:1" x14ac:dyDescent="0.25">
      <c r="A37" t="e">
        <f t="array" ref="A37">#REF!</f>
        <v>#REF!</v>
      </c>
    </row>
    <row r="54" spans="1:1" x14ac:dyDescent="0.25">
      <c r="A54" t="e">
        <f t="array" ref="A54">#REF!</f>
        <v>#REF!</v>
      </c>
    </row>
    <row r="71" spans="1:1" x14ac:dyDescent="0.25">
      <c r="A71" t="e">
        <f t="array" ref="A71">#REF!</f>
        <v>#REF!</v>
      </c>
    </row>
    <row r="88" spans="1:1" x14ac:dyDescent="0.25">
      <c r="A88" t="e">
        <f t="array" ref="A88">#REF!</f>
        <v>#REF!</v>
      </c>
    </row>
    <row r="105" spans="1:1" x14ac:dyDescent="0.25">
      <c r="A105" t="e">
        <f t="array" ref="A105">#REF!</f>
        <v>#REF!</v>
      </c>
    </row>
    <row r="122" spans="1:1" x14ac:dyDescent="0.25">
      <c r="A122" t="e">
        <f t="array" ref="A122">#REF!</f>
        <v>#REF!</v>
      </c>
    </row>
    <row r="139" spans="1:1" x14ac:dyDescent="0.25">
      <c r="A139" t="e">
        <f t="array" ref="A139">#REF!</f>
        <v>#REF!</v>
      </c>
    </row>
    <row r="154" spans="1:1" x14ac:dyDescent="0.25">
      <c r="A154" t="e">
        <f t="array" ref="A154">#REF!</f>
        <v>#REF!</v>
      </c>
    </row>
    <row r="170" spans="1:1" x14ac:dyDescent="0.25">
      <c r="A170" t="e">
        <f t="array" ref="A170">#REF!</f>
        <v>#REF!</v>
      </c>
    </row>
    <row r="186" spans="1:1" x14ac:dyDescent="0.25">
      <c r="A186" t="e">
        <f t="array" ref="A186">#REF!</f>
        <v>#REF!</v>
      </c>
    </row>
    <row r="202" spans="1:1" x14ac:dyDescent="0.25">
      <c r="A202" t="e">
        <f t="array" ref="A202">#REF!</f>
        <v>#REF!</v>
      </c>
    </row>
    <row r="218" spans="1:1" x14ac:dyDescent="0.25">
      <c r="A218" t="e">
        <f t="array" ref="A218">#REF!</f>
        <v>#REF!</v>
      </c>
    </row>
    <row r="237" spans="1:1" x14ac:dyDescent="0.25">
      <c r="A237" t="e">
        <f t="array" ref="A237">#REF!</f>
        <v>#REF!</v>
      </c>
    </row>
    <row r="255" spans="1:1" x14ac:dyDescent="0.25">
      <c r="A255" t="e">
        <f t="array" ref="A255">#REF!</f>
        <v>#REF!</v>
      </c>
    </row>
    <row r="271" spans="1:1" x14ac:dyDescent="0.25">
      <c r="A271" t="e">
        <f t="array" ref="A271">#REF!</f>
        <v>#REF!</v>
      </c>
    </row>
    <row r="289" spans="1:1" x14ac:dyDescent="0.25">
      <c r="A289" t="e">
        <f t="array" ref="A289">#REF!</f>
        <v>#REF!</v>
      </c>
    </row>
    <row r="306" spans="1:1" x14ac:dyDescent="0.25">
      <c r="A306" t="e">
        <f t="array" ref="A306">#REF!</f>
        <v>#REF!</v>
      </c>
    </row>
    <row r="324" spans="1:1" x14ac:dyDescent="0.25">
      <c r="A324" t="e">
        <f t="array" ref="A324">#REF!</f>
        <v>#REF!</v>
      </c>
    </row>
    <row r="342" spans="1:1" x14ac:dyDescent="0.25">
      <c r="A342" t="e">
        <f t="array" ref="A342">#REF!</f>
        <v>#REF!</v>
      </c>
    </row>
    <row r="360" spans="1:1" x14ac:dyDescent="0.25">
      <c r="A360" t="e">
        <f t="array" ref="A360">#REF!</f>
        <v>#REF!</v>
      </c>
    </row>
    <row r="377" spans="1:1" x14ac:dyDescent="0.25">
      <c r="A377" t="e">
        <f t="array" ref="A377">#REF!</f>
        <v>#REF!</v>
      </c>
    </row>
    <row r="392" spans="1:1" x14ac:dyDescent="0.25">
      <c r="A392" t="e">
        <f t="array" ref="A392">#REF!</f>
        <v>#REF!</v>
      </c>
    </row>
    <row r="407" spans="1:1" x14ac:dyDescent="0.25">
      <c r="A407" t="e">
        <f t="array" ref="A407">#REF!</f>
        <v>#REF!</v>
      </c>
    </row>
    <row r="419" spans="1:1" x14ac:dyDescent="0.25">
      <c r="A419" t="e">
        <f t="array" ref="A419">#REF!</f>
        <v>#REF!</v>
      </c>
    </row>
    <row r="434" spans="1:1" x14ac:dyDescent="0.25">
      <c r="A434" t="e">
        <f t="array" ref="A434">#REF!</f>
        <v>#REF!</v>
      </c>
    </row>
    <row r="448" spans="1:1" x14ac:dyDescent="0.25">
      <c r="A448" t="e">
        <f t="array" ref="A448">#REF!</f>
        <v>#REF!</v>
      </c>
    </row>
    <row r="462" spans="1:1" x14ac:dyDescent="0.25">
      <c r="A462" t="e">
        <f t="array" ref="A462">#REF!</f>
        <v>#REF!</v>
      </c>
    </row>
    <row r="476" spans="1:1" x14ac:dyDescent="0.25">
      <c r="A476" t="e">
        <f t="array" ref="A476">#REF!</f>
        <v>#REF!</v>
      </c>
    </row>
    <row r="492" spans="1:1" x14ac:dyDescent="0.25">
      <c r="A492" t="e">
        <f t="array" ref="A492">#REF!</f>
        <v>#REF!</v>
      </c>
    </row>
    <row r="506" spans="1:1" x14ac:dyDescent="0.25">
      <c r="A506" t="e">
        <f t="array" ref="A506">#REF!</f>
        <v>#REF!</v>
      </c>
    </row>
    <row r="522" spans="1:1" x14ac:dyDescent="0.25">
      <c r="A522" t="e">
        <f t="array" ref="A522">#REF!</f>
        <v>#REF!</v>
      </c>
    </row>
    <row r="541" spans="1:1" x14ac:dyDescent="0.25">
      <c r="A541" t="e">
        <f t="array" ref="A541">#REF!</f>
        <v>#REF!</v>
      </c>
    </row>
    <row r="558" spans="1:1" x14ac:dyDescent="0.25">
      <c r="A558" t="e">
        <f t="array" ref="A558">#REF!</f>
        <v>#REF!</v>
      </c>
    </row>
    <row r="574" spans="1:1" x14ac:dyDescent="0.25">
      <c r="A574" t="e">
        <f t="array" ref="A574">#REF!</f>
        <v>#REF!</v>
      </c>
    </row>
    <row r="593" spans="1:1" x14ac:dyDescent="0.25">
      <c r="A593" t="e">
        <f t="array" ref="A593">#REF!</f>
        <v>#REF!</v>
      </c>
    </row>
    <row r="607" spans="1:1" x14ac:dyDescent="0.25">
      <c r="A607" t="e">
        <f t="array" ref="A607">#REF!</f>
        <v>#REF!</v>
      </c>
    </row>
    <row r="623" spans="1:1" x14ac:dyDescent="0.25">
      <c r="A623" t="e">
        <f t="array" ref="A623">#REF!</f>
        <v>#REF!</v>
      </c>
    </row>
    <row r="638" spans="1:1" x14ac:dyDescent="0.25">
      <c r="A638" t="e">
        <f t="array" ref="A638">#REF!</f>
        <v>#REF!</v>
      </c>
    </row>
    <row r="653" spans="1:1" x14ac:dyDescent="0.25">
      <c r="A653" t="e">
        <f t="array" ref="A653">#REF!</f>
        <v>#REF!</v>
      </c>
    </row>
    <row r="671" spans="1:1" x14ac:dyDescent="0.25">
      <c r="A671" t="e">
        <f t="array" ref="A671">#REF!</f>
        <v>#REF!</v>
      </c>
    </row>
    <row r="686" spans="1:1" x14ac:dyDescent="0.25">
      <c r="A686" t="e">
        <f t="array" ref="A686">#REF!</f>
        <v>#REF!</v>
      </c>
    </row>
    <row r="699" spans="1:1" x14ac:dyDescent="0.25">
      <c r="A699" t="e">
        <f t="array" ref="A699">#REF!</f>
        <v>#REF!</v>
      </c>
    </row>
    <row r="716" spans="1:1" x14ac:dyDescent="0.25">
      <c r="A716" t="e">
        <f t="array" ref="A716">#REF!</f>
        <v>#REF!</v>
      </c>
    </row>
    <row r="732" spans="1:1" x14ac:dyDescent="0.25">
      <c r="A732" t="e">
        <f t="array" ref="A732">#REF!</f>
        <v>#REF!</v>
      </c>
    </row>
    <row r="747" spans="1:1" x14ac:dyDescent="0.25">
      <c r="A747" t="e">
        <f t="array" ref="A747">#REF!</f>
        <v>#REF!</v>
      </c>
    </row>
    <row r="760" spans="1:1" x14ac:dyDescent="0.25">
      <c r="A760" t="e">
        <f t="array" ref="A760">#REF!</f>
        <v>#REF!</v>
      </c>
    </row>
    <row r="776" spans="1:1" x14ac:dyDescent="0.25">
      <c r="A776" t="e">
        <f t="array" ref="A776">#REF!</f>
        <v>#REF!</v>
      </c>
    </row>
    <row r="790" spans="1:1" x14ac:dyDescent="0.25">
      <c r="A790" t="e">
        <f t="array" ref="A790">#REF!</f>
        <v>#REF!</v>
      </c>
    </row>
    <row r="803" spans="1:1" x14ac:dyDescent="0.25">
      <c r="A803" t="e">
        <f t="array" ref="A803">#REF!</f>
        <v>#REF!</v>
      </c>
    </row>
    <row r="815" spans="1:1" x14ac:dyDescent="0.25">
      <c r="A815" t="e">
        <f t="array" ref="A815">#REF!</f>
        <v>#REF!</v>
      </c>
    </row>
    <row r="826" spans="1:1" x14ac:dyDescent="0.25">
      <c r="A826" t="e">
        <f t="array" ref="A826">#REF!</f>
        <v>#REF!</v>
      </c>
    </row>
    <row r="843" spans="1:1" x14ac:dyDescent="0.25">
      <c r="A843" t="e">
        <f t="array" ref="A843">#REF!</f>
        <v>#REF!</v>
      </c>
    </row>
    <row r="860" spans="1:1" x14ac:dyDescent="0.25">
      <c r="A860" t="e">
        <f t="array" ref="A860">#REF!</f>
        <v>#REF!</v>
      </c>
    </row>
    <row r="877" spans="1:1" x14ac:dyDescent="0.25">
      <c r="A877" t="e">
        <f t="array" ref="A877">#REF!</f>
        <v>#REF!</v>
      </c>
    </row>
    <row r="894" spans="1:1" x14ac:dyDescent="0.25">
      <c r="A894" t="e">
        <f t="array" ref="A894">#REF!</f>
        <v>#REF!</v>
      </c>
    </row>
    <row r="900" spans="1:1" x14ac:dyDescent="0.25">
      <c r="A900" t="e">
        <f t="array" ref="A900">#REF!</f>
        <v>#REF!</v>
      </c>
    </row>
    <row r="913" spans="1:1" x14ac:dyDescent="0.25">
      <c r="A913" t="e">
        <f t="array" ref="A913">#REF!</f>
        <v>#REF!</v>
      </c>
    </row>
    <row r="925" spans="1:1" x14ac:dyDescent="0.25">
      <c r="A925" t="e">
        <f t="array" ref="A925">#REF!</f>
        <v>#REF!</v>
      </c>
    </row>
    <row r="941" spans="1:1" x14ac:dyDescent="0.25">
      <c r="A941" t="e">
        <f t="array" ref="A941">#REF!</f>
        <v>#REF!</v>
      </c>
    </row>
    <row r="951" spans="1:1" x14ac:dyDescent="0.25">
      <c r="A951" t="e">
        <f t="array" ref="A951">#REF!</f>
        <v>#REF!</v>
      </c>
    </row>
    <row r="965" spans="1:1" x14ac:dyDescent="0.25">
      <c r="A965" t="e">
        <f t="array" ref="A965">#REF!</f>
        <v>#REF!</v>
      </c>
    </row>
    <row r="976" spans="1:1" x14ac:dyDescent="0.25">
      <c r="A976" t="e">
        <f t="array" ref="A976">#REF!</f>
        <v>#REF!</v>
      </c>
    </row>
    <row r="987" spans="1:1" x14ac:dyDescent="0.25">
      <c r="A987" t="e">
        <f t="array" ref="A987">#REF!</f>
        <v>#REF!</v>
      </c>
    </row>
    <row r="995" spans="1:1" x14ac:dyDescent="0.25">
      <c r="A995" t="e">
        <f t="array" ref="A995">#REF!</f>
        <v>#REF!</v>
      </c>
    </row>
    <row r="1002" spans="1:1" x14ac:dyDescent="0.25">
      <c r="A1002" t="e">
        <f t="array" ref="A1002">#REF!</f>
        <v>#REF!</v>
      </c>
    </row>
    <row r="1009" spans="1:1" x14ac:dyDescent="0.25">
      <c r="A1009" t="e">
        <f t="array" ref="A1009">#REF!</f>
        <v>#REF!</v>
      </c>
    </row>
    <row r="1016" spans="1:1" x14ac:dyDescent="0.25">
      <c r="A1016" t="e">
        <f t="array" ref="A1016">#REF!</f>
        <v>#REF!</v>
      </c>
    </row>
    <row r="1027" spans="1:1" x14ac:dyDescent="0.25">
      <c r="A1027" t="e">
        <f t="array" ref="A1027">#REF!</f>
        <v>#REF!</v>
      </c>
    </row>
    <row r="1035" spans="1:1" x14ac:dyDescent="0.25">
      <c r="A1035" t="e">
        <f t="array" ref="A1035">#REF!</f>
        <v>#REF!</v>
      </c>
    </row>
    <row r="1047" spans="1:1" x14ac:dyDescent="0.25">
      <c r="A1047" t="e">
        <f t="array" ref="A1047">#REF!</f>
        <v>#REF!</v>
      </c>
    </row>
  </sheetData>
  <autoFilter ref="A2:B958" xr:uid="{00000000-0009-0000-0000-000000000000}"/>
  <mergeCells count="2">
    <mergeCell ref="A1:C1"/>
    <mergeCell ref="D1:E1"/>
  </mergeCells>
  <conditionalFormatting sqref="D3">
    <cfRule type="expression" dxfId="24670" priority="1">
      <formula>$A3="STOPPED"</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tint="-0.249977111117893"/>
  </sheetPr>
  <dimension ref="A1:AD2462"/>
  <sheetViews>
    <sheetView zoomScale="85" zoomScaleNormal="85" workbookViewId="0">
      <pane ySplit="3" topLeftCell="A2287" activePane="bottomLeft" state="frozen"/>
      <selection activeCell="A3" sqref="A3"/>
      <selection pane="bottomLeft" activeCell="G2306" sqref="G2306"/>
    </sheetView>
  </sheetViews>
  <sheetFormatPr defaultRowHeight="15" x14ac:dyDescent="0.25"/>
  <cols>
    <col min="1" max="1" width="11.42578125" bestFit="1" customWidth="1"/>
    <col min="2" max="2" width="51.28515625" bestFit="1" customWidth="1"/>
    <col min="3" max="3" width="23.7109375" bestFit="1" customWidth="1"/>
    <col min="4" max="4" width="83" customWidth="1"/>
    <col min="5" max="5" width="43.42578125" bestFit="1" customWidth="1"/>
    <col min="6" max="6" width="23.7109375" bestFit="1" customWidth="1"/>
    <col min="7" max="7" width="83" customWidth="1"/>
    <col min="8" max="8" width="43.42578125" bestFit="1" customWidth="1"/>
    <col min="9" max="9" width="23.7109375" bestFit="1" customWidth="1"/>
    <col min="10" max="10" width="83" customWidth="1"/>
    <col min="11" max="11" width="36.85546875" customWidth="1"/>
    <col min="12" max="12" width="28.7109375" customWidth="1"/>
    <col min="13" max="13" width="83" customWidth="1"/>
    <col min="14" max="14" width="36.7109375" bestFit="1" customWidth="1"/>
    <col min="15" max="15" width="25.42578125" bestFit="1" customWidth="1"/>
    <col min="16" max="16" width="83" customWidth="1"/>
    <col min="17" max="17" width="36.7109375" bestFit="1" customWidth="1"/>
    <col min="18" max="18" width="24.85546875" bestFit="1" customWidth="1"/>
    <col min="19" max="19" width="83" customWidth="1"/>
    <col min="20" max="20" width="35.28515625" bestFit="1" customWidth="1"/>
    <col min="21" max="21" width="28.7109375" bestFit="1" customWidth="1"/>
    <col min="22" max="22" width="83" customWidth="1"/>
    <col min="23" max="23" width="45.85546875" bestFit="1" customWidth="1"/>
    <col min="24" max="24" width="28.7109375" bestFit="1" customWidth="1"/>
    <col min="25" max="25" width="83" customWidth="1"/>
  </cols>
  <sheetData>
    <row r="1" spans="1:25" s="307" customFormat="1" x14ac:dyDescent="0.25"/>
    <row r="2" spans="1:25" s="308" customFormat="1" x14ac:dyDescent="0.25"/>
    <row r="3" spans="1:25" s="309" customFormat="1" x14ac:dyDescent="0.25">
      <c r="B3" s="309" t="s">
        <v>211</v>
      </c>
      <c r="E3" s="309" t="s">
        <v>23</v>
      </c>
      <c r="H3" s="309" t="s">
        <v>1</v>
      </c>
      <c r="K3" s="309" t="s">
        <v>18</v>
      </c>
      <c r="N3" s="309" t="s">
        <v>5226</v>
      </c>
      <c r="Q3" s="309" t="s">
        <v>5227</v>
      </c>
      <c r="T3" s="309" t="s">
        <v>21</v>
      </c>
      <c r="W3" s="309" t="s">
        <v>5228</v>
      </c>
    </row>
    <row r="4" spans="1:25" x14ac:dyDescent="0.25">
      <c r="A4" t="s">
        <v>6</v>
      </c>
      <c r="B4" s="75" t="s">
        <v>12922</v>
      </c>
      <c r="C4" s="75" t="s">
        <v>11449</v>
      </c>
      <c r="D4" t="s">
        <v>13275</v>
      </c>
      <c r="E4" s="75" t="s">
        <v>13274</v>
      </c>
      <c r="F4" s="290" t="s">
        <v>11449</v>
      </c>
      <c r="G4" t="s">
        <v>13695</v>
      </c>
      <c r="H4" s="75" t="s">
        <v>13274</v>
      </c>
      <c r="I4" s="75" t="s">
        <v>11449</v>
      </c>
      <c r="J4" t="s">
        <v>13827</v>
      </c>
      <c r="K4" s="75" t="s">
        <v>12810</v>
      </c>
      <c r="L4" s="75" t="s">
        <v>11449</v>
      </c>
      <c r="M4" t="s">
        <v>13569</v>
      </c>
      <c r="N4" s="75" t="s">
        <v>14083</v>
      </c>
      <c r="O4" s="75" t="s">
        <v>14242</v>
      </c>
      <c r="P4" t="s">
        <v>14325</v>
      </c>
      <c r="Q4" s="75" t="s">
        <v>11874</v>
      </c>
      <c r="R4" s="75" t="s">
        <v>10062</v>
      </c>
      <c r="S4" t="s">
        <v>12146</v>
      </c>
      <c r="T4" s="75" t="s">
        <v>10122</v>
      </c>
      <c r="U4" s="75" t="s">
        <v>10123</v>
      </c>
      <c r="V4" t="s">
        <v>10266</v>
      </c>
      <c r="W4" t="s">
        <v>10095</v>
      </c>
      <c r="X4" s="216" t="s">
        <v>12060</v>
      </c>
      <c r="Y4" t="s">
        <v>10099</v>
      </c>
    </row>
    <row r="5" spans="1:25" x14ac:dyDescent="0.25">
      <c r="B5" s="75" t="s">
        <v>11463</v>
      </c>
      <c r="C5" s="75" t="s">
        <v>10123</v>
      </c>
      <c r="D5" t="s">
        <v>11467</v>
      </c>
      <c r="E5" s="75" t="s">
        <v>11572</v>
      </c>
      <c r="F5" s="75" t="s">
        <v>10087</v>
      </c>
      <c r="G5" t="s">
        <v>11804</v>
      </c>
      <c r="H5" s="75" t="s">
        <v>9404</v>
      </c>
      <c r="I5" s="75" t="s">
        <v>311</v>
      </c>
      <c r="J5" t="s">
        <v>9650</v>
      </c>
      <c r="K5" s="75" t="s">
        <v>10556</v>
      </c>
      <c r="L5" s="216" t="s">
        <v>10123</v>
      </c>
      <c r="M5" t="s">
        <v>11598</v>
      </c>
      <c r="N5" s="75" t="s">
        <v>10358</v>
      </c>
      <c r="O5" s="75" t="s">
        <v>9366</v>
      </c>
      <c r="P5" t="s">
        <v>10548</v>
      </c>
      <c r="Q5" s="75" t="s">
        <v>11729</v>
      </c>
      <c r="R5" s="75" t="s">
        <v>10062</v>
      </c>
      <c r="S5" t="s">
        <v>11872</v>
      </c>
      <c r="T5" s="75" t="s">
        <v>9357</v>
      </c>
      <c r="U5" s="75" t="s">
        <v>9350</v>
      </c>
      <c r="V5" t="s">
        <v>9473</v>
      </c>
      <c r="W5" t="s">
        <v>14337</v>
      </c>
      <c r="X5" t="s">
        <v>14242</v>
      </c>
      <c r="Y5" t="s">
        <v>14959</v>
      </c>
    </row>
    <row r="6" spans="1:25" x14ac:dyDescent="0.25">
      <c r="B6" s="75" t="s">
        <v>10467</v>
      </c>
      <c r="C6" s="75" t="s">
        <v>5715</v>
      </c>
      <c r="D6" t="s">
        <v>10564</v>
      </c>
      <c r="E6" s="75" t="s">
        <v>10565</v>
      </c>
      <c r="F6" s="75" t="s">
        <v>10123</v>
      </c>
      <c r="G6" t="s">
        <v>11492</v>
      </c>
      <c r="H6" s="75" t="s">
        <v>8567</v>
      </c>
      <c r="I6" s="75" t="s">
        <v>7250</v>
      </c>
      <c r="J6" t="s">
        <v>9385</v>
      </c>
      <c r="K6" s="75" t="s">
        <v>11380</v>
      </c>
      <c r="L6" s="75" t="s">
        <v>310</v>
      </c>
      <c r="M6" t="s">
        <v>11393</v>
      </c>
      <c r="N6" s="75" t="s">
        <v>9990</v>
      </c>
      <c r="O6" s="75" t="s">
        <v>9886</v>
      </c>
      <c r="P6" t="s">
        <v>9991</v>
      </c>
      <c r="Q6" s="75" t="s">
        <v>11690</v>
      </c>
      <c r="R6" s="75" t="s">
        <v>9455</v>
      </c>
      <c r="S6" t="s">
        <v>11701</v>
      </c>
      <c r="T6" s="75" t="s">
        <v>7638</v>
      </c>
      <c r="U6" s="75" t="s">
        <v>7132</v>
      </c>
      <c r="V6" t="s">
        <v>7854</v>
      </c>
      <c r="W6" t="s">
        <v>15260</v>
      </c>
      <c r="X6" t="s">
        <v>6216</v>
      </c>
      <c r="Y6" t="s">
        <v>15261</v>
      </c>
    </row>
    <row r="7" spans="1:25" x14ac:dyDescent="0.25">
      <c r="B7" s="75" t="s">
        <v>10001</v>
      </c>
      <c r="C7" s="75" t="s">
        <v>10002</v>
      </c>
      <c r="D7" t="s">
        <v>10147</v>
      </c>
      <c r="E7" s="75" t="s">
        <v>10145</v>
      </c>
      <c r="F7" s="75" t="s">
        <v>10002</v>
      </c>
      <c r="G7" t="s">
        <v>10393</v>
      </c>
      <c r="H7" s="75" t="s">
        <v>8698</v>
      </c>
      <c r="I7" s="75" t="s">
        <v>5767</v>
      </c>
      <c r="J7" t="s">
        <v>9246</v>
      </c>
      <c r="K7" s="75" t="s">
        <v>10417</v>
      </c>
      <c r="L7" s="75" t="s">
        <v>9886</v>
      </c>
      <c r="M7" t="s">
        <v>10549</v>
      </c>
      <c r="N7" s="75" t="s">
        <v>9910</v>
      </c>
      <c r="O7" s="75" t="s">
        <v>9884</v>
      </c>
      <c r="P7" t="s">
        <v>9926</v>
      </c>
      <c r="Q7" s="75" t="s">
        <v>10533</v>
      </c>
      <c r="R7" s="75" t="s">
        <v>10087</v>
      </c>
      <c r="S7" t="s">
        <v>11378</v>
      </c>
      <c r="T7" s="75" t="s">
        <v>6955</v>
      </c>
      <c r="U7" s="75" t="s">
        <v>310</v>
      </c>
      <c r="V7" t="s">
        <v>7087</v>
      </c>
      <c r="W7" s="75" t="s">
        <v>13811</v>
      </c>
      <c r="X7" s="290" t="s">
        <v>11449</v>
      </c>
      <c r="Y7" t="s">
        <v>14961</v>
      </c>
    </row>
    <row r="8" spans="1:25" x14ac:dyDescent="0.25">
      <c r="B8" s="75" t="s">
        <v>9036</v>
      </c>
      <c r="C8" s="75" t="s">
        <v>310</v>
      </c>
      <c r="D8" t="s">
        <v>9170</v>
      </c>
      <c r="E8" s="75" t="s">
        <v>9167</v>
      </c>
      <c r="F8" s="75" t="s">
        <v>310</v>
      </c>
      <c r="G8" t="s">
        <v>9476</v>
      </c>
      <c r="H8" s="74" t="s">
        <v>6505</v>
      </c>
      <c r="I8" s="74" t="s">
        <v>299</v>
      </c>
      <c r="J8" t="s">
        <v>8108</v>
      </c>
      <c r="K8" s="75" t="s">
        <v>9946</v>
      </c>
      <c r="L8" s="75" t="s">
        <v>9366</v>
      </c>
      <c r="M8" t="s">
        <v>10512</v>
      </c>
      <c r="N8" s="75" t="s">
        <v>9716</v>
      </c>
      <c r="O8" s="75" t="s">
        <v>9884</v>
      </c>
      <c r="P8" t="s">
        <v>9900</v>
      </c>
      <c r="Q8" s="75" t="s">
        <v>10454</v>
      </c>
      <c r="R8" s="75" t="s">
        <v>9455</v>
      </c>
      <c r="S8" t="s">
        <v>10455</v>
      </c>
      <c r="T8" s="75" t="s">
        <v>5365</v>
      </c>
      <c r="U8" s="75" t="s">
        <v>5367</v>
      </c>
      <c r="V8" t="s">
        <v>6346</v>
      </c>
      <c r="W8" s="75" t="s">
        <v>12358</v>
      </c>
      <c r="X8" s="75" t="s">
        <v>10398</v>
      </c>
      <c r="Y8" t="s">
        <v>12448</v>
      </c>
    </row>
    <row r="9" spans="1:25" x14ac:dyDescent="0.25">
      <c r="B9" s="75" t="s">
        <v>8416</v>
      </c>
      <c r="C9" s="75" t="s">
        <v>311</v>
      </c>
      <c r="D9" t="s">
        <v>8782</v>
      </c>
      <c r="E9" s="75" t="s">
        <v>9404</v>
      </c>
      <c r="F9" s="75" t="s">
        <v>311</v>
      </c>
      <c r="G9" t="s">
        <v>9405</v>
      </c>
      <c r="H9" s="75" t="s">
        <v>7148</v>
      </c>
      <c r="I9" s="75" t="s">
        <v>7132</v>
      </c>
      <c r="J9" t="s">
        <v>8072</v>
      </c>
      <c r="K9" s="75" t="s">
        <v>9963</v>
      </c>
      <c r="L9" s="75" t="s">
        <v>9366</v>
      </c>
      <c r="M9" t="s">
        <v>10144</v>
      </c>
      <c r="N9" s="75" t="s">
        <v>9633</v>
      </c>
      <c r="O9" s="75" t="s">
        <v>5715</v>
      </c>
      <c r="P9" t="s">
        <v>9748</v>
      </c>
      <c r="Q9" s="74" t="s">
        <v>9326</v>
      </c>
      <c r="R9" s="74" t="s">
        <v>5715</v>
      </c>
      <c r="S9" t="s">
        <v>9632</v>
      </c>
      <c r="T9" s="75" t="s">
        <v>5895</v>
      </c>
      <c r="U9" s="75" t="s">
        <v>488</v>
      </c>
      <c r="V9" t="s">
        <v>6174</v>
      </c>
      <c r="W9" s="75" t="s">
        <v>12137</v>
      </c>
      <c r="X9" s="75" t="s">
        <v>9366</v>
      </c>
      <c r="Y9" t="s">
        <v>12446</v>
      </c>
    </row>
    <row r="10" spans="1:25" x14ac:dyDescent="0.25">
      <c r="B10" s="75" t="s">
        <v>8301</v>
      </c>
      <c r="C10" s="216" t="s">
        <v>8338</v>
      </c>
      <c r="D10" t="s">
        <v>8566</v>
      </c>
      <c r="E10" s="74" t="s">
        <v>8567</v>
      </c>
      <c r="F10" s="74" t="s">
        <v>8112</v>
      </c>
      <c r="G10" t="s">
        <v>9215</v>
      </c>
      <c r="H10" s="75" t="s">
        <v>7170</v>
      </c>
      <c r="I10" s="75" t="s">
        <v>7132</v>
      </c>
      <c r="J10" t="s">
        <v>7658</v>
      </c>
      <c r="K10" s="75" t="s">
        <v>9824</v>
      </c>
      <c r="L10" s="75" t="s">
        <v>5715</v>
      </c>
      <c r="M10" t="s">
        <v>10005</v>
      </c>
      <c r="N10" s="75" t="s">
        <v>9544</v>
      </c>
      <c r="O10" s="75" t="s">
        <v>9366</v>
      </c>
      <c r="P10" t="s">
        <v>9680</v>
      </c>
      <c r="Q10" s="75" t="s">
        <v>8876</v>
      </c>
      <c r="R10" s="75" t="s">
        <v>299</v>
      </c>
      <c r="S10" t="s">
        <v>9164</v>
      </c>
      <c r="T10" s="75" t="s">
        <v>5277</v>
      </c>
      <c r="U10" s="75" t="s">
        <v>3035</v>
      </c>
      <c r="V10" t="s">
        <v>5508</v>
      </c>
      <c r="W10" s="75" t="s">
        <v>12250</v>
      </c>
      <c r="X10" s="75" t="s">
        <v>9349</v>
      </c>
      <c r="Y10" t="s">
        <v>12286</v>
      </c>
    </row>
    <row r="11" spans="1:25" x14ac:dyDescent="0.25">
      <c r="B11" s="75" t="s">
        <v>7358</v>
      </c>
      <c r="C11" s="75" t="s">
        <v>448</v>
      </c>
      <c r="D11" t="s">
        <v>7444</v>
      </c>
      <c r="E11" s="75" t="s">
        <v>8089</v>
      </c>
      <c r="F11" s="75" t="s">
        <v>298</v>
      </c>
      <c r="G11" t="s">
        <v>11348</v>
      </c>
      <c r="H11" s="75" t="s">
        <v>7106</v>
      </c>
      <c r="I11" s="75" t="s">
        <v>7076</v>
      </c>
      <c r="J11" t="s">
        <v>7475</v>
      </c>
      <c r="K11" s="75" t="s">
        <v>9454</v>
      </c>
      <c r="L11" s="75" t="s">
        <v>9455</v>
      </c>
      <c r="M11" t="s">
        <v>9651</v>
      </c>
      <c r="N11" s="75" t="s">
        <v>9365</v>
      </c>
      <c r="O11" s="75" t="s">
        <v>9366</v>
      </c>
      <c r="P11" t="s">
        <v>9543</v>
      </c>
      <c r="Q11" s="75" t="s">
        <v>8205</v>
      </c>
      <c r="R11" s="75" t="s">
        <v>8339</v>
      </c>
      <c r="S11" t="s">
        <v>8773</v>
      </c>
      <c r="T11" s="75" t="s">
        <v>4927</v>
      </c>
      <c r="U11" s="75" t="s">
        <v>353</v>
      </c>
      <c r="V11" t="s">
        <v>5034</v>
      </c>
      <c r="W11" s="75" t="s">
        <v>11848</v>
      </c>
      <c r="X11" s="75" t="s">
        <v>10087</v>
      </c>
      <c r="Y11" t="s">
        <v>12001</v>
      </c>
    </row>
    <row r="12" spans="1:25" x14ac:dyDescent="0.25">
      <c r="B12" s="75" t="s">
        <v>6940</v>
      </c>
      <c r="C12" s="75" t="s">
        <v>7132</v>
      </c>
      <c r="D12" t="s">
        <v>7171</v>
      </c>
      <c r="E12" s="75" t="s">
        <v>7148</v>
      </c>
      <c r="F12" s="75" t="s">
        <v>7132</v>
      </c>
      <c r="G12" t="s">
        <v>7874</v>
      </c>
      <c r="H12" s="75" t="s">
        <v>6947</v>
      </c>
      <c r="I12" s="75" t="s">
        <v>311</v>
      </c>
      <c r="J12" t="s">
        <v>7110</v>
      </c>
      <c r="K12" s="74" t="s">
        <v>9244</v>
      </c>
      <c r="L12" s="74" t="s">
        <v>5713</v>
      </c>
      <c r="M12" t="s">
        <v>9606</v>
      </c>
      <c r="N12" s="74" t="s">
        <v>9204</v>
      </c>
      <c r="O12" s="74" t="s">
        <v>7876</v>
      </c>
      <c r="P12" t="s">
        <v>9428</v>
      </c>
      <c r="Q12" s="75" t="s">
        <v>8007</v>
      </c>
      <c r="R12" s="75" t="s">
        <v>7876</v>
      </c>
      <c r="S12" t="s">
        <v>8081</v>
      </c>
      <c r="T12" s="74" t="s">
        <v>398</v>
      </c>
      <c r="U12" s="74" t="s">
        <v>3035</v>
      </c>
      <c r="V12" t="s">
        <v>4758</v>
      </c>
      <c r="W12" s="74" t="s">
        <v>12162</v>
      </c>
      <c r="X12" s="74" t="s">
        <v>9348</v>
      </c>
      <c r="Y12" t="s">
        <v>12331</v>
      </c>
    </row>
    <row r="13" spans="1:25" x14ac:dyDescent="0.25">
      <c r="B13" s="75" t="s">
        <v>6463</v>
      </c>
      <c r="C13" s="75" t="s">
        <v>5713</v>
      </c>
      <c r="D13" t="s">
        <v>6790</v>
      </c>
      <c r="E13" s="75" t="s">
        <v>7170</v>
      </c>
      <c r="F13" s="75" t="s">
        <v>7132</v>
      </c>
      <c r="G13" t="s">
        <v>7563</v>
      </c>
      <c r="H13" s="75" t="s">
        <v>6541</v>
      </c>
      <c r="I13" s="75" t="s">
        <v>5767</v>
      </c>
      <c r="J13" t="s">
        <v>7072</v>
      </c>
      <c r="K13" s="74" t="s">
        <v>9187</v>
      </c>
      <c r="L13" s="216" t="s">
        <v>8193</v>
      </c>
      <c r="M13" t="s">
        <v>9292</v>
      </c>
      <c r="N13" s="74" t="s">
        <v>8223</v>
      </c>
      <c r="O13" s="74" t="s">
        <v>5683</v>
      </c>
      <c r="P13" t="s">
        <v>8687</v>
      </c>
      <c r="Q13" s="75" t="s">
        <v>7232</v>
      </c>
      <c r="R13" s="75" t="s">
        <v>311</v>
      </c>
      <c r="S13" t="s">
        <v>8080</v>
      </c>
      <c r="T13" s="75" t="s">
        <v>4586</v>
      </c>
      <c r="U13" s="75" t="s">
        <v>353</v>
      </c>
      <c r="V13" t="s">
        <v>4693</v>
      </c>
      <c r="W13" s="74" t="s">
        <v>11509</v>
      </c>
      <c r="X13" s="74" t="s">
        <v>9455</v>
      </c>
      <c r="Y13" t="s">
        <v>11674</v>
      </c>
    </row>
    <row r="14" spans="1:25" x14ac:dyDescent="0.25">
      <c r="B14" s="75" t="s">
        <v>6408</v>
      </c>
      <c r="C14" s="75" t="s">
        <v>5767</v>
      </c>
      <c r="D14" t="s">
        <v>6542</v>
      </c>
      <c r="E14" s="75" t="s">
        <v>6947</v>
      </c>
      <c r="F14" s="75" t="s">
        <v>311</v>
      </c>
      <c r="G14" t="s">
        <v>7040</v>
      </c>
      <c r="H14" s="75" t="s">
        <v>5673</v>
      </c>
      <c r="I14" s="75" t="s">
        <v>310</v>
      </c>
      <c r="J14" t="s">
        <v>6082</v>
      </c>
      <c r="K14" s="75" t="s">
        <v>9200</v>
      </c>
      <c r="L14" s="75" t="s">
        <v>5713</v>
      </c>
      <c r="M14" t="s">
        <v>9245</v>
      </c>
      <c r="N14" s="74" t="s">
        <v>8471</v>
      </c>
      <c r="O14" s="74" t="s">
        <v>418</v>
      </c>
      <c r="P14" t="s">
        <v>8509</v>
      </c>
      <c r="Q14" s="75" t="s">
        <v>7727</v>
      </c>
      <c r="R14" s="75" t="s">
        <v>394</v>
      </c>
      <c r="S14" t="s">
        <v>7855</v>
      </c>
      <c r="T14" s="75" t="s">
        <v>4435</v>
      </c>
      <c r="U14" s="75" t="s">
        <v>298</v>
      </c>
      <c r="V14" t="s">
        <v>4585</v>
      </c>
      <c r="W14" s="75" t="s">
        <v>6773</v>
      </c>
      <c r="X14" s="75" t="s">
        <v>311</v>
      </c>
      <c r="Y14" t="s">
        <v>7204</v>
      </c>
    </row>
    <row r="15" spans="1:25" x14ac:dyDescent="0.25">
      <c r="B15" s="75" t="s">
        <v>6345</v>
      </c>
      <c r="C15" s="75" t="s">
        <v>352</v>
      </c>
      <c r="D15" t="s">
        <v>6499</v>
      </c>
      <c r="E15" s="75" t="s">
        <v>6488</v>
      </c>
      <c r="F15" s="75" t="s">
        <v>352</v>
      </c>
      <c r="G15" t="s">
        <v>6871</v>
      </c>
      <c r="H15" s="75" t="s">
        <v>4468</v>
      </c>
      <c r="I15" s="75" t="s">
        <v>3712</v>
      </c>
      <c r="J15" t="s">
        <v>6029</v>
      </c>
      <c r="K15" s="75" t="s">
        <v>9081</v>
      </c>
      <c r="L15" s="75" t="s">
        <v>3860</v>
      </c>
      <c r="M15" t="s">
        <v>9225</v>
      </c>
      <c r="N15" s="74" t="s">
        <v>8187</v>
      </c>
      <c r="O15" s="74" t="s">
        <v>5715</v>
      </c>
      <c r="P15" t="s">
        <v>8462</v>
      </c>
      <c r="Q15" s="75" t="s">
        <v>7107</v>
      </c>
      <c r="R15" s="75" t="s">
        <v>310</v>
      </c>
      <c r="S15" t="s">
        <v>7252</v>
      </c>
      <c r="T15" s="75" t="s">
        <v>3726</v>
      </c>
      <c r="U15" s="75" t="s">
        <v>3738</v>
      </c>
      <c r="V15" t="s">
        <v>3780</v>
      </c>
      <c r="W15" s="75" t="s">
        <v>5885</v>
      </c>
      <c r="X15" s="75" t="s">
        <v>5715</v>
      </c>
      <c r="Y15" t="s">
        <v>6623</v>
      </c>
    </row>
    <row r="16" spans="1:25" x14ac:dyDescent="0.25">
      <c r="B16" s="75" t="s">
        <v>5828</v>
      </c>
      <c r="C16" s="75" t="s">
        <v>454</v>
      </c>
      <c r="D16" t="s">
        <v>6489</v>
      </c>
      <c r="E16" s="75" t="s">
        <v>5976</v>
      </c>
      <c r="F16" s="75" t="s">
        <v>454</v>
      </c>
      <c r="G16" t="s">
        <v>6792</v>
      </c>
      <c r="H16" s="75" t="s">
        <v>4720</v>
      </c>
      <c r="I16" s="75" t="s">
        <v>299</v>
      </c>
      <c r="J16" t="s">
        <v>5303</v>
      </c>
      <c r="K16" s="75" t="s">
        <v>7645</v>
      </c>
      <c r="L16" s="75" t="s">
        <v>5683</v>
      </c>
      <c r="M16" t="s">
        <v>9198</v>
      </c>
      <c r="N16" s="75" t="s">
        <v>8009</v>
      </c>
      <c r="O16" s="75" t="s">
        <v>447</v>
      </c>
      <c r="P16" t="s">
        <v>8294</v>
      </c>
      <c r="Q16" s="74" t="s">
        <v>6045</v>
      </c>
      <c r="R16" s="74" t="s">
        <v>310</v>
      </c>
      <c r="S16" t="s">
        <v>6563</v>
      </c>
      <c r="T16" s="75" t="s">
        <v>3217</v>
      </c>
      <c r="U16" s="75" t="s">
        <v>3035</v>
      </c>
      <c r="V16" t="s">
        <v>3485</v>
      </c>
      <c r="W16" s="75" t="s">
        <v>6562</v>
      </c>
      <c r="X16" s="75" t="s">
        <v>5714</v>
      </c>
      <c r="Y16" t="s">
        <v>6586</v>
      </c>
    </row>
    <row r="17" spans="2:25" x14ac:dyDescent="0.25">
      <c r="B17" s="75" t="s">
        <v>5544</v>
      </c>
      <c r="C17" s="75" t="s">
        <v>5712</v>
      </c>
      <c r="D17" t="s">
        <v>5977</v>
      </c>
      <c r="E17" s="75" t="s">
        <v>5172</v>
      </c>
      <c r="F17" s="75" t="s">
        <v>5713</v>
      </c>
      <c r="G17" t="s">
        <v>5958</v>
      </c>
      <c r="H17" s="75" t="s">
        <v>621</v>
      </c>
      <c r="I17" s="75" t="s">
        <v>3112</v>
      </c>
      <c r="J17" t="s">
        <v>5260</v>
      </c>
      <c r="K17" s="75" t="s">
        <v>8799</v>
      </c>
      <c r="L17" s="75" t="s">
        <v>3860</v>
      </c>
      <c r="M17" t="s">
        <v>9085</v>
      </c>
      <c r="N17" s="75" t="s">
        <v>7898</v>
      </c>
      <c r="O17" s="75" t="s">
        <v>7076</v>
      </c>
      <c r="P17" t="s">
        <v>7949</v>
      </c>
      <c r="Q17" s="74" t="s">
        <v>5301</v>
      </c>
      <c r="R17" s="74" t="s">
        <v>311</v>
      </c>
      <c r="S17" t="s">
        <v>5680</v>
      </c>
      <c r="T17" s="75" t="s">
        <v>399</v>
      </c>
      <c r="U17" s="75" t="s">
        <v>305</v>
      </c>
      <c r="V17" t="s">
        <v>3484</v>
      </c>
      <c r="W17" s="75" t="s">
        <v>126</v>
      </c>
      <c r="X17" s="75" t="s">
        <v>5368</v>
      </c>
      <c r="Y17" t="s">
        <v>5507</v>
      </c>
    </row>
    <row r="18" spans="2:25" x14ac:dyDescent="0.25">
      <c r="B18" s="75" t="s">
        <v>4909</v>
      </c>
      <c r="C18" s="75" t="s">
        <v>5683</v>
      </c>
      <c r="D18" t="s">
        <v>5682</v>
      </c>
      <c r="E18" s="75" t="s">
        <v>5673</v>
      </c>
      <c r="F18" s="75" t="s">
        <v>310</v>
      </c>
      <c r="G18" t="s">
        <v>5949</v>
      </c>
      <c r="H18" s="75" t="s">
        <v>1106</v>
      </c>
      <c r="I18" s="75" t="s">
        <v>3112</v>
      </c>
      <c r="J18" t="s">
        <v>5046</v>
      </c>
      <c r="K18" s="75" t="s">
        <v>8637</v>
      </c>
      <c r="L18" s="75" t="s">
        <v>8193</v>
      </c>
      <c r="M18" t="s">
        <v>9016</v>
      </c>
      <c r="N18" s="75" t="s">
        <v>7228</v>
      </c>
      <c r="O18" s="75" t="s">
        <v>5714</v>
      </c>
      <c r="P18" t="s">
        <v>7251</v>
      </c>
      <c r="Q18" s="75" t="s">
        <v>5270</v>
      </c>
      <c r="R18" s="75" t="s">
        <v>3159</v>
      </c>
      <c r="S18" t="s">
        <v>5468</v>
      </c>
      <c r="T18" s="75" t="s">
        <v>2837</v>
      </c>
      <c r="U18" s="75" t="s">
        <v>466</v>
      </c>
      <c r="V18" t="s">
        <v>2959</v>
      </c>
      <c r="W18" s="75" t="s">
        <v>4671</v>
      </c>
      <c r="X18" s="75" t="s">
        <v>3112</v>
      </c>
      <c r="Y18" t="s">
        <v>5123</v>
      </c>
    </row>
    <row r="19" spans="2:25" x14ac:dyDescent="0.25">
      <c r="B19" s="75" t="s">
        <v>5553</v>
      </c>
      <c r="C19" s="75" t="s">
        <v>3159</v>
      </c>
      <c r="D19" t="s">
        <v>5681</v>
      </c>
      <c r="E19" s="75" t="s">
        <v>4468</v>
      </c>
      <c r="F19" s="75" t="s">
        <v>3712</v>
      </c>
      <c r="G19" t="s">
        <v>5598</v>
      </c>
      <c r="H19" s="75" t="s">
        <v>1619</v>
      </c>
      <c r="I19" s="75" t="s">
        <v>354</v>
      </c>
      <c r="J19" t="s">
        <v>4656</v>
      </c>
      <c r="K19" s="75" t="s">
        <v>8286</v>
      </c>
      <c r="L19" s="75" t="s">
        <v>418</v>
      </c>
      <c r="M19" t="s">
        <v>8470</v>
      </c>
      <c r="N19" s="75" t="s">
        <v>7166</v>
      </c>
      <c r="O19" s="75" t="s">
        <v>448</v>
      </c>
      <c r="P19" t="s">
        <v>7219</v>
      </c>
      <c r="Q19" s="75" t="s">
        <v>4381</v>
      </c>
      <c r="R19" s="75" t="s">
        <v>3712</v>
      </c>
      <c r="S19" t="s">
        <v>4880</v>
      </c>
      <c r="T19" s="75" t="s">
        <v>1171</v>
      </c>
      <c r="U19" s="75" t="s">
        <v>465</v>
      </c>
      <c r="V19" t="s">
        <v>2658</v>
      </c>
      <c r="W19" s="75" t="s">
        <v>4354</v>
      </c>
      <c r="X19" s="75" t="s">
        <v>312</v>
      </c>
      <c r="Y19" t="s">
        <v>4560</v>
      </c>
    </row>
    <row r="20" spans="2:25" x14ac:dyDescent="0.25">
      <c r="B20" s="75" t="s">
        <v>3857</v>
      </c>
      <c r="C20" s="75" t="s">
        <v>299</v>
      </c>
      <c r="D20" t="s">
        <v>4513</v>
      </c>
      <c r="E20" s="75" t="s">
        <v>3494</v>
      </c>
      <c r="F20" s="75" t="s">
        <v>552</v>
      </c>
      <c r="G20" t="s">
        <v>4300</v>
      </c>
      <c r="H20" s="75" t="s">
        <v>3494</v>
      </c>
      <c r="I20" s="75" t="s">
        <v>552</v>
      </c>
      <c r="J20" t="s">
        <v>4504</v>
      </c>
      <c r="K20" s="75" t="s">
        <v>7509</v>
      </c>
      <c r="L20" s="75" t="s">
        <v>8121</v>
      </c>
      <c r="M20" t="s">
        <v>8013</v>
      </c>
      <c r="N20" s="75" t="s">
        <v>7085</v>
      </c>
      <c r="O20" s="75" t="s">
        <v>7076</v>
      </c>
      <c r="P20" t="s">
        <v>7163</v>
      </c>
      <c r="Q20" s="75" t="s">
        <v>3739</v>
      </c>
      <c r="R20" s="75" t="s">
        <v>4176</v>
      </c>
      <c r="S20" t="s">
        <v>4595</v>
      </c>
      <c r="T20" s="75" t="s">
        <v>127</v>
      </c>
      <c r="U20" s="75" t="s">
        <v>466</v>
      </c>
      <c r="V20" t="s">
        <v>2511</v>
      </c>
      <c r="W20" s="75" t="s">
        <v>2558</v>
      </c>
      <c r="X20" s="75" t="s">
        <v>1744</v>
      </c>
      <c r="Y20" t="s">
        <v>4557</v>
      </c>
    </row>
    <row r="21" spans="2:25" x14ac:dyDescent="0.25">
      <c r="B21" s="75" t="s">
        <v>3429</v>
      </c>
      <c r="C21" s="75" t="s">
        <v>3252</v>
      </c>
      <c r="D21" t="s">
        <v>3708</v>
      </c>
      <c r="E21" s="75" t="s">
        <v>2427</v>
      </c>
      <c r="F21" s="75" t="s">
        <v>1025</v>
      </c>
      <c r="G21" t="s">
        <v>3239</v>
      </c>
      <c r="H21" s="75" t="s">
        <v>2427</v>
      </c>
      <c r="I21" s="75" t="s">
        <v>1024</v>
      </c>
      <c r="J21" t="s">
        <v>3411</v>
      </c>
      <c r="K21" s="75" t="s">
        <v>7249</v>
      </c>
      <c r="L21" s="75" t="s">
        <v>7250</v>
      </c>
      <c r="M21" t="s">
        <v>7419</v>
      </c>
      <c r="N21" s="75" t="s">
        <v>6344</v>
      </c>
      <c r="O21" s="75" t="s">
        <v>488</v>
      </c>
      <c r="P21" t="s">
        <v>6703</v>
      </c>
      <c r="Q21" s="74" t="s">
        <v>3363</v>
      </c>
      <c r="R21" s="74" t="s">
        <v>676</v>
      </c>
      <c r="S21" t="s">
        <v>4596</v>
      </c>
      <c r="T21" s="75" t="s">
        <v>414</v>
      </c>
      <c r="U21" s="75" t="s">
        <v>315</v>
      </c>
      <c r="V21" t="s">
        <v>2481</v>
      </c>
      <c r="W21" s="75" t="s">
        <v>3810</v>
      </c>
      <c r="X21" s="75" t="s">
        <v>3159</v>
      </c>
      <c r="Y21" t="s">
        <v>4507</v>
      </c>
    </row>
    <row r="22" spans="2:25" x14ac:dyDescent="0.25">
      <c r="B22" s="75" t="s">
        <v>3401</v>
      </c>
      <c r="C22" s="75" t="s">
        <v>484</v>
      </c>
      <c r="D22" t="s">
        <v>3493</v>
      </c>
      <c r="E22" s="75" t="s">
        <v>2869</v>
      </c>
      <c r="F22" s="75" t="s">
        <v>1246</v>
      </c>
      <c r="G22" t="s">
        <v>2933</v>
      </c>
      <c r="H22" s="75" t="s">
        <v>2869</v>
      </c>
      <c r="I22" s="75" t="s">
        <v>1246</v>
      </c>
      <c r="J22" t="s">
        <v>3210</v>
      </c>
      <c r="K22" s="75" t="s">
        <v>7331</v>
      </c>
      <c r="L22" s="75" t="s">
        <v>7076</v>
      </c>
      <c r="M22" t="s">
        <v>7368</v>
      </c>
      <c r="N22" s="75" t="s">
        <v>4422</v>
      </c>
      <c r="O22" s="75" t="s">
        <v>352</v>
      </c>
      <c r="P22" t="s">
        <v>6314</v>
      </c>
      <c r="Q22" s="75" t="s">
        <v>7014</v>
      </c>
      <c r="R22" s="75" t="s">
        <v>3492</v>
      </c>
      <c r="S22" t="s">
        <v>3583</v>
      </c>
      <c r="T22" s="75" t="s">
        <v>1256</v>
      </c>
      <c r="U22" s="75" t="s">
        <v>466</v>
      </c>
      <c r="V22" t="s">
        <v>1665</v>
      </c>
      <c r="W22" s="75" t="s">
        <v>919</v>
      </c>
      <c r="X22" s="75" t="s">
        <v>313</v>
      </c>
      <c r="Y22" t="s">
        <v>4315</v>
      </c>
    </row>
    <row r="23" spans="2:25" x14ac:dyDescent="0.25">
      <c r="B23" s="75" t="s">
        <v>2538</v>
      </c>
      <c r="C23" s="75" t="s">
        <v>329</v>
      </c>
      <c r="D23" t="s">
        <v>3114</v>
      </c>
      <c r="E23" s="75" t="s">
        <v>1920</v>
      </c>
      <c r="F23" s="75" t="s">
        <v>313</v>
      </c>
      <c r="G23" t="s">
        <v>2447</v>
      </c>
      <c r="H23" s="75" t="s">
        <v>549</v>
      </c>
      <c r="I23" s="75" t="s">
        <v>464</v>
      </c>
      <c r="J23" t="s">
        <v>3034</v>
      </c>
      <c r="K23" s="75" t="s">
        <v>7165</v>
      </c>
      <c r="L23" s="75" t="s">
        <v>7076</v>
      </c>
      <c r="M23" t="s">
        <v>7218</v>
      </c>
      <c r="N23" s="75" t="s">
        <v>5599</v>
      </c>
      <c r="O23" s="75" t="s">
        <v>353</v>
      </c>
      <c r="P23" t="s">
        <v>6084</v>
      </c>
      <c r="Q23" s="75" t="s">
        <v>2754</v>
      </c>
      <c r="R23" s="75" t="s">
        <v>676</v>
      </c>
      <c r="S23" t="s">
        <v>3486</v>
      </c>
      <c r="T23" s="75" t="s">
        <v>1360</v>
      </c>
      <c r="U23" s="75" t="s">
        <v>307</v>
      </c>
      <c r="V23" t="s">
        <v>1361</v>
      </c>
      <c r="W23" s="75" t="s">
        <v>3433</v>
      </c>
      <c r="X23" s="75" t="s">
        <v>299</v>
      </c>
      <c r="Y23" t="s">
        <v>12140</v>
      </c>
    </row>
    <row r="24" spans="2:25" x14ac:dyDescent="0.25">
      <c r="B24" s="75" t="s">
        <v>2429</v>
      </c>
      <c r="C24" s="75" t="s">
        <v>482</v>
      </c>
      <c r="D24" t="s">
        <v>2700</v>
      </c>
      <c r="E24" s="75" t="s">
        <v>1107</v>
      </c>
      <c r="F24" s="75" t="s">
        <v>340</v>
      </c>
      <c r="G24" t="s">
        <v>3410</v>
      </c>
      <c r="H24" s="75" t="s">
        <v>2701</v>
      </c>
      <c r="I24" s="75" t="s">
        <v>482</v>
      </c>
      <c r="J24" t="s">
        <v>3011</v>
      </c>
      <c r="K24" s="75" t="s">
        <v>7075</v>
      </c>
      <c r="L24" s="75" t="s">
        <v>448</v>
      </c>
      <c r="M24" t="s">
        <v>7162</v>
      </c>
      <c r="N24" s="75" t="s">
        <v>5532</v>
      </c>
      <c r="O24" s="75" t="s">
        <v>5767</v>
      </c>
      <c r="P24" t="s">
        <v>5824</v>
      </c>
      <c r="Q24" s="75" t="s">
        <v>1779</v>
      </c>
      <c r="R24" s="75" t="s">
        <v>298</v>
      </c>
      <c r="S24" t="s">
        <v>2730</v>
      </c>
      <c r="T24" s="75" t="s">
        <v>757</v>
      </c>
      <c r="U24" s="75" t="s">
        <v>394</v>
      </c>
      <c r="V24" t="s">
        <v>1930</v>
      </c>
      <c r="W24" s="75" t="s">
        <v>2607</v>
      </c>
      <c r="X24" s="75" t="s">
        <v>466</v>
      </c>
      <c r="Y24" t="s">
        <v>1368</v>
      </c>
    </row>
    <row r="25" spans="2:25" x14ac:dyDescent="0.25">
      <c r="B25" s="75" t="s">
        <v>497</v>
      </c>
      <c r="C25" s="75" t="s">
        <v>447</v>
      </c>
      <c r="D25" t="s">
        <v>2493</v>
      </c>
      <c r="E25" s="75" t="s">
        <v>1130</v>
      </c>
      <c r="F25" s="75" t="s">
        <v>312</v>
      </c>
      <c r="G25" t="s">
        <v>1358</v>
      </c>
      <c r="H25" s="75" t="s">
        <v>1302</v>
      </c>
      <c r="I25" s="75" t="s">
        <v>447</v>
      </c>
      <c r="J25" t="s">
        <v>2616</v>
      </c>
      <c r="K25" s="75" t="s">
        <v>6173</v>
      </c>
      <c r="L25" s="75" t="s">
        <v>7076</v>
      </c>
      <c r="M25" t="s">
        <v>7088</v>
      </c>
      <c r="N25" s="75" t="s">
        <v>5148</v>
      </c>
      <c r="O25" s="75" t="s">
        <v>352</v>
      </c>
      <c r="P25" t="s">
        <v>5469</v>
      </c>
      <c r="Q25" s="75" t="s">
        <v>1766</v>
      </c>
      <c r="R25" s="75" t="s">
        <v>313</v>
      </c>
      <c r="S25" t="s">
        <v>2436</v>
      </c>
      <c r="T25" s="75" t="s">
        <v>2786</v>
      </c>
      <c r="U25" s="75" t="s">
        <v>305</v>
      </c>
      <c r="V25" t="s">
        <v>2908</v>
      </c>
      <c r="W25" s="75" t="s">
        <v>651</v>
      </c>
      <c r="X25" s="75" t="s">
        <v>317</v>
      </c>
      <c r="Y25" t="s">
        <v>1913</v>
      </c>
    </row>
    <row r="26" spans="2:25" x14ac:dyDescent="0.25">
      <c r="B26" s="75" t="s">
        <v>1733</v>
      </c>
      <c r="C26" s="75" t="s">
        <v>1682</v>
      </c>
      <c r="D26" t="s">
        <v>2426</v>
      </c>
      <c r="E26" s="75" t="s">
        <v>789</v>
      </c>
      <c r="F26" s="75" t="s">
        <v>316</v>
      </c>
      <c r="G26" t="s">
        <v>1373</v>
      </c>
      <c r="H26" s="75" t="s">
        <v>1107</v>
      </c>
      <c r="I26" s="75" t="s">
        <v>340</v>
      </c>
      <c r="J26" t="s">
        <v>1844</v>
      </c>
      <c r="K26" s="75" t="s">
        <v>7021</v>
      </c>
      <c r="L26" s="75" t="s">
        <v>448</v>
      </c>
      <c r="M26" t="s">
        <v>7062</v>
      </c>
      <c r="N26" s="74" t="s">
        <v>4952</v>
      </c>
      <c r="O26" s="74" t="s">
        <v>4155</v>
      </c>
      <c r="P26" t="s">
        <v>5430</v>
      </c>
      <c r="Q26" s="75" t="s">
        <v>230</v>
      </c>
      <c r="R26" s="75" t="s">
        <v>315</v>
      </c>
      <c r="S26" t="s">
        <v>2428</v>
      </c>
      <c r="T26" s="74" t="s">
        <v>3150</v>
      </c>
      <c r="U26" s="74" t="s">
        <v>1261</v>
      </c>
      <c r="V26" t="s">
        <v>3278</v>
      </c>
      <c r="W26" s="75" t="s">
        <v>1652</v>
      </c>
      <c r="X26" s="75" t="s">
        <v>1260</v>
      </c>
      <c r="Y26" t="s">
        <v>2425</v>
      </c>
    </row>
    <row r="27" spans="2:25" x14ac:dyDescent="0.25">
      <c r="B27" s="75" t="s">
        <v>1639</v>
      </c>
      <c r="C27" s="75" t="s">
        <v>1246</v>
      </c>
      <c r="D27" t="s">
        <v>1959</v>
      </c>
      <c r="E27" s="75" t="s">
        <v>790</v>
      </c>
      <c r="F27" s="75" t="s">
        <v>305</v>
      </c>
      <c r="G27" t="s">
        <v>1374</v>
      </c>
      <c r="H27" s="75" t="s">
        <v>1130</v>
      </c>
      <c r="I27" s="75" t="s">
        <v>312</v>
      </c>
      <c r="J27" t="s">
        <v>1953</v>
      </c>
      <c r="K27" s="75" t="s">
        <v>6991</v>
      </c>
      <c r="L27" s="75" t="s">
        <v>310</v>
      </c>
      <c r="M27" t="s">
        <v>7010</v>
      </c>
      <c r="N27" s="75" t="s">
        <v>4961</v>
      </c>
      <c r="O27" s="75" t="s">
        <v>3861</v>
      </c>
      <c r="P27" t="s">
        <v>5273</v>
      </c>
      <c r="Q27" s="75" t="s">
        <v>1114</v>
      </c>
      <c r="R27" s="75" t="s">
        <v>561</v>
      </c>
      <c r="S27" t="s">
        <v>1795</v>
      </c>
      <c r="T27" s="75" t="s">
        <v>3737</v>
      </c>
      <c r="U27" s="75" t="s">
        <v>312</v>
      </c>
      <c r="V27" t="s">
        <v>3825</v>
      </c>
      <c r="W27" s="75" t="s">
        <v>998</v>
      </c>
      <c r="X27" s="75" t="s">
        <v>343</v>
      </c>
      <c r="Y27" t="s">
        <v>2617</v>
      </c>
    </row>
    <row r="28" spans="2:25" x14ac:dyDescent="0.25">
      <c r="B28" s="75" t="s">
        <v>1030</v>
      </c>
      <c r="C28" s="75" t="s">
        <v>305</v>
      </c>
      <c r="D28" t="s">
        <v>1357</v>
      </c>
      <c r="E28" s="75" t="s">
        <v>710</v>
      </c>
      <c r="F28" s="75" t="s">
        <v>309</v>
      </c>
      <c r="G28" t="s">
        <v>1958</v>
      </c>
      <c r="H28" s="75" t="s">
        <v>565</v>
      </c>
      <c r="I28" s="75" t="s">
        <v>927</v>
      </c>
      <c r="J28" t="s">
        <v>1954</v>
      </c>
      <c r="K28" s="75" t="s">
        <v>6564</v>
      </c>
      <c r="L28" s="75" t="s">
        <v>310</v>
      </c>
      <c r="M28" t="s">
        <v>6958</v>
      </c>
      <c r="N28" s="75" t="s">
        <v>4794</v>
      </c>
      <c r="O28" s="75" t="s">
        <v>352</v>
      </c>
      <c r="P28" t="s">
        <v>5137</v>
      </c>
      <c r="Q28" s="75" t="s">
        <v>1301</v>
      </c>
      <c r="R28" s="75" t="s">
        <v>329</v>
      </c>
      <c r="S28" t="s">
        <v>1933</v>
      </c>
      <c r="T28" s="75" t="s">
        <v>7013</v>
      </c>
      <c r="U28" s="75" t="s">
        <v>5714</v>
      </c>
      <c r="V28" t="s">
        <v>7086</v>
      </c>
      <c r="W28" s="75" t="s">
        <v>1112</v>
      </c>
      <c r="X28" s="75" t="s">
        <v>305</v>
      </c>
      <c r="Y28" t="s">
        <v>2624</v>
      </c>
    </row>
    <row r="29" spans="2:25" x14ac:dyDescent="0.25">
      <c r="B29" s="75" t="s">
        <v>1014</v>
      </c>
      <c r="C29" s="75" t="s">
        <v>312</v>
      </c>
      <c r="D29" t="s">
        <v>1960</v>
      </c>
      <c r="E29" s="75" t="s">
        <v>913</v>
      </c>
      <c r="F29" s="75" t="s">
        <v>314</v>
      </c>
      <c r="G29" t="s">
        <v>7319</v>
      </c>
      <c r="H29" s="75" t="s">
        <v>972</v>
      </c>
      <c r="I29" s="75" t="s">
        <v>2</v>
      </c>
      <c r="J29" t="s">
        <v>1359</v>
      </c>
      <c r="K29" s="75" t="s">
        <v>6438</v>
      </c>
      <c r="L29" s="75" t="s">
        <v>5713</v>
      </c>
      <c r="M29" t="s">
        <v>6462</v>
      </c>
      <c r="N29" s="75" t="s">
        <v>5107</v>
      </c>
      <c r="O29" s="75" t="s">
        <v>3928</v>
      </c>
      <c r="P29" t="s">
        <v>5049</v>
      </c>
      <c r="Q29" s="75" t="s">
        <v>966</v>
      </c>
      <c r="R29" s="75" t="s">
        <v>676</v>
      </c>
      <c r="S29" t="s">
        <v>1934</v>
      </c>
      <c r="T29" s="75" t="s">
        <v>2786</v>
      </c>
      <c r="U29" s="75" t="s">
        <v>7076</v>
      </c>
      <c r="V29" t="s">
        <v>7778</v>
      </c>
      <c r="W29" s="75" t="s">
        <v>2513</v>
      </c>
      <c r="X29" s="75" t="s">
        <v>561</v>
      </c>
      <c r="Y29" t="s">
        <v>2740</v>
      </c>
    </row>
    <row r="30" spans="2:25" x14ac:dyDescent="0.25">
      <c r="B30" s="75" t="s">
        <v>1047</v>
      </c>
      <c r="C30" s="75" t="s">
        <v>340</v>
      </c>
      <c r="D30" t="s">
        <v>1961</v>
      </c>
      <c r="E30" s="75" t="s">
        <v>972</v>
      </c>
      <c r="F30" s="75" t="s">
        <v>319</v>
      </c>
      <c r="G30" t="s">
        <v>7318</v>
      </c>
      <c r="H30" s="75" t="s">
        <v>789</v>
      </c>
      <c r="I30" s="75" t="s">
        <v>319</v>
      </c>
      <c r="J30" t="s">
        <v>1955</v>
      </c>
      <c r="K30" s="75" t="s">
        <v>6031</v>
      </c>
      <c r="L30" s="75" t="s">
        <v>5767</v>
      </c>
      <c r="M30" t="s">
        <v>6412</v>
      </c>
      <c r="N30" s="75" t="s">
        <v>4512</v>
      </c>
      <c r="O30" s="75" t="s">
        <v>743</v>
      </c>
      <c r="P30" t="s">
        <v>4997</v>
      </c>
      <c r="Q30" s="75" t="s">
        <v>842</v>
      </c>
      <c r="R30" s="75" t="s">
        <v>939</v>
      </c>
      <c r="S30" t="s">
        <v>1362</v>
      </c>
      <c r="T30" s="74" t="s">
        <v>9433</v>
      </c>
      <c r="U30" s="74" t="s">
        <v>9349</v>
      </c>
      <c r="V30" t="s">
        <v>9443</v>
      </c>
      <c r="W30" s="75" t="s">
        <v>1928</v>
      </c>
      <c r="X30" s="75" t="s">
        <v>305</v>
      </c>
      <c r="Y30" t="s">
        <v>3061</v>
      </c>
    </row>
    <row r="31" spans="2:25" x14ac:dyDescent="0.25">
      <c r="B31" s="75" t="s">
        <v>540</v>
      </c>
      <c r="C31" s="75" t="s">
        <v>927</v>
      </c>
      <c r="D31" t="s">
        <v>1363</v>
      </c>
      <c r="E31" s="75" t="s">
        <v>565</v>
      </c>
      <c r="F31" s="75" t="s">
        <v>927</v>
      </c>
      <c r="G31" t="s">
        <v>7317</v>
      </c>
      <c r="H31" s="75" t="s">
        <v>125</v>
      </c>
      <c r="I31" s="75" t="s">
        <v>307</v>
      </c>
      <c r="J31" t="s">
        <v>1379</v>
      </c>
      <c r="K31" s="75" t="s">
        <v>6026</v>
      </c>
      <c r="L31" s="75" t="s">
        <v>311</v>
      </c>
      <c r="M31" t="s">
        <v>6083</v>
      </c>
      <c r="N31" s="75" t="s">
        <v>4422</v>
      </c>
      <c r="O31" s="75" t="s">
        <v>3799</v>
      </c>
      <c r="P31" t="s">
        <v>4526</v>
      </c>
      <c r="Q31" s="75" t="s">
        <v>783</v>
      </c>
      <c r="R31" s="75" t="s">
        <v>676</v>
      </c>
      <c r="S31" t="s">
        <v>1931</v>
      </c>
      <c r="T31" s="75" t="s">
        <v>9310</v>
      </c>
      <c r="U31" s="75" t="s">
        <v>8193</v>
      </c>
      <c r="V31" t="s">
        <v>9564</v>
      </c>
      <c r="W31" s="75" t="s">
        <v>2448</v>
      </c>
      <c r="X31" s="75" t="s">
        <v>313</v>
      </c>
      <c r="Y31" t="s">
        <v>2850</v>
      </c>
    </row>
    <row r="32" spans="2:25" x14ac:dyDescent="0.25">
      <c r="B32" s="75" t="s">
        <v>1364</v>
      </c>
      <c r="C32" s="75" t="s">
        <v>313</v>
      </c>
      <c r="D32" t="s">
        <v>1365</v>
      </c>
      <c r="E32" s="75" t="s">
        <v>1619</v>
      </c>
      <c r="F32" s="75" t="s">
        <v>305</v>
      </c>
      <c r="G32" t="s">
        <v>7316</v>
      </c>
      <c r="H32" s="75" t="s">
        <v>790</v>
      </c>
      <c r="I32" s="75" t="s">
        <v>305</v>
      </c>
      <c r="J32" t="s">
        <v>1380</v>
      </c>
      <c r="K32" s="75" t="s">
        <v>5950</v>
      </c>
      <c r="L32" s="75" t="s">
        <v>311</v>
      </c>
      <c r="M32" t="s">
        <v>6044</v>
      </c>
      <c r="N32" s="75" t="s">
        <v>3748</v>
      </c>
      <c r="O32" s="75" t="s">
        <v>3799</v>
      </c>
      <c r="P32" t="s">
        <v>4407</v>
      </c>
      <c r="Q32" s="75" t="s">
        <v>957</v>
      </c>
      <c r="R32" s="75" t="s">
        <v>343</v>
      </c>
      <c r="S32" t="s">
        <v>1932</v>
      </c>
      <c r="T32" s="75" t="s">
        <v>10452</v>
      </c>
      <c r="U32" s="75" t="s">
        <v>10002</v>
      </c>
      <c r="V32" t="s">
        <v>10576</v>
      </c>
      <c r="W32" s="75" t="s">
        <v>1653</v>
      </c>
      <c r="X32" s="75" t="s">
        <v>298</v>
      </c>
      <c r="Y32" t="s">
        <v>2927</v>
      </c>
    </row>
    <row r="33" spans="2:30" x14ac:dyDescent="0.25">
      <c r="B33" s="75" t="s">
        <v>832</v>
      </c>
      <c r="C33" s="75" t="s">
        <v>465</v>
      </c>
      <c r="D33" t="s">
        <v>1377</v>
      </c>
      <c r="E33" s="75" t="s">
        <v>1302</v>
      </c>
      <c r="F33" s="75" t="s">
        <v>447</v>
      </c>
      <c r="G33" t="s">
        <v>7315</v>
      </c>
      <c r="H33" s="75" t="s">
        <v>124</v>
      </c>
      <c r="I33" s="75" t="s">
        <v>602</v>
      </c>
      <c r="J33" t="s">
        <v>1956</v>
      </c>
      <c r="K33" s="75" t="s">
        <v>5605</v>
      </c>
      <c r="L33" s="75" t="s">
        <v>394</v>
      </c>
      <c r="M33" t="s">
        <v>6043</v>
      </c>
      <c r="N33" s="75" t="s">
        <v>203</v>
      </c>
      <c r="O33" s="75" t="s">
        <v>3788</v>
      </c>
      <c r="P33" t="s">
        <v>3847</v>
      </c>
      <c r="Q33" s="75" t="s">
        <v>1104</v>
      </c>
      <c r="R33" s="75" t="s">
        <v>602</v>
      </c>
      <c r="S33" t="s">
        <v>1371</v>
      </c>
      <c r="W33" s="75" t="s">
        <v>2849</v>
      </c>
      <c r="X33" s="75" t="s">
        <v>3036</v>
      </c>
      <c r="Y33" t="s">
        <v>3055</v>
      </c>
      <c r="AD33" t="e">
        <f>+S15-'FINAL LIST WITH REMARKS'!L2375S33</f>
        <v>#VALUE!</v>
      </c>
    </row>
    <row r="34" spans="2:30" x14ac:dyDescent="0.25">
      <c r="B34" s="75" t="s">
        <v>926</v>
      </c>
      <c r="C34" s="75" t="s">
        <v>319</v>
      </c>
      <c r="D34" t="s">
        <v>1378</v>
      </c>
      <c r="E34" s="75" t="s">
        <v>549</v>
      </c>
      <c r="F34" s="75" t="s">
        <v>447</v>
      </c>
      <c r="G34" t="s">
        <v>2771</v>
      </c>
      <c r="H34" s="75" t="s">
        <v>913</v>
      </c>
      <c r="I34" s="75" t="s">
        <v>314</v>
      </c>
      <c r="J34" t="s">
        <v>1381</v>
      </c>
      <c r="K34" s="75" t="s">
        <v>5470</v>
      </c>
      <c r="L34" s="75" t="s">
        <v>352</v>
      </c>
      <c r="M34" t="s">
        <v>5978</v>
      </c>
      <c r="N34" s="75" t="s">
        <v>3434</v>
      </c>
      <c r="O34" s="75" t="s">
        <v>3435</v>
      </c>
      <c r="P34" t="s">
        <v>3754</v>
      </c>
      <c r="Q34" s="75" t="s">
        <v>1113</v>
      </c>
      <c r="R34" s="75" t="s">
        <v>561</v>
      </c>
      <c r="S34" t="s">
        <v>1372</v>
      </c>
      <c r="W34" s="75" t="s">
        <v>2814</v>
      </c>
      <c r="X34" s="75" t="s">
        <v>484</v>
      </c>
      <c r="Y34" t="s">
        <v>3126</v>
      </c>
    </row>
    <row r="35" spans="2:30" x14ac:dyDescent="0.25">
      <c r="B35" s="75" t="s">
        <v>1019</v>
      </c>
      <c r="C35" s="75" t="s">
        <v>305</v>
      </c>
      <c r="D35" t="s">
        <v>1962</v>
      </c>
      <c r="E35" s="75" t="s">
        <v>2762</v>
      </c>
      <c r="F35" s="75" t="s">
        <v>329</v>
      </c>
      <c r="G35" t="s">
        <v>3116</v>
      </c>
      <c r="H35" s="75" t="s">
        <v>710</v>
      </c>
      <c r="I35" s="75" t="s">
        <v>309</v>
      </c>
      <c r="J35" t="s">
        <v>1957</v>
      </c>
      <c r="K35" s="75" t="s">
        <v>1375</v>
      </c>
      <c r="L35" s="75" t="s">
        <v>3159</v>
      </c>
      <c r="M35" t="s">
        <v>5584</v>
      </c>
      <c r="N35" s="75" t="s">
        <v>661</v>
      </c>
      <c r="O35" s="75" t="s">
        <v>1024</v>
      </c>
      <c r="P35" t="s">
        <v>3640</v>
      </c>
      <c r="Q35" s="75" t="s">
        <v>928</v>
      </c>
      <c r="R35" s="75" t="s">
        <v>329</v>
      </c>
      <c r="S35" t="s">
        <v>1935</v>
      </c>
      <c r="W35" s="75" t="s">
        <v>2968</v>
      </c>
      <c r="X35" s="75" t="s">
        <v>1261</v>
      </c>
      <c r="Y35" t="s">
        <v>3141</v>
      </c>
    </row>
    <row r="36" spans="2:30" x14ac:dyDescent="0.25">
      <c r="B36" s="75" t="s">
        <v>1204</v>
      </c>
      <c r="C36" s="75" t="s">
        <v>447</v>
      </c>
      <c r="D36" t="s">
        <v>1356</v>
      </c>
      <c r="E36" s="75" t="s">
        <v>2701</v>
      </c>
      <c r="F36" s="75" t="s">
        <v>482</v>
      </c>
      <c r="G36" t="s">
        <v>3115</v>
      </c>
      <c r="H36" s="75" t="s">
        <v>1920</v>
      </c>
      <c r="I36" s="75" t="s">
        <v>313</v>
      </c>
      <c r="J36" t="s">
        <v>2460</v>
      </c>
      <c r="K36" s="75" t="s">
        <v>5423</v>
      </c>
      <c r="L36" s="75" t="s">
        <v>353</v>
      </c>
      <c r="M36" t="s">
        <v>5583</v>
      </c>
      <c r="N36" s="75" t="s">
        <v>534</v>
      </c>
      <c r="O36" s="75" t="s">
        <v>3387</v>
      </c>
      <c r="P36" t="s">
        <v>3539</v>
      </c>
      <c r="Q36" s="75" t="s">
        <v>217</v>
      </c>
      <c r="R36" s="75" t="s">
        <v>329</v>
      </c>
      <c r="S36" t="s">
        <v>1936</v>
      </c>
      <c r="W36" s="75" t="s">
        <v>2482</v>
      </c>
      <c r="X36" s="75" t="s">
        <v>3035</v>
      </c>
      <c r="Y36" t="s">
        <v>3216</v>
      </c>
    </row>
    <row r="37" spans="2:30" x14ac:dyDescent="0.25">
      <c r="B37" s="75" t="s">
        <v>1276</v>
      </c>
      <c r="C37" s="75" t="s">
        <v>305</v>
      </c>
      <c r="D37" t="s">
        <v>1618</v>
      </c>
      <c r="E37" s="75" t="s">
        <v>3709</v>
      </c>
      <c r="F37" s="75" t="s">
        <v>3253</v>
      </c>
      <c r="G37" t="s">
        <v>5247</v>
      </c>
      <c r="H37" s="75" t="s">
        <v>2762</v>
      </c>
      <c r="I37" s="75" t="s">
        <v>329</v>
      </c>
      <c r="J37" t="s">
        <v>2993</v>
      </c>
      <c r="K37" s="75" t="s">
        <v>5035</v>
      </c>
      <c r="L37" s="75" t="s">
        <v>312</v>
      </c>
      <c r="M37" t="s">
        <v>5539</v>
      </c>
      <c r="N37" s="75" t="s">
        <v>2913</v>
      </c>
      <c r="O37" s="75" t="s">
        <v>3245</v>
      </c>
      <c r="P37" t="s">
        <v>3082</v>
      </c>
      <c r="Q37" s="75" t="s">
        <v>1151</v>
      </c>
      <c r="R37" s="75" t="s">
        <v>329</v>
      </c>
      <c r="S37" t="s">
        <v>1937</v>
      </c>
      <c r="W37" s="75" t="s">
        <v>3077</v>
      </c>
      <c r="X37" s="75" t="s">
        <v>464</v>
      </c>
      <c r="Y37" t="s">
        <v>3337</v>
      </c>
    </row>
    <row r="38" spans="2:30" x14ac:dyDescent="0.25">
      <c r="B38" s="75" t="s">
        <v>1752</v>
      </c>
      <c r="C38" s="75" t="s">
        <v>313</v>
      </c>
      <c r="D38" t="s">
        <v>3350</v>
      </c>
      <c r="E38" s="75" t="s">
        <v>1106</v>
      </c>
      <c r="F38" s="75" t="s">
        <v>3112</v>
      </c>
      <c r="G38" t="s">
        <v>4970</v>
      </c>
      <c r="H38" s="75" t="s">
        <v>5825</v>
      </c>
      <c r="I38" s="75" t="s">
        <v>5767</v>
      </c>
      <c r="J38" t="s">
        <v>6028</v>
      </c>
      <c r="K38" s="74" t="s">
        <v>5114</v>
      </c>
      <c r="L38" s="74" t="s">
        <v>4155</v>
      </c>
      <c r="M38" t="s">
        <v>5311</v>
      </c>
      <c r="N38" s="75" t="s">
        <v>3039</v>
      </c>
      <c r="O38" s="75" t="s">
        <v>464</v>
      </c>
      <c r="P38" t="s">
        <v>3078</v>
      </c>
      <c r="Q38" s="75" t="s">
        <v>2432</v>
      </c>
      <c r="R38" s="75" t="s">
        <v>329</v>
      </c>
      <c r="S38" t="s">
        <v>2693</v>
      </c>
      <c r="W38" s="75" t="s">
        <v>1648</v>
      </c>
      <c r="X38" s="75" t="s">
        <v>394</v>
      </c>
      <c r="Y38" t="s">
        <v>3390</v>
      </c>
    </row>
    <row r="39" spans="2:30" x14ac:dyDescent="0.25">
      <c r="B39" s="75" t="s">
        <v>3711</v>
      </c>
      <c r="C39" s="75" t="s">
        <v>3712</v>
      </c>
      <c r="D39" t="s">
        <v>4469</v>
      </c>
      <c r="E39" s="75" t="s">
        <v>4720</v>
      </c>
      <c r="F39" s="75" t="s">
        <v>299</v>
      </c>
      <c r="G39" t="s">
        <v>5152</v>
      </c>
      <c r="H39" s="75" t="s">
        <v>5172</v>
      </c>
      <c r="I39" s="75" t="s">
        <v>5713</v>
      </c>
      <c r="J39" t="s">
        <v>6081</v>
      </c>
      <c r="K39" s="75" t="s">
        <v>5035</v>
      </c>
      <c r="L39" s="75" t="s">
        <v>353</v>
      </c>
      <c r="M39" t="s">
        <v>5105</v>
      </c>
      <c r="N39" s="75" t="s">
        <v>223</v>
      </c>
      <c r="O39" s="75" t="s">
        <v>482</v>
      </c>
      <c r="P39" t="s">
        <v>2702</v>
      </c>
      <c r="Q39" s="75" t="s">
        <v>1035</v>
      </c>
      <c r="R39" s="75" t="s">
        <v>448</v>
      </c>
      <c r="S39" t="s">
        <v>3487</v>
      </c>
      <c r="W39" s="75" t="s">
        <v>3006</v>
      </c>
      <c r="X39" s="75" t="s">
        <v>482</v>
      </c>
      <c r="Y39" t="s">
        <v>3125</v>
      </c>
    </row>
    <row r="40" spans="2:30" x14ac:dyDescent="0.25">
      <c r="B40" s="75" t="s">
        <v>6794</v>
      </c>
      <c r="C40" s="75" t="s">
        <v>311</v>
      </c>
      <c r="D40" t="s">
        <v>6948</v>
      </c>
      <c r="E40" s="75" t="s">
        <v>5825</v>
      </c>
      <c r="F40" s="75" t="s">
        <v>5767</v>
      </c>
      <c r="G40" t="s">
        <v>5951</v>
      </c>
      <c r="H40" s="75" t="s">
        <v>5976</v>
      </c>
      <c r="I40" s="75" t="s">
        <v>454</v>
      </c>
      <c r="J40" t="s">
        <v>6951</v>
      </c>
      <c r="K40" s="74" t="s">
        <v>4998</v>
      </c>
      <c r="L40" s="74" t="s">
        <v>743</v>
      </c>
      <c r="M40" t="s">
        <v>5069</v>
      </c>
      <c r="N40" s="75" t="s">
        <v>671</v>
      </c>
      <c r="O40" s="75" t="s">
        <v>530</v>
      </c>
      <c r="P40" t="s">
        <v>1792</v>
      </c>
      <c r="Q40" s="75" t="s">
        <v>4406</v>
      </c>
      <c r="R40" s="75" t="s">
        <v>313</v>
      </c>
      <c r="S40" t="s">
        <v>4647</v>
      </c>
      <c r="W40" s="75" t="s">
        <v>1259</v>
      </c>
      <c r="X40" s="75" t="s">
        <v>3252</v>
      </c>
      <c r="Y40" t="s">
        <v>3588</v>
      </c>
    </row>
    <row r="41" spans="2:30" x14ac:dyDescent="0.25">
      <c r="B41" s="75" t="s">
        <v>6872</v>
      </c>
      <c r="C41" s="75" t="s">
        <v>7076</v>
      </c>
      <c r="D41" t="s">
        <v>7105</v>
      </c>
      <c r="E41" s="75" t="s">
        <v>6541</v>
      </c>
      <c r="F41" s="75" t="s">
        <v>5767</v>
      </c>
      <c r="G41" t="s">
        <v>6965</v>
      </c>
      <c r="H41" s="75" t="s">
        <v>7443</v>
      </c>
      <c r="I41" s="75" t="s">
        <v>448</v>
      </c>
      <c r="J41" t="s">
        <v>7559</v>
      </c>
      <c r="K41" s="75" t="s">
        <v>4930</v>
      </c>
      <c r="L41" s="75" t="s">
        <v>4923</v>
      </c>
      <c r="M41" t="s">
        <v>5061</v>
      </c>
      <c r="N41" s="75" t="s">
        <v>1730</v>
      </c>
      <c r="O41" s="75" t="s">
        <v>466</v>
      </c>
      <c r="P41" t="s">
        <v>1791</v>
      </c>
      <c r="Q41" s="75" t="s">
        <v>4424</v>
      </c>
      <c r="R41" s="75" t="s">
        <v>394</v>
      </c>
      <c r="S41" t="s">
        <v>4821</v>
      </c>
      <c r="W41" s="75" t="s">
        <v>1125</v>
      </c>
      <c r="X41" s="75" t="s">
        <v>394</v>
      </c>
      <c r="Y41" t="s">
        <v>3624</v>
      </c>
    </row>
    <row r="42" spans="2:30" x14ac:dyDescent="0.25">
      <c r="B42" s="75" t="s">
        <v>7008</v>
      </c>
      <c r="C42" s="75" t="s">
        <v>7132</v>
      </c>
      <c r="D42" t="s">
        <v>7147</v>
      </c>
      <c r="E42" s="75" t="s">
        <v>7106</v>
      </c>
      <c r="F42" s="75" t="s">
        <v>7076</v>
      </c>
      <c r="G42" t="s">
        <v>7361</v>
      </c>
      <c r="H42" s="75" t="s">
        <v>6791</v>
      </c>
      <c r="I42" s="75" t="s">
        <v>5713</v>
      </c>
      <c r="J42" t="s">
        <v>7888</v>
      </c>
      <c r="K42" s="75" t="s">
        <v>4793</v>
      </c>
      <c r="L42" s="75" t="s">
        <v>511</v>
      </c>
      <c r="M42" t="s">
        <v>4935</v>
      </c>
      <c r="N42" s="75" t="s">
        <v>830</v>
      </c>
      <c r="O42" s="75" t="s">
        <v>305</v>
      </c>
      <c r="P42" t="s">
        <v>1938</v>
      </c>
      <c r="Q42" s="75" t="s">
        <v>6121</v>
      </c>
      <c r="R42" s="75" t="s">
        <v>311</v>
      </c>
      <c r="S42" t="s">
        <v>6464</v>
      </c>
      <c r="W42" s="75" t="s">
        <v>2899</v>
      </c>
      <c r="X42" s="75" t="s">
        <v>3159</v>
      </c>
      <c r="Y42" t="s">
        <v>3715</v>
      </c>
    </row>
    <row r="43" spans="2:30" x14ac:dyDescent="0.25">
      <c r="B43" s="75" t="s">
        <v>8506</v>
      </c>
      <c r="C43" s="75" t="s">
        <v>5767</v>
      </c>
      <c r="D43" t="s">
        <v>8700</v>
      </c>
      <c r="E43" s="75" t="s">
        <v>6505</v>
      </c>
      <c r="F43" s="75" t="s">
        <v>299</v>
      </c>
      <c r="G43" t="s">
        <v>7418</v>
      </c>
      <c r="H43" s="75" t="s">
        <v>10145</v>
      </c>
      <c r="I43" s="75" t="s">
        <v>10002</v>
      </c>
      <c r="J43" t="s">
        <v>10453</v>
      </c>
      <c r="K43" s="75" t="s">
        <v>3838</v>
      </c>
      <c r="L43" s="75" t="s">
        <v>353</v>
      </c>
      <c r="M43" t="s">
        <v>4928</v>
      </c>
      <c r="N43" s="75" t="s">
        <v>1053</v>
      </c>
      <c r="O43" s="75" t="s">
        <v>313</v>
      </c>
      <c r="P43" t="s">
        <v>1939</v>
      </c>
      <c r="Q43" s="75" t="s">
        <v>5545</v>
      </c>
      <c r="R43" s="75" t="s">
        <v>340</v>
      </c>
      <c r="S43" t="s">
        <v>7180</v>
      </c>
      <c r="W43" s="74" t="s">
        <v>3778</v>
      </c>
      <c r="X43" s="74" t="s">
        <v>300</v>
      </c>
      <c r="Y43" t="s">
        <v>4256</v>
      </c>
    </row>
    <row r="44" spans="2:30" x14ac:dyDescent="0.25">
      <c r="B44" s="75" t="s">
        <v>11499</v>
      </c>
      <c r="C44" s="75" t="s">
        <v>10087</v>
      </c>
      <c r="D44" t="s">
        <v>11573</v>
      </c>
      <c r="E44" s="75" t="s">
        <v>6791</v>
      </c>
      <c r="F44" s="75" t="s">
        <v>5713</v>
      </c>
      <c r="G44" t="s">
        <v>7646</v>
      </c>
      <c r="H44" s="75" t="s">
        <v>9167</v>
      </c>
      <c r="I44" s="75" t="s">
        <v>310</v>
      </c>
      <c r="J44" t="s">
        <v>9663</v>
      </c>
      <c r="K44" s="74" t="s">
        <v>3826</v>
      </c>
      <c r="L44" s="74" t="s">
        <v>312</v>
      </c>
      <c r="M44" t="s">
        <v>4255</v>
      </c>
      <c r="N44" s="75" t="s">
        <v>854</v>
      </c>
      <c r="O44" s="75" t="s">
        <v>316</v>
      </c>
      <c r="P44" t="s">
        <v>1387</v>
      </c>
      <c r="Q44" s="75" t="s">
        <v>7184</v>
      </c>
      <c r="R44" s="75" t="s">
        <v>394</v>
      </c>
      <c r="S44" t="s">
        <v>7511</v>
      </c>
      <c r="W44" s="74" t="s">
        <v>1256</v>
      </c>
      <c r="X44" s="74" t="s">
        <v>2984</v>
      </c>
      <c r="Y44" t="s">
        <v>2778</v>
      </c>
    </row>
    <row r="45" spans="2:30" x14ac:dyDescent="0.25">
      <c r="B45" s="75" t="s">
        <v>11464</v>
      </c>
      <c r="C45" s="75" t="s">
        <v>11469</v>
      </c>
      <c r="D45" t="s">
        <v>11575</v>
      </c>
      <c r="E45" s="75" t="s">
        <v>8699</v>
      </c>
      <c r="F45" s="75" t="s">
        <v>5767</v>
      </c>
      <c r="G45" t="s">
        <v>9122</v>
      </c>
      <c r="H45" s="75" t="s">
        <v>11505</v>
      </c>
      <c r="I45" s="216" t="s">
        <v>10123</v>
      </c>
      <c r="J45" t="s">
        <v>11533</v>
      </c>
      <c r="K45" s="75" t="s">
        <v>3714</v>
      </c>
      <c r="L45" s="75" t="s">
        <v>3671</v>
      </c>
      <c r="M45" t="s">
        <v>3848</v>
      </c>
      <c r="N45" s="75" t="s">
        <v>824</v>
      </c>
      <c r="O45" s="75" t="s">
        <v>313</v>
      </c>
      <c r="P45" t="s">
        <v>1388</v>
      </c>
      <c r="Q45" s="75" t="s">
        <v>7207</v>
      </c>
      <c r="R45" s="75" t="s">
        <v>340</v>
      </c>
      <c r="S45" t="s">
        <v>8037</v>
      </c>
      <c r="W45" s="74" t="s">
        <v>3612</v>
      </c>
      <c r="X45" s="74" t="s">
        <v>312</v>
      </c>
      <c r="Y45" t="s">
        <v>4355</v>
      </c>
    </row>
    <row r="46" spans="2:30" x14ac:dyDescent="0.25">
      <c r="B46" s="74" t="s">
        <v>12002</v>
      </c>
      <c r="C46" s="74" t="s">
        <v>10087</v>
      </c>
      <c r="D46" t="s">
        <v>12047</v>
      </c>
      <c r="E46" s="75" t="s">
        <v>11574</v>
      </c>
      <c r="F46" s="75" t="s">
        <v>11469</v>
      </c>
      <c r="G46" t="s">
        <v>11844</v>
      </c>
      <c r="H46" s="75" t="s">
        <v>11572</v>
      </c>
      <c r="I46" s="75" t="s">
        <v>10087</v>
      </c>
      <c r="J46" t="s">
        <v>11843</v>
      </c>
      <c r="K46" s="75" t="s">
        <v>3627</v>
      </c>
      <c r="L46" s="75" t="s">
        <v>3035</v>
      </c>
      <c r="M46" t="s">
        <v>3747</v>
      </c>
      <c r="N46" s="75" t="s">
        <v>786</v>
      </c>
      <c r="O46" s="75" t="s">
        <v>319</v>
      </c>
      <c r="P46" t="s">
        <v>1389</v>
      </c>
      <c r="Q46" s="75" t="s">
        <v>8140</v>
      </c>
      <c r="R46" s="75" t="s">
        <v>298</v>
      </c>
      <c r="S46" t="s">
        <v>8335</v>
      </c>
      <c r="W46" s="75" t="s">
        <v>3626</v>
      </c>
      <c r="X46" s="75" t="s">
        <v>394</v>
      </c>
      <c r="Y46" t="s">
        <v>4420</v>
      </c>
    </row>
    <row r="47" spans="2:30" x14ac:dyDescent="0.25">
      <c r="B47" s="75" t="s">
        <v>12501</v>
      </c>
      <c r="C47" s="290" t="s">
        <v>10398</v>
      </c>
      <c r="D47" t="s">
        <v>12623</v>
      </c>
      <c r="E47" s="75" t="s">
        <v>12622</v>
      </c>
      <c r="F47" s="75" t="s">
        <v>10398</v>
      </c>
      <c r="G47" t="s">
        <v>12778</v>
      </c>
      <c r="H47" s="75" t="s">
        <v>11574</v>
      </c>
      <c r="I47" s="75" t="s">
        <v>11469</v>
      </c>
      <c r="J47" t="s">
        <v>11858</v>
      </c>
      <c r="K47" s="75" t="s">
        <v>2930</v>
      </c>
      <c r="L47" s="75" t="s">
        <v>298</v>
      </c>
      <c r="M47" t="s">
        <v>3736</v>
      </c>
      <c r="N47" s="75" t="s">
        <v>699</v>
      </c>
      <c r="O47" s="75" t="s">
        <v>305</v>
      </c>
      <c r="P47" t="s">
        <v>1390</v>
      </c>
      <c r="Q47" s="75" t="s">
        <v>7538</v>
      </c>
      <c r="R47" s="75" t="s">
        <v>299</v>
      </c>
      <c r="S47" t="s">
        <v>8392</v>
      </c>
      <c r="W47" s="75" t="s">
        <v>3850</v>
      </c>
      <c r="X47" s="75" t="s">
        <v>274</v>
      </c>
      <c r="Y47" t="s">
        <v>4431</v>
      </c>
    </row>
    <row r="48" spans="2:30" x14ac:dyDescent="0.25">
      <c r="H48" s="75" t="s">
        <v>12622</v>
      </c>
      <c r="I48" s="75" t="s">
        <v>10398</v>
      </c>
      <c r="J48" t="s">
        <v>12813</v>
      </c>
      <c r="K48" s="75" t="s">
        <v>3352</v>
      </c>
      <c r="L48" s="75" t="s">
        <v>3035</v>
      </c>
      <c r="M48" t="s">
        <v>3639</v>
      </c>
      <c r="N48" s="75" t="s">
        <v>671</v>
      </c>
      <c r="O48" s="75" t="s">
        <v>313</v>
      </c>
      <c r="P48" t="s">
        <v>1940</v>
      </c>
      <c r="Q48" s="75" t="s">
        <v>8255</v>
      </c>
      <c r="R48" s="75" t="s">
        <v>8193</v>
      </c>
      <c r="S48" t="s">
        <v>8617</v>
      </c>
      <c r="W48" s="75" t="s">
        <v>4520</v>
      </c>
      <c r="X48" s="75" t="s">
        <v>3159</v>
      </c>
      <c r="Y48" t="s">
        <v>4613</v>
      </c>
    </row>
    <row r="49" spans="11:25" x14ac:dyDescent="0.25">
      <c r="K49" s="75" t="s">
        <v>1248</v>
      </c>
      <c r="L49" s="75" t="s">
        <v>464</v>
      </c>
      <c r="M49" t="s">
        <v>3602</v>
      </c>
      <c r="N49" s="75" t="s">
        <v>877</v>
      </c>
      <c r="O49" s="75" t="s">
        <v>312</v>
      </c>
      <c r="P49" t="s">
        <v>1941</v>
      </c>
      <c r="Q49" s="75" t="s">
        <v>9879</v>
      </c>
      <c r="R49" s="75" t="s">
        <v>9880</v>
      </c>
      <c r="S49" t="s">
        <v>10092</v>
      </c>
      <c r="W49" s="75" t="s">
        <v>4382</v>
      </c>
      <c r="X49" s="75" t="s">
        <v>468</v>
      </c>
      <c r="Y49" t="s">
        <v>4762</v>
      </c>
    </row>
    <row r="50" spans="11:25" x14ac:dyDescent="0.25">
      <c r="K50" s="75" t="s">
        <v>1071</v>
      </c>
      <c r="L50" s="75" t="s">
        <v>1025</v>
      </c>
      <c r="M50" t="s">
        <v>1366</v>
      </c>
      <c r="N50" s="75" t="s">
        <v>193</v>
      </c>
      <c r="O50" s="75" t="s">
        <v>1024</v>
      </c>
      <c r="P50" t="s">
        <v>1942</v>
      </c>
      <c r="W50" s="75" t="s">
        <v>4777</v>
      </c>
      <c r="X50" s="75" t="s">
        <v>352</v>
      </c>
      <c r="Y50" t="s">
        <v>4795</v>
      </c>
    </row>
    <row r="51" spans="11:25" x14ac:dyDescent="0.25">
      <c r="K51" s="75" t="s">
        <v>726</v>
      </c>
      <c r="L51" s="75" t="s">
        <v>465</v>
      </c>
      <c r="M51" t="s">
        <v>1946</v>
      </c>
      <c r="N51" s="75" t="s">
        <v>964</v>
      </c>
      <c r="O51" s="75" t="s">
        <v>1025</v>
      </c>
      <c r="P51" t="s">
        <v>1391</v>
      </c>
      <c r="W51" s="74" t="s">
        <v>3743</v>
      </c>
      <c r="X51" s="74" t="s">
        <v>313</v>
      </c>
      <c r="Y51" t="s">
        <v>4816</v>
      </c>
    </row>
    <row r="52" spans="11:25" x14ac:dyDescent="0.25">
      <c r="K52" s="75" t="s">
        <v>767</v>
      </c>
      <c r="L52" s="75" t="s">
        <v>394</v>
      </c>
      <c r="M52" t="s">
        <v>1367</v>
      </c>
      <c r="N52" s="75" t="s">
        <v>1150</v>
      </c>
      <c r="O52" s="75" t="s">
        <v>394</v>
      </c>
      <c r="P52" t="s">
        <v>1392</v>
      </c>
      <c r="W52" s="75" t="s">
        <v>4681</v>
      </c>
      <c r="X52" s="75" t="s">
        <v>3035</v>
      </c>
      <c r="Y52" t="s">
        <v>4917</v>
      </c>
    </row>
    <row r="53" spans="11:25" x14ac:dyDescent="0.25">
      <c r="K53" s="75" t="s">
        <v>831</v>
      </c>
      <c r="L53" s="75" t="s">
        <v>309</v>
      </c>
      <c r="M53" t="s">
        <v>1382</v>
      </c>
      <c r="N53" s="75" t="s">
        <v>1245</v>
      </c>
      <c r="O53" s="75" t="s">
        <v>530</v>
      </c>
      <c r="P53" t="s">
        <v>1943</v>
      </c>
      <c r="W53" s="75" t="s">
        <v>5066</v>
      </c>
      <c r="X53" s="75" t="s">
        <v>4923</v>
      </c>
      <c r="Y53" t="s">
        <v>5214</v>
      </c>
    </row>
    <row r="54" spans="11:25" x14ac:dyDescent="0.25">
      <c r="K54" s="75" t="s">
        <v>943</v>
      </c>
      <c r="L54" s="75" t="s">
        <v>310</v>
      </c>
      <c r="M54" t="s">
        <v>1383</v>
      </c>
      <c r="N54" s="75" t="s">
        <v>1280</v>
      </c>
      <c r="O54" s="75" t="s">
        <v>310</v>
      </c>
      <c r="P54" t="s">
        <v>1393</v>
      </c>
      <c r="W54" s="75" t="s">
        <v>4751</v>
      </c>
      <c r="X54" s="75" t="s">
        <v>3887</v>
      </c>
      <c r="Y54" t="s">
        <v>5272</v>
      </c>
    </row>
    <row r="55" spans="11:25" x14ac:dyDescent="0.25">
      <c r="K55" s="75" t="s">
        <v>666</v>
      </c>
      <c r="L55" s="75" t="s">
        <v>305</v>
      </c>
      <c r="M55" t="s">
        <v>1947</v>
      </c>
      <c r="N55" s="75" t="s">
        <v>948</v>
      </c>
      <c r="O55" s="75" t="s">
        <v>530</v>
      </c>
      <c r="P55" t="s">
        <v>1944</v>
      </c>
      <c r="W55" s="75" t="s">
        <v>4614</v>
      </c>
      <c r="X55" s="75" t="s">
        <v>3159</v>
      </c>
      <c r="Y55" t="s">
        <v>5271</v>
      </c>
    </row>
    <row r="56" spans="11:25" x14ac:dyDescent="0.25">
      <c r="K56" s="75" t="s">
        <v>1070</v>
      </c>
      <c r="L56" s="75" t="s">
        <v>307</v>
      </c>
      <c r="M56" t="s">
        <v>1384</v>
      </c>
      <c r="N56" s="75" t="s">
        <v>1053</v>
      </c>
      <c r="O56" s="75" t="s">
        <v>310</v>
      </c>
      <c r="P56" t="s">
        <v>1638</v>
      </c>
      <c r="W56" s="75" t="s">
        <v>4837</v>
      </c>
      <c r="X56" s="75" t="s">
        <v>1744</v>
      </c>
      <c r="Y56" t="s">
        <v>5299</v>
      </c>
    </row>
    <row r="57" spans="11:25" x14ac:dyDescent="0.25">
      <c r="K57" s="75" t="s">
        <v>1010</v>
      </c>
      <c r="L57" s="75" t="s">
        <v>447</v>
      </c>
      <c r="M57" t="s">
        <v>1948</v>
      </c>
      <c r="N57" s="75" t="s">
        <v>582</v>
      </c>
      <c r="O57" s="75" t="s">
        <v>1246</v>
      </c>
      <c r="P57" t="s">
        <v>1640</v>
      </c>
      <c r="W57" s="75" t="s">
        <v>4628</v>
      </c>
      <c r="X57" s="75" t="s">
        <v>312</v>
      </c>
      <c r="Y57" t="s">
        <v>5300</v>
      </c>
    </row>
    <row r="58" spans="11:25" x14ac:dyDescent="0.25">
      <c r="K58" s="75" t="s">
        <v>638</v>
      </c>
      <c r="L58" s="75" t="s">
        <v>310</v>
      </c>
      <c r="M58" t="s">
        <v>1385</v>
      </c>
      <c r="N58" s="75" t="s">
        <v>423</v>
      </c>
      <c r="O58" s="75" t="s">
        <v>1246</v>
      </c>
      <c r="P58" t="s">
        <v>3414</v>
      </c>
      <c r="W58" s="75" t="s">
        <v>2899</v>
      </c>
      <c r="X58" s="75" t="s">
        <v>4923</v>
      </c>
      <c r="Y58" t="s">
        <v>5304</v>
      </c>
    </row>
    <row r="59" spans="11:25" x14ac:dyDescent="0.25">
      <c r="K59" s="75" t="s">
        <v>1005</v>
      </c>
      <c r="L59" s="75" t="s">
        <v>938</v>
      </c>
      <c r="M59" t="s">
        <v>1949</v>
      </c>
      <c r="N59" s="75" t="s">
        <v>3405</v>
      </c>
      <c r="O59" s="75" t="s">
        <v>3277</v>
      </c>
      <c r="P59" t="s">
        <v>3532</v>
      </c>
      <c r="W59" s="75" t="s">
        <v>5404</v>
      </c>
      <c r="X59" s="75" t="s">
        <v>5496</v>
      </c>
      <c r="Y59" t="s">
        <v>5511</v>
      </c>
    </row>
    <row r="60" spans="11:25" x14ac:dyDescent="0.25">
      <c r="K60" s="75" t="s">
        <v>1049</v>
      </c>
      <c r="L60" s="75" t="s">
        <v>394</v>
      </c>
      <c r="M60" t="s">
        <v>1386</v>
      </c>
      <c r="N60" s="75" t="s">
        <v>3672</v>
      </c>
      <c r="O60" s="75" t="s">
        <v>3277</v>
      </c>
      <c r="P60" t="s">
        <v>3696</v>
      </c>
      <c r="W60" s="75" t="s">
        <v>267</v>
      </c>
      <c r="X60" s="75" t="s">
        <v>394</v>
      </c>
      <c r="Y60" t="s">
        <v>5627</v>
      </c>
    </row>
    <row r="61" spans="11:25" x14ac:dyDescent="0.25">
      <c r="K61" s="75" t="s">
        <v>1314</v>
      </c>
      <c r="L61" s="75" t="s">
        <v>418</v>
      </c>
      <c r="M61" t="s">
        <v>1757</v>
      </c>
      <c r="N61" s="75" t="s">
        <v>3477</v>
      </c>
      <c r="O61" s="75" t="s">
        <v>3969</v>
      </c>
      <c r="P61" t="s">
        <v>4408</v>
      </c>
      <c r="W61" s="74" t="s">
        <v>4681</v>
      </c>
      <c r="X61" s="74" t="s">
        <v>5714</v>
      </c>
      <c r="Y61" t="s">
        <v>5768</v>
      </c>
    </row>
    <row r="62" spans="11:25" x14ac:dyDescent="0.25">
      <c r="K62" s="75" t="s">
        <v>412</v>
      </c>
      <c r="L62" s="75" t="s">
        <v>314</v>
      </c>
      <c r="M62" t="s">
        <v>1950</v>
      </c>
      <c r="N62" s="75" t="s">
        <v>4576</v>
      </c>
      <c r="O62" s="75" t="s">
        <v>314</v>
      </c>
      <c r="P62" t="s">
        <v>4743</v>
      </c>
      <c r="W62" s="75" t="s">
        <v>5406</v>
      </c>
      <c r="X62" s="75" t="s">
        <v>447</v>
      </c>
      <c r="Y62" t="s">
        <v>5769</v>
      </c>
    </row>
    <row r="63" spans="11:25" x14ac:dyDescent="0.25">
      <c r="K63" s="75" t="s">
        <v>1683</v>
      </c>
      <c r="L63" s="75" t="s">
        <v>1682</v>
      </c>
      <c r="M63" t="s">
        <v>1715</v>
      </c>
      <c r="N63" s="75" t="s">
        <v>4767</v>
      </c>
      <c r="O63" s="75" t="s">
        <v>311</v>
      </c>
      <c r="P63" t="s">
        <v>5209</v>
      </c>
      <c r="W63" s="75" t="s">
        <v>4435</v>
      </c>
      <c r="X63" s="75" t="s">
        <v>488</v>
      </c>
      <c r="Y63" t="s">
        <v>5829</v>
      </c>
    </row>
    <row r="64" spans="11:25" x14ac:dyDescent="0.25">
      <c r="K64" s="75" t="s">
        <v>1641</v>
      </c>
      <c r="L64" s="75" t="s">
        <v>313</v>
      </c>
      <c r="M64" t="s">
        <v>1716</v>
      </c>
      <c r="N64" s="75" t="s">
        <v>5403</v>
      </c>
      <c r="O64" s="75" t="s">
        <v>1744</v>
      </c>
      <c r="P64" t="s">
        <v>5734</v>
      </c>
      <c r="W64" s="75" t="s">
        <v>4837</v>
      </c>
      <c r="X64" s="75" t="s">
        <v>353</v>
      </c>
      <c r="Y64" t="s">
        <v>6118</v>
      </c>
    </row>
    <row r="65" spans="11:25" x14ac:dyDescent="0.25">
      <c r="K65" s="75" t="s">
        <v>1239</v>
      </c>
      <c r="L65" s="75" t="s">
        <v>298</v>
      </c>
      <c r="M65" t="s">
        <v>1951</v>
      </c>
      <c r="N65" s="75" t="s">
        <v>5493</v>
      </c>
      <c r="O65" s="75" t="s">
        <v>352</v>
      </c>
      <c r="P65" t="s">
        <v>5653</v>
      </c>
      <c r="W65" s="75" t="s">
        <v>6122</v>
      </c>
      <c r="X65" s="75" t="s">
        <v>353</v>
      </c>
      <c r="Y65" t="s">
        <v>6363</v>
      </c>
    </row>
    <row r="66" spans="11:25" x14ac:dyDescent="0.25">
      <c r="K66" s="75" t="s">
        <v>1647</v>
      </c>
      <c r="L66" s="75" t="s">
        <v>530</v>
      </c>
      <c r="M66" t="s">
        <v>1952</v>
      </c>
      <c r="N66" s="75" t="s">
        <v>1730</v>
      </c>
      <c r="O66" s="75" t="s">
        <v>312</v>
      </c>
      <c r="P66" t="s">
        <v>5652</v>
      </c>
      <c r="W66" s="75" t="s">
        <v>5333</v>
      </c>
      <c r="X66" s="75" t="s">
        <v>299</v>
      </c>
      <c r="Y66" t="s">
        <v>6504</v>
      </c>
    </row>
    <row r="67" spans="11:25" x14ac:dyDescent="0.25">
      <c r="K67" s="75" t="s">
        <v>417</v>
      </c>
      <c r="L67" s="75" t="s">
        <v>1643</v>
      </c>
      <c r="M67" t="s">
        <v>1781</v>
      </c>
      <c r="N67" s="75" t="s">
        <v>5668</v>
      </c>
      <c r="O67" s="75" t="s">
        <v>454</v>
      </c>
      <c r="P67" t="s">
        <v>5840</v>
      </c>
      <c r="W67" s="75" t="s">
        <v>6407</v>
      </c>
      <c r="X67" s="75" t="s">
        <v>340</v>
      </c>
      <c r="Y67" t="s">
        <v>7018</v>
      </c>
    </row>
    <row r="68" spans="11:25" x14ac:dyDescent="0.25">
      <c r="K68" s="75" t="s">
        <v>1780</v>
      </c>
      <c r="L68" s="75" t="s">
        <v>343</v>
      </c>
      <c r="M68" t="s">
        <v>2437</v>
      </c>
      <c r="N68" s="75" t="s">
        <v>8223</v>
      </c>
      <c r="O68" s="75" t="s">
        <v>394</v>
      </c>
      <c r="P68" t="s">
        <v>8305</v>
      </c>
      <c r="W68" s="75" t="s">
        <v>267</v>
      </c>
      <c r="X68" s="75" t="s">
        <v>394</v>
      </c>
      <c r="Y68" t="s">
        <v>7186</v>
      </c>
    </row>
    <row r="69" spans="11:25" x14ac:dyDescent="0.25">
      <c r="K69" s="75" t="s">
        <v>663</v>
      </c>
      <c r="L69" s="75" t="s">
        <v>343</v>
      </c>
      <c r="M69" t="s">
        <v>2449</v>
      </c>
      <c r="N69" s="75" t="s">
        <v>9080</v>
      </c>
      <c r="O69" s="75" t="s">
        <v>9349</v>
      </c>
      <c r="P69" t="s">
        <v>9300</v>
      </c>
      <c r="W69" s="75" t="s">
        <v>7573</v>
      </c>
      <c r="X69" s="75" t="s">
        <v>5767</v>
      </c>
      <c r="Y69" t="s">
        <v>7623</v>
      </c>
    </row>
    <row r="70" spans="11:25" x14ac:dyDescent="0.25">
      <c r="K70" s="75" t="s">
        <v>1901</v>
      </c>
      <c r="L70" s="75" t="s">
        <v>530</v>
      </c>
      <c r="M70" t="s">
        <v>2461</v>
      </c>
      <c r="N70" s="74" t="s">
        <v>9648</v>
      </c>
      <c r="O70" s="74" t="s">
        <v>5714</v>
      </c>
      <c r="P70" t="s">
        <v>9659</v>
      </c>
      <c r="W70" s="75" t="s">
        <v>4777</v>
      </c>
      <c r="X70" s="75" t="s">
        <v>394</v>
      </c>
      <c r="Y70" t="s">
        <v>7726</v>
      </c>
    </row>
    <row r="71" spans="11:25" x14ac:dyDescent="0.25">
      <c r="K71" s="75" t="s">
        <v>1796</v>
      </c>
      <c r="L71" s="75" t="s">
        <v>561</v>
      </c>
      <c r="M71" t="s">
        <v>2468</v>
      </c>
      <c r="N71" s="75" t="s">
        <v>10561</v>
      </c>
      <c r="O71" s="75" t="s">
        <v>9366</v>
      </c>
      <c r="P71" t="s">
        <v>10719</v>
      </c>
      <c r="W71" s="74" t="s">
        <v>7447</v>
      </c>
      <c r="X71" s="74" t="s">
        <v>299</v>
      </c>
      <c r="Y71" t="s">
        <v>7932</v>
      </c>
    </row>
    <row r="72" spans="11:25" x14ac:dyDescent="0.25">
      <c r="K72" s="75" t="s">
        <v>2450</v>
      </c>
      <c r="L72" s="75" t="s">
        <v>329</v>
      </c>
      <c r="M72" t="s">
        <v>2547</v>
      </c>
      <c r="N72" s="75" t="s">
        <v>10720</v>
      </c>
      <c r="O72" s="75" t="s">
        <v>9366</v>
      </c>
      <c r="P72" t="s">
        <v>10848</v>
      </c>
      <c r="W72" s="75" t="s">
        <v>7266</v>
      </c>
      <c r="X72" s="75" t="s">
        <v>5713</v>
      </c>
      <c r="Y72" t="s">
        <v>7993</v>
      </c>
    </row>
    <row r="73" spans="11:25" x14ac:dyDescent="0.25">
      <c r="K73" s="75" t="s">
        <v>2501</v>
      </c>
      <c r="L73" s="75" t="s">
        <v>313</v>
      </c>
      <c r="M73" t="s">
        <v>2694</v>
      </c>
      <c r="N73" s="75" t="s">
        <v>11305</v>
      </c>
      <c r="O73" s="216" t="s">
        <v>10758</v>
      </c>
      <c r="P73" t="s">
        <v>11374</v>
      </c>
      <c r="W73" s="75" t="s">
        <v>4668</v>
      </c>
      <c r="X73" s="75" t="s">
        <v>298</v>
      </c>
      <c r="Y73" t="s">
        <v>8104</v>
      </c>
    </row>
    <row r="74" spans="11:25" x14ac:dyDescent="0.25">
      <c r="K74" s="75" t="s">
        <v>2605</v>
      </c>
      <c r="L74" s="75" t="s">
        <v>305</v>
      </c>
      <c r="M74" t="s">
        <v>2745</v>
      </c>
      <c r="N74" s="74" t="s">
        <v>10700</v>
      </c>
      <c r="O74" s="74" t="s">
        <v>9885</v>
      </c>
      <c r="P74" t="s">
        <v>10766</v>
      </c>
      <c r="W74" s="75" t="s">
        <v>7260</v>
      </c>
      <c r="X74" s="75" t="s">
        <v>5767</v>
      </c>
      <c r="Y74" t="s">
        <v>7644</v>
      </c>
    </row>
    <row r="75" spans="11:25" x14ac:dyDescent="0.25">
      <c r="K75" s="75" t="s">
        <v>1105</v>
      </c>
      <c r="L75" s="75" t="s">
        <v>447</v>
      </c>
      <c r="M75" t="s">
        <v>2806</v>
      </c>
      <c r="N75" s="75" t="s">
        <v>10720</v>
      </c>
      <c r="O75" s="75" t="s">
        <v>10885</v>
      </c>
      <c r="P75" t="s">
        <v>12466</v>
      </c>
      <c r="W75" s="75" t="s">
        <v>4777</v>
      </c>
      <c r="X75" s="75" t="s">
        <v>1354</v>
      </c>
      <c r="Y75" t="s">
        <v>8139</v>
      </c>
    </row>
    <row r="76" spans="11:25" x14ac:dyDescent="0.25">
      <c r="K76" s="75" t="s">
        <v>3249</v>
      </c>
      <c r="L76" s="75" t="s">
        <v>484</v>
      </c>
      <c r="M76" t="s">
        <v>3353</v>
      </c>
      <c r="N76" s="75" t="s">
        <v>12639</v>
      </c>
      <c r="O76" s="75" t="s">
        <v>9348</v>
      </c>
      <c r="P76" t="s">
        <v>12705</v>
      </c>
      <c r="W76" s="75" t="s">
        <v>4777</v>
      </c>
      <c r="X76" s="75" t="s">
        <v>1354</v>
      </c>
      <c r="Y76" t="s">
        <v>8139</v>
      </c>
    </row>
    <row r="77" spans="11:25" x14ac:dyDescent="0.25">
      <c r="K77" s="75" t="s">
        <v>1265</v>
      </c>
      <c r="L77" s="75" t="s">
        <v>343</v>
      </c>
      <c r="M77" t="s">
        <v>2889</v>
      </c>
      <c r="N77" s="74" t="s">
        <v>12791</v>
      </c>
      <c r="O77" s="74" t="s">
        <v>12790</v>
      </c>
      <c r="P77" t="s">
        <v>12855</v>
      </c>
      <c r="W77" s="75" t="s">
        <v>7922</v>
      </c>
      <c r="X77" s="75" t="s">
        <v>8340</v>
      </c>
      <c r="Y77" t="s">
        <v>8356</v>
      </c>
    </row>
    <row r="78" spans="11:25" x14ac:dyDescent="0.25">
      <c r="K78" s="75" t="s">
        <v>2914</v>
      </c>
      <c r="L78" s="75" t="s">
        <v>305</v>
      </c>
      <c r="M78" t="s">
        <v>2974</v>
      </c>
      <c r="N78" s="75" t="s">
        <v>12712</v>
      </c>
      <c r="O78" s="75" t="s">
        <v>11449</v>
      </c>
      <c r="P78" t="s">
        <v>12921</v>
      </c>
      <c r="W78" s="75" t="s">
        <v>8355</v>
      </c>
      <c r="X78" s="75" t="s">
        <v>5683</v>
      </c>
      <c r="Y78" t="s">
        <v>8425</v>
      </c>
    </row>
    <row r="79" spans="11:25" x14ac:dyDescent="0.25">
      <c r="K79" s="75" t="s">
        <v>1919</v>
      </c>
      <c r="L79" s="75" t="s">
        <v>300</v>
      </c>
      <c r="M79" t="s">
        <v>3060</v>
      </c>
      <c r="W79" s="75" t="s">
        <v>8421</v>
      </c>
      <c r="X79" s="75" t="s">
        <v>298</v>
      </c>
      <c r="Y79" t="s">
        <v>8497</v>
      </c>
    </row>
    <row r="80" spans="11:25" x14ac:dyDescent="0.25">
      <c r="K80" s="75" t="s">
        <v>2967</v>
      </c>
      <c r="L80" s="75" t="s">
        <v>466</v>
      </c>
      <c r="M80" t="s">
        <v>3083</v>
      </c>
      <c r="W80" s="75" t="s">
        <v>7268</v>
      </c>
      <c r="X80" s="75" t="s">
        <v>310</v>
      </c>
      <c r="Y80" t="s">
        <v>8498</v>
      </c>
    </row>
    <row r="81" spans="11:25" x14ac:dyDescent="0.25">
      <c r="K81" s="75" t="s">
        <v>2973</v>
      </c>
      <c r="L81" s="75" t="s">
        <v>305</v>
      </c>
      <c r="M81" t="s">
        <v>3084</v>
      </c>
      <c r="W81" s="75" t="s">
        <v>5404</v>
      </c>
      <c r="X81" s="216" t="s">
        <v>7250</v>
      </c>
      <c r="Y81" t="s">
        <v>8499</v>
      </c>
    </row>
    <row r="82" spans="11:25" x14ac:dyDescent="0.25">
      <c r="K82" s="75" t="s">
        <v>3263</v>
      </c>
      <c r="L82" s="75" t="s">
        <v>313</v>
      </c>
      <c r="M82" t="s">
        <v>3248</v>
      </c>
      <c r="W82" s="75" t="s">
        <v>8532</v>
      </c>
      <c r="X82" s="75" t="s">
        <v>5713</v>
      </c>
      <c r="Y82" t="s">
        <v>8666</v>
      </c>
    </row>
    <row r="83" spans="11:25" x14ac:dyDescent="0.25">
      <c r="K83" s="75" t="s">
        <v>3085</v>
      </c>
      <c r="L83" s="75" t="s">
        <v>3253</v>
      </c>
      <c r="M83" t="s">
        <v>3302</v>
      </c>
      <c r="W83" s="75" t="s">
        <v>8111</v>
      </c>
      <c r="X83" s="75" t="s">
        <v>5714</v>
      </c>
      <c r="Y83" t="s">
        <v>8676</v>
      </c>
    </row>
    <row r="84" spans="11:25" x14ac:dyDescent="0.25">
      <c r="K84" s="75" t="s">
        <v>2738</v>
      </c>
      <c r="L84" s="75" t="s">
        <v>298</v>
      </c>
      <c r="M84" t="s">
        <v>3314</v>
      </c>
      <c r="W84" s="75" t="s">
        <v>8396</v>
      </c>
      <c r="X84" s="75" t="s">
        <v>7250</v>
      </c>
      <c r="Y84" t="s">
        <v>8685</v>
      </c>
    </row>
    <row r="85" spans="11:25" x14ac:dyDescent="0.25">
      <c r="K85" s="75" t="s">
        <v>3243</v>
      </c>
      <c r="L85" s="75" t="s">
        <v>484</v>
      </c>
      <c r="M85" t="s">
        <v>3386</v>
      </c>
      <c r="W85" s="75" t="s">
        <v>8752</v>
      </c>
      <c r="X85" s="75" t="s">
        <v>8848</v>
      </c>
      <c r="Y85" t="s">
        <v>8863</v>
      </c>
    </row>
    <row r="86" spans="11:25" x14ac:dyDescent="0.25">
      <c r="K86" s="75" t="s">
        <v>3249</v>
      </c>
      <c r="L86" s="75" t="s">
        <v>484</v>
      </c>
      <c r="M86" t="s">
        <v>3385</v>
      </c>
      <c r="W86" s="75" t="s">
        <v>8692</v>
      </c>
      <c r="X86" s="75" t="s">
        <v>7250</v>
      </c>
      <c r="Y86" t="s">
        <v>8878</v>
      </c>
    </row>
    <row r="87" spans="11:25" x14ac:dyDescent="0.25">
      <c r="K87" s="75" t="s">
        <v>768</v>
      </c>
      <c r="L87" s="75" t="s">
        <v>938</v>
      </c>
      <c r="M87" t="s">
        <v>1945</v>
      </c>
      <c r="W87" s="75" t="s">
        <v>8864</v>
      </c>
      <c r="X87" s="216" t="s">
        <v>5715</v>
      </c>
      <c r="Y87" t="s">
        <v>8989</v>
      </c>
    </row>
    <row r="88" spans="11:25" x14ac:dyDescent="0.25">
      <c r="K88" s="75" t="s">
        <v>3086</v>
      </c>
      <c r="L88" s="75" t="s">
        <v>300</v>
      </c>
      <c r="M88" t="s">
        <v>3425</v>
      </c>
      <c r="W88" s="75" t="s">
        <v>8129</v>
      </c>
      <c r="X88" s="75" t="s">
        <v>5714</v>
      </c>
      <c r="Y88" t="s">
        <v>8390</v>
      </c>
    </row>
    <row r="89" spans="11:25" x14ac:dyDescent="0.25">
      <c r="K89" s="75" t="s">
        <v>2738</v>
      </c>
      <c r="L89" s="75" t="s">
        <v>298</v>
      </c>
      <c r="M89" t="s">
        <v>3488</v>
      </c>
      <c r="W89" s="75" t="s">
        <v>8674</v>
      </c>
      <c r="X89" s="75" t="s">
        <v>5713</v>
      </c>
      <c r="Y89" t="s">
        <v>9058</v>
      </c>
    </row>
    <row r="90" spans="11:25" x14ac:dyDescent="0.25">
      <c r="K90" s="75" t="s">
        <v>3304</v>
      </c>
      <c r="L90" s="75" t="s">
        <v>3452</v>
      </c>
      <c r="M90" t="s">
        <v>3478</v>
      </c>
      <c r="W90" s="75" t="s">
        <v>8129</v>
      </c>
      <c r="X90" s="75" t="s">
        <v>5713</v>
      </c>
      <c r="Y90" t="s">
        <v>9125</v>
      </c>
    </row>
    <row r="91" spans="11:25" x14ac:dyDescent="0.25">
      <c r="K91" s="75" t="s">
        <v>3366</v>
      </c>
      <c r="L91" s="75" t="s">
        <v>3277</v>
      </c>
      <c r="M91" t="s">
        <v>3625</v>
      </c>
      <c r="W91" s="75" t="s">
        <v>8801</v>
      </c>
      <c r="X91" s="75" t="s">
        <v>8800</v>
      </c>
      <c r="Y91" t="s">
        <v>9139</v>
      </c>
    </row>
    <row r="92" spans="11:25" x14ac:dyDescent="0.25">
      <c r="K92" s="75" t="s">
        <v>3603</v>
      </c>
      <c r="L92" s="75" t="s">
        <v>464</v>
      </c>
      <c r="M92" t="s">
        <v>3710</v>
      </c>
      <c r="W92" s="75" t="s">
        <v>8987</v>
      </c>
      <c r="X92" s="75" t="s">
        <v>5715</v>
      </c>
      <c r="Y92" t="s">
        <v>9186</v>
      </c>
    </row>
    <row r="93" spans="11:25" x14ac:dyDescent="0.25">
      <c r="K93" s="75" t="s">
        <v>4421</v>
      </c>
      <c r="L93" s="75" t="s">
        <v>314</v>
      </c>
      <c r="M93" t="s">
        <v>4608</v>
      </c>
      <c r="W93" s="75" t="s">
        <v>7268</v>
      </c>
      <c r="X93" s="75" t="s">
        <v>9350</v>
      </c>
      <c r="Y93" t="s">
        <v>9297</v>
      </c>
    </row>
    <row r="94" spans="11:25" x14ac:dyDescent="0.25">
      <c r="K94" s="75" t="s">
        <v>4629</v>
      </c>
      <c r="L94" s="75" t="s">
        <v>1744</v>
      </c>
      <c r="M94" t="s">
        <v>4823</v>
      </c>
      <c r="W94" s="75" t="s">
        <v>9201</v>
      </c>
      <c r="X94" s="75" t="s">
        <v>5715</v>
      </c>
      <c r="Y94" t="s">
        <v>9327</v>
      </c>
    </row>
    <row r="95" spans="11:25" x14ac:dyDescent="0.25">
      <c r="K95" s="75" t="s">
        <v>4833</v>
      </c>
      <c r="L95" s="75" t="s">
        <v>743</v>
      </c>
      <c r="M95" t="s">
        <v>4937</v>
      </c>
      <c r="W95" s="75" t="s">
        <v>6122</v>
      </c>
      <c r="X95" s="75" t="s">
        <v>9269</v>
      </c>
      <c r="Y95" t="s">
        <v>9461</v>
      </c>
    </row>
    <row r="96" spans="11:25" x14ac:dyDescent="0.25">
      <c r="K96" s="75" t="s">
        <v>5316</v>
      </c>
      <c r="L96" s="75" t="s">
        <v>312</v>
      </c>
      <c r="M96" t="s">
        <v>5438</v>
      </c>
      <c r="W96" s="75" t="s">
        <v>8593</v>
      </c>
      <c r="X96" s="75" t="s">
        <v>299</v>
      </c>
      <c r="Y96" t="s">
        <v>8860</v>
      </c>
    </row>
    <row r="97" spans="9:25" x14ac:dyDescent="0.25">
      <c r="K97" s="74" t="s">
        <v>5402</v>
      </c>
      <c r="L97" s="74" t="s">
        <v>5367</v>
      </c>
      <c r="M97" t="s">
        <v>5420</v>
      </c>
      <c r="W97" s="75" t="s">
        <v>9444</v>
      </c>
      <c r="X97" s="75" t="s">
        <v>9349</v>
      </c>
      <c r="Y97" t="s">
        <v>9494</v>
      </c>
    </row>
    <row r="98" spans="9:25" x14ac:dyDescent="0.25">
      <c r="I98" t="s">
        <v>47</v>
      </c>
      <c r="K98" s="75" t="s">
        <v>5424</v>
      </c>
      <c r="L98" s="75" t="s">
        <v>352</v>
      </c>
      <c r="M98" t="s">
        <v>5472</v>
      </c>
      <c r="W98" s="74" t="s">
        <v>919</v>
      </c>
      <c r="X98" s="74" t="s">
        <v>9269</v>
      </c>
      <c r="Y98" t="s">
        <v>9526</v>
      </c>
    </row>
    <row r="99" spans="9:25" x14ac:dyDescent="0.25">
      <c r="K99" s="75" t="s">
        <v>4832</v>
      </c>
      <c r="L99" s="75" t="s">
        <v>394</v>
      </c>
      <c r="M99" t="s">
        <v>6119</v>
      </c>
      <c r="W99" s="75" t="s">
        <v>8336</v>
      </c>
      <c r="X99" s="216" t="s">
        <v>8112</v>
      </c>
      <c r="Y99" t="s">
        <v>9574</v>
      </c>
    </row>
    <row r="100" spans="9:25" x14ac:dyDescent="0.25">
      <c r="K100" s="75" t="s">
        <v>6324</v>
      </c>
      <c r="L100" s="75" t="s">
        <v>464</v>
      </c>
      <c r="M100" t="s">
        <v>6325</v>
      </c>
      <c r="W100" s="75" t="s">
        <v>7573</v>
      </c>
      <c r="X100" s="75" t="s">
        <v>394</v>
      </c>
      <c r="Y100" t="s">
        <v>9588</v>
      </c>
    </row>
    <row r="101" spans="9:25" x14ac:dyDescent="0.25">
      <c r="K101" s="75" t="s">
        <v>6347</v>
      </c>
      <c r="L101" s="75" t="s">
        <v>464</v>
      </c>
      <c r="M101" t="s">
        <v>6414</v>
      </c>
      <c r="W101" s="75" t="s">
        <v>9524</v>
      </c>
      <c r="X101" s="75" t="s">
        <v>5713</v>
      </c>
      <c r="Y101" t="s">
        <v>9589</v>
      </c>
    </row>
    <row r="102" spans="9:25" x14ac:dyDescent="0.25">
      <c r="K102" s="75" t="s">
        <v>6704</v>
      </c>
      <c r="L102" s="75" t="s">
        <v>488</v>
      </c>
      <c r="M102" t="s">
        <v>6754</v>
      </c>
      <c r="W102" s="74" t="s">
        <v>9565</v>
      </c>
      <c r="X102" s="74" t="s">
        <v>7250</v>
      </c>
      <c r="Y102" t="s">
        <v>9649</v>
      </c>
    </row>
    <row r="103" spans="9:25" x14ac:dyDescent="0.25">
      <c r="K103" s="75" t="s">
        <v>6465</v>
      </c>
      <c r="L103" s="75" t="s">
        <v>311</v>
      </c>
      <c r="M103" t="s">
        <v>6774</v>
      </c>
      <c r="W103" s="74" t="s">
        <v>9634</v>
      </c>
      <c r="X103" s="74" t="s">
        <v>5714</v>
      </c>
      <c r="Y103" t="s">
        <v>9652</v>
      </c>
    </row>
    <row r="104" spans="9:25" x14ac:dyDescent="0.25">
      <c r="K104" s="75" t="s">
        <v>6622</v>
      </c>
      <c r="L104" s="75" t="s">
        <v>6970</v>
      </c>
      <c r="M104" t="s">
        <v>7009</v>
      </c>
      <c r="W104" s="75" t="s">
        <v>9666</v>
      </c>
      <c r="X104" s="75" t="s">
        <v>315</v>
      </c>
      <c r="Y104" t="s">
        <v>9679</v>
      </c>
    </row>
    <row r="105" spans="9:25" x14ac:dyDescent="0.25">
      <c r="K105" s="75" t="s">
        <v>7081</v>
      </c>
      <c r="L105" s="75" t="s">
        <v>310</v>
      </c>
      <c r="M105" t="s">
        <v>7118</v>
      </c>
      <c r="W105" s="75" t="s">
        <v>8504</v>
      </c>
      <c r="X105" s="75" t="s">
        <v>298</v>
      </c>
      <c r="Y105" t="s">
        <v>9711</v>
      </c>
    </row>
    <row r="106" spans="9:25" x14ac:dyDescent="0.25">
      <c r="K106" s="75" t="s">
        <v>7150</v>
      </c>
      <c r="L106" s="75" t="s">
        <v>5714</v>
      </c>
      <c r="M106" t="s">
        <v>7217</v>
      </c>
      <c r="W106" s="75" t="s">
        <v>9596</v>
      </c>
      <c r="X106" s="75" t="s">
        <v>9350</v>
      </c>
      <c r="Y106" t="s">
        <v>9731</v>
      </c>
    </row>
    <row r="107" spans="9:25" x14ac:dyDescent="0.25">
      <c r="K107" s="74" t="s">
        <v>7327</v>
      </c>
      <c r="L107" s="74" t="s">
        <v>448</v>
      </c>
      <c r="M107" t="s">
        <v>7577</v>
      </c>
      <c r="W107" s="75" t="s">
        <v>9587</v>
      </c>
      <c r="X107" s="75" t="s">
        <v>7876</v>
      </c>
      <c r="Y107" t="s">
        <v>9823</v>
      </c>
    </row>
    <row r="108" spans="9:25" x14ac:dyDescent="0.25">
      <c r="K108" s="74" t="s">
        <v>5315</v>
      </c>
      <c r="L108" s="74" t="s">
        <v>7076</v>
      </c>
      <c r="M108" t="s">
        <v>7686</v>
      </c>
      <c r="W108" s="75" t="s">
        <v>9664</v>
      </c>
      <c r="X108" s="75" t="s">
        <v>310</v>
      </c>
      <c r="Y108" t="s">
        <v>9861</v>
      </c>
    </row>
    <row r="109" spans="9:25" x14ac:dyDescent="0.25">
      <c r="K109" s="74" t="s">
        <v>7799</v>
      </c>
      <c r="L109" s="74" t="s">
        <v>7076</v>
      </c>
      <c r="M109" t="s">
        <v>7897</v>
      </c>
      <c r="W109" s="75" t="s">
        <v>9565</v>
      </c>
      <c r="X109" s="75" t="s">
        <v>9885</v>
      </c>
      <c r="Y109" t="s">
        <v>9901</v>
      </c>
    </row>
    <row r="110" spans="9:25" x14ac:dyDescent="0.25">
      <c r="K110" s="75" t="s">
        <v>7908</v>
      </c>
      <c r="L110" s="75" t="s">
        <v>7132</v>
      </c>
      <c r="M110" t="s">
        <v>7909</v>
      </c>
      <c r="W110" s="75" t="s">
        <v>9747</v>
      </c>
      <c r="X110" s="75" t="s">
        <v>9366</v>
      </c>
      <c r="Y110" t="s">
        <v>9909</v>
      </c>
    </row>
    <row r="111" spans="9:25" x14ac:dyDescent="0.25">
      <c r="K111" s="75" t="s">
        <v>7856</v>
      </c>
      <c r="L111" s="75" t="s">
        <v>311</v>
      </c>
      <c r="M111" t="s">
        <v>8021</v>
      </c>
      <c r="W111" s="75" t="s">
        <v>9809</v>
      </c>
      <c r="X111" s="75" t="s">
        <v>9349</v>
      </c>
      <c r="Y111" t="s">
        <v>9945</v>
      </c>
    </row>
    <row r="112" spans="9:25" x14ac:dyDescent="0.25">
      <c r="K112" s="75" t="s">
        <v>6704</v>
      </c>
      <c r="L112" s="75" t="s">
        <v>7132</v>
      </c>
      <c r="M112" t="s">
        <v>8113</v>
      </c>
      <c r="W112" s="75" t="s">
        <v>10000</v>
      </c>
      <c r="X112" s="75" t="s">
        <v>9885</v>
      </c>
      <c r="Y112" t="s">
        <v>10185</v>
      </c>
    </row>
    <row r="113" spans="11:25" x14ac:dyDescent="0.25">
      <c r="K113" s="75" t="s">
        <v>7856</v>
      </c>
      <c r="L113" s="75" t="s">
        <v>311</v>
      </c>
      <c r="M113" t="s">
        <v>8122</v>
      </c>
      <c r="W113" s="75" t="s">
        <v>9751</v>
      </c>
      <c r="X113" s="75" t="s">
        <v>311</v>
      </c>
      <c r="Y113" t="s">
        <v>10297</v>
      </c>
    </row>
    <row r="114" spans="11:25" x14ac:dyDescent="0.25">
      <c r="K114" s="75" t="s">
        <v>8171</v>
      </c>
      <c r="L114" s="75" t="s">
        <v>7876</v>
      </c>
      <c r="M114" t="s">
        <v>8172</v>
      </c>
      <c r="W114" s="75" t="s">
        <v>9646</v>
      </c>
      <c r="X114" s="75" t="s">
        <v>10062</v>
      </c>
      <c r="Y114" t="s">
        <v>10423</v>
      </c>
    </row>
    <row r="115" spans="11:25" x14ac:dyDescent="0.25">
      <c r="K115" s="75" t="s">
        <v>8060</v>
      </c>
      <c r="L115" s="75" t="s">
        <v>394</v>
      </c>
      <c r="M115" t="s">
        <v>8214</v>
      </c>
      <c r="W115" s="75" t="s">
        <v>5333</v>
      </c>
      <c r="X115" s="75" t="s">
        <v>9886</v>
      </c>
      <c r="Y115" t="s">
        <v>10345</v>
      </c>
    </row>
    <row r="116" spans="11:25" x14ac:dyDescent="0.25">
      <c r="K116" s="75" t="s">
        <v>8170</v>
      </c>
      <c r="L116" s="75" t="s">
        <v>5683</v>
      </c>
      <c r="M116" t="s">
        <v>8287</v>
      </c>
      <c r="W116" s="75" t="s">
        <v>6407</v>
      </c>
      <c r="X116" s="75" t="s">
        <v>5714</v>
      </c>
      <c r="Y116" t="s">
        <v>10416</v>
      </c>
    </row>
    <row r="117" spans="11:25" x14ac:dyDescent="0.25">
      <c r="K117" s="75" t="s">
        <v>8014</v>
      </c>
      <c r="L117" s="75" t="s">
        <v>8193</v>
      </c>
      <c r="M117" t="s">
        <v>8254</v>
      </c>
      <c r="W117" s="75" t="s">
        <v>10287</v>
      </c>
      <c r="X117" s="75" t="s">
        <v>3277</v>
      </c>
      <c r="Y117" t="s">
        <v>10521</v>
      </c>
    </row>
    <row r="118" spans="11:25" x14ac:dyDescent="0.25">
      <c r="K118" s="75" t="s">
        <v>8413</v>
      </c>
      <c r="L118" s="75" t="s">
        <v>299</v>
      </c>
      <c r="M118" t="s">
        <v>8461</v>
      </c>
      <c r="W118" s="75" t="s">
        <v>10376</v>
      </c>
      <c r="X118" s="75" t="s">
        <v>3277</v>
      </c>
      <c r="Y118" t="s">
        <v>10522</v>
      </c>
    </row>
    <row r="119" spans="11:25" x14ac:dyDescent="0.25">
      <c r="K119" s="74" t="s">
        <v>7910</v>
      </c>
      <c r="L119" s="74" t="s">
        <v>5767</v>
      </c>
      <c r="M119" t="s">
        <v>8505</v>
      </c>
      <c r="W119" s="75" t="s">
        <v>9718</v>
      </c>
      <c r="X119" s="216" t="s">
        <v>10087</v>
      </c>
      <c r="Y119" t="s">
        <v>10523</v>
      </c>
    </row>
    <row r="120" spans="11:25" x14ac:dyDescent="0.25">
      <c r="K120" s="75" t="s">
        <v>8496</v>
      </c>
      <c r="L120" s="75" t="s">
        <v>299</v>
      </c>
      <c r="M120" t="s">
        <v>8577</v>
      </c>
      <c r="W120" s="75" t="s">
        <v>10180</v>
      </c>
      <c r="X120" s="75" t="s">
        <v>9348</v>
      </c>
      <c r="Y120" t="s">
        <v>10616</v>
      </c>
    </row>
    <row r="121" spans="11:25" x14ac:dyDescent="0.25">
      <c r="K121" s="75" t="s">
        <v>8578</v>
      </c>
      <c r="L121" s="75" t="s">
        <v>299</v>
      </c>
      <c r="M121" t="s">
        <v>8596</v>
      </c>
      <c r="W121" s="75" t="s">
        <v>9996</v>
      </c>
      <c r="X121" s="75" t="s">
        <v>9455</v>
      </c>
      <c r="Y121" t="s">
        <v>11271</v>
      </c>
    </row>
    <row r="122" spans="11:25" x14ac:dyDescent="0.25">
      <c r="K122" s="74" t="s">
        <v>8704</v>
      </c>
      <c r="L122" s="74" t="s">
        <v>5714</v>
      </c>
      <c r="M122" t="s">
        <v>8826</v>
      </c>
      <c r="W122" s="75" t="s">
        <v>10862</v>
      </c>
      <c r="X122" s="75" t="s">
        <v>10885</v>
      </c>
      <c r="Y122" t="s">
        <v>11049</v>
      </c>
    </row>
    <row r="123" spans="11:25" x14ac:dyDescent="0.25">
      <c r="K123" s="74" t="s">
        <v>8719</v>
      </c>
      <c r="L123" s="74" t="s">
        <v>5683</v>
      </c>
      <c r="M123" t="s">
        <v>8840</v>
      </c>
      <c r="W123" s="75" t="s">
        <v>11266</v>
      </c>
      <c r="X123" s="75" t="s">
        <v>10062</v>
      </c>
      <c r="Y123" t="s">
        <v>11278</v>
      </c>
    </row>
    <row r="124" spans="11:25" x14ac:dyDescent="0.25">
      <c r="K124" s="75" t="s">
        <v>8771</v>
      </c>
      <c r="L124" s="75" t="s">
        <v>310</v>
      </c>
      <c r="M124" t="s">
        <v>8938</v>
      </c>
      <c r="W124" s="75" t="s">
        <v>10397</v>
      </c>
      <c r="X124" s="75" t="s">
        <v>10062</v>
      </c>
      <c r="Y124" t="s">
        <v>11025</v>
      </c>
    </row>
    <row r="125" spans="11:25" x14ac:dyDescent="0.25">
      <c r="K125" s="74" t="s">
        <v>8879</v>
      </c>
      <c r="L125" s="74" t="s">
        <v>5715</v>
      </c>
      <c r="M125" t="s">
        <v>8951</v>
      </c>
      <c r="W125" s="75" t="s">
        <v>10670</v>
      </c>
      <c r="X125" s="75" t="s">
        <v>10398</v>
      </c>
      <c r="Y125" t="s">
        <v>11188</v>
      </c>
    </row>
    <row r="126" spans="11:25" x14ac:dyDescent="0.25">
      <c r="K126" s="75" t="s">
        <v>8939</v>
      </c>
      <c r="L126" s="75" t="s">
        <v>310</v>
      </c>
      <c r="M126" t="s">
        <v>9035</v>
      </c>
      <c r="W126" s="75" t="s">
        <v>11104</v>
      </c>
      <c r="X126" s="75" t="s">
        <v>10885</v>
      </c>
      <c r="Y126" t="s">
        <v>11233</v>
      </c>
    </row>
    <row r="127" spans="11:25" x14ac:dyDescent="0.25">
      <c r="K127" s="75" t="s">
        <v>9199</v>
      </c>
      <c r="L127" s="75" t="s">
        <v>5683</v>
      </c>
      <c r="M127" t="s">
        <v>9203</v>
      </c>
      <c r="W127" s="75" t="s">
        <v>10632</v>
      </c>
      <c r="X127" s="75" t="s">
        <v>9348</v>
      </c>
      <c r="Y127" t="s">
        <v>10908</v>
      </c>
    </row>
    <row r="128" spans="11:25" x14ac:dyDescent="0.25">
      <c r="K128" s="74" t="s">
        <v>9298</v>
      </c>
      <c r="L128" s="74" t="s">
        <v>8193</v>
      </c>
      <c r="M128" t="s">
        <v>9299</v>
      </c>
      <c r="W128" s="75" t="s">
        <v>11185</v>
      </c>
      <c r="X128" s="75" t="s">
        <v>329</v>
      </c>
      <c r="Y128" t="s">
        <v>11345</v>
      </c>
    </row>
    <row r="129" spans="11:25" x14ac:dyDescent="0.25">
      <c r="K129" s="75" t="s">
        <v>9117</v>
      </c>
      <c r="L129" s="75" t="s">
        <v>8193</v>
      </c>
      <c r="M129" t="s">
        <v>9224</v>
      </c>
      <c r="W129" s="74" t="s">
        <v>11048</v>
      </c>
      <c r="X129" s="74" t="s">
        <v>9349</v>
      </c>
      <c r="Y129" t="s">
        <v>11301</v>
      </c>
    </row>
    <row r="130" spans="11:25" x14ac:dyDescent="0.25">
      <c r="K130" s="74" t="s">
        <v>9321</v>
      </c>
      <c r="L130" s="74" t="s">
        <v>5713</v>
      </c>
      <c r="M130" t="s">
        <v>9364</v>
      </c>
      <c r="W130" s="75" t="s">
        <v>10396</v>
      </c>
      <c r="X130" s="75" t="s">
        <v>9885</v>
      </c>
      <c r="Y130" t="s">
        <v>10683</v>
      </c>
    </row>
    <row r="131" spans="11:25" x14ac:dyDescent="0.25">
      <c r="K131" s="75" t="s">
        <v>7735</v>
      </c>
      <c r="L131" s="216" t="s">
        <v>7250</v>
      </c>
      <c r="M131" t="s">
        <v>9610</v>
      </c>
      <c r="W131" s="75" t="s">
        <v>11454</v>
      </c>
      <c r="X131" s="75" t="s">
        <v>9455</v>
      </c>
      <c r="Y131" t="s">
        <v>11477</v>
      </c>
    </row>
    <row r="132" spans="11:25" x14ac:dyDescent="0.25">
      <c r="K132" s="75" t="s">
        <v>9989</v>
      </c>
      <c r="L132" s="75" t="s">
        <v>9349</v>
      </c>
      <c r="M132" t="s">
        <v>10091</v>
      </c>
      <c r="W132" s="74" t="s">
        <v>12670</v>
      </c>
      <c r="X132" s="74" t="s">
        <v>11449</v>
      </c>
      <c r="Y132" t="s">
        <v>12703</v>
      </c>
    </row>
    <row r="133" spans="11:25" x14ac:dyDescent="0.25">
      <c r="K133" s="74" t="s">
        <v>10607</v>
      </c>
      <c r="L133" s="74" t="s">
        <v>3277</v>
      </c>
      <c r="M133" t="s">
        <v>10737</v>
      </c>
      <c r="W133" s="75" t="s">
        <v>12704</v>
      </c>
      <c r="X133" s="75" t="s">
        <v>11449</v>
      </c>
      <c r="Y133" t="s">
        <v>12809</v>
      </c>
    </row>
    <row r="134" spans="11:25" x14ac:dyDescent="0.25">
      <c r="K134" s="75" t="s">
        <v>10909</v>
      </c>
      <c r="L134" s="75" t="s">
        <v>9348</v>
      </c>
      <c r="M134" t="s">
        <v>11105</v>
      </c>
      <c r="W134" s="75" t="s">
        <v>13194</v>
      </c>
      <c r="X134" s="75" t="s">
        <v>6216</v>
      </c>
      <c r="Y134" t="s">
        <v>13574</v>
      </c>
    </row>
    <row r="135" spans="11:25" x14ac:dyDescent="0.25">
      <c r="K135" s="75" t="s">
        <v>11351</v>
      </c>
      <c r="L135" s="75" t="s">
        <v>10087</v>
      </c>
      <c r="M135" t="s">
        <v>11502</v>
      </c>
      <c r="W135" s="75" t="s">
        <v>13167</v>
      </c>
      <c r="X135" s="290" t="s">
        <v>6216</v>
      </c>
      <c r="Y135" t="s">
        <v>13396</v>
      </c>
    </row>
    <row r="136" spans="11:25" x14ac:dyDescent="0.25">
      <c r="K136" s="75" t="s">
        <v>10592</v>
      </c>
      <c r="L136" s="75" t="s">
        <v>3277</v>
      </c>
      <c r="M136" t="s">
        <v>11494</v>
      </c>
      <c r="W136" s="75" t="s">
        <v>13575</v>
      </c>
      <c r="X136" s="75" t="s">
        <v>11449</v>
      </c>
      <c r="Y136" t="s">
        <v>13612</v>
      </c>
    </row>
    <row r="137" spans="11:25" x14ac:dyDescent="0.25">
      <c r="K137" s="75" t="s">
        <v>11557</v>
      </c>
      <c r="L137" s="75" t="s">
        <v>10890</v>
      </c>
      <c r="M137" t="s">
        <v>11558</v>
      </c>
      <c r="W137" s="75" t="s">
        <v>13611</v>
      </c>
      <c r="X137" s="290" t="s">
        <v>11449</v>
      </c>
      <c r="Y137" t="s">
        <v>13812</v>
      </c>
    </row>
    <row r="138" spans="11:25" x14ac:dyDescent="0.25">
      <c r="K138" s="75" t="s">
        <v>11559</v>
      </c>
      <c r="L138" s="75" t="s">
        <v>10890</v>
      </c>
      <c r="M138" t="s">
        <v>11561</v>
      </c>
      <c r="W138" s="75" t="s">
        <v>13166</v>
      </c>
      <c r="X138" s="75" t="s">
        <v>6216</v>
      </c>
      <c r="Y138" t="s">
        <v>13395</v>
      </c>
    </row>
    <row r="139" spans="11:25" x14ac:dyDescent="0.25">
      <c r="K139" s="75" t="s">
        <v>11542</v>
      </c>
      <c r="L139" s="75" t="s">
        <v>10890</v>
      </c>
      <c r="M139" t="s">
        <v>11622</v>
      </c>
      <c r="W139" s="75" t="s">
        <v>12307</v>
      </c>
      <c r="X139" s="75" t="s">
        <v>9455</v>
      </c>
      <c r="Y139" t="s">
        <v>12468</v>
      </c>
    </row>
    <row r="140" spans="11:25" x14ac:dyDescent="0.25">
      <c r="K140" s="75" t="s">
        <v>11944</v>
      </c>
      <c r="L140" s="75" t="s">
        <v>11469</v>
      </c>
      <c r="M140" t="s">
        <v>11999</v>
      </c>
      <c r="W140" s="75" t="s">
        <v>13828</v>
      </c>
      <c r="X140" s="75" t="s">
        <v>13829</v>
      </c>
      <c r="Y140" t="s">
        <v>14368</v>
      </c>
    </row>
    <row r="141" spans="11:25" x14ac:dyDescent="0.25">
      <c r="K141" s="75" t="s">
        <v>12149</v>
      </c>
      <c r="L141" s="75" t="s">
        <v>10062</v>
      </c>
      <c r="M141" t="s">
        <v>12517</v>
      </c>
      <c r="W141" s="75" t="s">
        <v>14492</v>
      </c>
      <c r="X141" s="290" t="s">
        <v>6216</v>
      </c>
      <c r="Y141" t="s">
        <v>15209</v>
      </c>
    </row>
    <row r="142" spans="11:25" x14ac:dyDescent="0.25">
      <c r="K142" s="75" t="s">
        <v>12604</v>
      </c>
      <c r="L142" s="75" t="s">
        <v>10062</v>
      </c>
      <c r="M142" t="s">
        <v>12784</v>
      </c>
    </row>
    <row r="186" spans="1:26" s="218" customFormat="1" x14ac:dyDescent="0.25">
      <c r="A186" s="218" t="s">
        <v>3</v>
      </c>
      <c r="B186" s="218">
        <f>COUNTA(B4:B185)-43</f>
        <v>1</v>
      </c>
      <c r="E186" s="218">
        <f>COUNTA(E4:E185)-43</f>
        <v>1</v>
      </c>
      <c r="H186" s="218">
        <f>COUNTA(H4:H185)-44</f>
        <v>1</v>
      </c>
      <c r="K186" s="218">
        <f>COUNTA(K4:K185)-139</f>
        <v>0</v>
      </c>
      <c r="N186" s="218">
        <f>COUNTA(N4:N185)-74</f>
        <v>1</v>
      </c>
      <c r="Q186" s="218">
        <f>COUNTA(Q4:Q185)-46</f>
        <v>0</v>
      </c>
      <c r="T186" s="218">
        <f>COUNTA(T4:T185)-29</f>
        <v>0</v>
      </c>
      <c r="W186" s="218">
        <f>COUNTA(W5:W185)-126</f>
        <v>11</v>
      </c>
      <c r="Z186" s="218">
        <f>SUBTOTAL(9,B186:Y186)</f>
        <v>15</v>
      </c>
    </row>
    <row r="187" spans="1:26" x14ac:dyDescent="0.25">
      <c r="A187" t="s">
        <v>8</v>
      </c>
      <c r="B187" s="75" t="s">
        <v>11456</v>
      </c>
      <c r="C187" s="75" t="s">
        <v>367</v>
      </c>
      <c r="D187" t="s">
        <v>11620</v>
      </c>
      <c r="E187" s="74" t="s">
        <v>11640</v>
      </c>
      <c r="F187" s="74" t="s">
        <v>367</v>
      </c>
      <c r="G187" t="s">
        <v>11670</v>
      </c>
      <c r="H187" s="75" t="s">
        <v>11404</v>
      </c>
      <c r="I187" s="75" t="s">
        <v>10894</v>
      </c>
      <c r="J187" t="s">
        <v>11824</v>
      </c>
      <c r="K187" s="75" t="s">
        <v>10591</v>
      </c>
      <c r="L187" s="75" t="s">
        <v>367</v>
      </c>
      <c r="M187" t="s">
        <v>11455</v>
      </c>
      <c r="N187" s="75" t="s">
        <v>10431</v>
      </c>
      <c r="O187" s="216" t="s">
        <v>10894</v>
      </c>
      <c r="P187" t="s">
        <v>11303</v>
      </c>
      <c r="Q187" s="74" t="s">
        <v>10435</v>
      </c>
      <c r="R187" s="216" t="s">
        <v>10684</v>
      </c>
      <c r="S187" t="s">
        <v>11669</v>
      </c>
      <c r="T187" s="75" t="s">
        <v>10124</v>
      </c>
      <c r="U187" s="75" t="s">
        <v>5706</v>
      </c>
      <c r="V187" t="s">
        <v>10480</v>
      </c>
      <c r="W187" s="75" t="s">
        <v>6923</v>
      </c>
      <c r="X187" s="75" t="s">
        <v>6216</v>
      </c>
      <c r="Y187" t="s">
        <v>13173</v>
      </c>
    </row>
    <row r="188" spans="1:26" x14ac:dyDescent="0.25">
      <c r="B188" s="75" t="s">
        <v>11306</v>
      </c>
      <c r="C188" s="75" t="s">
        <v>10894</v>
      </c>
      <c r="D188" t="s">
        <v>11407</v>
      </c>
      <c r="E188" s="75" t="s">
        <v>11404</v>
      </c>
      <c r="F188" s="75" t="s">
        <v>10894</v>
      </c>
      <c r="G188" t="s">
        <v>11763</v>
      </c>
      <c r="H188" s="75" t="s">
        <v>9950</v>
      </c>
      <c r="I188" s="75" t="s">
        <v>1577</v>
      </c>
      <c r="J188" t="s">
        <v>10701</v>
      </c>
      <c r="K188" s="75" t="s">
        <v>10763</v>
      </c>
      <c r="L188" s="75" t="s">
        <v>367</v>
      </c>
      <c r="M188" t="s">
        <v>11389</v>
      </c>
      <c r="N188" s="74" t="s">
        <v>10629</v>
      </c>
      <c r="O188" s="74" t="s">
        <v>636</v>
      </c>
      <c r="P188" t="s">
        <v>10736</v>
      </c>
      <c r="Q188" s="75" t="s">
        <v>10205</v>
      </c>
      <c r="R188" s="75" t="s">
        <v>5706</v>
      </c>
      <c r="S188" t="s">
        <v>10581</v>
      </c>
      <c r="T188" s="75" t="s">
        <v>10097</v>
      </c>
      <c r="U188" s="75" t="s">
        <v>538</v>
      </c>
      <c r="V188" t="s">
        <v>10167</v>
      </c>
      <c r="W188" s="75" t="s">
        <v>9892</v>
      </c>
      <c r="X188" s="75" t="s">
        <v>511</v>
      </c>
      <c r="Y188" t="s">
        <v>11416</v>
      </c>
    </row>
    <row r="189" spans="1:26" x14ac:dyDescent="0.25">
      <c r="B189" s="75" t="s">
        <v>10252</v>
      </c>
      <c r="C189" s="75" t="s">
        <v>636</v>
      </c>
      <c r="D189" t="s">
        <v>10335</v>
      </c>
      <c r="E189" s="75" t="s">
        <v>10334</v>
      </c>
      <c r="F189" s="75" t="s">
        <v>636</v>
      </c>
      <c r="G189" t="s">
        <v>10442</v>
      </c>
      <c r="H189" s="75" t="s">
        <v>9480</v>
      </c>
      <c r="I189" s="75" t="s">
        <v>551</v>
      </c>
      <c r="J189" t="s">
        <v>10106</v>
      </c>
      <c r="K189" s="75" t="s">
        <v>10532</v>
      </c>
      <c r="L189" s="216" t="s">
        <v>636</v>
      </c>
      <c r="M189" t="s">
        <v>10690</v>
      </c>
      <c r="N189" s="75" t="s">
        <v>10443</v>
      </c>
      <c r="O189" s="75" t="s">
        <v>636</v>
      </c>
      <c r="P189" t="s">
        <v>10587</v>
      </c>
      <c r="Q189" s="75" t="s">
        <v>10003</v>
      </c>
      <c r="R189" s="75" t="s">
        <v>5706</v>
      </c>
      <c r="S189" t="s">
        <v>10056</v>
      </c>
      <c r="T189" s="75" t="s">
        <v>9893</v>
      </c>
      <c r="U189" s="75" t="s">
        <v>5699</v>
      </c>
      <c r="V189" t="s">
        <v>9980</v>
      </c>
      <c r="W189" s="75" t="s">
        <v>10300</v>
      </c>
      <c r="X189" s="75" t="s">
        <v>450</v>
      </c>
      <c r="Y189" t="s">
        <v>10353</v>
      </c>
    </row>
    <row r="190" spans="1:26" x14ac:dyDescent="0.25">
      <c r="B190" s="75" t="s">
        <v>10118</v>
      </c>
      <c r="C190" s="75" t="s">
        <v>5698</v>
      </c>
      <c r="D190" t="s">
        <v>10226</v>
      </c>
      <c r="E190" s="75" t="s">
        <v>10227</v>
      </c>
      <c r="F190" s="75" t="s">
        <v>5698</v>
      </c>
      <c r="G190" t="s">
        <v>10496</v>
      </c>
      <c r="H190" s="75" t="s">
        <v>9471</v>
      </c>
      <c r="I190" s="75" t="s">
        <v>8197</v>
      </c>
      <c r="J190" t="s">
        <v>9667</v>
      </c>
      <c r="K190" s="75" t="s">
        <v>10379</v>
      </c>
      <c r="L190" s="75" t="s">
        <v>8353</v>
      </c>
      <c r="M190" t="s">
        <v>10424</v>
      </c>
      <c r="N190" s="75" t="s">
        <v>4905</v>
      </c>
      <c r="O190" s="75" t="s">
        <v>5707</v>
      </c>
      <c r="P190" t="s">
        <v>9960</v>
      </c>
      <c r="Q190" s="75" t="s">
        <v>9615</v>
      </c>
      <c r="R190" s="75" t="s">
        <v>5698</v>
      </c>
      <c r="S190" t="s">
        <v>9890</v>
      </c>
      <c r="T190" s="75" t="s">
        <v>6807</v>
      </c>
      <c r="U190" s="75" t="s">
        <v>3955</v>
      </c>
      <c r="V190" t="s">
        <v>7287</v>
      </c>
      <c r="W190" s="75" t="s">
        <v>10279</v>
      </c>
      <c r="X190" s="75" t="s">
        <v>5773</v>
      </c>
      <c r="Y190" t="s">
        <v>10313</v>
      </c>
    </row>
    <row r="191" spans="1:26" x14ac:dyDescent="0.25">
      <c r="B191" s="75" t="s">
        <v>9829</v>
      </c>
      <c r="C191" s="75" t="s">
        <v>1577</v>
      </c>
      <c r="D191" t="s">
        <v>9949</v>
      </c>
      <c r="E191" s="75" t="s">
        <v>9950</v>
      </c>
      <c r="F191" s="75" t="s">
        <v>1577</v>
      </c>
      <c r="G191" t="s">
        <v>10382</v>
      </c>
      <c r="H191" s="75" t="s">
        <v>9503</v>
      </c>
      <c r="I191" s="75" t="s">
        <v>5698</v>
      </c>
      <c r="J191" t="s">
        <v>9609</v>
      </c>
      <c r="K191" s="75" t="s">
        <v>9896</v>
      </c>
      <c r="L191" s="75" t="s">
        <v>5698</v>
      </c>
      <c r="M191" t="s">
        <v>10047</v>
      </c>
      <c r="N191" s="75" t="s">
        <v>9787</v>
      </c>
      <c r="O191" s="75" t="s">
        <v>9730</v>
      </c>
      <c r="P191" t="s">
        <v>9859</v>
      </c>
      <c r="Q191" s="75" t="s">
        <v>7743</v>
      </c>
      <c r="R191" s="75" t="s">
        <v>8196</v>
      </c>
      <c r="S191" t="s">
        <v>8932</v>
      </c>
      <c r="T191" s="75" t="s">
        <v>6923</v>
      </c>
      <c r="U191" s="75" t="s">
        <v>1577</v>
      </c>
      <c r="V191" t="s">
        <v>6995</v>
      </c>
      <c r="W191" s="75" t="s">
        <v>1264</v>
      </c>
      <c r="X191" s="75" t="s">
        <v>5699</v>
      </c>
      <c r="Y191" t="s">
        <v>9841</v>
      </c>
    </row>
    <row r="192" spans="1:26" x14ac:dyDescent="0.25">
      <c r="B192" s="75" t="s">
        <v>9653</v>
      </c>
      <c r="C192" s="75" t="s">
        <v>8194</v>
      </c>
      <c r="D192" t="s">
        <v>9756</v>
      </c>
      <c r="E192" s="75" t="s">
        <v>9755</v>
      </c>
      <c r="F192" s="75" t="s">
        <v>10079</v>
      </c>
      <c r="G192" t="s">
        <v>10175</v>
      </c>
      <c r="H192" s="75" t="s">
        <v>8337</v>
      </c>
      <c r="I192" s="75" t="s">
        <v>1577</v>
      </c>
      <c r="J192" t="s">
        <v>9510</v>
      </c>
      <c r="K192" s="75" t="s">
        <v>9842</v>
      </c>
      <c r="L192" s="75" t="s">
        <v>5699</v>
      </c>
      <c r="M192" t="s">
        <v>9881</v>
      </c>
      <c r="N192" s="75" t="s">
        <v>9508</v>
      </c>
      <c r="O192" s="75" t="s">
        <v>1577</v>
      </c>
      <c r="P192" t="s">
        <v>9808</v>
      </c>
      <c r="Q192" s="75" t="s">
        <v>6816</v>
      </c>
      <c r="R192" s="75" t="s">
        <v>1577</v>
      </c>
      <c r="S192" t="s">
        <v>7779</v>
      </c>
      <c r="T192" s="75" t="s">
        <v>6522</v>
      </c>
      <c r="U192" s="75" t="s">
        <v>551</v>
      </c>
      <c r="V192" t="s">
        <v>6862</v>
      </c>
      <c r="W192" s="75" t="s">
        <v>9216</v>
      </c>
      <c r="X192" s="75" t="s">
        <v>5706</v>
      </c>
      <c r="Y192" t="s">
        <v>9529</v>
      </c>
    </row>
    <row r="193" spans="2:25" x14ac:dyDescent="0.25">
      <c r="B193" s="75" t="s">
        <v>8671</v>
      </c>
      <c r="C193" s="75" t="s">
        <v>5698</v>
      </c>
      <c r="D193" t="s">
        <v>9502</v>
      </c>
      <c r="E193" s="75" t="s">
        <v>9480</v>
      </c>
      <c r="F193" s="75" t="s">
        <v>551</v>
      </c>
      <c r="G193" t="s">
        <v>10009</v>
      </c>
      <c r="H193" s="75" t="s">
        <v>9123</v>
      </c>
      <c r="I193" s="75" t="s">
        <v>5698</v>
      </c>
      <c r="J193" t="s">
        <v>9180</v>
      </c>
      <c r="K193" s="75" t="s">
        <v>9316</v>
      </c>
      <c r="L193" s="75" t="s">
        <v>2969</v>
      </c>
      <c r="M193" t="s">
        <v>9641</v>
      </c>
      <c r="N193" s="75" t="s">
        <v>4142</v>
      </c>
      <c r="O193" s="75" t="s">
        <v>538</v>
      </c>
      <c r="P193" t="s">
        <v>9768</v>
      </c>
      <c r="Q193" s="75" t="s">
        <v>6778</v>
      </c>
      <c r="R193" s="75" t="s">
        <v>401</v>
      </c>
      <c r="S193" t="s">
        <v>7328</v>
      </c>
      <c r="T193" s="75" t="s">
        <v>6384</v>
      </c>
      <c r="U193" s="75" t="s">
        <v>3659</v>
      </c>
      <c r="V193" t="s">
        <v>6500</v>
      </c>
      <c r="W193" s="75" t="s">
        <v>9403</v>
      </c>
      <c r="X193" s="75" t="s">
        <v>450</v>
      </c>
      <c r="Y193" t="s">
        <v>9511</v>
      </c>
    </row>
    <row r="194" spans="2:25" x14ac:dyDescent="0.25">
      <c r="B194" s="75" t="s">
        <v>9218</v>
      </c>
      <c r="C194" s="75" t="s">
        <v>551</v>
      </c>
      <c r="D194" t="s">
        <v>9481</v>
      </c>
      <c r="E194" s="75" t="s">
        <v>9471</v>
      </c>
      <c r="F194" s="75" t="s">
        <v>8197</v>
      </c>
      <c r="G194" t="s">
        <v>9617</v>
      </c>
      <c r="H194" s="75" t="s">
        <v>8575</v>
      </c>
      <c r="I194" s="75" t="s">
        <v>1003</v>
      </c>
      <c r="J194" t="s">
        <v>8929</v>
      </c>
      <c r="K194" s="75" t="s">
        <v>9561</v>
      </c>
      <c r="L194" s="75" t="s">
        <v>538</v>
      </c>
      <c r="M194" t="s">
        <v>9661</v>
      </c>
      <c r="N194" s="75" t="s">
        <v>9642</v>
      </c>
      <c r="O194" s="75" t="s">
        <v>9730</v>
      </c>
      <c r="P194" t="s">
        <v>9777</v>
      </c>
      <c r="Q194" s="75" t="s">
        <v>6064</v>
      </c>
      <c r="R194" s="75" t="s">
        <v>554</v>
      </c>
      <c r="S194" t="s">
        <v>6957</v>
      </c>
      <c r="T194" s="75" t="s">
        <v>6105</v>
      </c>
      <c r="U194" s="75" t="s">
        <v>3659</v>
      </c>
      <c r="V194" t="s">
        <v>6312</v>
      </c>
      <c r="W194" s="75" t="s">
        <v>8976</v>
      </c>
      <c r="X194" s="75" t="s">
        <v>1003</v>
      </c>
      <c r="Y194" t="s">
        <v>9230</v>
      </c>
    </row>
    <row r="195" spans="2:25" x14ac:dyDescent="0.25">
      <c r="B195" s="75" t="s">
        <v>9183</v>
      </c>
      <c r="C195" s="75" t="s">
        <v>8194</v>
      </c>
      <c r="D195" t="s">
        <v>9389</v>
      </c>
      <c r="E195" s="75" t="s">
        <v>9351</v>
      </c>
      <c r="F195" s="75" t="s">
        <v>1577</v>
      </c>
      <c r="G195" t="s">
        <v>9315</v>
      </c>
      <c r="H195" s="75" t="s">
        <v>8312</v>
      </c>
      <c r="I195" s="75" t="s">
        <v>636</v>
      </c>
      <c r="J195" t="s">
        <v>8665</v>
      </c>
      <c r="K195" s="74" t="s">
        <v>8906</v>
      </c>
      <c r="L195" s="74" t="s">
        <v>2969</v>
      </c>
      <c r="M195" t="s">
        <v>9119</v>
      </c>
      <c r="N195" s="75" t="s">
        <v>5727</v>
      </c>
      <c r="O195" s="75" t="s">
        <v>450</v>
      </c>
      <c r="P195" t="s">
        <v>9703</v>
      </c>
      <c r="Q195" s="75" t="s">
        <v>5295</v>
      </c>
      <c r="R195" s="75" t="s">
        <v>5698</v>
      </c>
      <c r="S195" t="s">
        <v>6685</v>
      </c>
      <c r="T195" s="75" t="s">
        <v>6062</v>
      </c>
      <c r="U195" s="75" t="s">
        <v>5706</v>
      </c>
      <c r="V195" t="s">
        <v>6108</v>
      </c>
      <c r="W195" s="75" t="s">
        <v>8227</v>
      </c>
      <c r="X195" s="75" t="s">
        <v>5706</v>
      </c>
      <c r="Y195" t="s">
        <v>9181</v>
      </c>
    </row>
    <row r="196" spans="2:25" x14ac:dyDescent="0.25">
      <c r="B196" s="75" t="s">
        <v>7078</v>
      </c>
      <c r="C196" s="216" t="s">
        <v>5698</v>
      </c>
      <c r="D196" t="s">
        <v>9040</v>
      </c>
      <c r="E196" s="75" t="s">
        <v>8677</v>
      </c>
      <c r="F196" s="75" t="s">
        <v>8198</v>
      </c>
      <c r="G196" t="s">
        <v>9067</v>
      </c>
      <c r="H196" s="75" t="s">
        <v>8058</v>
      </c>
      <c r="I196" s="75" t="s">
        <v>8194</v>
      </c>
      <c r="J196" t="s">
        <v>8417</v>
      </c>
      <c r="K196" s="74" t="s">
        <v>4120</v>
      </c>
      <c r="L196" s="216" t="s">
        <v>8197</v>
      </c>
      <c r="M196" t="s">
        <v>9039</v>
      </c>
      <c r="N196" s="75" t="s">
        <v>9112</v>
      </c>
      <c r="O196" s="75" t="s">
        <v>2969</v>
      </c>
      <c r="P196" t="s">
        <v>9507</v>
      </c>
      <c r="Q196" s="75" t="s">
        <v>4877</v>
      </c>
      <c r="R196" s="75" t="s">
        <v>1744</v>
      </c>
      <c r="S196" t="s">
        <v>5426</v>
      </c>
      <c r="T196" s="75" t="s">
        <v>3809</v>
      </c>
      <c r="U196" s="75" t="s">
        <v>3781</v>
      </c>
      <c r="V196" t="s">
        <v>3843</v>
      </c>
      <c r="W196" s="75" t="s">
        <v>8109</v>
      </c>
      <c r="X196" s="216" t="s">
        <v>8803</v>
      </c>
      <c r="Y196" t="s">
        <v>9021</v>
      </c>
    </row>
    <row r="197" spans="2:25" x14ac:dyDescent="0.25">
      <c r="B197" s="75" t="s">
        <v>8548</v>
      </c>
      <c r="C197" s="75" t="s">
        <v>8198</v>
      </c>
      <c r="D197" t="s">
        <v>8678</v>
      </c>
      <c r="E197" s="75" t="s">
        <v>8312</v>
      </c>
      <c r="F197" s="216" t="s">
        <v>636</v>
      </c>
      <c r="G197" t="s">
        <v>8610</v>
      </c>
      <c r="H197" s="75" t="s">
        <v>7481</v>
      </c>
      <c r="I197" s="75" t="s">
        <v>8197</v>
      </c>
      <c r="J197" t="s">
        <v>8225</v>
      </c>
      <c r="K197" s="75" t="s">
        <v>8751</v>
      </c>
      <c r="L197" s="75" t="s">
        <v>8195</v>
      </c>
      <c r="M197" t="s">
        <v>8909</v>
      </c>
      <c r="N197" s="75" t="s">
        <v>9112</v>
      </c>
      <c r="O197" s="75" t="s">
        <v>2969</v>
      </c>
      <c r="P197" t="s">
        <v>9194</v>
      </c>
      <c r="Q197" s="75" t="s">
        <v>4187</v>
      </c>
      <c r="R197" s="75" t="s">
        <v>655</v>
      </c>
      <c r="S197" t="s">
        <v>4429</v>
      </c>
      <c r="T197" s="75" t="s">
        <v>2582</v>
      </c>
      <c r="U197" s="75" t="s">
        <v>322</v>
      </c>
      <c r="V197" t="s">
        <v>3782</v>
      </c>
      <c r="W197" s="75" t="s">
        <v>7522</v>
      </c>
      <c r="X197" s="75" t="s">
        <v>484</v>
      </c>
      <c r="Y197" t="s">
        <v>8164</v>
      </c>
    </row>
    <row r="198" spans="2:25" x14ac:dyDescent="0.25">
      <c r="B198" s="75" t="s">
        <v>8446</v>
      </c>
      <c r="C198" s="75" t="s">
        <v>1003</v>
      </c>
      <c r="D198" t="s">
        <v>8576</v>
      </c>
      <c r="E198" s="75" t="s">
        <v>8267</v>
      </c>
      <c r="F198" s="75" t="s">
        <v>5698</v>
      </c>
      <c r="G198" t="s">
        <v>8608</v>
      </c>
      <c r="H198" s="75" t="s">
        <v>7480</v>
      </c>
      <c r="I198" s="75" t="s">
        <v>387</v>
      </c>
      <c r="J198" t="s">
        <v>8020</v>
      </c>
      <c r="K198" s="75" t="s">
        <v>7457</v>
      </c>
      <c r="L198" s="75" t="s">
        <v>5698</v>
      </c>
      <c r="M198" t="s">
        <v>8822</v>
      </c>
      <c r="N198" s="75" t="s">
        <v>8891</v>
      </c>
      <c r="O198" s="75" t="s">
        <v>8195</v>
      </c>
      <c r="P198" t="s">
        <v>9038</v>
      </c>
      <c r="Q198" s="75" t="s">
        <v>4187</v>
      </c>
      <c r="R198" s="75" t="s">
        <v>655</v>
      </c>
      <c r="S198" t="s">
        <v>4429</v>
      </c>
      <c r="T198" s="75" t="s">
        <v>2926</v>
      </c>
      <c r="U198" s="75" t="s">
        <v>480</v>
      </c>
      <c r="V198" t="s">
        <v>3432</v>
      </c>
      <c r="W198" s="75" t="s">
        <v>7610</v>
      </c>
      <c r="X198" s="75" t="s">
        <v>7517</v>
      </c>
      <c r="Y198" t="s">
        <v>7839</v>
      </c>
    </row>
    <row r="199" spans="2:25" x14ac:dyDescent="0.25">
      <c r="B199" s="75" t="s">
        <v>8144</v>
      </c>
      <c r="C199" s="75" t="s">
        <v>1577</v>
      </c>
      <c r="D199" t="s">
        <v>8342</v>
      </c>
      <c r="E199" s="75" t="s">
        <v>8058</v>
      </c>
      <c r="F199" s="75" t="s">
        <v>8194</v>
      </c>
      <c r="G199" t="s">
        <v>8393</v>
      </c>
      <c r="H199" s="75" t="s">
        <v>7127</v>
      </c>
      <c r="I199" s="75" t="s">
        <v>450</v>
      </c>
      <c r="J199" t="s">
        <v>8005</v>
      </c>
      <c r="K199" s="75" t="s">
        <v>8071</v>
      </c>
      <c r="L199" s="75" t="s">
        <v>8195</v>
      </c>
      <c r="M199" t="s">
        <v>8738</v>
      </c>
      <c r="N199" s="75" t="s">
        <v>809</v>
      </c>
      <c r="O199" s="75" t="s">
        <v>2969</v>
      </c>
      <c r="P199" t="s">
        <v>8935</v>
      </c>
      <c r="Q199" s="75" t="s">
        <v>4014</v>
      </c>
      <c r="R199" s="75" t="s">
        <v>2969</v>
      </c>
      <c r="S199" t="s">
        <v>4403</v>
      </c>
      <c r="T199" s="75" t="s">
        <v>1264</v>
      </c>
      <c r="U199" s="75" t="s">
        <v>511</v>
      </c>
      <c r="V199" t="s">
        <v>2553</v>
      </c>
      <c r="W199" s="75" t="s">
        <v>7347</v>
      </c>
      <c r="X199" s="75" t="s">
        <v>401</v>
      </c>
      <c r="Y199" t="s">
        <v>7466</v>
      </c>
    </row>
    <row r="200" spans="2:25" x14ac:dyDescent="0.25">
      <c r="B200" s="75" t="s">
        <v>8050</v>
      </c>
      <c r="C200" s="75" t="s">
        <v>5698</v>
      </c>
      <c r="D200" t="s">
        <v>8266</v>
      </c>
      <c r="E200" s="75" t="s">
        <v>7641</v>
      </c>
      <c r="F200" s="75" t="s">
        <v>5698</v>
      </c>
      <c r="G200" t="s">
        <v>8018</v>
      </c>
      <c r="H200" s="75" t="s">
        <v>6614</v>
      </c>
      <c r="I200" s="75" t="s">
        <v>7390</v>
      </c>
      <c r="J200" t="s">
        <v>7942</v>
      </c>
      <c r="K200" s="75" t="s">
        <v>8369</v>
      </c>
      <c r="L200" s="75" t="s">
        <v>8198</v>
      </c>
      <c r="M200" t="s">
        <v>8513</v>
      </c>
      <c r="N200" s="75" t="s">
        <v>6018</v>
      </c>
      <c r="O200" s="75" t="s">
        <v>8195</v>
      </c>
      <c r="P200" t="s">
        <v>8862</v>
      </c>
      <c r="Q200" s="75" t="s">
        <v>3439</v>
      </c>
      <c r="R200" s="75" t="s">
        <v>3659</v>
      </c>
      <c r="S200" t="s">
        <v>4234</v>
      </c>
      <c r="T200" s="75" t="s">
        <v>837</v>
      </c>
      <c r="U200" s="75" t="s">
        <v>320</v>
      </c>
      <c r="V200" t="s">
        <v>1398</v>
      </c>
      <c r="W200" s="75" t="s">
        <v>7305</v>
      </c>
      <c r="X200" s="75" t="s">
        <v>5698</v>
      </c>
      <c r="Y200" t="s">
        <v>7367</v>
      </c>
    </row>
    <row r="201" spans="2:25" x14ac:dyDescent="0.25">
      <c r="B201" s="75" t="s">
        <v>7928</v>
      </c>
      <c r="C201" s="75" t="s">
        <v>7390</v>
      </c>
      <c r="D201" t="s">
        <v>8057</v>
      </c>
      <c r="E201" s="75" t="s">
        <v>7481</v>
      </c>
      <c r="F201" s="75" t="s">
        <v>7289</v>
      </c>
      <c r="G201" t="s">
        <v>8006</v>
      </c>
      <c r="H201" s="75" t="s">
        <v>6937</v>
      </c>
      <c r="I201" s="75" t="s">
        <v>484</v>
      </c>
      <c r="J201" t="s">
        <v>7525</v>
      </c>
      <c r="K201" s="75" t="s">
        <v>8368</v>
      </c>
      <c r="L201" s="75" t="s">
        <v>8197</v>
      </c>
      <c r="M201" t="s">
        <v>8481</v>
      </c>
      <c r="N201" s="75" t="s">
        <v>8636</v>
      </c>
      <c r="O201" s="75" t="s">
        <v>3955</v>
      </c>
      <c r="P201" t="s">
        <v>8760</v>
      </c>
      <c r="Q201" s="75" t="s">
        <v>3038</v>
      </c>
      <c r="R201" s="75" t="s">
        <v>3407</v>
      </c>
      <c r="S201" t="s">
        <v>3818</v>
      </c>
      <c r="T201" s="75" t="s">
        <v>822</v>
      </c>
      <c r="U201" s="75" t="s">
        <v>631</v>
      </c>
      <c r="V201" t="s">
        <v>1413</v>
      </c>
      <c r="W201" s="75" t="s">
        <v>6859</v>
      </c>
      <c r="X201" s="75" t="s">
        <v>5801</v>
      </c>
      <c r="Y201" t="s">
        <v>7176</v>
      </c>
    </row>
    <row r="202" spans="2:25" x14ac:dyDescent="0.25">
      <c r="B202" s="75" t="s">
        <v>7912</v>
      </c>
      <c r="C202" s="75" t="s">
        <v>5707</v>
      </c>
      <c r="D202" t="s">
        <v>8052</v>
      </c>
      <c r="E202" s="75" t="s">
        <v>7480</v>
      </c>
      <c r="F202" s="75" t="s">
        <v>387</v>
      </c>
      <c r="G202" t="s">
        <v>7870</v>
      </c>
      <c r="H202" s="75" t="s">
        <v>7188</v>
      </c>
      <c r="I202" s="75" t="s">
        <v>538</v>
      </c>
      <c r="J202" t="s">
        <v>7389</v>
      </c>
      <c r="K202" s="75" t="s">
        <v>7972</v>
      </c>
      <c r="L202" s="75" t="s">
        <v>8198</v>
      </c>
      <c r="M202" t="s">
        <v>8377</v>
      </c>
      <c r="N202" s="75" t="s">
        <v>8341</v>
      </c>
      <c r="O202" s="75" t="s">
        <v>8195</v>
      </c>
      <c r="P202" t="s">
        <v>8679</v>
      </c>
      <c r="Q202" s="75" t="s">
        <v>1345</v>
      </c>
      <c r="R202" s="75" t="s">
        <v>585</v>
      </c>
      <c r="S202" t="s">
        <v>2478</v>
      </c>
      <c r="T202" s="75" t="s">
        <v>1145</v>
      </c>
      <c r="U202" s="75" t="s">
        <v>684</v>
      </c>
      <c r="V202" t="s">
        <v>2007</v>
      </c>
      <c r="W202" s="75" t="s">
        <v>6924</v>
      </c>
      <c r="X202" s="75" t="s">
        <v>2969</v>
      </c>
      <c r="Y202" t="s">
        <v>7141</v>
      </c>
    </row>
    <row r="203" spans="2:25" x14ac:dyDescent="0.25">
      <c r="B203" s="75" t="s">
        <v>7291</v>
      </c>
      <c r="C203" s="75" t="s">
        <v>7289</v>
      </c>
      <c r="D203" t="s">
        <v>7482</v>
      </c>
      <c r="E203" s="75" t="s">
        <v>7127</v>
      </c>
      <c r="F203" s="75" t="s">
        <v>450</v>
      </c>
      <c r="G203" t="s">
        <v>7869</v>
      </c>
      <c r="H203" s="75" t="s">
        <v>6457</v>
      </c>
      <c r="I203" s="75" t="s">
        <v>387</v>
      </c>
      <c r="J203" t="s">
        <v>7059</v>
      </c>
      <c r="K203" s="75" t="s">
        <v>8270</v>
      </c>
      <c r="L203" s="75" t="s">
        <v>3955</v>
      </c>
      <c r="M203" t="s">
        <v>8269</v>
      </c>
      <c r="N203" s="75" t="s">
        <v>8544</v>
      </c>
      <c r="O203" s="75" t="s">
        <v>8371</v>
      </c>
      <c r="P203" t="s">
        <v>8668</v>
      </c>
      <c r="Q203" s="75" t="s">
        <v>1175</v>
      </c>
      <c r="R203" s="75" t="s">
        <v>321</v>
      </c>
      <c r="S203" t="s">
        <v>1645</v>
      </c>
      <c r="T203" s="75" t="s">
        <v>1119</v>
      </c>
      <c r="U203" s="75" t="s">
        <v>1052</v>
      </c>
      <c r="V203" t="s">
        <v>1414</v>
      </c>
      <c r="W203" s="75" t="s">
        <v>6683</v>
      </c>
      <c r="X203" s="75" t="s">
        <v>2969</v>
      </c>
      <c r="Y203" t="s">
        <v>6880</v>
      </c>
    </row>
    <row r="204" spans="2:25" x14ac:dyDescent="0.25">
      <c r="B204" s="75" t="s">
        <v>7282</v>
      </c>
      <c r="C204" s="75" t="s">
        <v>387</v>
      </c>
      <c r="D204" t="s">
        <v>7479</v>
      </c>
      <c r="E204" s="75" t="s">
        <v>6614</v>
      </c>
      <c r="F204" s="75" t="s">
        <v>7390</v>
      </c>
      <c r="G204" t="s">
        <v>7766</v>
      </c>
      <c r="H204" s="75" t="s">
        <v>6557</v>
      </c>
      <c r="I204" s="75" t="s">
        <v>2969</v>
      </c>
      <c r="J204" t="s">
        <v>6698</v>
      </c>
      <c r="K204" s="75" t="s">
        <v>7531</v>
      </c>
      <c r="L204" s="75" t="s">
        <v>5707</v>
      </c>
      <c r="M204" t="s">
        <v>7838</v>
      </c>
      <c r="N204" s="75" t="s">
        <v>3745</v>
      </c>
      <c r="O204" s="75" t="s">
        <v>8196</v>
      </c>
      <c r="P204" t="s">
        <v>8468</v>
      </c>
      <c r="Q204" s="75" t="s">
        <v>871</v>
      </c>
      <c r="R204" s="75" t="s">
        <v>329</v>
      </c>
      <c r="S204" t="s">
        <v>2001</v>
      </c>
      <c r="T204" s="75" t="s">
        <v>1415</v>
      </c>
      <c r="U204" s="75" t="s">
        <v>325</v>
      </c>
      <c r="V204" t="s">
        <v>1416</v>
      </c>
      <c r="W204" s="75" t="s">
        <v>6175</v>
      </c>
      <c r="X204" s="75" t="s">
        <v>5707</v>
      </c>
      <c r="Y204" t="s">
        <v>6784</v>
      </c>
    </row>
    <row r="205" spans="2:25" x14ac:dyDescent="0.25">
      <c r="B205" s="75" t="s">
        <v>7193</v>
      </c>
      <c r="C205" s="75" t="s">
        <v>7390</v>
      </c>
      <c r="D205" t="s">
        <v>7392</v>
      </c>
      <c r="E205" s="75" t="s">
        <v>7391</v>
      </c>
      <c r="F205" s="75" t="s">
        <v>7390</v>
      </c>
      <c r="G205" t="s">
        <v>7718</v>
      </c>
      <c r="H205" s="75" t="s">
        <v>6308</v>
      </c>
      <c r="I205" s="75" t="s">
        <v>1577</v>
      </c>
      <c r="J205" t="s">
        <v>6640</v>
      </c>
      <c r="K205" s="75" t="s">
        <v>3783</v>
      </c>
      <c r="L205" s="75" t="s">
        <v>538</v>
      </c>
      <c r="M205" t="s">
        <v>7836</v>
      </c>
      <c r="N205" s="75" t="s">
        <v>8376</v>
      </c>
      <c r="O205" s="75" t="s">
        <v>8353</v>
      </c>
      <c r="P205" t="s">
        <v>8467</v>
      </c>
      <c r="Q205" s="74" t="s">
        <v>702</v>
      </c>
      <c r="R205" s="74" t="s">
        <v>329</v>
      </c>
      <c r="S205" t="s">
        <v>2002</v>
      </c>
      <c r="T205" s="75" t="s">
        <v>837</v>
      </c>
      <c r="U205" s="75" t="s">
        <v>1615</v>
      </c>
      <c r="V205" t="s">
        <v>1800</v>
      </c>
      <c r="W205" s="75" t="s">
        <v>4434</v>
      </c>
      <c r="X205" s="75" t="s">
        <v>401</v>
      </c>
      <c r="Y205" t="s">
        <v>6434</v>
      </c>
    </row>
    <row r="206" spans="2:25" x14ac:dyDescent="0.25">
      <c r="B206" s="75" t="s">
        <v>7078</v>
      </c>
      <c r="C206" s="75" t="s">
        <v>5698</v>
      </c>
      <c r="D206" t="s">
        <v>7272</v>
      </c>
      <c r="E206" s="75" t="s">
        <v>6308</v>
      </c>
      <c r="F206" s="75" t="s">
        <v>1577</v>
      </c>
      <c r="G206" t="s">
        <v>6581</v>
      </c>
      <c r="H206" s="75" t="s">
        <v>5104</v>
      </c>
      <c r="I206" s="75" t="s">
        <v>484</v>
      </c>
      <c r="J206" t="s">
        <v>6437</v>
      </c>
      <c r="K206" s="75" t="s">
        <v>9509</v>
      </c>
      <c r="L206" s="75" t="s">
        <v>3955</v>
      </c>
      <c r="M206" t="s">
        <v>7436</v>
      </c>
      <c r="N206" s="75" t="s">
        <v>8258</v>
      </c>
      <c r="O206" s="216" t="s">
        <v>450</v>
      </c>
      <c r="P206" t="s">
        <v>8388</v>
      </c>
      <c r="Q206" s="74" t="s">
        <v>580</v>
      </c>
      <c r="R206" s="74" t="s">
        <v>515</v>
      </c>
      <c r="S206" t="s">
        <v>1411</v>
      </c>
      <c r="T206" s="75" t="s">
        <v>2672</v>
      </c>
      <c r="U206" s="75" t="s">
        <v>448</v>
      </c>
      <c r="V206" t="s">
        <v>3496</v>
      </c>
      <c r="W206" s="75" t="s">
        <v>5973</v>
      </c>
      <c r="X206" s="75" t="s">
        <v>5698</v>
      </c>
      <c r="Y206" t="s">
        <v>6265</v>
      </c>
    </row>
    <row r="207" spans="2:25" x14ac:dyDescent="0.25">
      <c r="B207" s="75" t="s">
        <v>6713</v>
      </c>
      <c r="C207" s="75" t="s">
        <v>3659</v>
      </c>
      <c r="D207" t="s">
        <v>6998</v>
      </c>
      <c r="E207" s="75" t="s">
        <v>5104</v>
      </c>
      <c r="F207" s="75" t="s">
        <v>484</v>
      </c>
      <c r="G207" t="s">
        <v>6109</v>
      </c>
      <c r="H207" s="75" t="s">
        <v>5504</v>
      </c>
      <c r="I207" s="75" t="s">
        <v>5707</v>
      </c>
      <c r="J207" t="s">
        <v>6326</v>
      </c>
      <c r="K207" s="75" t="s">
        <v>6501</v>
      </c>
      <c r="L207" s="75" t="s">
        <v>7329</v>
      </c>
      <c r="M207" t="s">
        <v>7345</v>
      </c>
      <c r="N207" s="74" t="s">
        <v>7971</v>
      </c>
      <c r="O207" s="74" t="s">
        <v>3955</v>
      </c>
      <c r="P207" t="s">
        <v>8015</v>
      </c>
      <c r="Q207" s="75" t="s">
        <v>794</v>
      </c>
      <c r="R207" s="75" t="s">
        <v>630</v>
      </c>
      <c r="S207" t="s">
        <v>2003</v>
      </c>
      <c r="T207" s="75" t="s">
        <v>2909</v>
      </c>
      <c r="U207" s="75" t="s">
        <v>448</v>
      </c>
      <c r="V207" t="s">
        <v>3489</v>
      </c>
      <c r="W207" s="75" t="s">
        <v>5342</v>
      </c>
      <c r="X207" s="75" t="s">
        <v>4804</v>
      </c>
      <c r="Y207" t="s">
        <v>5922</v>
      </c>
    </row>
    <row r="208" spans="2:25" x14ac:dyDescent="0.25">
      <c r="B208" s="75" t="s">
        <v>6658</v>
      </c>
      <c r="C208" s="75" t="s">
        <v>484</v>
      </c>
      <c r="D208" t="s">
        <v>6999</v>
      </c>
      <c r="E208" s="75" t="s">
        <v>5212</v>
      </c>
      <c r="F208" s="75" t="s">
        <v>401</v>
      </c>
      <c r="G208" t="s">
        <v>5997</v>
      </c>
      <c r="H208" s="75" t="s">
        <v>5212</v>
      </c>
      <c r="I208" s="75" t="s">
        <v>401</v>
      </c>
      <c r="J208" t="s">
        <v>6059</v>
      </c>
      <c r="K208" s="75" t="s">
        <v>6984</v>
      </c>
      <c r="L208" s="75" t="s">
        <v>554</v>
      </c>
      <c r="M208" t="s">
        <v>7288</v>
      </c>
      <c r="N208" s="75" t="s">
        <v>4427</v>
      </c>
      <c r="O208" s="75" t="s">
        <v>7517</v>
      </c>
      <c r="P208" t="s">
        <v>7639</v>
      </c>
      <c r="Q208" s="75" t="s">
        <v>840</v>
      </c>
      <c r="R208" s="75" t="s">
        <v>329</v>
      </c>
      <c r="S208" t="s">
        <v>2004</v>
      </c>
      <c r="T208" s="75" t="s">
        <v>6461</v>
      </c>
      <c r="U208" s="75" t="s">
        <v>5707</v>
      </c>
      <c r="V208" t="s">
        <v>6597</v>
      </c>
      <c r="W208" s="75" t="s">
        <v>2863</v>
      </c>
      <c r="X208" s="75" t="s">
        <v>3659</v>
      </c>
      <c r="Y208" t="s">
        <v>5923</v>
      </c>
    </row>
    <row r="209" spans="2:25" x14ac:dyDescent="0.25">
      <c r="B209" s="75" t="s">
        <v>6641</v>
      </c>
      <c r="C209" s="75" t="s">
        <v>1577</v>
      </c>
      <c r="D209" t="s">
        <v>6752</v>
      </c>
      <c r="E209" s="75" t="s">
        <v>4386</v>
      </c>
      <c r="F209" s="75" t="s">
        <v>1744</v>
      </c>
      <c r="G209" t="s">
        <v>4627</v>
      </c>
      <c r="H209" s="75" t="s">
        <v>5745</v>
      </c>
      <c r="I209" s="75" t="s">
        <v>1577</v>
      </c>
      <c r="J209" t="s">
        <v>11413</v>
      </c>
      <c r="K209" s="75" t="s">
        <v>6650</v>
      </c>
      <c r="L209" s="75" t="s">
        <v>3659</v>
      </c>
      <c r="M209" t="s">
        <v>7084</v>
      </c>
      <c r="N209" s="75" t="s">
        <v>7346</v>
      </c>
      <c r="O209" s="75" t="s">
        <v>7329</v>
      </c>
      <c r="P209" t="s">
        <v>7491</v>
      </c>
      <c r="Q209" s="75" t="s">
        <v>774</v>
      </c>
      <c r="R209" s="75" t="s">
        <v>321</v>
      </c>
      <c r="S209" t="s">
        <v>2005</v>
      </c>
      <c r="T209" s="74" t="s">
        <v>8786</v>
      </c>
      <c r="U209" s="74" t="s">
        <v>8787</v>
      </c>
      <c r="V209" t="s">
        <v>8789</v>
      </c>
      <c r="W209" s="75" t="s">
        <v>1212</v>
      </c>
      <c r="X209" s="75" t="s">
        <v>274</v>
      </c>
      <c r="Y209" t="s">
        <v>5100</v>
      </c>
    </row>
    <row r="210" spans="2:25" x14ac:dyDescent="0.25">
      <c r="B210" s="75" t="s">
        <v>6318</v>
      </c>
      <c r="C210" s="75" t="s">
        <v>5706</v>
      </c>
      <c r="D210" t="s">
        <v>6615</v>
      </c>
      <c r="E210" s="75" t="s">
        <v>4203</v>
      </c>
      <c r="F210" s="75" t="s">
        <v>3245</v>
      </c>
      <c r="G210" t="s">
        <v>4551</v>
      </c>
      <c r="H210" s="75" t="s">
        <v>5728</v>
      </c>
      <c r="I210" s="75" t="s">
        <v>554</v>
      </c>
      <c r="J210" t="s">
        <v>6065</v>
      </c>
      <c r="K210" s="75" t="s">
        <v>6842</v>
      </c>
      <c r="L210" s="75" t="s">
        <v>551</v>
      </c>
      <c r="M210" t="s">
        <v>7064</v>
      </c>
      <c r="N210" s="75" t="s">
        <v>6964</v>
      </c>
      <c r="O210" s="75" t="s">
        <v>3658</v>
      </c>
      <c r="P210" t="s">
        <v>7175</v>
      </c>
      <c r="Q210" s="75" t="s">
        <v>7820</v>
      </c>
      <c r="R210" s="75" t="s">
        <v>904</v>
      </c>
      <c r="S210" t="s">
        <v>1417</v>
      </c>
      <c r="W210" s="75" t="s">
        <v>5054</v>
      </c>
      <c r="X210" s="75" t="s">
        <v>1261</v>
      </c>
      <c r="Y210" t="s">
        <v>5266</v>
      </c>
    </row>
    <row r="211" spans="2:25" x14ac:dyDescent="0.25">
      <c r="B211" s="75" t="s">
        <v>6311</v>
      </c>
      <c r="C211" s="75" t="s">
        <v>450</v>
      </c>
      <c r="D211" t="s">
        <v>6553</v>
      </c>
      <c r="E211" s="75" t="s">
        <v>2904</v>
      </c>
      <c r="F211" s="75" t="s">
        <v>328</v>
      </c>
      <c r="G211" t="s">
        <v>3604</v>
      </c>
      <c r="H211" s="74" t="s">
        <v>4692</v>
      </c>
      <c r="I211" s="74" t="s">
        <v>450</v>
      </c>
      <c r="J211" t="s">
        <v>5355</v>
      </c>
      <c r="K211" s="75" t="s">
        <v>6711</v>
      </c>
      <c r="L211" s="75" t="s">
        <v>401</v>
      </c>
      <c r="M211" t="s">
        <v>6985</v>
      </c>
      <c r="N211" s="75" t="s">
        <v>7031</v>
      </c>
      <c r="O211" s="75" t="s">
        <v>538</v>
      </c>
      <c r="P211" t="s">
        <v>7131</v>
      </c>
      <c r="Q211" s="75" t="s">
        <v>1067</v>
      </c>
      <c r="R211" s="75" t="s">
        <v>329</v>
      </c>
      <c r="S211" t="s">
        <v>1418</v>
      </c>
      <c r="W211" s="75" t="s">
        <v>4533</v>
      </c>
      <c r="X211" s="75" t="s">
        <v>3245</v>
      </c>
      <c r="Y211" t="s">
        <v>4738</v>
      </c>
    </row>
    <row r="212" spans="2:25" x14ac:dyDescent="0.25">
      <c r="B212" s="75" t="s">
        <v>6177</v>
      </c>
      <c r="C212" s="75" t="s">
        <v>387</v>
      </c>
      <c r="D212" t="s">
        <v>6458</v>
      </c>
      <c r="E212" s="75" t="s">
        <v>1708</v>
      </c>
      <c r="F212" s="75" t="s">
        <v>630</v>
      </c>
      <c r="G212" t="s">
        <v>2757</v>
      </c>
      <c r="H212" s="75" t="s">
        <v>4386</v>
      </c>
      <c r="I212" s="75" t="s">
        <v>1744</v>
      </c>
      <c r="J212" t="s">
        <v>5005</v>
      </c>
      <c r="K212" s="75" t="s">
        <v>6779</v>
      </c>
      <c r="L212" s="75" t="s">
        <v>551</v>
      </c>
      <c r="M212" t="s">
        <v>6841</v>
      </c>
      <c r="N212" s="75" t="s">
        <v>6426</v>
      </c>
      <c r="O212" s="75" t="s">
        <v>551</v>
      </c>
      <c r="P212" t="s">
        <v>6507</v>
      </c>
      <c r="Q212" s="75" t="s">
        <v>1316</v>
      </c>
      <c r="R212" s="75" t="s">
        <v>329</v>
      </c>
      <c r="S212" t="s">
        <v>2006</v>
      </c>
      <c r="W212" s="75" t="s">
        <v>3596</v>
      </c>
      <c r="X212" s="75" t="s">
        <v>511</v>
      </c>
      <c r="Y212" t="s">
        <v>4684</v>
      </c>
    </row>
    <row r="213" spans="2:25" x14ac:dyDescent="0.25">
      <c r="B213" s="75" t="s">
        <v>5274</v>
      </c>
      <c r="C213" s="75" t="s">
        <v>5801</v>
      </c>
      <c r="D213" t="s">
        <v>5946</v>
      </c>
      <c r="E213" s="75" t="s">
        <v>1315</v>
      </c>
      <c r="F213" s="75" t="s">
        <v>323</v>
      </c>
      <c r="G213" t="s">
        <v>1969</v>
      </c>
      <c r="H213" s="75" t="s">
        <v>622</v>
      </c>
      <c r="I213" s="75" t="s">
        <v>3920</v>
      </c>
      <c r="J213" t="s">
        <v>4915</v>
      </c>
      <c r="K213" s="75" t="s">
        <v>6780</v>
      </c>
      <c r="L213" s="75" t="s">
        <v>1003</v>
      </c>
      <c r="M213" t="s">
        <v>6813</v>
      </c>
      <c r="N213" s="75" t="s">
        <v>5143</v>
      </c>
      <c r="O213" s="75" t="s">
        <v>5716</v>
      </c>
      <c r="P213" t="s">
        <v>6456</v>
      </c>
      <c r="Q213" s="75" t="s">
        <v>1334</v>
      </c>
      <c r="R213" s="75" t="s">
        <v>329</v>
      </c>
      <c r="S213" t="s">
        <v>1880</v>
      </c>
      <c r="W213" s="75" t="s">
        <v>4033</v>
      </c>
      <c r="X213" s="75" t="s">
        <v>1744</v>
      </c>
      <c r="Y213" t="s">
        <v>4191</v>
      </c>
    </row>
    <row r="214" spans="2:25" x14ac:dyDescent="0.25">
      <c r="B214" s="75" t="s">
        <v>5146</v>
      </c>
      <c r="C214" s="75" t="s">
        <v>2969</v>
      </c>
      <c r="D214" t="s">
        <v>5826</v>
      </c>
      <c r="E214" s="75" t="s">
        <v>241</v>
      </c>
      <c r="F214" s="75" t="s">
        <v>445</v>
      </c>
      <c r="G214" t="s">
        <v>1401</v>
      </c>
      <c r="H214" s="75" t="s">
        <v>912</v>
      </c>
      <c r="I214" s="75" t="s">
        <v>3920</v>
      </c>
      <c r="J214" t="s">
        <v>4799</v>
      </c>
      <c r="K214" s="75" t="s">
        <v>6115</v>
      </c>
      <c r="L214" s="75" t="s">
        <v>5706</v>
      </c>
      <c r="M214" t="s">
        <v>6310</v>
      </c>
      <c r="N214" s="75" t="s">
        <v>5952</v>
      </c>
      <c r="O214" s="75" t="s">
        <v>450</v>
      </c>
      <c r="P214" t="s">
        <v>6892</v>
      </c>
      <c r="Q214" s="75" t="s">
        <v>2878</v>
      </c>
      <c r="R214" s="75" t="s">
        <v>329</v>
      </c>
      <c r="S214" t="s">
        <v>2891</v>
      </c>
      <c r="W214" s="75" t="s">
        <v>2936</v>
      </c>
      <c r="X214" s="75" t="s">
        <v>295</v>
      </c>
      <c r="Y214" t="s">
        <v>4020</v>
      </c>
    </row>
    <row r="215" spans="2:25" x14ac:dyDescent="0.25">
      <c r="B215" s="75" t="s">
        <v>4906</v>
      </c>
      <c r="C215" s="75" t="s">
        <v>3954</v>
      </c>
      <c r="D215" t="s">
        <v>5103</v>
      </c>
      <c r="E215" s="75" t="s">
        <v>1028</v>
      </c>
      <c r="F215" s="75" t="s">
        <v>447</v>
      </c>
      <c r="G215" t="s">
        <v>1404</v>
      </c>
      <c r="H215" s="75" t="s">
        <v>4203</v>
      </c>
      <c r="I215" s="75" t="s">
        <v>3245</v>
      </c>
      <c r="J215" t="s">
        <v>4550</v>
      </c>
      <c r="K215" s="74" t="s">
        <v>6168</v>
      </c>
      <c r="L215" s="74" t="s">
        <v>2969</v>
      </c>
      <c r="M215" t="s">
        <v>6305</v>
      </c>
      <c r="N215" s="75" t="s">
        <v>6152</v>
      </c>
      <c r="O215" s="75" t="s">
        <v>387</v>
      </c>
      <c r="P215" t="s">
        <v>6176</v>
      </c>
      <c r="Q215" s="75" t="s">
        <v>219</v>
      </c>
      <c r="R215" s="75" t="s">
        <v>329</v>
      </c>
      <c r="S215" t="s">
        <v>2893</v>
      </c>
      <c r="W215" s="75" t="s">
        <v>2874</v>
      </c>
      <c r="X215" s="75" t="s">
        <v>2862</v>
      </c>
      <c r="Y215" t="s">
        <v>3495</v>
      </c>
    </row>
    <row r="216" spans="2:25" x14ac:dyDescent="0.25">
      <c r="B216" s="75" t="s">
        <v>4883</v>
      </c>
      <c r="C216" s="75" t="s">
        <v>1744</v>
      </c>
      <c r="D216" t="s">
        <v>5041</v>
      </c>
      <c r="E216" s="75" t="s">
        <v>1068</v>
      </c>
      <c r="F216" s="75" t="s">
        <v>552</v>
      </c>
      <c r="G216" t="s">
        <v>3398</v>
      </c>
      <c r="H216" s="75" t="s">
        <v>2904</v>
      </c>
      <c r="I216" s="75" t="s">
        <v>328</v>
      </c>
      <c r="J216" t="s">
        <v>3761</v>
      </c>
      <c r="K216" s="75" t="s">
        <v>5833</v>
      </c>
      <c r="L216" s="75" t="s">
        <v>5716</v>
      </c>
      <c r="M216" t="s">
        <v>6224</v>
      </c>
      <c r="N216" s="75" t="s">
        <v>5727</v>
      </c>
      <c r="O216" s="75" t="s">
        <v>5706</v>
      </c>
      <c r="P216" t="s">
        <v>5994</v>
      </c>
      <c r="Q216" s="75" t="s">
        <v>2822</v>
      </c>
      <c r="R216" s="75" t="s">
        <v>585</v>
      </c>
      <c r="S216" t="s">
        <v>3142</v>
      </c>
      <c r="W216" s="75" t="s">
        <v>1927</v>
      </c>
      <c r="X216" s="75" t="s">
        <v>323</v>
      </c>
      <c r="Y216" t="s">
        <v>2823</v>
      </c>
    </row>
    <row r="217" spans="2:25" x14ac:dyDescent="0.25">
      <c r="B217" s="75" t="s">
        <v>4459</v>
      </c>
      <c r="C217" s="75" t="s">
        <v>450</v>
      </c>
      <c r="D217" t="s">
        <v>4695</v>
      </c>
      <c r="E217" s="75" t="s">
        <v>835</v>
      </c>
      <c r="F217" s="75" t="s">
        <v>596</v>
      </c>
      <c r="G217" t="s">
        <v>1970</v>
      </c>
      <c r="H217" s="75" t="s">
        <v>2843</v>
      </c>
      <c r="I217" s="75" t="s">
        <v>596</v>
      </c>
      <c r="J217" t="s">
        <v>3592</v>
      </c>
      <c r="K217" s="75" t="s">
        <v>5375</v>
      </c>
      <c r="L217" s="75" t="s">
        <v>387</v>
      </c>
      <c r="M217" t="s">
        <v>5896</v>
      </c>
      <c r="N217" s="75" t="s">
        <v>4818</v>
      </c>
      <c r="O217" s="75" t="s">
        <v>4819</v>
      </c>
      <c r="P217" t="s">
        <v>5159</v>
      </c>
      <c r="Q217" s="75" t="s">
        <v>1310</v>
      </c>
      <c r="R217" s="75" t="s">
        <v>329</v>
      </c>
      <c r="S217" t="s">
        <v>3262</v>
      </c>
      <c r="W217" s="75" t="s">
        <v>995</v>
      </c>
      <c r="X217" s="75" t="s">
        <v>327</v>
      </c>
      <c r="Y217" t="s">
        <v>1637</v>
      </c>
    </row>
    <row r="218" spans="2:25" x14ac:dyDescent="0.25">
      <c r="B218" s="75" t="s">
        <v>4297</v>
      </c>
      <c r="C218" s="75" t="s">
        <v>4009</v>
      </c>
      <c r="D218" t="s">
        <v>4619</v>
      </c>
      <c r="E218" s="75" t="s">
        <v>713</v>
      </c>
      <c r="F218" s="75" t="s">
        <v>381</v>
      </c>
      <c r="G218" t="s">
        <v>1425</v>
      </c>
      <c r="H218" s="75" t="s">
        <v>1708</v>
      </c>
      <c r="I218" s="75" t="s">
        <v>630</v>
      </c>
      <c r="J218" t="s">
        <v>2938</v>
      </c>
      <c r="K218" s="75" t="s">
        <v>4055</v>
      </c>
      <c r="L218" s="75" t="s">
        <v>551</v>
      </c>
      <c r="M218" t="s">
        <v>5267</v>
      </c>
      <c r="N218" s="75" t="s">
        <v>4971</v>
      </c>
      <c r="O218" s="75" t="s">
        <v>4804</v>
      </c>
      <c r="P218" t="s">
        <v>5019</v>
      </c>
      <c r="Q218" s="75" t="s">
        <v>3021</v>
      </c>
      <c r="R218" s="75" t="s">
        <v>329</v>
      </c>
      <c r="S218" t="s">
        <v>3265</v>
      </c>
      <c r="W218" s="75" t="s">
        <v>607</v>
      </c>
      <c r="X218" s="75" t="s">
        <v>334</v>
      </c>
      <c r="Y218" t="s">
        <v>2008</v>
      </c>
    </row>
    <row r="219" spans="2:25" x14ac:dyDescent="0.25">
      <c r="B219" s="75" t="s">
        <v>4214</v>
      </c>
      <c r="C219" s="75" t="s">
        <v>3245</v>
      </c>
      <c r="D219" t="s">
        <v>4186</v>
      </c>
      <c r="E219" s="75" t="s">
        <v>1057</v>
      </c>
      <c r="F219" s="75" t="s">
        <v>585</v>
      </c>
      <c r="G219" t="s">
        <v>1971</v>
      </c>
      <c r="H219" s="75" t="s">
        <v>1315</v>
      </c>
      <c r="I219" s="75" t="s">
        <v>323</v>
      </c>
      <c r="J219" t="s">
        <v>1972</v>
      </c>
      <c r="K219" s="75" t="s">
        <v>3819</v>
      </c>
      <c r="L219" s="75" t="s">
        <v>3245</v>
      </c>
      <c r="M219" t="s">
        <v>5255</v>
      </c>
      <c r="N219" s="75" t="s">
        <v>4562</v>
      </c>
      <c r="O219" s="75" t="s">
        <v>3659</v>
      </c>
      <c r="P219" t="s">
        <v>4975</v>
      </c>
      <c r="Q219" s="75" t="s">
        <v>2729</v>
      </c>
      <c r="R219" s="75" t="s">
        <v>3001</v>
      </c>
      <c r="S219" t="s">
        <v>3497</v>
      </c>
      <c r="W219" s="75" t="s">
        <v>1117</v>
      </c>
      <c r="X219" s="75" t="s">
        <v>631</v>
      </c>
      <c r="Y219" t="s">
        <v>2009</v>
      </c>
    </row>
    <row r="220" spans="2:25" x14ac:dyDescent="0.25">
      <c r="B220" s="75" t="s">
        <v>3079</v>
      </c>
      <c r="C220" s="75" t="s">
        <v>325</v>
      </c>
      <c r="D220" t="s">
        <v>3221</v>
      </c>
      <c r="E220" s="75" t="s">
        <v>912</v>
      </c>
      <c r="F220" s="75" t="s">
        <v>631</v>
      </c>
      <c r="G220" t="s">
        <v>1428</v>
      </c>
      <c r="H220" s="75" t="s">
        <v>1335</v>
      </c>
      <c r="I220" s="75" t="s">
        <v>328</v>
      </c>
      <c r="J220" t="s">
        <v>1862</v>
      </c>
      <c r="K220" s="75" t="s">
        <v>4792</v>
      </c>
      <c r="L220" s="75" t="s">
        <v>3837</v>
      </c>
      <c r="M220" t="s">
        <v>4958</v>
      </c>
      <c r="N220" s="75" t="s">
        <v>4491</v>
      </c>
      <c r="O220" s="75" t="s">
        <v>4260</v>
      </c>
      <c r="P220" t="s">
        <v>4739</v>
      </c>
      <c r="Q220" s="75" t="s">
        <v>892</v>
      </c>
      <c r="R220" s="75" t="s">
        <v>630</v>
      </c>
      <c r="S220" t="s">
        <v>3368</v>
      </c>
      <c r="W220" s="75" t="s">
        <v>707</v>
      </c>
      <c r="X220" s="75" t="s">
        <v>904</v>
      </c>
      <c r="Y220" t="s">
        <v>2010</v>
      </c>
    </row>
    <row r="221" spans="2:25" x14ac:dyDescent="0.25">
      <c r="B221" s="75" t="s">
        <v>1798</v>
      </c>
      <c r="C221" s="75" t="s">
        <v>324</v>
      </c>
      <c r="D221" t="s">
        <v>3124</v>
      </c>
      <c r="E221" s="75" t="s">
        <v>263</v>
      </c>
      <c r="F221" s="75" t="s">
        <v>326</v>
      </c>
      <c r="G221" t="s">
        <v>1671</v>
      </c>
      <c r="H221" s="75" t="s">
        <v>263</v>
      </c>
      <c r="I221" s="75" t="s">
        <v>326</v>
      </c>
      <c r="J221" t="s">
        <v>1823</v>
      </c>
      <c r="K221" s="74" t="s">
        <v>4532</v>
      </c>
      <c r="L221" s="74" t="s">
        <v>655</v>
      </c>
      <c r="M221" t="s">
        <v>4822</v>
      </c>
      <c r="N221" s="75" t="s">
        <v>4427</v>
      </c>
      <c r="O221" s="75" t="s">
        <v>274</v>
      </c>
      <c r="P221" t="s">
        <v>4555</v>
      </c>
      <c r="Q221" s="75" t="s">
        <v>680</v>
      </c>
      <c r="R221" s="75" t="s">
        <v>3002</v>
      </c>
      <c r="S221" t="s">
        <v>3446</v>
      </c>
      <c r="W221" s="75" t="s">
        <v>778</v>
      </c>
      <c r="X221" s="75" t="s">
        <v>326</v>
      </c>
      <c r="Y221" t="s">
        <v>2011</v>
      </c>
    </row>
    <row r="222" spans="2:25" x14ac:dyDescent="0.25">
      <c r="B222" s="75" t="s">
        <v>2662</v>
      </c>
      <c r="C222" s="75" t="s">
        <v>328</v>
      </c>
      <c r="D222" t="s">
        <v>2903</v>
      </c>
      <c r="E222" s="75" t="s">
        <v>1335</v>
      </c>
      <c r="F222" s="75" t="s">
        <v>328</v>
      </c>
      <c r="G222" t="s">
        <v>1799</v>
      </c>
      <c r="H222" s="75" t="s">
        <v>1028</v>
      </c>
      <c r="I222" s="75" t="s">
        <v>447</v>
      </c>
      <c r="J222" t="s">
        <v>1394</v>
      </c>
      <c r="K222" s="75" t="s">
        <v>4239</v>
      </c>
      <c r="L222" s="75" t="s">
        <v>3659</v>
      </c>
      <c r="M222" t="s">
        <v>4342</v>
      </c>
      <c r="N222" s="75" t="s">
        <v>4142</v>
      </c>
      <c r="O222" s="75" t="s">
        <v>1410</v>
      </c>
      <c r="P222" t="s">
        <v>4525</v>
      </c>
      <c r="Q222" s="75" t="s">
        <v>3329</v>
      </c>
      <c r="R222" s="75" t="s">
        <v>329</v>
      </c>
      <c r="S222" t="s">
        <v>3637</v>
      </c>
      <c r="W222" s="75" t="s">
        <v>442</v>
      </c>
      <c r="X222" s="75" t="s">
        <v>332</v>
      </c>
      <c r="Y222" t="s">
        <v>2012</v>
      </c>
    </row>
    <row r="223" spans="2:25" x14ac:dyDescent="0.25">
      <c r="B223" s="75" t="s">
        <v>1798</v>
      </c>
      <c r="C223" s="75" t="s">
        <v>324</v>
      </c>
      <c r="D223" t="s">
        <v>2441</v>
      </c>
      <c r="E223" s="75" t="s">
        <v>2440</v>
      </c>
      <c r="F223" s="75" t="s">
        <v>324</v>
      </c>
      <c r="G223" t="s">
        <v>2560</v>
      </c>
      <c r="H223" s="75" t="s">
        <v>713</v>
      </c>
      <c r="I223" s="75" t="s">
        <v>381</v>
      </c>
      <c r="J223" t="s">
        <v>1396</v>
      </c>
      <c r="K223" s="75" t="s">
        <v>1044</v>
      </c>
      <c r="L223" s="75" t="s">
        <v>3658</v>
      </c>
      <c r="M223" t="s">
        <v>3766</v>
      </c>
      <c r="N223" s="75" t="s">
        <v>4219</v>
      </c>
      <c r="O223" s="75" t="s">
        <v>4009</v>
      </c>
      <c r="P223" t="s">
        <v>4505</v>
      </c>
      <c r="Q223" s="75" t="s">
        <v>3137</v>
      </c>
      <c r="R223" s="75" t="s">
        <v>585</v>
      </c>
      <c r="S223" t="s">
        <v>3638</v>
      </c>
      <c r="W223" s="75" t="s">
        <v>586</v>
      </c>
      <c r="X223" s="75" t="s">
        <v>446</v>
      </c>
      <c r="Y223" t="s">
        <v>2013</v>
      </c>
    </row>
    <row r="224" spans="2:25" x14ac:dyDescent="0.25">
      <c r="B224" s="75" t="s">
        <v>1609</v>
      </c>
      <c r="C224" s="75" t="s">
        <v>630</v>
      </c>
      <c r="D224" t="s">
        <v>1963</v>
      </c>
      <c r="E224" s="75" t="s">
        <v>2844</v>
      </c>
      <c r="F224" s="75" t="s">
        <v>3000</v>
      </c>
      <c r="G224" t="s">
        <v>3313</v>
      </c>
      <c r="H224" s="75" t="s">
        <v>1057</v>
      </c>
      <c r="I224" s="75" t="s">
        <v>585</v>
      </c>
      <c r="J224" t="s">
        <v>1973</v>
      </c>
      <c r="K224" s="75" t="s">
        <v>2433</v>
      </c>
      <c r="L224" s="75" t="s">
        <v>326</v>
      </c>
      <c r="M224" t="s">
        <v>2746</v>
      </c>
      <c r="N224" s="75" t="s">
        <v>598</v>
      </c>
      <c r="O224" s="216" t="s">
        <v>1744</v>
      </c>
      <c r="P224" t="s">
        <v>4026</v>
      </c>
      <c r="Q224" s="75" t="s">
        <v>3653</v>
      </c>
      <c r="R224" s="75" t="s">
        <v>1744</v>
      </c>
      <c r="S224" t="s">
        <v>4100</v>
      </c>
      <c r="W224" s="75" t="s">
        <v>755</v>
      </c>
      <c r="X224" s="75" t="s">
        <v>322</v>
      </c>
      <c r="Y224" t="s">
        <v>1419</v>
      </c>
    </row>
    <row r="225" spans="2:25" x14ac:dyDescent="0.25">
      <c r="B225" s="75" t="s">
        <v>227</v>
      </c>
      <c r="C225" s="75" t="s">
        <v>445</v>
      </c>
      <c r="D225" t="s">
        <v>1395</v>
      </c>
      <c r="E225" s="75" t="s">
        <v>3222</v>
      </c>
      <c r="F225" s="75" t="s">
        <v>325</v>
      </c>
      <c r="G225" t="s">
        <v>3415</v>
      </c>
      <c r="H225" s="75" t="s">
        <v>718</v>
      </c>
      <c r="I225" s="75" t="s">
        <v>334</v>
      </c>
      <c r="J225" t="s">
        <v>1974</v>
      </c>
      <c r="K225" s="75" t="s">
        <v>136</v>
      </c>
      <c r="L225" s="75" t="s">
        <v>1656</v>
      </c>
      <c r="M225" t="s">
        <v>2455</v>
      </c>
      <c r="N225" s="75" t="s">
        <v>2581</v>
      </c>
      <c r="O225" s="75" t="s">
        <v>2610</v>
      </c>
      <c r="P225" t="s">
        <v>2621</v>
      </c>
      <c r="Q225" s="75" t="s">
        <v>4119</v>
      </c>
      <c r="R225" s="75" t="s">
        <v>1744</v>
      </c>
      <c r="S225" t="s">
        <v>4387</v>
      </c>
      <c r="W225" s="75" t="s">
        <v>708</v>
      </c>
      <c r="X225" s="75" t="s">
        <v>328</v>
      </c>
      <c r="Y225" t="s">
        <v>2014</v>
      </c>
    </row>
    <row r="226" spans="2:25" x14ac:dyDescent="0.25">
      <c r="B226" s="75" t="s">
        <v>261</v>
      </c>
      <c r="C226" s="75" t="s">
        <v>326</v>
      </c>
      <c r="D226" t="s">
        <v>1399</v>
      </c>
      <c r="E226" s="75" t="s">
        <v>2843</v>
      </c>
      <c r="F226" s="75" t="s">
        <v>596</v>
      </c>
      <c r="G226" t="s">
        <v>3382</v>
      </c>
      <c r="H226" s="75" t="s">
        <v>244</v>
      </c>
      <c r="I226" s="75" t="s">
        <v>585</v>
      </c>
      <c r="J226" t="s">
        <v>1430</v>
      </c>
      <c r="K226" s="75" t="s">
        <v>1610</v>
      </c>
      <c r="L226" s="75" t="s">
        <v>447</v>
      </c>
      <c r="M226" t="s">
        <v>1977</v>
      </c>
      <c r="N226" s="75" t="s">
        <v>2947</v>
      </c>
      <c r="O226" s="75" t="s">
        <v>325</v>
      </c>
      <c r="P226" t="s">
        <v>3424</v>
      </c>
      <c r="Q226" s="75" t="s">
        <v>4903</v>
      </c>
      <c r="R226" s="75" t="s">
        <v>401</v>
      </c>
      <c r="S226" t="s">
        <v>5136</v>
      </c>
      <c r="W226" s="75" t="s">
        <v>701</v>
      </c>
      <c r="X226" s="75" t="s">
        <v>327</v>
      </c>
      <c r="Y226" t="s">
        <v>2015</v>
      </c>
    </row>
    <row r="227" spans="2:25" x14ac:dyDescent="0.25">
      <c r="B227" s="75" t="s">
        <v>614</v>
      </c>
      <c r="C227" s="75" t="s">
        <v>324</v>
      </c>
      <c r="D227" t="s">
        <v>1403</v>
      </c>
      <c r="E227" s="75" t="s">
        <v>2440</v>
      </c>
      <c r="F227" s="75" t="s">
        <v>324</v>
      </c>
      <c r="G227" t="s">
        <v>3379</v>
      </c>
      <c r="H227" s="75" t="s">
        <v>712</v>
      </c>
      <c r="I227" s="75" t="s">
        <v>659</v>
      </c>
      <c r="J227" t="s">
        <v>1975</v>
      </c>
      <c r="K227" s="75" t="s">
        <v>1346</v>
      </c>
      <c r="L227" s="75" t="s">
        <v>587</v>
      </c>
      <c r="M227" t="s">
        <v>1978</v>
      </c>
      <c r="N227" s="75" t="s">
        <v>2443</v>
      </c>
      <c r="O227" s="75" t="s">
        <v>1678</v>
      </c>
      <c r="P227" t="s">
        <v>2660</v>
      </c>
      <c r="Q227" s="75" t="s">
        <v>4876</v>
      </c>
      <c r="R227" s="75" t="s">
        <v>387</v>
      </c>
      <c r="S227" t="s">
        <v>5366</v>
      </c>
      <c r="W227" s="75" t="s">
        <v>620</v>
      </c>
      <c r="X227" s="75" t="s">
        <v>448</v>
      </c>
      <c r="Y227" t="s">
        <v>2016</v>
      </c>
    </row>
    <row r="228" spans="2:25" x14ac:dyDescent="0.25">
      <c r="B228" s="75" t="s">
        <v>817</v>
      </c>
      <c r="C228" s="75" t="s">
        <v>631</v>
      </c>
      <c r="D228" t="s">
        <v>1426</v>
      </c>
      <c r="E228" s="75" t="s">
        <v>4692</v>
      </c>
      <c r="F228" s="75" t="s">
        <v>450</v>
      </c>
      <c r="G228" t="s">
        <v>5081</v>
      </c>
      <c r="H228" s="75" t="s">
        <v>835</v>
      </c>
      <c r="I228" s="75" t="s">
        <v>596</v>
      </c>
      <c r="J228" t="s">
        <v>1976</v>
      </c>
      <c r="K228" s="75" t="s">
        <v>1205</v>
      </c>
      <c r="L228" s="75" t="s">
        <v>322</v>
      </c>
      <c r="M228" t="s">
        <v>1685</v>
      </c>
      <c r="N228" s="75" t="s">
        <v>1688</v>
      </c>
      <c r="O228" s="75" t="s">
        <v>596</v>
      </c>
      <c r="P228" t="s">
        <v>2456</v>
      </c>
      <c r="Q228" s="75" t="s">
        <v>6247</v>
      </c>
      <c r="R228" s="75" t="s">
        <v>5801</v>
      </c>
      <c r="S228" t="s">
        <v>6755</v>
      </c>
      <c r="W228" s="75" t="s">
        <v>756</v>
      </c>
      <c r="X228" s="75" t="s">
        <v>487</v>
      </c>
      <c r="Y228" t="s">
        <v>2017</v>
      </c>
    </row>
    <row r="229" spans="2:25" x14ac:dyDescent="0.25">
      <c r="B229" s="75" t="s">
        <v>1427</v>
      </c>
      <c r="C229" s="75" t="s">
        <v>552</v>
      </c>
      <c r="D229" t="s">
        <v>1964</v>
      </c>
      <c r="E229" s="75" t="s">
        <v>4840</v>
      </c>
      <c r="F229" s="75" t="s">
        <v>4260</v>
      </c>
      <c r="G229" t="s">
        <v>4910</v>
      </c>
      <c r="H229" s="75" t="s">
        <v>2844</v>
      </c>
      <c r="I229" s="75" t="s">
        <v>3000</v>
      </c>
      <c r="J229" t="s">
        <v>3438</v>
      </c>
      <c r="K229" s="75" t="s">
        <v>578</v>
      </c>
      <c r="L229" s="75" t="s">
        <v>1052</v>
      </c>
      <c r="M229" t="s">
        <v>1400</v>
      </c>
      <c r="N229" s="75" t="s">
        <v>1679</v>
      </c>
      <c r="O229" s="75" t="s">
        <v>1678</v>
      </c>
      <c r="P229" t="s">
        <v>2420</v>
      </c>
      <c r="Q229" s="75" t="s">
        <v>7152</v>
      </c>
      <c r="R229" s="75" t="s">
        <v>5707</v>
      </c>
      <c r="S229" t="s">
        <v>7498</v>
      </c>
      <c r="W229" s="75" t="s">
        <v>893</v>
      </c>
      <c r="X229" s="75" t="s">
        <v>325</v>
      </c>
      <c r="Y229" t="s">
        <v>2018</v>
      </c>
    </row>
    <row r="230" spans="2:25" x14ac:dyDescent="0.25">
      <c r="B230" s="75" t="s">
        <v>911</v>
      </c>
      <c r="C230" s="75" t="s">
        <v>447</v>
      </c>
      <c r="D230" t="s">
        <v>1965</v>
      </c>
      <c r="E230" s="75" t="s">
        <v>5040</v>
      </c>
      <c r="F230" s="75" t="s">
        <v>1744</v>
      </c>
      <c r="G230" t="s">
        <v>5173</v>
      </c>
      <c r="H230" s="75" t="s">
        <v>2440</v>
      </c>
      <c r="I230" s="75" t="s">
        <v>324</v>
      </c>
      <c r="J230" t="s">
        <v>3498</v>
      </c>
      <c r="K230" s="75" t="s">
        <v>1069</v>
      </c>
      <c r="L230" s="75" t="s">
        <v>684</v>
      </c>
      <c r="M230" t="s">
        <v>1979</v>
      </c>
      <c r="N230" s="75" t="s">
        <v>1344</v>
      </c>
      <c r="O230" s="75" t="s">
        <v>1268</v>
      </c>
      <c r="P230" t="s">
        <v>1793</v>
      </c>
      <c r="Q230" s="75" t="s">
        <v>7442</v>
      </c>
      <c r="R230" s="75" t="s">
        <v>3955</v>
      </c>
      <c r="S230" t="s">
        <v>7621</v>
      </c>
      <c r="W230" s="75" t="s">
        <v>1420</v>
      </c>
      <c r="X230" s="75" t="s">
        <v>320</v>
      </c>
      <c r="Y230" t="s">
        <v>2019</v>
      </c>
    </row>
    <row r="231" spans="2:25" x14ac:dyDescent="0.25">
      <c r="B231" s="75" t="s">
        <v>1015</v>
      </c>
      <c r="C231" s="75" t="s">
        <v>585</v>
      </c>
      <c r="D231" t="s">
        <v>1966</v>
      </c>
      <c r="E231" s="75" t="s">
        <v>5206</v>
      </c>
      <c r="F231" s="75" t="s">
        <v>5706</v>
      </c>
      <c r="G231" t="s">
        <v>7703</v>
      </c>
      <c r="H231" s="75" t="s">
        <v>3222</v>
      </c>
      <c r="I231" s="75" t="s">
        <v>325</v>
      </c>
      <c r="J231" t="s">
        <v>3513</v>
      </c>
      <c r="K231" s="75" t="s">
        <v>949</v>
      </c>
      <c r="L231" s="75" t="s">
        <v>585</v>
      </c>
      <c r="M231" t="s">
        <v>1405</v>
      </c>
      <c r="N231" s="75" t="s">
        <v>1285</v>
      </c>
      <c r="O231" s="75" t="s">
        <v>631</v>
      </c>
      <c r="P231" t="s">
        <v>1397</v>
      </c>
      <c r="Q231" s="75" t="s">
        <v>6064</v>
      </c>
      <c r="R231" s="75" t="s">
        <v>538</v>
      </c>
      <c r="S231" t="s">
        <v>10073</v>
      </c>
      <c r="W231" s="75" t="s">
        <v>1041</v>
      </c>
      <c r="X231" s="75" t="s">
        <v>596</v>
      </c>
      <c r="Y231" t="s">
        <v>1421</v>
      </c>
    </row>
    <row r="232" spans="2:25" x14ac:dyDescent="0.25">
      <c r="B232" s="75" t="s">
        <v>1040</v>
      </c>
      <c r="C232" s="75" t="s">
        <v>514</v>
      </c>
      <c r="D232" t="s">
        <v>1967</v>
      </c>
      <c r="E232" s="75" t="s">
        <v>5504</v>
      </c>
      <c r="F232" s="75" t="s">
        <v>5707</v>
      </c>
      <c r="G232" t="s">
        <v>6039</v>
      </c>
      <c r="H232" s="75" t="s">
        <v>4594</v>
      </c>
      <c r="I232" s="75" t="s">
        <v>362</v>
      </c>
      <c r="J232" t="s">
        <v>4745</v>
      </c>
      <c r="K232" s="75" t="s">
        <v>578</v>
      </c>
      <c r="L232" s="75" t="s">
        <v>447</v>
      </c>
      <c r="M232" t="s">
        <v>1980</v>
      </c>
      <c r="N232" s="75" t="s">
        <v>1092</v>
      </c>
      <c r="O232" s="75" t="s">
        <v>487</v>
      </c>
      <c r="P232" t="s">
        <v>1993</v>
      </c>
      <c r="Q232" s="75" t="s">
        <v>10049</v>
      </c>
      <c r="R232" s="75" t="s">
        <v>5706</v>
      </c>
      <c r="S232" t="s">
        <v>10201</v>
      </c>
      <c r="W232" s="75" t="s">
        <v>1122</v>
      </c>
      <c r="X232" s="75" t="s">
        <v>324</v>
      </c>
      <c r="Y232" t="s">
        <v>2020</v>
      </c>
    </row>
    <row r="233" spans="2:25" x14ac:dyDescent="0.25">
      <c r="B233" s="75" t="s">
        <v>1199</v>
      </c>
      <c r="C233" s="75" t="s">
        <v>323</v>
      </c>
      <c r="D233" t="s">
        <v>1429</v>
      </c>
      <c r="E233" s="75" t="s">
        <v>5810</v>
      </c>
      <c r="F233" s="75" t="s">
        <v>2969</v>
      </c>
      <c r="G233" t="s">
        <v>6041</v>
      </c>
      <c r="H233" s="75" t="s">
        <v>5040</v>
      </c>
      <c r="I233" s="75" t="s">
        <v>1744</v>
      </c>
      <c r="J233" t="s">
        <v>5265</v>
      </c>
      <c r="K233" s="75" t="s">
        <v>825</v>
      </c>
      <c r="L233" s="75" t="s">
        <v>324</v>
      </c>
      <c r="M233" t="s">
        <v>1408</v>
      </c>
      <c r="N233" s="75" t="s">
        <v>1065</v>
      </c>
      <c r="O233" s="75" t="s">
        <v>631</v>
      </c>
      <c r="P233" t="s">
        <v>1402</v>
      </c>
      <c r="Q233" s="75" t="s">
        <v>10219</v>
      </c>
      <c r="R233" s="75" t="s">
        <v>5707</v>
      </c>
      <c r="S233" t="s">
        <v>10364</v>
      </c>
      <c r="W233" s="75" t="s">
        <v>1059</v>
      </c>
      <c r="X233" s="75" t="s">
        <v>445</v>
      </c>
      <c r="Y233" t="s">
        <v>1422</v>
      </c>
    </row>
    <row r="234" spans="2:25" x14ac:dyDescent="0.25">
      <c r="B234" s="75" t="s">
        <v>1191</v>
      </c>
      <c r="C234" s="75" t="s">
        <v>328</v>
      </c>
      <c r="D234" t="s">
        <v>1968</v>
      </c>
      <c r="E234" s="75" t="s">
        <v>5941</v>
      </c>
      <c r="F234" s="75" t="s">
        <v>5801</v>
      </c>
      <c r="G234" t="s">
        <v>6056</v>
      </c>
      <c r="H234" s="75" t="s">
        <v>4840</v>
      </c>
      <c r="I234" s="75" t="s">
        <v>4260</v>
      </c>
      <c r="J234" t="s">
        <v>5290</v>
      </c>
      <c r="K234" s="75" t="s">
        <v>879</v>
      </c>
      <c r="L234" s="75" t="s">
        <v>447</v>
      </c>
      <c r="M234" t="s">
        <v>1432</v>
      </c>
      <c r="N234" s="75" t="s">
        <v>1066</v>
      </c>
      <c r="O234" s="75" t="s">
        <v>514</v>
      </c>
      <c r="P234" t="s">
        <v>1406</v>
      </c>
      <c r="W234" s="75" t="s">
        <v>1078</v>
      </c>
      <c r="X234" s="75" t="s">
        <v>1052</v>
      </c>
      <c r="Y234" t="s">
        <v>2021</v>
      </c>
    </row>
    <row r="235" spans="2:25" x14ac:dyDescent="0.25">
      <c r="B235" s="75" t="s">
        <v>1797</v>
      </c>
      <c r="C235" s="75" t="s">
        <v>447</v>
      </c>
      <c r="D235" t="s">
        <v>2851</v>
      </c>
      <c r="E235" s="75" t="s">
        <v>4620</v>
      </c>
      <c r="F235" s="75" t="s">
        <v>551</v>
      </c>
      <c r="G235" t="s">
        <v>6103</v>
      </c>
      <c r="H235" s="75" t="s">
        <v>5810</v>
      </c>
      <c r="I235" s="75" t="s">
        <v>2969</v>
      </c>
      <c r="J235" t="s">
        <v>6159</v>
      </c>
      <c r="K235" s="75" t="s">
        <v>850</v>
      </c>
      <c r="L235" s="75" t="s">
        <v>322</v>
      </c>
      <c r="M235" t="s">
        <v>1981</v>
      </c>
      <c r="N235" s="74" t="s">
        <v>991</v>
      </c>
      <c r="O235" s="74" t="s">
        <v>940</v>
      </c>
      <c r="P235" t="s">
        <v>1407</v>
      </c>
      <c r="W235" s="75" t="s">
        <v>1269</v>
      </c>
      <c r="X235" s="75" t="s">
        <v>445</v>
      </c>
      <c r="Y235" t="s">
        <v>1423</v>
      </c>
    </row>
    <row r="236" spans="2:25" x14ac:dyDescent="0.25">
      <c r="B236" s="75" t="s">
        <v>2474</v>
      </c>
      <c r="C236" s="75" t="s">
        <v>596</v>
      </c>
      <c r="D236" t="s">
        <v>2875</v>
      </c>
      <c r="E236" s="75" t="s">
        <v>6557</v>
      </c>
      <c r="F236" s="75" t="s">
        <v>2969</v>
      </c>
      <c r="G236" t="s">
        <v>6644</v>
      </c>
      <c r="H236" s="75" t="s">
        <v>5941</v>
      </c>
      <c r="I236" s="75" t="s">
        <v>5801</v>
      </c>
      <c r="J236" t="s">
        <v>6264</v>
      </c>
      <c r="K236" s="75" t="s">
        <v>986</v>
      </c>
      <c r="L236" s="75" t="s">
        <v>585</v>
      </c>
      <c r="M236" t="s">
        <v>1982</v>
      </c>
      <c r="N236" s="75" t="s">
        <v>809</v>
      </c>
      <c r="O236" s="75" t="s">
        <v>587</v>
      </c>
      <c r="P236" t="s">
        <v>1409</v>
      </c>
      <c r="W236" s="75" t="s">
        <v>1222</v>
      </c>
      <c r="X236" s="75" t="s">
        <v>596</v>
      </c>
      <c r="Y236" t="s">
        <v>1424</v>
      </c>
    </row>
    <row r="237" spans="2:25" x14ac:dyDescent="0.25">
      <c r="B237" s="75" t="s">
        <v>2499</v>
      </c>
      <c r="C237" s="75" t="s">
        <v>1656</v>
      </c>
      <c r="D237" t="s">
        <v>3338</v>
      </c>
      <c r="E237" s="75" t="s">
        <v>6457</v>
      </c>
      <c r="F237" s="75" t="s">
        <v>387</v>
      </c>
      <c r="G237" t="s">
        <v>6781</v>
      </c>
      <c r="H237" s="75" t="s">
        <v>4620</v>
      </c>
      <c r="I237" s="75" t="s">
        <v>551</v>
      </c>
      <c r="J237" t="s">
        <v>6313</v>
      </c>
      <c r="K237" s="75" t="s">
        <v>999</v>
      </c>
      <c r="L237" s="75" t="s">
        <v>552</v>
      </c>
      <c r="M237" t="s">
        <v>1983</v>
      </c>
      <c r="N237" s="75" t="s">
        <v>853</v>
      </c>
      <c r="O237" s="75" t="s">
        <v>324</v>
      </c>
      <c r="P237" t="s">
        <v>1438</v>
      </c>
      <c r="W237" s="75" t="s">
        <v>1286</v>
      </c>
      <c r="X237" s="75" t="s">
        <v>904</v>
      </c>
      <c r="Y237" t="s">
        <v>2022</v>
      </c>
    </row>
    <row r="238" spans="2:25" x14ac:dyDescent="0.25">
      <c r="B238" s="75" t="s">
        <v>4148</v>
      </c>
      <c r="C238" s="75" t="s">
        <v>1744</v>
      </c>
      <c r="D238" t="s">
        <v>4385</v>
      </c>
      <c r="E238" s="75" t="s">
        <v>6554</v>
      </c>
      <c r="F238" s="75" t="s">
        <v>450</v>
      </c>
      <c r="G238" t="s">
        <v>6788</v>
      </c>
      <c r="H238" s="74" t="s">
        <v>6751</v>
      </c>
      <c r="I238" s="74" t="s">
        <v>1577</v>
      </c>
      <c r="J238" t="s">
        <v>6962</v>
      </c>
      <c r="K238" s="75" t="s">
        <v>976</v>
      </c>
      <c r="L238" s="75" t="s">
        <v>328</v>
      </c>
      <c r="M238" t="s">
        <v>1984</v>
      </c>
      <c r="N238" s="75" t="s">
        <v>851</v>
      </c>
      <c r="O238" s="75" t="s">
        <v>585</v>
      </c>
      <c r="P238" t="s">
        <v>1994</v>
      </c>
      <c r="W238" s="75" t="s">
        <v>1332</v>
      </c>
      <c r="X238" s="75" t="s">
        <v>1331</v>
      </c>
      <c r="Y238" t="s">
        <v>1627</v>
      </c>
    </row>
    <row r="239" spans="2:25" x14ac:dyDescent="0.25">
      <c r="B239" s="75" t="s">
        <v>4755</v>
      </c>
      <c r="C239" s="75" t="s">
        <v>4260</v>
      </c>
      <c r="D239" t="s">
        <v>4841</v>
      </c>
      <c r="E239" s="75" t="s">
        <v>6751</v>
      </c>
      <c r="F239" s="75" t="s">
        <v>1577</v>
      </c>
      <c r="G239" t="s">
        <v>6820</v>
      </c>
      <c r="H239" s="75" t="s">
        <v>6554</v>
      </c>
      <c r="I239" s="75" t="s">
        <v>450</v>
      </c>
      <c r="J239" t="s">
        <v>6963</v>
      </c>
      <c r="K239" s="75" t="s">
        <v>1058</v>
      </c>
      <c r="L239" s="75" t="s">
        <v>552</v>
      </c>
      <c r="M239" t="s">
        <v>1985</v>
      </c>
      <c r="N239" s="75" t="s">
        <v>894</v>
      </c>
      <c r="O239" s="75" t="s">
        <v>940</v>
      </c>
      <c r="P239" t="s">
        <v>1995</v>
      </c>
      <c r="W239" s="75" t="s">
        <v>1247</v>
      </c>
      <c r="X239" s="75" t="s">
        <v>324</v>
      </c>
      <c r="Y239" t="s">
        <v>2454</v>
      </c>
    </row>
    <row r="240" spans="2:25" x14ac:dyDescent="0.25">
      <c r="B240" s="75" t="s">
        <v>5254</v>
      </c>
      <c r="C240" s="75" t="s">
        <v>551</v>
      </c>
      <c r="D240" t="s">
        <v>5729</v>
      </c>
      <c r="E240" s="75" t="s">
        <v>7000</v>
      </c>
      <c r="F240" s="75" t="s">
        <v>3659</v>
      </c>
      <c r="G240" t="s">
        <v>7233</v>
      </c>
      <c r="H240" s="75" t="s">
        <v>7641</v>
      </c>
      <c r="I240" s="75" t="s">
        <v>5698</v>
      </c>
      <c r="J240" t="s">
        <v>8049</v>
      </c>
      <c r="K240" s="75" t="s">
        <v>137</v>
      </c>
      <c r="L240" s="75" t="s">
        <v>334</v>
      </c>
      <c r="M240" t="s">
        <v>1433</v>
      </c>
      <c r="N240" s="75" t="s">
        <v>985</v>
      </c>
      <c r="O240" s="75" t="s">
        <v>320</v>
      </c>
      <c r="P240" t="s">
        <v>1439</v>
      </c>
      <c r="W240" s="75" t="s">
        <v>1790</v>
      </c>
      <c r="X240" s="75" t="s">
        <v>1052</v>
      </c>
      <c r="Y240" t="s">
        <v>2554</v>
      </c>
    </row>
    <row r="241" spans="2:25" x14ac:dyDescent="0.25">
      <c r="B241" s="75" t="s">
        <v>5298</v>
      </c>
      <c r="C241" s="75" t="s">
        <v>551</v>
      </c>
      <c r="D241" t="s">
        <v>5744</v>
      </c>
      <c r="E241" s="75" t="s">
        <v>7188</v>
      </c>
      <c r="F241" s="75" t="s">
        <v>538</v>
      </c>
      <c r="G241" t="s">
        <v>7295</v>
      </c>
      <c r="H241" s="75" t="s">
        <v>8677</v>
      </c>
      <c r="I241" s="75" t="s">
        <v>8198</v>
      </c>
      <c r="J241" t="s">
        <v>9146</v>
      </c>
      <c r="K241" s="75" t="s">
        <v>990</v>
      </c>
      <c r="L241" s="75" t="s">
        <v>325</v>
      </c>
      <c r="M241" t="s">
        <v>1986</v>
      </c>
      <c r="N241" s="75" t="s">
        <v>895</v>
      </c>
      <c r="O241" s="75" t="s">
        <v>514</v>
      </c>
      <c r="P241" t="s">
        <v>1440</v>
      </c>
      <c r="W241" s="75" t="s">
        <v>1786</v>
      </c>
      <c r="X241" s="75" t="s">
        <v>1615</v>
      </c>
      <c r="Y241" t="s">
        <v>2654</v>
      </c>
    </row>
    <row r="242" spans="2:25" x14ac:dyDescent="0.25">
      <c r="B242" s="75" t="s">
        <v>4680</v>
      </c>
      <c r="C242" s="75" t="s">
        <v>4009</v>
      </c>
      <c r="D242" t="s">
        <v>5503</v>
      </c>
      <c r="E242" s="75" t="s">
        <v>6937</v>
      </c>
      <c r="F242" s="75" t="s">
        <v>484</v>
      </c>
      <c r="G242" t="s">
        <v>7366</v>
      </c>
      <c r="H242" s="75" t="s">
        <v>10227</v>
      </c>
      <c r="I242" s="75" t="s">
        <v>5698</v>
      </c>
      <c r="J242" t="s">
        <v>10753</v>
      </c>
      <c r="K242" s="75" t="s">
        <v>1011</v>
      </c>
      <c r="L242" s="75" t="s">
        <v>487</v>
      </c>
      <c r="M242" t="s">
        <v>1987</v>
      </c>
      <c r="N242" s="75" t="s">
        <v>139</v>
      </c>
      <c r="O242" s="75" t="s">
        <v>326</v>
      </c>
      <c r="P242" t="s">
        <v>1441</v>
      </c>
      <c r="W242" s="75" t="s">
        <v>212</v>
      </c>
      <c r="X242" s="75" t="s">
        <v>480</v>
      </c>
      <c r="Y242" t="s">
        <v>2655</v>
      </c>
    </row>
    <row r="243" spans="2:25" x14ac:dyDescent="0.25">
      <c r="B243" s="75" t="s">
        <v>6171</v>
      </c>
      <c r="C243" s="75" t="s">
        <v>1577</v>
      </c>
      <c r="D243" t="s">
        <v>6307</v>
      </c>
      <c r="E243" s="75" t="s">
        <v>8053</v>
      </c>
      <c r="F243" s="75" t="s">
        <v>5707</v>
      </c>
      <c r="G243" t="s">
        <v>8101</v>
      </c>
      <c r="K243" s="75" t="s">
        <v>979</v>
      </c>
      <c r="L243" s="75" t="s">
        <v>322</v>
      </c>
      <c r="M243" t="s">
        <v>1988</v>
      </c>
      <c r="N243" s="75" t="s">
        <v>980</v>
      </c>
      <c r="O243" s="75" t="s">
        <v>445</v>
      </c>
      <c r="P243" t="s">
        <v>1996</v>
      </c>
      <c r="W243" s="75" t="s">
        <v>1748</v>
      </c>
      <c r="X243" s="75" t="s">
        <v>1615</v>
      </c>
      <c r="Y243" t="s">
        <v>2892</v>
      </c>
    </row>
    <row r="244" spans="2:25" x14ac:dyDescent="0.25">
      <c r="B244" s="75" t="s">
        <v>6433</v>
      </c>
      <c r="C244" s="75" t="s">
        <v>2969</v>
      </c>
      <c r="D244" t="s">
        <v>6558</v>
      </c>
      <c r="E244" s="75" t="s">
        <v>8575</v>
      </c>
      <c r="F244" s="75" t="s">
        <v>1003</v>
      </c>
      <c r="G244" t="s">
        <v>8817</v>
      </c>
      <c r="K244" s="75" t="s">
        <v>1083</v>
      </c>
      <c r="L244" s="75" t="s">
        <v>904</v>
      </c>
      <c r="M244" t="s">
        <v>1434</v>
      </c>
      <c r="N244" s="75" t="s">
        <v>910</v>
      </c>
      <c r="O244" s="75" t="s">
        <v>587</v>
      </c>
      <c r="P244" t="s">
        <v>1997</v>
      </c>
      <c r="W244" s="75" t="s">
        <v>1902</v>
      </c>
      <c r="X244" s="75" t="s">
        <v>327</v>
      </c>
      <c r="Y244" t="s">
        <v>3017</v>
      </c>
    </row>
    <row r="245" spans="2:25" x14ac:dyDescent="0.25">
      <c r="B245" s="75" t="s">
        <v>6938</v>
      </c>
      <c r="C245" s="75" t="s">
        <v>450</v>
      </c>
      <c r="D245" t="s">
        <v>7126</v>
      </c>
      <c r="E245" s="75" t="s">
        <v>9123</v>
      </c>
      <c r="F245" s="75" t="s">
        <v>5698</v>
      </c>
      <c r="G245" t="s">
        <v>9138</v>
      </c>
      <c r="K245" s="75" t="s">
        <v>1044</v>
      </c>
      <c r="L245" s="75" t="s">
        <v>321</v>
      </c>
      <c r="M245" t="s">
        <v>1989</v>
      </c>
      <c r="N245" s="75" t="s">
        <v>224</v>
      </c>
      <c r="O245" s="75" t="s">
        <v>325</v>
      </c>
      <c r="P245" t="s">
        <v>1442</v>
      </c>
      <c r="W245" s="75" t="s">
        <v>1741</v>
      </c>
      <c r="X245" s="75" t="s">
        <v>2787</v>
      </c>
      <c r="Y245" t="s">
        <v>3018</v>
      </c>
    </row>
    <row r="246" spans="2:25" x14ac:dyDescent="0.25">
      <c r="B246" s="75" t="s">
        <v>7140</v>
      </c>
      <c r="C246" s="75" t="s">
        <v>538</v>
      </c>
      <c r="D246" t="s">
        <v>7187</v>
      </c>
      <c r="E246" s="75" t="s">
        <v>9503</v>
      </c>
      <c r="F246" s="75" t="s">
        <v>5698</v>
      </c>
      <c r="G246" t="s">
        <v>9580</v>
      </c>
      <c r="K246" s="75" t="s">
        <v>1115</v>
      </c>
      <c r="L246" s="75" t="s">
        <v>322</v>
      </c>
      <c r="M246" t="s">
        <v>1990</v>
      </c>
      <c r="N246" s="75" t="s">
        <v>1090</v>
      </c>
      <c r="O246" s="75" t="s">
        <v>596</v>
      </c>
      <c r="P246" t="s">
        <v>1998</v>
      </c>
      <c r="W246" s="75" t="s">
        <v>442</v>
      </c>
      <c r="X246" s="75" t="s">
        <v>448</v>
      </c>
      <c r="Y246" t="s">
        <v>3090</v>
      </c>
    </row>
    <row r="247" spans="2:25" x14ac:dyDescent="0.25">
      <c r="B247" s="75" t="s">
        <v>8179</v>
      </c>
      <c r="C247" s="75" t="s">
        <v>387</v>
      </c>
      <c r="D247" t="s">
        <v>8313</v>
      </c>
      <c r="E247" s="74" t="s">
        <v>9386</v>
      </c>
      <c r="F247" s="75" t="s">
        <v>8194</v>
      </c>
      <c r="G247" t="s">
        <v>9675</v>
      </c>
      <c r="K247" s="75" t="s">
        <v>1072</v>
      </c>
      <c r="L247" s="75" t="s">
        <v>630</v>
      </c>
      <c r="M247" t="s">
        <v>1435</v>
      </c>
      <c r="N247" s="75" t="s">
        <v>1016</v>
      </c>
      <c r="O247" s="75" t="s">
        <v>323</v>
      </c>
      <c r="P247" t="s">
        <v>1999</v>
      </c>
      <c r="W247" s="75" t="s">
        <v>3040</v>
      </c>
      <c r="X247" s="75" t="s">
        <v>3064</v>
      </c>
      <c r="Y247" t="s">
        <v>3108</v>
      </c>
    </row>
    <row r="248" spans="2:25" x14ac:dyDescent="0.25">
      <c r="B248" s="75" t="s">
        <v>9328</v>
      </c>
      <c r="C248" s="75" t="s">
        <v>8197</v>
      </c>
      <c r="D248" t="s">
        <v>9470</v>
      </c>
      <c r="E248" s="75" t="s">
        <v>5745</v>
      </c>
      <c r="F248" s="216" t="s">
        <v>11470</v>
      </c>
      <c r="G248" t="s">
        <v>11637</v>
      </c>
      <c r="K248" s="75" t="s">
        <v>1137</v>
      </c>
      <c r="L248" s="75" t="s">
        <v>904</v>
      </c>
      <c r="M248" t="s">
        <v>1436</v>
      </c>
      <c r="N248" s="75" t="s">
        <v>1196</v>
      </c>
      <c r="O248" s="75" t="s">
        <v>684</v>
      </c>
      <c r="P248" t="s">
        <v>2000</v>
      </c>
      <c r="W248" s="75" t="s">
        <v>3063</v>
      </c>
      <c r="X248" s="75" t="s">
        <v>327</v>
      </c>
      <c r="Y248" t="s">
        <v>3166</v>
      </c>
    </row>
    <row r="249" spans="2:25" x14ac:dyDescent="0.25">
      <c r="E249" s="75" t="s">
        <v>5728</v>
      </c>
      <c r="F249" s="75" t="s">
        <v>554</v>
      </c>
      <c r="G249" t="s">
        <v>11636</v>
      </c>
      <c r="K249" s="75" t="s">
        <v>1240</v>
      </c>
      <c r="L249" s="75" t="s">
        <v>631</v>
      </c>
      <c r="M249" t="s">
        <v>1991</v>
      </c>
      <c r="N249" s="75" t="s">
        <v>1094</v>
      </c>
      <c r="O249" s="75" t="s">
        <v>684</v>
      </c>
      <c r="P249" t="s">
        <v>1443</v>
      </c>
      <c r="W249" s="75" t="s">
        <v>2948</v>
      </c>
      <c r="X249" s="75" t="s">
        <v>630</v>
      </c>
      <c r="Y249" t="s">
        <v>3261</v>
      </c>
    </row>
    <row r="250" spans="2:25" x14ac:dyDescent="0.25">
      <c r="K250" s="75" t="s">
        <v>1287</v>
      </c>
      <c r="L250" s="75" t="s">
        <v>684</v>
      </c>
      <c r="M250" t="s">
        <v>1992</v>
      </c>
      <c r="N250" s="75" t="s">
        <v>1642</v>
      </c>
      <c r="O250" s="75" t="s">
        <v>1331</v>
      </c>
      <c r="P250" t="s">
        <v>1740</v>
      </c>
      <c r="W250" s="75" t="s">
        <v>3267</v>
      </c>
      <c r="X250" s="75" t="s">
        <v>630</v>
      </c>
      <c r="Y250" t="s">
        <v>3282</v>
      </c>
    </row>
    <row r="251" spans="2:25" x14ac:dyDescent="0.25">
      <c r="K251" s="75" t="s">
        <v>1267</v>
      </c>
      <c r="L251" s="75" t="s">
        <v>1268</v>
      </c>
      <c r="M251" t="s">
        <v>1437</v>
      </c>
      <c r="N251" s="75" t="s">
        <v>1709</v>
      </c>
      <c r="O251" s="75" t="s">
        <v>1331</v>
      </c>
      <c r="P251" t="s">
        <v>1838</v>
      </c>
      <c r="W251" s="75" t="s">
        <v>3162</v>
      </c>
      <c r="X251" s="75" t="s">
        <v>3064</v>
      </c>
      <c r="Y251" t="s">
        <v>3285</v>
      </c>
    </row>
    <row r="252" spans="2:25" x14ac:dyDescent="0.25">
      <c r="K252" s="75" t="s">
        <v>1597</v>
      </c>
      <c r="L252" s="75" t="s">
        <v>596</v>
      </c>
      <c r="M252" t="s">
        <v>1689</v>
      </c>
      <c r="N252" s="75" t="s">
        <v>1747</v>
      </c>
      <c r="O252" s="75" t="s">
        <v>587</v>
      </c>
      <c r="P252" t="s">
        <v>2439</v>
      </c>
      <c r="W252" s="75" t="s">
        <v>3326</v>
      </c>
      <c r="X252" s="75" t="s">
        <v>3064</v>
      </c>
      <c r="Y252" t="s">
        <v>3345</v>
      </c>
    </row>
    <row r="253" spans="2:25" x14ac:dyDescent="0.25">
      <c r="K253" s="75" t="s">
        <v>1657</v>
      </c>
      <c r="L253" s="75" t="s">
        <v>1656</v>
      </c>
      <c r="M253" t="s">
        <v>1742</v>
      </c>
      <c r="N253" s="75" t="s">
        <v>1642</v>
      </c>
      <c r="O253" s="75" t="s">
        <v>1331</v>
      </c>
      <c r="P253" t="s">
        <v>2688</v>
      </c>
      <c r="W253" s="75" t="s">
        <v>2669</v>
      </c>
      <c r="X253" s="75" t="s">
        <v>552</v>
      </c>
      <c r="Y253" t="s">
        <v>3356</v>
      </c>
    </row>
    <row r="254" spans="2:25" x14ac:dyDescent="0.25">
      <c r="K254" s="75" t="s">
        <v>1698</v>
      </c>
      <c r="L254" s="75" t="s">
        <v>1680</v>
      </c>
      <c r="M254" t="s">
        <v>1794</v>
      </c>
      <c r="N254" s="75" t="s">
        <v>138</v>
      </c>
      <c r="O254" s="75" t="s">
        <v>326</v>
      </c>
      <c r="P254" t="s">
        <v>2804</v>
      </c>
      <c r="W254" s="75" t="s">
        <v>3343</v>
      </c>
      <c r="X254" s="75" t="s">
        <v>3064</v>
      </c>
      <c r="Y254" t="s">
        <v>3406</v>
      </c>
    </row>
    <row r="255" spans="2:25" x14ac:dyDescent="0.25">
      <c r="K255" s="75" t="s">
        <v>1217</v>
      </c>
      <c r="L255" s="75" t="s">
        <v>742</v>
      </c>
      <c r="M255" t="s">
        <v>1802</v>
      </c>
      <c r="N255" s="75" t="s">
        <v>2653</v>
      </c>
      <c r="O255" s="75" t="s">
        <v>327</v>
      </c>
      <c r="P255" t="s">
        <v>2855</v>
      </c>
      <c r="W255" s="75" t="s">
        <v>3357</v>
      </c>
      <c r="X255" s="75" t="s">
        <v>749</v>
      </c>
      <c r="Y255" t="s">
        <v>3614</v>
      </c>
    </row>
    <row r="256" spans="2:25" x14ac:dyDescent="0.25">
      <c r="K256" s="74" t="s">
        <v>1884</v>
      </c>
      <c r="L256" s="74" t="s">
        <v>329</v>
      </c>
      <c r="M256" t="s">
        <v>1900</v>
      </c>
      <c r="N256" s="74" t="s">
        <v>2480</v>
      </c>
      <c r="O256" s="74" t="s">
        <v>324</v>
      </c>
      <c r="P256" t="s">
        <v>2856</v>
      </c>
      <c r="W256" s="75" t="s">
        <v>3514</v>
      </c>
      <c r="X256" s="75" t="s">
        <v>325</v>
      </c>
      <c r="Y256" t="s">
        <v>3615</v>
      </c>
    </row>
    <row r="257" spans="11:25" x14ac:dyDescent="0.25">
      <c r="K257" s="75" t="s">
        <v>2446</v>
      </c>
      <c r="L257" s="75" t="s">
        <v>1331</v>
      </c>
      <c r="M257" t="s">
        <v>2509</v>
      </c>
      <c r="N257" s="75" t="s">
        <v>498</v>
      </c>
      <c r="O257" s="75" t="s">
        <v>3064</v>
      </c>
      <c r="P257" t="s">
        <v>3161</v>
      </c>
      <c r="W257" s="75" t="s">
        <v>3431</v>
      </c>
      <c r="X257" s="75" t="s">
        <v>630</v>
      </c>
      <c r="Y257" t="s">
        <v>3654</v>
      </c>
    </row>
    <row r="258" spans="11:25" x14ac:dyDescent="0.25">
      <c r="K258" s="74" t="s">
        <v>1412</v>
      </c>
      <c r="L258" s="74" t="s">
        <v>585</v>
      </c>
      <c r="M258" t="s">
        <v>2824</v>
      </c>
      <c r="N258" s="75" t="s">
        <v>3149</v>
      </c>
      <c r="O258" s="75" t="s">
        <v>323</v>
      </c>
      <c r="P258" t="s">
        <v>3447</v>
      </c>
      <c r="W258" s="75" t="s">
        <v>3611</v>
      </c>
      <c r="X258" s="75" t="s">
        <v>749</v>
      </c>
      <c r="Y258" t="s">
        <v>3697</v>
      </c>
    </row>
    <row r="259" spans="11:25" x14ac:dyDescent="0.25">
      <c r="K259" s="75" t="s">
        <v>2479</v>
      </c>
      <c r="L259" s="75" t="s">
        <v>325</v>
      </c>
      <c r="M259" t="s">
        <v>2951</v>
      </c>
      <c r="N259" s="75" t="s">
        <v>3605</v>
      </c>
      <c r="O259" s="75" t="s">
        <v>3789</v>
      </c>
      <c r="P259" t="s">
        <v>3732</v>
      </c>
      <c r="W259" s="75" t="s">
        <v>3351</v>
      </c>
      <c r="X259" s="75" t="s">
        <v>552</v>
      </c>
      <c r="Y259" t="s">
        <v>3698</v>
      </c>
    </row>
    <row r="260" spans="11:25" x14ac:dyDescent="0.25">
      <c r="K260" s="74" t="s">
        <v>3076</v>
      </c>
      <c r="L260" s="74" t="s">
        <v>323</v>
      </c>
      <c r="M260" t="s">
        <v>3129</v>
      </c>
      <c r="N260" s="75" t="s">
        <v>3745</v>
      </c>
      <c r="O260" s="75" t="s">
        <v>1410</v>
      </c>
      <c r="P260" t="s">
        <v>4101</v>
      </c>
      <c r="W260" s="75" t="s">
        <v>3613</v>
      </c>
      <c r="X260" s="75" t="s">
        <v>325</v>
      </c>
      <c r="Y260" t="s">
        <v>3731</v>
      </c>
    </row>
    <row r="261" spans="11:25" x14ac:dyDescent="0.25">
      <c r="K261" s="75" t="s">
        <v>3130</v>
      </c>
      <c r="L261" s="75" t="s">
        <v>323</v>
      </c>
      <c r="M261" t="s">
        <v>3266</v>
      </c>
      <c r="N261" s="75" t="s">
        <v>3811</v>
      </c>
      <c r="O261" s="75" t="s">
        <v>1410</v>
      </c>
      <c r="P261" t="s">
        <v>4233</v>
      </c>
      <c r="W261" s="75" t="s">
        <v>3479</v>
      </c>
      <c r="X261" s="75" t="s">
        <v>2787</v>
      </c>
      <c r="Y261" t="s">
        <v>3740</v>
      </c>
    </row>
    <row r="262" spans="11:25" x14ac:dyDescent="0.25">
      <c r="K262" s="75" t="s">
        <v>3413</v>
      </c>
      <c r="L262" s="75" t="s">
        <v>630</v>
      </c>
      <c r="M262" t="s">
        <v>3422</v>
      </c>
      <c r="N262" s="75" t="s">
        <v>4019</v>
      </c>
      <c r="O262" s="75" t="s">
        <v>450</v>
      </c>
      <c r="P262" t="s">
        <v>4460</v>
      </c>
      <c r="W262" s="75" t="s">
        <v>1902</v>
      </c>
      <c r="X262" s="75" t="s">
        <v>3781</v>
      </c>
      <c r="Y262" t="s">
        <v>3808</v>
      </c>
    </row>
    <row r="263" spans="11:25" x14ac:dyDescent="0.25">
      <c r="K263" s="75" t="s">
        <v>588</v>
      </c>
      <c r="L263" s="75" t="s">
        <v>2787</v>
      </c>
      <c r="M263" t="s">
        <v>3423</v>
      </c>
      <c r="N263" s="75" t="s">
        <v>4231</v>
      </c>
      <c r="O263" s="75" t="s">
        <v>4260</v>
      </c>
      <c r="P263" t="s">
        <v>4486</v>
      </c>
      <c r="W263" s="75" t="s">
        <v>3763</v>
      </c>
      <c r="X263" s="75" t="s">
        <v>3955</v>
      </c>
      <c r="Y263" t="s">
        <v>4007</v>
      </c>
    </row>
    <row r="264" spans="11:25" x14ac:dyDescent="0.25">
      <c r="K264" s="75" t="s">
        <v>615</v>
      </c>
      <c r="L264" s="75" t="s">
        <v>630</v>
      </c>
      <c r="M264" t="s">
        <v>3595</v>
      </c>
      <c r="N264" s="75" t="s">
        <v>4700</v>
      </c>
      <c r="O264" s="75" t="s">
        <v>3954</v>
      </c>
      <c r="P264" t="s">
        <v>4860</v>
      </c>
      <c r="W264" s="75" t="s">
        <v>3741</v>
      </c>
      <c r="X264" s="75" t="s">
        <v>394</v>
      </c>
      <c r="Y264" t="s">
        <v>4076</v>
      </c>
    </row>
    <row r="265" spans="11:25" x14ac:dyDescent="0.25">
      <c r="K265" s="75" t="s">
        <v>136</v>
      </c>
      <c r="L265" s="75" t="s">
        <v>328</v>
      </c>
      <c r="M265" t="s">
        <v>4037</v>
      </c>
      <c r="N265" s="75" t="s">
        <v>2480</v>
      </c>
      <c r="O265" s="75" t="s">
        <v>2969</v>
      </c>
      <c r="P265" t="s">
        <v>5130</v>
      </c>
      <c r="W265" s="75" t="s">
        <v>3430</v>
      </c>
      <c r="X265" s="75" t="s">
        <v>3301</v>
      </c>
      <c r="Y265" t="s">
        <v>4188</v>
      </c>
    </row>
    <row r="266" spans="11:25" x14ac:dyDescent="0.25">
      <c r="K266" s="75" t="s">
        <v>1431</v>
      </c>
      <c r="L266" s="75" t="s">
        <v>583</v>
      </c>
      <c r="M266" t="s">
        <v>4021</v>
      </c>
      <c r="N266" s="75" t="s">
        <v>5143</v>
      </c>
      <c r="O266" s="75" t="s">
        <v>551</v>
      </c>
      <c r="P266" t="s">
        <v>5256</v>
      </c>
      <c r="W266" s="75" t="s">
        <v>3853</v>
      </c>
      <c r="X266" s="75" t="s">
        <v>511</v>
      </c>
      <c r="Y266" t="s">
        <v>4210</v>
      </c>
    </row>
    <row r="267" spans="11:25" x14ac:dyDescent="0.25">
      <c r="K267" s="75" t="s">
        <v>3538</v>
      </c>
      <c r="L267" s="75" t="s">
        <v>3303</v>
      </c>
      <c r="M267" t="s">
        <v>4041</v>
      </c>
      <c r="N267" s="75" t="s">
        <v>3683</v>
      </c>
      <c r="O267" s="75" t="s">
        <v>5134</v>
      </c>
      <c r="P267" t="s">
        <v>5347</v>
      </c>
      <c r="W267" s="75" t="s">
        <v>4347</v>
      </c>
      <c r="X267" s="75" t="s">
        <v>3659</v>
      </c>
      <c r="Y267" t="s">
        <v>4506</v>
      </c>
    </row>
    <row r="268" spans="11:25" x14ac:dyDescent="0.25">
      <c r="K268" s="75" t="s">
        <v>3993</v>
      </c>
      <c r="L268" s="75" t="s">
        <v>3245</v>
      </c>
      <c r="M268" t="s">
        <v>4042</v>
      </c>
      <c r="N268" s="75" t="s">
        <v>5318</v>
      </c>
      <c r="O268" s="75" t="s">
        <v>3176</v>
      </c>
      <c r="P268" t="s">
        <v>5692</v>
      </c>
      <c r="W268" s="75" t="s">
        <v>4434</v>
      </c>
      <c r="X268" s="75" t="s">
        <v>1744</v>
      </c>
      <c r="Y268" t="s">
        <v>4683</v>
      </c>
    </row>
    <row r="269" spans="11:25" x14ac:dyDescent="0.25">
      <c r="K269" s="75" t="s">
        <v>2689</v>
      </c>
      <c r="L269" s="75" t="s">
        <v>1744</v>
      </c>
      <c r="M269" t="s">
        <v>4043</v>
      </c>
      <c r="N269" s="75" t="s">
        <v>5727</v>
      </c>
      <c r="O269" s="75" t="s">
        <v>5699</v>
      </c>
      <c r="P269" t="s">
        <v>5841</v>
      </c>
      <c r="W269" s="75" t="s">
        <v>4218</v>
      </c>
      <c r="X269" s="75" t="s">
        <v>1744</v>
      </c>
      <c r="Y269" t="s">
        <v>4737</v>
      </c>
    </row>
    <row r="270" spans="11:25" x14ac:dyDescent="0.25">
      <c r="K270" s="75" t="s">
        <v>2887</v>
      </c>
      <c r="L270" s="75" t="s">
        <v>1744</v>
      </c>
      <c r="M270" t="s">
        <v>4044</v>
      </c>
      <c r="N270" s="75" t="s">
        <v>5488</v>
      </c>
      <c r="O270" s="75" t="s">
        <v>3920</v>
      </c>
      <c r="P270" t="s">
        <v>5954</v>
      </c>
      <c r="W270" s="75" t="s">
        <v>4701</v>
      </c>
      <c r="X270" s="75" t="s">
        <v>1744</v>
      </c>
      <c r="Y270" t="s">
        <v>4884</v>
      </c>
    </row>
    <row r="271" spans="11:25" x14ac:dyDescent="0.25">
      <c r="K271" s="75" t="s">
        <v>3783</v>
      </c>
      <c r="L271" s="75" t="s">
        <v>511</v>
      </c>
      <c r="M271" t="s">
        <v>4056</v>
      </c>
      <c r="N271" s="75" t="s">
        <v>4905</v>
      </c>
      <c r="O271" s="75" t="s">
        <v>450</v>
      </c>
      <c r="P271" t="s">
        <v>5955</v>
      </c>
      <c r="W271" s="75" t="s">
        <v>4746</v>
      </c>
      <c r="X271" s="75" t="s">
        <v>362</v>
      </c>
      <c r="Y271" t="s">
        <v>4885</v>
      </c>
    </row>
    <row r="272" spans="11:25" x14ac:dyDescent="0.25">
      <c r="K272" s="75" t="s">
        <v>4120</v>
      </c>
      <c r="L272" s="75" t="s">
        <v>1410</v>
      </c>
      <c r="M272" t="s">
        <v>4143</v>
      </c>
      <c r="N272" s="75" t="s">
        <v>6018</v>
      </c>
      <c r="O272" s="75" t="s">
        <v>5706</v>
      </c>
      <c r="P272" t="s">
        <v>6063</v>
      </c>
      <c r="W272" s="75" t="s">
        <v>4850</v>
      </c>
      <c r="X272" s="75" t="s">
        <v>387</v>
      </c>
      <c r="Y272" t="s">
        <v>4904</v>
      </c>
    </row>
    <row r="273" spans="11:25" x14ac:dyDescent="0.25">
      <c r="K273" s="75" t="s">
        <v>3641</v>
      </c>
      <c r="L273" s="75" t="s">
        <v>3954</v>
      </c>
      <c r="M273" t="s">
        <v>4168</v>
      </c>
      <c r="N273" s="75" t="s">
        <v>5974</v>
      </c>
      <c r="O273" s="75" t="s">
        <v>1577</v>
      </c>
      <c r="P273" t="s">
        <v>6172</v>
      </c>
      <c r="W273" s="75" t="s">
        <v>442</v>
      </c>
      <c r="X273" s="75" t="s">
        <v>4972</v>
      </c>
      <c r="Y273" t="s">
        <v>5042</v>
      </c>
    </row>
    <row r="274" spans="11:25" x14ac:dyDescent="0.25">
      <c r="K274" s="75" t="s">
        <v>2887</v>
      </c>
      <c r="L274" s="75" t="s">
        <v>1744</v>
      </c>
      <c r="M274" t="s">
        <v>4190</v>
      </c>
      <c r="N274" s="75" t="s">
        <v>5953</v>
      </c>
      <c r="O274" s="75" t="s">
        <v>3920</v>
      </c>
      <c r="P274" t="s">
        <v>6206</v>
      </c>
      <c r="W274" s="75" t="s">
        <v>3351</v>
      </c>
      <c r="X274" s="75" t="s">
        <v>3658</v>
      </c>
      <c r="Y274" t="s">
        <v>5043</v>
      </c>
    </row>
    <row r="275" spans="11:25" x14ac:dyDescent="0.25">
      <c r="K275" s="75" t="s">
        <v>1138</v>
      </c>
      <c r="L275" s="75" t="s">
        <v>4009</v>
      </c>
      <c r="M275" t="s">
        <v>4205</v>
      </c>
      <c r="N275" s="75" t="s">
        <v>6207</v>
      </c>
      <c r="O275" s="75" t="s">
        <v>3920</v>
      </c>
      <c r="P275" t="s">
        <v>6309</v>
      </c>
      <c r="W275" s="75" t="s">
        <v>4514</v>
      </c>
      <c r="X275" s="75" t="s">
        <v>3659</v>
      </c>
      <c r="Y275" t="s">
        <v>5175</v>
      </c>
    </row>
    <row r="276" spans="11:25" x14ac:dyDescent="0.25">
      <c r="K276" s="75" t="s">
        <v>2670</v>
      </c>
      <c r="L276" s="75" t="s">
        <v>4009</v>
      </c>
      <c r="M276" t="s">
        <v>4299</v>
      </c>
      <c r="N276" s="75" t="s">
        <v>6304</v>
      </c>
      <c r="O276" s="75" t="s">
        <v>2969</v>
      </c>
      <c r="P276" t="s">
        <v>6428</v>
      </c>
      <c r="W276" s="75" t="s">
        <v>4434</v>
      </c>
      <c r="X276" s="75" t="s">
        <v>401</v>
      </c>
      <c r="Y276" t="s">
        <v>5204</v>
      </c>
    </row>
    <row r="277" spans="11:25" x14ac:dyDescent="0.25">
      <c r="K277" s="75" t="s">
        <v>4201</v>
      </c>
      <c r="L277" s="75" t="s">
        <v>4202</v>
      </c>
      <c r="M277" t="s">
        <v>4606</v>
      </c>
      <c r="N277" s="75" t="s">
        <v>6459</v>
      </c>
      <c r="O277" s="75" t="s">
        <v>484</v>
      </c>
      <c r="P277" t="s">
        <v>6660</v>
      </c>
      <c r="W277" s="75" t="s">
        <v>6487</v>
      </c>
      <c r="X277" s="75" t="s">
        <v>401</v>
      </c>
      <c r="Y277" t="s">
        <v>6699</v>
      </c>
    </row>
    <row r="278" spans="11:25" x14ac:dyDescent="0.25">
      <c r="K278" s="75" t="s">
        <v>4346</v>
      </c>
      <c r="L278" s="75" t="s">
        <v>4202</v>
      </c>
      <c r="M278" t="s">
        <v>4452</v>
      </c>
      <c r="N278" s="75" t="s">
        <v>6806</v>
      </c>
      <c r="O278" s="75" t="s">
        <v>450</v>
      </c>
      <c r="P278" t="s">
        <v>6939</v>
      </c>
      <c r="W278" s="74" t="s">
        <v>6626</v>
      </c>
      <c r="X278" s="74" t="s">
        <v>5707</v>
      </c>
      <c r="Y278" t="s">
        <v>6702</v>
      </c>
    </row>
    <row r="279" spans="11:25" x14ac:dyDescent="0.25">
      <c r="K279" s="75" t="s">
        <v>1597</v>
      </c>
      <c r="L279" s="75" t="s">
        <v>1744</v>
      </c>
      <c r="M279" t="s">
        <v>4457</v>
      </c>
      <c r="N279" s="75" t="s">
        <v>6654</v>
      </c>
      <c r="O279" s="75" t="s">
        <v>3658</v>
      </c>
      <c r="P279" t="s">
        <v>6966</v>
      </c>
      <c r="W279" s="74" t="s">
        <v>6887</v>
      </c>
      <c r="X279" s="74" t="s">
        <v>2969</v>
      </c>
      <c r="Y279" t="s">
        <v>6896</v>
      </c>
    </row>
    <row r="280" spans="11:25" x14ac:dyDescent="0.25">
      <c r="K280" s="75" t="s">
        <v>4428</v>
      </c>
      <c r="L280" s="75" t="s">
        <v>655</v>
      </c>
      <c r="M280" t="s">
        <v>4698</v>
      </c>
      <c r="N280" s="75" t="s">
        <v>7831</v>
      </c>
      <c r="O280" s="75" t="s">
        <v>5707</v>
      </c>
      <c r="P280" t="s">
        <v>7868</v>
      </c>
      <c r="W280" s="75" t="s">
        <v>7837</v>
      </c>
      <c r="X280" s="75" t="s">
        <v>3955</v>
      </c>
      <c r="Y280" t="s">
        <v>7929</v>
      </c>
    </row>
    <row r="281" spans="11:25" x14ac:dyDescent="0.25">
      <c r="K281" s="75" t="s">
        <v>4167</v>
      </c>
      <c r="L281" s="75" t="s">
        <v>3954</v>
      </c>
      <c r="M281" t="s">
        <v>4699</v>
      </c>
      <c r="N281" s="75" t="s">
        <v>6964</v>
      </c>
      <c r="O281" s="75" t="s">
        <v>3955</v>
      </c>
      <c r="P281" t="s">
        <v>7962</v>
      </c>
      <c r="W281" s="75" t="s">
        <v>8587</v>
      </c>
      <c r="X281" s="75" t="s">
        <v>5698</v>
      </c>
      <c r="Y281" t="s">
        <v>8653</v>
      </c>
    </row>
    <row r="282" spans="11:25" x14ac:dyDescent="0.25">
      <c r="K282" s="75" t="s">
        <v>4458</v>
      </c>
      <c r="L282" s="75" t="s">
        <v>1744</v>
      </c>
      <c r="M282" t="s">
        <v>4882</v>
      </c>
      <c r="N282" s="74" t="s">
        <v>8352</v>
      </c>
      <c r="O282" s="74" t="s">
        <v>538</v>
      </c>
      <c r="P282" t="s">
        <v>8366</v>
      </c>
      <c r="W282" s="75" t="s">
        <v>8472</v>
      </c>
      <c r="X282" s="75" t="s">
        <v>7390</v>
      </c>
      <c r="Y282" t="s">
        <v>8759</v>
      </c>
    </row>
    <row r="283" spans="11:25" x14ac:dyDescent="0.25">
      <c r="K283" s="75" t="s">
        <v>4968</v>
      </c>
      <c r="L283" s="75" t="s">
        <v>4009</v>
      </c>
      <c r="M283" t="s">
        <v>5177</v>
      </c>
      <c r="N283" s="75" t="s">
        <v>8367</v>
      </c>
      <c r="O283" s="75" t="s">
        <v>3955</v>
      </c>
      <c r="P283" t="s">
        <v>8459</v>
      </c>
      <c r="W283" s="74" t="s">
        <v>8819</v>
      </c>
      <c r="X283" s="74" t="s">
        <v>5698</v>
      </c>
      <c r="Y283" t="s">
        <v>8923</v>
      </c>
    </row>
    <row r="284" spans="11:25" x14ac:dyDescent="0.25">
      <c r="K284" s="75" t="s">
        <v>5425</v>
      </c>
      <c r="L284" s="75" t="s">
        <v>1744</v>
      </c>
      <c r="M284" t="s">
        <v>5520</v>
      </c>
      <c r="N284" s="74" t="s">
        <v>8514</v>
      </c>
      <c r="O284" s="74" t="s">
        <v>8198</v>
      </c>
      <c r="P284" t="s">
        <v>8546</v>
      </c>
      <c r="W284" s="75" t="s">
        <v>5054</v>
      </c>
      <c r="X284" s="75" t="s">
        <v>1003</v>
      </c>
      <c r="Y284" t="s">
        <v>8975</v>
      </c>
    </row>
    <row r="285" spans="11:25" x14ac:dyDescent="0.25">
      <c r="K285" s="75" t="s">
        <v>5276</v>
      </c>
      <c r="L285" s="75" t="s">
        <v>5698</v>
      </c>
      <c r="M285" t="s">
        <v>5834</v>
      </c>
      <c r="N285" s="75" t="s">
        <v>8480</v>
      </c>
      <c r="O285" s="75" t="s">
        <v>8197</v>
      </c>
      <c r="P285" t="s">
        <v>8654</v>
      </c>
      <c r="W285" s="75" t="s">
        <v>8990</v>
      </c>
      <c r="X285" s="75" t="s">
        <v>4009</v>
      </c>
      <c r="Y285" t="s">
        <v>9147</v>
      </c>
    </row>
    <row r="286" spans="11:25" x14ac:dyDescent="0.25">
      <c r="K286" s="75" t="s">
        <v>5645</v>
      </c>
      <c r="L286" s="75" t="s">
        <v>3658</v>
      </c>
      <c r="M286" t="s">
        <v>5963</v>
      </c>
      <c r="N286" s="75" t="s">
        <v>8655</v>
      </c>
      <c r="O286" s="75" t="s">
        <v>8197</v>
      </c>
      <c r="P286" t="s">
        <v>8776</v>
      </c>
      <c r="W286" s="75" t="s">
        <v>9217</v>
      </c>
      <c r="X286" s="75" t="s">
        <v>554</v>
      </c>
      <c r="Y286" t="s">
        <v>9314</v>
      </c>
    </row>
    <row r="287" spans="11:25" x14ac:dyDescent="0.25">
      <c r="K287" s="75" t="s">
        <v>5425</v>
      </c>
      <c r="L287" s="75" t="s">
        <v>5698</v>
      </c>
      <c r="M287" t="s">
        <v>6032</v>
      </c>
      <c r="N287" s="75" t="s">
        <v>8899</v>
      </c>
      <c r="O287" s="75" t="s">
        <v>5699</v>
      </c>
      <c r="P287" t="s">
        <v>9017</v>
      </c>
      <c r="W287" s="74" t="s">
        <v>8669</v>
      </c>
      <c r="X287" s="74" t="s">
        <v>450</v>
      </c>
      <c r="Y287" t="s">
        <v>9402</v>
      </c>
    </row>
    <row r="288" spans="11:25" x14ac:dyDescent="0.25">
      <c r="K288" s="75" t="s">
        <v>6317</v>
      </c>
      <c r="L288" s="75" t="s">
        <v>3659</v>
      </c>
      <c r="M288" t="s">
        <v>6413</v>
      </c>
      <c r="N288" s="75" t="s">
        <v>8930</v>
      </c>
      <c r="O288" s="75" t="s">
        <v>5698</v>
      </c>
      <c r="P288" t="s">
        <v>9018</v>
      </c>
      <c r="W288" s="75" t="s">
        <v>9182</v>
      </c>
      <c r="X288" s="75" t="s">
        <v>5698</v>
      </c>
      <c r="Y288" t="s">
        <v>9432</v>
      </c>
    </row>
    <row r="289" spans="11:25" x14ac:dyDescent="0.25">
      <c r="K289" s="75" t="s">
        <v>6323</v>
      </c>
      <c r="L289" s="75" t="s">
        <v>551</v>
      </c>
      <c r="M289" t="s">
        <v>6427</v>
      </c>
      <c r="N289" s="75" t="s">
        <v>8998</v>
      </c>
      <c r="O289" s="75" t="s">
        <v>5773</v>
      </c>
      <c r="P289" t="s">
        <v>9034</v>
      </c>
      <c r="W289" s="74" t="s">
        <v>9625</v>
      </c>
      <c r="X289" s="74" t="s">
        <v>1577</v>
      </c>
      <c r="Y289" t="s">
        <v>9665</v>
      </c>
    </row>
    <row r="290" spans="11:25" x14ac:dyDescent="0.25">
      <c r="K290" s="75" t="s">
        <v>6510</v>
      </c>
      <c r="L290" s="75" t="s">
        <v>3659</v>
      </c>
      <c r="M290" t="s">
        <v>6618</v>
      </c>
      <c r="N290" s="75" t="s">
        <v>9196</v>
      </c>
      <c r="O290" s="75" t="s">
        <v>2969</v>
      </c>
      <c r="P290" t="s">
        <v>9261</v>
      </c>
      <c r="W290" s="75" t="s">
        <v>8669</v>
      </c>
      <c r="X290" s="75" t="s">
        <v>5706</v>
      </c>
      <c r="Y290" t="s">
        <v>9696</v>
      </c>
    </row>
    <row r="291" spans="11:25" x14ac:dyDescent="0.25">
      <c r="K291" s="75" t="s">
        <v>6418</v>
      </c>
      <c r="L291" s="75" t="s">
        <v>3659</v>
      </c>
      <c r="M291" t="s">
        <v>6651</v>
      </c>
      <c r="N291" s="75" t="s">
        <v>4142</v>
      </c>
      <c r="O291" s="75" t="s">
        <v>538</v>
      </c>
      <c r="P291" t="s">
        <v>9768</v>
      </c>
      <c r="W291" s="75" t="s">
        <v>9705</v>
      </c>
      <c r="X291" s="75" t="s">
        <v>450</v>
      </c>
      <c r="Y291" t="s">
        <v>9769</v>
      </c>
    </row>
    <row r="292" spans="11:25" x14ac:dyDescent="0.25">
      <c r="K292" s="75" t="s">
        <v>6246</v>
      </c>
      <c r="L292" s="75" t="s">
        <v>3658</v>
      </c>
      <c r="M292" t="s">
        <v>6652</v>
      </c>
      <c r="N292" s="75" t="s">
        <v>10471</v>
      </c>
      <c r="O292" s="75" t="s">
        <v>5773</v>
      </c>
      <c r="P292" t="s">
        <v>10575</v>
      </c>
      <c r="W292" s="75" t="s">
        <v>9704</v>
      </c>
      <c r="X292" s="75" t="s">
        <v>5706</v>
      </c>
      <c r="Y292" t="s">
        <v>9936</v>
      </c>
    </row>
    <row r="293" spans="11:25" x14ac:dyDescent="0.25">
      <c r="K293" s="75" t="s">
        <v>6639</v>
      </c>
      <c r="L293" s="75" t="s">
        <v>3659</v>
      </c>
      <c r="M293" t="s">
        <v>6694</v>
      </c>
      <c r="W293" s="75" t="s">
        <v>9774</v>
      </c>
      <c r="X293" s="75" t="s">
        <v>538</v>
      </c>
      <c r="Y293" t="s">
        <v>9967</v>
      </c>
    </row>
    <row r="294" spans="11:25" x14ac:dyDescent="0.25">
      <c r="K294" s="75" t="s">
        <v>6712</v>
      </c>
      <c r="L294" s="75" t="s">
        <v>5801</v>
      </c>
      <c r="M294" t="s">
        <v>6888</v>
      </c>
      <c r="W294" s="75" t="s">
        <v>8819</v>
      </c>
      <c r="X294" s="75" t="s">
        <v>5706</v>
      </c>
      <c r="Y294" t="s">
        <v>10027</v>
      </c>
    </row>
    <row r="295" spans="11:25" x14ac:dyDescent="0.25">
      <c r="K295" s="75" t="s">
        <v>6158</v>
      </c>
      <c r="L295" s="75" t="s">
        <v>2969</v>
      </c>
      <c r="M295" t="s">
        <v>7155</v>
      </c>
      <c r="W295" s="75" t="s">
        <v>9775</v>
      </c>
      <c r="X295" s="75" t="s">
        <v>450</v>
      </c>
      <c r="Y295" t="s">
        <v>10028</v>
      </c>
    </row>
    <row r="296" spans="11:25" x14ac:dyDescent="0.25">
      <c r="K296" s="75" t="s">
        <v>7077</v>
      </c>
      <c r="L296" s="75" t="s">
        <v>387</v>
      </c>
      <c r="M296" t="s">
        <v>7314</v>
      </c>
      <c r="W296" s="75" t="s">
        <v>10051</v>
      </c>
      <c r="X296" s="75" t="s">
        <v>5706</v>
      </c>
      <c r="Y296" t="s">
        <v>10161</v>
      </c>
    </row>
    <row r="297" spans="11:25" x14ac:dyDescent="0.25">
      <c r="K297" s="75" t="s">
        <v>7292</v>
      </c>
      <c r="L297" s="75" t="s">
        <v>3955</v>
      </c>
      <c r="M297" t="s">
        <v>7432</v>
      </c>
      <c r="W297" s="75" t="s">
        <v>10045</v>
      </c>
      <c r="X297" s="75" t="s">
        <v>8197</v>
      </c>
      <c r="Y297" t="s">
        <v>10168</v>
      </c>
    </row>
    <row r="298" spans="11:25" x14ac:dyDescent="0.25">
      <c r="K298" s="75" t="s">
        <v>4442</v>
      </c>
      <c r="L298" s="75" t="s">
        <v>538</v>
      </c>
      <c r="M298" t="s">
        <v>7465</v>
      </c>
      <c r="W298" s="75" t="s">
        <v>10125</v>
      </c>
      <c r="X298" s="75" t="s">
        <v>551</v>
      </c>
      <c r="Y298" t="s">
        <v>10176</v>
      </c>
    </row>
    <row r="299" spans="11:25" x14ac:dyDescent="0.25">
      <c r="K299" s="75" t="s">
        <v>7470</v>
      </c>
      <c r="L299" s="75" t="s">
        <v>538</v>
      </c>
      <c r="M299" t="s">
        <v>7546</v>
      </c>
      <c r="W299" s="74" t="s">
        <v>10114</v>
      </c>
      <c r="X299" s="74" t="s">
        <v>5706</v>
      </c>
      <c r="Y299" t="s">
        <v>10199</v>
      </c>
    </row>
    <row r="300" spans="11:25" x14ac:dyDescent="0.25">
      <c r="K300" s="75" t="s">
        <v>7490</v>
      </c>
      <c r="L300" s="75" t="s">
        <v>7517</v>
      </c>
      <c r="M300" t="s">
        <v>7558</v>
      </c>
      <c r="W300" s="75" t="s">
        <v>10177</v>
      </c>
      <c r="X300" s="75" t="s">
        <v>551</v>
      </c>
      <c r="Y300" t="s">
        <v>10245</v>
      </c>
    </row>
    <row r="301" spans="11:25" x14ac:dyDescent="0.25">
      <c r="K301" s="74" t="s">
        <v>7622</v>
      </c>
      <c r="L301" s="74" t="s">
        <v>3955</v>
      </c>
      <c r="M301" t="s">
        <v>7669</v>
      </c>
      <c r="W301" s="75" t="s">
        <v>10178</v>
      </c>
      <c r="X301" s="75" t="s">
        <v>5773</v>
      </c>
      <c r="Y301" t="s">
        <v>10263</v>
      </c>
    </row>
    <row r="302" spans="11:25" x14ac:dyDescent="0.25">
      <c r="K302" s="75" t="s">
        <v>7640</v>
      </c>
      <c r="L302" s="75" t="s">
        <v>7517</v>
      </c>
      <c r="M302" t="s">
        <v>7688</v>
      </c>
      <c r="W302" s="75" t="s">
        <v>10179</v>
      </c>
      <c r="X302" s="75" t="s">
        <v>450</v>
      </c>
      <c r="Y302" t="s">
        <v>10264</v>
      </c>
    </row>
    <row r="303" spans="11:25" x14ac:dyDescent="0.25">
      <c r="K303" s="75" t="s">
        <v>7670</v>
      </c>
      <c r="L303" s="75" t="s">
        <v>3955</v>
      </c>
      <c r="M303" t="s">
        <v>7834</v>
      </c>
      <c r="W303" s="75" t="s">
        <v>9687</v>
      </c>
      <c r="X303" s="75" t="s">
        <v>8197</v>
      </c>
      <c r="Y303" t="s">
        <v>10162</v>
      </c>
    </row>
    <row r="304" spans="11:25" x14ac:dyDescent="0.25">
      <c r="K304" s="75" t="s">
        <v>7882</v>
      </c>
      <c r="L304" s="75" t="s">
        <v>7849</v>
      </c>
      <c r="M304" t="s">
        <v>7948</v>
      </c>
      <c r="W304" s="75" t="s">
        <v>10302</v>
      </c>
      <c r="X304" s="75" t="s">
        <v>636</v>
      </c>
      <c r="Y304" t="s">
        <v>10436</v>
      </c>
    </row>
    <row r="305" spans="11:25" x14ac:dyDescent="0.25">
      <c r="K305" s="75" t="s">
        <v>7998</v>
      </c>
      <c r="L305" s="75" t="s">
        <v>5707</v>
      </c>
      <c r="M305" t="s">
        <v>7999</v>
      </c>
      <c r="W305" s="75" t="s">
        <v>9216</v>
      </c>
      <c r="X305" s="75" t="s">
        <v>5698</v>
      </c>
      <c r="Y305" t="s">
        <v>10531</v>
      </c>
    </row>
    <row r="306" spans="11:25" x14ac:dyDescent="0.25">
      <c r="K306" s="75" t="s">
        <v>7911</v>
      </c>
      <c r="L306" s="75" t="s">
        <v>7390</v>
      </c>
      <c r="M306" t="s">
        <v>8070</v>
      </c>
      <c r="W306" s="75" t="s">
        <v>10432</v>
      </c>
      <c r="X306" s="75" t="s">
        <v>636</v>
      </c>
      <c r="Y306" t="s">
        <v>10562</v>
      </c>
    </row>
    <row r="307" spans="11:25" x14ac:dyDescent="0.25">
      <c r="K307" s="75" t="s">
        <v>7997</v>
      </c>
      <c r="L307" s="75" t="s">
        <v>450</v>
      </c>
      <c r="M307" t="s">
        <v>8103</v>
      </c>
      <c r="W307" s="74" t="s">
        <v>10458</v>
      </c>
      <c r="X307" s="74" t="s">
        <v>8353</v>
      </c>
      <c r="Y307" t="s">
        <v>10615</v>
      </c>
    </row>
    <row r="308" spans="11:25" x14ac:dyDescent="0.25">
      <c r="K308" s="75" t="s">
        <v>7824</v>
      </c>
      <c r="L308" s="75" t="s">
        <v>1577</v>
      </c>
      <c r="M308" t="s">
        <v>8143</v>
      </c>
      <c r="W308" s="75" t="s">
        <v>12208</v>
      </c>
      <c r="X308" s="75" t="s">
        <v>12071</v>
      </c>
      <c r="Y308" t="s">
        <v>12209</v>
      </c>
    </row>
    <row r="309" spans="11:25" x14ac:dyDescent="0.25">
      <c r="K309" s="75" t="s">
        <v>8019</v>
      </c>
      <c r="L309" s="75" t="s">
        <v>387</v>
      </c>
      <c r="M309" t="s">
        <v>8163</v>
      </c>
      <c r="W309" s="75" t="s">
        <v>11591</v>
      </c>
      <c r="X309" s="75" t="s">
        <v>636</v>
      </c>
      <c r="Y309" t="s">
        <v>11754</v>
      </c>
    </row>
    <row r="310" spans="11:25" x14ac:dyDescent="0.25">
      <c r="K310" s="75" t="s">
        <v>8324</v>
      </c>
      <c r="L310" s="75" t="s">
        <v>538</v>
      </c>
      <c r="M310" t="s">
        <v>8351</v>
      </c>
    </row>
    <row r="311" spans="11:25" x14ac:dyDescent="0.25">
      <c r="K311" s="75" t="s">
        <v>8277</v>
      </c>
      <c r="L311" s="75" t="s">
        <v>3955</v>
      </c>
      <c r="M311" t="s">
        <v>8375</v>
      </c>
    </row>
    <row r="312" spans="11:25" x14ac:dyDescent="0.25">
      <c r="K312" s="74" t="s">
        <v>8278</v>
      </c>
      <c r="L312" s="74" t="s">
        <v>8371</v>
      </c>
      <c r="M312" t="s">
        <v>8463</v>
      </c>
    </row>
    <row r="313" spans="11:25" x14ac:dyDescent="0.25">
      <c r="K313" s="75" t="s">
        <v>8739</v>
      </c>
      <c r="L313" s="75" t="s">
        <v>2969</v>
      </c>
      <c r="M313" t="s">
        <v>8821</v>
      </c>
    </row>
    <row r="314" spans="11:25" x14ac:dyDescent="0.25">
      <c r="K314" s="75" t="s">
        <v>8775</v>
      </c>
      <c r="L314" s="75" t="s">
        <v>5699</v>
      </c>
      <c r="M314" t="s">
        <v>8908</v>
      </c>
    </row>
    <row r="315" spans="11:25" x14ac:dyDescent="0.25">
      <c r="K315" s="74" t="s">
        <v>8984</v>
      </c>
      <c r="L315" s="74" t="s">
        <v>8196</v>
      </c>
      <c r="M315" t="s">
        <v>8986</v>
      </c>
    </row>
    <row r="316" spans="11:25" x14ac:dyDescent="0.25">
      <c r="K316" s="74" t="s">
        <v>6418</v>
      </c>
      <c r="L316" s="74" t="s">
        <v>8197</v>
      </c>
      <c r="M316" t="s">
        <v>9205</v>
      </c>
    </row>
    <row r="317" spans="11:25" x14ac:dyDescent="0.25">
      <c r="K317" s="75" t="s">
        <v>7434</v>
      </c>
      <c r="L317" s="75" t="s">
        <v>5699</v>
      </c>
      <c r="M317" t="s">
        <v>9294</v>
      </c>
    </row>
    <row r="318" spans="11:25" x14ac:dyDescent="0.25">
      <c r="K318" s="75" t="s">
        <v>9166</v>
      </c>
      <c r="L318" s="75" t="s">
        <v>538</v>
      </c>
      <c r="M318" t="s">
        <v>9491</v>
      </c>
    </row>
    <row r="319" spans="11:25" x14ac:dyDescent="0.25">
      <c r="K319" s="75" t="s">
        <v>9549</v>
      </c>
      <c r="L319" s="75" t="s">
        <v>538</v>
      </c>
      <c r="M319" t="s">
        <v>9567</v>
      </c>
    </row>
    <row r="320" spans="11:25" x14ac:dyDescent="0.25">
      <c r="K320" s="75" t="s">
        <v>9545</v>
      </c>
      <c r="L320" s="75" t="s">
        <v>5706</v>
      </c>
      <c r="M320" t="s">
        <v>9621</v>
      </c>
    </row>
    <row r="321" spans="11:13" x14ac:dyDescent="0.25">
      <c r="K321" s="75" t="s">
        <v>7824</v>
      </c>
      <c r="L321" s="75" t="s">
        <v>1577</v>
      </c>
      <c r="M321" t="s">
        <v>9626</v>
      </c>
    </row>
    <row r="322" spans="11:13" x14ac:dyDescent="0.25">
      <c r="K322" s="75" t="s">
        <v>8984</v>
      </c>
      <c r="L322" s="75" t="s">
        <v>8194</v>
      </c>
      <c r="M322" t="s">
        <v>10181</v>
      </c>
    </row>
    <row r="323" spans="11:13" x14ac:dyDescent="0.25">
      <c r="K323" s="75" t="s">
        <v>10078</v>
      </c>
      <c r="L323" s="75" t="s">
        <v>5699</v>
      </c>
      <c r="M323" t="s">
        <v>10187</v>
      </c>
    </row>
    <row r="324" spans="11:13" x14ac:dyDescent="0.25">
      <c r="K324" s="75" t="s">
        <v>8885</v>
      </c>
      <c r="L324" s="75" t="s">
        <v>10182</v>
      </c>
      <c r="M324" t="s">
        <v>10254</v>
      </c>
    </row>
    <row r="325" spans="11:13" x14ac:dyDescent="0.25">
      <c r="K325" s="75" t="s">
        <v>9995</v>
      </c>
      <c r="L325" s="75" t="s">
        <v>538</v>
      </c>
      <c r="M325" t="s">
        <v>10269</v>
      </c>
    </row>
    <row r="326" spans="11:13" x14ac:dyDescent="0.25">
      <c r="K326" s="75" t="s">
        <v>8984</v>
      </c>
      <c r="L326" s="75" t="s">
        <v>636</v>
      </c>
      <c r="M326" t="s">
        <v>10289</v>
      </c>
    </row>
    <row r="327" spans="11:13" x14ac:dyDescent="0.25">
      <c r="K327" s="75" t="s">
        <v>10048</v>
      </c>
      <c r="L327" s="75" t="s">
        <v>5698</v>
      </c>
      <c r="M327" t="s">
        <v>10105</v>
      </c>
    </row>
    <row r="328" spans="11:13" x14ac:dyDescent="0.25">
      <c r="K328" s="75" t="s">
        <v>10229</v>
      </c>
      <c r="L328" s="75" t="s">
        <v>8197</v>
      </c>
      <c r="M328" t="s">
        <v>10354</v>
      </c>
    </row>
    <row r="329" spans="11:13" x14ac:dyDescent="0.25">
      <c r="K329" s="75" t="s">
        <v>6501</v>
      </c>
      <c r="L329" s="75" t="s">
        <v>5699</v>
      </c>
      <c r="M329" t="s">
        <v>10077</v>
      </c>
    </row>
    <row r="330" spans="11:13" x14ac:dyDescent="0.25">
      <c r="K330" s="75" t="s">
        <v>8226</v>
      </c>
      <c r="L330" s="75" t="s">
        <v>8197</v>
      </c>
      <c r="M330" t="s">
        <v>10421</v>
      </c>
    </row>
    <row r="331" spans="11:13" x14ac:dyDescent="0.25">
      <c r="K331" s="75" t="s">
        <v>10320</v>
      </c>
      <c r="L331" s="75" t="s">
        <v>5773</v>
      </c>
      <c r="M331" t="s">
        <v>10469</v>
      </c>
    </row>
    <row r="332" spans="11:13" x14ac:dyDescent="0.25">
      <c r="K332" s="75" t="s">
        <v>10372</v>
      </c>
      <c r="L332" s="75" t="s">
        <v>8197</v>
      </c>
      <c r="M332" t="s">
        <v>10430</v>
      </c>
    </row>
    <row r="333" spans="11:13" x14ac:dyDescent="0.25">
      <c r="K333" s="75" t="s">
        <v>10511</v>
      </c>
      <c r="L333" s="75" t="s">
        <v>5706</v>
      </c>
      <c r="M333" t="s">
        <v>10586</v>
      </c>
    </row>
    <row r="334" spans="11:13" x14ac:dyDescent="0.25">
      <c r="K334" s="75" t="s">
        <v>10591</v>
      </c>
      <c r="L334" s="75" t="s">
        <v>5706</v>
      </c>
      <c r="M334" t="s">
        <v>10764</v>
      </c>
    </row>
    <row r="335" spans="11:13" x14ac:dyDescent="0.25">
      <c r="K335" s="74" t="s">
        <v>10839</v>
      </c>
      <c r="L335" s="74" t="s">
        <v>636</v>
      </c>
      <c r="M335" t="s">
        <v>10840</v>
      </c>
    </row>
    <row r="398" spans="11:11" x14ac:dyDescent="0.25">
      <c r="K398" t="s">
        <v>47</v>
      </c>
    </row>
    <row r="402" spans="1:26" s="218" customFormat="1" x14ac:dyDescent="0.25">
      <c r="A402" s="218" t="s">
        <v>3</v>
      </c>
      <c r="B402" s="218">
        <f>COUNTA(B187:B401)-62</f>
        <v>0</v>
      </c>
      <c r="E402" s="218">
        <f>COUNTA(E187:E401)-63</f>
        <v>0</v>
      </c>
      <c r="H402" s="218">
        <f>COUNTA(H187:H401)-56</f>
        <v>0</v>
      </c>
      <c r="K402" s="218">
        <f>COUNTA(K187:K401)-148</f>
        <v>2</v>
      </c>
      <c r="N402" s="218">
        <f>COUNTA(N187:N401)-106</f>
        <v>0</v>
      </c>
      <c r="Q402" s="218">
        <f>COUNTA(Q187:Q401)-47</f>
        <v>0</v>
      </c>
      <c r="T402" s="218">
        <f>COUNTA(T187:T401)-23</f>
        <v>0</v>
      </c>
      <c r="W402" s="218">
        <f>COUNTA(W187:W401)-122</f>
        <v>1</v>
      </c>
      <c r="Z402" s="218">
        <f>SUBTOTAL(9,B402:Y402)</f>
        <v>3</v>
      </c>
    </row>
    <row r="403" spans="1:26" x14ac:dyDescent="0.25">
      <c r="A403" t="s">
        <v>10</v>
      </c>
      <c r="B403" s="75" t="s">
        <v>8642</v>
      </c>
      <c r="C403" s="75" t="s">
        <v>342</v>
      </c>
      <c r="D403" t="s">
        <v>8768</v>
      </c>
      <c r="E403" s="75" t="s">
        <v>8769</v>
      </c>
      <c r="F403" s="75" t="s">
        <v>342</v>
      </c>
      <c r="G403" t="s">
        <v>9078</v>
      </c>
      <c r="H403" s="74" t="s">
        <v>8769</v>
      </c>
      <c r="I403" s="74" t="s">
        <v>342</v>
      </c>
      <c r="J403" t="s">
        <v>9207</v>
      </c>
      <c r="K403" s="75" t="s">
        <v>9788</v>
      </c>
      <c r="L403" s="75" t="s">
        <v>526</v>
      </c>
      <c r="M403" t="s">
        <v>9790</v>
      </c>
      <c r="N403" s="74" t="s">
        <v>9818</v>
      </c>
      <c r="O403" s="74" t="s">
        <v>936</v>
      </c>
      <c r="P403" t="s">
        <v>9850</v>
      </c>
      <c r="Q403" s="75" t="s">
        <v>9764</v>
      </c>
      <c r="R403" s="75" t="s">
        <v>526</v>
      </c>
      <c r="S403" t="s">
        <v>9877</v>
      </c>
      <c r="T403" s="74" t="s">
        <v>10634</v>
      </c>
      <c r="U403" s="74" t="s">
        <v>7363</v>
      </c>
      <c r="V403" t="s">
        <v>10842</v>
      </c>
      <c r="W403" s="74" t="s">
        <v>10642</v>
      </c>
      <c r="X403" s="74" t="s">
        <v>577</v>
      </c>
      <c r="Y403" t="s">
        <v>10844</v>
      </c>
    </row>
    <row r="404" spans="1:26" x14ac:dyDescent="0.25">
      <c r="B404" s="75" t="s">
        <v>8545</v>
      </c>
      <c r="C404" s="75" t="s">
        <v>2459</v>
      </c>
      <c r="D404" t="s">
        <v>8641</v>
      </c>
      <c r="E404" s="75" t="s">
        <v>8640</v>
      </c>
      <c r="F404" s="75" t="s">
        <v>2459</v>
      </c>
      <c r="G404" t="s">
        <v>8818</v>
      </c>
      <c r="H404" s="75" t="s">
        <v>8640</v>
      </c>
      <c r="I404" s="75" t="s">
        <v>2459</v>
      </c>
      <c r="J404" t="s">
        <v>8907</v>
      </c>
      <c r="K404" s="75" t="s">
        <v>9683</v>
      </c>
      <c r="L404" s="75" t="s">
        <v>526</v>
      </c>
      <c r="M404" t="s">
        <v>9778</v>
      </c>
      <c r="N404" s="75" t="s">
        <v>9492</v>
      </c>
      <c r="O404" s="75" t="s">
        <v>349</v>
      </c>
      <c r="P404" t="s">
        <v>9566</v>
      </c>
      <c r="Q404" s="75" t="s">
        <v>9597</v>
      </c>
      <c r="R404" s="75" t="s">
        <v>350</v>
      </c>
      <c r="S404" t="s">
        <v>9840</v>
      </c>
      <c r="T404" s="74" t="s">
        <v>9258</v>
      </c>
      <c r="U404" s="74" t="s">
        <v>862</v>
      </c>
      <c r="V404" t="s">
        <v>9308</v>
      </c>
      <c r="W404" s="74" t="s">
        <v>9904</v>
      </c>
      <c r="X404" s="74" t="s">
        <v>3303</v>
      </c>
      <c r="Y404" t="s">
        <v>10843</v>
      </c>
    </row>
    <row r="405" spans="1:26" x14ac:dyDescent="0.25">
      <c r="B405" s="75" t="s">
        <v>8245</v>
      </c>
      <c r="C405" s="75" t="s">
        <v>355</v>
      </c>
      <c r="D405" t="s">
        <v>8343</v>
      </c>
      <c r="E405" s="75" t="s">
        <v>8344</v>
      </c>
      <c r="F405" s="75" t="s">
        <v>355</v>
      </c>
      <c r="G405" t="s">
        <v>8529</v>
      </c>
      <c r="H405" s="75" t="s">
        <v>7709</v>
      </c>
      <c r="I405" s="75" t="s">
        <v>342</v>
      </c>
      <c r="J405" t="s">
        <v>8074</v>
      </c>
      <c r="K405" s="75" t="s">
        <v>9523</v>
      </c>
      <c r="L405" s="75" t="s">
        <v>5717</v>
      </c>
      <c r="M405" t="s">
        <v>9624</v>
      </c>
      <c r="N405" s="75" t="s">
        <v>8725</v>
      </c>
      <c r="O405" s="75" t="s">
        <v>2459</v>
      </c>
      <c r="P405" t="s">
        <v>9037</v>
      </c>
      <c r="Q405" s="75" t="s">
        <v>9538</v>
      </c>
      <c r="R405" s="75" t="s">
        <v>9352</v>
      </c>
      <c r="S405" t="s">
        <v>9685</v>
      </c>
      <c r="T405" s="75" t="s">
        <v>1299</v>
      </c>
      <c r="U405" s="75" t="s">
        <v>353</v>
      </c>
      <c r="V405" t="s">
        <v>8825</v>
      </c>
      <c r="W405" s="75" t="s">
        <v>9838</v>
      </c>
      <c r="X405" s="75" t="s">
        <v>350</v>
      </c>
      <c r="Y405" t="s">
        <v>10151</v>
      </c>
    </row>
    <row r="406" spans="1:26" x14ac:dyDescent="0.25">
      <c r="B406" s="74" t="s">
        <v>8215</v>
      </c>
      <c r="C406" s="74" t="s">
        <v>742</v>
      </c>
      <c r="D406" t="s">
        <v>8316</v>
      </c>
      <c r="E406" s="75" t="s">
        <v>7709</v>
      </c>
      <c r="F406" s="75" t="s">
        <v>342</v>
      </c>
      <c r="G406" t="s">
        <v>7988</v>
      </c>
      <c r="H406" s="75" t="s">
        <v>7758</v>
      </c>
      <c r="I406" s="75" t="s">
        <v>352</v>
      </c>
      <c r="J406" t="s">
        <v>8039</v>
      </c>
      <c r="K406" s="75" t="s">
        <v>9500</v>
      </c>
      <c r="L406" s="75" t="s">
        <v>936</v>
      </c>
      <c r="M406" t="s">
        <v>9608</v>
      </c>
      <c r="N406" s="75" t="s">
        <v>8592</v>
      </c>
      <c r="O406" s="75" t="s">
        <v>354</v>
      </c>
      <c r="P406" t="s">
        <v>8882</v>
      </c>
      <c r="Q406" s="75" t="s">
        <v>8857</v>
      </c>
      <c r="R406" s="75" t="s">
        <v>526</v>
      </c>
      <c r="S406" t="s">
        <v>9178</v>
      </c>
      <c r="T406" s="75" t="s">
        <v>3649</v>
      </c>
      <c r="U406" s="75" t="s">
        <v>355</v>
      </c>
      <c r="V406" t="s">
        <v>6982</v>
      </c>
      <c r="W406" s="75" t="s">
        <v>9817</v>
      </c>
      <c r="X406" s="75" t="s">
        <v>9352</v>
      </c>
      <c r="Y406" t="s">
        <v>9905</v>
      </c>
    </row>
    <row r="407" spans="1:26" x14ac:dyDescent="0.25">
      <c r="B407" s="75" t="s">
        <v>7665</v>
      </c>
      <c r="C407" s="75" t="s">
        <v>742</v>
      </c>
      <c r="D407" t="s">
        <v>7770</v>
      </c>
      <c r="E407" s="75" t="s">
        <v>6822</v>
      </c>
      <c r="F407" s="75" t="s">
        <v>379</v>
      </c>
      <c r="G407" t="s">
        <v>7143</v>
      </c>
      <c r="H407" s="75" t="s">
        <v>7652</v>
      </c>
      <c r="I407" s="75" t="s">
        <v>379</v>
      </c>
      <c r="J407" t="s">
        <v>8008</v>
      </c>
      <c r="K407" s="75" t="s">
        <v>4080</v>
      </c>
      <c r="L407" s="75" t="s">
        <v>350</v>
      </c>
      <c r="M407" t="s">
        <v>9513</v>
      </c>
      <c r="N407" s="75" t="s">
        <v>8591</v>
      </c>
      <c r="O407" s="75" t="s">
        <v>354</v>
      </c>
      <c r="P407" t="s">
        <v>8807</v>
      </c>
      <c r="Q407" s="75" t="s">
        <v>8559</v>
      </c>
      <c r="R407" s="75" t="s">
        <v>3252</v>
      </c>
      <c r="S407" t="s">
        <v>8970</v>
      </c>
      <c r="T407" s="75" t="s">
        <v>5050</v>
      </c>
      <c r="U407" s="75" t="s">
        <v>4155</v>
      </c>
      <c r="V407" t="s">
        <v>5223</v>
      </c>
      <c r="W407" s="75" t="s">
        <v>9822</v>
      </c>
      <c r="X407" s="75" t="s">
        <v>577</v>
      </c>
      <c r="Y407" t="s">
        <v>9854</v>
      </c>
    </row>
    <row r="408" spans="1:26" x14ac:dyDescent="0.25">
      <c r="B408" s="75" t="s">
        <v>7643</v>
      </c>
      <c r="C408" s="75" t="s">
        <v>352</v>
      </c>
      <c r="D408" t="s">
        <v>7757</v>
      </c>
      <c r="E408" s="75" t="s">
        <v>6686</v>
      </c>
      <c r="F408" s="75" t="s">
        <v>342</v>
      </c>
      <c r="G408" t="s">
        <v>7071</v>
      </c>
      <c r="H408" s="75" t="s">
        <v>7769</v>
      </c>
      <c r="I408" s="75" t="s">
        <v>742</v>
      </c>
      <c r="J408" t="s">
        <v>7947</v>
      </c>
      <c r="K408" s="75" t="s">
        <v>9004</v>
      </c>
      <c r="L408" s="75" t="s">
        <v>350</v>
      </c>
      <c r="M408" t="s">
        <v>9338</v>
      </c>
      <c r="N408" s="75" t="s">
        <v>8560</v>
      </c>
      <c r="O408" s="75" t="s">
        <v>354</v>
      </c>
      <c r="P408" t="s">
        <v>8600</v>
      </c>
      <c r="Q408" s="75" t="s">
        <v>8586</v>
      </c>
      <c r="R408" s="75" t="s">
        <v>526</v>
      </c>
      <c r="S408" t="s">
        <v>8887</v>
      </c>
      <c r="T408" s="75" t="s">
        <v>4047</v>
      </c>
      <c r="U408" s="75" t="s">
        <v>355</v>
      </c>
      <c r="V408" t="s">
        <v>4108</v>
      </c>
      <c r="W408" s="75" t="s">
        <v>9257</v>
      </c>
      <c r="X408" s="75" t="s">
        <v>936</v>
      </c>
      <c r="Y408" t="s">
        <v>9686</v>
      </c>
    </row>
    <row r="409" spans="1:26" x14ac:dyDescent="0.25">
      <c r="B409" s="75" t="s">
        <v>7533</v>
      </c>
      <c r="C409" s="75" t="s">
        <v>342</v>
      </c>
      <c r="D409" t="s">
        <v>7710</v>
      </c>
      <c r="E409" s="75" t="s">
        <v>6266</v>
      </c>
      <c r="F409" s="75" t="s">
        <v>862</v>
      </c>
      <c r="G409" t="s">
        <v>6921</v>
      </c>
      <c r="H409" s="75" t="s">
        <v>6266</v>
      </c>
      <c r="I409" s="75" t="s">
        <v>862</v>
      </c>
      <c r="J409" t="s">
        <v>7415</v>
      </c>
      <c r="K409" s="74" t="s">
        <v>9278</v>
      </c>
      <c r="L409" s="74" t="s">
        <v>936</v>
      </c>
      <c r="M409" t="s">
        <v>9307</v>
      </c>
      <c r="N409" s="75" t="s">
        <v>8455</v>
      </c>
      <c r="O409" s="75" t="s">
        <v>356</v>
      </c>
      <c r="P409" t="s">
        <v>8601</v>
      </c>
      <c r="Q409" s="75" t="s">
        <v>8457</v>
      </c>
      <c r="R409" s="75" t="s">
        <v>378</v>
      </c>
      <c r="S409" t="s">
        <v>10156</v>
      </c>
      <c r="T409" s="75" t="s">
        <v>1299</v>
      </c>
      <c r="U409" s="75" t="s">
        <v>669</v>
      </c>
      <c r="V409" t="s">
        <v>4081</v>
      </c>
      <c r="W409" s="75" t="s">
        <v>9493</v>
      </c>
      <c r="X409" s="75" t="s">
        <v>936</v>
      </c>
      <c r="Y409" t="s">
        <v>9499</v>
      </c>
    </row>
    <row r="410" spans="1:26" x14ac:dyDescent="0.25">
      <c r="B410" s="75" t="s">
        <v>6539</v>
      </c>
      <c r="C410" s="75" t="s">
        <v>379</v>
      </c>
      <c r="D410" t="s">
        <v>6821</v>
      </c>
      <c r="E410" s="75" t="s">
        <v>5837</v>
      </c>
      <c r="F410" s="75" t="s">
        <v>936</v>
      </c>
      <c r="G410" t="s">
        <v>6211</v>
      </c>
      <c r="H410" s="75" t="s">
        <v>6611</v>
      </c>
      <c r="I410" s="75" t="s">
        <v>352</v>
      </c>
      <c r="J410" t="s">
        <v>7097</v>
      </c>
      <c r="K410" s="75" t="s">
        <v>8982</v>
      </c>
      <c r="L410" s="75" t="s">
        <v>3252</v>
      </c>
      <c r="M410" t="s">
        <v>9255</v>
      </c>
      <c r="N410" s="75" t="s">
        <v>8147</v>
      </c>
      <c r="O410" s="75" t="s">
        <v>2459</v>
      </c>
      <c r="P410" t="s">
        <v>8477</v>
      </c>
      <c r="Q410" s="75" t="s">
        <v>8135</v>
      </c>
      <c r="R410" s="75" t="s">
        <v>342</v>
      </c>
      <c r="S410" t="s">
        <v>8379</v>
      </c>
      <c r="T410" s="75" t="s">
        <v>3649</v>
      </c>
      <c r="U410" s="75" t="s">
        <v>2459</v>
      </c>
      <c r="V410" t="s">
        <v>3784</v>
      </c>
      <c r="W410" s="75" t="s">
        <v>9339</v>
      </c>
      <c r="X410" s="75" t="s">
        <v>351</v>
      </c>
      <c r="Y410" t="s">
        <v>9419</v>
      </c>
    </row>
    <row r="411" spans="1:26" x14ac:dyDescent="0.25">
      <c r="B411" s="75" t="s">
        <v>6411</v>
      </c>
      <c r="C411" s="75" t="s">
        <v>342</v>
      </c>
      <c r="D411" t="s">
        <v>6688</v>
      </c>
      <c r="E411" s="75" t="s">
        <v>5210</v>
      </c>
      <c r="F411" s="75" t="s">
        <v>355</v>
      </c>
      <c r="G411" t="s">
        <v>5736</v>
      </c>
      <c r="H411" s="75" t="s">
        <v>6450</v>
      </c>
      <c r="I411" s="75" t="s">
        <v>353</v>
      </c>
      <c r="J411" t="s">
        <v>6952</v>
      </c>
      <c r="K411" s="75" t="s">
        <v>8969</v>
      </c>
      <c r="L411" s="75" t="s">
        <v>577</v>
      </c>
      <c r="M411" t="s">
        <v>9222</v>
      </c>
      <c r="N411" s="75" t="s">
        <v>8165</v>
      </c>
      <c r="O411" s="75" t="s">
        <v>355</v>
      </c>
      <c r="P411" t="s">
        <v>8244</v>
      </c>
      <c r="Q411" s="75" t="s">
        <v>7913</v>
      </c>
      <c r="R411" s="75" t="s">
        <v>936</v>
      </c>
      <c r="S411" t="s">
        <v>8261</v>
      </c>
      <c r="T411" s="75" t="s">
        <v>3593</v>
      </c>
      <c r="U411" s="75" t="s">
        <v>356</v>
      </c>
      <c r="V411" t="s">
        <v>3713</v>
      </c>
      <c r="W411" s="74" t="s">
        <v>8445</v>
      </c>
      <c r="X411" s="74" t="s">
        <v>341</v>
      </c>
      <c r="Y411" t="s">
        <v>9277</v>
      </c>
    </row>
    <row r="412" spans="1:26" x14ac:dyDescent="0.25">
      <c r="B412" s="75" t="s">
        <v>5851</v>
      </c>
      <c r="C412" s="75" t="s">
        <v>352</v>
      </c>
      <c r="D412" t="s">
        <v>6655</v>
      </c>
      <c r="E412" s="75" t="s">
        <v>5128</v>
      </c>
      <c r="F412" s="75" t="s">
        <v>353</v>
      </c>
      <c r="G412" t="s">
        <v>5336</v>
      </c>
      <c r="H412" s="74" t="s">
        <v>1136</v>
      </c>
      <c r="I412" s="74" t="s">
        <v>352</v>
      </c>
      <c r="J412" t="s">
        <v>6875</v>
      </c>
      <c r="K412" s="75" t="s">
        <v>8911</v>
      </c>
      <c r="L412" s="75" t="s">
        <v>2459</v>
      </c>
      <c r="M412" t="s">
        <v>9086</v>
      </c>
      <c r="N412" s="75" t="s">
        <v>8105</v>
      </c>
      <c r="O412" s="75" t="s">
        <v>341</v>
      </c>
      <c r="P412" t="s">
        <v>8219</v>
      </c>
      <c r="Q412" s="75" t="s">
        <v>8011</v>
      </c>
      <c r="R412" s="75" t="s">
        <v>3303</v>
      </c>
      <c r="S412" t="s">
        <v>8161</v>
      </c>
      <c r="T412" s="75" t="s">
        <v>3473</v>
      </c>
      <c r="U412" s="75" t="s">
        <v>569</v>
      </c>
      <c r="V412" t="s">
        <v>3636</v>
      </c>
      <c r="W412" s="75" t="s">
        <v>395</v>
      </c>
      <c r="X412" s="75" t="s">
        <v>936</v>
      </c>
      <c r="Y412" t="s">
        <v>8858</v>
      </c>
    </row>
    <row r="413" spans="1:26" x14ac:dyDescent="0.25">
      <c r="B413" s="75" t="s">
        <v>6002</v>
      </c>
      <c r="C413" s="75" t="s">
        <v>862</v>
      </c>
      <c r="D413" t="s">
        <v>6267</v>
      </c>
      <c r="E413" s="75" t="s">
        <v>5060</v>
      </c>
      <c r="F413" s="75" t="s">
        <v>1506</v>
      </c>
      <c r="G413" t="s">
        <v>5216</v>
      </c>
      <c r="H413" s="74" t="s">
        <v>5882</v>
      </c>
      <c r="I413" s="74" t="s">
        <v>356</v>
      </c>
      <c r="J413" t="s">
        <v>6895</v>
      </c>
      <c r="K413" s="75" t="s">
        <v>8974</v>
      </c>
      <c r="L413" s="75" t="s">
        <v>354</v>
      </c>
      <c r="M413" t="s">
        <v>9027</v>
      </c>
      <c r="N413" s="75" t="s">
        <v>7973</v>
      </c>
      <c r="O413" s="75" t="s">
        <v>742</v>
      </c>
      <c r="P413" t="s">
        <v>8213</v>
      </c>
      <c r="Q413" s="75" t="s">
        <v>7722</v>
      </c>
      <c r="R413" s="75" t="s">
        <v>352</v>
      </c>
      <c r="S413" t="s">
        <v>7829</v>
      </c>
      <c r="T413" s="75" t="s">
        <v>2510</v>
      </c>
      <c r="U413" s="75" t="s">
        <v>356</v>
      </c>
      <c r="V413" t="s">
        <v>3229</v>
      </c>
      <c r="W413" s="75" t="s">
        <v>8663</v>
      </c>
      <c r="X413" s="75" t="s">
        <v>5717</v>
      </c>
      <c r="Y413" t="s">
        <v>8859</v>
      </c>
    </row>
    <row r="414" spans="1:26" x14ac:dyDescent="0.25">
      <c r="B414" s="75" t="s">
        <v>5847</v>
      </c>
      <c r="C414" s="75" t="s">
        <v>378</v>
      </c>
      <c r="D414" t="s">
        <v>6271</v>
      </c>
      <c r="E414" s="75" t="s">
        <v>4835</v>
      </c>
      <c r="F414" s="75" t="s">
        <v>353</v>
      </c>
      <c r="G414" t="s">
        <v>5058</v>
      </c>
      <c r="H414" s="75" t="s">
        <v>6126</v>
      </c>
      <c r="I414" s="75" t="s">
        <v>378</v>
      </c>
      <c r="J414" t="s">
        <v>6441</v>
      </c>
      <c r="K414" s="75" t="s">
        <v>8823</v>
      </c>
      <c r="L414" s="75" t="s">
        <v>354</v>
      </c>
      <c r="M414" t="s">
        <v>8985</v>
      </c>
      <c r="N414" s="75" t="s">
        <v>7721</v>
      </c>
      <c r="O414" s="75" t="s">
        <v>352</v>
      </c>
      <c r="P414" t="s">
        <v>7946</v>
      </c>
      <c r="Q414" s="74" t="s">
        <v>7530</v>
      </c>
      <c r="R414" s="74" t="s">
        <v>341</v>
      </c>
      <c r="S414" t="s">
        <v>7619</v>
      </c>
      <c r="T414" s="75" t="s">
        <v>2691</v>
      </c>
      <c r="U414" s="75" t="s">
        <v>742</v>
      </c>
      <c r="V414" t="s">
        <v>2949</v>
      </c>
      <c r="W414" s="75" t="s">
        <v>8408</v>
      </c>
      <c r="X414" s="75" t="s">
        <v>349</v>
      </c>
      <c r="Y414" t="s">
        <v>8657</v>
      </c>
    </row>
    <row r="415" spans="1:26" x14ac:dyDescent="0.25">
      <c r="B415" s="75" t="s">
        <v>5589</v>
      </c>
      <c r="C415" s="75" t="s">
        <v>356</v>
      </c>
      <c r="D415" t="s">
        <v>5881</v>
      </c>
      <c r="E415" s="75" t="s">
        <v>4977</v>
      </c>
      <c r="F415" s="75" t="s">
        <v>348</v>
      </c>
      <c r="G415" t="s">
        <v>5004</v>
      </c>
      <c r="H415" s="74" t="s">
        <v>5837</v>
      </c>
      <c r="I415" s="74" t="s">
        <v>936</v>
      </c>
      <c r="J415" t="s">
        <v>6415</v>
      </c>
      <c r="K415" s="75" t="s">
        <v>8486</v>
      </c>
      <c r="L415" s="75" t="s">
        <v>2459</v>
      </c>
      <c r="M415" t="s">
        <v>8729</v>
      </c>
      <c r="N415" s="75" t="s">
        <v>7552</v>
      </c>
      <c r="O415" s="75" t="s">
        <v>355</v>
      </c>
      <c r="P415" t="s">
        <v>7804</v>
      </c>
      <c r="Q415" s="75" t="s">
        <v>7129</v>
      </c>
      <c r="R415" s="75" t="s">
        <v>3252</v>
      </c>
      <c r="S415" t="s">
        <v>7526</v>
      </c>
      <c r="T415" s="75" t="s">
        <v>1228</v>
      </c>
      <c r="U415" s="75" t="s">
        <v>488</v>
      </c>
      <c r="V415" t="s">
        <v>2475</v>
      </c>
      <c r="W415" s="75" t="s">
        <v>7851</v>
      </c>
      <c r="X415" s="75" t="s">
        <v>3252</v>
      </c>
      <c r="Y415" t="s">
        <v>8626</v>
      </c>
    </row>
    <row r="416" spans="1:26" x14ac:dyDescent="0.25">
      <c r="B416" s="75" t="s">
        <v>5314</v>
      </c>
      <c r="C416" s="75" t="s">
        <v>350</v>
      </c>
      <c r="D416" t="s">
        <v>5831</v>
      </c>
      <c r="E416" s="75" t="s">
        <v>4638</v>
      </c>
      <c r="F416" s="75" t="s">
        <v>353</v>
      </c>
      <c r="G416" t="s">
        <v>4676</v>
      </c>
      <c r="H416" s="75" t="s">
        <v>5550</v>
      </c>
      <c r="I416" s="75" t="s">
        <v>350</v>
      </c>
      <c r="J416" t="s">
        <v>6074</v>
      </c>
      <c r="K416" s="75" t="s">
        <v>8228</v>
      </c>
      <c r="L416" s="75" t="s">
        <v>354</v>
      </c>
      <c r="M416" t="s">
        <v>8727</v>
      </c>
      <c r="N416" s="75" t="s">
        <v>4238</v>
      </c>
      <c r="O416" s="75" t="s">
        <v>352</v>
      </c>
      <c r="P416" t="s">
        <v>7323</v>
      </c>
      <c r="Q416" s="75" t="s">
        <v>7100</v>
      </c>
      <c r="R416" s="75" t="s">
        <v>350</v>
      </c>
      <c r="S416" t="s">
        <v>7421</v>
      </c>
      <c r="T416" s="75" t="s">
        <v>1160</v>
      </c>
      <c r="U416" s="75" t="s">
        <v>758</v>
      </c>
      <c r="V416" t="s">
        <v>2030</v>
      </c>
      <c r="W416" s="75" t="s">
        <v>7627</v>
      </c>
      <c r="X416" s="75" t="s">
        <v>1456</v>
      </c>
      <c r="Y416" t="s">
        <v>8256</v>
      </c>
    </row>
    <row r="417" spans="2:25" x14ac:dyDescent="0.25">
      <c r="B417" s="75" t="s">
        <v>5068</v>
      </c>
      <c r="C417" s="75" t="s">
        <v>352</v>
      </c>
      <c r="D417" t="s">
        <v>5211</v>
      </c>
      <c r="E417" s="75" t="s">
        <v>4126</v>
      </c>
      <c r="F417" s="75" t="s">
        <v>457</v>
      </c>
      <c r="G417" t="s">
        <v>4658</v>
      </c>
      <c r="H417" s="75" t="s">
        <v>5210</v>
      </c>
      <c r="I417" s="75" t="s">
        <v>355</v>
      </c>
      <c r="J417" t="s">
        <v>5800</v>
      </c>
      <c r="K417" s="75" t="s">
        <v>8146</v>
      </c>
      <c r="L417" s="75" t="s">
        <v>356</v>
      </c>
      <c r="M417" t="s">
        <v>8403</v>
      </c>
      <c r="N417" s="75" t="s">
        <v>6876</v>
      </c>
      <c r="O417" s="75" t="s">
        <v>352</v>
      </c>
      <c r="P417" t="s">
        <v>7149</v>
      </c>
      <c r="Q417" s="75" t="s">
        <v>6815</v>
      </c>
      <c r="R417" s="75" t="s">
        <v>350</v>
      </c>
      <c r="S417" t="s">
        <v>7102</v>
      </c>
      <c r="T417" s="75" t="s">
        <v>977</v>
      </c>
      <c r="U417" s="75" t="s">
        <v>741</v>
      </c>
      <c r="V417" t="s">
        <v>2031</v>
      </c>
      <c r="W417" s="75" t="s">
        <v>7516</v>
      </c>
      <c r="X417" s="75" t="s">
        <v>6954</v>
      </c>
      <c r="Y417" t="s">
        <v>8133</v>
      </c>
    </row>
    <row r="418" spans="2:25" x14ac:dyDescent="0.25">
      <c r="B418" s="75" t="s">
        <v>5087</v>
      </c>
      <c r="C418" s="75" t="s">
        <v>447</v>
      </c>
      <c r="D418" t="s">
        <v>5165</v>
      </c>
      <c r="E418" s="75" t="s">
        <v>196</v>
      </c>
      <c r="F418" s="75" t="s">
        <v>4028</v>
      </c>
      <c r="G418" t="s">
        <v>4566</v>
      </c>
      <c r="H418" s="75" t="s">
        <v>5128</v>
      </c>
      <c r="I418" s="75" t="s">
        <v>353</v>
      </c>
      <c r="J418" t="s">
        <v>5487</v>
      </c>
      <c r="K418" s="75" t="s">
        <v>7515</v>
      </c>
      <c r="L418" s="75" t="s">
        <v>3252</v>
      </c>
      <c r="M418" t="s">
        <v>7607</v>
      </c>
      <c r="N418" s="75" t="s">
        <v>6495</v>
      </c>
      <c r="O418" s="75" t="s">
        <v>350</v>
      </c>
      <c r="P418" t="s">
        <v>6768</v>
      </c>
      <c r="Q418" s="75" t="s">
        <v>5622</v>
      </c>
      <c r="R418" s="75" t="s">
        <v>379</v>
      </c>
      <c r="S418" t="s">
        <v>7933</v>
      </c>
      <c r="T418" s="75" t="s">
        <v>977</v>
      </c>
      <c r="U418" s="75" t="s">
        <v>741</v>
      </c>
      <c r="V418" t="s">
        <v>2031</v>
      </c>
      <c r="W418" s="75" t="s">
        <v>7313</v>
      </c>
      <c r="X418" s="75" t="s">
        <v>7889</v>
      </c>
      <c r="Y418" t="s">
        <v>8257</v>
      </c>
    </row>
    <row r="419" spans="2:25" x14ac:dyDescent="0.25">
      <c r="B419" s="75" t="s">
        <v>4881</v>
      </c>
      <c r="C419" s="75" t="s">
        <v>1506</v>
      </c>
      <c r="D419" t="s">
        <v>5059</v>
      </c>
      <c r="E419" s="75" t="s">
        <v>3049</v>
      </c>
      <c r="F419" s="75" t="s">
        <v>936</v>
      </c>
      <c r="G419" t="s">
        <v>3622</v>
      </c>
      <c r="H419" s="75" t="s">
        <v>5060</v>
      </c>
      <c r="I419" s="75" t="s">
        <v>1506</v>
      </c>
      <c r="J419" t="s">
        <v>5432</v>
      </c>
      <c r="K419" s="75" t="s">
        <v>7023</v>
      </c>
      <c r="L419" s="75" t="s">
        <v>352</v>
      </c>
      <c r="M419" t="s">
        <v>7161</v>
      </c>
      <c r="N419" s="75" t="s">
        <v>3824</v>
      </c>
      <c r="O419" s="75" t="s">
        <v>354</v>
      </c>
      <c r="P419" t="s">
        <v>6662</v>
      </c>
      <c r="Q419" s="75" t="s">
        <v>5606</v>
      </c>
      <c r="R419" s="75" t="s">
        <v>3252</v>
      </c>
      <c r="S419" t="s">
        <v>6023</v>
      </c>
      <c r="T419" s="75" t="s">
        <v>863</v>
      </c>
      <c r="U419" s="75" t="s">
        <v>488</v>
      </c>
      <c r="V419" t="s">
        <v>2032</v>
      </c>
      <c r="W419" s="75" t="s">
        <v>7534</v>
      </c>
      <c r="X419" s="75" t="s">
        <v>5717</v>
      </c>
      <c r="Y419" t="s">
        <v>9250</v>
      </c>
    </row>
    <row r="420" spans="2:25" x14ac:dyDescent="0.25">
      <c r="B420" s="75" t="s">
        <v>4749</v>
      </c>
      <c r="C420" s="75" t="s">
        <v>348</v>
      </c>
      <c r="D420" t="s">
        <v>4976</v>
      </c>
      <c r="E420" s="75" t="s">
        <v>644</v>
      </c>
      <c r="F420" s="75" t="s">
        <v>517</v>
      </c>
      <c r="G420" t="s">
        <v>3290</v>
      </c>
      <c r="H420" s="75" t="s">
        <v>5164</v>
      </c>
      <c r="I420" s="75" t="s">
        <v>447</v>
      </c>
      <c r="J420" t="s">
        <v>5374</v>
      </c>
      <c r="K420" s="75" t="s">
        <v>6827</v>
      </c>
      <c r="L420" s="75" t="s">
        <v>356</v>
      </c>
      <c r="M420" t="s">
        <v>7082</v>
      </c>
      <c r="N420" s="75" t="s">
        <v>6091</v>
      </c>
      <c r="O420" s="75" t="s">
        <v>352</v>
      </c>
      <c r="P420" t="s">
        <v>6443</v>
      </c>
      <c r="Q420" s="75" t="s">
        <v>5070</v>
      </c>
      <c r="R420" s="75" t="s">
        <v>5072</v>
      </c>
      <c r="S420" t="s">
        <v>7403</v>
      </c>
      <c r="T420" s="75" t="s">
        <v>920</v>
      </c>
      <c r="U420" s="75" t="s">
        <v>669</v>
      </c>
      <c r="V420" t="s">
        <v>2033</v>
      </c>
      <c r="W420" s="75" t="s">
        <v>7565</v>
      </c>
      <c r="X420" s="75" t="s">
        <v>3303</v>
      </c>
      <c r="Y420" t="s">
        <v>7679</v>
      </c>
    </row>
    <row r="421" spans="2:25" x14ac:dyDescent="0.25">
      <c r="B421" s="75" t="s">
        <v>4675</v>
      </c>
      <c r="C421" s="75" t="s">
        <v>353</v>
      </c>
      <c r="D421" t="s">
        <v>4834</v>
      </c>
      <c r="E421" s="75" t="s">
        <v>2917</v>
      </c>
      <c r="F421" s="75" t="s">
        <v>378</v>
      </c>
      <c r="G421" t="s">
        <v>3251</v>
      </c>
      <c r="H421" s="75" t="s">
        <v>4835</v>
      </c>
      <c r="I421" s="75" t="s">
        <v>353</v>
      </c>
      <c r="J421" t="s">
        <v>5205</v>
      </c>
      <c r="K421" s="75" t="s">
        <v>6910</v>
      </c>
      <c r="L421" s="75" t="s">
        <v>354</v>
      </c>
      <c r="M421" t="s">
        <v>7093</v>
      </c>
      <c r="N421" s="75" t="s">
        <v>5317</v>
      </c>
      <c r="O421" s="75" t="s">
        <v>353</v>
      </c>
      <c r="P421" t="s">
        <v>6285</v>
      </c>
      <c r="Q421" s="75" t="s">
        <v>3572</v>
      </c>
      <c r="R421" s="75" t="s">
        <v>5072</v>
      </c>
      <c r="S421" t="s">
        <v>5163</v>
      </c>
      <c r="T421" s="75" t="s">
        <v>921</v>
      </c>
      <c r="U421" s="75" t="s">
        <v>378</v>
      </c>
      <c r="V421" t="s">
        <v>2034</v>
      </c>
      <c r="W421" s="75" t="s">
        <v>6723</v>
      </c>
      <c r="X421" s="75" t="s">
        <v>341</v>
      </c>
      <c r="Y421" t="s">
        <v>6979</v>
      </c>
    </row>
    <row r="422" spans="2:25" x14ac:dyDescent="0.25">
      <c r="B422" s="75" t="s">
        <v>4473</v>
      </c>
      <c r="C422" s="75" t="s">
        <v>353</v>
      </c>
      <c r="D422" t="s">
        <v>4641</v>
      </c>
      <c r="E422" s="75" t="s">
        <v>1131</v>
      </c>
      <c r="F422" s="75" t="s">
        <v>462</v>
      </c>
      <c r="G422" t="s">
        <v>2840</v>
      </c>
      <c r="H422" s="75" t="s">
        <v>664</v>
      </c>
      <c r="I422" s="75" t="s">
        <v>340</v>
      </c>
      <c r="J422" t="s">
        <v>5086</v>
      </c>
      <c r="K422" s="75" t="s">
        <v>6610</v>
      </c>
      <c r="L422" s="75" t="s">
        <v>354</v>
      </c>
      <c r="M422" t="s">
        <v>6812</v>
      </c>
      <c r="N422" s="75" t="s">
        <v>5747</v>
      </c>
      <c r="O422" s="75" t="s">
        <v>355</v>
      </c>
      <c r="P422" t="s">
        <v>5987</v>
      </c>
      <c r="Q422" s="75" t="s">
        <v>3571</v>
      </c>
      <c r="R422" s="75" t="s">
        <v>448</v>
      </c>
      <c r="S422" t="s">
        <v>4714</v>
      </c>
      <c r="T422" s="75" t="s">
        <v>978</v>
      </c>
      <c r="U422" s="75" t="s">
        <v>355</v>
      </c>
      <c r="V422" t="s">
        <v>2842</v>
      </c>
      <c r="W422" s="75" t="s">
        <v>3633</v>
      </c>
      <c r="X422" s="75" t="s">
        <v>5717</v>
      </c>
      <c r="Y422" t="s">
        <v>6561</v>
      </c>
    </row>
    <row r="423" spans="2:25" x14ac:dyDescent="0.25">
      <c r="B423" s="75" t="s">
        <v>4306</v>
      </c>
      <c r="C423" s="75" t="s">
        <v>356</v>
      </c>
      <c r="D423" t="s">
        <v>4383</v>
      </c>
      <c r="E423" s="75" t="s">
        <v>1289</v>
      </c>
      <c r="F423" s="75" t="s">
        <v>349</v>
      </c>
      <c r="G423" t="s">
        <v>2103</v>
      </c>
      <c r="H423" s="75" t="s">
        <v>196</v>
      </c>
      <c r="I423" s="75" t="s">
        <v>862</v>
      </c>
      <c r="J423" t="s">
        <v>5791</v>
      </c>
      <c r="K423" s="75" t="s">
        <v>6787</v>
      </c>
      <c r="L423" s="75" t="s">
        <v>349</v>
      </c>
      <c r="M423" t="s">
        <v>6805</v>
      </c>
      <c r="N423" s="75" t="s">
        <v>5590</v>
      </c>
      <c r="O423" s="75" t="s">
        <v>862</v>
      </c>
      <c r="P423" t="s">
        <v>5967</v>
      </c>
      <c r="Q423" s="75" t="s">
        <v>4002</v>
      </c>
      <c r="R423" s="75" t="s">
        <v>2459</v>
      </c>
      <c r="S423" t="s">
        <v>4548</v>
      </c>
      <c r="T423" s="75" t="s">
        <v>1299</v>
      </c>
      <c r="U423" s="75" t="s">
        <v>1300</v>
      </c>
      <c r="V423" t="s">
        <v>1674</v>
      </c>
      <c r="W423" s="74" t="s">
        <v>4888</v>
      </c>
      <c r="X423" s="74" t="s">
        <v>354</v>
      </c>
      <c r="Y423" t="s">
        <v>6003</v>
      </c>
    </row>
    <row r="424" spans="2:25" x14ac:dyDescent="0.25">
      <c r="B424" s="75" t="s">
        <v>4069</v>
      </c>
      <c r="C424" s="75" t="s">
        <v>4072</v>
      </c>
      <c r="D424" t="s">
        <v>4344</v>
      </c>
      <c r="E424" s="75" t="s">
        <v>1136</v>
      </c>
      <c r="F424" s="75" t="s">
        <v>669</v>
      </c>
      <c r="G424" t="s">
        <v>2104</v>
      </c>
      <c r="H424" s="75" t="s">
        <v>3080</v>
      </c>
      <c r="I424" s="75" t="s">
        <v>354</v>
      </c>
      <c r="J424" t="s">
        <v>5880</v>
      </c>
      <c r="K424" s="75" t="s">
        <v>6239</v>
      </c>
      <c r="L424" s="75" t="s">
        <v>341</v>
      </c>
      <c r="M424" t="s">
        <v>6512</v>
      </c>
      <c r="N424" s="75" t="s">
        <v>3824</v>
      </c>
      <c r="O424" s="75" t="s">
        <v>936</v>
      </c>
      <c r="P424" t="s">
        <v>5678</v>
      </c>
      <c r="Q424" s="75" t="s">
        <v>3111</v>
      </c>
      <c r="R424" s="75" t="s">
        <v>457</v>
      </c>
      <c r="S424" t="s">
        <v>4441</v>
      </c>
      <c r="T424" s="75" t="s">
        <v>2990</v>
      </c>
      <c r="U424" s="75" t="s">
        <v>452</v>
      </c>
      <c r="V424" t="s">
        <v>3502</v>
      </c>
      <c r="W424" s="75" t="s">
        <v>5640</v>
      </c>
      <c r="X424" s="75" t="s">
        <v>378</v>
      </c>
      <c r="Y424" t="s">
        <v>5849</v>
      </c>
    </row>
    <row r="425" spans="2:25" x14ac:dyDescent="0.25">
      <c r="B425" s="75" t="s">
        <v>4051</v>
      </c>
      <c r="C425" s="75" t="s">
        <v>448</v>
      </c>
      <c r="D425" t="s">
        <v>4150</v>
      </c>
      <c r="E425" s="75" t="s">
        <v>1449</v>
      </c>
      <c r="F425" s="75" t="s">
        <v>452</v>
      </c>
      <c r="G425" t="s">
        <v>2105</v>
      </c>
      <c r="H425" s="75" t="s">
        <v>3717</v>
      </c>
      <c r="I425" s="75" t="s">
        <v>742</v>
      </c>
      <c r="J425" t="s">
        <v>4091</v>
      </c>
      <c r="K425" s="75" t="s">
        <v>6155</v>
      </c>
      <c r="L425" s="75" t="s">
        <v>342</v>
      </c>
      <c r="M425" t="s">
        <v>6400</v>
      </c>
      <c r="N425" s="75" t="s">
        <v>1845</v>
      </c>
      <c r="O425" s="75" t="s">
        <v>3303</v>
      </c>
      <c r="P425" t="s">
        <v>5632</v>
      </c>
      <c r="Q425" s="75" t="s">
        <v>3557</v>
      </c>
      <c r="R425" s="75" t="s">
        <v>452</v>
      </c>
      <c r="S425" t="s">
        <v>3978</v>
      </c>
      <c r="T425" s="75" t="s">
        <v>3694</v>
      </c>
      <c r="U425" s="75" t="s">
        <v>3919</v>
      </c>
      <c r="V425" t="s">
        <v>4005</v>
      </c>
      <c r="W425" s="75" t="s">
        <v>5166</v>
      </c>
      <c r="X425" s="75" t="s">
        <v>349</v>
      </c>
      <c r="Y425" t="s">
        <v>5691</v>
      </c>
    </row>
    <row r="426" spans="2:25" x14ac:dyDescent="0.25">
      <c r="B426" s="75" t="s">
        <v>3070</v>
      </c>
      <c r="C426" s="75" t="s">
        <v>4028</v>
      </c>
      <c r="D426" t="s">
        <v>4107</v>
      </c>
      <c r="E426" s="75" t="s">
        <v>728</v>
      </c>
      <c r="F426" s="75" t="s">
        <v>354</v>
      </c>
      <c r="G426" t="s">
        <v>1461</v>
      </c>
      <c r="H426" s="75" t="s">
        <v>3049</v>
      </c>
      <c r="I426" s="75" t="s">
        <v>936</v>
      </c>
      <c r="J426" t="s">
        <v>3822</v>
      </c>
      <c r="K426" s="75" t="s">
        <v>5964</v>
      </c>
      <c r="L426" s="75" t="s">
        <v>862</v>
      </c>
      <c r="M426" t="s">
        <v>6008</v>
      </c>
      <c r="N426" s="75" t="s">
        <v>5127</v>
      </c>
      <c r="O426" s="75" t="s">
        <v>348</v>
      </c>
      <c r="P426" t="s">
        <v>5248</v>
      </c>
      <c r="Q426" s="75" t="s">
        <v>2721</v>
      </c>
      <c r="R426" s="75" t="s">
        <v>378</v>
      </c>
      <c r="S426" t="s">
        <v>3730</v>
      </c>
      <c r="T426" s="75" t="s">
        <v>7927</v>
      </c>
      <c r="U426" s="75" t="s">
        <v>355</v>
      </c>
      <c r="V426" t="s">
        <v>8160</v>
      </c>
      <c r="W426" s="75" t="s">
        <v>5156</v>
      </c>
      <c r="X426" s="75" t="s">
        <v>351</v>
      </c>
      <c r="Y426" t="s">
        <v>9252</v>
      </c>
    </row>
    <row r="427" spans="2:25" x14ac:dyDescent="0.25">
      <c r="B427" s="75" t="s">
        <v>3756</v>
      </c>
      <c r="C427" s="75" t="s">
        <v>1354</v>
      </c>
      <c r="D427" t="s">
        <v>4090</v>
      </c>
      <c r="E427" s="75" t="s">
        <v>158</v>
      </c>
      <c r="F427" s="75" t="s">
        <v>740</v>
      </c>
      <c r="G427" t="s">
        <v>1462</v>
      </c>
      <c r="H427" s="75" t="s">
        <v>3307</v>
      </c>
      <c r="I427" s="75" t="s">
        <v>462</v>
      </c>
      <c r="J427" t="s">
        <v>3511</v>
      </c>
      <c r="K427" s="74" t="s">
        <v>5642</v>
      </c>
      <c r="L427" s="74" t="s">
        <v>353</v>
      </c>
      <c r="M427" t="s">
        <v>5900</v>
      </c>
      <c r="N427" s="75" t="s">
        <v>4541</v>
      </c>
      <c r="O427" s="75" t="s">
        <v>354</v>
      </c>
      <c r="P427" t="s">
        <v>5039</v>
      </c>
      <c r="Q427" s="75" t="s">
        <v>3268</v>
      </c>
      <c r="R427" s="75" t="s">
        <v>569</v>
      </c>
      <c r="S427" t="s">
        <v>3558</v>
      </c>
      <c r="T427" s="75" t="s">
        <v>7963</v>
      </c>
      <c r="U427" s="75" t="s">
        <v>354</v>
      </c>
      <c r="V427" t="s">
        <v>8241</v>
      </c>
      <c r="W427" s="75" t="s">
        <v>4951</v>
      </c>
      <c r="X427" s="75" t="s">
        <v>3303</v>
      </c>
      <c r="Y427" t="s">
        <v>5498</v>
      </c>
    </row>
    <row r="428" spans="2:25" x14ac:dyDescent="0.25">
      <c r="B428" s="75" t="s">
        <v>3582</v>
      </c>
      <c r="C428" s="75" t="s">
        <v>742</v>
      </c>
      <c r="D428" t="s">
        <v>3716</v>
      </c>
      <c r="E428" s="75" t="s">
        <v>813</v>
      </c>
      <c r="F428" s="75" t="s">
        <v>741</v>
      </c>
      <c r="G428" t="s">
        <v>2106</v>
      </c>
      <c r="H428" s="75" t="s">
        <v>3309</v>
      </c>
      <c r="I428" s="75" t="s">
        <v>2459</v>
      </c>
      <c r="J428" t="s">
        <v>3426</v>
      </c>
      <c r="K428" s="75" t="s">
        <v>5577</v>
      </c>
      <c r="L428" s="75" t="s">
        <v>354</v>
      </c>
      <c r="M428" t="s">
        <v>5805</v>
      </c>
      <c r="N428" s="75" t="s">
        <v>4967</v>
      </c>
      <c r="O428" s="75" t="s">
        <v>447</v>
      </c>
      <c r="P428" t="s">
        <v>5003</v>
      </c>
      <c r="Q428" s="75" t="s">
        <v>393</v>
      </c>
      <c r="R428" s="75" t="s">
        <v>11</v>
      </c>
      <c r="S428" t="s">
        <v>3559</v>
      </c>
      <c r="W428" s="75" t="s">
        <v>4875</v>
      </c>
      <c r="X428" s="75" t="s">
        <v>3928</v>
      </c>
      <c r="Y428" t="s">
        <v>5224</v>
      </c>
    </row>
    <row r="429" spans="2:25" x14ac:dyDescent="0.25">
      <c r="B429" s="75" t="s">
        <v>3455</v>
      </c>
      <c r="C429" s="75" t="s">
        <v>2924</v>
      </c>
      <c r="D429" t="s">
        <v>3609</v>
      </c>
      <c r="E429" s="75" t="s">
        <v>1449</v>
      </c>
      <c r="F429" s="75" t="s">
        <v>452</v>
      </c>
      <c r="G429" t="s">
        <v>2107</v>
      </c>
      <c r="H429" s="75" t="s">
        <v>644</v>
      </c>
      <c r="I429" s="75" t="s">
        <v>517</v>
      </c>
      <c r="J429" t="s">
        <v>3374</v>
      </c>
      <c r="K429" s="75" t="s">
        <v>5648</v>
      </c>
      <c r="L429" s="75" t="s">
        <v>457</v>
      </c>
      <c r="M429" t="s">
        <v>5804</v>
      </c>
      <c r="N429" s="75" t="s">
        <v>291</v>
      </c>
      <c r="O429" s="75" t="s">
        <v>378</v>
      </c>
      <c r="P429" t="s">
        <v>5002</v>
      </c>
      <c r="Q429" s="75" t="s">
        <v>2663</v>
      </c>
      <c r="R429" s="75" t="s">
        <v>1479</v>
      </c>
      <c r="S429" t="s">
        <v>3560</v>
      </c>
      <c r="W429" s="75" t="s">
        <v>4650</v>
      </c>
      <c r="X429" s="75" t="s">
        <v>3303</v>
      </c>
      <c r="Y429" t="s">
        <v>9251</v>
      </c>
    </row>
    <row r="430" spans="2:25" x14ac:dyDescent="0.25">
      <c r="B430" s="75" t="s">
        <v>647</v>
      </c>
      <c r="C430" s="75" t="s">
        <v>353</v>
      </c>
      <c r="D430" t="s">
        <v>3554</v>
      </c>
      <c r="E430" s="75" t="s">
        <v>686</v>
      </c>
      <c r="F430" s="75" t="s">
        <v>516</v>
      </c>
      <c r="G430" t="s">
        <v>1463</v>
      </c>
      <c r="H430" s="75" t="s">
        <v>728</v>
      </c>
      <c r="I430" s="75" t="s">
        <v>488</v>
      </c>
      <c r="J430" t="s">
        <v>3347</v>
      </c>
      <c r="K430" s="75" t="s">
        <v>5312</v>
      </c>
      <c r="L430" s="75" t="s">
        <v>1506</v>
      </c>
      <c r="M430" t="s">
        <v>5431</v>
      </c>
      <c r="N430" s="75" t="s">
        <v>3719</v>
      </c>
      <c r="O430" s="75" t="s">
        <v>457</v>
      </c>
      <c r="P430" t="s">
        <v>4949</v>
      </c>
      <c r="Q430" s="75" t="s">
        <v>3013</v>
      </c>
      <c r="R430" s="75" t="s">
        <v>740</v>
      </c>
      <c r="S430" t="s">
        <v>3561</v>
      </c>
      <c r="W430" s="75" t="s">
        <v>4642</v>
      </c>
      <c r="X430" s="75" t="s">
        <v>1506</v>
      </c>
      <c r="Y430" t="s">
        <v>4836</v>
      </c>
    </row>
    <row r="431" spans="2:25" x14ac:dyDescent="0.25">
      <c r="B431" s="75" t="s">
        <v>3179</v>
      </c>
      <c r="C431" s="75" t="s">
        <v>2459</v>
      </c>
      <c r="D431" t="s">
        <v>3499</v>
      </c>
      <c r="E431" s="75" t="s">
        <v>1073</v>
      </c>
      <c r="F431" s="75" t="s">
        <v>742</v>
      </c>
      <c r="G431" t="s">
        <v>2108</v>
      </c>
      <c r="H431" s="75" t="s">
        <v>2917</v>
      </c>
      <c r="I431" s="75" t="s">
        <v>378</v>
      </c>
      <c r="J431" t="s">
        <v>3280</v>
      </c>
      <c r="K431" s="75" t="s">
        <v>5512</v>
      </c>
      <c r="L431" s="75" t="s">
        <v>5287</v>
      </c>
      <c r="M431" t="s">
        <v>5513</v>
      </c>
      <c r="N431" s="75" t="s">
        <v>4001</v>
      </c>
      <c r="O431" s="75" t="s">
        <v>356</v>
      </c>
      <c r="P431" t="s">
        <v>4093</v>
      </c>
      <c r="Q431" s="75" t="s">
        <v>1848</v>
      </c>
      <c r="R431" s="75" t="s">
        <v>740</v>
      </c>
      <c r="S431" t="s">
        <v>3562</v>
      </c>
      <c r="W431" s="75" t="s">
        <v>3208</v>
      </c>
      <c r="X431" s="75" t="s">
        <v>941</v>
      </c>
      <c r="Y431" t="s">
        <v>4778</v>
      </c>
    </row>
    <row r="432" spans="2:25" x14ac:dyDescent="0.25">
      <c r="B432" s="75" t="s">
        <v>3070</v>
      </c>
      <c r="C432" s="75" t="s">
        <v>516</v>
      </c>
      <c r="D432" t="s">
        <v>3294</v>
      </c>
      <c r="E432" s="75" t="s">
        <v>208</v>
      </c>
      <c r="F432" s="75" t="s">
        <v>743</v>
      </c>
      <c r="G432" t="s">
        <v>2109</v>
      </c>
      <c r="H432" s="75" t="s">
        <v>248</v>
      </c>
      <c r="I432" s="75" t="s">
        <v>518</v>
      </c>
      <c r="J432" t="s">
        <v>3250</v>
      </c>
      <c r="K432" s="75" t="s">
        <v>4789</v>
      </c>
      <c r="L432" s="75" t="s">
        <v>448</v>
      </c>
      <c r="M432" t="s">
        <v>4929</v>
      </c>
      <c r="N432" s="75" t="s">
        <v>2583</v>
      </c>
      <c r="O432" s="75" t="s">
        <v>2610</v>
      </c>
      <c r="P432" t="s">
        <v>2625</v>
      </c>
      <c r="Q432" s="75" t="s">
        <v>1925</v>
      </c>
      <c r="R432" s="75" t="s">
        <v>349</v>
      </c>
      <c r="S432" t="s">
        <v>3563</v>
      </c>
      <c r="W432" s="75" t="s">
        <v>3537</v>
      </c>
      <c r="X432" s="75" t="s">
        <v>11</v>
      </c>
      <c r="Y432" t="s">
        <v>3681</v>
      </c>
    </row>
    <row r="433" spans="2:25" x14ac:dyDescent="0.25">
      <c r="B433" s="75" t="s">
        <v>696</v>
      </c>
      <c r="C433" s="75" t="s">
        <v>488</v>
      </c>
      <c r="D433" t="s">
        <v>3340</v>
      </c>
      <c r="E433" s="75" t="s">
        <v>1110</v>
      </c>
      <c r="F433" s="75" t="s">
        <v>862</v>
      </c>
      <c r="G433" t="s">
        <v>1447</v>
      </c>
      <c r="H433" s="75" t="s">
        <v>1705</v>
      </c>
      <c r="I433" s="75" t="s">
        <v>569</v>
      </c>
      <c r="J433" t="s">
        <v>3172</v>
      </c>
      <c r="K433" s="75" t="s">
        <v>1214</v>
      </c>
      <c r="L433" s="75" t="s">
        <v>11</v>
      </c>
      <c r="M433" t="s">
        <v>4889</v>
      </c>
      <c r="N433" s="75" t="s">
        <v>275</v>
      </c>
      <c r="O433" s="75" t="s">
        <v>2924</v>
      </c>
      <c r="P433" t="s">
        <v>3214</v>
      </c>
      <c r="Q433" s="75" t="s">
        <v>1789</v>
      </c>
      <c r="R433" s="75" t="s">
        <v>344</v>
      </c>
      <c r="S433" t="s">
        <v>3564</v>
      </c>
      <c r="W433" s="75" t="s">
        <v>3392</v>
      </c>
      <c r="X433" s="75" t="s">
        <v>1479</v>
      </c>
      <c r="Y433" t="s">
        <v>3443</v>
      </c>
    </row>
    <row r="434" spans="2:25" x14ac:dyDescent="0.25">
      <c r="B434" s="75" t="s">
        <v>2944</v>
      </c>
      <c r="C434" s="75" t="s">
        <v>356</v>
      </c>
      <c r="D434" t="s">
        <v>3110</v>
      </c>
      <c r="E434" s="75" t="s">
        <v>192</v>
      </c>
      <c r="F434" s="75" t="s">
        <v>488</v>
      </c>
      <c r="G434" t="s">
        <v>1444</v>
      </c>
      <c r="H434" s="75" t="s">
        <v>157</v>
      </c>
      <c r="I434" s="75" t="s">
        <v>379</v>
      </c>
      <c r="J434" t="s">
        <v>3033</v>
      </c>
      <c r="K434" s="75" t="s">
        <v>4423</v>
      </c>
      <c r="L434" s="75" t="s">
        <v>669</v>
      </c>
      <c r="M434" t="s">
        <v>4855</v>
      </c>
      <c r="N434" s="75" t="s">
        <v>291</v>
      </c>
      <c r="O434" s="75" t="s">
        <v>740</v>
      </c>
      <c r="P434" t="s">
        <v>3047</v>
      </c>
      <c r="Q434" s="75" t="s">
        <v>1038</v>
      </c>
      <c r="R434" s="75" t="s">
        <v>740</v>
      </c>
      <c r="S434" t="s">
        <v>3565</v>
      </c>
      <c r="W434" s="75" t="s">
        <v>2839</v>
      </c>
      <c r="X434" s="75" t="s">
        <v>344</v>
      </c>
      <c r="Y434" t="s">
        <v>3501</v>
      </c>
    </row>
    <row r="435" spans="2:25" x14ac:dyDescent="0.25">
      <c r="B435" s="75" t="s">
        <v>1813</v>
      </c>
      <c r="C435" s="75" t="s">
        <v>356</v>
      </c>
      <c r="D435" t="s">
        <v>1892</v>
      </c>
      <c r="E435" s="75" t="s">
        <v>1296</v>
      </c>
      <c r="F435" s="75" t="s">
        <v>355</v>
      </c>
      <c r="G435" t="s">
        <v>2112</v>
      </c>
      <c r="H435" s="75" t="s">
        <v>2630</v>
      </c>
      <c r="I435" s="75" t="s">
        <v>378</v>
      </c>
      <c r="J435" t="s">
        <v>2841</v>
      </c>
      <c r="K435" s="75" t="s">
        <v>4796</v>
      </c>
      <c r="L435" s="75" t="s">
        <v>352</v>
      </c>
      <c r="M435" t="s">
        <v>4703</v>
      </c>
      <c r="N435" s="75" t="s">
        <v>3014</v>
      </c>
      <c r="O435" s="75" t="s">
        <v>488</v>
      </c>
      <c r="P435" t="s">
        <v>3048</v>
      </c>
      <c r="Q435" s="75" t="s">
        <v>1274</v>
      </c>
      <c r="R435" s="75" t="s">
        <v>743</v>
      </c>
      <c r="S435" t="s">
        <v>3566</v>
      </c>
      <c r="W435" s="75" t="s">
        <v>2987</v>
      </c>
      <c r="X435" s="75" t="s">
        <v>941</v>
      </c>
      <c r="Y435" t="s">
        <v>3193</v>
      </c>
    </row>
    <row r="436" spans="2:25" x14ac:dyDescent="0.25">
      <c r="B436" s="75" t="s">
        <v>1731</v>
      </c>
      <c r="C436" s="75" t="s">
        <v>742</v>
      </c>
      <c r="D436" t="s">
        <v>3341</v>
      </c>
      <c r="E436" s="75" t="s">
        <v>1632</v>
      </c>
      <c r="F436" s="75" t="s">
        <v>378</v>
      </c>
      <c r="G436" t="s">
        <v>2110</v>
      </c>
      <c r="H436" s="75" t="s">
        <v>2503</v>
      </c>
      <c r="I436" s="75" t="s">
        <v>740</v>
      </c>
      <c r="J436" t="s">
        <v>2826</v>
      </c>
      <c r="K436" s="75" t="s">
        <v>4324</v>
      </c>
      <c r="L436" s="75" t="s">
        <v>355</v>
      </c>
      <c r="M436" t="s">
        <v>4388</v>
      </c>
      <c r="N436" s="75" t="s">
        <v>1890</v>
      </c>
      <c r="O436" s="75" t="s">
        <v>452</v>
      </c>
      <c r="P436" t="s">
        <v>2753</v>
      </c>
      <c r="Q436" s="75" t="s">
        <v>1213</v>
      </c>
      <c r="R436" s="75" t="s">
        <v>344</v>
      </c>
      <c r="S436" t="s">
        <v>3567</v>
      </c>
      <c r="W436" s="75" t="s">
        <v>3022</v>
      </c>
      <c r="X436" s="75" t="s">
        <v>740</v>
      </c>
      <c r="Y436" t="s">
        <v>3057</v>
      </c>
    </row>
    <row r="437" spans="2:25" x14ac:dyDescent="0.25">
      <c r="B437" s="75" t="s">
        <v>1601</v>
      </c>
      <c r="C437" s="75" t="s">
        <v>1602</v>
      </c>
      <c r="D437" t="s">
        <v>2113</v>
      </c>
      <c r="E437" s="75" t="s">
        <v>1704</v>
      </c>
      <c r="F437" s="75" t="s">
        <v>1602</v>
      </c>
      <c r="G437" t="s">
        <v>2111</v>
      </c>
      <c r="H437" s="75" t="s">
        <v>1816</v>
      </c>
      <c r="I437" s="75" t="s">
        <v>742</v>
      </c>
      <c r="J437" t="s">
        <v>2522</v>
      </c>
      <c r="K437" s="75" t="s">
        <v>609</v>
      </c>
      <c r="L437" s="75" t="s">
        <v>4226</v>
      </c>
      <c r="M437" t="s">
        <v>4603</v>
      </c>
      <c r="N437" s="75" t="s">
        <v>608</v>
      </c>
      <c r="O437" s="75" t="s">
        <v>488</v>
      </c>
      <c r="P437" t="s">
        <v>2736</v>
      </c>
      <c r="Q437" s="75" t="s">
        <v>970</v>
      </c>
      <c r="R437" s="75" t="s">
        <v>941</v>
      </c>
      <c r="S437" t="s">
        <v>3568</v>
      </c>
      <c r="W437" s="75" t="s">
        <v>2698</v>
      </c>
      <c r="X437" s="75" t="s">
        <v>344</v>
      </c>
      <c r="Y437" t="s">
        <v>2834</v>
      </c>
    </row>
    <row r="438" spans="2:25" x14ac:dyDescent="0.25">
      <c r="B438" s="75" t="s">
        <v>1337</v>
      </c>
      <c r="C438" s="75" t="s">
        <v>741</v>
      </c>
      <c r="D438" t="s">
        <v>3339</v>
      </c>
      <c r="E438" s="75" t="s">
        <v>1816</v>
      </c>
      <c r="F438" s="75" t="s">
        <v>742</v>
      </c>
      <c r="G438" t="s">
        <v>2507</v>
      </c>
      <c r="H438" s="75" t="s">
        <v>1704</v>
      </c>
      <c r="I438" s="75" t="s">
        <v>1602</v>
      </c>
      <c r="J438" t="s">
        <v>2512</v>
      </c>
      <c r="K438" s="75" t="s">
        <v>4080</v>
      </c>
      <c r="L438" s="75" t="s">
        <v>669</v>
      </c>
      <c r="M438" t="s">
        <v>4987</v>
      </c>
      <c r="N438" s="75" t="s">
        <v>1750</v>
      </c>
      <c r="O438" s="75" t="s">
        <v>488</v>
      </c>
      <c r="P438" t="s">
        <v>2552</v>
      </c>
      <c r="Q438" s="75" t="s">
        <v>844</v>
      </c>
      <c r="R438" s="75" t="s">
        <v>941</v>
      </c>
      <c r="S438" t="s">
        <v>3569</v>
      </c>
      <c r="W438" s="75" t="s">
        <v>2494</v>
      </c>
      <c r="X438" s="75" t="s">
        <v>941</v>
      </c>
      <c r="Y438" t="s">
        <v>2752</v>
      </c>
    </row>
    <row r="439" spans="2:25" x14ac:dyDescent="0.25">
      <c r="B439" s="75" t="s">
        <v>1313</v>
      </c>
      <c r="C439" s="75" t="s">
        <v>378</v>
      </c>
      <c r="D439" t="s">
        <v>2114</v>
      </c>
      <c r="E439" s="75" t="s">
        <v>2503</v>
      </c>
      <c r="F439" s="75" t="s">
        <v>740</v>
      </c>
      <c r="G439" t="s">
        <v>2649</v>
      </c>
      <c r="H439" s="75" t="s">
        <v>1632</v>
      </c>
      <c r="I439" s="75" t="s">
        <v>378</v>
      </c>
      <c r="J439" t="s">
        <v>2087</v>
      </c>
      <c r="K439" s="75" t="s">
        <v>3958</v>
      </c>
      <c r="L439" s="75" t="s">
        <v>356</v>
      </c>
      <c r="M439" t="s">
        <v>4048</v>
      </c>
      <c r="N439" s="75" t="s">
        <v>697</v>
      </c>
      <c r="O439" s="75" t="s">
        <v>488</v>
      </c>
      <c r="P439" t="s">
        <v>1906</v>
      </c>
      <c r="Q439" s="75" t="s">
        <v>796</v>
      </c>
      <c r="R439" s="75" t="s">
        <v>743</v>
      </c>
      <c r="S439" t="s">
        <v>3570</v>
      </c>
      <c r="W439" s="75" t="s">
        <v>1743</v>
      </c>
      <c r="X439" s="75" t="s">
        <v>941</v>
      </c>
      <c r="Y439" t="s">
        <v>2444</v>
      </c>
    </row>
    <row r="440" spans="2:25" x14ac:dyDescent="0.25">
      <c r="B440" s="75" t="s">
        <v>1238</v>
      </c>
      <c r="C440" s="75" t="s">
        <v>355</v>
      </c>
      <c r="D440" t="s">
        <v>1445</v>
      </c>
      <c r="E440" s="75" t="s">
        <v>1705</v>
      </c>
      <c r="F440" s="75" t="s">
        <v>741</v>
      </c>
      <c r="G440" t="s">
        <v>2805</v>
      </c>
      <c r="H440" s="75" t="s">
        <v>1000</v>
      </c>
      <c r="I440" s="75" t="s">
        <v>353</v>
      </c>
      <c r="J440" t="s">
        <v>1860</v>
      </c>
      <c r="K440" s="75" t="s">
        <v>3706</v>
      </c>
      <c r="L440" s="75" t="s">
        <v>340</v>
      </c>
      <c r="M440" t="s">
        <v>4022</v>
      </c>
      <c r="N440" s="75" t="s">
        <v>576</v>
      </c>
      <c r="O440" s="75" t="s">
        <v>516</v>
      </c>
      <c r="P440" t="s">
        <v>2035</v>
      </c>
      <c r="Q440" s="75" t="s">
        <v>982</v>
      </c>
      <c r="R440" s="75" t="s">
        <v>349</v>
      </c>
      <c r="S440" t="s">
        <v>3573</v>
      </c>
      <c r="W440" s="75" t="s">
        <v>1600</v>
      </c>
      <c r="X440" s="75" t="s">
        <v>941</v>
      </c>
      <c r="Y440" t="s">
        <v>1633</v>
      </c>
    </row>
    <row r="441" spans="2:25" x14ac:dyDescent="0.25">
      <c r="B441" s="75" t="s">
        <v>1197</v>
      </c>
      <c r="C441" s="75" t="s">
        <v>349</v>
      </c>
      <c r="D441" t="s">
        <v>2115</v>
      </c>
      <c r="E441" s="75" t="s">
        <v>157</v>
      </c>
      <c r="F441" s="75" t="s">
        <v>379</v>
      </c>
      <c r="G441" t="s">
        <v>3019</v>
      </c>
      <c r="H441" s="75" t="s">
        <v>1110</v>
      </c>
      <c r="I441" s="75" t="s">
        <v>862</v>
      </c>
      <c r="J441" t="s">
        <v>1658</v>
      </c>
      <c r="K441" s="75" t="s">
        <v>3632</v>
      </c>
      <c r="L441" s="75" t="s">
        <v>569</v>
      </c>
      <c r="M441" t="s">
        <v>3552</v>
      </c>
      <c r="N441" s="75" t="s">
        <v>1604</v>
      </c>
      <c r="O441" s="75" t="s">
        <v>1603</v>
      </c>
      <c r="P441" t="s">
        <v>1726</v>
      </c>
      <c r="Q441" s="75" t="s">
        <v>868</v>
      </c>
      <c r="R441" s="75" t="s">
        <v>743</v>
      </c>
      <c r="S441" t="s">
        <v>3574</v>
      </c>
      <c r="W441" s="75" t="s">
        <v>1149</v>
      </c>
      <c r="X441" s="75" t="s">
        <v>941</v>
      </c>
      <c r="Y441" t="s">
        <v>2023</v>
      </c>
    </row>
    <row r="442" spans="2:25" x14ac:dyDescent="0.25">
      <c r="B442" s="75" t="s">
        <v>843</v>
      </c>
      <c r="C442" s="75" t="s">
        <v>669</v>
      </c>
      <c r="D442" t="s">
        <v>2116</v>
      </c>
      <c r="E442" s="75" t="s">
        <v>2765</v>
      </c>
      <c r="F442" s="75" t="s">
        <v>356</v>
      </c>
      <c r="G442" t="s">
        <v>3058</v>
      </c>
      <c r="H442" s="75" t="s">
        <v>208</v>
      </c>
      <c r="I442" s="75" t="s">
        <v>743</v>
      </c>
      <c r="J442" t="s">
        <v>2088</v>
      </c>
      <c r="K442" s="75" t="s">
        <v>3412</v>
      </c>
      <c r="L442" s="75" t="s">
        <v>2459</v>
      </c>
      <c r="M442" t="s">
        <v>3460</v>
      </c>
      <c r="N442" s="75" t="s">
        <v>1146</v>
      </c>
      <c r="O442" s="75" t="s">
        <v>378</v>
      </c>
      <c r="P442" t="s">
        <v>2036</v>
      </c>
      <c r="Q442" s="75" t="s">
        <v>1634</v>
      </c>
      <c r="R442" s="75" t="s">
        <v>941</v>
      </c>
      <c r="S442" t="s">
        <v>3575</v>
      </c>
      <c r="W442" s="75" t="s">
        <v>731</v>
      </c>
      <c r="X442" s="75" t="s">
        <v>344</v>
      </c>
      <c r="Y442" t="s">
        <v>2024</v>
      </c>
    </row>
    <row r="443" spans="2:25" x14ac:dyDescent="0.25">
      <c r="B443" s="75" t="s">
        <v>983</v>
      </c>
      <c r="C443" s="75" t="s">
        <v>862</v>
      </c>
      <c r="D443" t="s">
        <v>1448</v>
      </c>
      <c r="E443" s="75" t="s">
        <v>810</v>
      </c>
      <c r="F443" s="75" t="s">
        <v>352</v>
      </c>
      <c r="G443" t="s">
        <v>3091</v>
      </c>
      <c r="H443" s="75" t="s">
        <v>1073</v>
      </c>
      <c r="I443" s="75" t="s">
        <v>742</v>
      </c>
      <c r="J443" t="s">
        <v>2089</v>
      </c>
      <c r="K443" s="75" t="s">
        <v>2957</v>
      </c>
      <c r="L443" s="75" t="s">
        <v>742</v>
      </c>
      <c r="M443" t="s">
        <v>3373</v>
      </c>
      <c r="N443" s="75" t="s">
        <v>1201</v>
      </c>
      <c r="O443" s="75" t="s">
        <v>488</v>
      </c>
      <c r="P443" t="s">
        <v>1451</v>
      </c>
      <c r="Q443" s="75" t="s">
        <v>681</v>
      </c>
      <c r="R443" s="75" t="s">
        <v>349</v>
      </c>
      <c r="S443" t="s">
        <v>3576</v>
      </c>
      <c r="W443" s="75" t="s">
        <v>935</v>
      </c>
      <c r="X443" s="75" t="s">
        <v>936</v>
      </c>
      <c r="Y443" t="s">
        <v>2025</v>
      </c>
    </row>
    <row r="444" spans="2:25" x14ac:dyDescent="0.25">
      <c r="B444" s="75" t="s">
        <v>1043</v>
      </c>
      <c r="C444" s="75" t="s">
        <v>488</v>
      </c>
      <c r="D444" t="s">
        <v>1450</v>
      </c>
      <c r="E444" s="75" t="s">
        <v>248</v>
      </c>
      <c r="F444" s="75" t="s">
        <v>518</v>
      </c>
      <c r="G444" t="s">
        <v>3228</v>
      </c>
      <c r="H444" s="75" t="s">
        <v>934</v>
      </c>
      <c r="I444" s="75" t="s">
        <v>453</v>
      </c>
      <c r="J444" t="s">
        <v>2090</v>
      </c>
      <c r="K444" s="75" t="s">
        <v>3209</v>
      </c>
      <c r="L444" s="75" t="s">
        <v>1479</v>
      </c>
      <c r="M444" t="s">
        <v>3281</v>
      </c>
      <c r="N444" s="75" t="s">
        <v>1007</v>
      </c>
      <c r="O444" s="75" t="s">
        <v>355</v>
      </c>
      <c r="P444" t="s">
        <v>2037</v>
      </c>
      <c r="Q444" s="75" t="s">
        <v>533</v>
      </c>
      <c r="R444" s="75" t="s">
        <v>740</v>
      </c>
      <c r="S444" t="s">
        <v>3577</v>
      </c>
      <c r="W444" s="75" t="s">
        <v>706</v>
      </c>
      <c r="X444" s="75" t="s">
        <v>344</v>
      </c>
      <c r="Y444" t="s">
        <v>1459</v>
      </c>
    </row>
    <row r="445" spans="2:25" x14ac:dyDescent="0.25">
      <c r="B445" s="75" t="s">
        <v>1452</v>
      </c>
      <c r="C445" s="75" t="s">
        <v>758</v>
      </c>
      <c r="D445" t="s">
        <v>2117</v>
      </c>
      <c r="E445" s="75" t="s">
        <v>728</v>
      </c>
      <c r="F445" s="75" t="s">
        <v>488</v>
      </c>
      <c r="G445" t="s">
        <v>3284</v>
      </c>
      <c r="H445" s="75" t="s">
        <v>686</v>
      </c>
      <c r="I445" s="75" t="s">
        <v>516</v>
      </c>
      <c r="J445" t="s">
        <v>1453</v>
      </c>
      <c r="K445" s="75" t="s">
        <v>3191</v>
      </c>
      <c r="L445" s="75" t="s">
        <v>569</v>
      </c>
      <c r="M445" t="s">
        <v>3201</v>
      </c>
      <c r="N445" s="75" t="s">
        <v>905</v>
      </c>
      <c r="O445" s="75" t="s">
        <v>453</v>
      </c>
      <c r="P445" t="s">
        <v>1454</v>
      </c>
      <c r="Q445" s="75" t="s">
        <v>3293</v>
      </c>
      <c r="R445" s="75" t="s">
        <v>740</v>
      </c>
      <c r="S445" t="s">
        <v>3578</v>
      </c>
      <c r="W445" s="75" t="s">
        <v>849</v>
      </c>
      <c r="X445" s="75" t="s">
        <v>378</v>
      </c>
      <c r="Y445" t="s">
        <v>2026</v>
      </c>
    </row>
    <row r="446" spans="2:25" x14ac:dyDescent="0.25">
      <c r="B446" s="75" t="s">
        <v>874</v>
      </c>
      <c r="C446" s="75" t="s">
        <v>453</v>
      </c>
      <c r="D446" t="s">
        <v>1466</v>
      </c>
      <c r="E446" s="75" t="s">
        <v>3309</v>
      </c>
      <c r="F446" s="75" t="s">
        <v>2459</v>
      </c>
      <c r="G446" t="s">
        <v>3391</v>
      </c>
      <c r="H446" s="75" t="s">
        <v>810</v>
      </c>
      <c r="I446" s="75" t="s">
        <v>356</v>
      </c>
      <c r="J446" t="s">
        <v>2091</v>
      </c>
      <c r="K446" s="75" t="s">
        <v>3043</v>
      </c>
      <c r="L446" s="75" t="s">
        <v>3054</v>
      </c>
      <c r="M446" t="s">
        <v>3148</v>
      </c>
      <c r="N446" s="75" t="s">
        <v>829</v>
      </c>
      <c r="O446" s="75" t="s">
        <v>488</v>
      </c>
      <c r="P446" t="s">
        <v>2038</v>
      </c>
      <c r="Q446" s="75" t="s">
        <v>3081</v>
      </c>
      <c r="R446" s="75" t="s">
        <v>569</v>
      </c>
      <c r="S446" t="s">
        <v>3579</v>
      </c>
      <c r="W446" s="75" t="s">
        <v>852</v>
      </c>
      <c r="X446" s="75" t="s">
        <v>344</v>
      </c>
      <c r="Y446" t="s">
        <v>1460</v>
      </c>
    </row>
    <row r="447" spans="2:25" x14ac:dyDescent="0.25">
      <c r="B447" s="75" t="s">
        <v>902</v>
      </c>
      <c r="C447" s="75" t="s">
        <v>353</v>
      </c>
      <c r="D447" t="s">
        <v>1467</v>
      </c>
      <c r="E447" s="75" t="s">
        <v>3307</v>
      </c>
      <c r="F447" s="75" t="s">
        <v>462</v>
      </c>
      <c r="G447" t="s">
        <v>3421</v>
      </c>
      <c r="H447" s="75" t="s">
        <v>728</v>
      </c>
      <c r="I447" s="75" t="s">
        <v>354</v>
      </c>
      <c r="J447" t="s">
        <v>1469</v>
      </c>
      <c r="K447" s="75" t="s">
        <v>2988</v>
      </c>
      <c r="L447" s="75" t="s">
        <v>862</v>
      </c>
      <c r="M447" t="s">
        <v>2939</v>
      </c>
      <c r="N447" s="75" t="s">
        <v>1477</v>
      </c>
      <c r="O447" s="75" t="s">
        <v>741</v>
      </c>
      <c r="P447" t="s">
        <v>2039</v>
      </c>
      <c r="Q447" s="75" t="s">
        <v>3111</v>
      </c>
      <c r="R447" s="75" t="s">
        <v>356</v>
      </c>
      <c r="S447" t="s">
        <v>3580</v>
      </c>
      <c r="W447" s="75" t="s">
        <v>404</v>
      </c>
      <c r="X447" s="75" t="s">
        <v>740</v>
      </c>
      <c r="Y447" t="s">
        <v>2027</v>
      </c>
    </row>
    <row r="448" spans="2:25" x14ac:dyDescent="0.25">
      <c r="B448" s="75" t="s">
        <v>785</v>
      </c>
      <c r="C448" s="75" t="s">
        <v>741</v>
      </c>
      <c r="D448" t="s">
        <v>2118</v>
      </c>
      <c r="E448" s="75" t="s">
        <v>196</v>
      </c>
      <c r="F448" s="75" t="s">
        <v>516</v>
      </c>
      <c r="G448" t="s">
        <v>3682</v>
      </c>
      <c r="H448" s="75" t="s">
        <v>1470</v>
      </c>
      <c r="I448" s="75" t="s">
        <v>378</v>
      </c>
      <c r="J448" t="s">
        <v>2092</v>
      </c>
      <c r="K448" s="75" t="s">
        <v>2925</v>
      </c>
      <c r="L448" s="75" t="s">
        <v>2924</v>
      </c>
      <c r="M448" t="s">
        <v>2747</v>
      </c>
      <c r="N448" s="75" t="s">
        <v>828</v>
      </c>
      <c r="O448" s="75" t="s">
        <v>353</v>
      </c>
      <c r="P448" t="s">
        <v>2040</v>
      </c>
      <c r="Q448" s="75" t="s">
        <v>3500</v>
      </c>
      <c r="R448" s="75" t="s">
        <v>3112</v>
      </c>
      <c r="S448" t="s">
        <v>3581</v>
      </c>
      <c r="W448" s="75" t="s">
        <v>935</v>
      </c>
      <c r="X448" s="75" t="s">
        <v>936</v>
      </c>
      <c r="Y448" t="s">
        <v>2025</v>
      </c>
    </row>
    <row r="449" spans="2:25" x14ac:dyDescent="0.25">
      <c r="B449" s="75" t="s">
        <v>1056</v>
      </c>
      <c r="C449" s="75" t="s">
        <v>516</v>
      </c>
      <c r="D449" t="s">
        <v>2119</v>
      </c>
      <c r="E449" s="75" t="s">
        <v>3610</v>
      </c>
      <c r="F449" s="75" t="s">
        <v>3790</v>
      </c>
      <c r="G449" t="s">
        <v>3728</v>
      </c>
      <c r="H449" s="75" t="s">
        <v>813</v>
      </c>
      <c r="I449" s="75" t="s">
        <v>741</v>
      </c>
      <c r="J449" t="s">
        <v>2093</v>
      </c>
      <c r="K449" s="75" t="s">
        <v>1891</v>
      </c>
      <c r="L449" s="75" t="s">
        <v>758</v>
      </c>
      <c r="M449" t="s">
        <v>2541</v>
      </c>
      <c r="N449" s="75" t="s">
        <v>905</v>
      </c>
      <c r="O449" s="75" t="s">
        <v>453</v>
      </c>
      <c r="P449" t="s">
        <v>2041</v>
      </c>
      <c r="Q449" s="75" t="s">
        <v>3324</v>
      </c>
      <c r="R449" s="75" t="s">
        <v>356</v>
      </c>
      <c r="S449" t="s">
        <v>3601</v>
      </c>
      <c r="W449" s="75" t="s">
        <v>849</v>
      </c>
      <c r="X449" s="75" t="s">
        <v>344</v>
      </c>
      <c r="Y449" t="s">
        <v>2028</v>
      </c>
    </row>
    <row r="450" spans="2:25" x14ac:dyDescent="0.25">
      <c r="B450" s="75" t="s">
        <v>1020</v>
      </c>
      <c r="C450" s="75" t="s">
        <v>742</v>
      </c>
      <c r="D450" t="s">
        <v>1468</v>
      </c>
      <c r="E450" s="75" t="s">
        <v>3717</v>
      </c>
      <c r="F450" s="75" t="s">
        <v>742</v>
      </c>
      <c r="G450" t="s">
        <v>4003</v>
      </c>
      <c r="H450" s="75" t="s">
        <v>158</v>
      </c>
      <c r="I450" s="75" t="s">
        <v>740</v>
      </c>
      <c r="J450" t="s">
        <v>1471</v>
      </c>
      <c r="K450" s="75" t="s">
        <v>1818</v>
      </c>
      <c r="L450" s="75" t="s">
        <v>378</v>
      </c>
      <c r="M450" t="s">
        <v>1883</v>
      </c>
      <c r="N450" s="75" t="s">
        <v>154</v>
      </c>
      <c r="O450" s="75" t="s">
        <v>742</v>
      </c>
      <c r="P450" t="s">
        <v>2042</v>
      </c>
      <c r="Q450" s="75" t="s">
        <v>276</v>
      </c>
      <c r="R450" s="75" t="s">
        <v>941</v>
      </c>
      <c r="S450" t="s">
        <v>4052</v>
      </c>
      <c r="W450" s="75" t="s">
        <v>951</v>
      </c>
      <c r="X450" s="75" t="s">
        <v>941</v>
      </c>
      <c r="Y450" t="s">
        <v>2029</v>
      </c>
    </row>
    <row r="451" spans="2:25" x14ac:dyDescent="0.25">
      <c r="B451" s="75" t="s">
        <v>1039</v>
      </c>
      <c r="C451" s="75" t="s">
        <v>743</v>
      </c>
      <c r="D451" t="s">
        <v>2120</v>
      </c>
      <c r="E451" s="75" t="s">
        <v>156</v>
      </c>
      <c r="F451" s="75" t="s">
        <v>1354</v>
      </c>
      <c r="G451" t="s">
        <v>4004</v>
      </c>
      <c r="H451" s="75" t="s">
        <v>722</v>
      </c>
      <c r="I451" s="75" t="s">
        <v>462</v>
      </c>
      <c r="J451" t="s">
        <v>2094</v>
      </c>
      <c r="K451" s="75" t="s">
        <v>150</v>
      </c>
      <c r="L451" s="75" t="s">
        <v>452</v>
      </c>
      <c r="M451" t="s">
        <v>2061</v>
      </c>
      <c r="N451" s="75" t="s">
        <v>908</v>
      </c>
      <c r="O451" s="75" t="s">
        <v>354</v>
      </c>
      <c r="P451" t="s">
        <v>2043</v>
      </c>
      <c r="Q451" s="75" t="s">
        <v>3944</v>
      </c>
      <c r="R451" s="75" t="s">
        <v>1506</v>
      </c>
      <c r="S451" t="s">
        <v>4313</v>
      </c>
      <c r="W451" s="75" t="s">
        <v>1312</v>
      </c>
      <c r="X451" s="75" t="s">
        <v>344</v>
      </c>
      <c r="Y451" t="s">
        <v>2697</v>
      </c>
    </row>
    <row r="452" spans="2:25" x14ac:dyDescent="0.25">
      <c r="B452" s="75" t="s">
        <v>981</v>
      </c>
      <c r="C452" s="75" t="s">
        <v>462</v>
      </c>
      <c r="D452" t="s">
        <v>2121</v>
      </c>
      <c r="E452" s="75" t="s">
        <v>4153</v>
      </c>
      <c r="F452" s="75" t="s">
        <v>448</v>
      </c>
      <c r="G452" t="s">
        <v>4986</v>
      </c>
      <c r="H452" s="75" t="s">
        <v>715</v>
      </c>
      <c r="I452" s="75" t="s">
        <v>483</v>
      </c>
      <c r="J452" t="s">
        <v>2095</v>
      </c>
      <c r="K452" s="75" t="s">
        <v>1333</v>
      </c>
      <c r="L452" s="75" t="s">
        <v>488</v>
      </c>
      <c r="M452" t="s">
        <v>1446</v>
      </c>
      <c r="N452" s="75" t="s">
        <v>797</v>
      </c>
      <c r="O452" s="75" t="s">
        <v>453</v>
      </c>
      <c r="P452" t="s">
        <v>2044</v>
      </c>
      <c r="Q452" s="75" t="s">
        <v>1213</v>
      </c>
      <c r="R452" s="75" t="s">
        <v>630</v>
      </c>
      <c r="S452" t="s">
        <v>4524</v>
      </c>
      <c r="W452" s="75" t="s">
        <v>2794</v>
      </c>
      <c r="X452" s="75" t="s">
        <v>2795</v>
      </c>
      <c r="Y452" t="s">
        <v>2870</v>
      </c>
    </row>
    <row r="453" spans="2:25" x14ac:dyDescent="0.25">
      <c r="B453" s="75" t="s">
        <v>1620</v>
      </c>
      <c r="C453" s="75" t="s">
        <v>349</v>
      </c>
      <c r="D453" t="s">
        <v>1804</v>
      </c>
      <c r="E453" s="75" t="s">
        <v>780</v>
      </c>
      <c r="F453" s="75" t="s">
        <v>3303</v>
      </c>
      <c r="G453" t="s">
        <v>4851</v>
      </c>
      <c r="H453" s="75" t="s">
        <v>1449</v>
      </c>
      <c r="I453" s="75" t="s">
        <v>452</v>
      </c>
      <c r="J453" t="s">
        <v>2096</v>
      </c>
      <c r="K453" s="75" t="s">
        <v>1254</v>
      </c>
      <c r="L453" s="75" t="s">
        <v>356</v>
      </c>
      <c r="M453" t="s">
        <v>2062</v>
      </c>
      <c r="N453" s="75" t="s">
        <v>901</v>
      </c>
      <c r="O453" s="75" t="s">
        <v>743</v>
      </c>
      <c r="P453" t="s">
        <v>2045</v>
      </c>
      <c r="Q453" s="75" t="s">
        <v>4182</v>
      </c>
      <c r="R453" s="75" t="s">
        <v>3928</v>
      </c>
      <c r="S453" t="s">
        <v>4531</v>
      </c>
      <c r="W453" s="75" t="s">
        <v>3071</v>
      </c>
      <c r="X453" s="75" t="s">
        <v>740</v>
      </c>
      <c r="Y453" t="s">
        <v>3093</v>
      </c>
    </row>
    <row r="454" spans="2:25" x14ac:dyDescent="0.25">
      <c r="B454" s="75" t="s">
        <v>1875</v>
      </c>
      <c r="C454" s="75" t="s">
        <v>740</v>
      </c>
      <c r="D454" t="s">
        <v>2502</v>
      </c>
      <c r="E454" s="75" t="s">
        <v>4343</v>
      </c>
      <c r="F454" s="75" t="s">
        <v>4072</v>
      </c>
      <c r="G454" t="s">
        <v>4529</v>
      </c>
      <c r="H454" s="75" t="s">
        <v>1021</v>
      </c>
      <c r="I454" s="75" t="s">
        <v>758</v>
      </c>
      <c r="J454" t="s">
        <v>2097</v>
      </c>
      <c r="K454" s="75" t="s">
        <v>993</v>
      </c>
      <c r="L454" s="75" t="s">
        <v>378</v>
      </c>
      <c r="M454" t="s">
        <v>2063</v>
      </c>
      <c r="N454" s="75" t="s">
        <v>833</v>
      </c>
      <c r="O454" s="75" t="s">
        <v>1479</v>
      </c>
      <c r="P454" t="s">
        <v>2046</v>
      </c>
      <c r="Q454" s="75" t="s">
        <v>4769</v>
      </c>
      <c r="R454" s="75" t="s">
        <v>483</v>
      </c>
      <c r="S454" t="s">
        <v>4815</v>
      </c>
      <c r="W454" s="75" t="s">
        <v>409</v>
      </c>
      <c r="X454" s="75" t="s">
        <v>378</v>
      </c>
      <c r="Y454" t="s">
        <v>3109</v>
      </c>
    </row>
    <row r="455" spans="2:25" x14ac:dyDescent="0.25">
      <c r="B455" s="75" t="s">
        <v>769</v>
      </c>
      <c r="C455" s="75" t="s">
        <v>488</v>
      </c>
      <c r="D455" t="s">
        <v>2505</v>
      </c>
      <c r="E455" s="75" t="s">
        <v>4384</v>
      </c>
      <c r="F455" s="75" t="s">
        <v>356</v>
      </c>
      <c r="G455" t="s">
        <v>4530</v>
      </c>
      <c r="H455" s="75" t="s">
        <v>1289</v>
      </c>
      <c r="I455" s="75" t="s">
        <v>349</v>
      </c>
      <c r="J455" t="s">
        <v>2098</v>
      </c>
      <c r="K455" s="75" t="s">
        <v>996</v>
      </c>
      <c r="L455" s="75" t="s">
        <v>356</v>
      </c>
      <c r="M455" t="s">
        <v>2064</v>
      </c>
      <c r="N455" s="75" t="s">
        <v>909</v>
      </c>
      <c r="O455" s="75" t="s">
        <v>355</v>
      </c>
      <c r="P455" t="s">
        <v>2047</v>
      </c>
      <c r="Q455" s="75" t="s">
        <v>4571</v>
      </c>
      <c r="R455" s="75" t="s">
        <v>742</v>
      </c>
      <c r="S455" t="s">
        <v>4925</v>
      </c>
      <c r="W455" s="75" t="s">
        <v>3069</v>
      </c>
      <c r="X455" s="75" t="s">
        <v>356</v>
      </c>
      <c r="Y455" t="s">
        <v>3136</v>
      </c>
    </row>
    <row r="456" spans="2:25" x14ac:dyDescent="0.25">
      <c r="B456" s="75" t="s">
        <v>1874</v>
      </c>
      <c r="C456" s="75" t="s">
        <v>378</v>
      </c>
      <c r="D456" t="s">
        <v>2629</v>
      </c>
      <c r="E456" s="75" t="s">
        <v>5164</v>
      </c>
      <c r="F456" s="75" t="s">
        <v>447</v>
      </c>
      <c r="G456" t="s">
        <v>5285</v>
      </c>
      <c r="H456" s="75" t="s">
        <v>192</v>
      </c>
      <c r="I456" s="75" t="s">
        <v>488</v>
      </c>
      <c r="J456" t="s">
        <v>2099</v>
      </c>
      <c r="K456" s="75" t="s">
        <v>775</v>
      </c>
      <c r="L456" s="75" t="s">
        <v>353</v>
      </c>
      <c r="M456" t="s">
        <v>2065</v>
      </c>
      <c r="N456" s="75" t="s">
        <v>642</v>
      </c>
      <c r="O456" s="75" t="s">
        <v>742</v>
      </c>
      <c r="P456" t="s">
        <v>2048</v>
      </c>
      <c r="Q456" s="75" t="s">
        <v>4805</v>
      </c>
      <c r="R456" s="75" t="s">
        <v>349</v>
      </c>
      <c r="S456" t="s">
        <v>5158</v>
      </c>
      <c r="W456" s="75" t="s">
        <v>3230</v>
      </c>
      <c r="X456" s="75" t="s">
        <v>740</v>
      </c>
      <c r="Y456" t="s">
        <v>3289</v>
      </c>
    </row>
    <row r="457" spans="2:25" x14ac:dyDescent="0.25">
      <c r="B457" s="75" t="s">
        <v>2634</v>
      </c>
      <c r="C457" s="75" t="s">
        <v>454</v>
      </c>
      <c r="D457" t="s">
        <v>2764</v>
      </c>
      <c r="E457" s="75" t="s">
        <v>5550</v>
      </c>
      <c r="F457" s="75" t="s">
        <v>85</v>
      </c>
      <c r="G457" t="s">
        <v>6000</v>
      </c>
      <c r="H457" s="75" t="s">
        <v>1062</v>
      </c>
      <c r="I457" s="75" t="s">
        <v>516</v>
      </c>
      <c r="J457" t="s">
        <v>2100</v>
      </c>
      <c r="K457" s="75" t="s">
        <v>798</v>
      </c>
      <c r="L457" s="75" t="s">
        <v>354</v>
      </c>
      <c r="M457" t="s">
        <v>2066</v>
      </c>
      <c r="N457" s="75" t="s">
        <v>210</v>
      </c>
      <c r="O457" s="75" t="s">
        <v>462</v>
      </c>
      <c r="P457" t="s">
        <v>2049</v>
      </c>
      <c r="Q457" s="75" t="s">
        <v>5494</v>
      </c>
      <c r="R457" s="75" t="s">
        <v>936</v>
      </c>
      <c r="S457" t="s">
        <v>5547</v>
      </c>
      <c r="W457" s="75" t="s">
        <v>3376</v>
      </c>
      <c r="X457" s="75" t="s">
        <v>517</v>
      </c>
      <c r="Y457" t="s">
        <v>3472</v>
      </c>
    </row>
    <row r="458" spans="2:25" x14ac:dyDescent="0.25">
      <c r="B458" s="75" t="s">
        <v>2807</v>
      </c>
      <c r="C458" s="75" t="s">
        <v>378</v>
      </c>
      <c r="D458" t="s">
        <v>2906</v>
      </c>
      <c r="E458" s="75" t="s">
        <v>6126</v>
      </c>
      <c r="F458" s="75" t="s">
        <v>378</v>
      </c>
      <c r="G458" t="s">
        <v>6380</v>
      </c>
      <c r="H458" s="75" t="s">
        <v>1296</v>
      </c>
      <c r="I458" s="75" t="s">
        <v>355</v>
      </c>
      <c r="J458" t="s">
        <v>2101</v>
      </c>
      <c r="K458" s="75" t="s">
        <v>875</v>
      </c>
      <c r="L458" s="75" t="s">
        <v>741</v>
      </c>
      <c r="M458" t="s">
        <v>2067</v>
      </c>
      <c r="N458" s="75" t="s">
        <v>818</v>
      </c>
      <c r="O458" s="75" t="s">
        <v>516</v>
      </c>
      <c r="P458" t="s">
        <v>2050</v>
      </c>
      <c r="Q458" s="75" t="s">
        <v>393</v>
      </c>
      <c r="R458" s="75" t="s">
        <v>342</v>
      </c>
      <c r="S458" t="s">
        <v>5988</v>
      </c>
      <c r="W458" s="75" t="s">
        <v>3516</v>
      </c>
      <c r="X458" s="75" t="s">
        <v>569</v>
      </c>
      <c r="Y458" t="s">
        <v>4988</v>
      </c>
    </row>
    <row r="459" spans="2:25" x14ac:dyDescent="0.25">
      <c r="B459" s="75" t="s">
        <v>616</v>
      </c>
      <c r="C459" s="75" t="s">
        <v>516</v>
      </c>
      <c r="D459" t="s">
        <v>2907</v>
      </c>
      <c r="E459" s="75" t="s">
        <v>6221</v>
      </c>
      <c r="F459" s="75" t="s">
        <v>355</v>
      </c>
      <c r="G459" t="s">
        <v>6516</v>
      </c>
      <c r="H459" s="75" t="s">
        <v>1672</v>
      </c>
      <c r="I459" s="75" t="s">
        <v>349</v>
      </c>
      <c r="J459" t="s">
        <v>2102</v>
      </c>
      <c r="K459" s="75" t="s">
        <v>821</v>
      </c>
      <c r="L459" s="75" t="s">
        <v>742</v>
      </c>
      <c r="M459" t="s">
        <v>1472</v>
      </c>
      <c r="N459" s="75" t="s">
        <v>155</v>
      </c>
      <c r="O459" s="75" t="s">
        <v>488</v>
      </c>
      <c r="P459" t="s">
        <v>2051</v>
      </c>
      <c r="Q459" s="75" t="s">
        <v>5927</v>
      </c>
      <c r="R459" s="75" t="s">
        <v>341</v>
      </c>
      <c r="S459" t="s">
        <v>6233</v>
      </c>
      <c r="W459" s="75" t="s">
        <v>3594</v>
      </c>
      <c r="X459" s="75" t="s">
        <v>378</v>
      </c>
      <c r="Y459" t="s">
        <v>4989</v>
      </c>
    </row>
    <row r="460" spans="2:25" x14ac:dyDescent="0.25">
      <c r="B460" s="75" t="s">
        <v>2898</v>
      </c>
      <c r="C460" s="75" t="s">
        <v>378</v>
      </c>
      <c r="D460" t="s">
        <v>2916</v>
      </c>
      <c r="E460" s="75" t="s">
        <v>5882</v>
      </c>
      <c r="F460" s="75" t="s">
        <v>356</v>
      </c>
      <c r="G460" t="s">
        <v>6757</v>
      </c>
      <c r="H460" s="75" t="s">
        <v>1893</v>
      </c>
      <c r="I460" s="75" t="s">
        <v>356</v>
      </c>
      <c r="J460" t="s">
        <v>2827</v>
      </c>
      <c r="K460" s="75" t="s">
        <v>867</v>
      </c>
      <c r="L460" s="75" t="s">
        <v>488</v>
      </c>
      <c r="M460" t="s">
        <v>2068</v>
      </c>
      <c r="N460" s="75" t="s">
        <v>947</v>
      </c>
      <c r="O460" s="75" t="s">
        <v>356</v>
      </c>
      <c r="P460" t="s">
        <v>1482</v>
      </c>
      <c r="Q460" s="75" t="s">
        <v>5690</v>
      </c>
      <c r="R460" s="75" t="s">
        <v>349</v>
      </c>
      <c r="S460" t="s">
        <v>6906</v>
      </c>
      <c r="W460" s="75" t="s">
        <v>3982</v>
      </c>
      <c r="X460" s="75" t="s">
        <v>3920</v>
      </c>
      <c r="Y460" t="s">
        <v>4062</v>
      </c>
    </row>
    <row r="461" spans="2:25" x14ac:dyDescent="0.25">
      <c r="B461" s="75" t="s">
        <v>229</v>
      </c>
      <c r="C461" s="75" t="s">
        <v>2795</v>
      </c>
      <c r="D461" t="s">
        <v>2997</v>
      </c>
      <c r="E461" s="75" t="s">
        <v>6450</v>
      </c>
      <c r="F461" s="75" t="s">
        <v>353</v>
      </c>
      <c r="G461" t="s">
        <v>6828</v>
      </c>
      <c r="H461" s="75" t="s">
        <v>2765</v>
      </c>
      <c r="I461" s="75" t="s">
        <v>356</v>
      </c>
      <c r="J461" t="s">
        <v>3067</v>
      </c>
      <c r="K461" s="75" t="s">
        <v>259</v>
      </c>
      <c r="L461" s="75" t="s">
        <v>740</v>
      </c>
      <c r="M461" t="s">
        <v>1473</v>
      </c>
      <c r="N461" s="75" t="s">
        <v>1483</v>
      </c>
      <c r="O461" s="75" t="s">
        <v>378</v>
      </c>
      <c r="P461" t="s">
        <v>2052</v>
      </c>
      <c r="Q461" s="75" t="s">
        <v>6810</v>
      </c>
      <c r="R461" s="75" t="s">
        <v>3252</v>
      </c>
      <c r="S461" t="s">
        <v>7094</v>
      </c>
      <c r="W461" s="75" t="s">
        <v>3633</v>
      </c>
      <c r="X461" s="75" t="s">
        <v>3928</v>
      </c>
      <c r="Y461" t="s">
        <v>4094</v>
      </c>
    </row>
    <row r="462" spans="2:25" x14ac:dyDescent="0.25">
      <c r="B462" s="75" t="s">
        <v>2897</v>
      </c>
      <c r="C462" s="75" t="s">
        <v>936</v>
      </c>
      <c r="D462" t="s">
        <v>3053</v>
      </c>
      <c r="E462" s="75" t="s">
        <v>6611</v>
      </c>
      <c r="F462" s="75" t="s">
        <v>352</v>
      </c>
      <c r="G462" t="s">
        <v>6920</v>
      </c>
      <c r="H462" s="75" t="s">
        <v>1131</v>
      </c>
      <c r="I462" s="75" t="s">
        <v>462</v>
      </c>
      <c r="J462" t="s">
        <v>3135</v>
      </c>
      <c r="K462" s="75" t="s">
        <v>714</v>
      </c>
      <c r="L462" s="75" t="s">
        <v>669</v>
      </c>
      <c r="M462" t="s">
        <v>2069</v>
      </c>
      <c r="N462" s="75" t="s">
        <v>649</v>
      </c>
      <c r="O462" s="75" t="s">
        <v>758</v>
      </c>
      <c r="P462" t="s">
        <v>2053</v>
      </c>
      <c r="Q462" s="75" t="s">
        <v>6583</v>
      </c>
      <c r="R462" s="75" t="s">
        <v>5717</v>
      </c>
      <c r="S462" t="s">
        <v>7101</v>
      </c>
      <c r="W462" s="75" t="s">
        <v>4060</v>
      </c>
      <c r="X462" s="75" t="s">
        <v>3969</v>
      </c>
      <c r="Y462" t="s">
        <v>4162</v>
      </c>
    </row>
    <row r="463" spans="2:25" x14ac:dyDescent="0.25">
      <c r="B463" s="75" t="s">
        <v>3183</v>
      </c>
      <c r="C463" s="75" t="s">
        <v>462</v>
      </c>
      <c r="D463" t="s">
        <v>3308</v>
      </c>
      <c r="E463" s="75" t="s">
        <v>7769</v>
      </c>
      <c r="F463" s="75" t="s">
        <v>742</v>
      </c>
      <c r="G463" t="s">
        <v>7885</v>
      </c>
      <c r="H463" s="75" t="s">
        <v>196</v>
      </c>
      <c r="I463" s="75" t="s">
        <v>516</v>
      </c>
      <c r="J463" t="s">
        <v>3699</v>
      </c>
      <c r="K463" s="75" t="s">
        <v>787</v>
      </c>
      <c r="L463" s="75" t="s">
        <v>453</v>
      </c>
      <c r="M463" t="s">
        <v>2070</v>
      </c>
      <c r="N463" s="75" t="s">
        <v>1081</v>
      </c>
      <c r="O463" s="75" t="s">
        <v>453</v>
      </c>
      <c r="P463" t="s">
        <v>1485</v>
      </c>
      <c r="Q463" s="75" t="s">
        <v>6815</v>
      </c>
      <c r="R463" s="75" t="s">
        <v>350</v>
      </c>
      <c r="S463" t="s">
        <v>7102</v>
      </c>
      <c r="W463" s="75" t="s">
        <v>4095</v>
      </c>
      <c r="X463" s="75" t="s">
        <v>3928</v>
      </c>
      <c r="Y463" t="s">
        <v>4169</v>
      </c>
    </row>
    <row r="464" spans="2:25" x14ac:dyDescent="0.25">
      <c r="B464" s="75" t="s">
        <v>3840</v>
      </c>
      <c r="C464" s="75" t="s">
        <v>3791</v>
      </c>
      <c r="D464" t="s">
        <v>3852</v>
      </c>
      <c r="E464" s="75" t="s">
        <v>7652</v>
      </c>
      <c r="F464" s="75" t="s">
        <v>379</v>
      </c>
      <c r="G464" t="s">
        <v>7901</v>
      </c>
      <c r="H464" s="75" t="s">
        <v>3610</v>
      </c>
      <c r="I464" s="75" t="s">
        <v>2924</v>
      </c>
      <c r="J464" t="s">
        <v>4089</v>
      </c>
      <c r="K464" s="75" t="s">
        <v>906</v>
      </c>
      <c r="L464" s="75" t="s">
        <v>741</v>
      </c>
      <c r="M464" t="s">
        <v>2071</v>
      </c>
      <c r="N464" s="75" t="s">
        <v>608</v>
      </c>
      <c r="O464" s="75" t="s">
        <v>355</v>
      </c>
      <c r="P464" t="s">
        <v>2054</v>
      </c>
      <c r="Q464" s="75" t="s">
        <v>7375</v>
      </c>
      <c r="R464" s="75" t="s">
        <v>5717</v>
      </c>
      <c r="S464" t="s">
        <v>7539</v>
      </c>
      <c r="W464" s="75" t="s">
        <v>404</v>
      </c>
      <c r="X464" s="75" t="s">
        <v>11</v>
      </c>
      <c r="Y464" t="s">
        <v>4183</v>
      </c>
    </row>
    <row r="465" spans="2:25" x14ac:dyDescent="0.25">
      <c r="B465" s="75" t="s">
        <v>773</v>
      </c>
      <c r="C465" s="75" t="s">
        <v>3303</v>
      </c>
      <c r="D465" t="s">
        <v>4161</v>
      </c>
      <c r="E465" s="75" t="s">
        <v>7758</v>
      </c>
      <c r="F465" s="75" t="s">
        <v>352</v>
      </c>
      <c r="G465" t="s">
        <v>7987</v>
      </c>
      <c r="H465" s="75" t="s">
        <v>4343</v>
      </c>
      <c r="I465" s="75" t="s">
        <v>4318</v>
      </c>
      <c r="J465" t="s">
        <v>4706</v>
      </c>
      <c r="K465" s="75" t="s">
        <v>897</v>
      </c>
      <c r="L465" s="75" t="s">
        <v>355</v>
      </c>
      <c r="M465" t="s">
        <v>2072</v>
      </c>
      <c r="N465" s="75" t="s">
        <v>652</v>
      </c>
      <c r="O465" s="75" t="s">
        <v>741</v>
      </c>
      <c r="P465" t="s">
        <v>2055</v>
      </c>
      <c r="Q465" s="75" t="s">
        <v>7746</v>
      </c>
      <c r="R465" s="75" t="s">
        <v>6980</v>
      </c>
      <c r="S465" t="s">
        <v>7884</v>
      </c>
      <c r="W465" s="75" t="s">
        <v>4099</v>
      </c>
      <c r="X465" s="75" t="s">
        <v>4054</v>
      </c>
      <c r="Y465" t="s">
        <v>4990</v>
      </c>
    </row>
    <row r="466" spans="2:25" x14ac:dyDescent="0.25">
      <c r="B466" s="75" t="s">
        <v>4097</v>
      </c>
      <c r="C466" s="75" t="s">
        <v>356</v>
      </c>
      <c r="D466" t="s">
        <v>4224</v>
      </c>
      <c r="H466" s="75" t="s">
        <v>4384</v>
      </c>
      <c r="I466" s="75" t="s">
        <v>356</v>
      </c>
      <c r="J466" t="s">
        <v>4750</v>
      </c>
      <c r="K466" s="75" t="s">
        <v>674</v>
      </c>
      <c r="L466" s="75" t="s">
        <v>462</v>
      </c>
      <c r="M466" t="s">
        <v>2073</v>
      </c>
      <c r="N466" s="75" t="s">
        <v>1148</v>
      </c>
      <c r="O466" s="75" t="s">
        <v>452</v>
      </c>
      <c r="P466" t="s">
        <v>1486</v>
      </c>
      <c r="Q466" s="75" t="s">
        <v>7828</v>
      </c>
      <c r="R466" s="75" t="s">
        <v>349</v>
      </c>
      <c r="S466" t="s">
        <v>7902</v>
      </c>
      <c r="W466" s="75" t="s">
        <v>3633</v>
      </c>
      <c r="X466" s="75" t="s">
        <v>349</v>
      </c>
      <c r="Y466" t="s">
        <v>4380</v>
      </c>
    </row>
    <row r="467" spans="2:25" x14ac:dyDescent="0.25">
      <c r="B467" s="75" t="s">
        <v>4995</v>
      </c>
      <c r="C467" s="75" t="s">
        <v>353</v>
      </c>
      <c r="D467" t="s">
        <v>5129</v>
      </c>
      <c r="H467" s="75" t="s">
        <v>4638</v>
      </c>
      <c r="I467" s="75" t="s">
        <v>353</v>
      </c>
      <c r="J467" t="s">
        <v>4817</v>
      </c>
      <c r="K467" s="75" t="s">
        <v>222</v>
      </c>
      <c r="L467" s="75" t="s">
        <v>862</v>
      </c>
      <c r="M467" t="s">
        <v>1475</v>
      </c>
      <c r="N467" s="75" t="s">
        <v>724</v>
      </c>
      <c r="O467" s="75" t="s">
        <v>378</v>
      </c>
      <c r="P467" t="s">
        <v>2056</v>
      </c>
      <c r="Q467" s="75" t="s">
        <v>7685</v>
      </c>
      <c r="R467" s="75" t="s">
        <v>3303</v>
      </c>
      <c r="S467" t="s">
        <v>7989</v>
      </c>
      <c r="W467" s="75" t="s">
        <v>4430</v>
      </c>
      <c r="X467" s="75" t="s">
        <v>1744</v>
      </c>
      <c r="Y467" t="s">
        <v>4609</v>
      </c>
    </row>
    <row r="468" spans="2:25" x14ac:dyDescent="0.25">
      <c r="B468" s="75" t="s">
        <v>5626</v>
      </c>
      <c r="C468" s="75" t="s">
        <v>936</v>
      </c>
      <c r="D468" t="s">
        <v>5838</v>
      </c>
      <c r="H468" s="75" t="s">
        <v>4225</v>
      </c>
      <c r="I468" s="75" t="s">
        <v>356</v>
      </c>
      <c r="J468" t="s">
        <v>4868</v>
      </c>
      <c r="K468" s="75" t="s">
        <v>1474</v>
      </c>
      <c r="L468" s="75" t="s">
        <v>758</v>
      </c>
      <c r="M468" t="s">
        <v>2074</v>
      </c>
      <c r="N468" s="75" t="s">
        <v>1703</v>
      </c>
      <c r="O468" s="75" t="s">
        <v>488</v>
      </c>
      <c r="P468" t="s">
        <v>1727</v>
      </c>
      <c r="Q468" s="75" t="s">
        <v>5690</v>
      </c>
      <c r="R468" s="75" t="s">
        <v>354</v>
      </c>
      <c r="S468" t="s">
        <v>8116</v>
      </c>
      <c r="W468" s="75" t="s">
        <v>4418</v>
      </c>
      <c r="X468" s="75" t="s">
        <v>349</v>
      </c>
      <c r="Y468" t="s">
        <v>4773</v>
      </c>
    </row>
    <row r="469" spans="2:25" x14ac:dyDescent="0.25">
      <c r="B469" s="75" t="s">
        <v>6001</v>
      </c>
      <c r="C469" s="75" t="s">
        <v>355</v>
      </c>
      <c r="D469" t="s">
        <v>6222</v>
      </c>
      <c r="H469" s="75" t="s">
        <v>6221</v>
      </c>
      <c r="I469" s="75" t="s">
        <v>355</v>
      </c>
      <c r="J469" t="s">
        <v>6577</v>
      </c>
      <c r="K469" s="75" t="s">
        <v>500</v>
      </c>
      <c r="L469" s="75" t="s">
        <v>355</v>
      </c>
      <c r="M469" t="s">
        <v>1476</v>
      </c>
      <c r="N469" s="75" t="s">
        <v>1297</v>
      </c>
      <c r="O469" s="75" t="s">
        <v>742</v>
      </c>
      <c r="P469" t="s">
        <v>2057</v>
      </c>
      <c r="Q469" s="75" t="s">
        <v>7795</v>
      </c>
      <c r="R469" s="75" t="s">
        <v>350</v>
      </c>
      <c r="S469" t="s">
        <v>8177</v>
      </c>
      <c r="W469" s="75" t="s">
        <v>4732</v>
      </c>
      <c r="X469" s="75" t="s">
        <v>3791</v>
      </c>
      <c r="Y469" t="s">
        <v>4856</v>
      </c>
    </row>
    <row r="470" spans="2:25" x14ac:dyDescent="0.25">
      <c r="B470" s="75" t="s">
        <v>6297</v>
      </c>
      <c r="C470" s="75" t="s">
        <v>353</v>
      </c>
      <c r="D470" t="s">
        <v>6451</v>
      </c>
      <c r="H470" s="75" t="s">
        <v>6822</v>
      </c>
      <c r="I470" s="75" t="s">
        <v>379</v>
      </c>
      <c r="J470" t="s">
        <v>7243</v>
      </c>
      <c r="K470" s="75" t="s">
        <v>1100</v>
      </c>
      <c r="L470" s="75" t="s">
        <v>349</v>
      </c>
      <c r="M470" t="s">
        <v>2075</v>
      </c>
      <c r="N470" s="75" t="s">
        <v>909</v>
      </c>
      <c r="O470" s="75" t="s">
        <v>758</v>
      </c>
      <c r="P470" t="s">
        <v>2058</v>
      </c>
      <c r="Q470" s="75" t="s">
        <v>8159</v>
      </c>
      <c r="R470" s="75" t="s">
        <v>5717</v>
      </c>
      <c r="S470" t="s">
        <v>8262</v>
      </c>
      <c r="W470" s="75" t="s">
        <v>4888</v>
      </c>
      <c r="X470" s="75" t="s">
        <v>936</v>
      </c>
      <c r="Y470" t="s">
        <v>4897</v>
      </c>
    </row>
    <row r="471" spans="2:25" x14ac:dyDescent="0.25">
      <c r="B471" s="75" t="s">
        <v>6539</v>
      </c>
      <c r="C471" s="75" t="s">
        <v>379</v>
      </c>
      <c r="D471" t="s">
        <v>6687</v>
      </c>
      <c r="H471" s="75" t="s">
        <v>6686</v>
      </c>
      <c r="I471" s="75" t="s">
        <v>342</v>
      </c>
      <c r="J471" t="s">
        <v>7253</v>
      </c>
      <c r="K471" s="75" t="s">
        <v>1022</v>
      </c>
      <c r="L471" s="75" t="s">
        <v>452</v>
      </c>
      <c r="M471" t="s">
        <v>1478</v>
      </c>
      <c r="N471" s="75" t="s">
        <v>1668</v>
      </c>
      <c r="O471" s="75" t="s">
        <v>378</v>
      </c>
      <c r="P471" t="s">
        <v>1810</v>
      </c>
      <c r="Q471" s="75" t="s">
        <v>8755</v>
      </c>
      <c r="R471" s="75" t="s">
        <v>350</v>
      </c>
      <c r="S471" t="s">
        <v>9001</v>
      </c>
      <c r="W471" s="75" t="s">
        <v>4879</v>
      </c>
      <c r="X471" s="75" t="s">
        <v>1456</v>
      </c>
      <c r="Y471" t="s">
        <v>4993</v>
      </c>
    </row>
    <row r="472" spans="2:25" x14ac:dyDescent="0.25">
      <c r="B472" s="75" t="s">
        <v>7532</v>
      </c>
      <c r="C472" s="75" t="s">
        <v>379</v>
      </c>
      <c r="D472" t="s">
        <v>7653</v>
      </c>
      <c r="K472" s="75" t="s">
        <v>1077</v>
      </c>
      <c r="L472" s="75" t="s">
        <v>378</v>
      </c>
      <c r="M472" t="s">
        <v>2076</v>
      </c>
      <c r="N472" s="75" t="s">
        <v>291</v>
      </c>
      <c r="O472" s="75" t="s">
        <v>862</v>
      </c>
      <c r="P472" t="s">
        <v>2059</v>
      </c>
      <c r="Q472" s="75" t="s">
        <v>9231</v>
      </c>
      <c r="R472" s="75" t="s">
        <v>526</v>
      </c>
      <c r="S472" t="s">
        <v>9241</v>
      </c>
      <c r="W472" s="75" t="s">
        <v>4962</v>
      </c>
      <c r="X472" s="75" t="s">
        <v>669</v>
      </c>
      <c r="Y472" t="s">
        <v>5048</v>
      </c>
    </row>
    <row r="473" spans="2:25" x14ac:dyDescent="0.25">
      <c r="K473" s="75" t="s">
        <v>1118</v>
      </c>
      <c r="L473" s="75" t="s">
        <v>355</v>
      </c>
      <c r="M473" t="s">
        <v>2077</v>
      </c>
      <c r="N473" s="75" t="s">
        <v>1732</v>
      </c>
      <c r="O473" s="75" t="s">
        <v>378</v>
      </c>
      <c r="P473" t="s">
        <v>1843</v>
      </c>
      <c r="Q473" s="75" t="s">
        <v>9434</v>
      </c>
      <c r="R473" s="75" t="s">
        <v>526</v>
      </c>
      <c r="S473" t="s">
        <v>9668</v>
      </c>
      <c r="W473" s="75" t="s">
        <v>5233</v>
      </c>
      <c r="X473" s="75" t="s">
        <v>3252</v>
      </c>
      <c r="Y473" t="s">
        <v>5433</v>
      </c>
    </row>
    <row r="474" spans="2:25" x14ac:dyDescent="0.25">
      <c r="K474" s="75" t="s">
        <v>1012</v>
      </c>
      <c r="L474" s="75" t="s">
        <v>741</v>
      </c>
      <c r="M474" t="s">
        <v>2078</v>
      </c>
      <c r="N474" s="75" t="s">
        <v>1845</v>
      </c>
      <c r="O474" s="75" t="s">
        <v>862</v>
      </c>
      <c r="P474" t="s">
        <v>1856</v>
      </c>
      <c r="W474" s="75" t="s">
        <v>395</v>
      </c>
      <c r="X474" s="75" t="s">
        <v>669</v>
      </c>
      <c r="Y474" t="s">
        <v>5578</v>
      </c>
    </row>
    <row r="475" spans="2:25" x14ac:dyDescent="0.25">
      <c r="K475" s="75" t="s">
        <v>1141</v>
      </c>
      <c r="L475" s="75" t="s">
        <v>741</v>
      </c>
      <c r="M475" t="s">
        <v>2079</v>
      </c>
      <c r="N475" s="75" t="s">
        <v>1298</v>
      </c>
      <c r="O475" s="75" t="s">
        <v>378</v>
      </c>
      <c r="P475" t="s">
        <v>2060</v>
      </c>
      <c r="W475" s="75" t="s">
        <v>5408</v>
      </c>
      <c r="X475" s="75" t="s">
        <v>3790</v>
      </c>
      <c r="Y475" t="s">
        <v>5623</v>
      </c>
    </row>
    <row r="476" spans="2:25" x14ac:dyDescent="0.25">
      <c r="K476" s="75" t="s">
        <v>1123</v>
      </c>
      <c r="L476" s="75" t="s">
        <v>356</v>
      </c>
      <c r="M476" t="s">
        <v>2080</v>
      </c>
      <c r="N476" s="75" t="s">
        <v>1817</v>
      </c>
      <c r="O476" s="75" t="s">
        <v>758</v>
      </c>
      <c r="P476" t="s">
        <v>1879</v>
      </c>
      <c r="W476" s="75" t="s">
        <v>5846</v>
      </c>
      <c r="X476" s="75" t="s">
        <v>457</v>
      </c>
      <c r="Y476" t="s">
        <v>5966</v>
      </c>
    </row>
    <row r="477" spans="2:25" x14ac:dyDescent="0.25">
      <c r="K477" s="75" t="s">
        <v>1132</v>
      </c>
      <c r="L477" s="75" t="s">
        <v>349</v>
      </c>
      <c r="M477" t="s">
        <v>2081</v>
      </c>
      <c r="N477" s="75" t="s">
        <v>1341</v>
      </c>
      <c r="O477" s="75" t="s">
        <v>356</v>
      </c>
      <c r="P477" t="s">
        <v>2445</v>
      </c>
      <c r="W477" s="75" t="s">
        <v>4099</v>
      </c>
      <c r="X477" s="75" t="s">
        <v>350</v>
      </c>
      <c r="Y477" t="s">
        <v>6284</v>
      </c>
    </row>
    <row r="478" spans="2:25" x14ac:dyDescent="0.25">
      <c r="K478" s="75" t="s">
        <v>1140</v>
      </c>
      <c r="L478" s="75" t="s">
        <v>355</v>
      </c>
      <c r="M478" t="s">
        <v>2082</v>
      </c>
      <c r="N478" s="75" t="s">
        <v>1866</v>
      </c>
      <c r="O478" s="75" t="s">
        <v>1300</v>
      </c>
      <c r="P478" t="s">
        <v>2506</v>
      </c>
      <c r="W478" s="75" t="s">
        <v>3537</v>
      </c>
      <c r="X478" s="75" t="s">
        <v>457</v>
      </c>
      <c r="Y478" t="s">
        <v>6399</v>
      </c>
    </row>
    <row r="479" spans="2:25" x14ac:dyDescent="0.25">
      <c r="K479" s="75" t="s">
        <v>1128</v>
      </c>
      <c r="L479" s="75" t="s">
        <v>452</v>
      </c>
      <c r="M479" t="s">
        <v>1480</v>
      </c>
      <c r="N479" s="75" t="s">
        <v>1778</v>
      </c>
      <c r="O479" s="75" t="s">
        <v>454</v>
      </c>
      <c r="P479" t="s">
        <v>2623</v>
      </c>
      <c r="W479" s="75" t="s">
        <v>4642</v>
      </c>
      <c r="X479" s="75" t="s">
        <v>348</v>
      </c>
      <c r="Y479" t="s">
        <v>6544</v>
      </c>
    </row>
    <row r="480" spans="2:25" x14ac:dyDescent="0.25">
      <c r="K480" s="75" t="s">
        <v>1224</v>
      </c>
      <c r="L480" s="75" t="s">
        <v>355</v>
      </c>
      <c r="M480" t="s">
        <v>2083</v>
      </c>
      <c r="N480" s="75" t="s">
        <v>1926</v>
      </c>
      <c r="O480" s="75" t="s">
        <v>862</v>
      </c>
      <c r="P480" t="s">
        <v>2636</v>
      </c>
      <c r="W480" s="75" t="s">
        <v>951</v>
      </c>
      <c r="X480" s="75" t="s">
        <v>6027</v>
      </c>
      <c r="Y480" t="s">
        <v>6645</v>
      </c>
    </row>
    <row r="481" spans="11:25" x14ac:dyDescent="0.25">
      <c r="K481" s="75" t="s">
        <v>1142</v>
      </c>
      <c r="L481" s="75" t="s">
        <v>378</v>
      </c>
      <c r="M481" t="s">
        <v>1481</v>
      </c>
      <c r="N481" s="75" t="s">
        <v>2458</v>
      </c>
      <c r="O481" s="75" t="s">
        <v>2459</v>
      </c>
      <c r="P481" t="s">
        <v>2642</v>
      </c>
      <c r="W481" s="75" t="s">
        <v>6545</v>
      </c>
      <c r="X481" s="75" t="s">
        <v>341</v>
      </c>
      <c r="Y481" t="s">
        <v>6724</v>
      </c>
    </row>
    <row r="482" spans="11:25" x14ac:dyDescent="0.25">
      <c r="K482" s="75" t="s">
        <v>1223</v>
      </c>
      <c r="L482" s="75" t="s">
        <v>742</v>
      </c>
      <c r="M482" t="s">
        <v>2084</v>
      </c>
      <c r="N482" s="75" t="s">
        <v>1654</v>
      </c>
      <c r="O482" s="75" t="s">
        <v>488</v>
      </c>
      <c r="P482" t="s">
        <v>2677</v>
      </c>
      <c r="W482" s="75" t="s">
        <v>6981</v>
      </c>
      <c r="X482" s="75" t="s">
        <v>341</v>
      </c>
      <c r="Y482" t="s">
        <v>7051</v>
      </c>
    </row>
    <row r="483" spans="11:25" x14ac:dyDescent="0.25">
      <c r="K483" s="75" t="s">
        <v>1281</v>
      </c>
      <c r="L483" s="75" t="s">
        <v>452</v>
      </c>
      <c r="M483" t="s">
        <v>1484</v>
      </c>
      <c r="N483" s="75" t="s">
        <v>1464</v>
      </c>
      <c r="O483" s="75" t="s">
        <v>378</v>
      </c>
      <c r="P483" t="s">
        <v>2793</v>
      </c>
      <c r="W483" s="75" t="s">
        <v>7172</v>
      </c>
      <c r="X483" s="75" t="s">
        <v>936</v>
      </c>
      <c r="Y483" t="s">
        <v>9247</v>
      </c>
    </row>
    <row r="484" spans="11:25" x14ac:dyDescent="0.25">
      <c r="K484" s="75" t="s">
        <v>1279</v>
      </c>
      <c r="L484" s="75" t="s">
        <v>356</v>
      </c>
      <c r="M484" t="s">
        <v>1701</v>
      </c>
      <c r="N484" s="75" t="s">
        <v>2523</v>
      </c>
      <c r="O484" s="75" t="s">
        <v>1300</v>
      </c>
      <c r="P484" t="s">
        <v>2796</v>
      </c>
      <c r="W484" s="75" t="s">
        <v>6981</v>
      </c>
      <c r="X484" s="75" t="s">
        <v>349</v>
      </c>
      <c r="Y484" t="s">
        <v>7269</v>
      </c>
    </row>
    <row r="485" spans="11:25" x14ac:dyDescent="0.25">
      <c r="K485" s="75" t="s">
        <v>1623</v>
      </c>
      <c r="L485" s="75" t="s">
        <v>488</v>
      </c>
      <c r="M485" t="s">
        <v>2085</v>
      </c>
      <c r="N485" s="75" t="s">
        <v>2777</v>
      </c>
      <c r="O485" s="75" t="s">
        <v>488</v>
      </c>
      <c r="P485" t="s">
        <v>2828</v>
      </c>
      <c r="W485" s="75" t="s">
        <v>6440</v>
      </c>
      <c r="X485" s="75" t="s">
        <v>378</v>
      </c>
      <c r="Y485" t="s">
        <v>7308</v>
      </c>
    </row>
    <row r="486" spans="11:25" x14ac:dyDescent="0.25">
      <c r="K486" s="75" t="s">
        <v>1626</v>
      </c>
      <c r="L486" s="75" t="s">
        <v>488</v>
      </c>
      <c r="M486" t="s">
        <v>2086</v>
      </c>
      <c r="N486" s="75" t="s">
        <v>2643</v>
      </c>
      <c r="O486" s="75" t="s">
        <v>862</v>
      </c>
      <c r="P486" t="s">
        <v>2835</v>
      </c>
      <c r="W486" s="75" t="s">
        <v>6237</v>
      </c>
      <c r="X486" s="75" t="s">
        <v>742</v>
      </c>
      <c r="Y486" t="s">
        <v>7309</v>
      </c>
    </row>
    <row r="487" spans="11:25" x14ac:dyDescent="0.25">
      <c r="K487" s="75" t="s">
        <v>1308</v>
      </c>
      <c r="L487" s="75" t="s">
        <v>452</v>
      </c>
      <c r="M487" t="s">
        <v>1788</v>
      </c>
      <c r="N487" s="75" t="s">
        <v>1896</v>
      </c>
      <c r="O487" s="75" t="s">
        <v>378</v>
      </c>
      <c r="P487" t="s">
        <v>2871</v>
      </c>
      <c r="W487" s="75" t="s">
        <v>7242</v>
      </c>
      <c r="X487" s="75" t="s">
        <v>355</v>
      </c>
      <c r="Y487" t="s">
        <v>7312</v>
      </c>
    </row>
    <row r="488" spans="11:25" x14ac:dyDescent="0.25">
      <c r="K488" s="75" t="s">
        <v>1659</v>
      </c>
      <c r="L488" s="75" t="s">
        <v>862</v>
      </c>
      <c r="M488" t="s">
        <v>1869</v>
      </c>
      <c r="N488" s="75" t="s">
        <v>2728</v>
      </c>
      <c r="O488" s="75" t="s">
        <v>378</v>
      </c>
      <c r="P488" t="s">
        <v>2888</v>
      </c>
      <c r="W488" s="75" t="s">
        <v>6953</v>
      </c>
      <c r="X488" s="75" t="s">
        <v>6980</v>
      </c>
      <c r="Y488" t="s">
        <v>7422</v>
      </c>
    </row>
    <row r="489" spans="11:25" x14ac:dyDescent="0.25">
      <c r="K489" s="75" t="s">
        <v>1675</v>
      </c>
      <c r="L489" s="75" t="s">
        <v>1300</v>
      </c>
      <c r="M489" t="s">
        <v>2622</v>
      </c>
      <c r="N489" s="75" t="s">
        <v>2905</v>
      </c>
      <c r="O489" s="75" t="s">
        <v>862</v>
      </c>
      <c r="P489" t="s">
        <v>2978</v>
      </c>
      <c r="W489" s="74" t="s">
        <v>7324</v>
      </c>
      <c r="X489" s="74" t="s">
        <v>341</v>
      </c>
      <c r="Y489" t="s">
        <v>7550</v>
      </c>
    </row>
    <row r="490" spans="11:25" x14ac:dyDescent="0.25">
      <c r="K490" s="75" t="s">
        <v>2495</v>
      </c>
      <c r="L490" s="75" t="s">
        <v>488</v>
      </c>
      <c r="M490" t="s">
        <v>2919</v>
      </c>
      <c r="N490" s="75" t="s">
        <v>2836</v>
      </c>
      <c r="O490" s="75" t="s">
        <v>488</v>
      </c>
      <c r="P490" t="s">
        <v>2980</v>
      </c>
      <c r="W490" s="74" t="s">
        <v>7401</v>
      </c>
      <c r="X490" s="74" t="s">
        <v>378</v>
      </c>
      <c r="Y490" t="s">
        <v>7601</v>
      </c>
    </row>
    <row r="491" spans="11:25" x14ac:dyDescent="0.25">
      <c r="K491" s="75" t="s">
        <v>1262</v>
      </c>
      <c r="L491" s="75" t="s">
        <v>378</v>
      </c>
      <c r="M491" t="s">
        <v>2934</v>
      </c>
      <c r="N491" s="75" t="s">
        <v>1064</v>
      </c>
      <c r="O491" s="75" t="s">
        <v>356</v>
      </c>
      <c r="P491" t="s">
        <v>2995</v>
      </c>
      <c r="W491" s="75" t="s">
        <v>7528</v>
      </c>
      <c r="X491" s="75" t="s">
        <v>349</v>
      </c>
      <c r="Y491" t="s">
        <v>7620</v>
      </c>
    </row>
    <row r="492" spans="11:25" x14ac:dyDescent="0.25">
      <c r="K492" s="75" t="s">
        <v>2776</v>
      </c>
      <c r="L492" s="75" t="s">
        <v>452</v>
      </c>
      <c r="M492" t="s">
        <v>2950</v>
      </c>
      <c r="N492" s="75" t="s">
        <v>2966</v>
      </c>
      <c r="O492" s="75" t="s">
        <v>356</v>
      </c>
      <c r="P492" t="s">
        <v>3092</v>
      </c>
      <c r="W492" s="75" t="s">
        <v>6684</v>
      </c>
      <c r="X492" s="75" t="s">
        <v>6027</v>
      </c>
      <c r="Y492" t="s">
        <v>7680</v>
      </c>
    </row>
    <row r="493" spans="11:25" x14ac:dyDescent="0.25">
      <c r="K493" s="75" t="s">
        <v>2646</v>
      </c>
      <c r="L493" s="75" t="s">
        <v>356</v>
      </c>
      <c r="M493" t="s">
        <v>2979</v>
      </c>
      <c r="N493" s="75" t="s">
        <v>3068</v>
      </c>
      <c r="O493" s="75" t="s">
        <v>356</v>
      </c>
      <c r="P493" t="s">
        <v>3119</v>
      </c>
      <c r="W493" s="75" t="s">
        <v>7626</v>
      </c>
      <c r="X493" s="75" t="s">
        <v>349</v>
      </c>
      <c r="Y493" t="s">
        <v>7702</v>
      </c>
    </row>
    <row r="494" spans="11:25" x14ac:dyDescent="0.25">
      <c r="K494" s="75" t="s">
        <v>2884</v>
      </c>
      <c r="L494" s="75" t="s">
        <v>740</v>
      </c>
      <c r="M494" t="s">
        <v>3181</v>
      </c>
      <c r="N494" s="75" t="s">
        <v>2756</v>
      </c>
      <c r="O494" s="75" t="s">
        <v>2459</v>
      </c>
      <c r="P494" t="s">
        <v>3180</v>
      </c>
      <c r="W494" s="75" t="s">
        <v>4541</v>
      </c>
      <c r="X494" s="75" t="s">
        <v>1456</v>
      </c>
      <c r="Y494" t="s">
        <v>7723</v>
      </c>
    </row>
    <row r="495" spans="11:25" x14ac:dyDescent="0.25">
      <c r="K495" s="75" t="s">
        <v>2635</v>
      </c>
      <c r="L495" s="75" t="s">
        <v>356</v>
      </c>
      <c r="M495" t="s">
        <v>3346</v>
      </c>
      <c r="N495" s="75" t="s">
        <v>3273</v>
      </c>
      <c r="O495" s="75" t="s">
        <v>518</v>
      </c>
      <c r="P495" t="s">
        <v>3291</v>
      </c>
      <c r="W495" s="75" t="s">
        <v>5640</v>
      </c>
      <c r="X495" s="75" t="s">
        <v>378</v>
      </c>
      <c r="Y495" t="s">
        <v>7852</v>
      </c>
    </row>
    <row r="496" spans="11:25" x14ac:dyDescent="0.25">
      <c r="K496" s="75" t="s">
        <v>3274</v>
      </c>
      <c r="L496" s="75" t="s">
        <v>352</v>
      </c>
      <c r="M496" t="s">
        <v>3506</v>
      </c>
      <c r="N496" s="75" t="s">
        <v>1146</v>
      </c>
      <c r="O496" s="75" t="s">
        <v>378</v>
      </c>
      <c r="P496" t="s">
        <v>3355</v>
      </c>
      <c r="W496" s="75" t="s">
        <v>7830</v>
      </c>
      <c r="X496" s="75" t="s">
        <v>352</v>
      </c>
      <c r="Y496" t="s">
        <v>7926</v>
      </c>
    </row>
    <row r="497" spans="11:25" x14ac:dyDescent="0.25">
      <c r="K497" s="75" t="s">
        <v>3275</v>
      </c>
      <c r="L497" s="75" t="s">
        <v>2924</v>
      </c>
      <c r="M497" t="s">
        <v>3606</v>
      </c>
      <c r="N497" s="75" t="s">
        <v>608</v>
      </c>
      <c r="O497" s="75" t="s">
        <v>356</v>
      </c>
      <c r="P497" t="s">
        <v>3395</v>
      </c>
      <c r="W497" s="74" t="s">
        <v>8128</v>
      </c>
      <c r="X497" s="74" t="s">
        <v>8117</v>
      </c>
      <c r="Y497" t="s">
        <v>8167</v>
      </c>
    </row>
    <row r="498" spans="11:25" x14ac:dyDescent="0.25">
      <c r="K498" s="75" t="s">
        <v>3517</v>
      </c>
      <c r="L498" s="75" t="s">
        <v>517</v>
      </c>
      <c r="M498" t="s">
        <v>3607</v>
      </c>
      <c r="N498" s="75" t="s">
        <v>255</v>
      </c>
      <c r="O498" s="75" t="s">
        <v>569</v>
      </c>
      <c r="P498" t="s">
        <v>3400</v>
      </c>
      <c r="W498" s="75" t="s">
        <v>7853</v>
      </c>
      <c r="X498" s="75" t="s">
        <v>379</v>
      </c>
      <c r="Y498" t="s">
        <v>8229</v>
      </c>
    </row>
    <row r="499" spans="11:25" x14ac:dyDescent="0.25">
      <c r="K499" s="75" t="s">
        <v>3553</v>
      </c>
      <c r="L499" s="75" t="s">
        <v>2459</v>
      </c>
      <c r="M499" t="s">
        <v>3770</v>
      </c>
      <c r="N499" s="75" t="s">
        <v>3025</v>
      </c>
      <c r="O499" s="75" t="s">
        <v>353</v>
      </c>
      <c r="P499" t="s">
        <v>3408</v>
      </c>
      <c r="W499" s="75" t="s">
        <v>8062</v>
      </c>
      <c r="X499" s="75" t="s">
        <v>378</v>
      </c>
      <c r="Y499" t="s">
        <v>8395</v>
      </c>
    </row>
    <row r="500" spans="11:25" x14ac:dyDescent="0.25">
      <c r="K500" s="75" t="s">
        <v>1142</v>
      </c>
      <c r="L500" s="75" t="s">
        <v>569</v>
      </c>
      <c r="M500" t="s">
        <v>3816</v>
      </c>
      <c r="N500" s="75" t="s">
        <v>1732</v>
      </c>
      <c r="O500" s="75" t="s">
        <v>378</v>
      </c>
      <c r="P500" t="s">
        <v>3427</v>
      </c>
      <c r="W500" s="75" t="s">
        <v>8166</v>
      </c>
      <c r="X500" s="75" t="s">
        <v>342</v>
      </c>
      <c r="Y500" t="s">
        <v>8401</v>
      </c>
    </row>
    <row r="501" spans="11:25" x14ac:dyDescent="0.25">
      <c r="K501" s="75" t="s">
        <v>3436</v>
      </c>
      <c r="L501" s="75" t="s">
        <v>3804</v>
      </c>
      <c r="M501" t="s">
        <v>4985</v>
      </c>
      <c r="N501" s="75" t="s">
        <v>3393</v>
      </c>
      <c r="O501" s="75" t="s">
        <v>569</v>
      </c>
      <c r="P501" t="s">
        <v>3445</v>
      </c>
      <c r="W501" s="75" t="s">
        <v>8263</v>
      </c>
      <c r="X501" s="75" t="s">
        <v>5717</v>
      </c>
      <c r="Y501" t="s">
        <v>8419</v>
      </c>
    </row>
    <row r="502" spans="11:25" x14ac:dyDescent="0.25">
      <c r="K502" s="75" t="s">
        <v>3823</v>
      </c>
      <c r="L502" s="75" t="s">
        <v>518</v>
      </c>
      <c r="M502" t="s">
        <v>3841</v>
      </c>
      <c r="N502" s="75" t="s">
        <v>3192</v>
      </c>
      <c r="O502" s="75" t="s">
        <v>742</v>
      </c>
      <c r="P502" t="s">
        <v>3448</v>
      </c>
      <c r="W502" s="75" t="s">
        <v>8220</v>
      </c>
      <c r="X502" s="75" t="s">
        <v>341</v>
      </c>
      <c r="Y502" t="s">
        <v>8420</v>
      </c>
    </row>
    <row r="503" spans="11:25" x14ac:dyDescent="0.25">
      <c r="K503" s="75" t="s">
        <v>3757</v>
      </c>
      <c r="L503" s="75" t="s">
        <v>47</v>
      </c>
      <c r="M503" t="s">
        <v>3983</v>
      </c>
      <c r="N503" s="75" t="s">
        <v>443</v>
      </c>
      <c r="O503" s="75" t="s">
        <v>2924</v>
      </c>
      <c r="P503" t="s">
        <v>3456</v>
      </c>
      <c r="W503" s="75" t="s">
        <v>8381</v>
      </c>
      <c r="X503" s="75" t="s">
        <v>350</v>
      </c>
      <c r="Y503" t="s">
        <v>8473</v>
      </c>
    </row>
    <row r="504" spans="11:25" x14ac:dyDescent="0.25">
      <c r="K504" s="75" t="s">
        <v>3729</v>
      </c>
      <c r="L504" s="75" t="s">
        <v>378</v>
      </c>
      <c r="M504" t="s">
        <v>4061</v>
      </c>
      <c r="N504" s="75" t="s">
        <v>152</v>
      </c>
      <c r="O504" s="75" t="s">
        <v>516</v>
      </c>
      <c r="P504" t="s">
        <v>3523</v>
      </c>
      <c r="W504" s="75" t="s">
        <v>8402</v>
      </c>
      <c r="X504" s="75" t="s">
        <v>342</v>
      </c>
      <c r="Y504" t="s">
        <v>8478</v>
      </c>
    </row>
    <row r="505" spans="11:25" x14ac:dyDescent="0.25">
      <c r="K505" s="75" t="s">
        <v>3987</v>
      </c>
      <c r="L505" s="75" t="s">
        <v>378</v>
      </c>
      <c r="M505" t="s">
        <v>4351</v>
      </c>
      <c r="N505" s="75" t="s">
        <v>697</v>
      </c>
      <c r="O505" s="75" t="s">
        <v>356</v>
      </c>
      <c r="P505" t="s">
        <v>3543</v>
      </c>
      <c r="W505" s="75" t="s">
        <v>8435</v>
      </c>
      <c r="X505" s="75" t="s">
        <v>5717</v>
      </c>
      <c r="Y505" t="s">
        <v>8482</v>
      </c>
    </row>
    <row r="506" spans="11:25" x14ac:dyDescent="0.25">
      <c r="K506" s="75" t="s">
        <v>4109</v>
      </c>
      <c r="L506" s="75" t="s">
        <v>355</v>
      </c>
      <c r="M506" t="s">
        <v>4803</v>
      </c>
      <c r="N506" s="75" t="s">
        <v>3394</v>
      </c>
      <c r="O506" s="75" t="s">
        <v>518</v>
      </c>
      <c r="P506" t="s">
        <v>3544</v>
      </c>
      <c r="W506" s="75" t="s">
        <v>8285</v>
      </c>
      <c r="X506" s="75" t="s">
        <v>936</v>
      </c>
      <c r="Y506" t="s">
        <v>8483</v>
      </c>
    </row>
    <row r="507" spans="11:25" x14ac:dyDescent="0.25">
      <c r="K507" s="75" t="s">
        <v>4523</v>
      </c>
      <c r="L507" s="75" t="s">
        <v>3790</v>
      </c>
      <c r="M507" t="s">
        <v>5275</v>
      </c>
      <c r="N507" s="75" t="s">
        <v>3372</v>
      </c>
      <c r="O507" s="75" t="s">
        <v>488</v>
      </c>
      <c r="P507" t="s">
        <v>3608</v>
      </c>
      <c r="W507" s="74" t="s">
        <v>8502</v>
      </c>
      <c r="X507" s="74" t="s">
        <v>351</v>
      </c>
      <c r="Y507" t="s">
        <v>8530</v>
      </c>
    </row>
    <row r="508" spans="11:25" x14ac:dyDescent="0.25">
      <c r="K508" s="75" t="s">
        <v>279</v>
      </c>
      <c r="L508" s="75" t="s">
        <v>747</v>
      </c>
      <c r="M508" t="s">
        <v>5261</v>
      </c>
      <c r="N508" s="75" t="s">
        <v>265</v>
      </c>
      <c r="O508" s="75" t="s">
        <v>349</v>
      </c>
      <c r="P508" t="s">
        <v>3635</v>
      </c>
      <c r="W508" s="75" t="s">
        <v>8485</v>
      </c>
      <c r="X508" s="75" t="s">
        <v>936</v>
      </c>
      <c r="Y508" t="s">
        <v>8561</v>
      </c>
    </row>
    <row r="509" spans="11:25" x14ac:dyDescent="0.25">
      <c r="K509" s="75" t="s">
        <v>5115</v>
      </c>
      <c r="L509" s="75" t="s">
        <v>379</v>
      </c>
      <c r="M509" t="s">
        <v>5261</v>
      </c>
      <c r="N509" s="75" t="s">
        <v>1322</v>
      </c>
      <c r="O509" s="75" t="s">
        <v>356</v>
      </c>
      <c r="P509" t="s">
        <v>3751</v>
      </c>
      <c r="W509" s="75" t="s">
        <v>8474</v>
      </c>
      <c r="X509" s="75" t="s">
        <v>350</v>
      </c>
      <c r="Y509" t="s">
        <v>8583</v>
      </c>
    </row>
    <row r="510" spans="11:25" x14ac:dyDescent="0.25">
      <c r="K510" s="75" t="s">
        <v>4842</v>
      </c>
      <c r="L510" s="75" t="s">
        <v>379</v>
      </c>
      <c r="M510" t="s">
        <v>5307</v>
      </c>
      <c r="N510" s="75" t="s">
        <v>3677</v>
      </c>
      <c r="O510" s="75" t="s">
        <v>355</v>
      </c>
      <c r="P510" t="s">
        <v>3943</v>
      </c>
      <c r="W510" s="75" t="s">
        <v>8323</v>
      </c>
      <c r="X510" s="75" t="s">
        <v>342</v>
      </c>
      <c r="Y510" t="s">
        <v>8599</v>
      </c>
    </row>
    <row r="511" spans="11:25" x14ac:dyDescent="0.25">
      <c r="K511" s="75" t="s">
        <v>5243</v>
      </c>
      <c r="L511" s="75" t="s">
        <v>349</v>
      </c>
      <c r="M511" t="s">
        <v>5370</v>
      </c>
      <c r="N511" s="75" t="s">
        <v>3545</v>
      </c>
      <c r="O511" s="75" t="s">
        <v>3303</v>
      </c>
      <c r="P511" t="s">
        <v>3961</v>
      </c>
      <c r="W511" s="75" t="s">
        <v>8531</v>
      </c>
      <c r="X511" s="75" t="s">
        <v>342</v>
      </c>
      <c r="Y511" t="s">
        <v>8625</v>
      </c>
    </row>
    <row r="512" spans="11:25" x14ac:dyDescent="0.25">
      <c r="K512" s="75" t="s">
        <v>4890</v>
      </c>
      <c r="L512" s="75" t="s">
        <v>669</v>
      </c>
      <c r="M512" t="s">
        <v>5377</v>
      </c>
      <c r="N512" s="75" t="s">
        <v>3824</v>
      </c>
      <c r="O512" s="75" t="s">
        <v>3920</v>
      </c>
      <c r="P512" t="s">
        <v>3962</v>
      </c>
      <c r="W512" s="75" t="s">
        <v>8607</v>
      </c>
      <c r="X512" s="75" t="s">
        <v>349</v>
      </c>
      <c r="Y512" t="s">
        <v>8656</v>
      </c>
    </row>
    <row r="513" spans="11:25" x14ac:dyDescent="0.25">
      <c r="K513" s="75" t="s">
        <v>5380</v>
      </c>
      <c r="L513" s="75" t="s">
        <v>936</v>
      </c>
      <c r="M513" t="s">
        <v>5499</v>
      </c>
      <c r="N513" s="75" t="s">
        <v>3457</v>
      </c>
      <c r="O513" s="75" t="s">
        <v>2459</v>
      </c>
      <c r="P513" t="s">
        <v>3977</v>
      </c>
      <c r="W513" s="75" t="s">
        <v>8550</v>
      </c>
      <c r="X513" s="75" t="s">
        <v>5717</v>
      </c>
      <c r="Y513" t="s">
        <v>8658</v>
      </c>
    </row>
    <row r="514" spans="11:25" x14ac:dyDescent="0.25">
      <c r="K514" s="75" t="s">
        <v>5237</v>
      </c>
      <c r="L514" s="75" t="s">
        <v>4155</v>
      </c>
      <c r="M514" t="s">
        <v>5574</v>
      </c>
      <c r="N514" s="75" t="s">
        <v>3764</v>
      </c>
      <c r="O514" s="75" t="s">
        <v>569</v>
      </c>
      <c r="P514" t="s">
        <v>4050</v>
      </c>
      <c r="W514" s="75" t="s">
        <v>8662</v>
      </c>
      <c r="X514" s="75" t="s">
        <v>349</v>
      </c>
      <c r="Y514" t="s">
        <v>9249</v>
      </c>
    </row>
    <row r="515" spans="11:25" x14ac:dyDescent="0.25">
      <c r="K515" s="75" t="s">
        <v>4982</v>
      </c>
      <c r="L515" s="75" t="s">
        <v>4155</v>
      </c>
      <c r="M515" t="s">
        <v>5576</v>
      </c>
      <c r="N515" s="75" t="s">
        <v>608</v>
      </c>
      <c r="O515" s="75" t="s">
        <v>4054</v>
      </c>
      <c r="P515" t="s">
        <v>4074</v>
      </c>
      <c r="W515" s="75" t="s">
        <v>8629</v>
      </c>
      <c r="X515" s="75" t="s">
        <v>8630</v>
      </c>
      <c r="Y515" t="s">
        <v>8824</v>
      </c>
    </row>
    <row r="516" spans="11:25" x14ac:dyDescent="0.25">
      <c r="K516" s="75" t="s">
        <v>5625</v>
      </c>
      <c r="L516" s="75" t="s">
        <v>936</v>
      </c>
      <c r="M516" t="s">
        <v>5641</v>
      </c>
      <c r="N516" s="75" t="s">
        <v>4171</v>
      </c>
      <c r="O516" s="75" t="s">
        <v>355</v>
      </c>
      <c r="P516" t="s">
        <v>4213</v>
      </c>
      <c r="W516" s="75" t="s">
        <v>8627</v>
      </c>
      <c r="X516" s="75" t="s">
        <v>936</v>
      </c>
      <c r="Y516" t="s">
        <v>8955</v>
      </c>
    </row>
    <row r="517" spans="11:25" x14ac:dyDescent="0.25">
      <c r="K517" s="75" t="s">
        <v>5643</v>
      </c>
      <c r="L517" s="75" t="s">
        <v>341</v>
      </c>
      <c r="M517" t="s">
        <v>5802</v>
      </c>
      <c r="N517" s="75" t="s">
        <v>152</v>
      </c>
      <c r="O517" s="75" t="s">
        <v>2459</v>
      </c>
      <c r="P517" t="s">
        <v>4241</v>
      </c>
      <c r="W517" s="75" t="s">
        <v>8973</v>
      </c>
      <c r="X517" s="75" t="s">
        <v>936</v>
      </c>
      <c r="Y517" t="s">
        <v>9124</v>
      </c>
    </row>
    <row r="518" spans="11:25" x14ac:dyDescent="0.25">
      <c r="K518" s="75" t="s">
        <v>5995</v>
      </c>
      <c r="L518" s="75" t="s">
        <v>354</v>
      </c>
      <c r="M518" t="s">
        <v>6034</v>
      </c>
      <c r="N518" s="75" t="s">
        <v>4189</v>
      </c>
      <c r="O518" s="75" t="s">
        <v>356</v>
      </c>
      <c r="P518" t="s">
        <v>4296</v>
      </c>
      <c r="W518" s="75" t="s">
        <v>8325</v>
      </c>
      <c r="X518" s="75" t="s">
        <v>1506</v>
      </c>
      <c r="Y518" t="s">
        <v>9126</v>
      </c>
    </row>
    <row r="519" spans="11:25" x14ac:dyDescent="0.25">
      <c r="K519" s="75" t="s">
        <v>6157</v>
      </c>
      <c r="L519" s="75" t="s">
        <v>3252</v>
      </c>
      <c r="M519" t="s">
        <v>6234</v>
      </c>
      <c r="N519" s="75" t="s">
        <v>4238</v>
      </c>
      <c r="O519" s="75" t="s">
        <v>353</v>
      </c>
      <c r="P519" t="s">
        <v>4352</v>
      </c>
      <c r="W519" s="75" t="s">
        <v>852</v>
      </c>
      <c r="X519" s="75" t="s">
        <v>349</v>
      </c>
      <c r="Y519" t="s">
        <v>9248</v>
      </c>
    </row>
    <row r="520" spans="11:25" x14ac:dyDescent="0.25">
      <c r="K520" s="75" t="s">
        <v>6035</v>
      </c>
      <c r="L520" s="75" t="s">
        <v>354</v>
      </c>
      <c r="M520" t="s">
        <v>6269</v>
      </c>
      <c r="N520" s="75" t="s">
        <v>3959</v>
      </c>
      <c r="O520" s="75" t="s">
        <v>448</v>
      </c>
      <c r="P520" t="s">
        <v>4389</v>
      </c>
      <c r="W520" s="75" t="s">
        <v>9152</v>
      </c>
      <c r="X520" s="75" t="s">
        <v>378</v>
      </c>
      <c r="Y520" t="s">
        <v>9272</v>
      </c>
    </row>
    <row r="521" spans="11:25" x14ac:dyDescent="0.25">
      <c r="K521" s="75" t="s">
        <v>6153</v>
      </c>
      <c r="L521" s="75" t="s">
        <v>379</v>
      </c>
      <c r="M521" t="s">
        <v>6352</v>
      </c>
      <c r="N521" s="75" t="s">
        <v>3518</v>
      </c>
      <c r="O521" s="75" t="s">
        <v>1744</v>
      </c>
      <c r="P521" t="s">
        <v>4415</v>
      </c>
      <c r="W521" s="75" t="s">
        <v>706</v>
      </c>
      <c r="X521" s="75" t="s">
        <v>349</v>
      </c>
      <c r="Y521" t="s">
        <v>9301</v>
      </c>
    </row>
    <row r="522" spans="11:25" x14ac:dyDescent="0.25">
      <c r="K522" s="75" t="s">
        <v>6295</v>
      </c>
      <c r="L522" s="75" t="s">
        <v>350</v>
      </c>
      <c r="M522" t="s">
        <v>6497</v>
      </c>
      <c r="N522" s="75" t="s">
        <v>4350</v>
      </c>
      <c r="O522" s="75" t="s">
        <v>669</v>
      </c>
      <c r="P522" t="s">
        <v>4419</v>
      </c>
      <c r="W522" s="75" t="s">
        <v>9242</v>
      </c>
      <c r="X522" s="75" t="s">
        <v>526</v>
      </c>
      <c r="Y522" t="s">
        <v>9337</v>
      </c>
    </row>
    <row r="523" spans="11:25" x14ac:dyDescent="0.25">
      <c r="K523" s="75" t="s">
        <v>6354</v>
      </c>
      <c r="L523" s="75" t="s">
        <v>379</v>
      </c>
      <c r="M523" t="s">
        <v>6543</v>
      </c>
      <c r="N523" s="75" t="s">
        <v>3342</v>
      </c>
      <c r="O523" s="75" t="s">
        <v>352</v>
      </c>
      <c r="P523" t="s">
        <v>4440</v>
      </c>
      <c r="W523" s="75" t="s">
        <v>9129</v>
      </c>
      <c r="X523" s="75" t="s">
        <v>936</v>
      </c>
      <c r="Y523" t="s">
        <v>9309</v>
      </c>
    </row>
    <row r="524" spans="11:25" x14ac:dyDescent="0.25">
      <c r="K524" s="75" t="s">
        <v>6540</v>
      </c>
      <c r="L524" s="75" t="s">
        <v>348</v>
      </c>
      <c r="M524" t="s">
        <v>6800</v>
      </c>
      <c r="N524" s="75" t="s">
        <v>4049</v>
      </c>
      <c r="O524" s="75" t="s">
        <v>353</v>
      </c>
      <c r="P524" t="s">
        <v>4472</v>
      </c>
      <c r="W524" s="75" t="s">
        <v>9371</v>
      </c>
      <c r="X524" s="75" t="s">
        <v>526</v>
      </c>
      <c r="Y524" t="s">
        <v>9436</v>
      </c>
    </row>
    <row r="525" spans="11:25" x14ac:dyDescent="0.25">
      <c r="K525" s="75" t="s">
        <v>1118</v>
      </c>
      <c r="L525" s="75" t="s">
        <v>356</v>
      </c>
      <c r="M525" t="s">
        <v>6824</v>
      </c>
      <c r="N525" s="75" t="s">
        <v>3676</v>
      </c>
      <c r="O525" s="75" t="s">
        <v>3303</v>
      </c>
      <c r="P525" t="s">
        <v>4503</v>
      </c>
      <c r="W525" s="75" t="s">
        <v>9254</v>
      </c>
      <c r="X525" s="75" t="s">
        <v>936</v>
      </c>
      <c r="Y525" t="s">
        <v>9477</v>
      </c>
    </row>
    <row r="526" spans="11:25" x14ac:dyDescent="0.25">
      <c r="K526" s="75" t="s">
        <v>6811</v>
      </c>
      <c r="L526" s="75" t="s">
        <v>4155</v>
      </c>
      <c r="M526" t="s">
        <v>6886</v>
      </c>
      <c r="N526" s="75" t="s">
        <v>1298</v>
      </c>
      <c r="O526" s="75" t="s">
        <v>4072</v>
      </c>
      <c r="P526" t="s">
        <v>4615</v>
      </c>
      <c r="W526" s="75" t="s">
        <v>9460</v>
      </c>
      <c r="X526" s="75" t="s">
        <v>5717</v>
      </c>
      <c r="Y526" t="s">
        <v>9522</v>
      </c>
    </row>
    <row r="527" spans="11:25" x14ac:dyDescent="0.25">
      <c r="K527" s="75" t="s">
        <v>6809</v>
      </c>
      <c r="L527" s="75" t="s">
        <v>350</v>
      </c>
      <c r="M527" t="s">
        <v>6894</v>
      </c>
      <c r="N527" s="75" t="s">
        <v>3025</v>
      </c>
      <c r="O527" s="75" t="s">
        <v>3303</v>
      </c>
      <c r="P527" t="s">
        <v>4717</v>
      </c>
      <c r="W527" s="75" t="s">
        <v>9317</v>
      </c>
      <c r="X527" s="75" t="s">
        <v>378</v>
      </c>
      <c r="Y527" t="s">
        <v>9548</v>
      </c>
    </row>
    <row r="528" spans="11:25" x14ac:dyDescent="0.25">
      <c r="K528" s="75" t="s">
        <v>7089</v>
      </c>
      <c r="L528" s="75" t="s">
        <v>352</v>
      </c>
      <c r="M528" t="s">
        <v>7144</v>
      </c>
      <c r="N528" s="75" t="s">
        <v>1465</v>
      </c>
      <c r="O528" s="75" t="s">
        <v>348</v>
      </c>
      <c r="P528" t="s">
        <v>4731</v>
      </c>
      <c r="W528" s="75" t="s">
        <v>9257</v>
      </c>
      <c r="X528" s="75" t="s">
        <v>9352</v>
      </c>
      <c r="Y528" t="s">
        <v>9516</v>
      </c>
    </row>
    <row r="529" spans="11:25" x14ac:dyDescent="0.25">
      <c r="K529" s="75" t="s">
        <v>7061</v>
      </c>
      <c r="L529" s="75" t="s">
        <v>341</v>
      </c>
      <c r="M529" t="s">
        <v>7230</v>
      </c>
      <c r="N529" s="75" t="s">
        <v>4730</v>
      </c>
      <c r="O529" s="75" t="s">
        <v>452</v>
      </c>
      <c r="P529" t="s">
        <v>4802</v>
      </c>
      <c r="W529" s="75" t="s">
        <v>9613</v>
      </c>
      <c r="X529" s="75" t="s">
        <v>349</v>
      </c>
      <c r="Y529" t="s">
        <v>9670</v>
      </c>
    </row>
    <row r="530" spans="11:25" x14ac:dyDescent="0.25">
      <c r="K530" s="75" t="s">
        <v>7231</v>
      </c>
      <c r="L530" s="75" t="s">
        <v>747</v>
      </c>
      <c r="M530" t="s">
        <v>7497</v>
      </c>
      <c r="N530" s="75" t="s">
        <v>4713</v>
      </c>
      <c r="O530" s="75" t="s">
        <v>1506</v>
      </c>
      <c r="P530" t="s">
        <v>4869</v>
      </c>
      <c r="W530" s="75" t="s">
        <v>9647</v>
      </c>
      <c r="X530" s="75" t="s">
        <v>379</v>
      </c>
      <c r="Y530" t="s">
        <v>9692</v>
      </c>
    </row>
    <row r="531" spans="11:25" x14ac:dyDescent="0.25">
      <c r="K531" s="75" t="s">
        <v>7099</v>
      </c>
      <c r="L531" s="75" t="s">
        <v>5717</v>
      </c>
      <c r="M531" t="s">
        <v>7254</v>
      </c>
      <c r="N531" s="75" t="s">
        <v>4744</v>
      </c>
      <c r="O531" s="75" t="s">
        <v>669</v>
      </c>
      <c r="P531" t="s">
        <v>4896</v>
      </c>
      <c r="W531" s="75" t="s">
        <v>9669</v>
      </c>
      <c r="X531" s="75" t="s">
        <v>378</v>
      </c>
      <c r="Y531" t="s">
        <v>9729</v>
      </c>
    </row>
    <row r="532" spans="11:25" x14ac:dyDescent="0.25">
      <c r="K532" s="75" t="s">
        <v>7037</v>
      </c>
      <c r="L532" s="75" t="s">
        <v>352</v>
      </c>
      <c r="M532" t="s">
        <v>7270</v>
      </c>
      <c r="N532" s="75" t="s">
        <v>4721</v>
      </c>
      <c r="O532" s="75" t="s">
        <v>447</v>
      </c>
      <c r="P532" t="s">
        <v>4959</v>
      </c>
      <c r="W532" s="75" t="s">
        <v>9693</v>
      </c>
      <c r="X532" s="75" t="s">
        <v>936</v>
      </c>
      <c r="Y532" t="s">
        <v>9741</v>
      </c>
    </row>
    <row r="533" spans="11:25" x14ac:dyDescent="0.25">
      <c r="K533" s="75" t="s">
        <v>7109</v>
      </c>
      <c r="L533" s="75" t="s">
        <v>5717</v>
      </c>
      <c r="M533" t="s">
        <v>7364</v>
      </c>
      <c r="N533" s="75" t="s">
        <v>4776</v>
      </c>
      <c r="O533" s="75" t="s">
        <v>355</v>
      </c>
      <c r="P533" t="s">
        <v>5867</v>
      </c>
      <c r="W533" s="75" t="s">
        <v>6981</v>
      </c>
      <c r="X533" s="75" t="s">
        <v>379</v>
      </c>
      <c r="Y533" t="s">
        <v>9757</v>
      </c>
    </row>
    <row r="534" spans="11:25" x14ac:dyDescent="0.25">
      <c r="K534" s="75" t="s">
        <v>7322</v>
      </c>
      <c r="L534" s="75" t="s">
        <v>378</v>
      </c>
      <c r="M534" t="s">
        <v>7400</v>
      </c>
      <c r="N534" s="75" t="s">
        <v>3518</v>
      </c>
      <c r="O534" s="75" t="s">
        <v>353</v>
      </c>
      <c r="P534" t="s">
        <v>4984</v>
      </c>
      <c r="W534" s="75" t="s">
        <v>9728</v>
      </c>
      <c r="X534" s="75" t="s">
        <v>378</v>
      </c>
      <c r="Y534" t="s">
        <v>9767</v>
      </c>
    </row>
    <row r="535" spans="11:25" x14ac:dyDescent="0.25">
      <c r="K535" s="75" t="s">
        <v>7393</v>
      </c>
      <c r="L535" s="75" t="s">
        <v>862</v>
      </c>
      <c r="M535" t="s">
        <v>7441</v>
      </c>
      <c r="N535" s="75" t="s">
        <v>4857</v>
      </c>
      <c r="O535" s="75" t="s">
        <v>352</v>
      </c>
      <c r="P535" t="s">
        <v>5044</v>
      </c>
      <c r="W535" s="75" t="s">
        <v>9699</v>
      </c>
      <c r="X535" s="75" t="s">
        <v>349</v>
      </c>
      <c r="Y535" t="s">
        <v>9780</v>
      </c>
    </row>
    <row r="536" spans="11:25" x14ac:dyDescent="0.25">
      <c r="K536" s="74" t="s">
        <v>7271</v>
      </c>
      <c r="L536" s="74" t="s">
        <v>352</v>
      </c>
      <c r="M536" t="s">
        <v>7462</v>
      </c>
      <c r="N536" s="75" t="s">
        <v>153</v>
      </c>
      <c r="O536" s="75" t="s">
        <v>5088</v>
      </c>
      <c r="P536" t="s">
        <v>5074</v>
      </c>
      <c r="W536" s="75" t="s">
        <v>6953</v>
      </c>
      <c r="X536" s="75" t="s">
        <v>577</v>
      </c>
      <c r="Y536" t="s">
        <v>9796</v>
      </c>
    </row>
    <row r="537" spans="11:25" x14ac:dyDescent="0.25">
      <c r="K537" s="75" t="s">
        <v>7373</v>
      </c>
      <c r="L537" s="75" t="s">
        <v>342</v>
      </c>
      <c r="M537" t="s">
        <v>7472</v>
      </c>
      <c r="N537" s="75" t="s">
        <v>1464</v>
      </c>
      <c r="O537" s="75" t="s">
        <v>611</v>
      </c>
      <c r="P537" t="s">
        <v>5109</v>
      </c>
      <c r="W537" s="75" t="s">
        <v>3230</v>
      </c>
      <c r="X537" s="75" t="s">
        <v>379</v>
      </c>
      <c r="Y537" t="s">
        <v>9797</v>
      </c>
    </row>
    <row r="538" spans="11:25" x14ac:dyDescent="0.25">
      <c r="K538" s="75" t="s">
        <v>7493</v>
      </c>
      <c r="L538" s="75" t="s">
        <v>342</v>
      </c>
      <c r="M538" t="s">
        <v>7537</v>
      </c>
      <c r="N538" s="75" t="s">
        <v>5067</v>
      </c>
      <c r="O538" s="75" t="s">
        <v>1506</v>
      </c>
      <c r="P538" t="s">
        <v>5258</v>
      </c>
      <c r="W538" s="75" t="s">
        <v>9766</v>
      </c>
      <c r="X538" s="75" t="s">
        <v>378</v>
      </c>
      <c r="Y538" t="s">
        <v>9799</v>
      </c>
    </row>
    <row r="539" spans="11:25" x14ac:dyDescent="0.25">
      <c r="K539" s="75" t="s">
        <v>7376</v>
      </c>
      <c r="L539" s="75" t="s">
        <v>7363</v>
      </c>
      <c r="M539" t="s">
        <v>7545</v>
      </c>
      <c r="N539" s="75" t="s">
        <v>550</v>
      </c>
      <c r="O539" s="75" t="s">
        <v>5253</v>
      </c>
      <c r="P539" t="s">
        <v>5259</v>
      </c>
      <c r="W539" s="75" t="s">
        <v>9208</v>
      </c>
      <c r="X539" s="75" t="s">
        <v>9352</v>
      </c>
      <c r="Y539" t="s">
        <v>9798</v>
      </c>
    </row>
    <row r="540" spans="11:25" x14ac:dyDescent="0.25">
      <c r="K540" s="75" t="s">
        <v>6613</v>
      </c>
      <c r="L540" s="75" t="s">
        <v>747</v>
      </c>
      <c r="M540" t="s">
        <v>7564</v>
      </c>
      <c r="N540" s="75" t="s">
        <v>5125</v>
      </c>
      <c r="O540" s="75" t="s">
        <v>747</v>
      </c>
      <c r="P540" t="s">
        <v>5339</v>
      </c>
      <c r="W540" s="75" t="s">
        <v>9656</v>
      </c>
      <c r="X540" s="75" t="s">
        <v>577</v>
      </c>
      <c r="Y540" t="s">
        <v>9744</v>
      </c>
    </row>
    <row r="541" spans="11:25" x14ac:dyDescent="0.25">
      <c r="K541" s="75" t="s">
        <v>7492</v>
      </c>
      <c r="L541" s="75" t="s">
        <v>352</v>
      </c>
      <c r="M541" t="s">
        <v>7588</v>
      </c>
      <c r="N541" s="75" t="s">
        <v>5317</v>
      </c>
      <c r="O541" s="75" t="s">
        <v>4155</v>
      </c>
      <c r="P541" t="s">
        <v>5427</v>
      </c>
      <c r="W541" s="75" t="s">
        <v>9460</v>
      </c>
      <c r="X541" s="75" t="s">
        <v>5717</v>
      </c>
      <c r="Y541" t="s">
        <v>9673</v>
      </c>
    </row>
    <row r="542" spans="11:25" x14ac:dyDescent="0.25">
      <c r="K542" s="74" t="s">
        <v>7693</v>
      </c>
      <c r="L542" s="74" t="s">
        <v>355</v>
      </c>
      <c r="M542" t="s">
        <v>7774</v>
      </c>
      <c r="N542" s="75" t="s">
        <v>5323</v>
      </c>
      <c r="O542" s="75" t="s">
        <v>352</v>
      </c>
      <c r="P542" t="s">
        <v>5437</v>
      </c>
      <c r="W542" s="75" t="s">
        <v>9550</v>
      </c>
      <c r="X542" s="75" t="s">
        <v>378</v>
      </c>
      <c r="Y542" t="s">
        <v>9672</v>
      </c>
    </row>
    <row r="543" spans="11:25" x14ac:dyDescent="0.25">
      <c r="K543" s="75" t="s">
        <v>7775</v>
      </c>
      <c r="L543" s="75" t="s">
        <v>352</v>
      </c>
      <c r="M543" t="s">
        <v>7784</v>
      </c>
      <c r="N543" s="75" t="s">
        <v>5417</v>
      </c>
      <c r="O543" s="75" t="s">
        <v>936</v>
      </c>
      <c r="P543" t="s">
        <v>5579</v>
      </c>
      <c r="W543" s="75" t="s">
        <v>9816</v>
      </c>
      <c r="X543" s="75" t="s">
        <v>1506</v>
      </c>
      <c r="Y543" t="s">
        <v>9849</v>
      </c>
    </row>
    <row r="544" spans="11:25" x14ac:dyDescent="0.25">
      <c r="K544" s="75" t="s">
        <v>7624</v>
      </c>
      <c r="L544" s="75" t="s">
        <v>3252</v>
      </c>
      <c r="M544" t="s">
        <v>7850</v>
      </c>
      <c r="N544" s="75" t="s">
        <v>403</v>
      </c>
      <c r="O544" s="75" t="s">
        <v>747</v>
      </c>
      <c r="P544" t="s">
        <v>5580</v>
      </c>
      <c r="W544" s="75" t="s">
        <v>9460</v>
      </c>
      <c r="X544" s="75" t="s">
        <v>378</v>
      </c>
      <c r="Y544" t="s">
        <v>9851</v>
      </c>
    </row>
    <row r="545" spans="11:25" x14ac:dyDescent="0.25">
      <c r="K545" s="75" t="s">
        <v>6787</v>
      </c>
      <c r="L545" s="75" t="s">
        <v>355</v>
      </c>
      <c r="M545" t="s">
        <v>7883</v>
      </c>
      <c r="N545" s="75" t="s">
        <v>670</v>
      </c>
      <c r="O545" s="75" t="s">
        <v>4155</v>
      </c>
      <c r="P545" t="s">
        <v>5634</v>
      </c>
      <c r="W545" s="75" t="s">
        <v>4099</v>
      </c>
      <c r="X545" s="75" t="s">
        <v>577</v>
      </c>
      <c r="Y545" t="s">
        <v>9906</v>
      </c>
    </row>
    <row r="546" spans="11:25" x14ac:dyDescent="0.25">
      <c r="K546" s="75" t="s">
        <v>7402</v>
      </c>
      <c r="L546" s="75" t="s">
        <v>742</v>
      </c>
      <c r="M546" t="s">
        <v>8056</v>
      </c>
      <c r="N546" s="75" t="s">
        <v>5624</v>
      </c>
      <c r="O546" s="75" t="s">
        <v>5717</v>
      </c>
      <c r="P546" t="s">
        <v>5832</v>
      </c>
      <c r="W546" s="75" t="s">
        <v>9684</v>
      </c>
      <c r="X546" s="75" t="s">
        <v>5717</v>
      </c>
      <c r="Y546" t="s">
        <v>9972</v>
      </c>
    </row>
    <row r="547" spans="11:25" x14ac:dyDescent="0.25">
      <c r="K547" s="75" t="s">
        <v>8118</v>
      </c>
      <c r="L547" s="75" t="s">
        <v>8117</v>
      </c>
      <c r="M547" t="s">
        <v>8192</v>
      </c>
      <c r="N547" s="75" t="s">
        <v>151</v>
      </c>
      <c r="O547" s="75" t="s">
        <v>350</v>
      </c>
      <c r="P547" t="s">
        <v>5848</v>
      </c>
      <c r="W547" s="75" t="s">
        <v>9918</v>
      </c>
      <c r="X547" s="75" t="s">
        <v>526</v>
      </c>
      <c r="Y547" t="s">
        <v>10017</v>
      </c>
    </row>
    <row r="548" spans="11:25" x14ac:dyDescent="0.25">
      <c r="K548" s="75" t="s">
        <v>8237</v>
      </c>
      <c r="L548" s="75" t="s">
        <v>2459</v>
      </c>
      <c r="M548" t="s">
        <v>8290</v>
      </c>
      <c r="N548" s="75" t="s">
        <v>5387</v>
      </c>
      <c r="O548" s="75" t="s">
        <v>352</v>
      </c>
      <c r="P548" t="s">
        <v>5852</v>
      </c>
      <c r="W548" s="75" t="s">
        <v>9912</v>
      </c>
      <c r="X548" s="75" t="s">
        <v>577</v>
      </c>
      <c r="Y548" t="s">
        <v>10018</v>
      </c>
    </row>
    <row r="549" spans="11:25" x14ac:dyDescent="0.25">
      <c r="K549" s="75" t="s">
        <v>8291</v>
      </c>
      <c r="L549" s="75" t="s">
        <v>2459</v>
      </c>
      <c r="M549" t="s">
        <v>8361</v>
      </c>
      <c r="N549" s="75" t="s">
        <v>4713</v>
      </c>
      <c r="O549" s="75" t="s">
        <v>354</v>
      </c>
      <c r="P549" t="s">
        <v>6350</v>
      </c>
      <c r="W549" s="74" t="s">
        <v>3376</v>
      </c>
      <c r="X549" s="74" t="s">
        <v>526</v>
      </c>
      <c r="Y549" t="s">
        <v>10042</v>
      </c>
    </row>
    <row r="550" spans="11:25" x14ac:dyDescent="0.25">
      <c r="K550" s="75" t="s">
        <v>8182</v>
      </c>
      <c r="L550" s="75" t="s">
        <v>350</v>
      </c>
      <c r="M550" t="s">
        <v>8383</v>
      </c>
      <c r="N550" s="75" t="s">
        <v>7060</v>
      </c>
      <c r="O550" s="75" t="s">
        <v>356</v>
      </c>
      <c r="P550" t="s">
        <v>7248</v>
      </c>
      <c r="W550" s="75" t="s">
        <v>10031</v>
      </c>
      <c r="X550" s="75" t="s">
        <v>526</v>
      </c>
      <c r="Y550" t="s">
        <v>10100</v>
      </c>
    </row>
    <row r="551" spans="11:25" x14ac:dyDescent="0.25">
      <c r="K551" s="75" t="s">
        <v>1675</v>
      </c>
      <c r="L551" s="75" t="s">
        <v>353</v>
      </c>
      <c r="M551" t="s">
        <v>8447</v>
      </c>
      <c r="N551" s="75" t="s">
        <v>7090</v>
      </c>
      <c r="O551" s="75" t="s">
        <v>354</v>
      </c>
      <c r="P551" t="s">
        <v>7341</v>
      </c>
      <c r="W551" s="75" t="s">
        <v>9550</v>
      </c>
      <c r="X551" s="75" t="s">
        <v>526</v>
      </c>
      <c r="Y551" t="s">
        <v>10150</v>
      </c>
    </row>
    <row r="552" spans="11:25" x14ac:dyDescent="0.25">
      <c r="K552" s="75" t="s">
        <v>8432</v>
      </c>
      <c r="L552" s="75" t="s">
        <v>356</v>
      </c>
      <c r="M552" t="s">
        <v>8456</v>
      </c>
      <c r="N552" s="74" t="s">
        <v>7245</v>
      </c>
      <c r="O552" s="74" t="s">
        <v>353</v>
      </c>
      <c r="P552" t="s">
        <v>7463</v>
      </c>
      <c r="W552" s="75" t="s">
        <v>10165</v>
      </c>
      <c r="X552" s="75" t="s">
        <v>350</v>
      </c>
      <c r="Y552" t="s">
        <v>10298</v>
      </c>
    </row>
    <row r="553" spans="11:25" x14ac:dyDescent="0.25">
      <c r="K553" s="75" t="s">
        <v>8362</v>
      </c>
      <c r="L553" s="75" t="s">
        <v>2459</v>
      </c>
      <c r="M553" t="s">
        <v>8484</v>
      </c>
      <c r="N553" s="75" t="s">
        <v>5127</v>
      </c>
      <c r="O553" s="75" t="s">
        <v>352</v>
      </c>
      <c r="P553" t="s">
        <v>7473</v>
      </c>
      <c r="W553" s="75" t="s">
        <v>9961</v>
      </c>
      <c r="X553" s="75" t="s">
        <v>350</v>
      </c>
      <c r="Y553" t="s">
        <v>10312</v>
      </c>
    </row>
    <row r="554" spans="11:25" x14ac:dyDescent="0.25">
      <c r="K554" s="75" t="s">
        <v>8222</v>
      </c>
      <c r="L554" s="216" t="s">
        <v>5717</v>
      </c>
      <c r="M554" t="s">
        <v>8549</v>
      </c>
      <c r="N554" s="75" t="s">
        <v>7439</v>
      </c>
      <c r="O554" s="75" t="s">
        <v>379</v>
      </c>
      <c r="P554" t="s">
        <v>7535</v>
      </c>
      <c r="W554" s="75" t="s">
        <v>10222</v>
      </c>
      <c r="X554" s="75" t="s">
        <v>577</v>
      </c>
      <c r="Y554" t="s">
        <v>10346</v>
      </c>
    </row>
    <row r="555" spans="11:25" x14ac:dyDescent="0.25">
      <c r="K555" s="75" t="s">
        <v>8582</v>
      </c>
      <c r="L555" s="75" t="s">
        <v>353</v>
      </c>
      <c r="M555" t="s">
        <v>8691</v>
      </c>
      <c r="N555" s="75" t="s">
        <v>7374</v>
      </c>
      <c r="O555" s="75" t="s">
        <v>742</v>
      </c>
      <c r="P555" t="s">
        <v>7556</v>
      </c>
      <c r="W555" s="75" t="s">
        <v>9208</v>
      </c>
      <c r="X555" s="75" t="s">
        <v>350</v>
      </c>
      <c r="Y555" t="s">
        <v>10542</v>
      </c>
    </row>
    <row r="556" spans="11:25" x14ac:dyDescent="0.25">
      <c r="K556" s="75" t="s">
        <v>8246</v>
      </c>
      <c r="L556" s="75" t="s">
        <v>5980</v>
      </c>
      <c r="M556" t="s">
        <v>8728</v>
      </c>
      <c r="N556" s="75" t="s">
        <v>7340</v>
      </c>
      <c r="O556" s="75" t="s">
        <v>354</v>
      </c>
      <c r="P556" t="s">
        <v>7557</v>
      </c>
      <c r="W556" s="75" t="s">
        <v>9550</v>
      </c>
      <c r="X556" s="75" t="s">
        <v>577</v>
      </c>
      <c r="Y556" t="s">
        <v>10543</v>
      </c>
    </row>
    <row r="557" spans="11:25" x14ac:dyDescent="0.25">
      <c r="K557" s="75" t="s">
        <v>8726</v>
      </c>
      <c r="L557" s="75" t="s">
        <v>2459</v>
      </c>
      <c r="M557" t="s">
        <v>8734</v>
      </c>
      <c r="N557" s="75" t="s">
        <v>7529</v>
      </c>
      <c r="O557" s="75" t="s">
        <v>7363</v>
      </c>
      <c r="P557" t="s">
        <v>7572</v>
      </c>
      <c r="W557" s="75" t="s">
        <v>10340</v>
      </c>
      <c r="X557" s="75" t="s">
        <v>350</v>
      </c>
      <c r="Y557" t="s">
        <v>10579</v>
      </c>
    </row>
    <row r="558" spans="11:25" x14ac:dyDescent="0.25">
      <c r="K558" s="74" t="s">
        <v>8855</v>
      </c>
      <c r="L558" s="74" t="s">
        <v>354</v>
      </c>
      <c r="M558" t="s">
        <v>8915</v>
      </c>
      <c r="N558" s="75" t="s">
        <v>7461</v>
      </c>
      <c r="O558" s="75" t="s">
        <v>352</v>
      </c>
      <c r="P558" t="s">
        <v>7587</v>
      </c>
      <c r="W558" s="75" t="s">
        <v>10573</v>
      </c>
      <c r="X558" s="75" t="s">
        <v>577</v>
      </c>
      <c r="Y558" t="s">
        <v>10602</v>
      </c>
    </row>
    <row r="559" spans="11:25" x14ac:dyDescent="0.25">
      <c r="K559" s="75" t="s">
        <v>8837</v>
      </c>
      <c r="L559" s="75" t="s">
        <v>862</v>
      </c>
      <c r="M559" t="s">
        <v>8956</v>
      </c>
      <c r="N559" s="75" t="s">
        <v>7551</v>
      </c>
      <c r="O559" s="75" t="s">
        <v>352</v>
      </c>
      <c r="P559" t="s">
        <v>7642</v>
      </c>
    </row>
    <row r="560" spans="11:25" x14ac:dyDescent="0.25">
      <c r="K560" s="75" t="s">
        <v>8740</v>
      </c>
      <c r="L560" s="75" t="s">
        <v>577</v>
      </c>
      <c r="M560" t="s">
        <v>8968</v>
      </c>
      <c r="N560" s="75" t="s">
        <v>7569</v>
      </c>
      <c r="O560" s="75" t="s">
        <v>742</v>
      </c>
      <c r="P560" t="s">
        <v>7664</v>
      </c>
    </row>
    <row r="561" spans="11:16" x14ac:dyDescent="0.25">
      <c r="K561" s="75" t="s">
        <v>8957</v>
      </c>
      <c r="L561" s="75" t="s">
        <v>862</v>
      </c>
      <c r="M561" t="s">
        <v>9003</v>
      </c>
      <c r="N561" s="75" t="s">
        <v>7571</v>
      </c>
      <c r="O561" s="75" t="s">
        <v>747</v>
      </c>
      <c r="P561" t="s">
        <v>7666</v>
      </c>
    </row>
    <row r="562" spans="11:16" x14ac:dyDescent="0.25">
      <c r="K562" s="75" t="s">
        <v>9032</v>
      </c>
      <c r="L562" s="75" t="s">
        <v>9033</v>
      </c>
      <c r="M562" t="s">
        <v>9065</v>
      </c>
      <c r="N562" s="75" t="s">
        <v>7452</v>
      </c>
      <c r="O562" s="75" t="s">
        <v>352</v>
      </c>
      <c r="P562" t="s">
        <v>7675</v>
      </c>
    </row>
    <row r="563" spans="11:16" x14ac:dyDescent="0.25">
      <c r="K563" s="75" t="s">
        <v>9004</v>
      </c>
      <c r="L563" s="75" t="s">
        <v>350</v>
      </c>
      <c r="M563" t="s">
        <v>9341</v>
      </c>
      <c r="N563" s="75" t="s">
        <v>7674</v>
      </c>
      <c r="O563" s="75" t="s">
        <v>352</v>
      </c>
      <c r="P563" t="s">
        <v>7777</v>
      </c>
    </row>
    <row r="564" spans="11:16" x14ac:dyDescent="0.25">
      <c r="K564" s="75" t="s">
        <v>9024</v>
      </c>
      <c r="L564" s="75" t="s">
        <v>862</v>
      </c>
      <c r="M564" t="s">
        <v>9243</v>
      </c>
      <c r="N564" s="75" t="s">
        <v>7745</v>
      </c>
      <c r="O564" s="75" t="s">
        <v>349</v>
      </c>
      <c r="P564" t="s">
        <v>7827</v>
      </c>
    </row>
    <row r="565" spans="11:16" x14ac:dyDescent="0.25">
      <c r="K565" s="75" t="s">
        <v>9223</v>
      </c>
      <c r="L565" s="75" t="s">
        <v>577</v>
      </c>
      <c r="M565" t="s">
        <v>9291</v>
      </c>
      <c r="N565" s="75" t="s">
        <v>8394</v>
      </c>
      <c r="O565" s="75" t="s">
        <v>350</v>
      </c>
      <c r="P565" t="s">
        <v>8399</v>
      </c>
    </row>
    <row r="566" spans="11:16" x14ac:dyDescent="0.25">
      <c r="K566" s="75" t="s">
        <v>9079</v>
      </c>
      <c r="L566" s="75" t="s">
        <v>350</v>
      </c>
      <c r="M566" t="s">
        <v>9342</v>
      </c>
      <c r="N566" s="75" t="s">
        <v>8874</v>
      </c>
      <c r="O566" s="216" t="s">
        <v>3303</v>
      </c>
      <c r="P566" t="s">
        <v>9014</v>
      </c>
    </row>
    <row r="567" spans="11:16" x14ac:dyDescent="0.25">
      <c r="K567" s="75" t="s">
        <v>1675</v>
      </c>
      <c r="L567" s="75" t="s">
        <v>350</v>
      </c>
      <c r="M567" t="s">
        <v>9607</v>
      </c>
      <c r="N567" s="75" t="s">
        <v>9066</v>
      </c>
      <c r="O567" s="75" t="s">
        <v>9033</v>
      </c>
      <c r="P567" t="s">
        <v>9150</v>
      </c>
    </row>
    <row r="568" spans="11:16" x14ac:dyDescent="0.25">
      <c r="K568" s="75" t="s">
        <v>9579</v>
      </c>
      <c r="L568" s="75" t="s">
        <v>349</v>
      </c>
      <c r="M568" t="s">
        <v>9622</v>
      </c>
      <c r="N568" s="75" t="s">
        <v>8933</v>
      </c>
      <c r="O568" s="75" t="s">
        <v>7363</v>
      </c>
      <c r="P568" t="s">
        <v>9176</v>
      </c>
    </row>
    <row r="569" spans="11:16" x14ac:dyDescent="0.25">
      <c r="N569" s="75" t="s">
        <v>9068</v>
      </c>
      <c r="O569" s="75" t="s">
        <v>2459</v>
      </c>
      <c r="P569" t="s">
        <v>9177</v>
      </c>
    </row>
    <row r="570" spans="11:16" x14ac:dyDescent="0.25">
      <c r="N570" s="75" t="s">
        <v>9031</v>
      </c>
      <c r="O570" s="75" t="s">
        <v>2459</v>
      </c>
      <c r="P570" t="s">
        <v>9212</v>
      </c>
    </row>
    <row r="571" spans="11:16" x14ac:dyDescent="0.25">
      <c r="N571" s="75" t="s">
        <v>4350</v>
      </c>
      <c r="O571" s="75" t="s">
        <v>862</v>
      </c>
      <c r="P571" t="s">
        <v>9336</v>
      </c>
    </row>
    <row r="572" spans="11:16" x14ac:dyDescent="0.25">
      <c r="N572" s="75" t="s">
        <v>9276</v>
      </c>
      <c r="O572" s="216" t="s">
        <v>349</v>
      </c>
      <c r="P572" t="s">
        <v>9420</v>
      </c>
    </row>
    <row r="573" spans="11:16" x14ac:dyDescent="0.25">
      <c r="N573" s="75" t="s">
        <v>8977</v>
      </c>
      <c r="O573" s="75" t="s">
        <v>2459</v>
      </c>
      <c r="P573" t="s">
        <v>9306</v>
      </c>
    </row>
    <row r="574" spans="11:16" x14ac:dyDescent="0.25">
      <c r="N574" s="75" t="s">
        <v>9256</v>
      </c>
      <c r="O574" s="75" t="s">
        <v>577</v>
      </c>
      <c r="P574" t="s">
        <v>9520</v>
      </c>
    </row>
    <row r="575" spans="11:16" x14ac:dyDescent="0.25">
      <c r="N575" s="75" t="s">
        <v>9521</v>
      </c>
      <c r="O575" s="75" t="s">
        <v>577</v>
      </c>
      <c r="P575" t="s">
        <v>9637</v>
      </c>
    </row>
    <row r="576" spans="11:16" x14ac:dyDescent="0.25">
      <c r="N576" s="75" t="s">
        <v>6876</v>
      </c>
      <c r="O576" s="75" t="s">
        <v>936</v>
      </c>
      <c r="P576" t="s">
        <v>9820</v>
      </c>
    </row>
    <row r="676" spans="1:26" s="218" customFormat="1" x14ac:dyDescent="0.25">
      <c r="A676" s="218" t="s">
        <v>3</v>
      </c>
      <c r="B676" s="218">
        <f>COUNTA(B403:B675)-70</f>
        <v>0</v>
      </c>
      <c r="E676" s="218">
        <f>COUNTA(E403:E675)-63</f>
        <v>0</v>
      </c>
      <c r="H676" s="218">
        <f>COUNTA(H403:H675)-69</f>
        <v>0</v>
      </c>
      <c r="K676" s="218">
        <f>COUNTA(K403:K675)-166</f>
        <v>0</v>
      </c>
      <c r="N676" s="218">
        <f>COUNTA(N403:N675)-174</f>
        <v>0</v>
      </c>
      <c r="Q676" s="218">
        <f>COUNTA(Q403:Q675)-71</f>
        <v>0</v>
      </c>
      <c r="T676" s="218">
        <f>COUNTA(T403:T675)-25</f>
        <v>0</v>
      </c>
      <c r="W676" s="218">
        <f>COUNTA(W403:W675)-156</f>
        <v>0</v>
      </c>
      <c r="Z676" s="218">
        <f>SUBTOTAL(9,B676:Y676)</f>
        <v>0</v>
      </c>
    </row>
    <row r="677" spans="1:26" x14ac:dyDescent="0.25">
      <c r="A677" t="s">
        <v>12</v>
      </c>
      <c r="B677" s="75" t="s">
        <v>9533</v>
      </c>
      <c r="C677" s="75" t="s">
        <v>344</v>
      </c>
      <c r="D677" t="s">
        <v>10065</v>
      </c>
      <c r="E677" s="75" t="s">
        <v>9985</v>
      </c>
      <c r="F677" s="75" t="s">
        <v>344</v>
      </c>
      <c r="G677" t="s">
        <v>10066</v>
      </c>
      <c r="H677" s="75" t="s">
        <v>9985</v>
      </c>
      <c r="I677" s="75" t="s">
        <v>344</v>
      </c>
      <c r="J677" t="s">
        <v>10112</v>
      </c>
      <c r="K677" s="75" t="s">
        <v>10647</v>
      </c>
      <c r="L677" s="75" t="s">
        <v>344</v>
      </c>
      <c r="M677" t="s">
        <v>10673</v>
      </c>
      <c r="N677" s="75" t="s">
        <v>10671</v>
      </c>
      <c r="O677" s="75" t="s">
        <v>9352</v>
      </c>
      <c r="P677" t="s">
        <v>10146</v>
      </c>
      <c r="Q677" s="75" t="s">
        <v>9141</v>
      </c>
      <c r="R677" s="75" t="s">
        <v>2970</v>
      </c>
      <c r="S677" t="s">
        <v>9149</v>
      </c>
      <c r="T677" s="75" t="s">
        <v>859</v>
      </c>
      <c r="U677" s="75" t="s">
        <v>577</v>
      </c>
      <c r="V677" t="s">
        <v>8217</v>
      </c>
      <c r="W677" s="84" t="s">
        <v>10554</v>
      </c>
      <c r="X677" t="s">
        <v>1606</v>
      </c>
      <c r="Y677" t="s">
        <v>14712</v>
      </c>
    </row>
    <row r="678" spans="1:26" x14ac:dyDescent="0.25">
      <c r="B678" s="75" t="s">
        <v>9099</v>
      </c>
      <c r="C678" s="75" t="s">
        <v>344</v>
      </c>
      <c r="D678" t="s">
        <v>9583</v>
      </c>
      <c r="E678" s="75" t="s">
        <v>9234</v>
      </c>
      <c r="F678" s="75" t="s">
        <v>8199</v>
      </c>
      <c r="G678" t="s">
        <v>9547</v>
      </c>
      <c r="H678" s="75" t="s">
        <v>9368</v>
      </c>
      <c r="I678" s="75" t="s">
        <v>344</v>
      </c>
      <c r="J678" t="s">
        <v>9590</v>
      </c>
      <c r="K678" s="75" t="s">
        <v>9109</v>
      </c>
      <c r="L678" s="75" t="s">
        <v>5720</v>
      </c>
      <c r="M678" t="s">
        <v>9202</v>
      </c>
      <c r="N678" s="75" t="s">
        <v>542</v>
      </c>
      <c r="O678" s="75" t="s">
        <v>5720</v>
      </c>
      <c r="P678" t="s">
        <v>8958</v>
      </c>
      <c r="Q678" s="75" t="s">
        <v>9103</v>
      </c>
      <c r="R678" s="75" t="s">
        <v>2972</v>
      </c>
      <c r="S678" t="s">
        <v>9380</v>
      </c>
      <c r="T678" s="74" t="s">
        <v>7074</v>
      </c>
      <c r="U678" s="74" t="s">
        <v>7073</v>
      </c>
      <c r="V678" t="s">
        <v>7235</v>
      </c>
      <c r="W678" s="74" t="s">
        <v>14864</v>
      </c>
      <c r="X678" s="290" t="s">
        <v>6216</v>
      </c>
      <c r="Y678" t="s">
        <v>15154</v>
      </c>
    </row>
    <row r="679" spans="1:26" x14ac:dyDescent="0.25">
      <c r="B679" s="75" t="s">
        <v>8960</v>
      </c>
      <c r="C679" s="75" t="s">
        <v>8199</v>
      </c>
      <c r="D679" t="s">
        <v>9235</v>
      </c>
      <c r="E679" s="75" t="s">
        <v>8476</v>
      </c>
      <c r="F679" s="75" t="s">
        <v>358</v>
      </c>
      <c r="G679" t="s">
        <v>8833</v>
      </c>
      <c r="H679" s="75" t="s">
        <v>8476</v>
      </c>
      <c r="I679" s="75" t="s">
        <v>358</v>
      </c>
      <c r="J679" t="s">
        <v>8936</v>
      </c>
      <c r="K679" s="75" t="s">
        <v>9107</v>
      </c>
      <c r="L679" s="75" t="s">
        <v>401</v>
      </c>
      <c r="M679" t="s">
        <v>9175</v>
      </c>
      <c r="N679" s="75" t="s">
        <v>716</v>
      </c>
      <c r="O679" s="75" t="s">
        <v>2970</v>
      </c>
      <c r="P679" t="s">
        <v>8884</v>
      </c>
      <c r="Q679" s="75" t="s">
        <v>8708</v>
      </c>
      <c r="R679" s="75" t="s">
        <v>401</v>
      </c>
      <c r="S679" t="s">
        <v>9106</v>
      </c>
      <c r="T679" s="75" t="s">
        <v>2585</v>
      </c>
      <c r="U679" s="75" t="s">
        <v>2610</v>
      </c>
      <c r="V679" t="s">
        <v>2631</v>
      </c>
      <c r="W679" s="74" t="s">
        <v>10790</v>
      </c>
      <c r="X679" s="74" t="s">
        <v>8199</v>
      </c>
      <c r="Y679" t="s">
        <v>10847</v>
      </c>
    </row>
    <row r="680" spans="1:26" x14ac:dyDescent="0.25">
      <c r="B680" s="75" t="s">
        <v>8360</v>
      </c>
      <c r="C680" s="75" t="s">
        <v>358</v>
      </c>
      <c r="D680" t="s">
        <v>8475</v>
      </c>
      <c r="E680" s="75" t="s">
        <v>7968</v>
      </c>
      <c r="F680" s="75" t="s">
        <v>2972</v>
      </c>
      <c r="G680" t="s">
        <v>8303</v>
      </c>
      <c r="H680" s="75" t="s">
        <v>7968</v>
      </c>
      <c r="I680" s="75" t="s">
        <v>2972</v>
      </c>
      <c r="J680" t="s">
        <v>8347</v>
      </c>
      <c r="K680" s="75" t="s">
        <v>8442</v>
      </c>
      <c r="L680" s="75" t="s">
        <v>344</v>
      </c>
      <c r="M680" t="s">
        <v>9100</v>
      </c>
      <c r="N680" s="75" t="s">
        <v>8309</v>
      </c>
      <c r="O680" s="75" t="s">
        <v>5719</v>
      </c>
      <c r="P680" t="s">
        <v>8781</v>
      </c>
      <c r="Q680" s="75" t="s">
        <v>8423</v>
      </c>
      <c r="R680" s="75" t="s">
        <v>2972</v>
      </c>
      <c r="S680" t="s">
        <v>8952</v>
      </c>
      <c r="T680" s="75" t="s">
        <v>3105</v>
      </c>
      <c r="U680" s="75" t="s">
        <v>228</v>
      </c>
      <c r="V680" t="s">
        <v>4279</v>
      </c>
      <c r="W680" s="74" t="s">
        <v>10571</v>
      </c>
      <c r="X680" s="74" t="s">
        <v>9352</v>
      </c>
      <c r="Y680" t="s">
        <v>10845</v>
      </c>
    </row>
    <row r="681" spans="1:26" x14ac:dyDescent="0.25">
      <c r="B681" s="75" t="s">
        <v>8156</v>
      </c>
      <c r="C681" s="75" t="s">
        <v>5720</v>
      </c>
      <c r="D681" t="s">
        <v>8288</v>
      </c>
      <c r="E681" s="75" t="s">
        <v>7862</v>
      </c>
      <c r="F681" s="75" t="s">
        <v>7631</v>
      </c>
      <c r="G681" t="s">
        <v>7907</v>
      </c>
      <c r="H681" s="75" t="s">
        <v>7448</v>
      </c>
      <c r="I681" s="75" t="s">
        <v>358</v>
      </c>
      <c r="J681" t="s">
        <v>7814</v>
      </c>
      <c r="K681" s="75" t="s">
        <v>8856</v>
      </c>
      <c r="L681" s="75" t="s">
        <v>2972</v>
      </c>
      <c r="M681" t="s">
        <v>9073</v>
      </c>
      <c r="N681" s="75" t="s">
        <v>220</v>
      </c>
      <c r="O681" s="75" t="s">
        <v>5921</v>
      </c>
      <c r="P681" t="s">
        <v>8231</v>
      </c>
      <c r="Q681" s="75" t="s">
        <v>7713</v>
      </c>
      <c r="R681" s="75" t="s">
        <v>344</v>
      </c>
      <c r="S681" t="s">
        <v>8427</v>
      </c>
      <c r="T681" s="75" t="s">
        <v>2685</v>
      </c>
      <c r="U681" s="75" t="s">
        <v>3416</v>
      </c>
      <c r="V681" t="s">
        <v>3453</v>
      </c>
      <c r="W681" s="75" t="s">
        <v>10508</v>
      </c>
      <c r="X681" s="75" t="s">
        <v>8199</v>
      </c>
      <c r="Y681" t="s">
        <v>10789</v>
      </c>
    </row>
    <row r="682" spans="1:26" x14ac:dyDescent="0.25">
      <c r="B682" s="75" t="s">
        <v>7734</v>
      </c>
      <c r="C682" s="75" t="s">
        <v>2972</v>
      </c>
      <c r="D682" t="s">
        <v>7969</v>
      </c>
      <c r="E682" s="75" t="s">
        <v>7448</v>
      </c>
      <c r="F682" s="75" t="s">
        <v>358</v>
      </c>
      <c r="G682" t="s">
        <v>7768</v>
      </c>
      <c r="H682" s="75" t="s">
        <v>7506</v>
      </c>
      <c r="I682" s="75" t="s">
        <v>5921</v>
      </c>
      <c r="J682" t="s">
        <v>7747</v>
      </c>
      <c r="K682" s="75" t="s">
        <v>8763</v>
      </c>
      <c r="L682" s="216" t="s">
        <v>3416</v>
      </c>
      <c r="M682" t="s">
        <v>9047</v>
      </c>
      <c r="N682" s="75" t="s">
        <v>7809</v>
      </c>
      <c r="O682" s="75" t="s">
        <v>7631</v>
      </c>
      <c r="P682" t="s">
        <v>8155</v>
      </c>
      <c r="Q682" s="75" t="s">
        <v>2858</v>
      </c>
      <c r="R682" s="75" t="s">
        <v>329</v>
      </c>
      <c r="S682" t="s">
        <v>6590</v>
      </c>
      <c r="T682" s="75" t="s">
        <v>1242</v>
      </c>
      <c r="U682" s="75" t="s">
        <v>511</v>
      </c>
      <c r="V682" t="s">
        <v>2199</v>
      </c>
      <c r="W682" s="75" t="s">
        <v>10323</v>
      </c>
      <c r="X682" s="75" t="s">
        <v>344</v>
      </c>
      <c r="Y682" t="s">
        <v>10605</v>
      </c>
    </row>
    <row r="683" spans="1:26" x14ac:dyDescent="0.25">
      <c r="B683" s="75" t="s">
        <v>7353</v>
      </c>
      <c r="C683" s="75" t="s">
        <v>6406</v>
      </c>
      <c r="D683" t="s">
        <v>7507</v>
      </c>
      <c r="E683" s="75" t="s">
        <v>7202</v>
      </c>
      <c r="F683" s="75" t="s">
        <v>604</v>
      </c>
      <c r="G683" t="s">
        <v>7438</v>
      </c>
      <c r="H683" s="75" t="s">
        <v>7202</v>
      </c>
      <c r="I683" s="75" t="s">
        <v>604</v>
      </c>
      <c r="J683" t="s">
        <v>7437</v>
      </c>
      <c r="K683" s="74" t="s">
        <v>8450</v>
      </c>
      <c r="L683" s="74" t="s">
        <v>387</v>
      </c>
      <c r="M683" t="s">
        <v>9377</v>
      </c>
      <c r="N683" s="75" t="s">
        <v>732</v>
      </c>
      <c r="O683" s="75" t="s">
        <v>526</v>
      </c>
      <c r="P683" t="s">
        <v>7840</v>
      </c>
      <c r="Q683" s="75" t="s">
        <v>5901</v>
      </c>
      <c r="R683" s="75" t="s">
        <v>329</v>
      </c>
      <c r="S683" t="s">
        <v>6252</v>
      </c>
      <c r="T683" s="75" t="s">
        <v>1282</v>
      </c>
      <c r="U683" s="75" t="s">
        <v>358</v>
      </c>
      <c r="V683" t="s">
        <v>1491</v>
      </c>
      <c r="W683" s="75" t="s">
        <v>6431</v>
      </c>
      <c r="X683" s="216" t="s">
        <v>9352</v>
      </c>
      <c r="Y683" t="s">
        <v>10541</v>
      </c>
    </row>
    <row r="684" spans="1:26" x14ac:dyDescent="0.25">
      <c r="B684" s="75" t="s">
        <v>6393</v>
      </c>
      <c r="C684" s="75" t="s">
        <v>5720</v>
      </c>
      <c r="D684" t="s">
        <v>6642</v>
      </c>
      <c r="E684" s="75" t="s">
        <v>6382</v>
      </c>
      <c r="F684" s="75" t="s">
        <v>376</v>
      </c>
      <c r="G684" t="s">
        <v>6959</v>
      </c>
      <c r="H684" s="75" t="s">
        <v>6382</v>
      </c>
      <c r="I684" s="75" t="s">
        <v>376</v>
      </c>
      <c r="J684" t="s">
        <v>7200</v>
      </c>
      <c r="K684" s="75" t="s">
        <v>8670</v>
      </c>
      <c r="L684" s="75" t="s">
        <v>344</v>
      </c>
      <c r="M684" t="s">
        <v>8892</v>
      </c>
      <c r="N684" s="75" t="s">
        <v>7712</v>
      </c>
      <c r="O684" s="75" t="s">
        <v>1355</v>
      </c>
      <c r="P684" t="s">
        <v>7750</v>
      </c>
      <c r="Q684" s="75" t="s">
        <v>5296</v>
      </c>
      <c r="R684" s="75" t="s">
        <v>344</v>
      </c>
      <c r="S684" t="s">
        <v>5861</v>
      </c>
      <c r="T684" s="75" t="s">
        <v>952</v>
      </c>
      <c r="U684" s="75" t="s">
        <v>583</v>
      </c>
      <c r="V684" t="s">
        <v>1929</v>
      </c>
      <c r="W684" s="75" t="s">
        <v>8289</v>
      </c>
      <c r="X684" s="216" t="s">
        <v>8199</v>
      </c>
      <c r="Y684" t="s">
        <v>10470</v>
      </c>
    </row>
    <row r="685" spans="1:26" x14ac:dyDescent="0.25">
      <c r="B685" s="75" t="s">
        <v>6138</v>
      </c>
      <c r="C685" s="75" t="s">
        <v>376</v>
      </c>
      <c r="D685" t="s">
        <v>6381</v>
      </c>
      <c r="E685" s="75" t="s">
        <v>6129</v>
      </c>
      <c r="F685" s="75" t="s">
        <v>2970</v>
      </c>
      <c r="G685" t="s">
        <v>6693</v>
      </c>
      <c r="H685" s="74" t="s">
        <v>5337</v>
      </c>
      <c r="I685" s="74" t="s">
        <v>376</v>
      </c>
      <c r="J685" t="s">
        <v>7206</v>
      </c>
      <c r="K685" s="75" t="s">
        <v>8443</v>
      </c>
      <c r="L685" s="75" t="s">
        <v>8199</v>
      </c>
      <c r="M685" t="s">
        <v>8780</v>
      </c>
      <c r="N685" s="75" t="s">
        <v>693</v>
      </c>
      <c r="O685" s="75" t="s">
        <v>6406</v>
      </c>
      <c r="P685" t="s">
        <v>7705</v>
      </c>
      <c r="Q685" s="75" t="s">
        <v>4748</v>
      </c>
      <c r="R685" s="75" t="s">
        <v>358</v>
      </c>
      <c r="S685" t="s">
        <v>5140</v>
      </c>
      <c r="T685" s="75" t="s">
        <v>592</v>
      </c>
      <c r="U685" s="75" t="s">
        <v>749</v>
      </c>
      <c r="V685" t="s">
        <v>2200</v>
      </c>
      <c r="W685" s="75" t="s">
        <v>9116</v>
      </c>
      <c r="X685" s="75" t="s">
        <v>577</v>
      </c>
      <c r="Y685" t="s">
        <v>10327</v>
      </c>
    </row>
    <row r="686" spans="1:26" x14ac:dyDescent="0.25">
      <c r="B686" s="75" t="s">
        <v>6016</v>
      </c>
      <c r="C686" s="75" t="s">
        <v>358</v>
      </c>
      <c r="D686" t="s">
        <v>6365</v>
      </c>
      <c r="E686" s="75" t="s">
        <v>5337</v>
      </c>
      <c r="F686" s="75" t="s">
        <v>376</v>
      </c>
      <c r="G686" t="s">
        <v>6117</v>
      </c>
      <c r="H686" s="75" t="s">
        <v>6364</v>
      </c>
      <c r="I686" s="75" t="s">
        <v>358</v>
      </c>
      <c r="J686" t="s">
        <v>6838</v>
      </c>
      <c r="K686" s="75" t="s">
        <v>7924</v>
      </c>
      <c r="L686" s="75" t="s">
        <v>7719</v>
      </c>
      <c r="M686" t="s">
        <v>8449</v>
      </c>
      <c r="N686" s="75" t="s">
        <v>7527</v>
      </c>
      <c r="O686" s="75" t="s">
        <v>5817</v>
      </c>
      <c r="P686" t="s">
        <v>7604</v>
      </c>
      <c r="Q686" s="75" t="s">
        <v>4687</v>
      </c>
      <c r="R686" s="75" t="s">
        <v>2970</v>
      </c>
      <c r="S686" t="s">
        <v>5020</v>
      </c>
      <c r="T686" s="75" t="s">
        <v>859</v>
      </c>
      <c r="U686" s="75" t="s">
        <v>456</v>
      </c>
      <c r="V686" t="s">
        <v>2201</v>
      </c>
      <c r="W686" s="75" t="s">
        <v>9271</v>
      </c>
      <c r="X686" s="75" t="s">
        <v>5720</v>
      </c>
      <c r="Y686" t="s">
        <v>9431</v>
      </c>
    </row>
    <row r="687" spans="1:26" x14ac:dyDescent="0.25">
      <c r="B687" s="75" t="s">
        <v>5971</v>
      </c>
      <c r="C687" s="75" t="s">
        <v>5921</v>
      </c>
      <c r="D687" t="s">
        <v>6133</v>
      </c>
      <c r="E687" s="75" t="s">
        <v>5667</v>
      </c>
      <c r="F687" s="75" t="s">
        <v>5857</v>
      </c>
      <c r="G687" t="s">
        <v>5903</v>
      </c>
      <c r="H687" s="75" t="s">
        <v>6132</v>
      </c>
      <c r="I687" s="75" t="s">
        <v>5921</v>
      </c>
      <c r="J687" t="s">
        <v>6374</v>
      </c>
      <c r="K687" s="74" t="s">
        <v>7263</v>
      </c>
      <c r="L687" s="74" t="s">
        <v>5719</v>
      </c>
      <c r="M687" t="s">
        <v>8264</v>
      </c>
      <c r="N687" s="75" t="s">
        <v>7409</v>
      </c>
      <c r="O687" s="75" t="s">
        <v>6406</v>
      </c>
      <c r="P687" t="s">
        <v>7593</v>
      </c>
      <c r="Q687" s="75" t="s">
        <v>4502</v>
      </c>
      <c r="R687" s="75" t="s">
        <v>676</v>
      </c>
      <c r="S687" t="s">
        <v>4812</v>
      </c>
      <c r="T687" s="75" t="s">
        <v>3628</v>
      </c>
      <c r="U687" s="75" t="s">
        <v>376</v>
      </c>
      <c r="V687" t="s">
        <v>3701</v>
      </c>
      <c r="W687" s="75" t="s">
        <v>8971</v>
      </c>
      <c r="X687" s="75" t="s">
        <v>5720</v>
      </c>
      <c r="Y687" t="s">
        <v>9102</v>
      </c>
    </row>
    <row r="688" spans="1:26" x14ac:dyDescent="0.25">
      <c r="B688" s="75" t="s">
        <v>5930</v>
      </c>
      <c r="C688" s="75" t="s">
        <v>2970</v>
      </c>
      <c r="D688" t="s">
        <v>6131</v>
      </c>
      <c r="E688" s="75" t="s">
        <v>5112</v>
      </c>
      <c r="F688" s="75" t="s">
        <v>1507</v>
      </c>
      <c r="G688" t="s">
        <v>5879</v>
      </c>
      <c r="H688" s="75" t="s">
        <v>5667</v>
      </c>
      <c r="I688" s="75" t="s">
        <v>5857</v>
      </c>
      <c r="J688" t="s">
        <v>6007</v>
      </c>
      <c r="K688" s="75" t="s">
        <v>7369</v>
      </c>
      <c r="L688" s="75" t="s">
        <v>6432</v>
      </c>
      <c r="M688" t="s">
        <v>7502</v>
      </c>
      <c r="N688" s="75" t="s">
        <v>7370</v>
      </c>
      <c r="O688" s="75" t="s">
        <v>5817</v>
      </c>
      <c r="P688" t="s">
        <v>7544</v>
      </c>
      <c r="Q688" s="75" t="s">
        <v>4332</v>
      </c>
      <c r="R688" s="75" t="s">
        <v>358</v>
      </c>
      <c r="S688" t="s">
        <v>4618</v>
      </c>
      <c r="T688" s="75" t="s">
        <v>4404</v>
      </c>
      <c r="U688" s="75" t="s">
        <v>585</v>
      </c>
      <c r="V688" t="s">
        <v>4568</v>
      </c>
      <c r="W688" s="75" t="s">
        <v>8448</v>
      </c>
      <c r="X688" s="75" t="s">
        <v>5921</v>
      </c>
      <c r="Y688" t="s">
        <v>9002</v>
      </c>
    </row>
    <row r="689" spans="2:25" x14ac:dyDescent="0.25">
      <c r="B689" s="75" t="s">
        <v>5495</v>
      </c>
      <c r="C689" s="75" t="s">
        <v>82</v>
      </c>
      <c r="D689" t="s">
        <v>5666</v>
      </c>
      <c r="E689" s="75" t="s">
        <v>5096</v>
      </c>
      <c r="F689" s="75" t="s">
        <v>526</v>
      </c>
      <c r="G689" t="s">
        <v>5429</v>
      </c>
      <c r="H689" s="75" t="s">
        <v>5112</v>
      </c>
      <c r="I689" s="75" t="s">
        <v>1507</v>
      </c>
      <c r="J689" t="s">
        <v>5948</v>
      </c>
      <c r="K689" s="75" t="s">
        <v>7255</v>
      </c>
      <c r="L689" s="75" t="s">
        <v>6406</v>
      </c>
      <c r="M689" t="s">
        <v>7365</v>
      </c>
      <c r="N689" s="75" t="s">
        <v>1304</v>
      </c>
      <c r="O689" s="75" t="s">
        <v>6406</v>
      </c>
      <c r="P689" t="s">
        <v>7293</v>
      </c>
      <c r="Q689" s="75" t="s">
        <v>4310</v>
      </c>
      <c r="R689" s="75" t="s">
        <v>2972</v>
      </c>
      <c r="S689" t="s">
        <v>4621</v>
      </c>
      <c r="T689" s="75" t="s">
        <v>546</v>
      </c>
      <c r="U689" s="75" t="s">
        <v>324</v>
      </c>
      <c r="V689" t="s">
        <v>4934</v>
      </c>
      <c r="W689" s="75" t="s">
        <v>8271</v>
      </c>
      <c r="X689" s="75" t="s">
        <v>5721</v>
      </c>
      <c r="Y689" t="s">
        <v>8518</v>
      </c>
    </row>
    <row r="690" spans="2:25" x14ac:dyDescent="0.25">
      <c r="B690" s="75" t="s">
        <v>5217</v>
      </c>
      <c r="C690" s="75" t="s">
        <v>376</v>
      </c>
      <c r="D690" t="s">
        <v>5338</v>
      </c>
      <c r="E690" s="75" t="s">
        <v>5153</v>
      </c>
      <c r="F690" s="75" t="s">
        <v>676</v>
      </c>
      <c r="G690" t="s">
        <v>5319</v>
      </c>
      <c r="H690" s="75" t="s">
        <v>4828</v>
      </c>
      <c r="I690" s="75" t="s">
        <v>5719</v>
      </c>
      <c r="J690" t="s">
        <v>5985</v>
      </c>
      <c r="K690" s="75" t="s">
        <v>7212</v>
      </c>
      <c r="L690" s="75" t="s">
        <v>6432</v>
      </c>
      <c r="M690" t="s">
        <v>7300</v>
      </c>
      <c r="N690" s="75" t="s">
        <v>4516</v>
      </c>
      <c r="O690" s="75" t="s">
        <v>5770</v>
      </c>
      <c r="P690" t="s">
        <v>7244</v>
      </c>
      <c r="Q690" s="75" t="s">
        <v>3836</v>
      </c>
      <c r="R690" s="75" t="s">
        <v>676</v>
      </c>
      <c r="S690" t="s">
        <v>4199</v>
      </c>
      <c r="T690" s="75" t="s">
        <v>5816</v>
      </c>
      <c r="U690" s="75" t="s">
        <v>5817</v>
      </c>
      <c r="V690" t="s">
        <v>5984</v>
      </c>
      <c r="W690" s="75" t="s">
        <v>8249</v>
      </c>
      <c r="X690" s="75" t="s">
        <v>5921</v>
      </c>
      <c r="Y690" t="s">
        <v>9020</v>
      </c>
    </row>
    <row r="691" spans="2:25" x14ac:dyDescent="0.25">
      <c r="B691" s="75" t="s">
        <v>5045</v>
      </c>
      <c r="C691" s="75" t="s">
        <v>939</v>
      </c>
      <c r="D691" t="s">
        <v>6839</v>
      </c>
      <c r="E691" s="75" t="s">
        <v>4508</v>
      </c>
      <c r="F691" s="75" t="s">
        <v>940</v>
      </c>
      <c r="G691" t="s">
        <v>4900</v>
      </c>
      <c r="H691" s="75" t="s">
        <v>5096</v>
      </c>
      <c r="I691" s="75" t="s">
        <v>1458</v>
      </c>
      <c r="J691" t="s">
        <v>5575</v>
      </c>
      <c r="K691" s="74" t="s">
        <v>7182</v>
      </c>
      <c r="L691" s="74" t="s">
        <v>6604</v>
      </c>
      <c r="M691" t="s">
        <v>7278</v>
      </c>
      <c r="N691" s="75" t="s">
        <v>7022</v>
      </c>
      <c r="O691" s="75" t="s">
        <v>604</v>
      </c>
      <c r="P691" t="s">
        <v>7083</v>
      </c>
      <c r="Q691" s="75" t="s">
        <v>3842</v>
      </c>
      <c r="R691" s="75" t="s">
        <v>3796</v>
      </c>
      <c r="S691" t="s">
        <v>3947</v>
      </c>
      <c r="T691" s="75" t="s">
        <v>5979</v>
      </c>
      <c r="U691" s="75" t="s">
        <v>5980</v>
      </c>
      <c r="V691" t="s">
        <v>6286</v>
      </c>
      <c r="W691" s="75" t="s">
        <v>1907</v>
      </c>
      <c r="X691" s="75" t="s">
        <v>511</v>
      </c>
      <c r="Y691" t="s">
        <v>8304</v>
      </c>
    </row>
    <row r="692" spans="2:25" x14ac:dyDescent="0.25">
      <c r="B692" s="75" t="s">
        <v>4891</v>
      </c>
      <c r="C692" s="75" t="s">
        <v>676</v>
      </c>
      <c r="D692" t="s">
        <v>5154</v>
      </c>
      <c r="E692" s="75" t="s">
        <v>2545</v>
      </c>
      <c r="F692" s="75" t="s">
        <v>4862</v>
      </c>
      <c r="G692" t="s">
        <v>4863</v>
      </c>
      <c r="H692" s="75" t="s">
        <v>5153</v>
      </c>
      <c r="I692" s="75" t="s">
        <v>676</v>
      </c>
      <c r="J692" t="s">
        <v>5393</v>
      </c>
      <c r="K692" s="75" t="s">
        <v>4974</v>
      </c>
      <c r="L692" s="75" t="s">
        <v>6432</v>
      </c>
      <c r="M692" t="s">
        <v>7174</v>
      </c>
      <c r="N692" s="75" t="s">
        <v>6942</v>
      </c>
      <c r="O692" s="75" t="s">
        <v>5921</v>
      </c>
      <c r="P692" t="s">
        <v>7048</v>
      </c>
      <c r="Q692" s="75" t="s">
        <v>3062</v>
      </c>
      <c r="R692" s="75" t="s">
        <v>917</v>
      </c>
      <c r="S692" t="s">
        <v>3621</v>
      </c>
      <c r="T692" s="75" t="s">
        <v>7935</v>
      </c>
      <c r="U692" s="75" t="s">
        <v>2970</v>
      </c>
      <c r="V692" t="s">
        <v>7950</v>
      </c>
      <c r="W692" s="75" t="s">
        <v>7471</v>
      </c>
      <c r="X692" s="75" t="s">
        <v>6432</v>
      </c>
      <c r="Y692" t="s">
        <v>7717</v>
      </c>
    </row>
    <row r="693" spans="2:25" x14ac:dyDescent="0.25">
      <c r="B693" s="75" t="s">
        <v>4996</v>
      </c>
      <c r="C693" s="75" t="s">
        <v>5029</v>
      </c>
      <c r="D693" t="s">
        <v>5111</v>
      </c>
      <c r="E693" s="75" t="s">
        <v>4500</v>
      </c>
      <c r="F693" s="75" t="s">
        <v>4686</v>
      </c>
      <c r="G693" t="s">
        <v>4685</v>
      </c>
      <c r="H693" s="75" t="s">
        <v>4775</v>
      </c>
      <c r="I693" s="75" t="s">
        <v>2972</v>
      </c>
      <c r="J693" t="s">
        <v>5383</v>
      </c>
      <c r="K693" s="75" t="s">
        <v>6630</v>
      </c>
      <c r="L693" s="75" t="s">
        <v>6604</v>
      </c>
      <c r="M693" t="s">
        <v>7173</v>
      </c>
      <c r="N693" s="75" t="s">
        <v>6873</v>
      </c>
      <c r="O693" s="75" t="s">
        <v>604</v>
      </c>
      <c r="P693" t="s">
        <v>6900</v>
      </c>
      <c r="Q693" s="75" t="s">
        <v>2941</v>
      </c>
      <c r="R693" s="75" t="s">
        <v>918</v>
      </c>
      <c r="S693" t="s">
        <v>3449</v>
      </c>
      <c r="W693" s="75" t="s">
        <v>7156</v>
      </c>
      <c r="X693" s="75" t="s">
        <v>344</v>
      </c>
      <c r="Y693" t="s">
        <v>7430</v>
      </c>
    </row>
    <row r="694" spans="2:25" x14ac:dyDescent="0.25">
      <c r="B694" s="75" t="s">
        <v>4893</v>
      </c>
      <c r="C694" s="75" t="s">
        <v>526</v>
      </c>
      <c r="D694" t="s">
        <v>5097</v>
      </c>
      <c r="E694" s="75" t="s">
        <v>4446</v>
      </c>
      <c r="F694" s="75" t="s">
        <v>577</v>
      </c>
      <c r="G694" t="s">
        <v>4590</v>
      </c>
      <c r="H694" s="75" t="s">
        <v>4918</v>
      </c>
      <c r="I694" s="75" t="s">
        <v>684</v>
      </c>
      <c r="J694" t="s">
        <v>5102</v>
      </c>
      <c r="K694" s="75" t="s">
        <v>6795</v>
      </c>
      <c r="L694" s="75" t="s">
        <v>2972</v>
      </c>
      <c r="M694" t="s">
        <v>7047</v>
      </c>
      <c r="N694" s="75" t="s">
        <v>6532</v>
      </c>
      <c r="O694" s="75" t="s">
        <v>5770</v>
      </c>
      <c r="P694" t="s">
        <v>6797</v>
      </c>
      <c r="Q694" s="75" t="s">
        <v>2989</v>
      </c>
      <c r="R694" s="75" t="s">
        <v>917</v>
      </c>
      <c r="S694" t="s">
        <v>3074</v>
      </c>
      <c r="W694" s="75" t="s">
        <v>6289</v>
      </c>
      <c r="X694" s="75" t="s">
        <v>6533</v>
      </c>
      <c r="Y694" t="s">
        <v>6689</v>
      </c>
    </row>
    <row r="695" spans="2:25" x14ac:dyDescent="0.25">
      <c r="B695" s="75" t="s">
        <v>4637</v>
      </c>
      <c r="C695" s="75" t="s">
        <v>577</v>
      </c>
      <c r="D695" t="s">
        <v>4829</v>
      </c>
      <c r="E695" s="75" t="s">
        <v>4112</v>
      </c>
      <c r="F695" s="75" t="s">
        <v>324</v>
      </c>
      <c r="G695" t="s">
        <v>4323</v>
      </c>
      <c r="H695" s="75" t="s">
        <v>4508</v>
      </c>
      <c r="I695" s="75" t="s">
        <v>940</v>
      </c>
      <c r="J695" t="s">
        <v>5073</v>
      </c>
      <c r="K695" s="75" t="s">
        <v>6446</v>
      </c>
      <c r="L695" s="75" t="s">
        <v>585</v>
      </c>
      <c r="M695" t="s">
        <v>7045</v>
      </c>
      <c r="N695" s="75" t="s">
        <v>6478</v>
      </c>
      <c r="O695" s="75" t="s">
        <v>6479</v>
      </c>
      <c r="P695" t="s">
        <v>6669</v>
      </c>
      <c r="Q695" s="75" t="s">
        <v>1713</v>
      </c>
      <c r="R695" s="75" t="s">
        <v>450</v>
      </c>
      <c r="S695" t="s">
        <v>1915</v>
      </c>
      <c r="W695" s="75" t="s">
        <v>425</v>
      </c>
      <c r="X695" s="75" t="s">
        <v>4766</v>
      </c>
      <c r="Y695" t="s">
        <v>6448</v>
      </c>
    </row>
    <row r="696" spans="2:25" x14ac:dyDescent="0.25">
      <c r="B696" s="75" t="s">
        <v>4426</v>
      </c>
      <c r="C696" s="75" t="s">
        <v>458</v>
      </c>
      <c r="D696" t="s">
        <v>4588</v>
      </c>
      <c r="E696" s="75" t="s">
        <v>3687</v>
      </c>
      <c r="F696" s="75" t="s">
        <v>2970</v>
      </c>
      <c r="G696" t="s">
        <v>4303</v>
      </c>
      <c r="H696" s="75" t="s">
        <v>3139</v>
      </c>
      <c r="I696" s="75" t="s">
        <v>1721</v>
      </c>
      <c r="J696" t="s">
        <v>4936</v>
      </c>
      <c r="K696" s="75" t="s">
        <v>6362</v>
      </c>
      <c r="L696" s="75" t="s">
        <v>5980</v>
      </c>
      <c r="M696" t="s">
        <v>6471</v>
      </c>
      <c r="N696" s="75" t="s">
        <v>6287</v>
      </c>
      <c r="O696" s="75" t="s">
        <v>5719</v>
      </c>
      <c r="P696" t="s">
        <v>6589</v>
      </c>
      <c r="Q696" s="75" t="s">
        <v>974</v>
      </c>
      <c r="R696" s="75" t="s">
        <v>625</v>
      </c>
      <c r="S696" t="s">
        <v>2194</v>
      </c>
      <c r="W696" s="75" t="s">
        <v>4263</v>
      </c>
      <c r="X696" s="75" t="s">
        <v>1457</v>
      </c>
      <c r="Y696" t="s">
        <v>5283</v>
      </c>
    </row>
    <row r="697" spans="2:25" x14ac:dyDescent="0.25">
      <c r="B697" s="75" t="s">
        <v>4393</v>
      </c>
      <c r="C697" s="75" t="s">
        <v>940</v>
      </c>
      <c r="D697" t="s">
        <v>4509</v>
      </c>
      <c r="E697" s="75" t="s">
        <v>3700</v>
      </c>
      <c r="F697" s="75" t="s">
        <v>3886</v>
      </c>
      <c r="G697" t="s">
        <v>3979</v>
      </c>
      <c r="H697" s="75" t="s">
        <v>4500</v>
      </c>
      <c r="I697" s="75" t="s">
        <v>3960</v>
      </c>
      <c r="J697" t="s">
        <v>4765</v>
      </c>
      <c r="K697" s="75" t="s">
        <v>6361</v>
      </c>
      <c r="L697" s="75" t="s">
        <v>585</v>
      </c>
      <c r="M697" t="s">
        <v>6442</v>
      </c>
      <c r="N697" s="75" t="s">
        <v>5910</v>
      </c>
      <c r="O697" s="75" t="s">
        <v>5770</v>
      </c>
      <c r="P697" t="s">
        <v>6498</v>
      </c>
      <c r="Q697" s="75" t="s">
        <v>857</v>
      </c>
      <c r="R697" s="75" t="s">
        <v>457</v>
      </c>
      <c r="S697" t="s">
        <v>2195</v>
      </c>
      <c r="W697" s="75" t="s">
        <v>4602</v>
      </c>
      <c r="X697" s="75" t="s">
        <v>228</v>
      </c>
      <c r="Y697" t="s">
        <v>5065</v>
      </c>
    </row>
    <row r="698" spans="2:25" x14ac:dyDescent="0.25">
      <c r="B698" s="75" t="s">
        <v>4038</v>
      </c>
      <c r="C698" s="75" t="s">
        <v>344</v>
      </c>
      <c r="D698" t="s">
        <v>4152</v>
      </c>
      <c r="E698" s="75" t="s">
        <v>3306</v>
      </c>
      <c r="F698" s="75" t="s">
        <v>364</v>
      </c>
      <c r="G698" t="s">
        <v>3695</v>
      </c>
      <c r="H698" s="75" t="s">
        <v>4587</v>
      </c>
      <c r="I698" s="75" t="s">
        <v>458</v>
      </c>
      <c r="J698" t="s">
        <v>4696</v>
      </c>
      <c r="K698" s="75" t="s">
        <v>6156</v>
      </c>
      <c r="L698" s="75" t="s">
        <v>344</v>
      </c>
      <c r="M698" t="s">
        <v>6205</v>
      </c>
      <c r="N698" s="75" t="s">
        <v>220</v>
      </c>
      <c r="O698" s="75" t="s">
        <v>358</v>
      </c>
      <c r="P698" t="s">
        <v>5842</v>
      </c>
      <c r="Q698" s="75" t="s">
        <v>400</v>
      </c>
      <c r="R698" s="75" t="s">
        <v>590</v>
      </c>
      <c r="S698" t="s">
        <v>2196</v>
      </c>
      <c r="W698" s="75" t="s">
        <v>4933</v>
      </c>
      <c r="X698" s="75" t="s">
        <v>631</v>
      </c>
      <c r="Y698" t="s">
        <v>4983</v>
      </c>
    </row>
    <row r="699" spans="2:25" x14ac:dyDescent="0.25">
      <c r="B699" s="75" t="s">
        <v>3645</v>
      </c>
      <c r="C699" s="75" t="s">
        <v>2970</v>
      </c>
      <c r="D699" t="s">
        <v>3752</v>
      </c>
      <c r="E699" s="75" t="s">
        <v>3107</v>
      </c>
      <c r="F699" s="75" t="s">
        <v>1721</v>
      </c>
      <c r="G699" t="s">
        <v>3534</v>
      </c>
      <c r="H699" s="75" t="s">
        <v>4446</v>
      </c>
      <c r="I699" s="75" t="s">
        <v>577</v>
      </c>
      <c r="J699" t="s">
        <v>4636</v>
      </c>
      <c r="K699" s="75" t="s">
        <v>5464</v>
      </c>
      <c r="L699" s="75" t="s">
        <v>585</v>
      </c>
      <c r="M699" t="s">
        <v>6066</v>
      </c>
      <c r="N699" s="75" t="s">
        <v>5385</v>
      </c>
      <c r="O699" s="75" t="s">
        <v>5770</v>
      </c>
      <c r="P699" t="s">
        <v>5792</v>
      </c>
      <c r="Q699" s="75" t="s">
        <v>1275</v>
      </c>
      <c r="R699" s="75" t="s">
        <v>1292</v>
      </c>
      <c r="S699" t="s">
        <v>2197</v>
      </c>
      <c r="W699" s="75" t="s">
        <v>4579</v>
      </c>
      <c r="X699" s="75" t="s">
        <v>228</v>
      </c>
      <c r="Y699" t="s">
        <v>4617</v>
      </c>
    </row>
    <row r="700" spans="2:25" x14ac:dyDescent="0.25">
      <c r="B700" s="75" t="s">
        <v>3471</v>
      </c>
      <c r="C700" s="75" t="s">
        <v>577</v>
      </c>
      <c r="D700" t="s">
        <v>3684</v>
      </c>
      <c r="E700" s="75" t="s">
        <v>204</v>
      </c>
      <c r="F700" s="75" t="s">
        <v>765</v>
      </c>
      <c r="G700" t="s">
        <v>3524</v>
      </c>
      <c r="H700" s="75" t="s">
        <v>3687</v>
      </c>
      <c r="I700" s="75" t="s">
        <v>2970</v>
      </c>
      <c r="J700" t="s">
        <v>4542</v>
      </c>
      <c r="K700" s="75" t="s">
        <v>5117</v>
      </c>
      <c r="L700" s="75" t="s">
        <v>376</v>
      </c>
      <c r="M700" t="s">
        <v>5359</v>
      </c>
      <c r="N700" s="75" t="s">
        <v>290</v>
      </c>
      <c r="O700" s="75" t="s">
        <v>684</v>
      </c>
      <c r="P700" t="s">
        <v>5588</v>
      </c>
      <c r="Q700" s="75" t="s">
        <v>1612</v>
      </c>
      <c r="R700" s="75" t="s">
        <v>916</v>
      </c>
      <c r="S700" t="s">
        <v>1763</v>
      </c>
      <c r="W700" s="75" t="s">
        <v>3365</v>
      </c>
      <c r="X700" s="75" t="s">
        <v>603</v>
      </c>
      <c r="Y700" t="s">
        <v>4577</v>
      </c>
    </row>
    <row r="701" spans="2:25" x14ac:dyDescent="0.25">
      <c r="B701" s="75" t="s">
        <v>3007</v>
      </c>
      <c r="C701" s="75" t="s">
        <v>457</v>
      </c>
      <c r="D701" t="s">
        <v>3140</v>
      </c>
      <c r="E701" s="75" t="s">
        <v>1921</v>
      </c>
      <c r="F701" s="75" t="s">
        <v>749</v>
      </c>
      <c r="G701" t="s">
        <v>2722</v>
      </c>
      <c r="H701" s="75" t="s">
        <v>3246</v>
      </c>
      <c r="I701" s="75" t="s">
        <v>329</v>
      </c>
      <c r="J701" t="s">
        <v>4258</v>
      </c>
      <c r="K701" s="75" t="s">
        <v>4920</v>
      </c>
      <c r="L701" s="75" t="s">
        <v>376</v>
      </c>
      <c r="M701" t="s">
        <v>5119</v>
      </c>
      <c r="N701" s="75" t="s">
        <v>5142</v>
      </c>
      <c r="O701" s="75" t="s">
        <v>940</v>
      </c>
      <c r="P701" t="s">
        <v>5527</v>
      </c>
      <c r="Q701" s="75" t="s">
        <v>1101</v>
      </c>
      <c r="R701" s="75" t="s">
        <v>1292</v>
      </c>
      <c r="S701" t="s">
        <v>2198</v>
      </c>
      <c r="W701" s="75" t="s">
        <v>3915</v>
      </c>
      <c r="X701" s="75" t="s">
        <v>358</v>
      </c>
      <c r="Y701" t="s">
        <v>4322</v>
      </c>
    </row>
    <row r="702" spans="2:25" x14ac:dyDescent="0.25">
      <c r="B702" s="75" t="s">
        <v>3003</v>
      </c>
      <c r="C702" s="75" t="s">
        <v>447</v>
      </c>
      <c r="D702" t="s">
        <v>3305</v>
      </c>
      <c r="E702" s="75" t="s">
        <v>1785</v>
      </c>
      <c r="F702" s="75" t="s">
        <v>765</v>
      </c>
      <c r="G702" t="s">
        <v>1863</v>
      </c>
      <c r="H702" s="75" t="s">
        <v>3753</v>
      </c>
      <c r="I702" s="75" t="s">
        <v>2971</v>
      </c>
      <c r="J702" t="s">
        <v>4192</v>
      </c>
      <c r="K702" s="75" t="s">
        <v>4974</v>
      </c>
      <c r="L702" s="75" t="s">
        <v>324</v>
      </c>
      <c r="M702" t="s">
        <v>5506</v>
      </c>
      <c r="N702" s="75" t="s">
        <v>5162</v>
      </c>
      <c r="O702" s="75" t="s">
        <v>324</v>
      </c>
      <c r="P702" t="s">
        <v>5492</v>
      </c>
      <c r="Q702" s="75" t="s">
        <v>719</v>
      </c>
      <c r="R702" s="75" t="s">
        <v>445</v>
      </c>
      <c r="S702" t="s">
        <v>1864</v>
      </c>
      <c r="W702" s="75" t="s">
        <v>3458</v>
      </c>
      <c r="X702" s="75" t="s">
        <v>2972</v>
      </c>
      <c r="Y702" t="s">
        <v>4200</v>
      </c>
    </row>
    <row r="703" spans="2:25" x14ac:dyDescent="0.25">
      <c r="B703" s="75" t="s">
        <v>3009</v>
      </c>
      <c r="C703" s="75" t="s">
        <v>450</v>
      </c>
      <c r="D703" t="s">
        <v>3247</v>
      </c>
      <c r="E703" s="75" t="s">
        <v>1774</v>
      </c>
      <c r="F703" s="75" t="s">
        <v>635</v>
      </c>
      <c r="G703" t="s">
        <v>1858</v>
      </c>
      <c r="H703" s="75" t="s">
        <v>3686</v>
      </c>
      <c r="I703" s="75" t="s">
        <v>604</v>
      </c>
      <c r="J703" t="s">
        <v>4471</v>
      </c>
      <c r="K703" s="75" t="s">
        <v>4553</v>
      </c>
      <c r="L703" s="75" t="s">
        <v>676</v>
      </c>
      <c r="M703" t="s">
        <v>4864</v>
      </c>
      <c r="N703" s="75" t="s">
        <v>3165</v>
      </c>
      <c r="O703" s="75" t="s">
        <v>2972</v>
      </c>
      <c r="P703" t="s">
        <v>5278</v>
      </c>
      <c r="Q703" s="75" t="s">
        <v>1841</v>
      </c>
      <c r="R703" s="75" t="s">
        <v>918</v>
      </c>
      <c r="S703" t="s">
        <v>2498</v>
      </c>
      <c r="W703" s="75" t="s">
        <v>1347</v>
      </c>
      <c r="X703" s="75" t="s">
        <v>2971</v>
      </c>
      <c r="Y703" t="s">
        <v>3992</v>
      </c>
    </row>
    <row r="704" spans="2:25" x14ac:dyDescent="0.25">
      <c r="B704" s="75" t="s">
        <v>3007</v>
      </c>
      <c r="C704" s="75" t="s">
        <v>457</v>
      </c>
      <c r="D704" t="s">
        <v>3140</v>
      </c>
      <c r="E704" s="75" t="s">
        <v>426</v>
      </c>
      <c r="F704" s="75" t="s">
        <v>583</v>
      </c>
      <c r="G704" t="s">
        <v>1834</v>
      </c>
      <c r="H704" s="75" t="s">
        <v>3107</v>
      </c>
      <c r="I704" s="75" t="s">
        <v>3887</v>
      </c>
      <c r="J704" t="s">
        <v>4059</v>
      </c>
      <c r="K704" s="75" t="s">
        <v>3296</v>
      </c>
      <c r="L704" s="75" t="s">
        <v>2970</v>
      </c>
      <c r="M704" t="s">
        <v>5505</v>
      </c>
      <c r="N704" s="75" t="s">
        <v>4912</v>
      </c>
      <c r="O704" s="75" t="s">
        <v>376</v>
      </c>
      <c r="P704" t="s">
        <v>5371</v>
      </c>
      <c r="Q704" s="75" t="s">
        <v>2567</v>
      </c>
      <c r="R704" s="75" t="s">
        <v>1744</v>
      </c>
      <c r="S704" t="s">
        <v>2956</v>
      </c>
      <c r="W704" s="75" t="s">
        <v>3194</v>
      </c>
      <c r="X704" s="75" t="s">
        <v>456</v>
      </c>
      <c r="Y704" t="s">
        <v>3829</v>
      </c>
    </row>
    <row r="705" spans="2:25" x14ac:dyDescent="0.25">
      <c r="B705" s="75" t="s">
        <v>2667</v>
      </c>
      <c r="C705" s="75" t="s">
        <v>1690</v>
      </c>
      <c r="D705" t="s">
        <v>2690</v>
      </c>
      <c r="E705" s="75" t="s">
        <v>1673</v>
      </c>
      <c r="F705" s="75" t="s">
        <v>1261</v>
      </c>
      <c r="G705" t="s">
        <v>1787</v>
      </c>
      <c r="H705" s="75" t="s">
        <v>3651</v>
      </c>
      <c r="I705" s="75" t="s">
        <v>382</v>
      </c>
      <c r="J705" t="s">
        <v>3940</v>
      </c>
      <c r="K705" s="75" t="s">
        <v>711</v>
      </c>
      <c r="L705" s="75" t="s">
        <v>324</v>
      </c>
      <c r="M705" t="s">
        <v>4536</v>
      </c>
      <c r="N705" s="75" t="s">
        <v>4761</v>
      </c>
      <c r="O705" s="75" t="s">
        <v>456</v>
      </c>
      <c r="P705" t="s">
        <v>4960</v>
      </c>
      <c r="Q705" s="75" t="s">
        <v>2858</v>
      </c>
      <c r="R705" s="75" t="s">
        <v>2969</v>
      </c>
      <c r="S705" t="s">
        <v>3283</v>
      </c>
      <c r="W705" s="75" t="s">
        <v>3389</v>
      </c>
      <c r="X705" s="75" t="s">
        <v>456</v>
      </c>
      <c r="Y705" t="s">
        <v>3542</v>
      </c>
    </row>
    <row r="706" spans="2:25" x14ac:dyDescent="0.25">
      <c r="B706" s="75" t="s">
        <v>1889</v>
      </c>
      <c r="C706" s="75" t="s">
        <v>1208</v>
      </c>
      <c r="D706" t="s">
        <v>2566</v>
      </c>
      <c r="E706" s="75" t="s">
        <v>1487</v>
      </c>
      <c r="F706" s="75" t="s">
        <v>648</v>
      </c>
      <c r="G706" t="s">
        <v>1488</v>
      </c>
      <c r="H706" s="75" t="s">
        <v>3306</v>
      </c>
      <c r="I706" s="75" t="s">
        <v>364</v>
      </c>
      <c r="J706" t="s">
        <v>3939</v>
      </c>
      <c r="K706" s="75" t="s">
        <v>4288</v>
      </c>
      <c r="L706" s="75" t="s">
        <v>676</v>
      </c>
      <c r="M706" t="s">
        <v>4330</v>
      </c>
      <c r="N706" s="75" t="s">
        <v>1304</v>
      </c>
      <c r="O706" s="75" t="s">
        <v>631</v>
      </c>
      <c r="P706" t="s">
        <v>4865</v>
      </c>
      <c r="Q706" s="75" t="s">
        <v>435</v>
      </c>
      <c r="R706" s="75" t="s">
        <v>382</v>
      </c>
      <c r="S706" t="s">
        <v>3331</v>
      </c>
      <c r="W706" s="75" t="s">
        <v>691</v>
      </c>
      <c r="X706" s="75" t="s">
        <v>358</v>
      </c>
      <c r="Y706" t="s">
        <v>3332</v>
      </c>
    </row>
    <row r="707" spans="2:25" x14ac:dyDescent="0.25">
      <c r="B707" s="75" t="s">
        <v>1847</v>
      </c>
      <c r="C707" s="75" t="s">
        <v>456</v>
      </c>
      <c r="D707" t="s">
        <v>2539</v>
      </c>
      <c r="E707" s="75" t="s">
        <v>1311</v>
      </c>
      <c r="F707" s="75" t="s">
        <v>359</v>
      </c>
      <c r="G707" t="s">
        <v>1490</v>
      </c>
      <c r="H707" s="75" t="s">
        <v>3072</v>
      </c>
      <c r="I707" s="75" t="s">
        <v>364</v>
      </c>
      <c r="J707" t="s">
        <v>3503</v>
      </c>
      <c r="K707" s="75" t="s">
        <v>4215</v>
      </c>
      <c r="L707" s="75" t="s">
        <v>4209</v>
      </c>
      <c r="M707" t="s">
        <v>4220</v>
      </c>
      <c r="N707" s="75" t="s">
        <v>4395</v>
      </c>
      <c r="O707" s="75" t="s">
        <v>1721</v>
      </c>
      <c r="P707" t="s">
        <v>4540</v>
      </c>
      <c r="Q707" s="75" t="s">
        <v>3459</v>
      </c>
      <c r="R707" s="75" t="s">
        <v>918</v>
      </c>
      <c r="S707" t="s">
        <v>3855</v>
      </c>
      <c r="W707" s="75" t="s">
        <v>1908</v>
      </c>
      <c r="X707" s="75" t="s">
        <v>917</v>
      </c>
      <c r="Y707" t="s">
        <v>2797</v>
      </c>
    </row>
    <row r="708" spans="2:25" x14ac:dyDescent="0.25">
      <c r="B708" s="75" t="s">
        <v>1831</v>
      </c>
      <c r="C708" s="75" t="s">
        <v>749</v>
      </c>
      <c r="D708" t="s">
        <v>1922</v>
      </c>
      <c r="E708" s="75" t="s">
        <v>499</v>
      </c>
      <c r="F708" s="75" t="s">
        <v>611</v>
      </c>
      <c r="G708" t="s">
        <v>2129</v>
      </c>
      <c r="H708" s="75" t="s">
        <v>2895</v>
      </c>
      <c r="I708" s="75" t="s">
        <v>577</v>
      </c>
      <c r="J708" t="s">
        <v>3211</v>
      </c>
      <c r="K708" s="75" t="s">
        <v>3364</v>
      </c>
      <c r="L708" s="75" t="s">
        <v>382</v>
      </c>
      <c r="M708" t="s">
        <v>4085</v>
      </c>
      <c r="N708" s="75" t="s">
        <v>4405</v>
      </c>
      <c r="O708" s="75" t="s">
        <v>228</v>
      </c>
      <c r="P708" t="s">
        <v>4464</v>
      </c>
      <c r="Q708" s="75" t="s">
        <v>3226</v>
      </c>
      <c r="R708" s="75" t="s">
        <v>577</v>
      </c>
      <c r="S708" t="s">
        <v>3856</v>
      </c>
      <c r="W708" s="75" t="s">
        <v>1832</v>
      </c>
      <c r="X708" s="75" t="s">
        <v>1292</v>
      </c>
      <c r="Y708" t="s">
        <v>2423</v>
      </c>
    </row>
    <row r="709" spans="2:25" x14ac:dyDescent="0.25">
      <c r="B709" s="75" t="s">
        <v>866</v>
      </c>
      <c r="C709" s="75" t="s">
        <v>765</v>
      </c>
      <c r="D709" t="s">
        <v>2122</v>
      </c>
      <c r="E709" s="75" t="s">
        <v>930</v>
      </c>
      <c r="F709" s="75" t="s">
        <v>765</v>
      </c>
      <c r="G709" t="s">
        <v>1493</v>
      </c>
      <c r="H709" s="75" t="s">
        <v>2565</v>
      </c>
      <c r="I709" s="75" t="s">
        <v>1208</v>
      </c>
      <c r="J709" t="s">
        <v>2920</v>
      </c>
      <c r="K709" s="75" t="s">
        <v>262</v>
      </c>
      <c r="L709" s="75" t="s">
        <v>447</v>
      </c>
      <c r="M709" t="s">
        <v>3941</v>
      </c>
      <c r="N709" s="75" t="s">
        <v>4087</v>
      </c>
      <c r="O709" s="75" t="s">
        <v>4053</v>
      </c>
      <c r="P709" t="s">
        <v>4144</v>
      </c>
      <c r="Q709" s="75" t="s">
        <v>3734</v>
      </c>
      <c r="R709" s="75" t="s">
        <v>3805</v>
      </c>
      <c r="S709" t="s">
        <v>3903</v>
      </c>
      <c r="W709" s="75" t="s">
        <v>1154</v>
      </c>
      <c r="X709" s="75" t="s">
        <v>583</v>
      </c>
      <c r="Y709" t="s">
        <v>1495</v>
      </c>
    </row>
    <row r="710" spans="2:25" x14ac:dyDescent="0.25">
      <c r="B710" s="75" t="s">
        <v>1303</v>
      </c>
      <c r="C710" s="75" t="s">
        <v>635</v>
      </c>
      <c r="D710" t="s">
        <v>1775</v>
      </c>
      <c r="E710" s="75" t="s">
        <v>987</v>
      </c>
      <c r="F710" s="75" t="s">
        <v>455</v>
      </c>
      <c r="G710" t="s">
        <v>2130</v>
      </c>
      <c r="H710" s="75" t="s">
        <v>1921</v>
      </c>
      <c r="I710" s="75" t="s">
        <v>749</v>
      </c>
      <c r="J710" t="s">
        <v>2767</v>
      </c>
      <c r="K710" s="75" t="s">
        <v>3541</v>
      </c>
      <c r="L710" s="75" t="s">
        <v>324</v>
      </c>
      <c r="M710" t="s">
        <v>3905</v>
      </c>
      <c r="N710" s="75" t="s">
        <v>3916</v>
      </c>
      <c r="O710" s="75" t="s">
        <v>3888</v>
      </c>
      <c r="P710" t="s">
        <v>3996</v>
      </c>
      <c r="Q710" s="75" t="s">
        <v>3938</v>
      </c>
      <c r="R710" s="75" t="s">
        <v>3416</v>
      </c>
      <c r="S710" t="s">
        <v>4149</v>
      </c>
      <c r="W710" s="75" t="s">
        <v>815</v>
      </c>
      <c r="X710" s="75" t="s">
        <v>450</v>
      </c>
      <c r="Y710" t="s">
        <v>2202</v>
      </c>
    </row>
    <row r="711" spans="2:25" x14ac:dyDescent="0.25">
      <c r="B711" s="75" t="s">
        <v>1338</v>
      </c>
      <c r="C711" s="75" t="s">
        <v>1261</v>
      </c>
      <c r="D711" t="s">
        <v>1669</v>
      </c>
      <c r="E711" s="75" t="s">
        <v>801</v>
      </c>
      <c r="F711" s="75" t="s">
        <v>632</v>
      </c>
      <c r="G711" t="s">
        <v>2131</v>
      </c>
      <c r="H711" s="75" t="s">
        <v>1785</v>
      </c>
      <c r="I711" s="75" t="s">
        <v>765</v>
      </c>
      <c r="J711" t="s">
        <v>1881</v>
      </c>
      <c r="K711" s="75" t="s">
        <v>3444</v>
      </c>
      <c r="L711" s="75" t="s">
        <v>363</v>
      </c>
      <c r="M711" t="s">
        <v>3586</v>
      </c>
      <c r="N711" s="75" t="s">
        <v>605</v>
      </c>
      <c r="O711" s="75" t="s">
        <v>544</v>
      </c>
      <c r="P711" t="s">
        <v>3902</v>
      </c>
      <c r="Q711" s="75" t="s">
        <v>2941</v>
      </c>
      <c r="R711" s="75" t="s">
        <v>329</v>
      </c>
      <c r="S711" t="s">
        <v>4539</v>
      </c>
      <c r="W711" s="75" t="s">
        <v>800</v>
      </c>
      <c r="X711" s="75" t="s">
        <v>357</v>
      </c>
      <c r="Y711" t="s">
        <v>2203</v>
      </c>
    </row>
    <row r="712" spans="2:25" x14ac:dyDescent="0.25">
      <c r="B712" s="75" t="s">
        <v>1489</v>
      </c>
      <c r="C712" s="75" t="s">
        <v>450</v>
      </c>
      <c r="D712" t="s">
        <v>2123</v>
      </c>
      <c r="E712" s="75" t="s">
        <v>204</v>
      </c>
      <c r="F712" s="75" t="s">
        <v>648</v>
      </c>
      <c r="G712" t="s">
        <v>1512</v>
      </c>
      <c r="H712" s="75" t="s">
        <v>1774</v>
      </c>
      <c r="I712" s="75" t="s">
        <v>635</v>
      </c>
      <c r="J712" t="s">
        <v>2135</v>
      </c>
      <c r="K712" s="75" t="s">
        <v>254</v>
      </c>
      <c r="L712" s="75" t="s">
        <v>2969</v>
      </c>
      <c r="M712" t="s">
        <v>3476</v>
      </c>
      <c r="N712" s="75" t="s">
        <v>3733</v>
      </c>
      <c r="O712" s="75" t="s">
        <v>358</v>
      </c>
      <c r="P712" t="s">
        <v>3901</v>
      </c>
      <c r="Q712" s="75" t="s">
        <v>4591</v>
      </c>
      <c r="R712" s="75" t="s">
        <v>2972</v>
      </c>
      <c r="S712" t="s">
        <v>4708</v>
      </c>
      <c r="W712" s="75" t="s">
        <v>761</v>
      </c>
      <c r="X712" s="75" t="s">
        <v>367</v>
      </c>
      <c r="Y712" t="s">
        <v>2204</v>
      </c>
    </row>
    <row r="713" spans="2:25" x14ac:dyDescent="0.25">
      <c r="B713" s="75" t="s">
        <v>1174</v>
      </c>
      <c r="C713" s="75" t="s">
        <v>648</v>
      </c>
      <c r="D713" t="s">
        <v>1284</v>
      </c>
      <c r="E713" s="75" t="s">
        <v>955</v>
      </c>
      <c r="F713" s="75" t="s">
        <v>625</v>
      </c>
      <c r="G713" t="s">
        <v>2132</v>
      </c>
      <c r="H713" s="75" t="s">
        <v>426</v>
      </c>
      <c r="I713" s="75" t="s">
        <v>583</v>
      </c>
      <c r="J713" t="s">
        <v>1835</v>
      </c>
      <c r="K713" s="75" t="s">
        <v>1644</v>
      </c>
      <c r="L713" s="75" t="s">
        <v>1744</v>
      </c>
      <c r="M713" t="s">
        <v>3196</v>
      </c>
      <c r="N713" s="75" t="s">
        <v>623</v>
      </c>
      <c r="O713" s="75" t="s">
        <v>544</v>
      </c>
      <c r="P713" t="s">
        <v>3867</v>
      </c>
      <c r="Q713" s="75" t="s">
        <v>5373</v>
      </c>
      <c r="R713" s="75" t="s">
        <v>376</v>
      </c>
      <c r="S713" t="s">
        <v>5502</v>
      </c>
      <c r="W713" s="75" t="s">
        <v>1002</v>
      </c>
      <c r="X713" s="75" t="s">
        <v>450</v>
      </c>
      <c r="Y713" t="s">
        <v>1508</v>
      </c>
    </row>
    <row r="714" spans="2:25" x14ac:dyDescent="0.25">
      <c r="B714" s="75" t="s">
        <v>898</v>
      </c>
      <c r="C714" s="75" t="s">
        <v>366</v>
      </c>
      <c r="D714" t="s">
        <v>2124</v>
      </c>
      <c r="E714" s="75" t="s">
        <v>931</v>
      </c>
      <c r="F714" s="75" t="s">
        <v>590</v>
      </c>
      <c r="G714" t="s">
        <v>2133</v>
      </c>
      <c r="H714" s="75" t="s">
        <v>1487</v>
      </c>
      <c r="I714" s="75" t="s">
        <v>648</v>
      </c>
      <c r="J714" t="s">
        <v>2136</v>
      </c>
      <c r="K714" s="75" t="s">
        <v>1283</v>
      </c>
      <c r="L714" s="75" t="s">
        <v>583</v>
      </c>
      <c r="M714" t="s">
        <v>2696</v>
      </c>
      <c r="N714" s="75" t="s">
        <v>553</v>
      </c>
      <c r="O714" s="75" t="s">
        <v>376</v>
      </c>
      <c r="P714" t="s">
        <v>3765</v>
      </c>
      <c r="Q714" s="75" t="s">
        <v>5329</v>
      </c>
      <c r="R714" s="75" t="s">
        <v>3416</v>
      </c>
      <c r="S714" t="s">
        <v>5581</v>
      </c>
      <c r="W714" s="75" t="s">
        <v>1102</v>
      </c>
      <c r="X714" s="75" t="s">
        <v>765</v>
      </c>
      <c r="Y714" t="s">
        <v>1509</v>
      </c>
    </row>
    <row r="715" spans="2:25" x14ac:dyDescent="0.25">
      <c r="B715" s="75" t="s">
        <v>899</v>
      </c>
      <c r="C715" s="75" t="s">
        <v>455</v>
      </c>
      <c r="D715" t="s">
        <v>1494</v>
      </c>
      <c r="E715" s="75" t="s">
        <v>1241</v>
      </c>
      <c r="F715" s="75" t="s">
        <v>584</v>
      </c>
      <c r="G715" t="s">
        <v>2134</v>
      </c>
      <c r="H715" s="75" t="s">
        <v>1295</v>
      </c>
      <c r="I715" s="75" t="s">
        <v>450</v>
      </c>
      <c r="J715" t="s">
        <v>2137</v>
      </c>
      <c r="K715" s="75" t="s">
        <v>264</v>
      </c>
      <c r="L715" s="75" t="s">
        <v>583</v>
      </c>
      <c r="M715" t="s">
        <v>2149</v>
      </c>
      <c r="N715" s="75" t="s">
        <v>914</v>
      </c>
      <c r="O715" s="75" t="s">
        <v>363</v>
      </c>
      <c r="P715" t="s">
        <v>3692</v>
      </c>
      <c r="Q715" s="75" t="s">
        <v>5436</v>
      </c>
      <c r="R715" s="75" t="s">
        <v>1370</v>
      </c>
      <c r="S715" t="s">
        <v>5594</v>
      </c>
      <c r="W715" s="75" t="s">
        <v>1347</v>
      </c>
      <c r="X715" s="75" t="s">
        <v>450</v>
      </c>
      <c r="Y715" t="s">
        <v>2205</v>
      </c>
    </row>
    <row r="716" spans="2:25" x14ac:dyDescent="0.25">
      <c r="B716" s="75" t="s">
        <v>489</v>
      </c>
      <c r="C716" s="75" t="s">
        <v>611</v>
      </c>
      <c r="D716" t="s">
        <v>2125</v>
      </c>
      <c r="E716" s="75" t="s">
        <v>1295</v>
      </c>
      <c r="F716" s="75" t="s">
        <v>450</v>
      </c>
      <c r="G716" t="s">
        <v>1514</v>
      </c>
      <c r="H716" s="75" t="s">
        <v>1311</v>
      </c>
      <c r="I716" s="75" t="s">
        <v>359</v>
      </c>
      <c r="J716" t="s">
        <v>1492</v>
      </c>
      <c r="K716" s="75" t="s">
        <v>1339</v>
      </c>
      <c r="L716" s="75" t="s">
        <v>1208</v>
      </c>
      <c r="M716" t="s">
        <v>1651</v>
      </c>
      <c r="N716" s="75" t="s">
        <v>3175</v>
      </c>
      <c r="O716" s="75" t="s">
        <v>631</v>
      </c>
      <c r="P716" t="s">
        <v>3691</v>
      </c>
      <c r="Q716" s="75" t="s">
        <v>5585</v>
      </c>
      <c r="R716" s="75" t="s">
        <v>329</v>
      </c>
      <c r="S716" t="s">
        <v>5814</v>
      </c>
      <c r="W716" s="75" t="s">
        <v>1348</v>
      </c>
      <c r="X716" s="75" t="s">
        <v>917</v>
      </c>
      <c r="Y716" t="s">
        <v>1714</v>
      </c>
    </row>
    <row r="717" spans="2:25" x14ac:dyDescent="0.25">
      <c r="B717" s="75" t="s">
        <v>866</v>
      </c>
      <c r="C717" s="75" t="s">
        <v>590</v>
      </c>
      <c r="D717" t="s">
        <v>2126</v>
      </c>
      <c r="E717" s="75" t="s">
        <v>2565</v>
      </c>
      <c r="F717" s="75" t="s">
        <v>1208</v>
      </c>
      <c r="G717" t="s">
        <v>2739</v>
      </c>
      <c r="H717" s="75" t="s">
        <v>499</v>
      </c>
      <c r="I717" s="75" t="s">
        <v>611</v>
      </c>
      <c r="J717" t="s">
        <v>2138</v>
      </c>
      <c r="K717" s="75" t="s">
        <v>1318</v>
      </c>
      <c r="L717" s="75" t="s">
        <v>749</v>
      </c>
      <c r="M717" t="s">
        <v>1497</v>
      </c>
      <c r="N717" s="75" t="s">
        <v>3388</v>
      </c>
      <c r="O717" s="75" t="s">
        <v>455</v>
      </c>
      <c r="P717" t="s">
        <v>3546</v>
      </c>
      <c r="Q717" s="75" t="s">
        <v>5970</v>
      </c>
      <c r="R717" s="75" t="s">
        <v>676</v>
      </c>
      <c r="S717" t="s">
        <v>6231</v>
      </c>
      <c r="W717" s="75" t="s">
        <v>1293</v>
      </c>
      <c r="X717" s="75" t="s">
        <v>457</v>
      </c>
      <c r="Y717" t="s">
        <v>2206</v>
      </c>
    </row>
    <row r="718" spans="2:25" x14ac:dyDescent="0.25">
      <c r="B718" s="75" t="s">
        <v>808</v>
      </c>
      <c r="C718" s="75" t="s">
        <v>765</v>
      </c>
      <c r="D718" t="s">
        <v>2127</v>
      </c>
      <c r="E718" s="75" t="s">
        <v>2695</v>
      </c>
      <c r="F718" s="75" t="s">
        <v>2971</v>
      </c>
      <c r="G718" t="s">
        <v>3117</v>
      </c>
      <c r="H718" s="75" t="s">
        <v>1029</v>
      </c>
      <c r="I718" s="75" t="s">
        <v>366</v>
      </c>
      <c r="J718" t="s">
        <v>2139</v>
      </c>
      <c r="K718" s="75" t="s">
        <v>1498</v>
      </c>
      <c r="L718" s="75" t="s">
        <v>358</v>
      </c>
      <c r="M718" t="s">
        <v>1499</v>
      </c>
      <c r="N718" s="75" t="s">
        <v>2484</v>
      </c>
      <c r="O718" s="75" t="s">
        <v>376</v>
      </c>
      <c r="P718" t="s">
        <v>2873</v>
      </c>
      <c r="Q718" s="75" t="s">
        <v>6288</v>
      </c>
      <c r="R718" s="75" t="s">
        <v>2972</v>
      </c>
      <c r="S718" t="s">
        <v>6796</v>
      </c>
      <c r="W718" s="75" t="s">
        <v>1723</v>
      </c>
      <c r="X718" s="75" t="s">
        <v>1292</v>
      </c>
      <c r="Y718" t="s">
        <v>1833</v>
      </c>
    </row>
    <row r="719" spans="2:25" x14ac:dyDescent="0.25">
      <c r="B719" s="75" t="s">
        <v>878</v>
      </c>
      <c r="C719" s="75" t="s">
        <v>625</v>
      </c>
      <c r="D719" t="s">
        <v>2128</v>
      </c>
      <c r="E719" s="75" t="s">
        <v>3072</v>
      </c>
      <c r="F719" s="75" t="s">
        <v>364</v>
      </c>
      <c r="G719" t="s">
        <v>3197</v>
      </c>
      <c r="H719" s="75" t="s">
        <v>900</v>
      </c>
      <c r="I719" s="75" t="s">
        <v>365</v>
      </c>
      <c r="J719" t="s">
        <v>2140</v>
      </c>
      <c r="K719" s="75" t="s">
        <v>1263</v>
      </c>
      <c r="L719" s="75" t="s">
        <v>749</v>
      </c>
      <c r="M719" t="s">
        <v>1501</v>
      </c>
      <c r="N719" s="75" t="s">
        <v>2483</v>
      </c>
      <c r="O719" s="75" t="s">
        <v>364</v>
      </c>
      <c r="P719" t="s">
        <v>2872</v>
      </c>
      <c r="Q719" s="75" t="s">
        <v>6793</v>
      </c>
      <c r="R719" s="75" t="s">
        <v>344</v>
      </c>
      <c r="S719" t="s">
        <v>7159</v>
      </c>
      <c r="W719" s="75" t="s">
        <v>1784</v>
      </c>
      <c r="X719" s="75" t="s">
        <v>358</v>
      </c>
      <c r="Y719" t="s">
        <v>1857</v>
      </c>
    </row>
    <row r="720" spans="2:25" x14ac:dyDescent="0.25">
      <c r="B720" s="75" t="s">
        <v>1513</v>
      </c>
      <c r="C720" s="75" t="s">
        <v>359</v>
      </c>
      <c r="D720" t="s">
        <v>2470</v>
      </c>
      <c r="E720" s="75" t="s">
        <v>2895</v>
      </c>
      <c r="F720" s="75" t="s">
        <v>577</v>
      </c>
      <c r="G720" t="s">
        <v>3178</v>
      </c>
      <c r="H720" s="75" t="s">
        <v>930</v>
      </c>
      <c r="I720" s="75" t="s">
        <v>765</v>
      </c>
      <c r="J720" t="s">
        <v>1496</v>
      </c>
      <c r="K720" s="75" t="s">
        <v>1088</v>
      </c>
      <c r="L720" s="75" t="s">
        <v>362</v>
      </c>
      <c r="M720" t="s">
        <v>2150</v>
      </c>
      <c r="N720" s="75" t="s">
        <v>437</v>
      </c>
      <c r="O720" s="75" t="s">
        <v>1690</v>
      </c>
      <c r="P720" t="s">
        <v>2665</v>
      </c>
      <c r="Q720" s="75" t="s">
        <v>6961</v>
      </c>
      <c r="R720" s="75" t="s">
        <v>2970</v>
      </c>
      <c r="S720" t="s">
        <v>7262</v>
      </c>
      <c r="W720" s="75" t="s">
        <v>1784</v>
      </c>
      <c r="X720" s="75" t="s">
        <v>358</v>
      </c>
      <c r="Y720" t="s">
        <v>2508</v>
      </c>
    </row>
    <row r="721" spans="2:25" x14ac:dyDescent="0.25">
      <c r="B721" s="75" t="s">
        <v>1144</v>
      </c>
      <c r="C721" s="75" t="s">
        <v>584</v>
      </c>
      <c r="D721" t="s">
        <v>2469</v>
      </c>
      <c r="E721" s="75" t="s">
        <v>3139</v>
      </c>
      <c r="F721" s="75" t="s">
        <v>2970</v>
      </c>
      <c r="G721" t="s">
        <v>3213</v>
      </c>
      <c r="H721" s="75" t="s">
        <v>987</v>
      </c>
      <c r="I721" s="75" t="s">
        <v>455</v>
      </c>
      <c r="J721" t="s">
        <v>2141</v>
      </c>
      <c r="K721" s="75" t="s">
        <v>202</v>
      </c>
      <c r="L721" s="75" t="s">
        <v>590</v>
      </c>
      <c r="M721" t="s">
        <v>2151</v>
      </c>
      <c r="N721" s="75" t="s">
        <v>1910</v>
      </c>
      <c r="O721" s="75" t="s">
        <v>364</v>
      </c>
      <c r="P721" t="s">
        <v>2485</v>
      </c>
      <c r="Q721" s="75" t="s">
        <v>7091</v>
      </c>
      <c r="R721" s="75" t="s">
        <v>2972</v>
      </c>
      <c r="S721" t="s">
        <v>7408</v>
      </c>
      <c r="W721" s="75" t="s">
        <v>1723</v>
      </c>
      <c r="X721" s="75" t="s">
        <v>765</v>
      </c>
      <c r="Y721" t="s">
        <v>2515</v>
      </c>
    </row>
    <row r="722" spans="2:25" x14ac:dyDescent="0.25">
      <c r="B722" s="75" t="s">
        <v>1250</v>
      </c>
      <c r="C722" s="75" t="s">
        <v>363</v>
      </c>
      <c r="D722" t="s">
        <v>1515</v>
      </c>
      <c r="E722" s="75" t="s">
        <v>3138</v>
      </c>
      <c r="F722" s="75" t="s">
        <v>457</v>
      </c>
      <c r="G722" t="s">
        <v>3315</v>
      </c>
      <c r="H722" s="75" t="s">
        <v>955</v>
      </c>
      <c r="I722" s="75" t="s">
        <v>625</v>
      </c>
      <c r="J722" t="s">
        <v>2142</v>
      </c>
      <c r="K722" s="75" t="s">
        <v>1502</v>
      </c>
      <c r="L722" s="75" t="s">
        <v>362</v>
      </c>
      <c r="M722" t="s">
        <v>1503</v>
      </c>
      <c r="N722" s="75" t="s">
        <v>1718</v>
      </c>
      <c r="O722" s="75" t="s">
        <v>1719</v>
      </c>
      <c r="P722" t="s">
        <v>2438</v>
      </c>
      <c r="Q722" s="75" t="s">
        <v>7224</v>
      </c>
      <c r="R722" s="75" t="s">
        <v>1355</v>
      </c>
      <c r="S722" t="s">
        <v>7756</v>
      </c>
      <c r="W722" s="75" t="s">
        <v>2457</v>
      </c>
      <c r="X722" s="75" t="s">
        <v>918</v>
      </c>
      <c r="Y722" t="s">
        <v>2664</v>
      </c>
    </row>
    <row r="723" spans="2:25" x14ac:dyDescent="0.25">
      <c r="B723" s="75" t="s">
        <v>2726</v>
      </c>
      <c r="C723" s="75" t="s">
        <v>577</v>
      </c>
      <c r="D723" t="s">
        <v>2894</v>
      </c>
      <c r="E723" s="75" t="s">
        <v>3651</v>
      </c>
      <c r="F723" s="75" t="s">
        <v>382</v>
      </c>
      <c r="G723" t="s">
        <v>3907</v>
      </c>
      <c r="H723" s="75" t="s">
        <v>682</v>
      </c>
      <c r="I723" s="75" t="s">
        <v>336</v>
      </c>
      <c r="J723" t="s">
        <v>2143</v>
      </c>
      <c r="K723" s="75" t="s">
        <v>536</v>
      </c>
      <c r="L723" s="75" t="s">
        <v>455</v>
      </c>
      <c r="M723" t="s">
        <v>1504</v>
      </c>
      <c r="N723" s="75" t="s">
        <v>1694</v>
      </c>
      <c r="O723" s="75" t="s">
        <v>749</v>
      </c>
      <c r="P723" t="s">
        <v>1821</v>
      </c>
      <c r="Q723" s="75" t="s">
        <v>7630</v>
      </c>
      <c r="R723" s="75" t="s">
        <v>7631</v>
      </c>
      <c r="S723" t="s">
        <v>7761</v>
      </c>
      <c r="W723" s="75" t="s">
        <v>2497</v>
      </c>
      <c r="X723" s="75" t="s">
        <v>358</v>
      </c>
      <c r="Y723" t="s">
        <v>2743</v>
      </c>
    </row>
    <row r="724" spans="2:25" x14ac:dyDescent="0.25">
      <c r="B724" s="75" t="s">
        <v>788</v>
      </c>
      <c r="C724" s="75" t="s">
        <v>765</v>
      </c>
      <c r="D724" t="s">
        <v>3012</v>
      </c>
      <c r="E724" s="75" t="s">
        <v>3753</v>
      </c>
      <c r="F724" s="75" t="s">
        <v>298</v>
      </c>
      <c r="G724" t="s">
        <v>3995</v>
      </c>
      <c r="H724" s="75" t="s">
        <v>723</v>
      </c>
      <c r="I724" s="75" t="s">
        <v>625</v>
      </c>
      <c r="J724" t="s">
        <v>2144</v>
      </c>
      <c r="K724" s="75" t="s">
        <v>975</v>
      </c>
      <c r="L724" s="75" t="s">
        <v>362</v>
      </c>
      <c r="M724" t="s">
        <v>1505</v>
      </c>
      <c r="N724" s="75" t="s">
        <v>1622</v>
      </c>
      <c r="O724" s="75" t="s">
        <v>358</v>
      </c>
      <c r="P724" t="s">
        <v>1756</v>
      </c>
      <c r="Q724" s="75" t="s">
        <v>7134</v>
      </c>
      <c r="R724" s="75" t="s">
        <v>7719</v>
      </c>
      <c r="S724" t="s">
        <v>7923</v>
      </c>
      <c r="W724" s="75" t="s">
        <v>2735</v>
      </c>
      <c r="X724" s="75" t="s">
        <v>632</v>
      </c>
      <c r="Y724" t="s">
        <v>2838</v>
      </c>
    </row>
    <row r="725" spans="2:25" x14ac:dyDescent="0.25">
      <c r="B725" s="75" t="s">
        <v>2883</v>
      </c>
      <c r="C725" s="75" t="s">
        <v>364</v>
      </c>
      <c r="D725" t="s">
        <v>3073</v>
      </c>
      <c r="E725" s="75" t="s">
        <v>3246</v>
      </c>
      <c r="F725" s="75" t="s">
        <v>329</v>
      </c>
      <c r="G725" t="s">
        <v>4129</v>
      </c>
      <c r="H725" s="75" t="s">
        <v>618</v>
      </c>
      <c r="I725" s="75" t="s">
        <v>457</v>
      </c>
      <c r="J725" t="s">
        <v>2145</v>
      </c>
      <c r="K725" s="75" t="s">
        <v>777</v>
      </c>
      <c r="L725" s="75" t="s">
        <v>362</v>
      </c>
      <c r="M725" t="s">
        <v>2152</v>
      </c>
      <c r="N725" s="75" t="s">
        <v>416</v>
      </c>
      <c r="O725" s="75" t="s">
        <v>364</v>
      </c>
      <c r="P725" t="s">
        <v>2171</v>
      </c>
      <c r="Q725" s="75" t="s">
        <v>7896</v>
      </c>
      <c r="R725" s="75" t="s">
        <v>8199</v>
      </c>
      <c r="S725" t="s">
        <v>8426</v>
      </c>
      <c r="W725" s="75" t="s">
        <v>2661</v>
      </c>
      <c r="X725" s="75" t="s">
        <v>918</v>
      </c>
      <c r="Y725" t="s">
        <v>2885</v>
      </c>
    </row>
    <row r="726" spans="2:25" x14ac:dyDescent="0.25">
      <c r="B726" s="75" t="s">
        <v>2755</v>
      </c>
      <c r="C726" s="75" t="s">
        <v>1721</v>
      </c>
      <c r="D726" t="s">
        <v>3106</v>
      </c>
      <c r="E726" s="75" t="s">
        <v>4587</v>
      </c>
      <c r="F726" s="75" t="s">
        <v>458</v>
      </c>
      <c r="G726" t="s">
        <v>4670</v>
      </c>
      <c r="H726" s="75" t="s">
        <v>801</v>
      </c>
      <c r="I726" s="75" t="s">
        <v>632</v>
      </c>
      <c r="J726" t="s">
        <v>2146</v>
      </c>
      <c r="K726" s="75" t="s">
        <v>820</v>
      </c>
      <c r="L726" s="75" t="s">
        <v>455</v>
      </c>
      <c r="M726" t="s">
        <v>2153</v>
      </c>
      <c r="N726" s="75" t="s">
        <v>1080</v>
      </c>
      <c r="O726" s="75" t="s">
        <v>450</v>
      </c>
      <c r="P726" t="s">
        <v>2172</v>
      </c>
      <c r="W726" s="75" t="s">
        <v>2684</v>
      </c>
      <c r="X726" s="75" t="s">
        <v>2666</v>
      </c>
      <c r="Y726" t="s">
        <v>2996</v>
      </c>
    </row>
    <row r="727" spans="2:25" x14ac:dyDescent="0.25">
      <c r="B727" s="75" t="s">
        <v>3199</v>
      </c>
      <c r="C727" s="75" t="s">
        <v>765</v>
      </c>
      <c r="D727" t="s">
        <v>3685</v>
      </c>
      <c r="E727" s="75" t="s">
        <v>4918</v>
      </c>
      <c r="F727" s="75" t="s">
        <v>684</v>
      </c>
      <c r="G727" t="s">
        <v>5012</v>
      </c>
      <c r="H727" s="75" t="s">
        <v>204</v>
      </c>
      <c r="I727" s="75" t="s">
        <v>648</v>
      </c>
      <c r="J727" t="s">
        <v>2147</v>
      </c>
      <c r="K727" s="75" t="s">
        <v>1664</v>
      </c>
      <c r="L727" s="75" t="s">
        <v>456</v>
      </c>
      <c r="M727" t="s">
        <v>2154</v>
      </c>
      <c r="N727" s="75" t="s">
        <v>950</v>
      </c>
      <c r="O727" s="75" t="s">
        <v>359</v>
      </c>
      <c r="P727" t="s">
        <v>2173</v>
      </c>
      <c r="W727" s="75" t="s">
        <v>1048</v>
      </c>
      <c r="X727" s="75" t="s">
        <v>1355</v>
      </c>
      <c r="Y727" t="s">
        <v>3096</v>
      </c>
    </row>
    <row r="728" spans="2:25" x14ac:dyDescent="0.25">
      <c r="B728" s="75" t="s">
        <v>3533</v>
      </c>
      <c r="C728" s="75" t="s">
        <v>382</v>
      </c>
      <c r="D728" t="s">
        <v>3650</v>
      </c>
      <c r="E728" s="75" t="s">
        <v>4828</v>
      </c>
      <c r="F728" s="75" t="s">
        <v>577</v>
      </c>
      <c r="G728" t="s">
        <v>5157</v>
      </c>
      <c r="H728" s="75" t="s">
        <v>931</v>
      </c>
      <c r="I728" s="75" t="s">
        <v>590</v>
      </c>
      <c r="J728" t="s">
        <v>2148</v>
      </c>
      <c r="K728" s="75" t="s">
        <v>856</v>
      </c>
      <c r="L728" s="75" t="s">
        <v>749</v>
      </c>
      <c r="M728" t="s">
        <v>2155</v>
      </c>
      <c r="N728" s="75" t="s">
        <v>914</v>
      </c>
      <c r="O728" s="75" t="s">
        <v>632</v>
      </c>
      <c r="P728" t="s">
        <v>2173</v>
      </c>
      <c r="W728" s="75" t="s">
        <v>1293</v>
      </c>
      <c r="X728" s="75" t="s">
        <v>3176</v>
      </c>
      <c r="Y728" t="s">
        <v>3349</v>
      </c>
    </row>
    <row r="729" spans="2:25" x14ac:dyDescent="0.25">
      <c r="B729" s="75" t="s">
        <v>3904</v>
      </c>
      <c r="C729" s="75" t="s">
        <v>324</v>
      </c>
      <c r="D729" t="s">
        <v>4111</v>
      </c>
      <c r="E729" s="75" t="s">
        <v>5292</v>
      </c>
      <c r="F729" s="75" t="s">
        <v>939</v>
      </c>
      <c r="G729" t="s">
        <v>5480</v>
      </c>
      <c r="H729" s="75" t="s">
        <v>3700</v>
      </c>
      <c r="I729" s="75" t="s">
        <v>3886</v>
      </c>
      <c r="J729" t="s">
        <v>3980</v>
      </c>
      <c r="K729" s="75" t="s">
        <v>873</v>
      </c>
      <c r="L729" s="75" t="s">
        <v>359</v>
      </c>
      <c r="M729" t="s">
        <v>2156</v>
      </c>
      <c r="N729" s="75" t="s">
        <v>872</v>
      </c>
      <c r="O729" s="75" t="s">
        <v>362</v>
      </c>
      <c r="P729" t="s">
        <v>2174</v>
      </c>
      <c r="W729" s="75" t="s">
        <v>3547</v>
      </c>
      <c r="X729" s="75" t="s">
        <v>358</v>
      </c>
      <c r="Y729" t="s">
        <v>4991</v>
      </c>
    </row>
    <row r="730" spans="2:25" x14ac:dyDescent="0.25">
      <c r="B730" s="75" t="s">
        <v>4392</v>
      </c>
      <c r="C730" s="75" t="s">
        <v>577</v>
      </c>
      <c r="D730" t="s">
        <v>4447</v>
      </c>
      <c r="E730" s="75" t="s">
        <v>6132</v>
      </c>
      <c r="F730" s="75" t="s">
        <v>5921</v>
      </c>
      <c r="G730" t="s">
        <v>6375</v>
      </c>
      <c r="H730" s="75" t="s">
        <v>4112</v>
      </c>
      <c r="I730" s="75" t="s">
        <v>324</v>
      </c>
      <c r="J730" t="s">
        <v>4462</v>
      </c>
      <c r="K730" s="75" t="s">
        <v>932</v>
      </c>
      <c r="L730" s="75" t="s">
        <v>584</v>
      </c>
      <c r="M730" t="s">
        <v>1516</v>
      </c>
      <c r="N730" s="75" t="s">
        <v>819</v>
      </c>
      <c r="O730" s="75" t="s">
        <v>365</v>
      </c>
      <c r="P730" t="s">
        <v>1500</v>
      </c>
      <c r="W730" s="75" t="s">
        <v>1908</v>
      </c>
      <c r="X730" s="75" t="s">
        <v>382</v>
      </c>
      <c r="Y730" t="s">
        <v>4066</v>
      </c>
    </row>
    <row r="731" spans="2:25" x14ac:dyDescent="0.25">
      <c r="B731" s="75" t="s">
        <v>4264</v>
      </c>
      <c r="C731" s="75" t="s">
        <v>377</v>
      </c>
      <c r="D731" t="s">
        <v>4501</v>
      </c>
      <c r="E731" s="75" t="s">
        <v>6364</v>
      </c>
      <c r="F731" s="75" t="s">
        <v>358</v>
      </c>
      <c r="G731" t="s">
        <v>6692</v>
      </c>
      <c r="H731" s="75" t="s">
        <v>2545</v>
      </c>
      <c r="I731" s="75" t="s">
        <v>4866</v>
      </c>
      <c r="J731" t="s">
        <v>4916</v>
      </c>
      <c r="K731" s="75" t="s">
        <v>606</v>
      </c>
      <c r="L731" s="75" t="s">
        <v>590</v>
      </c>
      <c r="M731" t="s">
        <v>2157</v>
      </c>
      <c r="N731" s="75" t="s">
        <v>624</v>
      </c>
      <c r="O731" s="75" t="s">
        <v>625</v>
      </c>
      <c r="P731" t="s">
        <v>2175</v>
      </c>
      <c r="W731" s="75" t="s">
        <v>3989</v>
      </c>
      <c r="X731" s="75" t="s">
        <v>3888</v>
      </c>
      <c r="Y731" t="s">
        <v>4204</v>
      </c>
    </row>
    <row r="732" spans="2:25" x14ac:dyDescent="0.25">
      <c r="B732" s="75" t="s">
        <v>3540</v>
      </c>
      <c r="C732" s="75" t="s">
        <v>2972</v>
      </c>
      <c r="D732" t="s">
        <v>4774</v>
      </c>
      <c r="E732" s="75" t="s">
        <v>6643</v>
      </c>
      <c r="F732" s="75" t="s">
        <v>5720</v>
      </c>
      <c r="G732" t="s">
        <v>6897</v>
      </c>
      <c r="H732" s="75" t="s">
        <v>5292</v>
      </c>
      <c r="I732" s="75" t="s">
        <v>939</v>
      </c>
      <c r="J732" t="s">
        <v>5554</v>
      </c>
      <c r="K732" s="75" t="s">
        <v>907</v>
      </c>
      <c r="L732" s="75" t="s">
        <v>749</v>
      </c>
      <c r="M732" t="s">
        <v>2158</v>
      </c>
      <c r="N732" s="75" t="s">
        <v>836</v>
      </c>
      <c r="O732" s="75" t="s">
        <v>765</v>
      </c>
      <c r="P732" t="s">
        <v>2176</v>
      </c>
      <c r="W732" s="75" t="s">
        <v>3010</v>
      </c>
      <c r="X732" s="75" t="s">
        <v>544</v>
      </c>
      <c r="Y732" t="s">
        <v>4280</v>
      </c>
    </row>
    <row r="733" spans="2:25" x14ac:dyDescent="0.25">
      <c r="B733" s="75" t="s">
        <v>4911</v>
      </c>
      <c r="C733" s="75" t="s">
        <v>684</v>
      </c>
      <c r="D733" t="s">
        <v>4919</v>
      </c>
      <c r="E733" s="75" t="s">
        <v>7506</v>
      </c>
      <c r="F733" s="75" t="s">
        <v>6406</v>
      </c>
      <c r="G733" t="s">
        <v>7707</v>
      </c>
      <c r="H733" s="75" t="s">
        <v>6129</v>
      </c>
      <c r="I733" s="75" t="s">
        <v>2970</v>
      </c>
      <c r="J733" t="s">
        <v>6836</v>
      </c>
      <c r="K733" s="75" t="s">
        <v>1006</v>
      </c>
      <c r="L733" s="75" t="s">
        <v>749</v>
      </c>
      <c r="M733" t="s">
        <v>2159</v>
      </c>
      <c r="N733" s="75" t="s">
        <v>542</v>
      </c>
      <c r="O733" s="75" t="s">
        <v>359</v>
      </c>
      <c r="P733" t="s">
        <v>2177</v>
      </c>
      <c r="W733" s="75" t="s">
        <v>4307</v>
      </c>
      <c r="X733" s="75" t="s">
        <v>228</v>
      </c>
      <c r="Y733" t="s">
        <v>4398</v>
      </c>
    </row>
    <row r="734" spans="2:25" x14ac:dyDescent="0.25">
      <c r="B734" s="75" t="s">
        <v>7128</v>
      </c>
      <c r="C734" s="75" t="s">
        <v>604</v>
      </c>
      <c r="D734" t="s">
        <v>7203</v>
      </c>
      <c r="E734" s="75" t="s">
        <v>9368</v>
      </c>
      <c r="F734" s="75" t="s">
        <v>344</v>
      </c>
      <c r="G734" t="s">
        <v>9584</v>
      </c>
      <c r="H734" s="75" t="s">
        <v>6643</v>
      </c>
      <c r="I734" s="75" t="s">
        <v>5720</v>
      </c>
      <c r="J734" t="s">
        <v>6978</v>
      </c>
      <c r="K734" s="75" t="s">
        <v>994</v>
      </c>
      <c r="L734" s="75" t="s">
        <v>583</v>
      </c>
      <c r="M734" t="s">
        <v>2160</v>
      </c>
      <c r="N734" s="75" t="s">
        <v>432</v>
      </c>
      <c r="O734" s="75" t="s">
        <v>590</v>
      </c>
      <c r="P734" t="s">
        <v>2178</v>
      </c>
      <c r="W734" s="75" t="s">
        <v>4567</v>
      </c>
      <c r="X734" s="75" t="s">
        <v>358</v>
      </c>
      <c r="Y734" t="s">
        <v>4747</v>
      </c>
    </row>
    <row r="735" spans="2:25" x14ac:dyDescent="0.25">
      <c r="B735" s="75" t="s">
        <v>7158</v>
      </c>
      <c r="C735" s="75" t="s">
        <v>358</v>
      </c>
      <c r="D735" t="s">
        <v>7449</v>
      </c>
      <c r="E735" s="75" t="s">
        <v>9304</v>
      </c>
      <c r="F735" s="75" t="s">
        <v>5720</v>
      </c>
      <c r="G735" t="s">
        <v>9448</v>
      </c>
      <c r="H735" s="75" t="s">
        <v>9234</v>
      </c>
      <c r="I735" s="75" t="s">
        <v>8199</v>
      </c>
      <c r="J735" t="s">
        <v>9577</v>
      </c>
      <c r="K735" s="75" t="s">
        <v>989</v>
      </c>
      <c r="L735" s="75" t="s">
        <v>450</v>
      </c>
      <c r="M735" t="s">
        <v>1518</v>
      </c>
      <c r="N735" s="75" t="s">
        <v>827</v>
      </c>
      <c r="O735" s="75" t="s">
        <v>584</v>
      </c>
      <c r="P735" t="s">
        <v>2179</v>
      </c>
      <c r="W735" s="75" t="s">
        <v>4640</v>
      </c>
      <c r="X735" s="75" t="s">
        <v>3861</v>
      </c>
      <c r="Y735" t="s">
        <v>4813</v>
      </c>
    </row>
    <row r="736" spans="2:25" x14ac:dyDescent="0.25">
      <c r="B736" s="75" t="s">
        <v>7767</v>
      </c>
      <c r="C736" s="75" t="s">
        <v>7631</v>
      </c>
      <c r="D736" t="s">
        <v>7861</v>
      </c>
      <c r="K736" s="75" t="s">
        <v>869</v>
      </c>
      <c r="L736" s="75" t="s">
        <v>357</v>
      </c>
      <c r="M736" t="s">
        <v>2161</v>
      </c>
      <c r="N736" s="75" t="s">
        <v>716</v>
      </c>
      <c r="O736" s="75" t="s">
        <v>584</v>
      </c>
      <c r="P736" t="s">
        <v>2180</v>
      </c>
      <c r="W736" s="75" t="s">
        <v>4311</v>
      </c>
      <c r="X736" s="75" t="s">
        <v>324</v>
      </c>
      <c r="Y736" t="s">
        <v>4814</v>
      </c>
    </row>
    <row r="737" spans="2:25" x14ac:dyDescent="0.25">
      <c r="B737" s="75" t="s">
        <v>9101</v>
      </c>
      <c r="C737" s="75" t="s">
        <v>5720</v>
      </c>
      <c r="D737" t="s">
        <v>9305</v>
      </c>
      <c r="K737" s="75" t="s">
        <v>1127</v>
      </c>
      <c r="L737" s="75" t="s">
        <v>749</v>
      </c>
      <c r="M737" t="s">
        <v>2162</v>
      </c>
      <c r="N737" s="75" t="s">
        <v>566</v>
      </c>
      <c r="O737" s="75" t="s">
        <v>590</v>
      </c>
      <c r="P737" t="s">
        <v>1517</v>
      </c>
      <c r="W737" s="75" t="s">
        <v>4643</v>
      </c>
      <c r="X737" s="75" t="s">
        <v>684</v>
      </c>
      <c r="Y737" t="s">
        <v>4858</v>
      </c>
    </row>
    <row r="738" spans="2:25" x14ac:dyDescent="0.25">
      <c r="K738" s="75" t="s">
        <v>1227</v>
      </c>
      <c r="L738" s="75" t="s">
        <v>590</v>
      </c>
      <c r="M738" t="s">
        <v>2163</v>
      </c>
      <c r="N738" s="75" t="s">
        <v>973</v>
      </c>
      <c r="O738" s="75" t="s">
        <v>632</v>
      </c>
      <c r="P738" t="s">
        <v>2181</v>
      </c>
      <c r="W738" s="75" t="s">
        <v>4616</v>
      </c>
      <c r="X738" s="75" t="s">
        <v>228</v>
      </c>
      <c r="Y738" t="s">
        <v>4861</v>
      </c>
    </row>
    <row r="739" spans="2:25" x14ac:dyDescent="0.25">
      <c r="K739" s="75" t="s">
        <v>1210</v>
      </c>
      <c r="L739" s="75" t="s">
        <v>366</v>
      </c>
      <c r="M739" t="s">
        <v>2164</v>
      </c>
      <c r="N739" s="75" t="s">
        <v>278</v>
      </c>
      <c r="O739" s="75" t="s">
        <v>364</v>
      </c>
      <c r="P739" t="s">
        <v>2182</v>
      </c>
      <c r="W739" s="75" t="s">
        <v>4932</v>
      </c>
      <c r="X739" s="75" t="s">
        <v>585</v>
      </c>
      <c r="Y739" t="s">
        <v>5013</v>
      </c>
    </row>
    <row r="740" spans="2:25" x14ac:dyDescent="0.25">
      <c r="K740" s="75" t="s">
        <v>427</v>
      </c>
      <c r="L740" s="75" t="s">
        <v>749</v>
      </c>
      <c r="M740" t="s">
        <v>2165</v>
      </c>
      <c r="N740" s="75" t="s">
        <v>968</v>
      </c>
      <c r="O740" s="75" t="s">
        <v>359</v>
      </c>
      <c r="P740" t="s">
        <v>1519</v>
      </c>
      <c r="W740" s="75" t="s">
        <v>5055</v>
      </c>
      <c r="X740" s="75" t="s">
        <v>585</v>
      </c>
      <c r="Y740" t="s">
        <v>5141</v>
      </c>
    </row>
    <row r="741" spans="2:25" x14ac:dyDescent="0.25">
      <c r="K741" s="75" t="s">
        <v>1290</v>
      </c>
      <c r="L741" s="75" t="s">
        <v>590</v>
      </c>
      <c r="M741" t="s">
        <v>2166</v>
      </c>
      <c r="N741" s="75" t="s">
        <v>929</v>
      </c>
      <c r="O741" s="75" t="s">
        <v>357</v>
      </c>
      <c r="P741" t="s">
        <v>2183</v>
      </c>
      <c r="W741" s="75" t="s">
        <v>4563</v>
      </c>
      <c r="X741" s="75" t="s">
        <v>325</v>
      </c>
      <c r="Y741" t="s">
        <v>5328</v>
      </c>
    </row>
    <row r="742" spans="2:25" x14ac:dyDescent="0.25">
      <c r="K742" s="75" t="s">
        <v>1326</v>
      </c>
      <c r="L742" s="75" t="s">
        <v>358</v>
      </c>
      <c r="M742" t="s">
        <v>2167</v>
      </c>
      <c r="N742" s="75" t="s">
        <v>992</v>
      </c>
      <c r="O742" s="75" t="s">
        <v>584</v>
      </c>
      <c r="P742" t="s">
        <v>2184</v>
      </c>
      <c r="W742" s="75" t="s">
        <v>5466</v>
      </c>
      <c r="X742" s="75" t="s">
        <v>2972</v>
      </c>
      <c r="Y742" t="s">
        <v>5732</v>
      </c>
    </row>
    <row r="743" spans="2:25" x14ac:dyDescent="0.25">
      <c r="K743" s="75" t="s">
        <v>1288</v>
      </c>
      <c r="L743" s="75" t="s">
        <v>456</v>
      </c>
      <c r="M743" t="s">
        <v>2168</v>
      </c>
      <c r="N743" s="75" t="s">
        <v>1013</v>
      </c>
      <c r="O743" s="75" t="s">
        <v>625</v>
      </c>
      <c r="P743" t="s">
        <v>1520</v>
      </c>
      <c r="W743" s="75" t="s">
        <v>5639</v>
      </c>
      <c r="X743" s="75" t="s">
        <v>676</v>
      </c>
      <c r="Y743" t="s">
        <v>5878</v>
      </c>
    </row>
    <row r="744" spans="2:25" x14ac:dyDescent="0.25">
      <c r="K744" s="75" t="s">
        <v>1599</v>
      </c>
      <c r="L744" s="75" t="s">
        <v>1598</v>
      </c>
      <c r="M744" t="s">
        <v>2169</v>
      </c>
      <c r="N744" s="75" t="s">
        <v>1079</v>
      </c>
      <c r="O744" s="75" t="s">
        <v>749</v>
      </c>
      <c r="P744" t="s">
        <v>2185</v>
      </c>
      <c r="W744" s="75" t="s">
        <v>5725</v>
      </c>
      <c r="X744" s="75" t="s">
        <v>5726</v>
      </c>
      <c r="Y744" t="s">
        <v>5890</v>
      </c>
    </row>
    <row r="745" spans="2:25" x14ac:dyDescent="0.25">
      <c r="K745" s="75" t="s">
        <v>1336</v>
      </c>
      <c r="L745" s="75" t="s">
        <v>749</v>
      </c>
      <c r="M745" t="s">
        <v>1693</v>
      </c>
      <c r="N745" s="75" t="s">
        <v>191</v>
      </c>
      <c r="O745" s="75" t="s">
        <v>590</v>
      </c>
      <c r="P745" t="s">
        <v>2186</v>
      </c>
      <c r="W745" s="75" t="s">
        <v>5569</v>
      </c>
      <c r="X745" s="75" t="s">
        <v>577</v>
      </c>
      <c r="Y745" t="s">
        <v>5959</v>
      </c>
    </row>
    <row r="746" spans="2:25" x14ac:dyDescent="0.25">
      <c r="K746" s="75" t="s">
        <v>762</v>
      </c>
      <c r="L746" s="75" t="s">
        <v>584</v>
      </c>
      <c r="M746" t="s">
        <v>1724</v>
      </c>
      <c r="N746" s="75" t="s">
        <v>1091</v>
      </c>
      <c r="O746" s="75" t="s">
        <v>583</v>
      </c>
      <c r="P746" t="s">
        <v>2187</v>
      </c>
      <c r="W746" s="75" t="s">
        <v>5465</v>
      </c>
      <c r="X746" s="75" t="s">
        <v>329</v>
      </c>
      <c r="Y746" t="s">
        <v>5972</v>
      </c>
    </row>
    <row r="747" spans="2:25" x14ac:dyDescent="0.25">
      <c r="K747" s="75" t="s">
        <v>1644</v>
      </c>
      <c r="L747" s="75" t="s">
        <v>765</v>
      </c>
      <c r="M747" t="s">
        <v>1755</v>
      </c>
      <c r="N747" s="75" t="s">
        <v>407</v>
      </c>
      <c r="O747" s="75" t="s">
        <v>584</v>
      </c>
      <c r="P747" t="s">
        <v>2188</v>
      </c>
      <c r="W747" s="74" t="s">
        <v>5823</v>
      </c>
      <c r="X747" s="74" t="s">
        <v>5719</v>
      </c>
      <c r="Y747" t="s">
        <v>6120</v>
      </c>
    </row>
    <row r="748" spans="2:25" x14ac:dyDescent="0.25">
      <c r="K748" s="75" t="s">
        <v>1691</v>
      </c>
      <c r="L748" s="75" t="s">
        <v>1690</v>
      </c>
      <c r="M748" t="s">
        <v>1773</v>
      </c>
      <c r="N748" s="75" t="s">
        <v>1521</v>
      </c>
      <c r="O748" s="75" t="s">
        <v>362</v>
      </c>
      <c r="P748" t="s">
        <v>2189</v>
      </c>
      <c r="W748" s="75" t="s">
        <v>3194</v>
      </c>
      <c r="X748" s="75" t="s">
        <v>577</v>
      </c>
      <c r="Y748" t="s">
        <v>6150</v>
      </c>
    </row>
    <row r="749" spans="2:25" x14ac:dyDescent="0.25">
      <c r="K749" s="75" t="s">
        <v>1777</v>
      </c>
      <c r="L749" s="75" t="s">
        <v>590</v>
      </c>
      <c r="M749" t="s">
        <v>2170</v>
      </c>
      <c r="N749" s="75" t="s">
        <v>969</v>
      </c>
      <c r="O749" s="75" t="s">
        <v>648</v>
      </c>
      <c r="P749" t="s">
        <v>2190</v>
      </c>
      <c r="W749" s="75" t="s">
        <v>6137</v>
      </c>
      <c r="X749" s="75" t="s">
        <v>324</v>
      </c>
      <c r="Y749" t="s">
        <v>6316</v>
      </c>
    </row>
    <row r="750" spans="2:25" x14ac:dyDescent="0.25">
      <c r="K750" s="75" t="s">
        <v>1877</v>
      </c>
      <c r="L750" s="75" t="s">
        <v>611</v>
      </c>
      <c r="M750" t="s">
        <v>2422</v>
      </c>
      <c r="N750" s="75" t="s">
        <v>286</v>
      </c>
      <c r="O750" s="75" t="s">
        <v>1003</v>
      </c>
      <c r="P750" t="s">
        <v>1522</v>
      </c>
      <c r="W750" s="75" t="s">
        <v>5845</v>
      </c>
      <c r="X750" s="75" t="s">
        <v>456</v>
      </c>
      <c r="Y750" t="s">
        <v>6447</v>
      </c>
    </row>
    <row r="751" spans="2:25" x14ac:dyDescent="0.25">
      <c r="K751" s="75" t="s">
        <v>271</v>
      </c>
      <c r="L751" s="75" t="s">
        <v>584</v>
      </c>
      <c r="M751" t="s">
        <v>2496</v>
      </c>
      <c r="N751" s="75" t="s">
        <v>872</v>
      </c>
      <c r="O751" s="75" t="s">
        <v>625</v>
      </c>
      <c r="P751" t="s">
        <v>1523</v>
      </c>
      <c r="W751" s="74" t="s">
        <v>6431</v>
      </c>
      <c r="X751" s="74" t="s">
        <v>6432</v>
      </c>
      <c r="Y751" t="s">
        <v>6494</v>
      </c>
    </row>
    <row r="752" spans="2:25" x14ac:dyDescent="0.25">
      <c r="K752" s="75" t="s">
        <v>1878</v>
      </c>
      <c r="L752" s="75" t="s">
        <v>632</v>
      </c>
      <c r="M752" t="s">
        <v>2692</v>
      </c>
      <c r="N752" s="75" t="s">
        <v>1207</v>
      </c>
      <c r="O752" s="75" t="s">
        <v>1208</v>
      </c>
      <c r="P752" t="s">
        <v>1524</v>
      </c>
      <c r="W752" s="75" t="s">
        <v>6490</v>
      </c>
      <c r="X752" s="75" t="s">
        <v>6432</v>
      </c>
      <c r="Y752" t="s">
        <v>6682</v>
      </c>
    </row>
    <row r="753" spans="11:25" x14ac:dyDescent="0.25">
      <c r="K753" s="75" t="s">
        <v>1776</v>
      </c>
      <c r="L753" s="75" t="s">
        <v>916</v>
      </c>
      <c r="M753" t="s">
        <v>1803</v>
      </c>
      <c r="N753" s="75" t="s">
        <v>486</v>
      </c>
      <c r="O753" s="75" t="s">
        <v>1261</v>
      </c>
      <c r="P753" t="s">
        <v>1525</v>
      </c>
      <c r="W753" s="75" t="s">
        <v>3365</v>
      </c>
      <c r="X753" s="75" t="s">
        <v>344</v>
      </c>
      <c r="Y753" t="s">
        <v>6785</v>
      </c>
    </row>
    <row r="754" spans="11:25" x14ac:dyDescent="0.25">
      <c r="K754" s="75" t="s">
        <v>2768</v>
      </c>
      <c r="L754" s="75" t="s">
        <v>358</v>
      </c>
      <c r="M754" t="s">
        <v>2952</v>
      </c>
      <c r="N754" s="75" t="s">
        <v>286</v>
      </c>
      <c r="O754" s="75" t="s">
        <v>583</v>
      </c>
      <c r="P754" t="s">
        <v>2191</v>
      </c>
      <c r="W754" s="75" t="s">
        <v>6367</v>
      </c>
      <c r="X754" s="75" t="s">
        <v>324</v>
      </c>
      <c r="Y754" t="s">
        <v>6798</v>
      </c>
    </row>
    <row r="755" spans="11:25" x14ac:dyDescent="0.25">
      <c r="K755" s="75" t="s">
        <v>270</v>
      </c>
      <c r="L755" s="75" t="s">
        <v>447</v>
      </c>
      <c r="M755" t="s">
        <v>2953</v>
      </c>
      <c r="N755" s="75" t="s">
        <v>1229</v>
      </c>
      <c r="O755" s="75" t="s">
        <v>362</v>
      </c>
      <c r="P755" t="s">
        <v>2192</v>
      </c>
      <c r="W755" s="75" t="s">
        <v>6588</v>
      </c>
      <c r="X755" s="75" t="s">
        <v>5719</v>
      </c>
      <c r="Y755" t="s">
        <v>6837</v>
      </c>
    </row>
    <row r="756" spans="11:25" x14ac:dyDescent="0.25">
      <c r="K756" s="75" t="s">
        <v>3295</v>
      </c>
      <c r="L756" s="75" t="s">
        <v>376</v>
      </c>
      <c r="M756" t="s">
        <v>3344</v>
      </c>
      <c r="N756" s="75" t="s">
        <v>1304</v>
      </c>
      <c r="O756" s="75" t="s">
        <v>584</v>
      </c>
      <c r="P756" t="s">
        <v>1649</v>
      </c>
      <c r="W756" s="75" t="s">
        <v>6019</v>
      </c>
      <c r="X756" s="75" t="s">
        <v>604</v>
      </c>
      <c r="Y756" t="s">
        <v>6899</v>
      </c>
    </row>
    <row r="757" spans="11:25" x14ac:dyDescent="0.25">
      <c r="K757" s="75" t="s">
        <v>3255</v>
      </c>
      <c r="L757" s="75" t="s">
        <v>364</v>
      </c>
      <c r="M757" t="s">
        <v>3504</v>
      </c>
      <c r="N757" s="75" t="s">
        <v>1294</v>
      </c>
      <c r="O757" s="75" t="s">
        <v>765</v>
      </c>
      <c r="P757" t="s">
        <v>1650</v>
      </c>
      <c r="W757" s="75" t="s">
        <v>6889</v>
      </c>
      <c r="X757" s="75" t="s">
        <v>604</v>
      </c>
      <c r="Y757" t="s">
        <v>7130</v>
      </c>
    </row>
    <row r="758" spans="11:25" x14ac:dyDescent="0.25">
      <c r="K758" s="75" t="s">
        <v>3454</v>
      </c>
      <c r="L758" s="75" t="s">
        <v>918</v>
      </c>
      <c r="M758" t="s">
        <v>3555</v>
      </c>
      <c r="N758" s="75" t="s">
        <v>1194</v>
      </c>
      <c r="O758" s="75" t="s">
        <v>749</v>
      </c>
      <c r="P758" t="s">
        <v>2193</v>
      </c>
      <c r="W758" s="74" t="s">
        <v>7339</v>
      </c>
      <c r="X758" s="74" t="s">
        <v>604</v>
      </c>
      <c r="Y758" t="s">
        <v>7379</v>
      </c>
    </row>
    <row r="759" spans="11:25" x14ac:dyDescent="0.25">
      <c r="K759" s="75" t="s">
        <v>3437</v>
      </c>
      <c r="L759" s="75" t="s">
        <v>382</v>
      </c>
      <c r="M759" t="s">
        <v>3758</v>
      </c>
      <c r="N759" s="75" t="s">
        <v>1608</v>
      </c>
      <c r="O759" s="75" t="s">
        <v>590</v>
      </c>
      <c r="P759" t="s">
        <v>1746</v>
      </c>
      <c r="W759" s="75" t="s">
        <v>6826</v>
      </c>
      <c r="X759" s="75" t="s">
        <v>5921</v>
      </c>
      <c r="Y759" t="s">
        <v>7450</v>
      </c>
    </row>
    <row r="760" spans="11:25" x14ac:dyDescent="0.25">
      <c r="K760" s="75" t="s">
        <v>1878</v>
      </c>
      <c r="L760" s="75" t="s">
        <v>585</v>
      </c>
      <c r="M760" t="s">
        <v>3898</v>
      </c>
      <c r="N760" s="75" t="s">
        <v>1700</v>
      </c>
      <c r="O760" s="75" t="s">
        <v>625</v>
      </c>
      <c r="P760" t="s">
        <v>1812</v>
      </c>
      <c r="W760" s="75" t="s">
        <v>7338</v>
      </c>
      <c r="X760" s="75" t="s">
        <v>5719</v>
      </c>
      <c r="Y760" t="s">
        <v>7519</v>
      </c>
    </row>
    <row r="761" spans="11:25" x14ac:dyDescent="0.25">
      <c r="K761" s="75" t="s">
        <v>4110</v>
      </c>
      <c r="L761" s="75" t="s">
        <v>526</v>
      </c>
      <c r="M761" t="s">
        <v>4135</v>
      </c>
      <c r="N761" s="75" t="s">
        <v>1722</v>
      </c>
      <c r="O761" s="75" t="s">
        <v>584</v>
      </c>
      <c r="P761" t="s">
        <v>1897</v>
      </c>
      <c r="W761" s="75" t="s">
        <v>2457</v>
      </c>
      <c r="X761" s="75" t="s">
        <v>344</v>
      </c>
      <c r="Y761" t="s">
        <v>7600</v>
      </c>
    </row>
    <row r="762" spans="11:25" x14ac:dyDescent="0.25">
      <c r="K762" s="75" t="s">
        <v>2803</v>
      </c>
      <c r="L762" s="75" t="s">
        <v>577</v>
      </c>
      <c r="M762" t="s">
        <v>4140</v>
      </c>
      <c r="N762" s="75" t="s">
        <v>268</v>
      </c>
      <c r="O762" s="75" t="s">
        <v>1261</v>
      </c>
      <c r="P762" t="s">
        <v>1904</v>
      </c>
      <c r="W762" s="75" t="s">
        <v>7034</v>
      </c>
      <c r="X762" s="75" t="s">
        <v>6432</v>
      </c>
      <c r="Y762" t="s">
        <v>7660</v>
      </c>
    </row>
    <row r="763" spans="11:25" x14ac:dyDescent="0.25">
      <c r="K763" s="75" t="s">
        <v>3914</v>
      </c>
      <c r="L763" s="75" t="s">
        <v>344</v>
      </c>
      <c r="M763" t="s">
        <v>4254</v>
      </c>
      <c r="N763" s="75" t="s">
        <v>559</v>
      </c>
      <c r="O763" s="75" t="s">
        <v>1840</v>
      </c>
      <c r="P763" t="s">
        <v>2421</v>
      </c>
      <c r="W763" s="75" t="s">
        <v>7751</v>
      </c>
      <c r="X763" s="75" t="s">
        <v>376</v>
      </c>
      <c r="Y763" t="s">
        <v>7891</v>
      </c>
    </row>
    <row r="764" spans="11:25" x14ac:dyDescent="0.25">
      <c r="K764" s="75" t="s">
        <v>4253</v>
      </c>
      <c r="L764" s="75" t="s">
        <v>344</v>
      </c>
      <c r="M764" t="s">
        <v>4265</v>
      </c>
      <c r="N764" s="75" t="s">
        <v>421</v>
      </c>
      <c r="O764" s="75" t="s">
        <v>1840</v>
      </c>
      <c r="P764" t="s">
        <v>2687</v>
      </c>
      <c r="W764" s="75" t="s">
        <v>7841</v>
      </c>
      <c r="X764" s="75" t="s">
        <v>526</v>
      </c>
      <c r="Y764" t="s">
        <v>8176</v>
      </c>
    </row>
    <row r="765" spans="11:25" x14ac:dyDescent="0.25">
      <c r="K765" s="75" t="s">
        <v>4236</v>
      </c>
      <c r="L765" s="75" t="s">
        <v>676</v>
      </c>
      <c r="M765" t="s">
        <v>4287</v>
      </c>
      <c r="N765" s="75" t="s">
        <v>1923</v>
      </c>
      <c r="O765" s="75" t="s">
        <v>590</v>
      </c>
      <c r="P765" t="s">
        <v>2476</v>
      </c>
      <c r="W765" s="74" t="s">
        <v>8235</v>
      </c>
      <c r="X765" s="74" t="s">
        <v>7631</v>
      </c>
      <c r="Y765" t="s">
        <v>8247</v>
      </c>
    </row>
    <row r="766" spans="11:25" x14ac:dyDescent="0.25">
      <c r="K766" s="75" t="s">
        <v>271</v>
      </c>
      <c r="L766" s="75" t="s">
        <v>2972</v>
      </c>
      <c r="M766" t="s">
        <v>4314</v>
      </c>
      <c r="N766" s="75" t="s">
        <v>1829</v>
      </c>
      <c r="O766" s="75" t="s">
        <v>625</v>
      </c>
      <c r="P766" t="s">
        <v>2504</v>
      </c>
      <c r="W766" s="75" t="s">
        <v>7886</v>
      </c>
      <c r="X766" s="75" t="s">
        <v>7719</v>
      </c>
      <c r="Y766" t="s">
        <v>8248</v>
      </c>
    </row>
    <row r="767" spans="11:25" x14ac:dyDescent="0.25">
      <c r="K767" s="75" t="s">
        <v>4281</v>
      </c>
      <c r="L767" s="75" t="s">
        <v>228</v>
      </c>
      <c r="M767" t="s">
        <v>4331</v>
      </c>
      <c r="N767" s="75" t="s">
        <v>1511</v>
      </c>
      <c r="O767" s="75" t="s">
        <v>457</v>
      </c>
      <c r="P767" t="s">
        <v>2561</v>
      </c>
      <c r="W767" s="75" t="s">
        <v>2684</v>
      </c>
      <c r="X767" s="75" t="s">
        <v>5720</v>
      </c>
      <c r="Y767" t="s">
        <v>8784</v>
      </c>
    </row>
    <row r="768" spans="11:25" x14ac:dyDescent="0.25">
      <c r="K768" s="75" t="s">
        <v>4086</v>
      </c>
      <c r="L768" s="75" t="s">
        <v>458</v>
      </c>
      <c r="M768" t="s">
        <v>4336</v>
      </c>
      <c r="N768" s="75" t="s">
        <v>553</v>
      </c>
      <c r="O768" s="75" t="s">
        <v>1261</v>
      </c>
      <c r="P768" t="s">
        <v>2650</v>
      </c>
      <c r="W768" s="75" t="s">
        <v>8785</v>
      </c>
      <c r="X768" s="75" t="s">
        <v>5720</v>
      </c>
      <c r="Y768" t="s">
        <v>8850</v>
      </c>
    </row>
    <row r="769" spans="11:25" x14ac:dyDescent="0.25">
      <c r="K769" s="75" t="s">
        <v>3652</v>
      </c>
      <c r="L769" s="75" t="s">
        <v>1721</v>
      </c>
      <c r="M769" t="s">
        <v>4396</v>
      </c>
      <c r="N769" s="75" t="s">
        <v>653</v>
      </c>
      <c r="O769" s="75" t="s">
        <v>1840</v>
      </c>
      <c r="P769" t="s">
        <v>2723</v>
      </c>
      <c r="W769" s="74" t="s">
        <v>9116</v>
      </c>
      <c r="X769" s="74" t="s">
        <v>358</v>
      </c>
      <c r="Y769" t="s">
        <v>9367</v>
      </c>
    </row>
    <row r="770" spans="11:25" x14ac:dyDescent="0.25">
      <c r="K770" s="75" t="s">
        <v>4127</v>
      </c>
      <c r="L770" s="75" t="s">
        <v>4053</v>
      </c>
      <c r="M770" t="s">
        <v>4463</v>
      </c>
      <c r="N770" s="75" t="s">
        <v>163</v>
      </c>
      <c r="O770" s="75" t="s">
        <v>1261</v>
      </c>
      <c r="P770" t="s">
        <v>2769</v>
      </c>
      <c r="W770" s="75" t="s">
        <v>9374</v>
      </c>
      <c r="X770" s="75" t="s">
        <v>2970</v>
      </c>
      <c r="Y770" t="s">
        <v>9514</v>
      </c>
    </row>
    <row r="771" spans="11:25" x14ac:dyDescent="0.25">
      <c r="K771" s="75" t="s">
        <v>4484</v>
      </c>
      <c r="L771" s="75" t="s">
        <v>4053</v>
      </c>
      <c r="M771" t="s">
        <v>4601</v>
      </c>
      <c r="N771" s="75" t="s">
        <v>278</v>
      </c>
      <c r="O771" s="75" t="s">
        <v>1208</v>
      </c>
      <c r="P771" t="s">
        <v>2900</v>
      </c>
      <c r="W771" s="75" t="s">
        <v>9484</v>
      </c>
      <c r="X771" s="75" t="s">
        <v>5921</v>
      </c>
      <c r="Y771" t="s">
        <v>9515</v>
      </c>
    </row>
    <row r="772" spans="11:25" x14ac:dyDescent="0.25">
      <c r="K772" s="75" t="s">
        <v>4646</v>
      </c>
      <c r="L772" s="75" t="s">
        <v>456</v>
      </c>
      <c r="M772" t="s">
        <v>4697</v>
      </c>
      <c r="N772" s="75" t="s">
        <v>1772</v>
      </c>
      <c r="O772" s="75" t="s">
        <v>2546</v>
      </c>
      <c r="P772" t="s">
        <v>2901</v>
      </c>
      <c r="W772" s="75" t="s">
        <v>9539</v>
      </c>
      <c r="X772" s="75" t="s">
        <v>2971</v>
      </c>
      <c r="Y772" t="s">
        <v>9694</v>
      </c>
    </row>
    <row r="773" spans="11:25" x14ac:dyDescent="0.25">
      <c r="K773" s="75" t="s">
        <v>4652</v>
      </c>
      <c r="L773" s="75" t="s">
        <v>329</v>
      </c>
      <c r="M773" t="s">
        <v>4892</v>
      </c>
      <c r="N773" s="75" t="s">
        <v>732</v>
      </c>
      <c r="O773" s="75" t="s">
        <v>765</v>
      </c>
      <c r="P773" t="s">
        <v>2911</v>
      </c>
      <c r="W773" s="74" t="s">
        <v>9643</v>
      </c>
      <c r="X773" s="74" t="s">
        <v>344</v>
      </c>
      <c r="Y773" t="s">
        <v>9695</v>
      </c>
    </row>
    <row r="774" spans="11:25" x14ac:dyDescent="0.25">
      <c r="K774" s="75" t="s">
        <v>4635</v>
      </c>
      <c r="L774" s="75" t="s">
        <v>526</v>
      </c>
      <c r="M774" t="s">
        <v>4894</v>
      </c>
      <c r="N774" s="75" t="s">
        <v>2902</v>
      </c>
      <c r="O774" s="75" t="s">
        <v>455</v>
      </c>
      <c r="P774" t="s">
        <v>2955</v>
      </c>
      <c r="W774" s="75" t="s">
        <v>9540</v>
      </c>
      <c r="X774" s="75" t="s">
        <v>5921</v>
      </c>
      <c r="Y774" t="s">
        <v>9702</v>
      </c>
    </row>
    <row r="775" spans="11:25" x14ac:dyDescent="0.25">
      <c r="K775" s="75" t="s">
        <v>4760</v>
      </c>
      <c r="L775" s="75" t="s">
        <v>4688</v>
      </c>
      <c r="M775" t="s">
        <v>4992</v>
      </c>
      <c r="N775" s="75" t="s">
        <v>2519</v>
      </c>
      <c r="O775" s="75" t="s">
        <v>362</v>
      </c>
      <c r="P775" t="s">
        <v>2961</v>
      </c>
      <c r="W775" s="75" t="s">
        <v>9578</v>
      </c>
      <c r="X775" s="75" t="s">
        <v>8199</v>
      </c>
      <c r="Y775" t="s">
        <v>9726</v>
      </c>
    </row>
    <row r="776" spans="11:25" x14ac:dyDescent="0.25">
      <c r="K776" s="75" t="s">
        <v>4830</v>
      </c>
      <c r="L776" s="75" t="s">
        <v>329</v>
      </c>
      <c r="M776" t="s">
        <v>4978</v>
      </c>
      <c r="N776" s="75" t="s">
        <v>600</v>
      </c>
      <c r="O776" s="75" t="s">
        <v>457</v>
      </c>
      <c r="P776" t="s">
        <v>2986</v>
      </c>
      <c r="W776" s="75" t="s">
        <v>9700</v>
      </c>
      <c r="X776" s="75" t="s">
        <v>344</v>
      </c>
      <c r="Y776" t="s">
        <v>9771</v>
      </c>
    </row>
    <row r="777" spans="11:25" x14ac:dyDescent="0.25">
      <c r="K777" s="75" t="s">
        <v>4969</v>
      </c>
      <c r="L777" s="75" t="s">
        <v>329</v>
      </c>
      <c r="M777" t="s">
        <v>5037</v>
      </c>
      <c r="N777" s="75" t="s">
        <v>2945</v>
      </c>
      <c r="O777" s="75" t="s">
        <v>358</v>
      </c>
      <c r="P777" t="s">
        <v>3095</v>
      </c>
      <c r="W777" s="75" t="s">
        <v>3989</v>
      </c>
      <c r="X777" s="75" t="s">
        <v>2971</v>
      </c>
      <c r="Y777" t="s">
        <v>9789</v>
      </c>
    </row>
    <row r="778" spans="11:25" x14ac:dyDescent="0.25">
      <c r="K778" s="75" t="s">
        <v>4940</v>
      </c>
      <c r="L778" s="75" t="s">
        <v>4209</v>
      </c>
      <c r="M778" t="s">
        <v>5234</v>
      </c>
      <c r="N778" s="75" t="s">
        <v>2946</v>
      </c>
      <c r="O778" s="75" t="s">
        <v>447</v>
      </c>
      <c r="P778" t="s">
        <v>3118</v>
      </c>
      <c r="W778" s="75" t="s">
        <v>9770</v>
      </c>
      <c r="X778" s="75" t="s">
        <v>344</v>
      </c>
      <c r="Y778" t="s">
        <v>9837</v>
      </c>
    </row>
    <row r="779" spans="11:25" x14ac:dyDescent="0.25">
      <c r="K779" s="75" t="s">
        <v>5028</v>
      </c>
      <c r="L779" s="75" t="s">
        <v>2970</v>
      </c>
      <c r="M779" t="s">
        <v>5308</v>
      </c>
      <c r="N779" s="75" t="s">
        <v>3050</v>
      </c>
      <c r="O779" s="75" t="s">
        <v>447</v>
      </c>
      <c r="P779" t="s">
        <v>3158</v>
      </c>
      <c r="W779" s="75" t="s">
        <v>9836</v>
      </c>
      <c r="X779" s="75" t="s">
        <v>344</v>
      </c>
      <c r="Y779" t="s">
        <v>9874</v>
      </c>
    </row>
    <row r="780" spans="11:25" x14ac:dyDescent="0.25">
      <c r="K780" s="75" t="s">
        <v>292</v>
      </c>
      <c r="L780" s="75" t="s">
        <v>684</v>
      </c>
      <c r="M780" t="s">
        <v>5369</v>
      </c>
      <c r="N780" s="75" t="s">
        <v>693</v>
      </c>
      <c r="O780" s="75" t="s">
        <v>2970</v>
      </c>
      <c r="P780" t="s">
        <v>3292</v>
      </c>
      <c r="W780" s="74" t="s">
        <v>9644</v>
      </c>
      <c r="X780" s="74" t="s">
        <v>9645</v>
      </c>
      <c r="Y780" t="s">
        <v>9876</v>
      </c>
    </row>
    <row r="781" spans="11:25" x14ac:dyDescent="0.25">
      <c r="K781" s="75" t="s">
        <v>5095</v>
      </c>
      <c r="L781" s="75" t="s">
        <v>324</v>
      </c>
      <c r="M781" t="s">
        <v>5434</v>
      </c>
      <c r="N781" s="75" t="s">
        <v>3098</v>
      </c>
      <c r="O781" s="75" t="s">
        <v>1355</v>
      </c>
      <c r="P781" t="s">
        <v>3316</v>
      </c>
      <c r="W781" s="75" t="s">
        <v>8346</v>
      </c>
      <c r="X781" s="75" t="s">
        <v>5720</v>
      </c>
      <c r="Y781" t="s">
        <v>10160</v>
      </c>
    </row>
    <row r="782" spans="11:25" x14ac:dyDescent="0.25">
      <c r="K782" s="75" t="s">
        <v>419</v>
      </c>
      <c r="L782" s="75" t="s">
        <v>4053</v>
      </c>
      <c r="M782" t="s">
        <v>5463</v>
      </c>
      <c r="N782" s="75" t="s">
        <v>3336</v>
      </c>
      <c r="O782" s="75" t="s">
        <v>376</v>
      </c>
      <c r="P782" t="s">
        <v>3354</v>
      </c>
      <c r="W782" s="75" t="s">
        <v>9844</v>
      </c>
      <c r="X782" s="75" t="s">
        <v>2971</v>
      </c>
      <c r="Y782" t="s">
        <v>9984</v>
      </c>
    </row>
    <row r="783" spans="11:25" x14ac:dyDescent="0.25">
      <c r="K783" s="75" t="s">
        <v>762</v>
      </c>
      <c r="L783" s="75" t="s">
        <v>358</v>
      </c>
      <c r="M783" t="s">
        <v>5635</v>
      </c>
      <c r="N783" s="75" t="s">
        <v>2981</v>
      </c>
      <c r="O783" s="75" t="s">
        <v>455</v>
      </c>
      <c r="P783" t="s">
        <v>3381</v>
      </c>
      <c r="W783" s="75" t="s">
        <v>7338</v>
      </c>
      <c r="X783" s="75" t="s">
        <v>8199</v>
      </c>
      <c r="Y783" t="s">
        <v>10038</v>
      </c>
    </row>
    <row r="784" spans="11:25" x14ac:dyDescent="0.25">
      <c r="K784" s="75" t="s">
        <v>4545</v>
      </c>
      <c r="L784" s="75" t="s">
        <v>585</v>
      </c>
      <c r="M784" t="s">
        <v>5737</v>
      </c>
      <c r="N784" s="75" t="s">
        <v>3195</v>
      </c>
      <c r="O784" s="75" t="s">
        <v>577</v>
      </c>
      <c r="P784" t="s">
        <v>3470</v>
      </c>
      <c r="W784" s="75" t="s">
        <v>9578</v>
      </c>
      <c r="X784" s="75" t="s">
        <v>8199</v>
      </c>
      <c r="Y784" t="s">
        <v>10104</v>
      </c>
    </row>
    <row r="785" spans="11:25" x14ac:dyDescent="0.25">
      <c r="K785" s="75" t="s">
        <v>5582</v>
      </c>
      <c r="L785" s="75" t="s">
        <v>2970</v>
      </c>
      <c r="M785" t="s">
        <v>7111</v>
      </c>
      <c r="N785" s="75" t="s">
        <v>3041</v>
      </c>
      <c r="O785" s="75" t="s">
        <v>2972</v>
      </c>
      <c r="P785" t="s">
        <v>3644</v>
      </c>
      <c r="W785" s="75" t="s">
        <v>10010</v>
      </c>
      <c r="X785" s="216" t="s">
        <v>350</v>
      </c>
      <c r="Y785" t="s">
        <v>10389</v>
      </c>
    </row>
    <row r="786" spans="11:25" x14ac:dyDescent="0.25">
      <c r="K786" s="74" t="s">
        <v>5860</v>
      </c>
      <c r="L786" s="74" t="s">
        <v>2970</v>
      </c>
      <c r="M786" t="s">
        <v>5902</v>
      </c>
      <c r="N786" s="75" t="s">
        <v>2942</v>
      </c>
      <c r="O786" s="75" t="s">
        <v>450</v>
      </c>
      <c r="P786" t="s">
        <v>3646</v>
      </c>
      <c r="W786" s="75" t="s">
        <v>10326</v>
      </c>
      <c r="X786" s="75" t="s">
        <v>577</v>
      </c>
      <c r="Y786" t="s">
        <v>10422</v>
      </c>
    </row>
    <row r="787" spans="11:25" x14ac:dyDescent="0.25">
      <c r="K787" s="75" t="s">
        <v>5877</v>
      </c>
      <c r="L787" s="75" t="s">
        <v>5720</v>
      </c>
      <c r="M787" t="s">
        <v>5913</v>
      </c>
      <c r="N787" s="75" t="s">
        <v>950</v>
      </c>
      <c r="O787" s="75" t="s">
        <v>1355</v>
      </c>
      <c r="P787" t="s">
        <v>3690</v>
      </c>
      <c r="W787" s="75" t="s">
        <v>9644</v>
      </c>
      <c r="X787" s="75" t="s">
        <v>577</v>
      </c>
      <c r="Y787" t="s">
        <v>10517</v>
      </c>
    </row>
    <row r="788" spans="11:25" x14ac:dyDescent="0.25">
      <c r="K788" s="75" t="s">
        <v>5919</v>
      </c>
      <c r="L788" s="75" t="s">
        <v>324</v>
      </c>
      <c r="M788" t="s">
        <v>6134</v>
      </c>
      <c r="N788" s="75" t="s">
        <v>950</v>
      </c>
      <c r="O788" s="75" t="s">
        <v>3887</v>
      </c>
      <c r="P788" t="s">
        <v>4175</v>
      </c>
      <c r="W788" s="75" t="s">
        <v>10530</v>
      </c>
      <c r="X788" s="75" t="s">
        <v>577</v>
      </c>
      <c r="Y788" t="s">
        <v>10638</v>
      </c>
    </row>
    <row r="789" spans="11:25" x14ac:dyDescent="0.25">
      <c r="K789" s="75" t="s">
        <v>6124</v>
      </c>
      <c r="L789" s="75" t="s">
        <v>5719</v>
      </c>
      <c r="M789" t="s">
        <v>6182</v>
      </c>
      <c r="N789" s="75" t="s">
        <v>1636</v>
      </c>
      <c r="O789" s="75" t="s">
        <v>544</v>
      </c>
      <c r="P789" t="s">
        <v>4184</v>
      </c>
      <c r="W789" s="75" t="s">
        <v>10113</v>
      </c>
      <c r="X789" s="75" t="s">
        <v>344</v>
      </c>
      <c r="Y789" t="s">
        <v>10774</v>
      </c>
    </row>
    <row r="790" spans="11:25" x14ac:dyDescent="0.25">
      <c r="K790" s="75" t="s">
        <v>6203</v>
      </c>
      <c r="L790" s="75" t="s">
        <v>5980</v>
      </c>
      <c r="M790" t="s">
        <v>6348</v>
      </c>
      <c r="N790" s="75" t="s">
        <v>4132</v>
      </c>
      <c r="O790" s="75" t="s">
        <v>604</v>
      </c>
      <c r="P790" t="s">
        <v>4604</v>
      </c>
      <c r="W790" s="74" t="s">
        <v>10554</v>
      </c>
      <c r="X790" s="216" t="s">
        <v>577</v>
      </c>
      <c r="Y790" t="s">
        <v>10954</v>
      </c>
    </row>
    <row r="791" spans="11:25" x14ac:dyDescent="0.25">
      <c r="K791" s="75" t="s">
        <v>6070</v>
      </c>
      <c r="L791" s="75" t="s">
        <v>585</v>
      </c>
      <c r="M791" t="s">
        <v>6349</v>
      </c>
      <c r="N791" s="75" t="s">
        <v>2857</v>
      </c>
      <c r="O791" s="75" t="s">
        <v>2970</v>
      </c>
      <c r="P791" t="s">
        <v>4282</v>
      </c>
      <c r="W791" s="75" t="s">
        <v>10554</v>
      </c>
      <c r="X791" s="75" t="s">
        <v>1606</v>
      </c>
      <c r="Y791" t="s">
        <v>12988</v>
      </c>
    </row>
    <row r="792" spans="11:25" x14ac:dyDescent="0.25">
      <c r="K792" s="75" t="s">
        <v>6319</v>
      </c>
      <c r="L792" s="75" t="s">
        <v>324</v>
      </c>
      <c r="M792" t="s">
        <v>6388</v>
      </c>
      <c r="N792" s="75" t="s">
        <v>4232</v>
      </c>
      <c r="O792" s="75" t="s">
        <v>940</v>
      </c>
      <c r="P792" t="s">
        <v>4397</v>
      </c>
      <c r="W792" s="74" t="s">
        <v>12989</v>
      </c>
      <c r="X792" s="74" t="s">
        <v>1606</v>
      </c>
      <c r="Y792" t="s">
        <v>14034</v>
      </c>
    </row>
    <row r="793" spans="11:25" x14ac:dyDescent="0.25">
      <c r="K793" s="75" t="s">
        <v>6204</v>
      </c>
      <c r="L793" s="75" t="s">
        <v>344</v>
      </c>
      <c r="M793" t="s">
        <v>6389</v>
      </c>
      <c r="N793" s="75" t="s">
        <v>4146</v>
      </c>
      <c r="O793" s="75" t="s">
        <v>585</v>
      </c>
      <c r="P793" t="s">
        <v>4399</v>
      </c>
      <c r="W793" s="74" t="s">
        <v>10785</v>
      </c>
      <c r="X793" s="74" t="s">
        <v>344</v>
      </c>
      <c r="Y793" t="s">
        <v>10846</v>
      </c>
    </row>
    <row r="794" spans="11:25" x14ac:dyDescent="0.25">
      <c r="K794" s="75" t="s">
        <v>6409</v>
      </c>
      <c r="L794" s="75" t="s">
        <v>344</v>
      </c>
      <c r="M794" t="s">
        <v>6470</v>
      </c>
      <c r="N794" s="75" t="s">
        <v>4353</v>
      </c>
      <c r="O794" s="75" t="s">
        <v>458</v>
      </c>
      <c r="P794" t="s">
        <v>4425</v>
      </c>
    </row>
    <row r="795" spans="11:25" x14ac:dyDescent="0.25">
      <c r="K795" s="75" t="s">
        <v>6444</v>
      </c>
      <c r="L795" s="75" t="s">
        <v>324</v>
      </c>
      <c r="M795" t="s">
        <v>6546</v>
      </c>
      <c r="N795" s="75" t="s">
        <v>568</v>
      </c>
      <c r="O795" s="75" t="s">
        <v>603</v>
      </c>
      <c r="P795" t="s">
        <v>4517</v>
      </c>
    </row>
    <row r="796" spans="11:25" x14ac:dyDescent="0.25">
      <c r="K796" s="75" t="s">
        <v>5394</v>
      </c>
      <c r="L796" s="75" t="s">
        <v>5817</v>
      </c>
      <c r="M796" t="s">
        <v>6607</v>
      </c>
      <c r="N796" s="75" t="s">
        <v>3953</v>
      </c>
      <c r="O796" s="75" t="s">
        <v>604</v>
      </c>
      <c r="P796" t="s">
        <v>4528</v>
      </c>
    </row>
    <row r="797" spans="11:25" x14ac:dyDescent="0.25">
      <c r="K797" s="75" t="s">
        <v>6012</v>
      </c>
      <c r="L797" s="75" t="s">
        <v>6604</v>
      </c>
      <c r="M797" t="s">
        <v>6629</v>
      </c>
      <c r="N797" s="75" t="s">
        <v>4445</v>
      </c>
      <c r="O797" s="75" t="s">
        <v>684</v>
      </c>
      <c r="P797" t="s">
        <v>4565</v>
      </c>
    </row>
    <row r="798" spans="11:25" x14ac:dyDescent="0.25">
      <c r="K798" s="75" t="s">
        <v>6858</v>
      </c>
      <c r="L798" s="75" t="s">
        <v>2970</v>
      </c>
      <c r="M798" t="s">
        <v>6901</v>
      </c>
      <c r="N798" s="75" t="s">
        <v>1772</v>
      </c>
      <c r="O798" s="75" t="s">
        <v>3861</v>
      </c>
      <c r="P798" t="s">
        <v>4623</v>
      </c>
    </row>
    <row r="799" spans="11:25" x14ac:dyDescent="0.25">
      <c r="K799" s="74" t="s">
        <v>6592</v>
      </c>
      <c r="L799" s="74" t="s">
        <v>329</v>
      </c>
      <c r="M799" t="s">
        <v>6909</v>
      </c>
      <c r="N799" s="75" t="s">
        <v>4516</v>
      </c>
      <c r="O799" s="75" t="s">
        <v>3860</v>
      </c>
      <c r="P799" t="s">
        <v>4632</v>
      </c>
    </row>
    <row r="800" spans="11:25" x14ac:dyDescent="0.25">
      <c r="K800" s="75" t="s">
        <v>6969</v>
      </c>
      <c r="L800" s="75" t="s">
        <v>5719</v>
      </c>
      <c r="M800" t="s">
        <v>6974</v>
      </c>
      <c r="N800" s="75" t="s">
        <v>4483</v>
      </c>
      <c r="O800" s="75" t="s">
        <v>577</v>
      </c>
      <c r="P800" t="s">
        <v>4634</v>
      </c>
    </row>
    <row r="801" spans="11:16" x14ac:dyDescent="0.25">
      <c r="K801" s="75" t="s">
        <v>6746</v>
      </c>
      <c r="L801" s="75" t="s">
        <v>6479</v>
      </c>
      <c r="M801" t="s">
        <v>6997</v>
      </c>
      <c r="N801" s="75" t="s">
        <v>4580</v>
      </c>
      <c r="O801" s="75" t="s">
        <v>684</v>
      </c>
      <c r="P801" t="s">
        <v>4859</v>
      </c>
    </row>
    <row r="802" spans="11:16" x14ac:dyDescent="0.25">
      <c r="K802" s="75" t="s">
        <v>6973</v>
      </c>
      <c r="L802" s="75" t="s">
        <v>5719</v>
      </c>
      <c r="M802" t="s">
        <v>7046</v>
      </c>
      <c r="N802" s="75" t="s">
        <v>4907</v>
      </c>
      <c r="O802" s="75" t="s">
        <v>940</v>
      </c>
      <c r="P802" t="s">
        <v>4979</v>
      </c>
    </row>
    <row r="803" spans="11:16" x14ac:dyDescent="0.25">
      <c r="K803" s="75" t="s">
        <v>7226</v>
      </c>
      <c r="L803" s="75" t="s">
        <v>6406</v>
      </c>
      <c r="M803" t="s">
        <v>7354</v>
      </c>
      <c r="N803" s="75" t="s">
        <v>5124</v>
      </c>
      <c r="O803" s="75" t="s">
        <v>228</v>
      </c>
      <c r="P803" t="s">
        <v>5364</v>
      </c>
    </row>
    <row r="804" spans="11:16" x14ac:dyDescent="0.25">
      <c r="K804" s="75" t="s">
        <v>7321</v>
      </c>
      <c r="L804" s="75" t="s">
        <v>6604</v>
      </c>
      <c r="M804" t="s">
        <v>7405</v>
      </c>
      <c r="N804" s="75" t="s">
        <v>5500</v>
      </c>
      <c r="O804" s="75" t="s">
        <v>1721</v>
      </c>
      <c r="P804" t="s">
        <v>5661</v>
      </c>
    </row>
    <row r="805" spans="11:16" x14ac:dyDescent="0.25">
      <c r="K805" s="75" t="s">
        <v>7503</v>
      </c>
      <c r="L805" s="75" t="s">
        <v>5921</v>
      </c>
      <c r="M805" t="s">
        <v>7579</v>
      </c>
      <c r="N805" s="75" t="s">
        <v>294</v>
      </c>
      <c r="O805" s="75" t="s">
        <v>5921</v>
      </c>
      <c r="P805" t="s">
        <v>5937</v>
      </c>
    </row>
    <row r="806" spans="11:16" x14ac:dyDescent="0.25">
      <c r="K806" s="74" t="s">
        <v>7499</v>
      </c>
      <c r="L806" s="74" t="s">
        <v>5719</v>
      </c>
      <c r="M806" t="s">
        <v>7647</v>
      </c>
      <c r="N806" s="74" t="s">
        <v>1722</v>
      </c>
      <c r="O806" s="74" t="s">
        <v>684</v>
      </c>
      <c r="P806" t="s">
        <v>6135</v>
      </c>
    </row>
    <row r="807" spans="11:16" x14ac:dyDescent="0.25">
      <c r="K807" s="75" t="s">
        <v>5582</v>
      </c>
      <c r="L807" s="75" t="s">
        <v>5817</v>
      </c>
      <c r="M807" t="s">
        <v>7706</v>
      </c>
      <c r="N807" s="75" t="s">
        <v>5920</v>
      </c>
      <c r="O807" s="75" t="s">
        <v>5720</v>
      </c>
      <c r="P807" t="s">
        <v>6230</v>
      </c>
    </row>
    <row r="808" spans="11:16" x14ac:dyDescent="0.25">
      <c r="K808" s="75" t="s">
        <v>7504</v>
      </c>
      <c r="L808" s="75" t="s">
        <v>2972</v>
      </c>
      <c r="M808" t="s">
        <v>7733</v>
      </c>
      <c r="N808" s="75" t="s">
        <v>6675</v>
      </c>
      <c r="O808" s="75" t="s">
        <v>6533</v>
      </c>
      <c r="P808" t="s">
        <v>6801</v>
      </c>
    </row>
    <row r="809" spans="11:16" x14ac:dyDescent="0.25">
      <c r="K809" s="75" t="s">
        <v>7661</v>
      </c>
      <c r="L809" s="75" t="s">
        <v>6432</v>
      </c>
      <c r="M809" t="s">
        <v>7755</v>
      </c>
      <c r="N809" s="75" t="s">
        <v>6671</v>
      </c>
      <c r="O809" s="75" t="s">
        <v>6432</v>
      </c>
      <c r="P809" t="s">
        <v>6912</v>
      </c>
    </row>
    <row r="810" spans="11:16" x14ac:dyDescent="0.25">
      <c r="K810" s="75" t="s">
        <v>7793</v>
      </c>
      <c r="L810" s="75" t="s">
        <v>344</v>
      </c>
      <c r="M810" t="s">
        <v>7794</v>
      </c>
      <c r="N810" s="75" t="s">
        <v>6786</v>
      </c>
      <c r="O810" s="75" t="s">
        <v>5817</v>
      </c>
      <c r="P810" t="s">
        <v>7043</v>
      </c>
    </row>
    <row r="811" spans="11:16" x14ac:dyDescent="0.25">
      <c r="K811" s="75" t="s">
        <v>762</v>
      </c>
      <c r="L811" s="75" t="s">
        <v>5921</v>
      </c>
      <c r="M811" t="s">
        <v>7917</v>
      </c>
      <c r="N811" s="74" t="s">
        <v>7035</v>
      </c>
      <c r="O811" s="74" t="s">
        <v>324</v>
      </c>
      <c r="P811" t="s">
        <v>7135</v>
      </c>
    </row>
    <row r="812" spans="11:16" x14ac:dyDescent="0.25">
      <c r="K812" s="75" t="s">
        <v>7887</v>
      </c>
      <c r="L812" s="75" t="s">
        <v>7631</v>
      </c>
      <c r="M812" t="s">
        <v>7955</v>
      </c>
      <c r="N812" s="75" t="s">
        <v>7057</v>
      </c>
      <c r="O812" s="75" t="s">
        <v>585</v>
      </c>
      <c r="P812" t="s">
        <v>7160</v>
      </c>
    </row>
    <row r="813" spans="11:16" x14ac:dyDescent="0.25">
      <c r="K813" s="75" t="s">
        <v>6835</v>
      </c>
      <c r="L813" s="75" t="s">
        <v>358</v>
      </c>
      <c r="M813" t="s">
        <v>7995</v>
      </c>
      <c r="N813" s="75" t="s">
        <v>7355</v>
      </c>
      <c r="O813" s="75" t="s">
        <v>6406</v>
      </c>
      <c r="P813" t="s">
        <v>7426</v>
      </c>
    </row>
    <row r="814" spans="11:16" x14ac:dyDescent="0.25">
      <c r="K814" s="75" t="s">
        <v>8000</v>
      </c>
      <c r="L814" s="75" t="s">
        <v>7631</v>
      </c>
      <c r="M814" t="s">
        <v>8028</v>
      </c>
      <c r="N814" s="75" t="s">
        <v>7505</v>
      </c>
      <c r="O814" s="75" t="s">
        <v>604</v>
      </c>
      <c r="P814" t="s">
        <v>7594</v>
      </c>
    </row>
    <row r="815" spans="11:16" x14ac:dyDescent="0.25">
      <c r="K815" s="75" t="s">
        <v>7916</v>
      </c>
      <c r="L815" s="75" t="s">
        <v>5921</v>
      </c>
      <c r="M815" t="s">
        <v>8051</v>
      </c>
      <c r="N815" s="75" t="s">
        <v>163</v>
      </c>
      <c r="O815" s="75" t="s">
        <v>526</v>
      </c>
      <c r="P815" t="s">
        <v>7748</v>
      </c>
    </row>
    <row r="816" spans="11:16" x14ac:dyDescent="0.25">
      <c r="K816" s="74" t="s">
        <v>7967</v>
      </c>
      <c r="L816" s="74" t="s">
        <v>6432</v>
      </c>
      <c r="M816" t="s">
        <v>8097</v>
      </c>
      <c r="N816" s="75" t="s">
        <v>7711</v>
      </c>
      <c r="O816" s="75" t="s">
        <v>5720</v>
      </c>
      <c r="P816" t="s">
        <v>7749</v>
      </c>
    </row>
    <row r="817" spans="11:16" x14ac:dyDescent="0.25">
      <c r="K817" s="75" t="s">
        <v>8029</v>
      </c>
      <c r="L817" s="75" t="s">
        <v>7631</v>
      </c>
      <c r="M817" t="s">
        <v>8106</v>
      </c>
      <c r="N817" s="75" t="s">
        <v>8359</v>
      </c>
      <c r="O817" s="75" t="s">
        <v>2970</v>
      </c>
      <c r="P817" t="s">
        <v>8953</v>
      </c>
    </row>
    <row r="818" spans="11:16" x14ac:dyDescent="0.25">
      <c r="K818" s="75" t="s">
        <v>8107</v>
      </c>
      <c r="L818" s="75" t="s">
        <v>7631</v>
      </c>
      <c r="M818" t="s">
        <v>8209</v>
      </c>
      <c r="N818" s="75" t="s">
        <v>693</v>
      </c>
      <c r="O818" s="75" t="s">
        <v>2970</v>
      </c>
      <c r="P818" t="s">
        <v>9188</v>
      </c>
    </row>
    <row r="819" spans="11:16" x14ac:dyDescent="0.25">
      <c r="K819" s="75" t="s">
        <v>8820</v>
      </c>
      <c r="L819" s="75" t="s">
        <v>5720</v>
      </c>
      <c r="M819" t="s">
        <v>8900</v>
      </c>
    </row>
    <row r="820" spans="11:16" x14ac:dyDescent="0.25">
      <c r="K820" s="75" t="s">
        <v>8883</v>
      </c>
      <c r="L820" s="75" t="s">
        <v>2970</v>
      </c>
      <c r="M820" t="s">
        <v>8928</v>
      </c>
    </row>
    <row r="821" spans="11:16" x14ac:dyDescent="0.25">
      <c r="K821" s="75" t="s">
        <v>8779</v>
      </c>
      <c r="L821" s="75" t="s">
        <v>8199</v>
      </c>
      <c r="M821" t="s">
        <v>8959</v>
      </c>
    </row>
    <row r="822" spans="11:16" x14ac:dyDescent="0.25">
      <c r="K822" s="75" t="s">
        <v>7951</v>
      </c>
      <c r="L822" s="75" t="s">
        <v>2970</v>
      </c>
      <c r="M822" t="s">
        <v>9015</v>
      </c>
    </row>
    <row r="823" spans="11:16" x14ac:dyDescent="0.25">
      <c r="K823" s="75" t="s">
        <v>7996</v>
      </c>
      <c r="L823" s="75" t="s">
        <v>358</v>
      </c>
      <c r="M823" t="s">
        <v>11349</v>
      </c>
    </row>
    <row r="824" spans="11:16" x14ac:dyDescent="0.25">
      <c r="K824" s="75" t="s">
        <v>8702</v>
      </c>
      <c r="L824" s="75" t="s">
        <v>2972</v>
      </c>
      <c r="M824" t="s">
        <v>9083</v>
      </c>
    </row>
    <row r="926" spans="5:5" x14ac:dyDescent="0.25">
      <c r="E926" t="s">
        <v>13087</v>
      </c>
    </row>
    <row r="929" spans="1:26" x14ac:dyDescent="0.25">
      <c r="J929" t="s">
        <v>47</v>
      </c>
    </row>
    <row r="931" spans="1:26" x14ac:dyDescent="0.25">
      <c r="S931" t="s">
        <v>5965</v>
      </c>
    </row>
    <row r="934" spans="1:26" x14ac:dyDescent="0.25">
      <c r="K934" s="118"/>
      <c r="L934" s="118"/>
      <c r="M934" s="118"/>
      <c r="N934" s="406"/>
      <c r="O934" s="406"/>
      <c r="P934" s="406"/>
    </row>
    <row r="935" spans="1:26" x14ac:dyDescent="0.25">
      <c r="N935" s="118"/>
      <c r="O935" s="118"/>
      <c r="P935" s="118"/>
    </row>
    <row r="936" spans="1:26" s="218" customFormat="1" x14ac:dyDescent="0.25">
      <c r="A936" s="218" t="s">
        <v>3</v>
      </c>
      <c r="B936" s="218">
        <f>COUNTA(B677:B935)-61</f>
        <v>0</v>
      </c>
      <c r="E936" s="218">
        <f>COUNTA(E677:E935)-59</f>
        <v>1</v>
      </c>
      <c r="H936" s="218">
        <f>COUNTA(H677:H935)-59</f>
        <v>0</v>
      </c>
      <c r="K936" s="218">
        <f>COUNTA(K677:K935)-148</f>
        <v>0</v>
      </c>
      <c r="N936" s="218">
        <f>COUNTA(N677:N935)-142</f>
        <v>0</v>
      </c>
      <c r="Q936" s="218">
        <f>COUNTA(Q677:Q935)-49</f>
        <v>0</v>
      </c>
      <c r="T936" s="218">
        <f>COUNTA(T677:T935)-16</f>
        <v>0</v>
      </c>
      <c r="U936" s="218" t="s">
        <v>5965</v>
      </c>
      <c r="W936" s="218">
        <f>COUNTA(W677:W935)-113</f>
        <v>4</v>
      </c>
      <c r="Z936" s="218">
        <f>SUBTOTAL(9,B936:Y936)</f>
        <v>5</v>
      </c>
    </row>
    <row r="937" spans="1:26" x14ac:dyDescent="0.25">
      <c r="A937" t="s">
        <v>13</v>
      </c>
      <c r="B937" s="84" t="s">
        <v>15245</v>
      </c>
      <c r="C937" t="s">
        <v>8045</v>
      </c>
      <c r="D937" t="s">
        <v>15246</v>
      </c>
      <c r="E937" s="290" t="s">
        <v>15226</v>
      </c>
      <c r="F937" s="118" t="s">
        <v>8045</v>
      </c>
      <c r="G937" t="s">
        <v>15227</v>
      </c>
      <c r="H937" s="75" t="s">
        <v>14709</v>
      </c>
      <c r="I937" s="75" t="s">
        <v>14285</v>
      </c>
      <c r="J937" t="s">
        <v>15083</v>
      </c>
      <c r="K937" s="84" t="s">
        <v>15295</v>
      </c>
      <c r="L937" s="84" t="s">
        <v>6216</v>
      </c>
      <c r="M937" t="s">
        <v>15296</v>
      </c>
      <c r="N937" s="75" t="s">
        <v>6517</v>
      </c>
      <c r="O937" s="75" t="s">
        <v>6216</v>
      </c>
      <c r="P937" t="s">
        <v>15357</v>
      </c>
      <c r="Q937" s="84" t="s">
        <v>14748</v>
      </c>
      <c r="R937" t="s">
        <v>14949</v>
      </c>
      <c r="S937" t="s">
        <v>14948</v>
      </c>
      <c r="T937" s="290" t="s">
        <v>15394</v>
      </c>
      <c r="U937" t="s">
        <v>8045</v>
      </c>
      <c r="V937" t="s">
        <v>15395</v>
      </c>
      <c r="W937" s="290" t="s">
        <v>15363</v>
      </c>
      <c r="X937" t="s">
        <v>6216</v>
      </c>
      <c r="Y937" t="s">
        <v>15364</v>
      </c>
    </row>
    <row r="938" spans="1:26" x14ac:dyDescent="0.25">
      <c r="B938" s="84" t="s">
        <v>15186</v>
      </c>
      <c r="C938" t="s">
        <v>13989</v>
      </c>
      <c r="D938" t="s">
        <v>15187</v>
      </c>
      <c r="E938" s="290" t="s">
        <v>15285</v>
      </c>
      <c r="F938" t="s">
        <v>14285</v>
      </c>
      <c r="G938" t="s">
        <v>15286</v>
      </c>
      <c r="H938" s="75" t="s">
        <v>13444</v>
      </c>
      <c r="I938" s="75" t="s">
        <v>13066</v>
      </c>
      <c r="J938" t="s">
        <v>13564</v>
      </c>
      <c r="K938" s="75" t="s">
        <v>15206</v>
      </c>
      <c r="L938" s="75" t="s">
        <v>6216</v>
      </c>
      <c r="M938" t="s">
        <v>15415</v>
      </c>
      <c r="N938" s="75" t="s">
        <v>8098</v>
      </c>
      <c r="O938" s="290" t="s">
        <v>14137</v>
      </c>
      <c r="P938" t="s">
        <v>15356</v>
      </c>
      <c r="Q938" s="84" t="s">
        <v>14989</v>
      </c>
      <c r="R938" t="s">
        <v>14139</v>
      </c>
      <c r="S938" t="s">
        <v>14990</v>
      </c>
      <c r="T938" s="75" t="s">
        <v>14495</v>
      </c>
      <c r="U938" s="75" t="s">
        <v>14241</v>
      </c>
      <c r="V938" t="s">
        <v>14683</v>
      </c>
      <c r="W938" s="84" t="s">
        <v>2741</v>
      </c>
      <c r="X938" t="s">
        <v>15076</v>
      </c>
      <c r="Y938" t="s">
        <v>15235</v>
      </c>
    </row>
    <row r="939" spans="1:26" x14ac:dyDescent="0.25">
      <c r="B939" s="84" t="s">
        <v>15247</v>
      </c>
      <c r="C939" t="s">
        <v>14947</v>
      </c>
      <c r="D939" t="s">
        <v>15248</v>
      </c>
      <c r="E939" s="290" t="s">
        <v>15342</v>
      </c>
      <c r="F939" t="s">
        <v>14138</v>
      </c>
      <c r="G939" t="s">
        <v>15339</v>
      </c>
      <c r="H939" s="75" t="s">
        <v>11551</v>
      </c>
      <c r="I939" s="75" t="s">
        <v>577</v>
      </c>
      <c r="J939" t="s">
        <v>11699</v>
      </c>
      <c r="K939" s="75" t="s">
        <v>15358</v>
      </c>
      <c r="L939" s="75" t="s">
        <v>6216</v>
      </c>
      <c r="M939" t="s">
        <v>15362</v>
      </c>
      <c r="N939" s="74" t="s">
        <v>15189</v>
      </c>
      <c r="O939" s="290" t="s">
        <v>14947</v>
      </c>
      <c r="P939" t="s">
        <v>15244</v>
      </c>
      <c r="Q939" s="75" t="s">
        <v>14668</v>
      </c>
      <c r="R939" s="75" t="s">
        <v>14669</v>
      </c>
      <c r="S939" t="s">
        <v>14859</v>
      </c>
      <c r="T939" s="74" t="s">
        <v>5537</v>
      </c>
      <c r="U939" s="74" t="s">
        <v>14152</v>
      </c>
      <c r="V939" t="s">
        <v>14606</v>
      </c>
      <c r="W939" s="84" t="s">
        <v>14304</v>
      </c>
      <c r="X939" t="s">
        <v>6925</v>
      </c>
      <c r="Y939" t="s">
        <v>14308</v>
      </c>
    </row>
    <row r="940" spans="1:26" x14ac:dyDescent="0.25">
      <c r="B940" s="75" t="s">
        <v>15194</v>
      </c>
      <c r="C940" s="290" t="s">
        <v>14138</v>
      </c>
      <c r="D940" t="s">
        <v>15341</v>
      </c>
      <c r="E940" s="75" t="s">
        <v>14709</v>
      </c>
      <c r="F940" s="75" t="s">
        <v>14285</v>
      </c>
      <c r="G940" t="s">
        <v>14934</v>
      </c>
      <c r="H940" s="75" t="s">
        <v>11396</v>
      </c>
      <c r="I940" s="75" t="s">
        <v>467</v>
      </c>
      <c r="J940" t="s">
        <v>11650</v>
      </c>
      <c r="K940" s="75" t="s">
        <v>15309</v>
      </c>
      <c r="L940" s="75" t="s">
        <v>6216</v>
      </c>
      <c r="M940" t="s">
        <v>15325</v>
      </c>
      <c r="N940" s="75" t="s">
        <v>14805</v>
      </c>
      <c r="O940" s="75" t="s">
        <v>15076</v>
      </c>
      <c r="P940" t="s">
        <v>15208</v>
      </c>
      <c r="Q940" s="75" t="s">
        <v>14457</v>
      </c>
      <c r="R940" s="290" t="s">
        <v>14138</v>
      </c>
      <c r="S940" t="s">
        <v>14776</v>
      </c>
      <c r="T940" s="75" t="s">
        <v>10721</v>
      </c>
      <c r="U940" s="75" t="s">
        <v>305</v>
      </c>
      <c r="V940" t="s">
        <v>10857</v>
      </c>
      <c r="W940" s="290" t="s">
        <v>14614</v>
      </c>
      <c r="X940" t="s">
        <v>8045</v>
      </c>
      <c r="Y940" t="s">
        <v>14615</v>
      </c>
    </row>
    <row r="941" spans="1:26" x14ac:dyDescent="0.25">
      <c r="B941" s="75" t="s">
        <v>15191</v>
      </c>
      <c r="C941" s="75" t="s">
        <v>14285</v>
      </c>
      <c r="D941" t="s">
        <v>15284</v>
      </c>
      <c r="E941" s="75" t="s">
        <v>11645</v>
      </c>
      <c r="F941" s="75" t="s">
        <v>583</v>
      </c>
      <c r="G941" t="s">
        <v>11866</v>
      </c>
      <c r="H941" s="75" t="s">
        <v>11079</v>
      </c>
      <c r="I941" s="75" t="s">
        <v>368</v>
      </c>
      <c r="J941" t="s">
        <v>11418</v>
      </c>
      <c r="K941" s="74" t="s">
        <v>14943</v>
      </c>
      <c r="L941" s="74" t="s">
        <v>14138</v>
      </c>
      <c r="M941" t="s">
        <v>15173</v>
      </c>
      <c r="N941" s="74" t="s">
        <v>14029</v>
      </c>
      <c r="O941" s="290" t="s">
        <v>13989</v>
      </c>
      <c r="P941" t="s">
        <v>14983</v>
      </c>
      <c r="Q941" s="75" t="s">
        <v>11683</v>
      </c>
      <c r="R941" s="75" t="s">
        <v>942</v>
      </c>
      <c r="S941" t="s">
        <v>12238</v>
      </c>
      <c r="T941" s="75" t="s">
        <v>10478</v>
      </c>
      <c r="U941" s="75" t="s">
        <v>472</v>
      </c>
      <c r="V941" t="s">
        <v>10658</v>
      </c>
      <c r="W941" s="118" t="s">
        <v>14648</v>
      </c>
      <c r="X941" t="s">
        <v>13952</v>
      </c>
      <c r="Y941" t="s">
        <v>15311</v>
      </c>
    </row>
    <row r="942" spans="1:26" x14ac:dyDescent="0.25">
      <c r="B942" s="75" t="s">
        <v>11171</v>
      </c>
      <c r="C942" s="75" t="s">
        <v>577</v>
      </c>
      <c r="D942" t="s">
        <v>11223</v>
      </c>
      <c r="E942" s="75" t="s">
        <v>11222</v>
      </c>
      <c r="F942" s="75" t="s">
        <v>577</v>
      </c>
      <c r="G942" t="s">
        <v>11316</v>
      </c>
      <c r="H942" s="75" t="s">
        <v>11016</v>
      </c>
      <c r="I942" s="75" t="s">
        <v>942</v>
      </c>
      <c r="J942" t="s">
        <v>11321</v>
      </c>
      <c r="K942" s="75" t="s">
        <v>14809</v>
      </c>
      <c r="L942" s="75" t="s">
        <v>14137</v>
      </c>
      <c r="M942" t="s">
        <v>14918</v>
      </c>
      <c r="N942" s="75" t="s">
        <v>12906</v>
      </c>
      <c r="O942" s="75" t="s">
        <v>6925</v>
      </c>
      <c r="P942" t="s">
        <v>14245</v>
      </c>
      <c r="Q942" s="75" t="s">
        <v>11917</v>
      </c>
      <c r="R942" s="75" t="s">
        <v>9753</v>
      </c>
      <c r="S942" t="s">
        <v>12142</v>
      </c>
      <c r="T942" s="75" t="s">
        <v>10238</v>
      </c>
      <c r="U942" s="75" t="s">
        <v>386</v>
      </c>
      <c r="V942" t="s">
        <v>10359</v>
      </c>
      <c r="W942" s="84" t="s">
        <v>4564</v>
      </c>
      <c r="X942" t="s">
        <v>15076</v>
      </c>
      <c r="Y942" t="s">
        <v>15082</v>
      </c>
    </row>
    <row r="943" spans="1:26" x14ac:dyDescent="0.25">
      <c r="B943" s="75" t="s">
        <v>10924</v>
      </c>
      <c r="C943" s="75" t="s">
        <v>368</v>
      </c>
      <c r="D943" t="s">
        <v>11091</v>
      </c>
      <c r="E943" s="75" t="s">
        <v>11016</v>
      </c>
      <c r="F943" s="75" t="s">
        <v>942</v>
      </c>
      <c r="G943" t="s">
        <v>11237</v>
      </c>
      <c r="H943" s="75" t="s">
        <v>9761</v>
      </c>
      <c r="I943" s="216" t="s">
        <v>942</v>
      </c>
      <c r="J943" t="s">
        <v>10871</v>
      </c>
      <c r="K943" s="75" t="s">
        <v>14713</v>
      </c>
      <c r="L943" s="75" t="s">
        <v>6216</v>
      </c>
      <c r="M943" t="s">
        <v>14880</v>
      </c>
      <c r="N943" s="75" t="s">
        <v>13990</v>
      </c>
      <c r="O943" s="290" t="s">
        <v>6925</v>
      </c>
      <c r="P943" t="s">
        <v>14238</v>
      </c>
      <c r="Q943" s="75" t="s">
        <v>11744</v>
      </c>
      <c r="R943" s="75" t="s">
        <v>577</v>
      </c>
      <c r="S943" t="s">
        <v>11894</v>
      </c>
      <c r="T943" s="75" t="s">
        <v>9398</v>
      </c>
      <c r="U943" s="75" t="s">
        <v>9414</v>
      </c>
      <c r="V943" t="s">
        <v>9559</v>
      </c>
      <c r="W943" s="84" t="s">
        <v>14498</v>
      </c>
      <c r="X943" t="s">
        <v>1606</v>
      </c>
      <c r="Y943" t="s">
        <v>14499</v>
      </c>
    </row>
    <row r="944" spans="1:26" x14ac:dyDescent="0.25">
      <c r="B944" s="75" t="s">
        <v>10882</v>
      </c>
      <c r="C944" s="75" t="s">
        <v>942</v>
      </c>
      <c r="D944" t="s">
        <v>11017</v>
      </c>
      <c r="E944" s="75" t="s">
        <v>10593</v>
      </c>
      <c r="F944" s="75" t="s">
        <v>467</v>
      </c>
      <c r="G944" t="s">
        <v>11129</v>
      </c>
      <c r="H944" s="75" t="s">
        <v>10139</v>
      </c>
      <c r="I944" s="75" t="s">
        <v>583</v>
      </c>
      <c r="J944" t="s">
        <v>10525</v>
      </c>
      <c r="K944" s="75" t="s">
        <v>14151</v>
      </c>
      <c r="L944" s="75" t="s">
        <v>14152</v>
      </c>
      <c r="M944" t="s">
        <v>14235</v>
      </c>
      <c r="N944" s="75" t="s">
        <v>8525</v>
      </c>
      <c r="O944" s="75" t="s">
        <v>368</v>
      </c>
      <c r="P944" t="s">
        <v>9043</v>
      </c>
      <c r="Q944" s="75" t="s">
        <v>11484</v>
      </c>
      <c r="R944" s="216" t="s">
        <v>6925</v>
      </c>
      <c r="S944" t="s">
        <v>11682</v>
      </c>
      <c r="T944" s="75" t="s">
        <v>9128</v>
      </c>
      <c r="U944" s="75" t="s">
        <v>6936</v>
      </c>
      <c r="V944" t="s">
        <v>9372</v>
      </c>
      <c r="W944" s="118" t="s">
        <v>15087</v>
      </c>
      <c r="X944" s="118" t="s">
        <v>8045</v>
      </c>
      <c r="Y944" t="s">
        <v>15403</v>
      </c>
    </row>
    <row r="945" spans="2:25" x14ac:dyDescent="0.25">
      <c r="B945" s="75" t="s">
        <v>10370</v>
      </c>
      <c r="C945" s="75" t="s">
        <v>467</v>
      </c>
      <c r="D945" t="s">
        <v>10594</v>
      </c>
      <c r="E945" s="75" t="s">
        <v>9761</v>
      </c>
      <c r="F945" s="216" t="s">
        <v>942</v>
      </c>
      <c r="G945" t="s">
        <v>10596</v>
      </c>
      <c r="H945" s="75" t="s">
        <v>9601</v>
      </c>
      <c r="I945" s="75" t="s">
        <v>6925</v>
      </c>
      <c r="J945" t="s">
        <v>10173</v>
      </c>
      <c r="K945" s="74" t="s">
        <v>9506</v>
      </c>
      <c r="L945" s="74" t="s">
        <v>6936</v>
      </c>
      <c r="M945" t="s">
        <v>9638</v>
      </c>
      <c r="N945" s="75" t="s">
        <v>8466</v>
      </c>
      <c r="O945" s="75" t="s">
        <v>5108</v>
      </c>
      <c r="P945" t="s">
        <v>8703</v>
      </c>
      <c r="Q945" s="75" t="s">
        <v>11244</v>
      </c>
      <c r="R945" s="75" t="s">
        <v>380</v>
      </c>
      <c r="S945" t="s">
        <v>11490</v>
      </c>
      <c r="T945" s="75" t="s">
        <v>8770</v>
      </c>
      <c r="U945" s="75" t="s">
        <v>6936</v>
      </c>
      <c r="V945" t="s">
        <v>8829</v>
      </c>
      <c r="W945" s="74" t="s">
        <v>15416</v>
      </c>
      <c r="X945" s="407" t="s">
        <v>6216</v>
      </c>
      <c r="Y945" t="s">
        <v>15424</v>
      </c>
    </row>
    <row r="946" spans="2:25" x14ac:dyDescent="0.25">
      <c r="B946" s="75" t="s">
        <v>10107</v>
      </c>
      <c r="C946" s="75" t="s">
        <v>380</v>
      </c>
      <c r="D946" t="s">
        <v>10276</v>
      </c>
      <c r="E946" s="75" t="s">
        <v>10277</v>
      </c>
      <c r="F946" s="75" t="s">
        <v>380</v>
      </c>
      <c r="G946" t="s">
        <v>10440</v>
      </c>
      <c r="H946" s="75" t="s">
        <v>9057</v>
      </c>
      <c r="I946" s="75" t="s">
        <v>386</v>
      </c>
      <c r="J946" t="s">
        <v>10128</v>
      </c>
      <c r="K946" s="75" t="s">
        <v>9229</v>
      </c>
      <c r="L946" s="75" t="s">
        <v>942</v>
      </c>
      <c r="M946" t="s">
        <v>9488</v>
      </c>
      <c r="N946" s="75" t="s">
        <v>8410</v>
      </c>
      <c r="O946" s="75" t="s">
        <v>368</v>
      </c>
      <c r="P946" t="s">
        <v>8526</v>
      </c>
      <c r="Q946" s="75" t="s">
        <v>11221</v>
      </c>
      <c r="R946" s="75" t="s">
        <v>583</v>
      </c>
      <c r="S946" t="s">
        <v>11275</v>
      </c>
      <c r="T946" s="74" t="s">
        <v>8492</v>
      </c>
      <c r="U946" s="74" t="s">
        <v>584</v>
      </c>
      <c r="V946" t="s">
        <v>8556</v>
      </c>
      <c r="W946" s="75" t="s">
        <v>14134</v>
      </c>
      <c r="X946" s="75" t="s">
        <v>13952</v>
      </c>
      <c r="Y946" t="s">
        <v>15165</v>
      </c>
    </row>
    <row r="947" spans="2:25" x14ac:dyDescent="0.25">
      <c r="B947" s="75" t="s">
        <v>9627</v>
      </c>
      <c r="C947" s="75" t="s">
        <v>472</v>
      </c>
      <c r="D947" t="s">
        <v>9765</v>
      </c>
      <c r="E947" s="75" t="s">
        <v>10139</v>
      </c>
      <c r="F947" s="75" t="s">
        <v>583</v>
      </c>
      <c r="G947" t="s">
        <v>10456</v>
      </c>
      <c r="H947" s="75" t="s">
        <v>9168</v>
      </c>
      <c r="I947" s="75" t="s">
        <v>358</v>
      </c>
      <c r="J947" t="s">
        <v>10044</v>
      </c>
      <c r="K947" s="74" t="s">
        <v>9228</v>
      </c>
      <c r="L947" s="74" t="s">
        <v>329</v>
      </c>
      <c r="M947" t="s">
        <v>9388</v>
      </c>
      <c r="N947" s="75" t="s">
        <v>8345</v>
      </c>
      <c r="O947" s="75" t="s">
        <v>329</v>
      </c>
      <c r="P947" t="s">
        <v>8519</v>
      </c>
      <c r="Q947" s="75" t="s">
        <v>6922</v>
      </c>
      <c r="R947" s="216" t="s">
        <v>467</v>
      </c>
      <c r="S947" t="s">
        <v>10754</v>
      </c>
      <c r="T947" s="75" t="s">
        <v>8322</v>
      </c>
      <c r="U947" s="75" t="s">
        <v>942</v>
      </c>
      <c r="V947" t="s">
        <v>8407</v>
      </c>
      <c r="W947" s="74" t="s">
        <v>11367</v>
      </c>
      <c r="X947" s="74" t="s">
        <v>6216</v>
      </c>
      <c r="Y947" t="s">
        <v>15152</v>
      </c>
    </row>
    <row r="948" spans="2:25" x14ac:dyDescent="0.25">
      <c r="B948" s="75" t="s">
        <v>9486</v>
      </c>
      <c r="C948" s="75" t="s">
        <v>6925</v>
      </c>
      <c r="D948" t="s">
        <v>9600</v>
      </c>
      <c r="E948" s="75" t="s">
        <v>9601</v>
      </c>
      <c r="F948" s="75" t="s">
        <v>6925</v>
      </c>
      <c r="G948" t="s">
        <v>10086</v>
      </c>
      <c r="H948" s="75" t="s">
        <v>8022</v>
      </c>
      <c r="I948" s="75" t="s">
        <v>305</v>
      </c>
      <c r="J948" t="s">
        <v>9845</v>
      </c>
      <c r="K948" s="74" t="s">
        <v>8966</v>
      </c>
      <c r="L948" s="74" t="s">
        <v>8967</v>
      </c>
      <c r="M948" t="s">
        <v>9075</v>
      </c>
      <c r="N948" s="75" t="s">
        <v>8311</v>
      </c>
      <c r="O948" s="75" t="s">
        <v>584</v>
      </c>
      <c r="P948" t="s">
        <v>8490</v>
      </c>
      <c r="Q948" s="75" t="s">
        <v>3930</v>
      </c>
      <c r="R948" s="75" t="s">
        <v>676</v>
      </c>
      <c r="S948" t="s">
        <v>10315</v>
      </c>
      <c r="T948" s="75" t="s">
        <v>7894</v>
      </c>
      <c r="U948" s="75" t="s">
        <v>386</v>
      </c>
      <c r="V948" t="s">
        <v>8067</v>
      </c>
      <c r="W948" s="74" t="s">
        <v>14323</v>
      </c>
      <c r="X948" s="74" t="s">
        <v>13952</v>
      </c>
      <c r="Y948" t="s">
        <v>15151</v>
      </c>
    </row>
    <row r="949" spans="2:25" x14ac:dyDescent="0.25">
      <c r="B949" s="75" t="s">
        <v>9260</v>
      </c>
      <c r="C949" s="75" t="s">
        <v>583</v>
      </c>
      <c r="D949" t="s">
        <v>9435</v>
      </c>
      <c r="E949" s="75" t="s">
        <v>8022</v>
      </c>
      <c r="F949" s="75" t="s">
        <v>305</v>
      </c>
      <c r="G949" t="s">
        <v>9369</v>
      </c>
      <c r="H949" s="75" t="s">
        <v>5400</v>
      </c>
      <c r="I949" s="75" t="s">
        <v>380</v>
      </c>
      <c r="J949" t="s">
        <v>9614</v>
      </c>
      <c r="K949" s="75" t="s">
        <v>8948</v>
      </c>
      <c r="L949" s="75" t="s">
        <v>6936</v>
      </c>
      <c r="M949" t="s">
        <v>9042</v>
      </c>
      <c r="N949" s="75" t="s">
        <v>8251</v>
      </c>
      <c r="O949" s="75" t="s">
        <v>303</v>
      </c>
      <c r="P949" t="s">
        <v>8354</v>
      </c>
      <c r="Q949" s="75" t="s">
        <v>9746</v>
      </c>
      <c r="R949" s="75" t="s">
        <v>676</v>
      </c>
      <c r="S949" t="s">
        <v>10108</v>
      </c>
      <c r="T949" s="75" t="s">
        <v>7810</v>
      </c>
      <c r="U949" s="75" t="s">
        <v>367</v>
      </c>
      <c r="V949" t="s">
        <v>8026</v>
      </c>
      <c r="W949" s="75" t="s">
        <v>15056</v>
      </c>
      <c r="X949" s="216" t="s">
        <v>15076</v>
      </c>
      <c r="Y949" t="s">
        <v>15126</v>
      </c>
    </row>
    <row r="950" spans="2:25" x14ac:dyDescent="0.25">
      <c r="B950" s="75" t="s">
        <v>8940</v>
      </c>
      <c r="C950" s="75" t="s">
        <v>474</v>
      </c>
      <c r="D950" t="s">
        <v>9169</v>
      </c>
      <c r="E950" s="75" t="s">
        <v>5133</v>
      </c>
      <c r="F950" s="75" t="s">
        <v>305</v>
      </c>
      <c r="G950" t="s">
        <v>6567</v>
      </c>
      <c r="H950" s="75" t="s">
        <v>8043</v>
      </c>
      <c r="I950" s="75" t="s">
        <v>6925</v>
      </c>
      <c r="J950" t="s">
        <v>9313</v>
      </c>
      <c r="K950" s="75" t="s">
        <v>8914</v>
      </c>
      <c r="L950" s="75" t="s">
        <v>451</v>
      </c>
      <c r="M950" t="s">
        <v>9009</v>
      </c>
      <c r="N950" s="75" t="s">
        <v>7990</v>
      </c>
      <c r="O950" s="75" t="s">
        <v>584</v>
      </c>
      <c r="P950" t="s">
        <v>8310</v>
      </c>
      <c r="Q950" s="75" t="s">
        <v>9554</v>
      </c>
      <c r="R950" s="75" t="s">
        <v>676</v>
      </c>
      <c r="S950" t="s">
        <v>9821</v>
      </c>
      <c r="T950" s="75" t="s">
        <v>7732</v>
      </c>
      <c r="U950" s="75" t="s">
        <v>5</v>
      </c>
      <c r="V950" t="s">
        <v>7878</v>
      </c>
      <c r="W950" s="75" t="s">
        <v>14610</v>
      </c>
      <c r="X950" s="75" t="s">
        <v>6216</v>
      </c>
      <c r="Y950" t="s">
        <v>14710</v>
      </c>
    </row>
    <row r="951" spans="2:25" x14ac:dyDescent="0.25">
      <c r="B951" s="75" t="s">
        <v>8797</v>
      </c>
      <c r="C951" s="75" t="s">
        <v>676</v>
      </c>
      <c r="D951" t="s">
        <v>9135</v>
      </c>
      <c r="E951" s="75" t="s">
        <v>5795</v>
      </c>
      <c r="F951" s="75" t="s">
        <v>584</v>
      </c>
      <c r="G951" t="s">
        <v>6760</v>
      </c>
      <c r="H951" s="75" t="s">
        <v>8047</v>
      </c>
      <c r="I951" s="75" t="s">
        <v>467</v>
      </c>
      <c r="J951" t="s">
        <v>8731</v>
      </c>
      <c r="K951" s="75" t="s">
        <v>8792</v>
      </c>
      <c r="L951" s="75" t="s">
        <v>303</v>
      </c>
      <c r="M951" t="s">
        <v>8965</v>
      </c>
      <c r="N951" s="75" t="s">
        <v>7772</v>
      </c>
      <c r="O951" s="75" t="s">
        <v>476</v>
      </c>
      <c r="P951" t="s">
        <v>8068</v>
      </c>
      <c r="Q951" s="75" t="s">
        <v>8805</v>
      </c>
      <c r="R951" s="75" t="s">
        <v>329</v>
      </c>
      <c r="S951" t="s">
        <v>9227</v>
      </c>
      <c r="T951" s="75" t="s">
        <v>7514</v>
      </c>
      <c r="U951" s="75" t="s">
        <v>5708</v>
      </c>
      <c r="V951" t="s">
        <v>7696</v>
      </c>
      <c r="W951" s="75" t="s">
        <v>8697</v>
      </c>
      <c r="X951" s="75" t="s">
        <v>368</v>
      </c>
      <c r="Y951" t="s">
        <v>9344</v>
      </c>
    </row>
    <row r="952" spans="2:25" x14ac:dyDescent="0.25">
      <c r="B952" s="75" t="s">
        <v>5284</v>
      </c>
      <c r="C952" s="75" t="s">
        <v>380</v>
      </c>
      <c r="D952" t="s">
        <v>8788</v>
      </c>
      <c r="E952" s="75" t="s">
        <v>5362</v>
      </c>
      <c r="F952" s="75" t="s">
        <v>380</v>
      </c>
      <c r="G952" t="s">
        <v>7474</v>
      </c>
      <c r="H952" s="75" t="s">
        <v>7816</v>
      </c>
      <c r="I952" s="75" t="s">
        <v>942</v>
      </c>
      <c r="J952" t="s">
        <v>8580</v>
      </c>
      <c r="K952" s="75" t="s">
        <v>8535</v>
      </c>
      <c r="L952" s="75" t="s">
        <v>676</v>
      </c>
      <c r="M952" t="s">
        <v>8798</v>
      </c>
      <c r="N952" s="75" t="s">
        <v>1231</v>
      </c>
      <c r="O952" s="75" t="s">
        <v>7667</v>
      </c>
      <c r="P952" t="s">
        <v>7931</v>
      </c>
      <c r="Q952" s="75" t="s">
        <v>8652</v>
      </c>
      <c r="R952" s="75" t="s">
        <v>583</v>
      </c>
      <c r="S952" t="s">
        <v>8964</v>
      </c>
      <c r="T952" s="75" t="s">
        <v>6823</v>
      </c>
      <c r="U952" s="75" t="s">
        <v>6936</v>
      </c>
      <c r="V952" t="s">
        <v>7104</v>
      </c>
      <c r="W952" s="75" t="s">
        <v>8604</v>
      </c>
      <c r="X952" s="75" t="s">
        <v>380</v>
      </c>
      <c r="Y952" t="s">
        <v>9110</v>
      </c>
    </row>
    <row r="953" spans="2:25" x14ac:dyDescent="0.25">
      <c r="B953" s="75" t="s">
        <v>8557</v>
      </c>
      <c r="C953" s="75" t="s">
        <v>584</v>
      </c>
      <c r="D953" t="s">
        <v>8622</v>
      </c>
      <c r="E953" s="75" t="s">
        <v>4413</v>
      </c>
      <c r="F953" s="75" t="s">
        <v>475</v>
      </c>
      <c r="G953" t="s">
        <v>5340</v>
      </c>
      <c r="H953" s="75" t="s">
        <v>7394</v>
      </c>
      <c r="I953" s="75" t="s">
        <v>658</v>
      </c>
      <c r="J953" t="s">
        <v>8581</v>
      </c>
      <c r="K953" s="75" t="s">
        <v>8500</v>
      </c>
      <c r="L953" s="75" t="s">
        <v>6936</v>
      </c>
      <c r="M953" t="s">
        <v>8732</v>
      </c>
      <c r="N953" s="75" t="s">
        <v>7446</v>
      </c>
      <c r="O953" s="75" t="s">
        <v>648</v>
      </c>
      <c r="P953" t="s">
        <v>7655</v>
      </c>
      <c r="Q953" s="75" t="s">
        <v>7865</v>
      </c>
      <c r="R953" s="75" t="s">
        <v>676</v>
      </c>
      <c r="S953" t="s">
        <v>8412</v>
      </c>
      <c r="T953" s="75" t="s">
        <v>4024</v>
      </c>
      <c r="U953" s="75" t="s">
        <v>5710</v>
      </c>
      <c r="V953" t="s">
        <v>6765</v>
      </c>
      <c r="W953" s="75" t="s">
        <v>8533</v>
      </c>
      <c r="X953" s="75" t="s">
        <v>474</v>
      </c>
      <c r="Y953" t="s">
        <v>8733</v>
      </c>
    </row>
    <row r="954" spans="2:25" x14ac:dyDescent="0.25">
      <c r="B954" s="75" t="s">
        <v>8185</v>
      </c>
      <c r="C954" s="75" t="s">
        <v>583</v>
      </c>
      <c r="D954" t="s">
        <v>8357</v>
      </c>
      <c r="E954" s="75" t="s">
        <v>4063</v>
      </c>
      <c r="F954" s="75" t="s">
        <v>386</v>
      </c>
      <c r="G954" t="s">
        <v>4994</v>
      </c>
      <c r="H954" s="75" t="s">
        <v>7168</v>
      </c>
      <c r="I954" s="75" t="s">
        <v>386</v>
      </c>
      <c r="J954" t="s">
        <v>7633</v>
      </c>
      <c r="K954" s="75" t="s">
        <v>8414</v>
      </c>
      <c r="L954" s="75" t="s">
        <v>386</v>
      </c>
      <c r="M954" t="s">
        <v>8589</v>
      </c>
      <c r="N954" s="75" t="s">
        <v>7407</v>
      </c>
      <c r="O954" s="75" t="s">
        <v>3042</v>
      </c>
      <c r="P954" t="s">
        <v>7609</v>
      </c>
      <c r="Q954" s="75" t="s">
        <v>7654</v>
      </c>
      <c r="R954" s="75" t="s">
        <v>329</v>
      </c>
      <c r="S954" t="s">
        <v>8265</v>
      </c>
      <c r="T954" s="75" t="s">
        <v>5931</v>
      </c>
      <c r="U954" s="75" t="s">
        <v>476</v>
      </c>
      <c r="V954" t="s">
        <v>6067</v>
      </c>
      <c r="W954" s="75" t="s">
        <v>8152</v>
      </c>
      <c r="X954" s="75" t="s">
        <v>367</v>
      </c>
      <c r="Y954" t="s">
        <v>8520</v>
      </c>
    </row>
    <row r="955" spans="2:25" x14ac:dyDescent="0.25">
      <c r="B955" s="75" t="s">
        <v>7866</v>
      </c>
      <c r="C955" s="75" t="s">
        <v>380</v>
      </c>
      <c r="D955" t="s">
        <v>8046</v>
      </c>
      <c r="E955" s="75" t="s">
        <v>186</v>
      </c>
      <c r="F955" s="75" t="s">
        <v>942</v>
      </c>
      <c r="G955" t="s">
        <v>4046</v>
      </c>
      <c r="H955" s="75" t="s">
        <v>6379</v>
      </c>
      <c r="I955" s="75" t="s">
        <v>6925</v>
      </c>
      <c r="J955" t="s">
        <v>7523</v>
      </c>
      <c r="K955" s="75" t="s">
        <v>1082</v>
      </c>
      <c r="L955" s="75" t="s">
        <v>303</v>
      </c>
      <c r="M955" t="s">
        <v>8564</v>
      </c>
      <c r="N955" s="75" t="s">
        <v>3323</v>
      </c>
      <c r="O955" s="75" t="s">
        <v>5</v>
      </c>
      <c r="P955" t="s">
        <v>7387</v>
      </c>
      <c r="Q955" s="75" t="s">
        <v>7303</v>
      </c>
      <c r="R955" s="75" t="s">
        <v>1370</v>
      </c>
      <c r="S955" t="s">
        <v>7524</v>
      </c>
      <c r="T955" s="75" t="s">
        <v>5931</v>
      </c>
      <c r="U955" s="75" t="s">
        <v>476</v>
      </c>
      <c r="V955" t="s">
        <v>6067</v>
      </c>
      <c r="W955" s="75" t="s">
        <v>8151</v>
      </c>
      <c r="X955" s="75" t="s">
        <v>5708</v>
      </c>
      <c r="Y955" t="s">
        <v>8398</v>
      </c>
    </row>
    <row r="956" spans="2:25" x14ac:dyDescent="0.25">
      <c r="B956" s="75" t="s">
        <v>7806</v>
      </c>
      <c r="C956" s="75" t="s">
        <v>6925</v>
      </c>
      <c r="D956" t="s">
        <v>8044</v>
      </c>
      <c r="E956" s="75" t="s">
        <v>213</v>
      </c>
      <c r="F956" s="75" t="s">
        <v>467</v>
      </c>
      <c r="G956" t="s">
        <v>3892</v>
      </c>
      <c r="H956" s="75" t="s">
        <v>6967</v>
      </c>
      <c r="I956" s="75" t="s">
        <v>467</v>
      </c>
      <c r="J956" t="s">
        <v>7411</v>
      </c>
      <c r="K956" s="75" t="s">
        <v>8059</v>
      </c>
      <c r="L956" s="75" t="s">
        <v>368</v>
      </c>
      <c r="M956" t="s">
        <v>8409</v>
      </c>
      <c r="N956" s="74" t="s">
        <v>4325</v>
      </c>
      <c r="O956" s="74" t="s">
        <v>6601</v>
      </c>
      <c r="P956" t="s">
        <v>7178</v>
      </c>
      <c r="Q956" s="75" t="s">
        <v>7264</v>
      </c>
      <c r="R956" s="75" t="s">
        <v>625</v>
      </c>
      <c r="S956" t="s">
        <v>7334</v>
      </c>
      <c r="T956" s="75" t="s">
        <v>5379</v>
      </c>
      <c r="U956" s="75" t="s">
        <v>3042</v>
      </c>
      <c r="V956" t="s">
        <v>5399</v>
      </c>
      <c r="W956" s="75" t="s">
        <v>7978</v>
      </c>
      <c r="X956" s="75" t="s">
        <v>5708</v>
      </c>
      <c r="Y956" t="s">
        <v>8154</v>
      </c>
    </row>
    <row r="957" spans="2:25" x14ac:dyDescent="0.25">
      <c r="B957" s="75" t="s">
        <v>7803</v>
      </c>
      <c r="C957" s="75" t="s">
        <v>305</v>
      </c>
      <c r="D957" t="s">
        <v>8023</v>
      </c>
      <c r="E957" s="75" t="s">
        <v>1873</v>
      </c>
      <c r="F957" s="75" t="s">
        <v>467</v>
      </c>
      <c r="G957" t="s">
        <v>2922</v>
      </c>
      <c r="H957" s="75" t="s">
        <v>1108</v>
      </c>
      <c r="I957" s="75" t="s">
        <v>386</v>
      </c>
      <c r="J957" t="s">
        <v>7302</v>
      </c>
      <c r="K957" s="75" t="s">
        <v>8238</v>
      </c>
      <c r="L957" s="75" t="s">
        <v>6936</v>
      </c>
      <c r="M957" t="s">
        <v>8333</v>
      </c>
      <c r="N957" s="75" t="s">
        <v>6869</v>
      </c>
      <c r="O957" s="75" t="s">
        <v>5708</v>
      </c>
      <c r="P957" t="s">
        <v>7120</v>
      </c>
      <c r="Q957" s="75" t="s">
        <v>6599</v>
      </c>
      <c r="R957" s="75" t="s">
        <v>1369</v>
      </c>
      <c r="S957" t="s">
        <v>7125</v>
      </c>
      <c r="T957" s="75" t="s">
        <v>5330</v>
      </c>
      <c r="U957" s="75" t="s">
        <v>5</v>
      </c>
      <c r="V957" t="s">
        <v>5473</v>
      </c>
      <c r="W957" s="75" t="s">
        <v>7342</v>
      </c>
      <c r="X957" s="75" t="s">
        <v>5708</v>
      </c>
      <c r="Y957" t="s">
        <v>7979</v>
      </c>
    </row>
    <row r="958" spans="2:25" x14ac:dyDescent="0.25">
      <c r="B958" s="75" t="s">
        <v>7591</v>
      </c>
      <c r="C958" s="75" t="s">
        <v>467</v>
      </c>
      <c r="D958" t="s">
        <v>7817</v>
      </c>
      <c r="E958" s="75" t="s">
        <v>1837</v>
      </c>
      <c r="F958" s="75" t="s">
        <v>451</v>
      </c>
      <c r="G958" t="s">
        <v>2802</v>
      </c>
      <c r="H958" s="75" t="s">
        <v>4598</v>
      </c>
      <c r="I958" s="75" t="s">
        <v>476</v>
      </c>
      <c r="J958" t="s">
        <v>7256</v>
      </c>
      <c r="K958" s="75" t="s">
        <v>8069</v>
      </c>
      <c r="L958" s="75" t="s">
        <v>386</v>
      </c>
      <c r="M958" t="s">
        <v>8142</v>
      </c>
      <c r="N958" s="75" t="s">
        <v>6517</v>
      </c>
      <c r="O958" s="75" t="s">
        <v>6406</v>
      </c>
      <c r="P958" t="s">
        <v>6857</v>
      </c>
      <c r="Q958" s="75" t="s">
        <v>6598</v>
      </c>
      <c r="R958" s="75" t="s">
        <v>617</v>
      </c>
      <c r="S958" t="s">
        <v>7124</v>
      </c>
      <c r="T958" s="75" t="s">
        <v>3787</v>
      </c>
      <c r="U958" s="75" t="s">
        <v>561</v>
      </c>
      <c r="V958" t="s">
        <v>3912</v>
      </c>
      <c r="W958" s="75" t="s">
        <v>5868</v>
      </c>
      <c r="X958" s="75" t="s">
        <v>367</v>
      </c>
      <c r="Y958" t="s">
        <v>7952</v>
      </c>
    </row>
    <row r="959" spans="2:25" x14ac:dyDescent="0.25">
      <c r="B959" s="75" t="s">
        <v>7388</v>
      </c>
      <c r="C959" s="75" t="s">
        <v>5</v>
      </c>
      <c r="D959" t="s">
        <v>7554</v>
      </c>
      <c r="E959" s="75" t="s">
        <v>689</v>
      </c>
      <c r="F959" s="75" t="s">
        <v>386</v>
      </c>
      <c r="G959" t="s">
        <v>1865</v>
      </c>
      <c r="H959" s="75" t="s">
        <v>5133</v>
      </c>
      <c r="I959" s="75" t="s">
        <v>305</v>
      </c>
      <c r="J959" t="s">
        <v>7205</v>
      </c>
      <c r="K959" s="75" t="s">
        <v>7879</v>
      </c>
      <c r="L959" s="75" t="s">
        <v>303</v>
      </c>
      <c r="M959" t="s">
        <v>8042</v>
      </c>
      <c r="N959" s="75" t="s">
        <v>4784</v>
      </c>
      <c r="O959" s="75" t="s">
        <v>1376</v>
      </c>
      <c r="P959" t="s">
        <v>6817</v>
      </c>
      <c r="Q959" s="75" t="s">
        <v>3276</v>
      </c>
      <c r="R959" s="75" t="s">
        <v>6503</v>
      </c>
      <c r="S959" t="s">
        <v>7026</v>
      </c>
      <c r="T959" s="75" t="s">
        <v>3722</v>
      </c>
      <c r="U959" s="75" t="s">
        <v>574</v>
      </c>
      <c r="V959" t="s">
        <v>3876</v>
      </c>
      <c r="W959" s="75" t="s">
        <v>7325</v>
      </c>
      <c r="X959" s="75" t="s">
        <v>472</v>
      </c>
      <c r="Y959" t="s">
        <v>7842</v>
      </c>
    </row>
    <row r="960" spans="2:25" x14ac:dyDescent="0.25">
      <c r="B960" s="75" t="s">
        <v>7001</v>
      </c>
      <c r="C960" s="75" t="s">
        <v>386</v>
      </c>
      <c r="D960" t="s">
        <v>7169</v>
      </c>
      <c r="E960" s="75" t="s">
        <v>1218</v>
      </c>
      <c r="F960" s="75" t="s">
        <v>367</v>
      </c>
      <c r="G960" t="s">
        <v>1771</v>
      </c>
      <c r="H960" s="75" t="s">
        <v>6281</v>
      </c>
      <c r="I960" s="75" t="s">
        <v>367</v>
      </c>
      <c r="J960" t="s">
        <v>7070</v>
      </c>
      <c r="K960" s="75" t="s">
        <v>7695</v>
      </c>
      <c r="L960" s="75" t="s">
        <v>584</v>
      </c>
      <c r="M960" t="s">
        <v>7959</v>
      </c>
      <c r="N960" s="75" t="s">
        <v>6425</v>
      </c>
      <c r="O960" s="75" t="s">
        <v>5</v>
      </c>
      <c r="P960" t="s">
        <v>6616</v>
      </c>
      <c r="Q960" s="75" t="s">
        <v>6242</v>
      </c>
      <c r="R960" s="75" t="s">
        <v>676</v>
      </c>
      <c r="S960" t="s">
        <v>6904</v>
      </c>
      <c r="T960" s="75" t="s">
        <v>3371</v>
      </c>
      <c r="U960" s="75" t="s">
        <v>385</v>
      </c>
      <c r="V960" t="s">
        <v>3600</v>
      </c>
      <c r="W960" s="74" t="s">
        <v>7699</v>
      </c>
      <c r="X960" s="74" t="s">
        <v>386</v>
      </c>
      <c r="Y960" t="s">
        <v>7739</v>
      </c>
    </row>
    <row r="961" spans="2:25" x14ac:dyDescent="0.25">
      <c r="B961" s="75" t="s">
        <v>6770</v>
      </c>
      <c r="C961" s="75" t="s">
        <v>467</v>
      </c>
      <c r="D961" t="s">
        <v>6968</v>
      </c>
      <c r="E961" s="75" t="s">
        <v>1108</v>
      </c>
      <c r="F961" s="75" t="s">
        <v>380</v>
      </c>
      <c r="G961" t="s">
        <v>1695</v>
      </c>
      <c r="H961" s="75" t="s">
        <v>6262</v>
      </c>
      <c r="I961" s="75" t="s">
        <v>5708</v>
      </c>
      <c r="J961" t="s">
        <v>6705</v>
      </c>
      <c r="K961" s="75" t="s">
        <v>7416</v>
      </c>
      <c r="L961" s="75" t="s">
        <v>305</v>
      </c>
      <c r="M961" t="s">
        <v>7759</v>
      </c>
      <c r="N961" s="75" t="s">
        <v>6201</v>
      </c>
      <c r="O961" s="75" t="s">
        <v>5711</v>
      </c>
      <c r="P961" t="s">
        <v>6416</v>
      </c>
      <c r="Q961" s="75" t="s">
        <v>3774</v>
      </c>
      <c r="R961" s="75" t="s">
        <v>386</v>
      </c>
      <c r="S961" t="s">
        <v>6220</v>
      </c>
      <c r="T961" s="75" t="s">
        <v>2876</v>
      </c>
      <c r="U961" s="75" t="s">
        <v>2877</v>
      </c>
      <c r="V961" t="s">
        <v>3160</v>
      </c>
      <c r="W961" s="74" t="s">
        <v>6006</v>
      </c>
      <c r="X961" s="74" t="s">
        <v>617</v>
      </c>
      <c r="Y961" t="s">
        <v>7541</v>
      </c>
    </row>
    <row r="962" spans="2:25" x14ac:dyDescent="0.25">
      <c r="B962" s="75" t="s">
        <v>6775</v>
      </c>
      <c r="C962" s="75" t="s">
        <v>5708</v>
      </c>
      <c r="D962" t="s">
        <v>6831</v>
      </c>
      <c r="E962" s="75" t="s">
        <v>782</v>
      </c>
      <c r="F962" s="75" t="s">
        <v>603</v>
      </c>
      <c r="G962" t="s">
        <v>1681</v>
      </c>
      <c r="H962" s="75" t="s">
        <v>6262</v>
      </c>
      <c r="I962" s="75" t="s">
        <v>5708</v>
      </c>
      <c r="J962" t="s">
        <v>6705</v>
      </c>
      <c r="K962" s="75" t="s">
        <v>7568</v>
      </c>
      <c r="L962" s="75" t="s">
        <v>3042</v>
      </c>
      <c r="M962" t="s">
        <v>7724</v>
      </c>
      <c r="N962" s="75" t="s">
        <v>181</v>
      </c>
      <c r="O962" s="75" t="s">
        <v>491</v>
      </c>
      <c r="P962" t="s">
        <v>6377</v>
      </c>
      <c r="Q962" s="75" t="s">
        <v>5135</v>
      </c>
      <c r="R962" s="75" t="s">
        <v>380</v>
      </c>
      <c r="S962" t="s">
        <v>5414</v>
      </c>
      <c r="T962" s="75" t="s">
        <v>1849</v>
      </c>
      <c r="U962" s="75" t="s">
        <v>383</v>
      </c>
      <c r="V962" t="s">
        <v>2848</v>
      </c>
      <c r="W962" s="75" t="s">
        <v>6212</v>
      </c>
      <c r="X962" s="75" t="s">
        <v>942</v>
      </c>
      <c r="Y962" t="s">
        <v>6519</v>
      </c>
    </row>
    <row r="963" spans="2:25" x14ac:dyDescent="0.25">
      <c r="B963" s="74" t="s">
        <v>6370</v>
      </c>
      <c r="C963" s="74" t="s">
        <v>467</v>
      </c>
      <c r="D963" t="s">
        <v>6523</v>
      </c>
      <c r="E963" s="75" t="s">
        <v>1126</v>
      </c>
      <c r="F963" s="75" t="s">
        <v>942</v>
      </c>
      <c r="G963" t="s">
        <v>2275</v>
      </c>
      <c r="H963" s="75" t="s">
        <v>5808</v>
      </c>
      <c r="I963" s="75" t="s">
        <v>942</v>
      </c>
      <c r="J963" t="s">
        <v>6183</v>
      </c>
      <c r="K963" s="75" t="s">
        <v>7069</v>
      </c>
      <c r="L963" s="75" t="s">
        <v>617</v>
      </c>
      <c r="M963" t="s">
        <v>7460</v>
      </c>
      <c r="N963" s="75" t="s">
        <v>5873</v>
      </c>
      <c r="O963" s="75" t="s">
        <v>474</v>
      </c>
      <c r="P963" t="s">
        <v>6093</v>
      </c>
      <c r="Q963" s="75" t="s">
        <v>4581</v>
      </c>
      <c r="R963" s="75" t="s">
        <v>1376</v>
      </c>
      <c r="S963" t="s">
        <v>5327</v>
      </c>
      <c r="T963" s="75" t="s">
        <v>1765</v>
      </c>
      <c r="U963" s="75" t="s">
        <v>491</v>
      </c>
      <c r="V963" t="s">
        <v>2559</v>
      </c>
      <c r="W963" s="75" t="s">
        <v>5419</v>
      </c>
      <c r="X963" s="75" t="s">
        <v>1376</v>
      </c>
      <c r="Y963" t="s">
        <v>6480</v>
      </c>
    </row>
    <row r="964" spans="2:25" x14ac:dyDescent="0.25">
      <c r="B964" s="75" t="s">
        <v>6525</v>
      </c>
      <c r="C964" s="75" t="s">
        <v>4176</v>
      </c>
      <c r="D964" t="s">
        <v>6378</v>
      </c>
      <c r="E964" s="75" t="s">
        <v>690</v>
      </c>
      <c r="F964" s="75" t="s">
        <v>380</v>
      </c>
      <c r="G964" t="s">
        <v>1530</v>
      </c>
      <c r="H964" s="75" t="s">
        <v>4413</v>
      </c>
      <c r="I964" s="75" t="s">
        <v>475</v>
      </c>
      <c r="J964" t="s">
        <v>5759</v>
      </c>
      <c r="K964" s="75" t="s">
        <v>7247</v>
      </c>
      <c r="L964" s="75" t="s">
        <v>1369</v>
      </c>
      <c r="M964" t="s">
        <v>7335</v>
      </c>
      <c r="N964" s="75" t="s">
        <v>5535</v>
      </c>
      <c r="O964" s="75" t="s">
        <v>5708</v>
      </c>
      <c r="P964" t="s">
        <v>6076</v>
      </c>
      <c r="Q964" s="75" t="s">
        <v>206</v>
      </c>
      <c r="R964" s="75" t="s">
        <v>380</v>
      </c>
      <c r="S964" t="s">
        <v>4679</v>
      </c>
      <c r="T964" s="75" t="s">
        <v>1320</v>
      </c>
      <c r="U964" s="75" t="s">
        <v>383</v>
      </c>
      <c r="V964" t="s">
        <v>1782</v>
      </c>
      <c r="W964" s="75" t="s">
        <v>5474</v>
      </c>
      <c r="X964" s="75" t="s">
        <v>385</v>
      </c>
      <c r="Y964" t="s">
        <v>6219</v>
      </c>
    </row>
    <row r="965" spans="2:25" x14ac:dyDescent="0.25">
      <c r="B965" s="75" t="s">
        <v>5735</v>
      </c>
      <c r="C965" s="75" t="s">
        <v>367</v>
      </c>
      <c r="D965" t="s">
        <v>6282</v>
      </c>
      <c r="E965" s="75" t="s">
        <v>752</v>
      </c>
      <c r="F965" s="75" t="s">
        <v>520</v>
      </c>
      <c r="G965" t="s">
        <v>1539</v>
      </c>
      <c r="H965" s="75" t="s">
        <v>2517</v>
      </c>
      <c r="I965" s="75" t="s">
        <v>386</v>
      </c>
      <c r="J965" t="s">
        <v>5649</v>
      </c>
      <c r="K965" s="75" t="s">
        <v>6950</v>
      </c>
      <c r="L965" s="75" t="s">
        <v>386</v>
      </c>
      <c r="M965" t="s">
        <v>7015</v>
      </c>
      <c r="N965" s="75" t="s">
        <v>6449</v>
      </c>
      <c r="O965" s="75" t="s">
        <v>1376</v>
      </c>
      <c r="P965" t="s">
        <v>5398</v>
      </c>
      <c r="Q965" s="75" t="s">
        <v>703</v>
      </c>
      <c r="R965" s="75" t="s">
        <v>338</v>
      </c>
      <c r="S965" t="s">
        <v>2682</v>
      </c>
      <c r="T965" s="75" t="s">
        <v>903</v>
      </c>
      <c r="U965" s="75" t="s">
        <v>385</v>
      </c>
      <c r="V965" t="s">
        <v>2209</v>
      </c>
      <c r="W965" s="75" t="s">
        <v>5257</v>
      </c>
      <c r="X965" s="75" t="s">
        <v>1376</v>
      </c>
      <c r="Y965" t="s">
        <v>5281</v>
      </c>
    </row>
    <row r="966" spans="2:25" x14ac:dyDescent="0.25">
      <c r="B966" s="75" t="s">
        <v>5555</v>
      </c>
      <c r="C966" s="75" t="s">
        <v>942</v>
      </c>
      <c r="D966" t="s">
        <v>5807</v>
      </c>
      <c r="E966" s="75" t="s">
        <v>944</v>
      </c>
      <c r="F966" s="75" t="s">
        <v>451</v>
      </c>
      <c r="G966" t="s">
        <v>2276</v>
      </c>
      <c r="H966" s="75" t="s">
        <v>200</v>
      </c>
      <c r="I966" s="75" t="s">
        <v>4176</v>
      </c>
      <c r="J966" t="s">
        <v>5448</v>
      </c>
      <c r="K966" s="75" t="s">
        <v>5523</v>
      </c>
      <c r="L966" s="75" t="s">
        <v>467</v>
      </c>
      <c r="M966" t="s">
        <v>6049</v>
      </c>
      <c r="N966" s="75" t="s">
        <v>4573</v>
      </c>
      <c r="O966" s="75" t="s">
        <v>560</v>
      </c>
      <c r="P966" t="s">
        <v>5291</v>
      </c>
      <c r="Q966" s="75" t="s">
        <v>1195</v>
      </c>
      <c r="R966" s="75" t="s">
        <v>303</v>
      </c>
      <c r="S966" t="s">
        <v>1527</v>
      </c>
      <c r="T966" s="75" t="s">
        <v>838</v>
      </c>
      <c r="U966" s="75" t="s">
        <v>527</v>
      </c>
      <c r="V966" t="s">
        <v>2210</v>
      </c>
      <c r="W966" s="75" t="s">
        <v>1051</v>
      </c>
      <c r="X966" s="75" t="s">
        <v>451</v>
      </c>
      <c r="Y966" t="s">
        <v>2207</v>
      </c>
    </row>
    <row r="967" spans="2:25" x14ac:dyDescent="0.25">
      <c r="B967" s="75" t="s">
        <v>5557</v>
      </c>
      <c r="C967" s="75" t="s">
        <v>584</v>
      </c>
      <c r="D967" t="s">
        <v>5797</v>
      </c>
      <c r="E967" s="75" t="s">
        <v>855</v>
      </c>
      <c r="F967" s="75" t="s">
        <v>561</v>
      </c>
      <c r="G967" t="s">
        <v>2277</v>
      </c>
      <c r="H967" s="75" t="s">
        <v>4063</v>
      </c>
      <c r="I967" s="75" t="s">
        <v>386</v>
      </c>
      <c r="J967" t="s">
        <v>5461</v>
      </c>
      <c r="K967" s="75" t="s">
        <v>5522</v>
      </c>
      <c r="L967" s="75" t="s">
        <v>4176</v>
      </c>
      <c r="M967" t="s">
        <v>5962</v>
      </c>
      <c r="N967" s="75" t="s">
        <v>4289</v>
      </c>
      <c r="O967" s="75" t="s">
        <v>384</v>
      </c>
      <c r="P967" t="s">
        <v>4495</v>
      </c>
      <c r="Q967" s="75" t="s">
        <v>1635</v>
      </c>
      <c r="R967" s="75" t="s">
        <v>339</v>
      </c>
      <c r="S967" t="s">
        <v>2218</v>
      </c>
      <c r="T967" s="75" t="s">
        <v>253</v>
      </c>
      <c r="U967" s="75" t="s">
        <v>942</v>
      </c>
      <c r="V967" t="s">
        <v>2211</v>
      </c>
      <c r="W967" s="75" t="s">
        <v>733</v>
      </c>
      <c r="X967" s="75" t="s">
        <v>304</v>
      </c>
      <c r="Y967" t="s">
        <v>1536</v>
      </c>
    </row>
    <row r="968" spans="2:25" x14ac:dyDescent="0.25">
      <c r="B968" s="75" t="s">
        <v>5252</v>
      </c>
      <c r="C968" s="75" t="s">
        <v>80</v>
      </c>
      <c r="D968" t="s">
        <v>5524</v>
      </c>
      <c r="E968" s="75" t="s">
        <v>627</v>
      </c>
      <c r="F968" s="75" t="s">
        <v>368</v>
      </c>
      <c r="G968" t="s">
        <v>2471</v>
      </c>
      <c r="H968" s="75" t="s">
        <v>4443</v>
      </c>
      <c r="I968" s="75" t="s">
        <v>380</v>
      </c>
      <c r="J968" t="s">
        <v>5131</v>
      </c>
      <c r="K968" s="74" t="s">
        <v>1887</v>
      </c>
      <c r="L968" s="74" t="s">
        <v>5570</v>
      </c>
      <c r="M968" t="s">
        <v>5600</v>
      </c>
      <c r="N968" s="75" t="s">
        <v>3755</v>
      </c>
      <c r="O968" s="75" t="s">
        <v>1692</v>
      </c>
      <c r="P968" t="s">
        <v>4207</v>
      </c>
      <c r="Q968" s="75" t="s">
        <v>1329</v>
      </c>
      <c r="R968" s="75" t="s">
        <v>338</v>
      </c>
      <c r="S968" t="s">
        <v>2219</v>
      </c>
      <c r="T968" s="75" t="s">
        <v>1055</v>
      </c>
      <c r="U968" s="75" t="s">
        <v>451</v>
      </c>
      <c r="V968" t="s">
        <v>2212</v>
      </c>
      <c r="W968" s="75" t="s">
        <v>688</v>
      </c>
      <c r="X968" s="75" t="s">
        <v>496</v>
      </c>
      <c r="Y968" t="s">
        <v>2208</v>
      </c>
    </row>
    <row r="969" spans="2:25" x14ac:dyDescent="0.25">
      <c r="B969" s="75" t="s">
        <v>5284</v>
      </c>
      <c r="C969" s="75" t="s">
        <v>942</v>
      </c>
      <c r="D969" t="s">
        <v>5401</v>
      </c>
      <c r="E969" s="75" t="s">
        <v>572</v>
      </c>
      <c r="F969" s="75" t="s">
        <v>942</v>
      </c>
      <c r="G969" t="s">
        <v>2278</v>
      </c>
      <c r="H969" s="75" t="s">
        <v>2964</v>
      </c>
      <c r="I969" s="75" t="s">
        <v>451</v>
      </c>
      <c r="J969" t="s">
        <v>5245</v>
      </c>
      <c r="K969" s="74" t="s">
        <v>846</v>
      </c>
      <c r="L969" s="74" t="s">
        <v>475</v>
      </c>
      <c r="M969" t="s">
        <v>5280</v>
      </c>
      <c r="N969" s="75" t="s">
        <v>3897</v>
      </c>
      <c r="O969" s="75" t="s">
        <v>3896</v>
      </c>
      <c r="P969" t="s">
        <v>4156</v>
      </c>
      <c r="Q969" s="75" t="s">
        <v>207</v>
      </c>
      <c r="R969" s="75" t="s">
        <v>468</v>
      </c>
      <c r="S969" t="s">
        <v>3279</v>
      </c>
      <c r="T969" s="75" t="s">
        <v>1086</v>
      </c>
      <c r="U969" s="75" t="s">
        <v>1537</v>
      </c>
      <c r="V969" t="s">
        <v>2213</v>
      </c>
      <c r="W969" s="75" t="s">
        <v>1278</v>
      </c>
      <c r="X969" s="75" t="s">
        <v>474</v>
      </c>
      <c r="Y969" t="s">
        <v>1538</v>
      </c>
    </row>
    <row r="970" spans="2:25" x14ac:dyDescent="0.25">
      <c r="B970" s="75" t="s">
        <v>4800</v>
      </c>
      <c r="C970" s="75" t="s">
        <v>305</v>
      </c>
      <c r="D970" t="s">
        <v>5132</v>
      </c>
      <c r="E970" s="75" t="s">
        <v>695</v>
      </c>
      <c r="F970" s="75" t="s">
        <v>547</v>
      </c>
      <c r="G970" t="s">
        <v>2279</v>
      </c>
      <c r="H970" s="75" t="s">
        <v>266</v>
      </c>
      <c r="I970" s="75" t="s">
        <v>469</v>
      </c>
      <c r="J970" t="s">
        <v>4492</v>
      </c>
      <c r="K970" s="75" t="s">
        <v>3875</v>
      </c>
      <c r="L970" s="75" t="s">
        <v>4176</v>
      </c>
      <c r="M970" t="s">
        <v>4666</v>
      </c>
      <c r="N970" s="75" t="s">
        <v>3831</v>
      </c>
      <c r="O970" s="75" t="s">
        <v>475</v>
      </c>
      <c r="P970" t="s">
        <v>4123</v>
      </c>
      <c r="Q970" s="75" t="s">
        <v>3244</v>
      </c>
      <c r="R970" s="75" t="s">
        <v>385</v>
      </c>
      <c r="S970" t="s">
        <v>3370</v>
      </c>
      <c r="T970" s="75" t="s">
        <v>1116</v>
      </c>
      <c r="U970" s="75" t="s">
        <v>942</v>
      </c>
      <c r="V970" t="s">
        <v>2214</v>
      </c>
      <c r="W970" s="75" t="s">
        <v>2500</v>
      </c>
      <c r="X970" s="75" t="s">
        <v>2488</v>
      </c>
      <c r="Y970" t="s">
        <v>2915</v>
      </c>
    </row>
    <row r="971" spans="2:25" x14ac:dyDescent="0.25">
      <c r="B971" s="75" t="s">
        <v>4559</v>
      </c>
      <c r="C971" s="75" t="s">
        <v>4375</v>
      </c>
      <c r="D971" t="s">
        <v>4719</v>
      </c>
      <c r="E971" s="75" t="s">
        <v>1034</v>
      </c>
      <c r="F971" s="75" t="s">
        <v>476</v>
      </c>
      <c r="G971" t="s">
        <v>2280</v>
      </c>
      <c r="H971" s="75" t="s">
        <v>186</v>
      </c>
      <c r="I971" s="75" t="s">
        <v>942</v>
      </c>
      <c r="J971" t="s">
        <v>4461</v>
      </c>
      <c r="K971" s="75" t="s">
        <v>4237</v>
      </c>
      <c r="L971" s="75" t="s">
        <v>625</v>
      </c>
      <c r="M971" t="s">
        <v>4470</v>
      </c>
      <c r="N971" s="75" t="s">
        <v>249</v>
      </c>
      <c r="O971" s="75" t="s">
        <v>3042</v>
      </c>
      <c r="P971" t="s">
        <v>3945</v>
      </c>
      <c r="Q971" s="75" t="s">
        <v>3674</v>
      </c>
      <c r="R971" s="75" t="s">
        <v>472</v>
      </c>
      <c r="S971" t="s">
        <v>4639</v>
      </c>
      <c r="T971" s="75" t="s">
        <v>814</v>
      </c>
      <c r="U971" s="75" t="s">
        <v>511</v>
      </c>
      <c r="V971" t="s">
        <v>2215</v>
      </c>
      <c r="W971" s="75" t="s">
        <v>2770</v>
      </c>
      <c r="X971" s="75" t="s">
        <v>521</v>
      </c>
      <c r="Y971" t="s">
        <v>3094</v>
      </c>
    </row>
    <row r="972" spans="2:25" x14ac:dyDescent="0.25">
      <c r="B972" s="75" t="s">
        <v>4574</v>
      </c>
      <c r="C972" s="75" t="s">
        <v>625</v>
      </c>
      <c r="D972" t="s">
        <v>4677</v>
      </c>
      <c r="E972" s="75" t="s">
        <v>1252</v>
      </c>
      <c r="F972" s="75" t="s">
        <v>475</v>
      </c>
      <c r="G972" t="s">
        <v>1628</v>
      </c>
      <c r="H972" s="75" t="s">
        <v>3383</v>
      </c>
      <c r="I972" s="75" t="s">
        <v>3863</v>
      </c>
      <c r="J972" t="s">
        <v>4259</v>
      </c>
      <c r="K972" s="75" t="s">
        <v>4246</v>
      </c>
      <c r="L972" s="75" t="s">
        <v>467</v>
      </c>
      <c r="M972" t="s">
        <v>4334</v>
      </c>
      <c r="N972" s="75" t="s">
        <v>2586</v>
      </c>
      <c r="O972" s="75" t="s">
        <v>2610</v>
      </c>
      <c r="P972" t="s">
        <v>2632</v>
      </c>
      <c r="Q972" s="75" t="s">
        <v>3930</v>
      </c>
      <c r="R972" s="75" t="s">
        <v>625</v>
      </c>
      <c r="S972" t="s">
        <v>4223</v>
      </c>
      <c r="T972" s="75" t="s">
        <v>187</v>
      </c>
      <c r="U972" s="75" t="s">
        <v>942</v>
      </c>
      <c r="V972" t="s">
        <v>1529</v>
      </c>
      <c r="W972" s="75" t="s">
        <v>2912</v>
      </c>
      <c r="X972" s="75" t="s">
        <v>384</v>
      </c>
      <c r="Y972" t="s">
        <v>3223</v>
      </c>
    </row>
    <row r="973" spans="2:25" x14ac:dyDescent="0.25">
      <c r="B973" s="75" t="s">
        <v>4185</v>
      </c>
      <c r="C973" s="75" t="s">
        <v>380</v>
      </c>
      <c r="D973" t="s">
        <v>4605</v>
      </c>
      <c r="E973" s="75" t="s">
        <v>752</v>
      </c>
      <c r="F973" s="75" t="s">
        <v>1692</v>
      </c>
      <c r="G973" t="s">
        <v>2644</v>
      </c>
      <c r="H973" s="75" t="s">
        <v>213</v>
      </c>
      <c r="I973" s="75" t="s">
        <v>467</v>
      </c>
      <c r="J973" t="s">
        <v>3976</v>
      </c>
      <c r="K973" s="75" t="s">
        <v>925</v>
      </c>
      <c r="L973" s="75" t="s">
        <v>305</v>
      </c>
      <c r="M973" t="s">
        <v>4221</v>
      </c>
      <c r="N973" s="75" t="s">
        <v>3397</v>
      </c>
      <c r="O973" s="75" t="s">
        <v>386</v>
      </c>
      <c r="P973" t="s">
        <v>3889</v>
      </c>
      <c r="Q973" s="75" t="s">
        <v>3849</v>
      </c>
      <c r="R973" s="75" t="s">
        <v>3864</v>
      </c>
      <c r="S973" t="s">
        <v>4412</v>
      </c>
      <c r="T973" s="75" t="s">
        <v>1236</v>
      </c>
      <c r="U973" s="75" t="s">
        <v>303</v>
      </c>
      <c r="V973" t="s">
        <v>2216</v>
      </c>
      <c r="W973" s="75" t="s">
        <v>215</v>
      </c>
      <c r="X973" s="75" t="s">
        <v>472</v>
      </c>
      <c r="Y973" t="s">
        <v>3320</v>
      </c>
    </row>
    <row r="974" spans="2:25" x14ac:dyDescent="0.25">
      <c r="B974" s="75" t="s">
        <v>4124</v>
      </c>
      <c r="C974" s="75" t="s">
        <v>475</v>
      </c>
      <c r="D974" t="s">
        <v>4414</v>
      </c>
      <c r="E974" s="75" t="s">
        <v>1916</v>
      </c>
      <c r="F974" s="75" t="s">
        <v>5</v>
      </c>
      <c r="G974" t="s">
        <v>2732</v>
      </c>
      <c r="H974" s="75" t="s">
        <v>1126</v>
      </c>
      <c r="I974" s="75" t="s">
        <v>942</v>
      </c>
      <c r="J974" t="s">
        <v>3750</v>
      </c>
      <c r="K974" s="75" t="s">
        <v>4165</v>
      </c>
      <c r="L974" s="75" t="s">
        <v>472</v>
      </c>
      <c r="M974" t="s">
        <v>4197</v>
      </c>
      <c r="N974" s="75" t="s">
        <v>1735</v>
      </c>
      <c r="O974" s="75" t="s">
        <v>942</v>
      </c>
      <c r="P974" t="s">
        <v>3483</v>
      </c>
      <c r="Q974" s="75" t="s">
        <v>4378</v>
      </c>
      <c r="R974" s="75" t="s">
        <v>4133</v>
      </c>
      <c r="S974" t="s">
        <v>4456</v>
      </c>
      <c r="T974" s="75" t="s">
        <v>1086</v>
      </c>
      <c r="U974" s="75" t="s">
        <v>367</v>
      </c>
      <c r="V974" t="s">
        <v>2217</v>
      </c>
      <c r="W974" s="75" t="s">
        <v>3777</v>
      </c>
      <c r="X974" s="75" t="s">
        <v>368</v>
      </c>
      <c r="Y974" t="s">
        <v>3776</v>
      </c>
    </row>
    <row r="975" spans="2:25" x14ac:dyDescent="0.25">
      <c r="B975" s="75" t="s">
        <v>3922</v>
      </c>
      <c r="C975" s="75" t="s">
        <v>386</v>
      </c>
      <c r="D975" t="s">
        <v>4064</v>
      </c>
      <c r="E975" s="75" t="s">
        <v>2517</v>
      </c>
      <c r="F975" s="75" t="s">
        <v>560</v>
      </c>
      <c r="G975" t="s">
        <v>2758</v>
      </c>
      <c r="H975" s="75" t="s">
        <v>2514</v>
      </c>
      <c r="I975" s="75" t="s">
        <v>368</v>
      </c>
      <c r="J975" t="s">
        <v>3358</v>
      </c>
      <c r="K975" s="75" t="s">
        <v>3171</v>
      </c>
      <c r="L975" s="75" t="s">
        <v>383</v>
      </c>
      <c r="M975" t="s">
        <v>3481</v>
      </c>
      <c r="N975" s="75" t="s">
        <v>1036</v>
      </c>
      <c r="O975" s="75" t="s">
        <v>476</v>
      </c>
      <c r="P975" t="s">
        <v>2562</v>
      </c>
      <c r="Q975" s="75" t="s">
        <v>4438</v>
      </c>
      <c r="R975" s="75" t="s">
        <v>583</v>
      </c>
      <c r="S975" t="s">
        <v>4554</v>
      </c>
      <c r="T975" s="75" t="s">
        <v>1251</v>
      </c>
      <c r="U975" s="75" t="s">
        <v>472</v>
      </c>
      <c r="V975" t="s">
        <v>1697</v>
      </c>
      <c r="W975" s="75" t="s">
        <v>3428</v>
      </c>
      <c r="X975" s="75" t="s">
        <v>368</v>
      </c>
      <c r="Y975" t="s">
        <v>3531</v>
      </c>
    </row>
    <row r="976" spans="2:25" x14ac:dyDescent="0.25">
      <c r="B976" s="75" t="s">
        <v>3656</v>
      </c>
      <c r="C976" s="75" t="s">
        <v>942</v>
      </c>
      <c r="D976" t="s">
        <v>3792</v>
      </c>
      <c r="E976" s="75" t="s">
        <v>1917</v>
      </c>
      <c r="F976" s="75" t="s">
        <v>467</v>
      </c>
      <c r="G976" t="s">
        <v>2801</v>
      </c>
      <c r="H976" s="75" t="s">
        <v>1873</v>
      </c>
      <c r="I976" s="75" t="s">
        <v>658</v>
      </c>
      <c r="J976" t="s">
        <v>3089</v>
      </c>
      <c r="K976" s="75" t="s">
        <v>1544</v>
      </c>
      <c r="L976" s="75" t="s">
        <v>491</v>
      </c>
      <c r="M976" t="s">
        <v>3377</v>
      </c>
      <c r="N976" s="75" t="s">
        <v>1124</v>
      </c>
      <c r="O976" s="75" t="s">
        <v>467</v>
      </c>
      <c r="P976" t="s">
        <v>1876</v>
      </c>
      <c r="Q976" s="75" t="s">
        <v>3409</v>
      </c>
      <c r="R976" s="75" t="s">
        <v>306</v>
      </c>
      <c r="S976" t="s">
        <v>4878</v>
      </c>
      <c r="T976" s="75" t="s">
        <v>1725</v>
      </c>
      <c r="U976" s="75" t="s">
        <v>475</v>
      </c>
      <c r="V976" t="s">
        <v>1827</v>
      </c>
      <c r="W976" s="75" t="s">
        <v>733</v>
      </c>
      <c r="X976" s="75" t="s">
        <v>367</v>
      </c>
      <c r="Y976" t="s">
        <v>3530</v>
      </c>
    </row>
    <row r="977" spans="2:25" x14ac:dyDescent="0.25">
      <c r="B977" s="75" t="s">
        <v>256</v>
      </c>
      <c r="C977" s="75" t="s">
        <v>1533</v>
      </c>
      <c r="D977" t="s">
        <v>3629</v>
      </c>
      <c r="E977" s="75" t="s">
        <v>2514</v>
      </c>
      <c r="F977" s="75" t="s">
        <v>368</v>
      </c>
      <c r="G977" t="s">
        <v>3146</v>
      </c>
      <c r="H977" s="75" t="s">
        <v>1916</v>
      </c>
      <c r="I977" s="75" t="s">
        <v>5</v>
      </c>
      <c r="J977" t="s">
        <v>2785</v>
      </c>
      <c r="K977" s="75" t="s">
        <v>2982</v>
      </c>
      <c r="L977" s="75" t="s">
        <v>383</v>
      </c>
      <c r="M977" t="s">
        <v>3482</v>
      </c>
      <c r="N977" s="75" t="s">
        <v>637</v>
      </c>
      <c r="O977" s="75" t="s">
        <v>386</v>
      </c>
      <c r="P977" t="s">
        <v>1532</v>
      </c>
      <c r="Q977" s="75" t="s">
        <v>5335</v>
      </c>
      <c r="R977" s="75" t="s">
        <v>3042</v>
      </c>
      <c r="S977" t="s">
        <v>5343</v>
      </c>
      <c r="T977" s="75" t="s">
        <v>1707</v>
      </c>
      <c r="U977" s="75" t="s">
        <v>1455</v>
      </c>
      <c r="V977" t="s">
        <v>1828</v>
      </c>
      <c r="W977" s="75" t="s">
        <v>687</v>
      </c>
      <c r="X977" s="75" t="s">
        <v>338</v>
      </c>
      <c r="Y977" t="s">
        <v>3724</v>
      </c>
    </row>
    <row r="978" spans="2:25" x14ac:dyDescent="0.25">
      <c r="B978" s="75" t="s">
        <v>260</v>
      </c>
      <c r="C978" s="75" t="s">
        <v>469</v>
      </c>
      <c r="D978" t="s">
        <v>3528</v>
      </c>
      <c r="E978" s="75" t="s">
        <v>1126</v>
      </c>
      <c r="F978" s="75" t="s">
        <v>942</v>
      </c>
      <c r="G978" t="s">
        <v>3480</v>
      </c>
      <c r="H978" s="75" t="s">
        <v>752</v>
      </c>
      <c r="I978" s="75" t="s">
        <v>1692</v>
      </c>
      <c r="J978" t="s">
        <v>2772</v>
      </c>
      <c r="K978" s="75" t="s">
        <v>1749</v>
      </c>
      <c r="L978" s="75" t="s">
        <v>383</v>
      </c>
      <c r="M978" t="s">
        <v>2731</v>
      </c>
      <c r="N978" s="75" t="s">
        <v>984</v>
      </c>
      <c r="O978" s="75" t="s">
        <v>384</v>
      </c>
      <c r="P978" t="s">
        <v>1534</v>
      </c>
      <c r="Q978" s="75" t="s">
        <v>7561</v>
      </c>
      <c r="R978" s="216" t="s">
        <v>380</v>
      </c>
      <c r="S978" t="s">
        <v>9211</v>
      </c>
      <c r="T978" s="75" t="s">
        <v>1203</v>
      </c>
      <c r="U978" s="75" t="s">
        <v>474</v>
      </c>
      <c r="V978" t="s">
        <v>2489</v>
      </c>
      <c r="W978" s="75" t="s">
        <v>2741</v>
      </c>
      <c r="X978" s="75" t="s">
        <v>3807</v>
      </c>
      <c r="Y978" t="s">
        <v>3846</v>
      </c>
    </row>
    <row r="979" spans="2:25" x14ac:dyDescent="0.25">
      <c r="B979" s="75" t="s">
        <v>2846</v>
      </c>
      <c r="C979" s="75" t="s">
        <v>477</v>
      </c>
      <c r="D979" t="s">
        <v>3184</v>
      </c>
      <c r="E979" s="75" t="s">
        <v>3420</v>
      </c>
      <c r="F979" s="75" t="s">
        <v>1376</v>
      </c>
      <c r="G979" t="s">
        <v>3830</v>
      </c>
      <c r="H979" s="75" t="s">
        <v>689</v>
      </c>
      <c r="I979" s="75" t="s">
        <v>386</v>
      </c>
      <c r="J979" t="s">
        <v>2563</v>
      </c>
      <c r="K979" s="75" t="s">
        <v>1037</v>
      </c>
      <c r="L979" s="75" t="s">
        <v>527</v>
      </c>
      <c r="M979" t="s">
        <v>1894</v>
      </c>
      <c r="N979" s="75" t="s">
        <v>449</v>
      </c>
      <c r="O979" s="75" t="s">
        <v>520</v>
      </c>
      <c r="P979" t="s">
        <v>2220</v>
      </c>
      <c r="Q979" s="75" t="s">
        <v>9447</v>
      </c>
      <c r="R979" s="75" t="s">
        <v>305</v>
      </c>
      <c r="S979" t="s">
        <v>9944</v>
      </c>
      <c r="T979" s="75" t="s">
        <v>2491</v>
      </c>
      <c r="U979" s="75" t="s">
        <v>472</v>
      </c>
      <c r="V979" t="s">
        <v>2737</v>
      </c>
      <c r="W979" s="75" t="s">
        <v>3657</v>
      </c>
      <c r="X979" s="75" t="s">
        <v>1376</v>
      </c>
      <c r="Y979" t="s">
        <v>3858</v>
      </c>
    </row>
    <row r="980" spans="2:25" x14ac:dyDescent="0.25">
      <c r="B980" s="75" t="s">
        <v>667</v>
      </c>
      <c r="C980" s="75" t="s">
        <v>386</v>
      </c>
      <c r="D980" t="s">
        <v>1526</v>
      </c>
      <c r="E980" s="75" t="s">
        <v>293</v>
      </c>
      <c r="F980" s="75" t="s">
        <v>477</v>
      </c>
      <c r="G980" t="s">
        <v>3550</v>
      </c>
      <c r="H980" s="75" t="s">
        <v>782</v>
      </c>
      <c r="I980" s="75" t="s">
        <v>603</v>
      </c>
      <c r="J980" t="s">
        <v>2453</v>
      </c>
      <c r="K980" s="75" t="s">
        <v>1198</v>
      </c>
      <c r="L980" s="75" t="s">
        <v>942</v>
      </c>
      <c r="M980" t="s">
        <v>2239</v>
      </c>
      <c r="N980" s="75" t="s">
        <v>1033</v>
      </c>
      <c r="O980" s="75" t="s">
        <v>338</v>
      </c>
      <c r="P980" t="s">
        <v>2221</v>
      </c>
      <c r="Q980" s="75" t="s">
        <v>10759</v>
      </c>
      <c r="R980" s="75" t="s">
        <v>6925</v>
      </c>
      <c r="S980" t="s">
        <v>10849</v>
      </c>
      <c r="T980" s="75" t="s">
        <v>2817</v>
      </c>
      <c r="U980" s="75" t="s">
        <v>472</v>
      </c>
      <c r="V980" t="s">
        <v>3065</v>
      </c>
      <c r="W980" s="75" t="s">
        <v>2487</v>
      </c>
      <c r="X980" s="75" t="s">
        <v>468</v>
      </c>
      <c r="Y980" t="s">
        <v>4008</v>
      </c>
    </row>
    <row r="981" spans="2:25" x14ac:dyDescent="0.25">
      <c r="B981" s="75" t="s">
        <v>937</v>
      </c>
      <c r="C981" s="75" t="s">
        <v>474</v>
      </c>
      <c r="D981" t="s">
        <v>2281</v>
      </c>
      <c r="E981" s="75" t="s">
        <v>3418</v>
      </c>
      <c r="F981" s="75" t="s">
        <v>942</v>
      </c>
      <c r="G981" t="s">
        <v>3742</v>
      </c>
      <c r="H981" s="75" t="s">
        <v>572</v>
      </c>
      <c r="I981" s="75" t="s">
        <v>942</v>
      </c>
      <c r="J981" t="s">
        <v>2266</v>
      </c>
      <c r="K981" s="75" t="s">
        <v>841</v>
      </c>
      <c r="L981" s="75" t="s">
        <v>338</v>
      </c>
      <c r="M981" t="s">
        <v>2240</v>
      </c>
      <c r="N981" s="75" t="s">
        <v>1032</v>
      </c>
      <c r="O981" s="75" t="s">
        <v>303</v>
      </c>
      <c r="P981" t="s">
        <v>2222</v>
      </c>
      <c r="Q981" s="75" t="s">
        <v>10886</v>
      </c>
      <c r="R981" s="75" t="s">
        <v>577</v>
      </c>
      <c r="S981" t="s">
        <v>10887</v>
      </c>
      <c r="T981" s="75" t="s">
        <v>2543</v>
      </c>
      <c r="U981" s="75" t="s">
        <v>339</v>
      </c>
      <c r="V981" t="s">
        <v>3066</v>
      </c>
      <c r="W981" s="75" t="s">
        <v>4564</v>
      </c>
      <c r="X981" s="75" t="s">
        <v>648</v>
      </c>
      <c r="Y981" t="s">
        <v>4624</v>
      </c>
    </row>
    <row r="982" spans="2:25" x14ac:dyDescent="0.25">
      <c r="B982" s="75" t="s">
        <v>694</v>
      </c>
      <c r="C982" s="75" t="s">
        <v>476</v>
      </c>
      <c r="D982" t="s">
        <v>2282</v>
      </c>
      <c r="E982" s="75" t="s">
        <v>266</v>
      </c>
      <c r="F982" s="75" t="s">
        <v>469</v>
      </c>
      <c r="G982" t="s">
        <v>4159</v>
      </c>
      <c r="H982" s="75" t="s">
        <v>695</v>
      </c>
      <c r="I982" s="75" t="s">
        <v>547</v>
      </c>
      <c r="J982" t="s">
        <v>2267</v>
      </c>
      <c r="K982" s="75" t="s">
        <v>781</v>
      </c>
      <c r="L982" s="75" t="s">
        <v>521</v>
      </c>
      <c r="M982" t="s">
        <v>2241</v>
      </c>
      <c r="N982" s="75" t="s">
        <v>1026</v>
      </c>
      <c r="O982" s="75" t="s">
        <v>475</v>
      </c>
      <c r="P982" t="s">
        <v>1554</v>
      </c>
      <c r="Q982" s="75" t="s">
        <v>10757</v>
      </c>
      <c r="R982" s="75" t="s">
        <v>10087</v>
      </c>
      <c r="S982" t="s">
        <v>10952</v>
      </c>
      <c r="T982" s="75" t="s">
        <v>2845</v>
      </c>
      <c r="U982" s="75" t="s">
        <v>385</v>
      </c>
      <c r="V982" t="s">
        <v>3132</v>
      </c>
      <c r="W982" s="75" t="s">
        <v>5419</v>
      </c>
      <c r="X982" s="75" t="s">
        <v>1376</v>
      </c>
      <c r="Y982" t="s">
        <v>5546</v>
      </c>
    </row>
    <row r="983" spans="2:25" x14ac:dyDescent="0.25">
      <c r="B983" s="75" t="s">
        <v>601</v>
      </c>
      <c r="C983" s="75" t="s">
        <v>368</v>
      </c>
      <c r="D983" t="s">
        <v>2283</v>
      </c>
      <c r="E983" s="75" t="s">
        <v>4291</v>
      </c>
      <c r="F983" s="75" t="s">
        <v>560</v>
      </c>
      <c r="G983" t="s">
        <v>4499</v>
      </c>
      <c r="H983" s="75" t="s">
        <v>1034</v>
      </c>
      <c r="I983" s="75" t="s">
        <v>476</v>
      </c>
      <c r="J983" t="s">
        <v>2268</v>
      </c>
      <c r="K983" s="75" t="s">
        <v>811</v>
      </c>
      <c r="L983" s="75" t="s">
        <v>385</v>
      </c>
      <c r="M983" t="s">
        <v>2242</v>
      </c>
      <c r="N983" s="75" t="s">
        <v>283</v>
      </c>
      <c r="O983" s="75" t="s">
        <v>383</v>
      </c>
      <c r="P983" t="s">
        <v>2223</v>
      </c>
      <c r="Q983" s="75" t="s">
        <v>10830</v>
      </c>
      <c r="R983" s="75" t="s">
        <v>583</v>
      </c>
      <c r="S983" t="s">
        <v>11015</v>
      </c>
      <c r="T983" s="74" t="s">
        <v>2587</v>
      </c>
      <c r="U983" s="74" t="s">
        <v>3369</v>
      </c>
      <c r="V983" t="s">
        <v>3404</v>
      </c>
      <c r="W983" s="75" t="s">
        <v>5537</v>
      </c>
      <c r="X983" s="75" t="s">
        <v>368</v>
      </c>
      <c r="Y983" t="s">
        <v>6005</v>
      </c>
    </row>
    <row r="984" spans="2:25" x14ac:dyDescent="0.25">
      <c r="B984" s="75" t="s">
        <v>823</v>
      </c>
      <c r="C984" s="75" t="s">
        <v>561</v>
      </c>
      <c r="D984" t="s">
        <v>2284</v>
      </c>
      <c r="E984" s="75" t="s">
        <v>2964</v>
      </c>
      <c r="F984" s="75" t="s">
        <v>451</v>
      </c>
      <c r="G984" t="s">
        <v>4612</v>
      </c>
      <c r="H984" s="75" t="s">
        <v>1126</v>
      </c>
      <c r="I984" s="75" t="s">
        <v>942</v>
      </c>
      <c r="J984" t="s">
        <v>2269</v>
      </c>
      <c r="K984" s="75" t="s">
        <v>847</v>
      </c>
      <c r="L984" s="75" t="s">
        <v>303</v>
      </c>
      <c r="M984" t="s">
        <v>2243</v>
      </c>
      <c r="N984" s="75" t="s">
        <v>557</v>
      </c>
      <c r="O984" s="75" t="s">
        <v>367</v>
      </c>
      <c r="P984" t="s">
        <v>2224</v>
      </c>
      <c r="Q984" s="75" t="s">
        <v>10875</v>
      </c>
      <c r="R984" s="75" t="s">
        <v>577</v>
      </c>
      <c r="S984" t="s">
        <v>11024</v>
      </c>
      <c r="T984" s="75" t="s">
        <v>3328</v>
      </c>
      <c r="U984" s="75" t="s">
        <v>5</v>
      </c>
      <c r="V984" t="s">
        <v>3718</v>
      </c>
      <c r="W984" s="75" t="s">
        <v>5894</v>
      </c>
      <c r="X984" s="75" t="s">
        <v>474</v>
      </c>
      <c r="Y984" t="s">
        <v>6009</v>
      </c>
    </row>
    <row r="985" spans="2:25" x14ac:dyDescent="0.25">
      <c r="B985" s="75" t="s">
        <v>848</v>
      </c>
      <c r="C985" s="75" t="s">
        <v>451</v>
      </c>
      <c r="D985" t="s">
        <v>1540</v>
      </c>
      <c r="E985" s="75" t="s">
        <v>4290</v>
      </c>
      <c r="F985" s="75" t="s">
        <v>474</v>
      </c>
      <c r="G985" t="s">
        <v>4797</v>
      </c>
      <c r="H985" s="75" t="s">
        <v>855</v>
      </c>
      <c r="I985" s="75" t="s">
        <v>561</v>
      </c>
      <c r="J985" t="s">
        <v>2270</v>
      </c>
      <c r="K985" s="75" t="s">
        <v>816</v>
      </c>
      <c r="L985" s="75" t="s">
        <v>467</v>
      </c>
      <c r="M985" t="s">
        <v>1546</v>
      </c>
      <c r="N985" s="75" t="s">
        <v>545</v>
      </c>
      <c r="O985" s="75" t="s">
        <v>367</v>
      </c>
      <c r="P985" t="s">
        <v>2225</v>
      </c>
      <c r="Q985" s="75" t="s">
        <v>11325</v>
      </c>
      <c r="R985" s="75" t="s">
        <v>9753</v>
      </c>
      <c r="S985" t="s">
        <v>11366</v>
      </c>
      <c r="T985" s="75" t="s">
        <v>6600</v>
      </c>
      <c r="U985" s="75" t="s">
        <v>6601</v>
      </c>
      <c r="V985" t="s">
        <v>6756</v>
      </c>
      <c r="W985" s="75" t="s">
        <v>5866</v>
      </c>
      <c r="X985" s="75" t="s">
        <v>380</v>
      </c>
      <c r="Y985" t="s">
        <v>6011</v>
      </c>
    </row>
    <row r="986" spans="2:25" x14ac:dyDescent="0.25">
      <c r="B986" s="75" t="s">
        <v>1027</v>
      </c>
      <c r="C986" s="75" t="s">
        <v>380</v>
      </c>
      <c r="D986" t="s">
        <v>1541</v>
      </c>
      <c r="E986" s="75" t="s">
        <v>4678</v>
      </c>
      <c r="F986" s="75" t="s">
        <v>625</v>
      </c>
      <c r="G986" t="s">
        <v>5014</v>
      </c>
      <c r="H986" s="75" t="s">
        <v>1060</v>
      </c>
      <c r="I986" s="75" t="s">
        <v>474</v>
      </c>
      <c r="J986" t="s">
        <v>2271</v>
      </c>
      <c r="K986" s="75" t="s">
        <v>717</v>
      </c>
      <c r="L986" s="75" t="s">
        <v>475</v>
      </c>
      <c r="M986" t="s">
        <v>2244</v>
      </c>
      <c r="N986" s="75" t="s">
        <v>645</v>
      </c>
      <c r="O986" s="75" t="s">
        <v>386</v>
      </c>
      <c r="P986" t="s">
        <v>2226</v>
      </c>
      <c r="Q986" s="75" t="s">
        <v>11964</v>
      </c>
      <c r="R986" s="75" t="s">
        <v>583</v>
      </c>
      <c r="S986" t="s">
        <v>12103</v>
      </c>
      <c r="T986" s="75" t="s">
        <v>7429</v>
      </c>
      <c r="U986" s="75" t="s">
        <v>367</v>
      </c>
      <c r="V986" t="s">
        <v>7567</v>
      </c>
      <c r="W986" s="75" t="s">
        <v>6046</v>
      </c>
      <c r="X986" s="75" t="s">
        <v>380</v>
      </c>
      <c r="Y986" t="s">
        <v>6178</v>
      </c>
    </row>
    <row r="987" spans="2:25" x14ac:dyDescent="0.25">
      <c r="B987" s="75" t="s">
        <v>1087</v>
      </c>
      <c r="C987" s="75" t="s">
        <v>942</v>
      </c>
      <c r="D987" t="s">
        <v>2285</v>
      </c>
      <c r="E987" s="75" t="s">
        <v>4718</v>
      </c>
      <c r="F987" s="75" t="s">
        <v>4375</v>
      </c>
      <c r="G987" t="s">
        <v>5244</v>
      </c>
      <c r="H987" s="75" t="s">
        <v>944</v>
      </c>
      <c r="I987" s="75" t="s">
        <v>451</v>
      </c>
      <c r="J987" t="s">
        <v>2272</v>
      </c>
      <c r="K987" s="75" t="s">
        <v>748</v>
      </c>
      <c r="L987" s="75" t="s">
        <v>386</v>
      </c>
      <c r="M987" t="s">
        <v>2245</v>
      </c>
      <c r="N987" s="75" t="s">
        <v>692</v>
      </c>
      <c r="O987" s="75" t="s">
        <v>339</v>
      </c>
      <c r="P987" t="s">
        <v>1555</v>
      </c>
      <c r="Q987" s="75" t="s">
        <v>12617</v>
      </c>
      <c r="R987" s="75" t="s">
        <v>583</v>
      </c>
      <c r="S987" t="s">
        <v>12763</v>
      </c>
      <c r="T987" s="75" t="s">
        <v>7920</v>
      </c>
      <c r="U987" s="75" t="s">
        <v>368</v>
      </c>
      <c r="V987" t="s">
        <v>7953</v>
      </c>
      <c r="W987" s="74" t="s">
        <v>6051</v>
      </c>
      <c r="X987" s="74" t="s">
        <v>5718</v>
      </c>
      <c r="Y987" t="s">
        <v>6209</v>
      </c>
    </row>
    <row r="988" spans="2:25" x14ac:dyDescent="0.25">
      <c r="B988" s="75" t="s">
        <v>1109</v>
      </c>
      <c r="C988" s="75" t="s">
        <v>338</v>
      </c>
      <c r="D988" t="s">
        <v>1542</v>
      </c>
      <c r="E988" s="75" t="s">
        <v>4630</v>
      </c>
      <c r="F988" s="75" t="s">
        <v>5108</v>
      </c>
      <c r="G988" t="s">
        <v>5471</v>
      </c>
      <c r="H988" s="75" t="s">
        <v>690</v>
      </c>
      <c r="I988" s="75" t="s">
        <v>380</v>
      </c>
      <c r="J988" t="s">
        <v>1531</v>
      </c>
      <c r="K988" s="75" t="s">
        <v>717</v>
      </c>
      <c r="L988" s="75" t="s">
        <v>475</v>
      </c>
      <c r="M988" t="s">
        <v>2246</v>
      </c>
      <c r="N988" s="75" t="s">
        <v>181</v>
      </c>
      <c r="O988" s="75" t="s">
        <v>367</v>
      </c>
      <c r="P988" t="s">
        <v>2227</v>
      </c>
      <c r="Q988" s="75" t="s">
        <v>13076</v>
      </c>
      <c r="R988" s="216" t="s">
        <v>13066</v>
      </c>
      <c r="S988" t="s">
        <v>13192</v>
      </c>
      <c r="T988" s="75" t="s">
        <v>10655</v>
      </c>
      <c r="U988" s="75" t="s">
        <v>380</v>
      </c>
      <c r="V988" t="s">
        <v>10656</v>
      </c>
      <c r="W988" s="75" t="s">
        <v>6024</v>
      </c>
      <c r="X988" s="75" t="s">
        <v>1507</v>
      </c>
      <c r="Y988" t="s">
        <v>6210</v>
      </c>
    </row>
    <row r="989" spans="2:25" x14ac:dyDescent="0.25">
      <c r="B989" s="75" t="s">
        <v>1543</v>
      </c>
      <c r="C989" s="75" t="s">
        <v>475</v>
      </c>
      <c r="D989" t="s">
        <v>1528</v>
      </c>
      <c r="E989" s="75" t="s">
        <v>5400</v>
      </c>
      <c r="F989" s="75" t="s">
        <v>942</v>
      </c>
      <c r="G989" t="s">
        <v>5501</v>
      </c>
      <c r="H989" s="75" t="s">
        <v>751</v>
      </c>
      <c r="I989" s="75" t="s">
        <v>384</v>
      </c>
      <c r="J989" t="s">
        <v>2273</v>
      </c>
      <c r="K989" s="75" t="s">
        <v>784</v>
      </c>
      <c r="L989" s="75" t="s">
        <v>383</v>
      </c>
      <c r="M989" t="s">
        <v>2247</v>
      </c>
      <c r="N989" s="75" t="s">
        <v>1231</v>
      </c>
      <c r="O989" s="75" t="s">
        <v>367</v>
      </c>
      <c r="P989" t="s">
        <v>2228</v>
      </c>
      <c r="Q989" s="75" t="s">
        <v>11867</v>
      </c>
      <c r="R989" s="290" t="s">
        <v>467</v>
      </c>
      <c r="S989" t="s">
        <v>12185</v>
      </c>
      <c r="T989" s="75" t="s">
        <v>12489</v>
      </c>
      <c r="U989" s="75" t="s">
        <v>12303</v>
      </c>
      <c r="V989" t="s">
        <v>12576</v>
      </c>
      <c r="W989" s="75" t="s">
        <v>5911</v>
      </c>
      <c r="X989" s="75" t="s">
        <v>473</v>
      </c>
      <c r="Y989" t="s">
        <v>6217</v>
      </c>
    </row>
    <row r="990" spans="2:25" x14ac:dyDescent="0.25">
      <c r="B990" s="75" t="s">
        <v>1739</v>
      </c>
      <c r="C990" s="75" t="s">
        <v>451</v>
      </c>
      <c r="D990" t="s">
        <v>1836</v>
      </c>
      <c r="E990" s="75" t="s">
        <v>4598</v>
      </c>
      <c r="F990" s="75" t="s">
        <v>306</v>
      </c>
      <c r="G990" t="s">
        <v>5796</v>
      </c>
      <c r="H990" s="75" t="s">
        <v>627</v>
      </c>
      <c r="I990" s="75" t="s">
        <v>368</v>
      </c>
      <c r="J990" t="s">
        <v>1545</v>
      </c>
      <c r="K990" s="75" t="s">
        <v>888</v>
      </c>
      <c r="L990" s="75" t="s">
        <v>467</v>
      </c>
      <c r="M990" t="s">
        <v>2248</v>
      </c>
      <c r="N990" s="75" t="s">
        <v>1036</v>
      </c>
      <c r="O990" s="75" t="s">
        <v>476</v>
      </c>
      <c r="P990" t="s">
        <v>2229</v>
      </c>
      <c r="Q990" s="75" t="s">
        <v>13646</v>
      </c>
      <c r="R990" s="75" t="s">
        <v>526</v>
      </c>
      <c r="S990" t="s">
        <v>14109</v>
      </c>
      <c r="T990" s="75" t="s">
        <v>12664</v>
      </c>
      <c r="U990" s="75" t="s">
        <v>2</v>
      </c>
      <c r="V990" t="s">
        <v>12811</v>
      </c>
      <c r="W990" s="75" t="s">
        <v>246</v>
      </c>
      <c r="X990" s="75" t="s">
        <v>382</v>
      </c>
      <c r="Y990" t="s">
        <v>6218</v>
      </c>
    </row>
    <row r="991" spans="2:25" x14ac:dyDescent="0.25">
      <c r="B991" s="75" t="s">
        <v>704</v>
      </c>
      <c r="C991" s="75" t="s">
        <v>1692</v>
      </c>
      <c r="D991" t="s">
        <v>1871</v>
      </c>
      <c r="E991" s="75" t="s">
        <v>5808</v>
      </c>
      <c r="F991" s="75" t="s">
        <v>942</v>
      </c>
      <c r="G991" t="s">
        <v>5989</v>
      </c>
      <c r="H991" s="75" t="s">
        <v>1252</v>
      </c>
      <c r="I991" s="75" t="s">
        <v>475</v>
      </c>
      <c r="J991" t="s">
        <v>2274</v>
      </c>
      <c r="K991" s="74" t="s">
        <v>925</v>
      </c>
      <c r="L991" s="74" t="s">
        <v>367</v>
      </c>
      <c r="M991" t="s">
        <v>2249</v>
      </c>
      <c r="N991" s="75" t="s">
        <v>1176</v>
      </c>
      <c r="O991" s="75" t="s">
        <v>385</v>
      </c>
      <c r="P991" t="s">
        <v>1556</v>
      </c>
      <c r="Q991" s="75" t="s">
        <v>13624</v>
      </c>
      <c r="R991" s="75" t="s">
        <v>13066</v>
      </c>
      <c r="S991" t="s">
        <v>14056</v>
      </c>
      <c r="T991" s="74" t="s">
        <v>13198</v>
      </c>
      <c r="U991" s="74" t="s">
        <v>13199</v>
      </c>
      <c r="V991" t="s">
        <v>13228</v>
      </c>
      <c r="W991" s="75" t="s">
        <v>6050</v>
      </c>
      <c r="X991" s="75" t="s">
        <v>475</v>
      </c>
      <c r="Y991" t="s">
        <v>6292</v>
      </c>
    </row>
    <row r="992" spans="2:25" x14ac:dyDescent="0.25">
      <c r="B992" s="75" t="s">
        <v>1736</v>
      </c>
      <c r="C992" s="75" t="s">
        <v>467</v>
      </c>
      <c r="D992" t="s">
        <v>2286</v>
      </c>
      <c r="E992" s="75" t="s">
        <v>6262</v>
      </c>
      <c r="F992" s="75" t="s">
        <v>5708</v>
      </c>
      <c r="G992" t="s">
        <v>6511</v>
      </c>
      <c r="H992" s="75" t="s">
        <v>1218</v>
      </c>
      <c r="I992" s="75" t="s">
        <v>367</v>
      </c>
      <c r="J992" t="s">
        <v>1870</v>
      </c>
      <c r="K992" s="75" t="s">
        <v>1004</v>
      </c>
      <c r="L992" s="75" t="s">
        <v>467</v>
      </c>
      <c r="M992" t="s">
        <v>2250</v>
      </c>
      <c r="N992" s="75" t="s">
        <v>1190</v>
      </c>
      <c r="O992" s="75" t="s">
        <v>303</v>
      </c>
      <c r="P992" t="s">
        <v>2230</v>
      </c>
      <c r="Q992" s="75" t="s">
        <v>12485</v>
      </c>
      <c r="R992" s="75" t="s">
        <v>577</v>
      </c>
      <c r="S992" t="s">
        <v>12586</v>
      </c>
      <c r="T992" s="75" t="s">
        <v>12874</v>
      </c>
      <c r="U992" s="216" t="s">
        <v>13199</v>
      </c>
      <c r="V992" t="s">
        <v>13309</v>
      </c>
      <c r="W992" s="75" t="s">
        <v>6215</v>
      </c>
      <c r="X992" s="75" t="s">
        <v>6216</v>
      </c>
      <c r="Y992" t="s">
        <v>6353</v>
      </c>
    </row>
    <row r="993" spans="2:25" x14ac:dyDescent="0.25">
      <c r="B993" s="75" t="s">
        <v>1811</v>
      </c>
      <c r="C993" s="75" t="s">
        <v>5</v>
      </c>
      <c r="D993" t="s">
        <v>1911</v>
      </c>
      <c r="E993" s="75" t="s">
        <v>6524</v>
      </c>
      <c r="F993" s="75" t="s">
        <v>467</v>
      </c>
      <c r="G993" t="s">
        <v>6767</v>
      </c>
      <c r="H993" s="75" t="s">
        <v>3420</v>
      </c>
      <c r="I993" s="75" t="s">
        <v>1376</v>
      </c>
      <c r="J993" t="s">
        <v>3882</v>
      </c>
      <c r="K993" s="75" t="s">
        <v>1547</v>
      </c>
      <c r="L993" s="75" t="s">
        <v>385</v>
      </c>
      <c r="M993" t="s">
        <v>1548</v>
      </c>
      <c r="N993" s="75" t="s">
        <v>779</v>
      </c>
      <c r="O993" s="75" t="s">
        <v>560</v>
      </c>
      <c r="P993" t="s">
        <v>2231</v>
      </c>
      <c r="Q993" s="75" t="s">
        <v>12126</v>
      </c>
      <c r="R993" s="75" t="s">
        <v>583</v>
      </c>
      <c r="S993" t="s">
        <v>12281</v>
      </c>
      <c r="T993" s="75" t="s">
        <v>12248</v>
      </c>
      <c r="U993" s="216" t="s">
        <v>526</v>
      </c>
      <c r="V993" t="s">
        <v>12762</v>
      </c>
      <c r="W993" s="74" t="s">
        <v>6006</v>
      </c>
      <c r="X993" s="74" t="s">
        <v>367</v>
      </c>
      <c r="Y993" t="s">
        <v>6376</v>
      </c>
    </row>
    <row r="994" spans="2:25" x14ac:dyDescent="0.25">
      <c r="B994" s="75" t="s">
        <v>1872</v>
      </c>
      <c r="C994" s="75" t="s">
        <v>467</v>
      </c>
      <c r="D994" t="s">
        <v>1912</v>
      </c>
      <c r="E994" s="75" t="s">
        <v>5794</v>
      </c>
      <c r="F994" s="75" t="s">
        <v>583</v>
      </c>
      <c r="G994" t="s">
        <v>6749</v>
      </c>
      <c r="H994" s="75" t="s">
        <v>293</v>
      </c>
      <c r="I994" s="75" t="s">
        <v>477</v>
      </c>
      <c r="J994" t="s">
        <v>3911</v>
      </c>
      <c r="K994" s="75" t="s">
        <v>839</v>
      </c>
      <c r="L994" s="75" t="s">
        <v>473</v>
      </c>
      <c r="M994" t="s">
        <v>1549</v>
      </c>
      <c r="N994" s="75" t="s">
        <v>449</v>
      </c>
      <c r="O994" s="75" t="s">
        <v>384</v>
      </c>
      <c r="P994" t="s">
        <v>2232</v>
      </c>
      <c r="Q994" s="75" t="s">
        <v>14770</v>
      </c>
      <c r="R994" s="75" t="s">
        <v>14137</v>
      </c>
      <c r="S994" t="s">
        <v>14919</v>
      </c>
      <c r="T994" s="75" t="s">
        <v>8322</v>
      </c>
      <c r="U994" s="75" t="s">
        <v>9753</v>
      </c>
      <c r="V994" t="s">
        <v>11621</v>
      </c>
      <c r="W994" s="75" t="s">
        <v>6245</v>
      </c>
      <c r="X994" s="75" t="s">
        <v>5720</v>
      </c>
      <c r="Y994" t="s">
        <v>6395</v>
      </c>
    </row>
    <row r="995" spans="2:25" x14ac:dyDescent="0.25">
      <c r="B995" s="75" t="s">
        <v>1814</v>
      </c>
      <c r="C995" s="75" t="s">
        <v>1717</v>
      </c>
      <c r="D995" t="s">
        <v>2516</v>
      </c>
      <c r="E995" s="75" t="s">
        <v>6281</v>
      </c>
      <c r="F995" s="75" t="s">
        <v>367</v>
      </c>
      <c r="G995" t="s">
        <v>6893</v>
      </c>
      <c r="H995" s="75" t="s">
        <v>3418</v>
      </c>
      <c r="I995" s="75" t="s">
        <v>658</v>
      </c>
      <c r="J995" t="s">
        <v>3968</v>
      </c>
      <c r="K995" s="75" t="s">
        <v>858</v>
      </c>
      <c r="L995" s="75" t="s">
        <v>367</v>
      </c>
      <c r="M995" t="s">
        <v>2251</v>
      </c>
      <c r="N995" s="75" t="s">
        <v>1328</v>
      </c>
      <c r="O995" s="75" t="s">
        <v>451</v>
      </c>
      <c r="P995" t="s">
        <v>2233</v>
      </c>
      <c r="T995" s="75" t="s">
        <v>13945</v>
      </c>
      <c r="U995" s="290" t="s">
        <v>13666</v>
      </c>
      <c r="V995" t="s">
        <v>13964</v>
      </c>
      <c r="W995" s="75" t="s">
        <v>6424</v>
      </c>
      <c r="X995" s="75" t="s">
        <v>1533</v>
      </c>
      <c r="Y995" t="s">
        <v>6569</v>
      </c>
    </row>
    <row r="996" spans="2:25" x14ac:dyDescent="0.25">
      <c r="B996" s="75" t="s">
        <v>1855</v>
      </c>
      <c r="C996" s="75" t="s">
        <v>560</v>
      </c>
      <c r="D996" t="s">
        <v>2518</v>
      </c>
      <c r="E996" s="75" t="s">
        <v>6379</v>
      </c>
      <c r="F996" s="75" t="s">
        <v>6925</v>
      </c>
      <c r="G996" t="s">
        <v>6386</v>
      </c>
      <c r="H996" s="75" t="s">
        <v>4678</v>
      </c>
      <c r="I996" s="75" t="s">
        <v>625</v>
      </c>
      <c r="J996" t="s">
        <v>5015</v>
      </c>
      <c r="K996" s="75" t="s">
        <v>1159</v>
      </c>
      <c r="L996" s="75" t="s">
        <v>384</v>
      </c>
      <c r="M996" t="s">
        <v>1550</v>
      </c>
      <c r="N996" s="75" t="s">
        <v>1192</v>
      </c>
      <c r="O996" s="75" t="s">
        <v>560</v>
      </c>
      <c r="P996" t="s">
        <v>2234</v>
      </c>
      <c r="T996" s="75" t="s">
        <v>13676</v>
      </c>
      <c r="U996" s="75" t="s">
        <v>8045</v>
      </c>
      <c r="V996" t="s">
        <v>13765</v>
      </c>
      <c r="W996" s="75" t="s">
        <v>6303</v>
      </c>
      <c r="X996" s="75" t="s">
        <v>617</v>
      </c>
      <c r="Y996" t="s">
        <v>6653</v>
      </c>
    </row>
    <row r="997" spans="2:25" x14ac:dyDescent="0.25">
      <c r="B997" s="75" t="s">
        <v>1087</v>
      </c>
      <c r="C997" s="75" t="s">
        <v>942</v>
      </c>
      <c r="D997" t="s">
        <v>2963</v>
      </c>
      <c r="E997" s="75" t="s">
        <v>6967</v>
      </c>
      <c r="F997" s="75" t="s">
        <v>467</v>
      </c>
      <c r="G997" t="s">
        <v>7349</v>
      </c>
      <c r="H997" s="75" t="s">
        <v>4290</v>
      </c>
      <c r="I997" s="75" t="s">
        <v>474</v>
      </c>
      <c r="J997" t="s">
        <v>5038</v>
      </c>
      <c r="K997" s="75" t="s">
        <v>956</v>
      </c>
      <c r="L997" s="75" t="s">
        <v>560</v>
      </c>
      <c r="M997" t="s">
        <v>2252</v>
      </c>
      <c r="N997" s="75" t="s">
        <v>1139</v>
      </c>
      <c r="O997" s="75" t="s">
        <v>560</v>
      </c>
      <c r="P997" t="s">
        <v>2235</v>
      </c>
      <c r="T997" s="75" t="s">
        <v>13716</v>
      </c>
      <c r="U997" s="75" t="s">
        <v>9753</v>
      </c>
      <c r="V997" t="s">
        <v>14297</v>
      </c>
      <c r="W997" s="75" t="s">
        <v>6208</v>
      </c>
      <c r="X997" s="75" t="s">
        <v>5718</v>
      </c>
      <c r="Y997" t="s">
        <v>6718</v>
      </c>
    </row>
    <row r="998" spans="2:25" x14ac:dyDescent="0.25">
      <c r="B998" s="75" t="s">
        <v>1206</v>
      </c>
      <c r="C998" s="75" t="s">
        <v>386</v>
      </c>
      <c r="D998" t="s">
        <v>3005</v>
      </c>
      <c r="E998" s="75" t="s">
        <v>7168</v>
      </c>
      <c r="F998" s="75" t="s">
        <v>386</v>
      </c>
      <c r="G998" t="s">
        <v>7555</v>
      </c>
      <c r="H998" s="75" t="s">
        <v>1837</v>
      </c>
      <c r="I998" s="75" t="s">
        <v>1376</v>
      </c>
      <c r="J998" t="s">
        <v>5075</v>
      </c>
      <c r="K998" s="75" t="s">
        <v>1031</v>
      </c>
      <c r="L998" s="75" t="s">
        <v>383</v>
      </c>
      <c r="M998" t="s">
        <v>2253</v>
      </c>
      <c r="N998" s="75" t="s">
        <v>641</v>
      </c>
      <c r="O998" s="75" t="s">
        <v>467</v>
      </c>
      <c r="P998" t="s">
        <v>1886</v>
      </c>
      <c r="T998" s="75" t="s">
        <v>13965</v>
      </c>
      <c r="U998" s="75" t="s">
        <v>13666</v>
      </c>
      <c r="V998" t="s">
        <v>14158</v>
      </c>
      <c r="W998" s="75" t="s">
        <v>5868</v>
      </c>
      <c r="X998" s="75" t="s">
        <v>367</v>
      </c>
      <c r="Y998" t="s">
        <v>6771</v>
      </c>
    </row>
    <row r="999" spans="2:25" x14ac:dyDescent="0.25">
      <c r="B999" s="75" t="s">
        <v>3182</v>
      </c>
      <c r="C999" s="75" t="s">
        <v>942</v>
      </c>
      <c r="D999" t="s">
        <v>3461</v>
      </c>
      <c r="E999" s="75" t="s">
        <v>7553</v>
      </c>
      <c r="F999" s="75" t="s">
        <v>5</v>
      </c>
      <c r="G999" t="s">
        <v>7731</v>
      </c>
      <c r="H999" s="75" t="s">
        <v>1917</v>
      </c>
      <c r="I999" s="75" t="s">
        <v>491</v>
      </c>
      <c r="J999" t="s">
        <v>5106</v>
      </c>
      <c r="K999" s="75" t="s">
        <v>1082</v>
      </c>
      <c r="L999" s="75" t="s">
        <v>385</v>
      </c>
      <c r="M999" t="s">
        <v>2254</v>
      </c>
      <c r="N999" s="75" t="s">
        <v>1143</v>
      </c>
      <c r="O999" s="75" t="s">
        <v>560</v>
      </c>
      <c r="P999" t="s">
        <v>2236</v>
      </c>
      <c r="T999" s="75" t="s">
        <v>13587</v>
      </c>
      <c r="U999" s="216" t="s">
        <v>8045</v>
      </c>
      <c r="V999" t="s">
        <v>13731</v>
      </c>
      <c r="W999" s="75" t="s">
        <v>6482</v>
      </c>
      <c r="X999" s="75" t="s">
        <v>368</v>
      </c>
      <c r="Y999" t="s">
        <v>6902</v>
      </c>
    </row>
    <row r="1000" spans="2:25" x14ac:dyDescent="0.25">
      <c r="B1000" s="75" t="s">
        <v>3156</v>
      </c>
      <c r="C1000" s="75" t="s">
        <v>1376</v>
      </c>
      <c r="D1000" t="s">
        <v>3419</v>
      </c>
      <c r="E1000" s="75" t="s">
        <v>6762</v>
      </c>
      <c r="F1000" s="75" t="s">
        <v>942</v>
      </c>
      <c r="G1000" t="s">
        <v>7773</v>
      </c>
      <c r="H1000" s="75" t="s">
        <v>4718</v>
      </c>
      <c r="I1000" s="75" t="s">
        <v>4375</v>
      </c>
      <c r="J1000" t="s">
        <v>5476</v>
      </c>
      <c r="K1000" s="75" t="s">
        <v>1120</v>
      </c>
      <c r="L1000" s="75" t="s">
        <v>451</v>
      </c>
      <c r="M1000" t="s">
        <v>2255</v>
      </c>
      <c r="N1000" s="75" t="s">
        <v>779</v>
      </c>
      <c r="O1000" s="75" t="s">
        <v>368</v>
      </c>
      <c r="P1000" t="s">
        <v>2237</v>
      </c>
      <c r="T1000" s="75" t="s">
        <v>14576</v>
      </c>
      <c r="U1000" s="75" t="s">
        <v>13952</v>
      </c>
      <c r="V1000" t="s">
        <v>14707</v>
      </c>
      <c r="W1000" s="75" t="s">
        <v>6803</v>
      </c>
      <c r="X1000" s="75" t="s">
        <v>5718</v>
      </c>
      <c r="Y1000" t="s">
        <v>7137</v>
      </c>
    </row>
    <row r="1001" spans="2:25" x14ac:dyDescent="0.25">
      <c r="B1001" s="75" t="s">
        <v>4071</v>
      </c>
      <c r="C1001" s="75" t="s">
        <v>560</v>
      </c>
      <c r="D1001" t="s">
        <v>4292</v>
      </c>
      <c r="E1001" s="75" t="s">
        <v>7484</v>
      </c>
      <c r="F1001" s="75" t="s">
        <v>1369</v>
      </c>
      <c r="G1001" t="s">
        <v>7843</v>
      </c>
      <c r="H1001" s="75" t="s">
        <v>4630</v>
      </c>
      <c r="I1001" s="75" t="s">
        <v>5108</v>
      </c>
      <c r="J1001" t="s">
        <v>5597</v>
      </c>
      <c r="K1001" s="75" t="s">
        <v>1134</v>
      </c>
      <c r="L1001" s="75" t="s">
        <v>474</v>
      </c>
      <c r="M1001" t="s">
        <v>2256</v>
      </c>
      <c r="N1001" s="75" t="s">
        <v>182</v>
      </c>
      <c r="O1001" s="75" t="s">
        <v>560</v>
      </c>
      <c r="P1001" t="s">
        <v>2238</v>
      </c>
      <c r="T1001" s="75" t="s">
        <v>14933</v>
      </c>
      <c r="U1001" s="315" t="s">
        <v>13989</v>
      </c>
      <c r="V1001" t="s">
        <v>14975</v>
      </c>
      <c r="W1001" s="75" t="s">
        <v>7304</v>
      </c>
      <c r="X1001" s="75" t="s">
        <v>5708</v>
      </c>
      <c r="Y1001" t="s">
        <v>7417</v>
      </c>
    </row>
    <row r="1002" spans="2:25" x14ac:dyDescent="0.25">
      <c r="B1002" s="75" t="s">
        <v>4070</v>
      </c>
      <c r="C1002" s="75" t="s">
        <v>474</v>
      </c>
      <c r="D1002" t="s">
        <v>4293</v>
      </c>
      <c r="E1002" s="75" t="s">
        <v>7394</v>
      </c>
      <c r="F1002" s="75" t="s">
        <v>380</v>
      </c>
      <c r="G1002" t="s">
        <v>7957</v>
      </c>
      <c r="H1002" s="75" t="s">
        <v>5400</v>
      </c>
      <c r="I1002" s="75" t="s">
        <v>942</v>
      </c>
      <c r="J1002" t="s">
        <v>5629</v>
      </c>
      <c r="K1002" s="75" t="s">
        <v>1158</v>
      </c>
      <c r="L1002" s="75" t="s">
        <v>942</v>
      </c>
      <c r="M1002" t="s">
        <v>2257</v>
      </c>
      <c r="N1002" s="75" t="s">
        <v>1738</v>
      </c>
      <c r="O1002" s="75" t="s">
        <v>942</v>
      </c>
      <c r="P1002" t="s">
        <v>2430</v>
      </c>
      <c r="T1002" s="75" t="s">
        <v>14977</v>
      </c>
      <c r="U1002" s="75" t="s">
        <v>14978</v>
      </c>
      <c r="V1002" t="s">
        <v>14988</v>
      </c>
      <c r="W1002" s="75" t="s">
        <v>7139</v>
      </c>
      <c r="X1002" s="75" t="s">
        <v>3042</v>
      </c>
      <c r="Y1002" t="s">
        <v>7489</v>
      </c>
    </row>
    <row r="1003" spans="2:25" x14ac:dyDescent="0.25">
      <c r="B1003" s="75" t="s">
        <v>4410</v>
      </c>
      <c r="C1003" s="75" t="s">
        <v>476</v>
      </c>
      <c r="D1003" t="s">
        <v>4599</v>
      </c>
      <c r="E1003" s="75" t="s">
        <v>7816</v>
      </c>
      <c r="F1003" s="75" t="s">
        <v>467</v>
      </c>
      <c r="G1003" t="s">
        <v>8385</v>
      </c>
      <c r="H1003" s="75" t="s">
        <v>5400</v>
      </c>
      <c r="I1003" s="75" t="s">
        <v>942</v>
      </c>
      <c r="J1003" t="s">
        <v>5629</v>
      </c>
      <c r="K1003" s="75" t="s">
        <v>956</v>
      </c>
      <c r="L1003" s="75" t="s">
        <v>560</v>
      </c>
      <c r="M1003" t="s">
        <v>2258</v>
      </c>
      <c r="N1003" s="75" t="s">
        <v>1728</v>
      </c>
      <c r="O1003" s="75" t="s">
        <v>1376</v>
      </c>
      <c r="P1003" t="s">
        <v>2564</v>
      </c>
      <c r="W1003" s="75" t="s">
        <v>7342</v>
      </c>
      <c r="X1003" s="75" t="s">
        <v>5708</v>
      </c>
      <c r="Y1003" t="s">
        <v>7807</v>
      </c>
    </row>
    <row r="1004" spans="2:25" x14ac:dyDescent="0.25">
      <c r="B1004" s="75" t="s">
        <v>4496</v>
      </c>
      <c r="C1004" s="75" t="s">
        <v>384</v>
      </c>
      <c r="D1004" t="s">
        <v>4631</v>
      </c>
      <c r="E1004" s="75" t="s">
        <v>8326</v>
      </c>
      <c r="F1004" s="75" t="s">
        <v>474</v>
      </c>
      <c r="G1004" t="s">
        <v>8444</v>
      </c>
      <c r="H1004" s="75" t="s">
        <v>6524</v>
      </c>
      <c r="I1004" s="75" t="s">
        <v>467</v>
      </c>
      <c r="J1004" t="s">
        <v>6772</v>
      </c>
      <c r="K1004" s="75" t="s">
        <v>1097</v>
      </c>
      <c r="L1004" s="75" t="s">
        <v>473</v>
      </c>
      <c r="M1004" t="s">
        <v>2259</v>
      </c>
      <c r="N1004" s="75" t="s">
        <v>1706</v>
      </c>
      <c r="O1004" s="75" t="s">
        <v>384</v>
      </c>
      <c r="P1004" t="s">
        <v>2910</v>
      </c>
      <c r="W1004" s="75" t="s">
        <v>7476</v>
      </c>
      <c r="X1004" s="75" t="s">
        <v>3042</v>
      </c>
      <c r="Y1004" t="s">
        <v>7656</v>
      </c>
    </row>
    <row r="1005" spans="2:25" x14ac:dyDescent="0.25">
      <c r="B1005" s="75" t="s">
        <v>5556</v>
      </c>
      <c r="C1005" s="75" t="s">
        <v>583</v>
      </c>
      <c r="D1005" t="s">
        <v>5798</v>
      </c>
      <c r="E1005" s="75" t="s">
        <v>8047</v>
      </c>
      <c r="F1005" s="75" t="s">
        <v>467</v>
      </c>
      <c r="G1005" t="s">
        <v>8510</v>
      </c>
      <c r="H1005" s="75" t="s">
        <v>5794</v>
      </c>
      <c r="I1005" s="75" t="s">
        <v>583</v>
      </c>
      <c r="J1005" t="s">
        <v>6907</v>
      </c>
      <c r="K1005" s="75" t="s">
        <v>1209</v>
      </c>
      <c r="L1005" s="75" t="s">
        <v>473</v>
      </c>
      <c r="M1005" t="s">
        <v>1551</v>
      </c>
      <c r="N1005" s="75" t="s">
        <v>2761</v>
      </c>
      <c r="O1005" s="75" t="s">
        <v>383</v>
      </c>
      <c r="P1005" t="s">
        <v>2867</v>
      </c>
      <c r="W1005" s="75" t="s">
        <v>1243</v>
      </c>
      <c r="X1005" s="75" t="s">
        <v>274</v>
      </c>
      <c r="Y1005" t="s">
        <v>7698</v>
      </c>
    </row>
    <row r="1006" spans="2:25" x14ac:dyDescent="0.25">
      <c r="B1006" s="75" t="s">
        <v>6077</v>
      </c>
      <c r="C1006" s="75" t="s">
        <v>5708</v>
      </c>
      <c r="D1006" t="s">
        <v>6263</v>
      </c>
      <c r="E1006" s="75" t="s">
        <v>8358</v>
      </c>
      <c r="F1006" s="75" t="s">
        <v>583</v>
      </c>
      <c r="G1006" t="s">
        <v>8664</v>
      </c>
      <c r="H1006" s="75" t="s">
        <v>5795</v>
      </c>
      <c r="I1006" s="75" t="s">
        <v>584</v>
      </c>
      <c r="J1006" t="s">
        <v>7098</v>
      </c>
      <c r="K1006" s="75" t="s">
        <v>1177</v>
      </c>
      <c r="L1006" s="75" t="s">
        <v>383</v>
      </c>
      <c r="M1006" t="s">
        <v>2260</v>
      </c>
      <c r="N1006" s="75" t="s">
        <v>2544</v>
      </c>
      <c r="O1006" s="75" t="s">
        <v>1692</v>
      </c>
      <c r="P1006" t="s">
        <v>2940</v>
      </c>
      <c r="S1006" t="s">
        <v>47</v>
      </c>
      <c r="W1006" s="75" t="s">
        <v>8153</v>
      </c>
      <c r="X1006" s="75" t="s">
        <v>386</v>
      </c>
      <c r="Y1006" t="s">
        <v>8204</v>
      </c>
    </row>
    <row r="1007" spans="2:25" x14ac:dyDescent="0.25">
      <c r="B1007" s="75" t="s">
        <v>7201</v>
      </c>
      <c r="C1007" s="75" t="s">
        <v>380</v>
      </c>
      <c r="D1007" t="s">
        <v>7395</v>
      </c>
      <c r="E1007" s="75" t="s">
        <v>8043</v>
      </c>
      <c r="F1007" s="75" t="s">
        <v>6925</v>
      </c>
      <c r="G1007" t="s">
        <v>8981</v>
      </c>
      <c r="H1007" s="75" t="s">
        <v>7484</v>
      </c>
      <c r="I1007" s="75" t="s">
        <v>1369</v>
      </c>
      <c r="J1007" t="s">
        <v>7970</v>
      </c>
      <c r="K1007" s="75" t="s">
        <v>1244</v>
      </c>
      <c r="L1007" s="75" t="s">
        <v>383</v>
      </c>
      <c r="M1007" t="s">
        <v>1552</v>
      </c>
      <c r="N1007" s="75" t="s">
        <v>2490</v>
      </c>
      <c r="O1007" s="75" t="s">
        <v>474</v>
      </c>
      <c r="P1007" t="s">
        <v>3030</v>
      </c>
      <c r="W1007" s="75" t="s">
        <v>8252</v>
      </c>
      <c r="X1007" s="75" t="s">
        <v>386</v>
      </c>
      <c r="Y1007" t="s">
        <v>8389</v>
      </c>
    </row>
    <row r="1008" spans="2:25" x14ac:dyDescent="0.25">
      <c r="B1008" s="75" t="s">
        <v>7337</v>
      </c>
      <c r="C1008" s="75" t="s">
        <v>1369</v>
      </c>
      <c r="D1008" t="s">
        <v>7485</v>
      </c>
      <c r="E1008" s="75" t="s">
        <v>9052</v>
      </c>
      <c r="F1008" s="75" t="s">
        <v>367</v>
      </c>
      <c r="G1008" t="s">
        <v>9210</v>
      </c>
      <c r="H1008" s="75" t="s">
        <v>6762</v>
      </c>
      <c r="I1008" s="75" t="s">
        <v>942</v>
      </c>
      <c r="J1008" t="s">
        <v>7992</v>
      </c>
      <c r="K1008" s="75" t="s">
        <v>1193</v>
      </c>
      <c r="L1008" s="75" t="s">
        <v>473</v>
      </c>
      <c r="M1008" t="s">
        <v>2261</v>
      </c>
      <c r="N1008" s="75" t="s">
        <v>2816</v>
      </c>
      <c r="O1008" s="75" t="s">
        <v>547</v>
      </c>
      <c r="P1008" t="s">
        <v>3046</v>
      </c>
      <c r="W1008" s="74" t="s">
        <v>8411</v>
      </c>
      <c r="X1008" s="74" t="s">
        <v>5108</v>
      </c>
      <c r="Y1008" t="s">
        <v>8453</v>
      </c>
    </row>
    <row r="1009" spans="2:25" x14ac:dyDescent="0.25">
      <c r="B1009" s="75" t="s">
        <v>8208</v>
      </c>
      <c r="C1009" s="75" t="s">
        <v>474</v>
      </c>
      <c r="D1009" t="s">
        <v>8327</v>
      </c>
      <c r="E1009" s="75" t="s">
        <v>5400</v>
      </c>
      <c r="F1009" s="75" t="s">
        <v>380</v>
      </c>
      <c r="G1009" t="s">
        <v>9232</v>
      </c>
      <c r="H1009" s="75" t="s">
        <v>8326</v>
      </c>
      <c r="I1009" s="75" t="s">
        <v>474</v>
      </c>
      <c r="J1009" t="s">
        <v>8508</v>
      </c>
      <c r="K1009" s="75" t="s">
        <v>1096</v>
      </c>
      <c r="L1009" s="75" t="s">
        <v>1257</v>
      </c>
      <c r="M1009" t="s">
        <v>1553</v>
      </c>
      <c r="N1009" s="75" t="s">
        <v>3104</v>
      </c>
      <c r="O1009" s="75" t="s">
        <v>467</v>
      </c>
      <c r="P1009" t="s">
        <v>3147</v>
      </c>
      <c r="W1009" s="75" t="s">
        <v>8318</v>
      </c>
      <c r="X1009" s="75" t="s">
        <v>382</v>
      </c>
      <c r="Y1009" t="s">
        <v>8503</v>
      </c>
    </row>
    <row r="1010" spans="2:25" x14ac:dyDescent="0.25">
      <c r="B1010" s="75" t="s">
        <v>8868</v>
      </c>
      <c r="C1010" s="75" t="s">
        <v>367</v>
      </c>
      <c r="D1010" t="s">
        <v>9051</v>
      </c>
      <c r="E1010" s="75" t="s">
        <v>8623</v>
      </c>
      <c r="F1010" s="75" t="s">
        <v>584</v>
      </c>
      <c r="G1010" t="s">
        <v>9233</v>
      </c>
      <c r="H1010" s="75" t="s">
        <v>9052</v>
      </c>
      <c r="I1010" s="75" t="s">
        <v>367</v>
      </c>
      <c r="J1010" t="s">
        <v>9296</v>
      </c>
      <c r="K1010" s="75" t="s">
        <v>1343</v>
      </c>
      <c r="L1010" s="75" t="s">
        <v>385</v>
      </c>
      <c r="M1010" t="s">
        <v>1696</v>
      </c>
      <c r="N1010" s="75" t="s">
        <v>2881</v>
      </c>
      <c r="O1010" s="75" t="s">
        <v>451</v>
      </c>
      <c r="P1010" t="s">
        <v>3154</v>
      </c>
      <c r="W1010" s="75" t="s">
        <v>8757</v>
      </c>
      <c r="X1010" s="75" t="s">
        <v>467</v>
      </c>
      <c r="Y1010" t="s">
        <v>9050</v>
      </c>
    </row>
    <row r="1011" spans="2:25" x14ac:dyDescent="0.25">
      <c r="B1011" s="75" t="s">
        <v>8950</v>
      </c>
      <c r="C1011" s="75" t="s">
        <v>386</v>
      </c>
      <c r="D1011" t="s">
        <v>9056</v>
      </c>
      <c r="E1011" s="75" t="s">
        <v>9136</v>
      </c>
      <c r="F1011" s="75" t="s">
        <v>676</v>
      </c>
      <c r="G1011" t="s">
        <v>9512</v>
      </c>
      <c r="H1011" s="75" t="s">
        <v>8623</v>
      </c>
      <c r="I1011" s="75" t="s">
        <v>584</v>
      </c>
      <c r="J1011" t="s">
        <v>9330</v>
      </c>
      <c r="K1011" s="75" t="s">
        <v>1350</v>
      </c>
      <c r="L1011" s="75" t="s">
        <v>1349</v>
      </c>
      <c r="M1011" t="s">
        <v>2262</v>
      </c>
      <c r="N1011" s="75" t="s">
        <v>2431</v>
      </c>
      <c r="O1011" s="75" t="s">
        <v>942</v>
      </c>
      <c r="P1011" t="s">
        <v>3157</v>
      </c>
      <c r="W1011" s="75" t="s">
        <v>9092</v>
      </c>
      <c r="X1011" s="75" t="s">
        <v>5708</v>
      </c>
      <c r="Y1011" t="s">
        <v>9312</v>
      </c>
    </row>
    <row r="1012" spans="2:25" x14ac:dyDescent="0.25">
      <c r="B1012" s="75" t="s">
        <v>8963</v>
      </c>
      <c r="C1012" s="75" t="s">
        <v>942</v>
      </c>
      <c r="D1012" t="s">
        <v>9137</v>
      </c>
      <c r="E1012" s="75" t="s">
        <v>9379</v>
      </c>
      <c r="F1012" s="75" t="s">
        <v>467</v>
      </c>
      <c r="G1012" t="s">
        <v>9691</v>
      </c>
      <c r="H1012" s="75" t="s">
        <v>9136</v>
      </c>
      <c r="I1012" s="75" t="s">
        <v>676</v>
      </c>
      <c r="J1012" t="s">
        <v>9560</v>
      </c>
      <c r="K1012" s="75" t="s">
        <v>1321</v>
      </c>
      <c r="L1012" s="75" t="s">
        <v>473</v>
      </c>
      <c r="M1012" t="s">
        <v>2263</v>
      </c>
      <c r="N1012" s="75" t="s">
        <v>190</v>
      </c>
      <c r="O1012" s="75" t="s">
        <v>303</v>
      </c>
      <c r="P1012" t="s">
        <v>3200</v>
      </c>
      <c r="W1012" s="75" t="s">
        <v>9331</v>
      </c>
      <c r="X1012" s="75" t="s">
        <v>521</v>
      </c>
      <c r="Y1012" t="s">
        <v>9742</v>
      </c>
    </row>
    <row r="1013" spans="2:25" x14ac:dyDescent="0.25">
      <c r="B1013" s="75" t="s">
        <v>10026</v>
      </c>
      <c r="C1013" s="75" t="s">
        <v>583</v>
      </c>
      <c r="D1013" t="s">
        <v>10141</v>
      </c>
      <c r="E1013" s="75" t="s">
        <v>9437</v>
      </c>
      <c r="F1013" s="75" t="s">
        <v>583</v>
      </c>
      <c r="G1013" t="s">
        <v>9733</v>
      </c>
      <c r="H1013" s="75" t="s">
        <v>9379</v>
      </c>
      <c r="I1013" s="75" t="s">
        <v>467</v>
      </c>
      <c r="J1013" t="s">
        <v>9776</v>
      </c>
      <c r="K1013" s="75" t="s">
        <v>433</v>
      </c>
      <c r="L1013" s="75" t="s">
        <v>383</v>
      </c>
      <c r="M1013" t="s">
        <v>2264</v>
      </c>
      <c r="N1013" s="75" t="s">
        <v>3153</v>
      </c>
      <c r="O1013" s="75" t="s">
        <v>451</v>
      </c>
      <c r="P1013" t="s">
        <v>3417</v>
      </c>
      <c r="W1013" s="75" t="s">
        <v>9806</v>
      </c>
      <c r="X1013" s="75" t="s">
        <v>5325</v>
      </c>
      <c r="Y1013" t="s">
        <v>9864</v>
      </c>
    </row>
    <row r="1014" spans="2:25" x14ac:dyDescent="0.25">
      <c r="B1014" s="75" t="s">
        <v>11712</v>
      </c>
      <c r="C1014" s="75" t="s">
        <v>380</v>
      </c>
      <c r="D1014" t="s">
        <v>11823</v>
      </c>
      <c r="E1014" s="75" t="s">
        <v>9057</v>
      </c>
      <c r="F1014" s="75" t="s">
        <v>386</v>
      </c>
      <c r="G1014" t="s">
        <v>10033</v>
      </c>
      <c r="H1014" s="75" t="s">
        <v>9437</v>
      </c>
      <c r="I1014" s="75" t="s">
        <v>583</v>
      </c>
      <c r="J1014" t="s">
        <v>9815</v>
      </c>
      <c r="K1014" s="75" t="s">
        <v>1737</v>
      </c>
      <c r="L1014" s="75" t="s">
        <v>472</v>
      </c>
      <c r="M1014" t="s">
        <v>1769</v>
      </c>
      <c r="N1014" s="75" t="s">
        <v>3152</v>
      </c>
      <c r="O1014" s="75" t="s">
        <v>467</v>
      </c>
      <c r="P1014" t="s">
        <v>3463</v>
      </c>
      <c r="W1014" s="75" t="s">
        <v>9743</v>
      </c>
      <c r="X1014" s="75" t="s">
        <v>521</v>
      </c>
      <c r="Y1014" t="s">
        <v>9903</v>
      </c>
    </row>
    <row r="1015" spans="2:25" x14ac:dyDescent="0.25">
      <c r="B1015" s="75" t="s">
        <v>12431</v>
      </c>
      <c r="C1015" s="75" t="s">
        <v>9753</v>
      </c>
      <c r="D1015" t="s">
        <v>12567</v>
      </c>
      <c r="E1015" s="75" t="s">
        <v>11079</v>
      </c>
      <c r="F1015" s="75" t="s">
        <v>368</v>
      </c>
      <c r="G1015" t="s">
        <v>11236</v>
      </c>
      <c r="H1015" s="75" t="s">
        <v>10593</v>
      </c>
      <c r="I1015" s="75" t="s">
        <v>467</v>
      </c>
      <c r="J1015" t="s">
        <v>11170</v>
      </c>
      <c r="K1015" s="75" t="s">
        <v>1089</v>
      </c>
      <c r="L1015" s="75" t="s">
        <v>467</v>
      </c>
      <c r="M1015" t="s">
        <v>2265</v>
      </c>
      <c r="N1015" s="75" t="s">
        <v>2954</v>
      </c>
      <c r="O1015" s="75" t="s">
        <v>1692</v>
      </c>
      <c r="P1015" t="s">
        <v>3465</v>
      </c>
      <c r="W1015" s="75" t="s">
        <v>9929</v>
      </c>
      <c r="X1015" s="75" t="s">
        <v>472</v>
      </c>
      <c r="Y1015" t="s">
        <v>9962</v>
      </c>
    </row>
    <row r="1016" spans="2:25" x14ac:dyDescent="0.25">
      <c r="B1016" s="75" t="s">
        <v>12854</v>
      </c>
      <c r="C1016" s="75" t="s">
        <v>583</v>
      </c>
      <c r="D1016" t="s">
        <v>12924</v>
      </c>
      <c r="E1016" s="75" t="s">
        <v>11551</v>
      </c>
      <c r="F1016" s="75" t="s">
        <v>577</v>
      </c>
      <c r="G1016" t="s">
        <v>11678</v>
      </c>
      <c r="H1016" s="75" t="s">
        <v>11222</v>
      </c>
      <c r="I1016" s="75" t="s">
        <v>577</v>
      </c>
      <c r="J1016" t="s">
        <v>11363</v>
      </c>
      <c r="K1016" s="75" t="s">
        <v>1770</v>
      </c>
      <c r="L1016" s="75" t="s">
        <v>472</v>
      </c>
      <c r="M1016" t="s">
        <v>1852</v>
      </c>
      <c r="N1016" s="75" t="s">
        <v>3029</v>
      </c>
      <c r="O1016" s="75" t="s">
        <v>474</v>
      </c>
      <c r="P1016" t="s">
        <v>3466</v>
      </c>
      <c r="W1016" s="74" t="s">
        <v>7139</v>
      </c>
      <c r="X1016" s="74" t="s">
        <v>521</v>
      </c>
      <c r="Y1016" t="s">
        <v>9973</v>
      </c>
    </row>
    <row r="1017" spans="2:25" x14ac:dyDescent="0.25">
      <c r="B1017" s="75" t="s">
        <v>13049</v>
      </c>
      <c r="C1017" s="75" t="s">
        <v>526</v>
      </c>
      <c r="D1017" t="s">
        <v>13144</v>
      </c>
      <c r="E1017" s="75" t="s">
        <v>11396</v>
      </c>
      <c r="F1017" s="75" t="s">
        <v>467</v>
      </c>
      <c r="G1017" t="s">
        <v>11648</v>
      </c>
      <c r="H1017" s="75" t="s">
        <v>11822</v>
      </c>
      <c r="I1017" s="75" t="s">
        <v>380</v>
      </c>
      <c r="J1017" t="s">
        <v>11954</v>
      </c>
      <c r="K1017" s="75" t="s">
        <v>1729</v>
      </c>
      <c r="L1017" s="75" t="s">
        <v>383</v>
      </c>
      <c r="M1017" t="s">
        <v>1854</v>
      </c>
      <c r="N1017" s="75" t="s">
        <v>3323</v>
      </c>
      <c r="O1017" s="75" t="s">
        <v>475</v>
      </c>
      <c r="P1017" t="s">
        <v>3591</v>
      </c>
      <c r="W1017" s="75" t="s">
        <v>10109</v>
      </c>
      <c r="X1017" s="75" t="s">
        <v>6936</v>
      </c>
      <c r="Y1017" t="s">
        <v>10211</v>
      </c>
    </row>
    <row r="1018" spans="2:25" x14ac:dyDescent="0.25">
      <c r="B1018" s="75" t="s">
        <v>12387</v>
      </c>
      <c r="C1018" s="75" t="s">
        <v>583</v>
      </c>
      <c r="D1018" t="s">
        <v>12388</v>
      </c>
      <c r="E1018" s="75" t="s">
        <v>12437</v>
      </c>
      <c r="F1018" s="75" t="s">
        <v>583</v>
      </c>
      <c r="G1018" t="s">
        <v>12541</v>
      </c>
      <c r="H1018" s="75" t="s">
        <v>12437</v>
      </c>
      <c r="I1018" s="75" t="s">
        <v>583</v>
      </c>
      <c r="J1018" t="s">
        <v>12569</v>
      </c>
      <c r="K1018" s="75" t="s">
        <v>1307</v>
      </c>
      <c r="L1018" s="75" t="s">
        <v>942</v>
      </c>
      <c r="M1018" t="s">
        <v>1903</v>
      </c>
      <c r="N1018" s="75" t="s">
        <v>3155</v>
      </c>
      <c r="O1018" s="75" t="s">
        <v>383</v>
      </c>
      <c r="P1018" t="s">
        <v>3723</v>
      </c>
      <c r="W1018" s="74" t="s">
        <v>10360</v>
      </c>
      <c r="X1018" s="74" t="s">
        <v>472</v>
      </c>
      <c r="Y1018" t="s">
        <v>10365</v>
      </c>
    </row>
    <row r="1019" spans="2:25" x14ac:dyDescent="0.25">
      <c r="B1019" s="75" t="s">
        <v>7806</v>
      </c>
      <c r="C1019" s="75" t="s">
        <v>526</v>
      </c>
      <c r="D1019" t="s">
        <v>11826</v>
      </c>
      <c r="E1019" s="75" t="s">
        <v>12566</v>
      </c>
      <c r="F1019" s="75" t="s">
        <v>9753</v>
      </c>
      <c r="G1019" t="s">
        <v>12875</v>
      </c>
      <c r="H1019" s="75" t="s">
        <v>12566</v>
      </c>
      <c r="I1019" s="75" t="s">
        <v>9753</v>
      </c>
      <c r="J1019" t="s">
        <v>12907</v>
      </c>
      <c r="K1019" s="75" t="s">
        <v>1853</v>
      </c>
      <c r="L1019" s="75" t="s">
        <v>472</v>
      </c>
      <c r="M1019" t="s">
        <v>2486</v>
      </c>
      <c r="N1019" s="75" t="s">
        <v>3655</v>
      </c>
      <c r="O1019" s="75" t="s">
        <v>475</v>
      </c>
      <c r="P1019" t="s">
        <v>3769</v>
      </c>
      <c r="W1019" s="75" t="s">
        <v>10241</v>
      </c>
      <c r="X1019" s="75" t="s">
        <v>368</v>
      </c>
      <c r="Y1019" t="s">
        <v>10483</v>
      </c>
    </row>
    <row r="1020" spans="2:25" x14ac:dyDescent="0.25">
      <c r="B1020" s="75" t="s">
        <v>13315</v>
      </c>
      <c r="C1020" s="75" t="s">
        <v>8045</v>
      </c>
      <c r="D1020" t="s">
        <v>13316</v>
      </c>
      <c r="E1020" s="75" t="s">
        <v>12923</v>
      </c>
      <c r="F1020" s="75" t="s">
        <v>583</v>
      </c>
      <c r="G1020" t="s">
        <v>13002</v>
      </c>
      <c r="H1020" s="75" t="s">
        <v>12923</v>
      </c>
      <c r="I1020" s="75" t="s">
        <v>583</v>
      </c>
      <c r="J1020" t="s">
        <v>13002</v>
      </c>
      <c r="K1020" s="75" t="s">
        <v>1882</v>
      </c>
      <c r="L1020" s="75" t="s">
        <v>942</v>
      </c>
      <c r="M1020" t="s">
        <v>2537</v>
      </c>
      <c r="N1020" s="75" t="s">
        <v>1139</v>
      </c>
      <c r="O1020" s="75" t="s">
        <v>475</v>
      </c>
      <c r="P1020" t="s">
        <v>3845</v>
      </c>
      <c r="W1020" s="75" t="s">
        <v>10212</v>
      </c>
      <c r="X1020" s="75" t="s">
        <v>6936</v>
      </c>
      <c r="Y1020" t="s">
        <v>10437</v>
      </c>
    </row>
    <row r="1021" spans="2:25" x14ac:dyDescent="0.25">
      <c r="B1021" s="75" t="s">
        <v>13341</v>
      </c>
      <c r="C1021" s="75" t="s">
        <v>13066</v>
      </c>
      <c r="D1021" t="s">
        <v>13342</v>
      </c>
      <c r="E1021" s="75" t="s">
        <v>11822</v>
      </c>
      <c r="F1021" s="75" t="s">
        <v>380</v>
      </c>
      <c r="G1021" t="s">
        <v>11909</v>
      </c>
      <c r="H1021" s="75" t="s">
        <v>11645</v>
      </c>
      <c r="I1021" s="75" t="s">
        <v>583</v>
      </c>
      <c r="J1021" t="s">
        <v>11928</v>
      </c>
      <c r="K1021" s="75" t="s">
        <v>1887</v>
      </c>
      <c r="L1021" s="75" t="s">
        <v>367</v>
      </c>
      <c r="M1021" t="s">
        <v>2742</v>
      </c>
      <c r="N1021" s="75" t="s">
        <v>3153</v>
      </c>
      <c r="O1021" s="75" t="s">
        <v>1257</v>
      </c>
      <c r="P1021" t="s">
        <v>3870</v>
      </c>
      <c r="W1021" s="75" t="s">
        <v>10438</v>
      </c>
      <c r="X1021" s="75" t="s">
        <v>6936</v>
      </c>
      <c r="Y1021" t="s">
        <v>10546</v>
      </c>
    </row>
    <row r="1022" spans="2:25" x14ac:dyDescent="0.25">
      <c r="B1022" s="75" t="s">
        <v>13363</v>
      </c>
      <c r="C1022" s="75" t="s">
        <v>577</v>
      </c>
      <c r="D1022" t="s">
        <v>13540</v>
      </c>
      <c r="E1022" s="75" t="s">
        <v>8043</v>
      </c>
      <c r="F1022" s="75" t="s">
        <v>526</v>
      </c>
      <c r="G1022" t="s">
        <v>11974</v>
      </c>
      <c r="H1022" s="75" t="s">
        <v>13143</v>
      </c>
      <c r="I1022" s="75" t="s">
        <v>526</v>
      </c>
      <c r="J1022" t="s">
        <v>13705</v>
      </c>
      <c r="K1022" s="75" t="s">
        <v>2727</v>
      </c>
      <c r="L1022" s="75" t="s">
        <v>472</v>
      </c>
      <c r="M1022" t="s">
        <v>2773</v>
      </c>
      <c r="N1022" s="75" t="s">
        <v>779</v>
      </c>
      <c r="O1022" s="75" t="s">
        <v>1024</v>
      </c>
      <c r="P1022" t="s">
        <v>3890</v>
      </c>
      <c r="W1022" s="75" t="s">
        <v>10657</v>
      </c>
      <c r="X1022" s="75" t="s">
        <v>6925</v>
      </c>
      <c r="Y1022" t="s">
        <v>10775</v>
      </c>
    </row>
    <row r="1023" spans="2:25" x14ac:dyDescent="0.25">
      <c r="B1023" s="75" t="s">
        <v>13962</v>
      </c>
      <c r="C1023" s="75" t="s">
        <v>13664</v>
      </c>
      <c r="D1023" t="s">
        <v>13986</v>
      </c>
      <c r="E1023" s="75" t="s">
        <v>13444</v>
      </c>
      <c r="F1023" s="75" t="s">
        <v>13066</v>
      </c>
      <c r="G1023" t="s">
        <v>13536</v>
      </c>
      <c r="H1023" s="75" t="s">
        <v>13461</v>
      </c>
      <c r="I1023" s="75" t="s">
        <v>9753</v>
      </c>
      <c r="J1023" t="s">
        <v>13734</v>
      </c>
      <c r="K1023" s="75" t="s">
        <v>1825</v>
      </c>
      <c r="L1023" s="75" t="s">
        <v>475</v>
      </c>
      <c r="M1023" t="s">
        <v>2774</v>
      </c>
      <c r="N1023" s="75" t="s">
        <v>183</v>
      </c>
      <c r="O1023" s="75" t="s">
        <v>561</v>
      </c>
      <c r="P1023" t="s">
        <v>3949</v>
      </c>
      <c r="W1023" s="75" t="s">
        <v>10710</v>
      </c>
      <c r="X1023" s="75" t="s">
        <v>583</v>
      </c>
      <c r="Y1023" t="s">
        <v>10797</v>
      </c>
    </row>
    <row r="1024" spans="2:25" x14ac:dyDescent="0.25">
      <c r="B1024" s="75" t="s">
        <v>13451</v>
      </c>
      <c r="C1024" s="75" t="s">
        <v>9753</v>
      </c>
      <c r="D1024" t="s">
        <v>13460</v>
      </c>
      <c r="E1024" s="75" t="s">
        <v>13394</v>
      </c>
      <c r="F1024" s="75" t="s">
        <v>8045</v>
      </c>
      <c r="G1024" t="s">
        <v>13821</v>
      </c>
      <c r="H1024" s="75" t="s">
        <v>13394</v>
      </c>
      <c r="I1024" s="75" t="s">
        <v>8045</v>
      </c>
      <c r="J1024" t="s">
        <v>13865</v>
      </c>
      <c r="K1024" s="75" t="s">
        <v>2657</v>
      </c>
      <c r="L1024" s="75" t="s">
        <v>942</v>
      </c>
      <c r="M1024" t="s">
        <v>2811</v>
      </c>
      <c r="N1024" s="75" t="s">
        <v>3152</v>
      </c>
      <c r="O1024" s="75" t="s">
        <v>1533</v>
      </c>
      <c r="P1024" t="s">
        <v>4000</v>
      </c>
      <c r="W1024" s="75" t="s">
        <v>10619</v>
      </c>
      <c r="X1024" s="75" t="s">
        <v>6925</v>
      </c>
      <c r="Y1024" t="s">
        <v>11037</v>
      </c>
    </row>
    <row r="1025" spans="2:25" x14ac:dyDescent="0.25">
      <c r="B1025" s="75" t="s">
        <v>14315</v>
      </c>
      <c r="C1025" s="75" t="s">
        <v>8045</v>
      </c>
      <c r="D1025" t="s">
        <v>14394</v>
      </c>
      <c r="E1025" s="75" t="s">
        <v>13539</v>
      </c>
      <c r="F1025" s="75" t="s">
        <v>14135</v>
      </c>
      <c r="G1025" t="s">
        <v>14148</v>
      </c>
      <c r="H1025" s="75" t="s">
        <v>13539</v>
      </c>
      <c r="I1025" s="75" t="s">
        <v>14135</v>
      </c>
      <c r="J1025" t="s">
        <v>14200</v>
      </c>
      <c r="K1025" s="75" t="s">
        <v>3174</v>
      </c>
      <c r="L1025" s="75" t="s">
        <v>380</v>
      </c>
      <c r="M1025" t="s">
        <v>2820</v>
      </c>
      <c r="N1025" s="75" t="s">
        <v>3935</v>
      </c>
      <c r="O1025" s="75" t="s">
        <v>547</v>
      </c>
      <c r="P1025" t="s">
        <v>4065</v>
      </c>
      <c r="W1025" s="75" t="s">
        <v>10850</v>
      </c>
      <c r="X1025" s="75" t="s">
        <v>9753</v>
      </c>
      <c r="Y1025" t="s">
        <v>11107</v>
      </c>
    </row>
    <row r="1026" spans="2:25" x14ac:dyDescent="0.25">
      <c r="B1026" s="75" t="s">
        <v>14439</v>
      </c>
      <c r="C1026" s="75" t="s">
        <v>14231</v>
      </c>
      <c r="D1026" t="s">
        <v>14509</v>
      </c>
      <c r="E1026" s="75" t="s">
        <v>13461</v>
      </c>
      <c r="F1026" s="75" t="s">
        <v>9753</v>
      </c>
      <c r="G1026" t="s">
        <v>13672</v>
      </c>
      <c r="H1026" s="75" t="s">
        <v>14353</v>
      </c>
      <c r="I1026" s="75" t="s">
        <v>14152</v>
      </c>
      <c r="J1026" t="s">
        <v>14609</v>
      </c>
      <c r="K1026" s="75" t="s">
        <v>2656</v>
      </c>
      <c r="L1026" s="75" t="s">
        <v>476</v>
      </c>
      <c r="M1026" t="s">
        <v>2821</v>
      </c>
      <c r="N1026" s="75" t="s">
        <v>3937</v>
      </c>
      <c r="O1026" s="75" t="s">
        <v>3936</v>
      </c>
      <c r="P1026" t="s">
        <v>4077</v>
      </c>
      <c r="W1026" s="75" t="s">
        <v>11128</v>
      </c>
      <c r="X1026" s="75" t="s">
        <v>9753</v>
      </c>
      <c r="Y1026" t="s">
        <v>11177</v>
      </c>
    </row>
    <row r="1027" spans="2:25" x14ac:dyDescent="0.25">
      <c r="B1027" s="75" t="s">
        <v>14295</v>
      </c>
      <c r="C1027" s="75" t="s">
        <v>14152</v>
      </c>
      <c r="D1027" t="s">
        <v>14352</v>
      </c>
      <c r="E1027" s="75" t="s">
        <v>13143</v>
      </c>
      <c r="F1027" s="290" t="s">
        <v>526</v>
      </c>
      <c r="G1027" t="s">
        <v>13563</v>
      </c>
      <c r="H1027" s="75" t="s">
        <v>14514</v>
      </c>
      <c r="I1027" s="290" t="s">
        <v>14231</v>
      </c>
      <c r="J1027" t="s">
        <v>14747</v>
      </c>
      <c r="K1027" s="75" t="s">
        <v>1826</v>
      </c>
      <c r="L1027" s="75" t="s">
        <v>1455</v>
      </c>
      <c r="M1027" t="s">
        <v>2833</v>
      </c>
      <c r="N1027" s="75" t="s">
        <v>3950</v>
      </c>
      <c r="O1027" s="75" t="s">
        <v>561</v>
      </c>
      <c r="P1027" t="s">
        <v>4079</v>
      </c>
      <c r="W1027" s="75" t="s">
        <v>5866</v>
      </c>
      <c r="X1027" s="75" t="s">
        <v>380</v>
      </c>
      <c r="Y1027" t="s">
        <v>11178</v>
      </c>
    </row>
    <row r="1028" spans="2:25" x14ac:dyDescent="0.25">
      <c r="B1028" s="75" t="s">
        <v>14687</v>
      </c>
      <c r="C1028" s="75" t="s">
        <v>6925</v>
      </c>
      <c r="D1028" t="s">
        <v>14877</v>
      </c>
      <c r="E1028" s="75" t="s">
        <v>14353</v>
      </c>
      <c r="F1028" s="75" t="s">
        <v>14152</v>
      </c>
      <c r="G1028" t="s">
        <v>14608</v>
      </c>
      <c r="K1028" s="75" t="s">
        <v>2810</v>
      </c>
      <c r="L1028" s="75" t="s">
        <v>942</v>
      </c>
      <c r="M1028" t="s">
        <v>2921</v>
      </c>
      <c r="N1028" s="75" t="s">
        <v>1535</v>
      </c>
      <c r="O1028" s="75" t="s">
        <v>5</v>
      </c>
      <c r="P1028" t="s">
        <v>4106</v>
      </c>
      <c r="W1028" s="75" t="s">
        <v>11220</v>
      </c>
      <c r="X1028" s="75" t="s">
        <v>380</v>
      </c>
      <c r="Y1028" t="s">
        <v>11246</v>
      </c>
    </row>
    <row r="1029" spans="2:25" x14ac:dyDescent="0.25">
      <c r="B1029" s="75" t="s">
        <v>14881</v>
      </c>
      <c r="C1029" s="75" t="s">
        <v>6216</v>
      </c>
      <c r="D1029" t="s">
        <v>14929</v>
      </c>
      <c r="E1029" s="75" t="s">
        <v>14514</v>
      </c>
      <c r="F1029" s="75" t="s">
        <v>14231</v>
      </c>
      <c r="G1029" t="s">
        <v>14738</v>
      </c>
      <c r="K1029" s="75" t="s">
        <v>2847</v>
      </c>
      <c r="L1029" s="75" t="s">
        <v>383</v>
      </c>
      <c r="M1029" t="s">
        <v>2962</v>
      </c>
      <c r="N1029" s="75" t="s">
        <v>3921</v>
      </c>
      <c r="O1029" s="75" t="s">
        <v>385</v>
      </c>
      <c r="P1029" t="s">
        <v>4078</v>
      </c>
      <c r="W1029" s="75" t="s">
        <v>11159</v>
      </c>
      <c r="X1029" s="75" t="s">
        <v>6925</v>
      </c>
      <c r="Y1029" t="s">
        <v>11319</v>
      </c>
    </row>
    <row r="1030" spans="2:25" x14ac:dyDescent="0.25">
      <c r="B1030" s="75" t="s">
        <v>14641</v>
      </c>
      <c r="C1030" s="75" t="s">
        <v>14285</v>
      </c>
      <c r="D1030" t="s">
        <v>14708</v>
      </c>
      <c r="E1030" s="75" t="s">
        <v>13987</v>
      </c>
      <c r="F1030" s="290" t="s">
        <v>13664</v>
      </c>
      <c r="G1030" t="s">
        <v>14592</v>
      </c>
      <c r="K1030" s="75" t="s">
        <v>2882</v>
      </c>
      <c r="L1030" s="75" t="s">
        <v>467</v>
      </c>
      <c r="M1030" t="s">
        <v>3103</v>
      </c>
      <c r="N1030" s="75" t="s">
        <v>3942</v>
      </c>
      <c r="O1030" s="75" t="s">
        <v>384</v>
      </c>
      <c r="P1030" t="s">
        <v>4157</v>
      </c>
      <c r="W1030" s="74" t="s">
        <v>11061</v>
      </c>
      <c r="X1030" s="216" t="s">
        <v>6925</v>
      </c>
      <c r="Y1030" t="s">
        <v>11417</v>
      </c>
    </row>
    <row r="1031" spans="2:25" x14ac:dyDescent="0.25">
      <c r="B1031" s="75" t="s">
        <v>11478</v>
      </c>
      <c r="C1031" s="75" t="s">
        <v>583</v>
      </c>
      <c r="D1031" t="s">
        <v>11646</v>
      </c>
      <c r="E1031" s="75" t="s">
        <v>14878</v>
      </c>
      <c r="F1031" s="216" t="s">
        <v>6216</v>
      </c>
      <c r="G1031" t="s">
        <v>15205</v>
      </c>
      <c r="K1031" s="75" t="s">
        <v>3133</v>
      </c>
      <c r="L1031" s="75" t="s">
        <v>385</v>
      </c>
      <c r="M1031" t="s">
        <v>3198</v>
      </c>
      <c r="N1031" s="75" t="s">
        <v>3999</v>
      </c>
      <c r="O1031" s="75" t="s">
        <v>583</v>
      </c>
      <c r="P1031" t="s">
        <v>4158</v>
      </c>
      <c r="W1031" s="75" t="s">
        <v>11399</v>
      </c>
      <c r="X1031" s="75" t="s">
        <v>577</v>
      </c>
      <c r="Y1031" t="s">
        <v>11486</v>
      </c>
    </row>
    <row r="1032" spans="2:25" x14ac:dyDescent="0.25">
      <c r="B1032" s="75" t="s">
        <v>11488</v>
      </c>
      <c r="C1032" s="75" t="s">
        <v>577</v>
      </c>
      <c r="D1032" t="s">
        <v>11552</v>
      </c>
      <c r="E1032" s="75" t="s">
        <v>14930</v>
      </c>
      <c r="F1032" s="75" t="s">
        <v>6216</v>
      </c>
      <c r="G1032" t="s">
        <v>15269</v>
      </c>
      <c r="K1032" s="75" t="s">
        <v>2775</v>
      </c>
      <c r="L1032" s="75" t="s">
        <v>475</v>
      </c>
      <c r="M1032" t="s">
        <v>3321</v>
      </c>
      <c r="N1032" s="75" t="s">
        <v>4104</v>
      </c>
      <c r="O1032" s="75" t="s">
        <v>4105</v>
      </c>
      <c r="P1032" t="s">
        <v>4333</v>
      </c>
      <c r="W1032" s="75" t="s">
        <v>11265</v>
      </c>
      <c r="X1032" s="75" t="s">
        <v>526</v>
      </c>
      <c r="Y1032" t="s">
        <v>11487</v>
      </c>
    </row>
    <row r="1033" spans="2:25" x14ac:dyDescent="0.25">
      <c r="B1033" s="75" t="s">
        <v>15062</v>
      </c>
      <c r="C1033" s="75" t="s">
        <v>8045</v>
      </c>
      <c r="D1033" t="s">
        <v>15225</v>
      </c>
      <c r="E1033" s="74" t="s">
        <v>14392</v>
      </c>
      <c r="F1033" s="290" t="s">
        <v>8045</v>
      </c>
      <c r="G1033" t="s">
        <v>15080</v>
      </c>
      <c r="K1033" s="75" t="s">
        <v>3450</v>
      </c>
      <c r="L1033" s="75" t="s">
        <v>1376</v>
      </c>
      <c r="M1033" t="s">
        <v>3529</v>
      </c>
      <c r="N1033" s="75" t="s">
        <v>415</v>
      </c>
      <c r="O1033" s="75" t="s">
        <v>4176</v>
      </c>
      <c r="P1033" t="s">
        <v>4335</v>
      </c>
      <c r="W1033" s="74" t="s">
        <v>10756</v>
      </c>
      <c r="X1033" s="216" t="s">
        <v>526</v>
      </c>
      <c r="Y1033" t="s">
        <v>11584</v>
      </c>
    </row>
    <row r="1034" spans="2:25" x14ac:dyDescent="0.25">
      <c r="B1034" s="75" t="s">
        <v>11273</v>
      </c>
      <c r="C1034" s="75" t="s">
        <v>467</v>
      </c>
      <c r="D1034" t="s">
        <v>11397</v>
      </c>
      <c r="K1034" s="75" t="s">
        <v>3451</v>
      </c>
      <c r="L1034" s="75" t="s">
        <v>1692</v>
      </c>
      <c r="M1034" t="s">
        <v>3590</v>
      </c>
      <c r="N1034" s="75" t="s">
        <v>4147</v>
      </c>
      <c r="O1034" s="75" t="s">
        <v>3177</v>
      </c>
      <c r="P1034" t="s">
        <v>4345</v>
      </c>
      <c r="W1034" s="75" t="s">
        <v>11367</v>
      </c>
      <c r="X1034" s="75" t="s">
        <v>942</v>
      </c>
      <c r="Y1034" t="s">
        <v>11612</v>
      </c>
    </row>
    <row r="1035" spans="2:25" x14ac:dyDescent="0.25">
      <c r="K1035" s="75" t="s">
        <v>3551</v>
      </c>
      <c r="L1035" s="75" t="s">
        <v>1692</v>
      </c>
      <c r="M1035" t="s">
        <v>3634</v>
      </c>
      <c r="N1035" s="75" t="s">
        <v>4358</v>
      </c>
      <c r="O1035" s="75" t="s">
        <v>4176</v>
      </c>
      <c r="P1035" t="s">
        <v>4359</v>
      </c>
      <c r="W1035" s="75" t="s">
        <v>11158</v>
      </c>
      <c r="X1035" s="75" t="s">
        <v>305</v>
      </c>
      <c r="Y1035" t="s">
        <v>11611</v>
      </c>
    </row>
    <row r="1036" spans="2:25" x14ac:dyDescent="0.25">
      <c r="K1036" s="75" t="s">
        <v>3475</v>
      </c>
      <c r="L1036" s="75" t="s">
        <v>474</v>
      </c>
      <c r="M1036" t="s">
        <v>3680</v>
      </c>
      <c r="N1036" s="75" t="s">
        <v>185</v>
      </c>
      <c r="O1036" s="75" t="s">
        <v>4178</v>
      </c>
      <c r="P1036" t="s">
        <v>4360</v>
      </c>
      <c r="W1036" s="75" t="s">
        <v>11198</v>
      </c>
      <c r="X1036" s="75" t="s">
        <v>9753</v>
      </c>
      <c r="Y1036" t="s">
        <v>11522</v>
      </c>
    </row>
    <row r="1037" spans="2:25" x14ac:dyDescent="0.25">
      <c r="K1037" s="75" t="s">
        <v>3440</v>
      </c>
      <c r="L1037" s="75" t="s">
        <v>383</v>
      </c>
      <c r="M1037" t="s">
        <v>3688</v>
      </c>
      <c r="N1037" s="75" t="s">
        <v>4088</v>
      </c>
      <c r="O1037" s="75" t="s">
        <v>385</v>
      </c>
      <c r="P1037" t="s">
        <v>4361</v>
      </c>
      <c r="W1037" s="74" t="s">
        <v>269</v>
      </c>
      <c r="X1037" s="216" t="s">
        <v>367</v>
      </c>
      <c r="Y1037" t="s">
        <v>11497</v>
      </c>
    </row>
    <row r="1038" spans="2:25" x14ac:dyDescent="0.25">
      <c r="K1038" s="75" t="s">
        <v>3673</v>
      </c>
      <c r="L1038" s="75" t="s">
        <v>474</v>
      </c>
      <c r="M1038" t="s">
        <v>3768</v>
      </c>
      <c r="N1038" s="75" t="s">
        <v>557</v>
      </c>
      <c r="O1038" s="75" t="s">
        <v>583</v>
      </c>
      <c r="P1038" t="s">
        <v>4391</v>
      </c>
      <c r="W1038" s="75" t="s">
        <v>11713</v>
      </c>
      <c r="X1038" s="75" t="s">
        <v>577</v>
      </c>
      <c r="Y1038" t="s">
        <v>11734</v>
      </c>
    </row>
    <row r="1039" spans="2:25" x14ac:dyDescent="0.25">
      <c r="K1039" s="75" t="s">
        <v>858</v>
      </c>
      <c r="L1039" s="75" t="s">
        <v>561</v>
      </c>
      <c r="M1039" t="s">
        <v>3795</v>
      </c>
      <c r="N1039" s="75" t="s">
        <v>3997</v>
      </c>
      <c r="O1039" s="75" t="s">
        <v>476</v>
      </c>
      <c r="P1039" t="s">
        <v>4411</v>
      </c>
      <c r="W1039" s="75" t="s">
        <v>10682</v>
      </c>
      <c r="X1039" s="75" t="s">
        <v>274</v>
      </c>
      <c r="Y1039" t="s">
        <v>11785</v>
      </c>
    </row>
    <row r="1040" spans="2:25" x14ac:dyDescent="0.25">
      <c r="K1040" s="75" t="s">
        <v>3735</v>
      </c>
      <c r="L1040" s="75" t="s">
        <v>385</v>
      </c>
      <c r="M1040" t="s">
        <v>3785</v>
      </c>
      <c r="N1040" s="75" t="s">
        <v>4103</v>
      </c>
      <c r="O1040" s="75" t="s">
        <v>1246</v>
      </c>
      <c r="P1040" t="s">
        <v>4439</v>
      </c>
      <c r="W1040" s="75" t="s">
        <v>733</v>
      </c>
      <c r="X1040" s="75" t="s">
        <v>9753</v>
      </c>
      <c r="Y1040" t="s">
        <v>11856</v>
      </c>
    </row>
    <row r="1041" spans="11:25" x14ac:dyDescent="0.25">
      <c r="K1041" s="75" t="s">
        <v>3474</v>
      </c>
      <c r="L1041" s="75" t="s">
        <v>3806</v>
      </c>
      <c r="M1041" t="s">
        <v>3817</v>
      </c>
      <c r="N1041" s="75" t="s">
        <v>4374</v>
      </c>
      <c r="O1041" s="75" t="s">
        <v>4375</v>
      </c>
      <c r="P1041" t="s">
        <v>4547</v>
      </c>
      <c r="W1041" s="75" t="s">
        <v>12182</v>
      </c>
      <c r="X1041" s="216" t="s">
        <v>12303</v>
      </c>
      <c r="Y1041" t="s">
        <v>12447</v>
      </c>
    </row>
    <row r="1042" spans="11:25" x14ac:dyDescent="0.25">
      <c r="K1042" s="75" t="s">
        <v>3725</v>
      </c>
      <c r="L1042" s="75" t="s">
        <v>477</v>
      </c>
      <c r="M1042" t="s">
        <v>3900</v>
      </c>
      <c r="N1042" s="75" t="s">
        <v>252</v>
      </c>
      <c r="O1042" s="75" t="s">
        <v>4216</v>
      </c>
      <c r="P1042" t="s">
        <v>4626</v>
      </c>
      <c r="W1042" s="75" t="s">
        <v>11901</v>
      </c>
      <c r="X1042" s="75" t="s">
        <v>577</v>
      </c>
      <c r="Y1042" t="s">
        <v>11930</v>
      </c>
    </row>
    <row r="1043" spans="11:25" x14ac:dyDescent="0.25">
      <c r="K1043" s="75" t="s">
        <v>3767</v>
      </c>
      <c r="L1043" s="75" t="s">
        <v>385</v>
      </c>
      <c r="M1043" t="s">
        <v>3926</v>
      </c>
      <c r="N1043" s="75" t="s">
        <v>4242</v>
      </c>
      <c r="O1043" s="75" t="s">
        <v>1692</v>
      </c>
      <c r="P1043" t="s">
        <v>4689</v>
      </c>
      <c r="W1043" s="75" t="s">
        <v>10278</v>
      </c>
      <c r="X1043" s="75" t="s">
        <v>583</v>
      </c>
      <c r="Y1043" t="s">
        <v>11966</v>
      </c>
    </row>
    <row r="1044" spans="11:25" x14ac:dyDescent="0.25">
      <c r="K1044" s="75" t="s">
        <v>3913</v>
      </c>
      <c r="L1044" s="75" t="s">
        <v>561</v>
      </c>
      <c r="M1044" t="s">
        <v>3927</v>
      </c>
      <c r="N1044" s="75" t="s">
        <v>4479</v>
      </c>
      <c r="O1044" s="75" t="s">
        <v>4178</v>
      </c>
      <c r="P1044" t="s">
        <v>4690</v>
      </c>
      <c r="W1044" s="75" t="s">
        <v>11539</v>
      </c>
      <c r="X1044" s="216" t="s">
        <v>305</v>
      </c>
      <c r="Y1044" t="s">
        <v>11968</v>
      </c>
    </row>
    <row r="1045" spans="11:25" x14ac:dyDescent="0.25">
      <c r="K1045" s="75" t="s">
        <v>3998</v>
      </c>
      <c r="L1045" s="75" t="s">
        <v>467</v>
      </c>
      <c r="M1045" t="s">
        <v>4240</v>
      </c>
      <c r="N1045" s="75" t="s">
        <v>4131</v>
      </c>
      <c r="O1045" s="75" t="s">
        <v>4133</v>
      </c>
      <c r="P1045" t="s">
        <v>4740</v>
      </c>
      <c r="W1045" s="75" t="s">
        <v>11950</v>
      </c>
      <c r="X1045" s="75" t="s">
        <v>380</v>
      </c>
      <c r="Y1045" t="s">
        <v>11991</v>
      </c>
    </row>
    <row r="1046" spans="11:25" x14ac:dyDescent="0.25">
      <c r="K1046" s="75" t="s">
        <v>4023</v>
      </c>
      <c r="L1046" s="75" t="s">
        <v>4216</v>
      </c>
      <c r="M1046" t="s">
        <v>4312</v>
      </c>
      <c r="N1046" s="75" t="s">
        <v>4117</v>
      </c>
      <c r="O1046" s="75" t="s">
        <v>468</v>
      </c>
      <c r="P1046" t="s">
        <v>4742</v>
      </c>
      <c r="W1046" s="75" t="s">
        <v>11787</v>
      </c>
      <c r="X1046" s="75" t="s">
        <v>6925</v>
      </c>
      <c r="Y1046" t="s">
        <v>11929</v>
      </c>
    </row>
    <row r="1047" spans="11:25" x14ac:dyDescent="0.25">
      <c r="K1047" s="75" t="s">
        <v>4271</v>
      </c>
      <c r="L1047" s="75" t="s">
        <v>380</v>
      </c>
      <c r="M1047" t="s">
        <v>4376</v>
      </c>
      <c r="N1047" s="75" t="s">
        <v>4325</v>
      </c>
      <c r="O1047" s="75" t="s">
        <v>4216</v>
      </c>
      <c r="P1047" t="s">
        <v>4763</v>
      </c>
      <c r="W1047" s="75" t="s">
        <v>11714</v>
      </c>
      <c r="X1047" s="75" t="s">
        <v>6925</v>
      </c>
      <c r="Y1047" t="s">
        <v>11782</v>
      </c>
    </row>
    <row r="1048" spans="11:25" x14ac:dyDescent="0.25">
      <c r="K1048" s="75" t="s">
        <v>4371</v>
      </c>
      <c r="L1048" s="75" t="s">
        <v>4178</v>
      </c>
      <c r="M1048" t="s">
        <v>4465</v>
      </c>
      <c r="N1048" s="75" t="s">
        <v>4222</v>
      </c>
      <c r="O1048" s="75" t="s">
        <v>305</v>
      </c>
      <c r="P1048" t="s">
        <v>4764</v>
      </c>
      <c r="W1048" s="75" t="s">
        <v>11965</v>
      </c>
      <c r="X1048" s="75" t="s">
        <v>577</v>
      </c>
      <c r="Y1048" t="s">
        <v>12092</v>
      </c>
    </row>
    <row r="1049" spans="11:25" x14ac:dyDescent="0.25">
      <c r="K1049" s="75" t="s">
        <v>4467</v>
      </c>
      <c r="L1049" s="75" t="s">
        <v>560</v>
      </c>
      <c r="M1049" t="s">
        <v>4572</v>
      </c>
      <c r="N1049" s="75" t="s">
        <v>4370</v>
      </c>
      <c r="O1049" s="75" t="s">
        <v>385</v>
      </c>
      <c r="P1049" t="s">
        <v>4831</v>
      </c>
      <c r="W1049" s="75" t="s">
        <v>11647</v>
      </c>
      <c r="X1049" s="75" t="s">
        <v>467</v>
      </c>
      <c r="Y1049" t="s">
        <v>11767</v>
      </c>
    </row>
    <row r="1050" spans="11:25" x14ac:dyDescent="0.25">
      <c r="K1050" s="75" t="s">
        <v>4497</v>
      </c>
      <c r="L1050" s="75" t="s">
        <v>625</v>
      </c>
      <c r="M1050" t="s">
        <v>4575</v>
      </c>
      <c r="N1050" s="75" t="s">
        <v>924</v>
      </c>
      <c r="O1050" s="75" t="s">
        <v>1692</v>
      </c>
      <c r="P1050" t="s">
        <v>4901</v>
      </c>
      <c r="W1050" s="75" t="s">
        <v>11977</v>
      </c>
      <c r="X1050" s="75" t="s">
        <v>526</v>
      </c>
      <c r="Y1050" t="s">
        <v>12124</v>
      </c>
    </row>
    <row r="1051" spans="11:25" x14ac:dyDescent="0.25">
      <c r="K1051" s="75" t="s">
        <v>4377</v>
      </c>
      <c r="L1051" s="75" t="s">
        <v>467</v>
      </c>
      <c r="M1051" t="s">
        <v>4622</v>
      </c>
      <c r="N1051" s="75" t="s">
        <v>4662</v>
      </c>
      <c r="O1051" s="75" t="s">
        <v>468</v>
      </c>
      <c r="P1051" t="s">
        <v>4945</v>
      </c>
      <c r="W1051" s="75" t="s">
        <v>12120</v>
      </c>
      <c r="X1051" s="75" t="s">
        <v>380</v>
      </c>
      <c r="Y1051" t="s">
        <v>12200</v>
      </c>
    </row>
    <row r="1052" spans="11:25" x14ac:dyDescent="0.25">
      <c r="K1052" s="75" t="s">
        <v>4357</v>
      </c>
      <c r="L1052" s="75" t="s">
        <v>468</v>
      </c>
      <c r="M1052" t="s">
        <v>4625</v>
      </c>
      <c r="N1052" s="75" t="s">
        <v>4644</v>
      </c>
      <c r="O1052" s="75" t="s">
        <v>4645</v>
      </c>
      <c r="P1052" t="s">
        <v>5008</v>
      </c>
      <c r="W1052" s="75" t="s">
        <v>12019</v>
      </c>
      <c r="X1052" s="75" t="s">
        <v>380</v>
      </c>
      <c r="Y1052" t="s">
        <v>12215</v>
      </c>
    </row>
    <row r="1053" spans="11:25" x14ac:dyDescent="0.25">
      <c r="K1053" s="75" t="s">
        <v>4356</v>
      </c>
      <c r="L1053" s="75" t="s">
        <v>942</v>
      </c>
      <c r="M1053" t="s">
        <v>4654</v>
      </c>
      <c r="N1053" s="75" t="s">
        <v>2954</v>
      </c>
      <c r="O1053" s="75" t="s">
        <v>560</v>
      </c>
      <c r="P1053" t="s">
        <v>5026</v>
      </c>
      <c r="W1053" s="75" t="s">
        <v>10240</v>
      </c>
      <c r="X1053" s="75" t="s">
        <v>526</v>
      </c>
      <c r="Y1053" t="s">
        <v>12219</v>
      </c>
    </row>
    <row r="1054" spans="11:25" x14ac:dyDescent="0.25">
      <c r="K1054" s="75" t="s">
        <v>4709</v>
      </c>
      <c r="L1054" s="75" t="s">
        <v>583</v>
      </c>
      <c r="M1054" t="s">
        <v>4908</v>
      </c>
      <c r="N1054" s="75" t="s">
        <v>4498</v>
      </c>
      <c r="O1054" s="75" t="s">
        <v>1533</v>
      </c>
      <c r="P1054" t="s">
        <v>5027</v>
      </c>
      <c r="W1054" s="75" t="s">
        <v>12054</v>
      </c>
      <c r="X1054" s="317" t="s">
        <v>305</v>
      </c>
      <c r="Y1054" t="s">
        <v>12184</v>
      </c>
    </row>
    <row r="1055" spans="11:25" x14ac:dyDescent="0.25">
      <c r="K1055" s="75" t="s">
        <v>4664</v>
      </c>
      <c r="L1055" s="75" t="s">
        <v>648</v>
      </c>
      <c r="M1055" t="s">
        <v>4965</v>
      </c>
      <c r="N1055" s="75" t="s">
        <v>692</v>
      </c>
      <c r="O1055" s="75" t="s">
        <v>5</v>
      </c>
      <c r="P1055" t="s">
        <v>5150</v>
      </c>
      <c r="W1055" s="75" t="s">
        <v>10568</v>
      </c>
      <c r="X1055" s="75" t="s">
        <v>368</v>
      </c>
      <c r="Y1055" t="s">
        <v>10604</v>
      </c>
    </row>
    <row r="1056" spans="11:25" x14ac:dyDescent="0.25">
      <c r="K1056" s="75" t="s">
        <v>4895</v>
      </c>
      <c r="L1056" s="75" t="s">
        <v>385</v>
      </c>
      <c r="M1056" t="s">
        <v>5009</v>
      </c>
      <c r="N1056" s="75" t="s">
        <v>4898</v>
      </c>
      <c r="O1056" s="75" t="s">
        <v>583</v>
      </c>
      <c r="P1056" t="s">
        <v>5151</v>
      </c>
      <c r="W1056" s="75" t="s">
        <v>12093</v>
      </c>
      <c r="X1056" s="75" t="s">
        <v>577</v>
      </c>
      <c r="Y1056" t="s">
        <v>12242</v>
      </c>
    </row>
    <row r="1057" spans="11:25" x14ac:dyDescent="0.25">
      <c r="K1057" s="75" t="s">
        <v>4943</v>
      </c>
      <c r="L1057" s="75" t="s">
        <v>1369</v>
      </c>
      <c r="M1057" t="s">
        <v>5010</v>
      </c>
      <c r="N1057" s="75" t="s">
        <v>5145</v>
      </c>
      <c r="O1057" s="75" t="s">
        <v>583</v>
      </c>
      <c r="P1057" t="s">
        <v>5178</v>
      </c>
      <c r="W1057" s="75" t="s">
        <v>12276</v>
      </c>
      <c r="X1057" s="75" t="s">
        <v>526</v>
      </c>
      <c r="Y1057" t="s">
        <v>12342</v>
      </c>
    </row>
    <row r="1058" spans="11:25" x14ac:dyDescent="0.25">
      <c r="K1058" s="75" t="s">
        <v>4711</v>
      </c>
      <c r="L1058" s="75" t="s">
        <v>4712</v>
      </c>
      <c r="M1058" t="s">
        <v>5047</v>
      </c>
      <c r="N1058" s="74" t="s">
        <v>5120</v>
      </c>
      <c r="O1058" s="74" t="s">
        <v>1533</v>
      </c>
      <c r="P1058" t="s">
        <v>5215</v>
      </c>
      <c r="W1058" s="74" t="s">
        <v>12232</v>
      </c>
      <c r="X1058" s="74" t="s">
        <v>305</v>
      </c>
      <c r="Y1058" t="s">
        <v>12270</v>
      </c>
    </row>
    <row r="1059" spans="11:25" x14ac:dyDescent="0.25">
      <c r="K1059" s="75" t="s">
        <v>5031</v>
      </c>
      <c r="L1059" s="75" t="s">
        <v>625</v>
      </c>
      <c r="M1059" t="s">
        <v>5092</v>
      </c>
      <c r="N1059" s="75" t="s">
        <v>397</v>
      </c>
      <c r="O1059" s="75" t="s">
        <v>583</v>
      </c>
      <c r="P1059" t="s">
        <v>5306</v>
      </c>
      <c r="W1059" s="75" t="s">
        <v>12223</v>
      </c>
      <c r="X1059" s="75" t="s">
        <v>526</v>
      </c>
      <c r="Y1059" t="s">
        <v>12266</v>
      </c>
    </row>
    <row r="1060" spans="11:25" x14ac:dyDescent="0.25">
      <c r="K1060" s="75" t="s">
        <v>5030</v>
      </c>
      <c r="L1060" s="75" t="s">
        <v>560</v>
      </c>
      <c r="M1060" t="s">
        <v>5149</v>
      </c>
      <c r="N1060" s="75" t="s">
        <v>4663</v>
      </c>
      <c r="O1060" s="75" t="s">
        <v>942</v>
      </c>
      <c r="P1060" t="s">
        <v>5341</v>
      </c>
      <c r="W1060" s="74" t="s">
        <v>11399</v>
      </c>
      <c r="X1060" s="74" t="s">
        <v>604</v>
      </c>
      <c r="Y1060" t="s">
        <v>12400</v>
      </c>
    </row>
    <row r="1061" spans="11:25" x14ac:dyDescent="0.25">
      <c r="K1061" s="75" t="s">
        <v>5155</v>
      </c>
      <c r="L1061" s="75" t="s">
        <v>303</v>
      </c>
      <c r="M1061" t="s">
        <v>5313</v>
      </c>
      <c r="N1061" s="75" t="s">
        <v>4966</v>
      </c>
      <c r="O1061" s="75" t="s">
        <v>648</v>
      </c>
      <c r="P1061" t="s">
        <v>5382</v>
      </c>
      <c r="W1061" s="75" t="s">
        <v>733</v>
      </c>
      <c r="X1061" s="75" t="s">
        <v>604</v>
      </c>
      <c r="Y1061" t="s">
        <v>12425</v>
      </c>
    </row>
    <row r="1062" spans="11:25" x14ac:dyDescent="0.25">
      <c r="K1062" s="75" t="s">
        <v>5497</v>
      </c>
      <c r="L1062" s="75" t="s">
        <v>648</v>
      </c>
      <c r="M1062" t="s">
        <v>5519</v>
      </c>
      <c r="N1062" s="75" t="s">
        <v>5324</v>
      </c>
      <c r="O1062" s="75" t="s">
        <v>625</v>
      </c>
      <c r="P1062" t="s">
        <v>5435</v>
      </c>
      <c r="W1062" s="74" t="s">
        <v>2741</v>
      </c>
      <c r="X1062" s="74" t="s">
        <v>305</v>
      </c>
      <c r="Y1062" t="s">
        <v>12699</v>
      </c>
    </row>
    <row r="1063" spans="11:25" x14ac:dyDescent="0.25">
      <c r="K1063" s="74" t="s">
        <v>4801</v>
      </c>
      <c r="L1063" s="74" t="s">
        <v>5108</v>
      </c>
      <c r="M1063" t="s">
        <v>5536</v>
      </c>
      <c r="N1063" s="75" t="s">
        <v>5310</v>
      </c>
      <c r="O1063" s="75" t="s">
        <v>475</v>
      </c>
      <c r="P1063" t="s">
        <v>5543</v>
      </c>
      <c r="W1063" s="75" t="s">
        <v>11893</v>
      </c>
      <c r="X1063" s="216" t="s">
        <v>12303</v>
      </c>
      <c r="Y1063" t="s">
        <v>12488</v>
      </c>
    </row>
    <row r="1064" spans="11:25" x14ac:dyDescent="0.25">
      <c r="K1064" s="75" t="s">
        <v>4271</v>
      </c>
      <c r="L1064" s="75" t="s">
        <v>5</v>
      </c>
      <c r="M1064" t="s">
        <v>5571</v>
      </c>
      <c r="N1064" s="75" t="s">
        <v>5144</v>
      </c>
      <c r="O1064" s="75" t="s">
        <v>560</v>
      </c>
      <c r="P1064" t="s">
        <v>5593</v>
      </c>
      <c r="W1064" s="75" t="s">
        <v>12439</v>
      </c>
      <c r="X1064" s="75" t="s">
        <v>604</v>
      </c>
      <c r="Y1064" t="s">
        <v>12458</v>
      </c>
    </row>
    <row r="1065" spans="11:25" x14ac:dyDescent="0.25">
      <c r="K1065" s="75" t="s">
        <v>5155</v>
      </c>
      <c r="L1065" s="75" t="s">
        <v>584</v>
      </c>
      <c r="M1065" t="s">
        <v>5657</v>
      </c>
      <c r="N1065" s="75" t="s">
        <v>5017</v>
      </c>
      <c r="O1065" s="75" t="s">
        <v>367</v>
      </c>
      <c r="P1065" t="s">
        <v>5760</v>
      </c>
      <c r="W1065" s="75" t="s">
        <v>12572</v>
      </c>
      <c r="X1065" s="75" t="s">
        <v>583</v>
      </c>
      <c r="Y1065" t="s">
        <v>12609</v>
      </c>
    </row>
    <row r="1066" spans="11:25" x14ac:dyDescent="0.25">
      <c r="K1066" s="75" t="s">
        <v>243</v>
      </c>
      <c r="L1066" s="75" t="s">
        <v>5325</v>
      </c>
      <c r="M1066" t="s">
        <v>5660</v>
      </c>
      <c r="N1066" s="75" t="s">
        <v>184</v>
      </c>
      <c r="O1066" s="75" t="s">
        <v>5709</v>
      </c>
      <c r="P1066" t="s">
        <v>5809</v>
      </c>
      <c r="W1066" s="74" t="s">
        <v>215</v>
      </c>
      <c r="X1066" s="290" t="s">
        <v>6216</v>
      </c>
      <c r="Y1066" t="s">
        <v>12909</v>
      </c>
    </row>
    <row r="1067" spans="11:25" x14ac:dyDescent="0.25">
      <c r="K1067" s="74" t="s">
        <v>5621</v>
      </c>
      <c r="L1067" s="74" t="s">
        <v>386</v>
      </c>
      <c r="M1067" t="s">
        <v>5755</v>
      </c>
      <c r="N1067" s="74" t="s">
        <v>5409</v>
      </c>
      <c r="O1067" s="74" t="s">
        <v>5711</v>
      </c>
      <c r="P1067" t="s">
        <v>5815</v>
      </c>
      <c r="W1067" s="75" t="s">
        <v>12426</v>
      </c>
      <c r="X1067" s="216" t="s">
        <v>305</v>
      </c>
      <c r="Y1067" t="s">
        <v>12844</v>
      </c>
    </row>
    <row r="1068" spans="11:25" x14ac:dyDescent="0.25">
      <c r="K1068" s="75" t="s">
        <v>1209</v>
      </c>
      <c r="L1068" s="75" t="s">
        <v>474</v>
      </c>
      <c r="M1068" t="s">
        <v>5858</v>
      </c>
      <c r="N1068" s="75" t="s">
        <v>4498</v>
      </c>
      <c r="O1068" s="75" t="s">
        <v>303</v>
      </c>
      <c r="P1068" t="s">
        <v>5929</v>
      </c>
      <c r="W1068" s="75" t="s">
        <v>12003</v>
      </c>
      <c r="X1068" s="75" t="s">
        <v>467</v>
      </c>
      <c r="Y1068" t="s">
        <v>12262</v>
      </c>
    </row>
    <row r="1069" spans="11:25" x14ac:dyDescent="0.25">
      <c r="K1069" s="75" t="s">
        <v>5607</v>
      </c>
      <c r="L1069" s="75" t="s">
        <v>560</v>
      </c>
      <c r="M1069" t="s">
        <v>5874</v>
      </c>
      <c r="N1069" s="75" t="s">
        <v>5608</v>
      </c>
      <c r="O1069" s="75" t="s">
        <v>5710</v>
      </c>
      <c r="P1069" t="s">
        <v>5981</v>
      </c>
      <c r="W1069" s="75" t="s">
        <v>12908</v>
      </c>
      <c r="X1069" s="75" t="s">
        <v>9753</v>
      </c>
      <c r="Y1069" t="s">
        <v>13141</v>
      </c>
    </row>
    <row r="1070" spans="11:25" x14ac:dyDescent="0.25">
      <c r="K1070" s="75" t="s">
        <v>5659</v>
      </c>
      <c r="L1070" s="75" t="s">
        <v>491</v>
      </c>
      <c r="M1070" t="s">
        <v>5883</v>
      </c>
      <c r="N1070" s="75" t="s">
        <v>5409</v>
      </c>
      <c r="O1070" s="75" t="s">
        <v>5711</v>
      </c>
      <c r="P1070" t="s">
        <v>5991</v>
      </c>
      <c r="W1070" s="75" t="s">
        <v>10011</v>
      </c>
      <c r="X1070" s="75" t="s">
        <v>472</v>
      </c>
      <c r="Y1070" t="s">
        <v>10174</v>
      </c>
    </row>
    <row r="1071" spans="11:25" x14ac:dyDescent="0.25">
      <c r="K1071" s="74" t="s">
        <v>6214</v>
      </c>
      <c r="L1071" s="74" t="s">
        <v>617</v>
      </c>
      <c r="M1071" t="s">
        <v>6302</v>
      </c>
      <c r="N1071" s="75" t="s">
        <v>557</v>
      </c>
      <c r="O1071" s="75" t="s">
        <v>491</v>
      </c>
      <c r="P1071" t="s">
        <v>6010</v>
      </c>
      <c r="W1071" s="75" t="s">
        <v>13001</v>
      </c>
      <c r="X1071" s="75" t="s">
        <v>583</v>
      </c>
      <c r="Y1071" t="s">
        <v>13045</v>
      </c>
    </row>
    <row r="1072" spans="11:25" x14ac:dyDescent="0.25">
      <c r="K1072" s="75" t="s">
        <v>6127</v>
      </c>
      <c r="L1072" s="75" t="s">
        <v>303</v>
      </c>
      <c r="M1072" t="s">
        <v>6366</v>
      </c>
      <c r="N1072" s="75" t="s">
        <v>5869</v>
      </c>
      <c r="O1072" s="75" t="s">
        <v>303</v>
      </c>
      <c r="P1072" t="s">
        <v>6075</v>
      </c>
      <c r="W1072" s="74" t="s">
        <v>13384</v>
      </c>
      <c r="X1072" s="74" t="s">
        <v>6216</v>
      </c>
      <c r="Y1072" t="s">
        <v>13462</v>
      </c>
    </row>
    <row r="1073" spans="11:25" x14ac:dyDescent="0.25">
      <c r="K1073" s="75" t="s">
        <v>6213</v>
      </c>
      <c r="L1073" s="75" t="s">
        <v>1533</v>
      </c>
      <c r="M1073" t="s">
        <v>6417</v>
      </c>
      <c r="N1073" s="75" t="s">
        <v>6128</v>
      </c>
      <c r="O1073" s="75" t="s">
        <v>474</v>
      </c>
      <c r="P1073" t="s">
        <v>6298</v>
      </c>
      <c r="W1073" s="75" t="s">
        <v>12822</v>
      </c>
      <c r="X1073" s="75" t="s">
        <v>12064</v>
      </c>
      <c r="Y1073" t="s">
        <v>13048</v>
      </c>
    </row>
    <row r="1074" spans="11:25" x14ac:dyDescent="0.25">
      <c r="K1074" s="75" t="s">
        <v>5990</v>
      </c>
      <c r="L1074" s="75" t="s">
        <v>5711</v>
      </c>
      <c r="M1074" t="s">
        <v>6477</v>
      </c>
      <c r="N1074" s="75" t="s">
        <v>6142</v>
      </c>
      <c r="O1074" s="75" t="s">
        <v>467</v>
      </c>
      <c r="P1074" t="s">
        <v>6327</v>
      </c>
      <c r="W1074" s="75" t="s">
        <v>13622</v>
      </c>
      <c r="X1074" s="75" t="s">
        <v>6216</v>
      </c>
      <c r="Y1074" t="s">
        <v>13800</v>
      </c>
    </row>
    <row r="1075" spans="11:25" x14ac:dyDescent="0.25">
      <c r="K1075" s="75" t="s">
        <v>6405</v>
      </c>
      <c r="L1075" s="75" t="s">
        <v>6406</v>
      </c>
      <c r="M1075" t="s">
        <v>6520</v>
      </c>
      <c r="N1075" s="75" t="s">
        <v>6401</v>
      </c>
      <c r="O1075" s="75" t="s">
        <v>386</v>
      </c>
      <c r="P1075" t="s">
        <v>6647</v>
      </c>
      <c r="W1075" s="75" t="s">
        <v>13565</v>
      </c>
      <c r="X1075" t="s">
        <v>13066</v>
      </c>
      <c r="Y1075" t="s">
        <v>13623</v>
      </c>
    </row>
    <row r="1076" spans="11:25" x14ac:dyDescent="0.25">
      <c r="K1076" s="74" t="s">
        <v>6294</v>
      </c>
      <c r="L1076" s="74" t="s">
        <v>491</v>
      </c>
      <c r="M1076" t="s">
        <v>6580</v>
      </c>
      <c r="N1076" s="75" t="s">
        <v>6481</v>
      </c>
      <c r="O1076" s="75" t="s">
        <v>5710</v>
      </c>
      <c r="P1076" t="s">
        <v>6674</v>
      </c>
      <c r="W1076" s="75" t="s">
        <v>12241</v>
      </c>
      <c r="X1076" s="75" t="s">
        <v>577</v>
      </c>
      <c r="Y1076" t="s">
        <v>12253</v>
      </c>
    </row>
    <row r="1077" spans="11:25" x14ac:dyDescent="0.25">
      <c r="K1077" s="75" t="s">
        <v>6293</v>
      </c>
      <c r="L1077" s="75" t="s">
        <v>1369</v>
      </c>
      <c r="M1077" t="s">
        <v>6602</v>
      </c>
      <c r="N1077" s="75" t="s">
        <v>6617</v>
      </c>
      <c r="O1077" s="75" t="s">
        <v>5</v>
      </c>
      <c r="P1077" t="s">
        <v>6789</v>
      </c>
      <c r="W1077" s="75" t="s">
        <v>12218</v>
      </c>
      <c r="X1077" s="75" t="s">
        <v>380</v>
      </c>
      <c r="Y1077" t="s">
        <v>12247</v>
      </c>
    </row>
    <row r="1078" spans="11:25" x14ac:dyDescent="0.25">
      <c r="K1078" s="75" t="s">
        <v>1770</v>
      </c>
      <c r="L1078" s="75" t="s">
        <v>1734</v>
      </c>
      <c r="M1078" t="s">
        <v>6673</v>
      </c>
      <c r="N1078" s="75" t="s">
        <v>3831</v>
      </c>
      <c r="O1078" s="75" t="s">
        <v>491</v>
      </c>
      <c r="P1078" t="s">
        <v>6903</v>
      </c>
      <c r="W1078" s="75" t="s">
        <v>13864</v>
      </c>
      <c r="X1078" s="75" t="s">
        <v>1507</v>
      </c>
      <c r="Y1078" t="s">
        <v>13944</v>
      </c>
    </row>
    <row r="1079" spans="11:25" x14ac:dyDescent="0.25">
      <c r="K1079" s="75" t="s">
        <v>6908</v>
      </c>
      <c r="L1079" s="75" t="s">
        <v>625</v>
      </c>
      <c r="M1079" t="s">
        <v>6944</v>
      </c>
      <c r="N1079" s="75" t="s">
        <v>4644</v>
      </c>
      <c r="O1079" s="75" t="s">
        <v>6601</v>
      </c>
      <c r="P1079" t="s">
        <v>7164</v>
      </c>
      <c r="W1079" s="75" t="s">
        <v>9541</v>
      </c>
      <c r="X1079" s="75" t="s">
        <v>367</v>
      </c>
      <c r="Y1079" t="s">
        <v>9932</v>
      </c>
    </row>
    <row r="1080" spans="11:25" x14ac:dyDescent="0.25">
      <c r="K1080" s="75" t="s">
        <v>6863</v>
      </c>
      <c r="L1080" s="75" t="s">
        <v>386</v>
      </c>
      <c r="M1080" t="s">
        <v>6996</v>
      </c>
      <c r="N1080" s="75" t="s">
        <v>6814</v>
      </c>
      <c r="O1080" s="75" t="s">
        <v>472</v>
      </c>
      <c r="P1080" t="s">
        <v>7259</v>
      </c>
      <c r="W1080" s="75" t="s">
        <v>13796</v>
      </c>
      <c r="X1080" s="75" t="s">
        <v>6216</v>
      </c>
      <c r="Y1080" t="s">
        <v>14015</v>
      </c>
    </row>
    <row r="1081" spans="11:25" x14ac:dyDescent="0.25">
      <c r="K1081" s="75" t="s">
        <v>6846</v>
      </c>
      <c r="L1081" s="75" t="s">
        <v>521</v>
      </c>
      <c r="M1081" t="s">
        <v>7080</v>
      </c>
      <c r="N1081" s="74" t="s">
        <v>7181</v>
      </c>
      <c r="O1081" s="74" t="s">
        <v>5708</v>
      </c>
      <c r="P1081" t="s">
        <v>7320</v>
      </c>
      <c r="W1081" s="74" t="s">
        <v>13963</v>
      </c>
      <c r="X1081" s="74" t="s">
        <v>13952</v>
      </c>
      <c r="Y1081" t="s">
        <v>14199</v>
      </c>
    </row>
    <row r="1082" spans="11:25" x14ac:dyDescent="0.25">
      <c r="K1082" s="75" t="s">
        <v>6802</v>
      </c>
      <c r="L1082" s="75" t="s">
        <v>6601</v>
      </c>
      <c r="M1082" t="s">
        <v>7123</v>
      </c>
      <c r="N1082" s="75" t="s">
        <v>7690</v>
      </c>
      <c r="O1082" s="75" t="s">
        <v>1533</v>
      </c>
      <c r="P1082" t="s">
        <v>7867</v>
      </c>
      <c r="W1082" s="75" t="s">
        <v>13714</v>
      </c>
      <c r="X1082" s="75" t="s">
        <v>1507</v>
      </c>
      <c r="Y1082" t="s">
        <v>14260</v>
      </c>
    </row>
    <row r="1083" spans="11:25" x14ac:dyDescent="0.25">
      <c r="K1083" s="74" t="s">
        <v>6832</v>
      </c>
      <c r="L1083" s="74" t="s">
        <v>5</v>
      </c>
      <c r="M1083" t="s">
        <v>7179</v>
      </c>
      <c r="N1083" s="75" t="s">
        <v>7881</v>
      </c>
      <c r="O1083" s="75" t="s">
        <v>583</v>
      </c>
      <c r="P1083" t="s">
        <v>7986</v>
      </c>
      <c r="W1083" s="75" t="s">
        <v>7325</v>
      </c>
      <c r="X1083" s="290" t="s">
        <v>1507</v>
      </c>
      <c r="Y1083" t="s">
        <v>14197</v>
      </c>
    </row>
    <row r="1084" spans="11:25" x14ac:dyDescent="0.25">
      <c r="K1084" s="75" t="s">
        <v>6945</v>
      </c>
      <c r="L1084" s="75" t="s">
        <v>625</v>
      </c>
      <c r="M1084" t="s">
        <v>7221</v>
      </c>
      <c r="N1084" s="75" t="s">
        <v>8095</v>
      </c>
      <c r="O1084" s="75" t="s">
        <v>368</v>
      </c>
      <c r="P1084" t="s">
        <v>8149</v>
      </c>
      <c r="W1084" s="74" t="s">
        <v>6215</v>
      </c>
      <c r="X1084" s="74" t="s">
        <v>6216</v>
      </c>
      <c r="Y1084" t="s">
        <v>13848</v>
      </c>
    </row>
    <row r="1085" spans="11:25" x14ac:dyDescent="0.25">
      <c r="K1085" s="75" t="s">
        <v>7240</v>
      </c>
      <c r="L1085" s="75" t="s">
        <v>4009</v>
      </c>
      <c r="M1085" t="s">
        <v>7267</v>
      </c>
      <c r="N1085" s="75" t="s">
        <v>8098</v>
      </c>
      <c r="O1085" s="75" t="s">
        <v>303</v>
      </c>
      <c r="P1085" t="s">
        <v>8250</v>
      </c>
      <c r="W1085" s="75" t="s">
        <v>9895</v>
      </c>
      <c r="X1085" s="75" t="s">
        <v>467</v>
      </c>
      <c r="Y1085" t="s">
        <v>10172</v>
      </c>
    </row>
    <row r="1086" spans="11:25" x14ac:dyDescent="0.25">
      <c r="K1086" s="75" t="s">
        <v>1082</v>
      </c>
      <c r="L1086" s="75" t="s">
        <v>521</v>
      </c>
      <c r="M1086" t="s">
        <v>7275</v>
      </c>
      <c r="N1086" s="75" t="s">
        <v>8002</v>
      </c>
      <c r="O1086" s="75" t="s">
        <v>942</v>
      </c>
      <c r="P1086" t="s">
        <v>8272</v>
      </c>
      <c r="W1086" s="75" t="s">
        <v>10278</v>
      </c>
      <c r="X1086" s="75" t="s">
        <v>472</v>
      </c>
      <c r="Y1086" t="s">
        <v>10595</v>
      </c>
    </row>
    <row r="1087" spans="11:25" x14ac:dyDescent="0.25">
      <c r="K1087" s="75" t="s">
        <v>6025</v>
      </c>
      <c r="L1087" s="75" t="s">
        <v>5708</v>
      </c>
      <c r="M1087" t="s">
        <v>7276</v>
      </c>
      <c r="N1087" s="75" t="s">
        <v>8095</v>
      </c>
      <c r="O1087" s="216" t="s">
        <v>6936</v>
      </c>
      <c r="P1087" t="s">
        <v>8493</v>
      </c>
      <c r="W1087" s="75" t="s">
        <v>10240</v>
      </c>
      <c r="X1087" s="75" t="s">
        <v>6925</v>
      </c>
      <c r="Y1087" t="s">
        <v>10539</v>
      </c>
    </row>
    <row r="1088" spans="11:25" x14ac:dyDescent="0.25">
      <c r="K1088" s="75" t="s">
        <v>7406</v>
      </c>
      <c r="L1088" s="75" t="s">
        <v>617</v>
      </c>
      <c r="M1088" t="s">
        <v>7459</v>
      </c>
      <c r="N1088" s="75" t="s">
        <v>8565</v>
      </c>
      <c r="O1088" s="75" t="s">
        <v>303</v>
      </c>
      <c r="P1088" t="s">
        <v>8705</v>
      </c>
      <c r="W1088" s="75" t="s">
        <v>10012</v>
      </c>
      <c r="X1088" s="75" t="s">
        <v>305</v>
      </c>
      <c r="Y1088" t="s">
        <v>10242</v>
      </c>
    </row>
    <row r="1089" spans="11:25" x14ac:dyDescent="0.25">
      <c r="K1089" s="75" t="s">
        <v>7540</v>
      </c>
      <c r="L1089" s="75" t="s">
        <v>1370</v>
      </c>
      <c r="M1089" t="s">
        <v>7580</v>
      </c>
      <c r="N1089" s="75" t="s">
        <v>8569</v>
      </c>
      <c r="O1089" s="75" t="s">
        <v>380</v>
      </c>
      <c r="P1089" t="s">
        <v>8747</v>
      </c>
      <c r="W1089" s="75" t="s">
        <v>11061</v>
      </c>
      <c r="X1089" s="75" t="s">
        <v>1507</v>
      </c>
      <c r="Y1089" t="s">
        <v>14923</v>
      </c>
    </row>
    <row r="1090" spans="11:25" x14ac:dyDescent="0.25">
      <c r="K1090" s="75" t="s">
        <v>7412</v>
      </c>
      <c r="L1090" s="75" t="s">
        <v>467</v>
      </c>
      <c r="M1090" t="s">
        <v>7589</v>
      </c>
      <c r="N1090" s="75" t="s">
        <v>8590</v>
      </c>
      <c r="O1090" s="75" t="s">
        <v>386</v>
      </c>
      <c r="P1090" t="s">
        <v>8841</v>
      </c>
      <c r="W1090" s="75" t="s">
        <v>5419</v>
      </c>
      <c r="X1090" s="75" t="s">
        <v>389</v>
      </c>
      <c r="Y1090" t="s">
        <v>9865</v>
      </c>
    </row>
    <row r="1091" spans="11:25" x14ac:dyDescent="0.25">
      <c r="K1091" s="75" t="s">
        <v>7566</v>
      </c>
      <c r="L1091" s="75" t="s">
        <v>367</v>
      </c>
      <c r="M1091" t="s">
        <v>7681</v>
      </c>
      <c r="N1091" s="75" t="s">
        <v>8522</v>
      </c>
      <c r="O1091" s="75" t="s">
        <v>367</v>
      </c>
      <c r="P1091" t="s">
        <v>8867</v>
      </c>
      <c r="W1091" s="75" t="s">
        <v>9221</v>
      </c>
      <c r="X1091" s="75" t="s">
        <v>367</v>
      </c>
      <c r="Y1091" t="s">
        <v>9451</v>
      </c>
    </row>
    <row r="1092" spans="11:25" x14ac:dyDescent="0.25">
      <c r="K1092" s="74" t="s">
        <v>7296</v>
      </c>
      <c r="L1092" s="74" t="s">
        <v>1533</v>
      </c>
      <c r="M1092" t="s">
        <v>7689</v>
      </c>
      <c r="N1092" s="75" t="s">
        <v>8846</v>
      </c>
      <c r="O1092" s="75" t="s">
        <v>386</v>
      </c>
      <c r="P1092" t="s">
        <v>8949</v>
      </c>
      <c r="W1092" s="75" t="s">
        <v>14408</v>
      </c>
      <c r="X1092" s="290" t="s">
        <v>12545</v>
      </c>
      <c r="Y1092" t="s">
        <v>14584</v>
      </c>
    </row>
    <row r="1093" spans="11:25" x14ac:dyDescent="0.25">
      <c r="K1093" s="74" t="s">
        <v>7697</v>
      </c>
      <c r="L1093" s="74" t="s">
        <v>5708</v>
      </c>
      <c r="M1093" t="s">
        <v>7802</v>
      </c>
      <c r="N1093" s="75" t="s">
        <v>8748</v>
      </c>
      <c r="O1093" s="75" t="s">
        <v>380</v>
      </c>
      <c r="P1093" t="s">
        <v>8994</v>
      </c>
      <c r="W1093" s="75" t="s">
        <v>14523</v>
      </c>
      <c r="X1093" s="75" t="s">
        <v>8045</v>
      </c>
      <c r="Y1093" t="s">
        <v>14563</v>
      </c>
    </row>
    <row r="1094" spans="11:25" x14ac:dyDescent="0.25">
      <c r="K1094" s="74" t="s">
        <v>7687</v>
      </c>
      <c r="L1094" s="74" t="s">
        <v>367</v>
      </c>
      <c r="M1094" t="s">
        <v>7805</v>
      </c>
      <c r="N1094" s="75" t="s">
        <v>8880</v>
      </c>
      <c r="O1094" s="75" t="s">
        <v>676</v>
      </c>
      <c r="P1094" t="s">
        <v>9041</v>
      </c>
      <c r="W1094" s="75" t="s">
        <v>12276</v>
      </c>
      <c r="X1094" s="75" t="s">
        <v>13952</v>
      </c>
      <c r="Y1094" t="s">
        <v>14646</v>
      </c>
    </row>
    <row r="1095" spans="11:25" x14ac:dyDescent="0.25">
      <c r="K1095" s="75" t="s">
        <v>7113</v>
      </c>
      <c r="L1095" s="75" t="s">
        <v>3042</v>
      </c>
      <c r="M1095" t="s">
        <v>7877</v>
      </c>
      <c r="N1095" s="75" t="s">
        <v>9023</v>
      </c>
      <c r="O1095" s="75" t="s">
        <v>6936</v>
      </c>
      <c r="P1095" t="s">
        <v>9074</v>
      </c>
      <c r="W1095" s="75" t="s">
        <v>14370</v>
      </c>
      <c r="X1095" s="75" t="s">
        <v>13989</v>
      </c>
      <c r="Y1095" t="s">
        <v>14734</v>
      </c>
    </row>
    <row r="1096" spans="11:25" x14ac:dyDescent="0.25">
      <c r="K1096" s="75" t="s">
        <v>7760</v>
      </c>
      <c r="L1096" s="75" t="s">
        <v>386</v>
      </c>
      <c r="M1096" t="s">
        <v>7893</v>
      </c>
      <c r="N1096" s="75" t="s">
        <v>9060</v>
      </c>
      <c r="O1096" s="75" t="s">
        <v>380</v>
      </c>
      <c r="P1096" t="s">
        <v>9184</v>
      </c>
      <c r="W1096" s="74" t="s">
        <v>14171</v>
      </c>
      <c r="X1096" s="74" t="s">
        <v>14241</v>
      </c>
      <c r="Y1096" t="s">
        <v>14804</v>
      </c>
    </row>
    <row r="1097" spans="11:25" x14ac:dyDescent="0.25">
      <c r="K1097" s="75" t="s">
        <v>8001</v>
      </c>
      <c r="L1097" s="75" t="s">
        <v>1376</v>
      </c>
      <c r="M1097" t="s">
        <v>8079</v>
      </c>
      <c r="N1097" s="75" t="s">
        <v>9158</v>
      </c>
      <c r="O1097" s="75" t="s">
        <v>472</v>
      </c>
      <c r="P1097" t="s">
        <v>9384</v>
      </c>
      <c r="W1097" s="75" t="s">
        <v>14796</v>
      </c>
      <c r="X1097" s="290" t="s">
        <v>12064</v>
      </c>
      <c r="Y1097" t="s">
        <v>14993</v>
      </c>
    </row>
    <row r="1098" spans="11:25" x14ac:dyDescent="0.25">
      <c r="K1098" s="75" t="s">
        <v>7974</v>
      </c>
      <c r="L1098" s="75" t="s">
        <v>7930</v>
      </c>
      <c r="M1098" t="s">
        <v>8090</v>
      </c>
      <c r="N1098" s="75" t="s">
        <v>10828</v>
      </c>
      <c r="O1098" s="75" t="s">
        <v>380</v>
      </c>
      <c r="P1098" t="s">
        <v>11106</v>
      </c>
      <c r="W1098" s="75" t="s">
        <v>14380</v>
      </c>
      <c r="X1098" s="75" t="s">
        <v>14381</v>
      </c>
      <c r="Y1098" t="s">
        <v>14922</v>
      </c>
    </row>
    <row r="1099" spans="11:25" x14ac:dyDescent="0.25">
      <c r="K1099" s="74" t="s">
        <v>8048</v>
      </c>
      <c r="L1099" s="74" t="s">
        <v>303</v>
      </c>
      <c r="M1099" t="s">
        <v>8096</v>
      </c>
      <c r="N1099" s="75" t="s">
        <v>6401</v>
      </c>
      <c r="O1099" s="75" t="s">
        <v>6925</v>
      </c>
      <c r="P1099" t="s">
        <v>11108</v>
      </c>
      <c r="W1099" s="75" t="s">
        <v>14205</v>
      </c>
      <c r="X1099" s="75" t="s">
        <v>12545</v>
      </c>
      <c r="Y1099" t="s">
        <v>15298</v>
      </c>
    </row>
    <row r="1100" spans="11:25" x14ac:dyDescent="0.25">
      <c r="K1100" s="75" t="s">
        <v>7980</v>
      </c>
      <c r="L1100" s="75" t="s">
        <v>583</v>
      </c>
      <c r="M1100" t="s">
        <v>8184</v>
      </c>
      <c r="N1100" s="74" t="s">
        <v>12261</v>
      </c>
      <c r="O1100" s="74" t="s">
        <v>577</v>
      </c>
      <c r="P1100" t="s">
        <v>12275</v>
      </c>
      <c r="W1100" s="75" t="s">
        <v>13263</v>
      </c>
      <c r="X1100" s="75" t="s">
        <v>15076</v>
      </c>
      <c r="Y1100" s="118" t="s">
        <v>15168</v>
      </c>
    </row>
    <row r="1101" spans="11:25" x14ac:dyDescent="0.25">
      <c r="K1101" s="75" t="s">
        <v>7981</v>
      </c>
      <c r="L1101" s="75" t="s">
        <v>1369</v>
      </c>
      <c r="M1101" t="s">
        <v>8188</v>
      </c>
      <c r="N1101" s="75" t="s">
        <v>10545</v>
      </c>
      <c r="O1101" s="75" t="s">
        <v>386</v>
      </c>
      <c r="P1101" t="s">
        <v>10827</v>
      </c>
      <c r="W1101" s="75" t="s">
        <v>14153</v>
      </c>
      <c r="X1101" s="290" t="s">
        <v>15076</v>
      </c>
      <c r="Y1101" t="s">
        <v>15081</v>
      </c>
    </row>
    <row r="1102" spans="11:25" x14ac:dyDescent="0.25">
      <c r="K1102" s="75" t="s">
        <v>8404</v>
      </c>
      <c r="L1102" s="75" t="s">
        <v>380</v>
      </c>
      <c r="M1102" t="s">
        <v>8516</v>
      </c>
      <c r="N1102" s="75" t="s">
        <v>10184</v>
      </c>
      <c r="O1102" s="216" t="s">
        <v>472</v>
      </c>
      <c r="P1102" t="s">
        <v>10403</v>
      </c>
      <c r="W1102" s="75" t="s">
        <v>15270</v>
      </c>
      <c r="X1102" s="75" t="s">
        <v>6216</v>
      </c>
      <c r="Y1102" t="s">
        <v>15294</v>
      </c>
    </row>
    <row r="1103" spans="11:25" x14ac:dyDescent="0.25">
      <c r="K1103" s="75" t="s">
        <v>8380</v>
      </c>
      <c r="L1103" s="75" t="s">
        <v>676</v>
      </c>
      <c r="M1103" t="s">
        <v>8534</v>
      </c>
      <c r="N1103" s="75" t="s">
        <v>12698</v>
      </c>
      <c r="O1103" s="75" t="s">
        <v>577</v>
      </c>
      <c r="P1103" t="s">
        <v>12954</v>
      </c>
    </row>
    <row r="1104" spans="11:25" x14ac:dyDescent="0.25">
      <c r="K1104" s="75" t="s">
        <v>8517</v>
      </c>
      <c r="L1104" s="75" t="s">
        <v>380</v>
      </c>
      <c r="M1104" t="s">
        <v>8568</v>
      </c>
      <c r="N1104" s="75" t="s">
        <v>12906</v>
      </c>
      <c r="O1104" s="75" t="s">
        <v>526</v>
      </c>
      <c r="P1104" t="s">
        <v>13069</v>
      </c>
    </row>
    <row r="1105" spans="11:16" x14ac:dyDescent="0.25">
      <c r="K1105" s="75" t="s">
        <v>7136</v>
      </c>
      <c r="L1105" s="75" t="s">
        <v>380</v>
      </c>
      <c r="M1105" t="s">
        <v>8647</v>
      </c>
      <c r="N1105" s="75" t="s">
        <v>9862</v>
      </c>
      <c r="O1105" s="75" t="s">
        <v>942</v>
      </c>
      <c r="P1105" t="s">
        <v>10183</v>
      </c>
    </row>
    <row r="1106" spans="11:16" x14ac:dyDescent="0.25">
      <c r="K1106" s="75" t="s">
        <v>8521</v>
      </c>
      <c r="L1106" s="75" t="s">
        <v>329</v>
      </c>
      <c r="M1106" t="s">
        <v>8648</v>
      </c>
      <c r="N1106" s="75" t="s">
        <v>9602</v>
      </c>
      <c r="O1106" s="75" t="s">
        <v>6936</v>
      </c>
      <c r="P1106" t="s">
        <v>9701</v>
      </c>
    </row>
    <row r="1107" spans="11:16" x14ac:dyDescent="0.25">
      <c r="K1107" s="75" t="s">
        <v>4271</v>
      </c>
      <c r="L1107" s="75" t="s">
        <v>5710</v>
      </c>
      <c r="M1107" t="s">
        <v>6847</v>
      </c>
      <c r="N1107" s="75" t="s">
        <v>12952</v>
      </c>
      <c r="O1107" s="75" t="s">
        <v>577</v>
      </c>
      <c r="P1107" t="s">
        <v>13178</v>
      </c>
    </row>
    <row r="1108" spans="11:16" x14ac:dyDescent="0.25">
      <c r="K1108" s="75" t="s">
        <v>8649</v>
      </c>
      <c r="L1108" s="75" t="s">
        <v>329</v>
      </c>
      <c r="M1108" t="s">
        <v>8721</v>
      </c>
      <c r="N1108" s="75" t="s">
        <v>13181</v>
      </c>
      <c r="O1108" s="290" t="s">
        <v>577</v>
      </c>
      <c r="P1108" t="s">
        <v>13287</v>
      </c>
    </row>
    <row r="1109" spans="11:16" x14ac:dyDescent="0.25">
      <c r="K1109" s="75" t="s">
        <v>8830</v>
      </c>
      <c r="L1109" s="75" t="s">
        <v>6936</v>
      </c>
      <c r="M1109" t="s">
        <v>8947</v>
      </c>
      <c r="N1109" s="75" t="s">
        <v>13111</v>
      </c>
      <c r="O1109" s="216" t="s">
        <v>8045</v>
      </c>
      <c r="P1109" t="s">
        <v>13281</v>
      </c>
    </row>
    <row r="1110" spans="11:16" x14ac:dyDescent="0.25">
      <c r="K1110" s="74" t="s">
        <v>9008</v>
      </c>
      <c r="L1110" s="74" t="s">
        <v>380</v>
      </c>
      <c r="M1110" t="s">
        <v>9059</v>
      </c>
      <c r="N1110" s="75" t="s">
        <v>13160</v>
      </c>
      <c r="O1110" s="216" t="s">
        <v>12064</v>
      </c>
      <c r="P1110" t="s">
        <v>13286</v>
      </c>
    </row>
    <row r="1111" spans="11:16" x14ac:dyDescent="0.25">
      <c r="K1111" s="75" t="s">
        <v>8094</v>
      </c>
      <c r="L1111" s="75" t="s">
        <v>368</v>
      </c>
      <c r="M1111" t="s">
        <v>9157</v>
      </c>
      <c r="N1111" s="75" t="s">
        <v>13665</v>
      </c>
      <c r="O1111" s="75" t="s">
        <v>13666</v>
      </c>
      <c r="P1111" t="s">
        <v>13840</v>
      </c>
    </row>
    <row r="1112" spans="11:16" x14ac:dyDescent="0.25">
      <c r="K1112" s="75" t="s">
        <v>7562</v>
      </c>
      <c r="L1112" s="75" t="s">
        <v>6925</v>
      </c>
      <c r="M1112" t="s">
        <v>9485</v>
      </c>
      <c r="N1112" s="75" t="s">
        <v>13349</v>
      </c>
      <c r="O1112" s="75" t="s">
        <v>12064</v>
      </c>
      <c r="P1112" t="s">
        <v>13482</v>
      </c>
    </row>
    <row r="1113" spans="11:16" x14ac:dyDescent="0.25">
      <c r="K1113" s="75" t="s">
        <v>9373</v>
      </c>
      <c r="L1113" s="75" t="s">
        <v>6936</v>
      </c>
      <c r="M1113" t="s">
        <v>9505</v>
      </c>
      <c r="N1113" s="75" t="s">
        <v>13308</v>
      </c>
      <c r="O1113" s="75" t="s">
        <v>577</v>
      </c>
      <c r="P1113" t="s">
        <v>13475</v>
      </c>
    </row>
    <row r="1114" spans="11:16" x14ac:dyDescent="0.25">
      <c r="K1114" s="75" t="s">
        <v>9387</v>
      </c>
      <c r="L1114" s="75" t="s">
        <v>472</v>
      </c>
      <c r="M1114" t="s">
        <v>9628</v>
      </c>
      <c r="N1114" s="74" t="s">
        <v>13449</v>
      </c>
      <c r="O1114" t="s">
        <v>6216</v>
      </c>
      <c r="P1114" t="s">
        <v>13718</v>
      </c>
    </row>
    <row r="1115" spans="11:16" x14ac:dyDescent="0.25">
      <c r="K1115" s="75" t="s">
        <v>9381</v>
      </c>
      <c r="L1115" s="75" t="s">
        <v>380</v>
      </c>
      <c r="M1115" t="s">
        <v>9736</v>
      </c>
      <c r="N1115" s="75" t="s">
        <v>13839</v>
      </c>
      <c r="O1115" s="75" t="s">
        <v>13666</v>
      </c>
      <c r="P1115" t="s">
        <v>13934</v>
      </c>
    </row>
    <row r="1116" spans="11:16" x14ac:dyDescent="0.25">
      <c r="K1116" s="75" t="s">
        <v>9229</v>
      </c>
      <c r="L1116" s="75" t="s">
        <v>942</v>
      </c>
      <c r="M1116" t="s">
        <v>9759</v>
      </c>
      <c r="N1116" s="75" t="s">
        <v>13145</v>
      </c>
      <c r="O1116" s="216" t="s">
        <v>9753</v>
      </c>
      <c r="P1116" t="s">
        <v>13417</v>
      </c>
    </row>
    <row r="1117" spans="11:16" x14ac:dyDescent="0.25">
      <c r="K1117" s="75" t="s">
        <v>9489</v>
      </c>
      <c r="L1117" s="75" t="s">
        <v>942</v>
      </c>
      <c r="M1117" t="s">
        <v>9833</v>
      </c>
      <c r="N1117" s="74" t="s">
        <v>637</v>
      </c>
      <c r="O1117" s="290" t="s">
        <v>13066</v>
      </c>
      <c r="P1117" t="s">
        <v>14030</v>
      </c>
    </row>
    <row r="1118" spans="11:16" x14ac:dyDescent="0.25">
      <c r="K1118" s="75" t="s">
        <v>9738</v>
      </c>
      <c r="L1118" s="75" t="s">
        <v>6936</v>
      </c>
      <c r="M1118" t="s">
        <v>9943</v>
      </c>
      <c r="N1118" s="75" t="s">
        <v>14331</v>
      </c>
      <c r="O1118" s="75" t="s">
        <v>14259</v>
      </c>
      <c r="P1118" t="s">
        <v>14332</v>
      </c>
    </row>
    <row r="1119" spans="11:16" x14ac:dyDescent="0.25">
      <c r="K1119" s="74" t="s">
        <v>8749</v>
      </c>
      <c r="L1119" s="74" t="s">
        <v>358</v>
      </c>
      <c r="M1119" t="s">
        <v>10085</v>
      </c>
      <c r="N1119" s="75" t="s">
        <v>415</v>
      </c>
      <c r="O1119" s="75" t="s">
        <v>305</v>
      </c>
      <c r="P1119" t="s">
        <v>13162</v>
      </c>
    </row>
    <row r="1120" spans="11:16" x14ac:dyDescent="0.25">
      <c r="K1120" s="74" t="s">
        <v>6945</v>
      </c>
      <c r="L1120" s="74" t="s">
        <v>6925</v>
      </c>
      <c r="M1120" t="s">
        <v>10224</v>
      </c>
      <c r="N1120" s="74" t="s">
        <v>9007</v>
      </c>
      <c r="O1120" s="216" t="s">
        <v>368</v>
      </c>
      <c r="P1120" t="s">
        <v>9459</v>
      </c>
    </row>
    <row r="1121" spans="11:16" x14ac:dyDescent="0.25">
      <c r="K1121" s="75" t="s">
        <v>9010</v>
      </c>
      <c r="L1121" s="75" t="s">
        <v>583</v>
      </c>
      <c r="M1121" t="s">
        <v>10631</v>
      </c>
      <c r="N1121" s="75" t="s">
        <v>8724</v>
      </c>
      <c r="O1121" s="75" t="s">
        <v>5708</v>
      </c>
      <c r="P1121" t="s">
        <v>9049</v>
      </c>
    </row>
    <row r="1122" spans="11:16" x14ac:dyDescent="0.25">
      <c r="K1122" s="75" t="s">
        <v>10653</v>
      </c>
      <c r="L1122" s="75" t="s">
        <v>380</v>
      </c>
      <c r="M1122" t="s">
        <v>10654</v>
      </c>
      <c r="N1122" s="75" t="s">
        <v>13925</v>
      </c>
      <c r="O1122" s="75" t="s">
        <v>14140</v>
      </c>
      <c r="P1122" t="s">
        <v>14198</v>
      </c>
    </row>
    <row r="1123" spans="11:16" x14ac:dyDescent="0.25">
      <c r="K1123" s="75" t="s">
        <v>10544</v>
      </c>
      <c r="L1123" s="75" t="s">
        <v>380</v>
      </c>
      <c r="M1123" t="s">
        <v>10680</v>
      </c>
      <c r="N1123" s="75" t="s">
        <v>14029</v>
      </c>
      <c r="O1123" s="75" t="s">
        <v>9753</v>
      </c>
      <c r="P1123" t="s">
        <v>14246</v>
      </c>
    </row>
    <row r="1124" spans="11:16" x14ac:dyDescent="0.25">
      <c r="K1124" s="75" t="s">
        <v>7540</v>
      </c>
      <c r="L1124" s="75" t="s">
        <v>380</v>
      </c>
      <c r="M1124" t="s">
        <v>10826</v>
      </c>
      <c r="N1124" s="75" t="s">
        <v>14162</v>
      </c>
      <c r="O1124" s="75" t="s">
        <v>14140</v>
      </c>
      <c r="P1124" t="s">
        <v>14320</v>
      </c>
    </row>
    <row r="1125" spans="11:16" x14ac:dyDescent="0.25">
      <c r="K1125" s="75" t="s">
        <v>10415</v>
      </c>
      <c r="L1125" s="75" t="s">
        <v>305</v>
      </c>
      <c r="M1125" t="s">
        <v>10540</v>
      </c>
      <c r="N1125" s="75" t="s">
        <v>185</v>
      </c>
      <c r="O1125" s="75" t="s">
        <v>14138</v>
      </c>
      <c r="P1125" t="s">
        <v>14389</v>
      </c>
    </row>
    <row r="1126" spans="11:16" x14ac:dyDescent="0.25">
      <c r="K1126" s="75" t="s">
        <v>10858</v>
      </c>
      <c r="L1126" s="75" t="s">
        <v>305</v>
      </c>
      <c r="M1126" t="s">
        <v>10904</v>
      </c>
      <c r="N1126" s="75" t="s">
        <v>14230</v>
      </c>
      <c r="O1126" s="75" t="s">
        <v>14152</v>
      </c>
      <c r="P1126" t="s">
        <v>14294</v>
      </c>
    </row>
    <row r="1127" spans="11:16" x14ac:dyDescent="0.25">
      <c r="K1127" s="74" t="s">
        <v>10832</v>
      </c>
      <c r="L1127" s="74" t="s">
        <v>472</v>
      </c>
      <c r="M1127" t="s">
        <v>10939</v>
      </c>
      <c r="N1127" s="75" t="s">
        <v>13867</v>
      </c>
      <c r="O1127" s="75" t="s">
        <v>14379</v>
      </c>
      <c r="P1127" t="s">
        <v>14564</v>
      </c>
    </row>
    <row r="1128" spans="11:16" x14ac:dyDescent="0.25">
      <c r="K1128" s="75" t="s">
        <v>10920</v>
      </c>
      <c r="L1128" s="75" t="s">
        <v>305</v>
      </c>
      <c r="M1128" t="s">
        <v>10973</v>
      </c>
      <c r="N1128" s="75" t="s">
        <v>14418</v>
      </c>
      <c r="O1128" s="290" t="s">
        <v>6925</v>
      </c>
      <c r="P1128" t="s">
        <v>14548</v>
      </c>
    </row>
    <row r="1129" spans="11:16" x14ac:dyDescent="0.25">
      <c r="K1129" s="75" t="s">
        <v>10829</v>
      </c>
      <c r="L1129" s="75" t="s">
        <v>386</v>
      </c>
      <c r="M1129" t="s">
        <v>10928</v>
      </c>
      <c r="N1129" s="75" t="s">
        <v>9158</v>
      </c>
      <c r="O1129" s="75" t="s">
        <v>14137</v>
      </c>
      <c r="P1129" t="s">
        <v>14596</v>
      </c>
    </row>
    <row r="1130" spans="11:16" x14ac:dyDescent="0.25">
      <c r="K1130" s="75" t="s">
        <v>10999</v>
      </c>
      <c r="L1130" s="75" t="s">
        <v>305</v>
      </c>
      <c r="M1130" t="s">
        <v>11071</v>
      </c>
      <c r="N1130" s="75" t="s">
        <v>14283</v>
      </c>
      <c r="O1130" s="75" t="s">
        <v>12303</v>
      </c>
      <c r="P1130" t="s">
        <v>14580</v>
      </c>
    </row>
    <row r="1131" spans="11:16" x14ac:dyDescent="0.25">
      <c r="K1131" s="75" t="s">
        <v>11077</v>
      </c>
      <c r="L1131" s="75" t="s">
        <v>305</v>
      </c>
      <c r="M1131" t="s">
        <v>11132</v>
      </c>
      <c r="N1131" s="75" t="s">
        <v>14597</v>
      </c>
      <c r="O1131" s="75" t="s">
        <v>14137</v>
      </c>
      <c r="P1131" t="s">
        <v>14772</v>
      </c>
    </row>
    <row r="1132" spans="11:16" x14ac:dyDescent="0.25">
      <c r="K1132" s="75" t="s">
        <v>11364</v>
      </c>
      <c r="L1132" s="75" t="s">
        <v>577</v>
      </c>
      <c r="M1132" t="s">
        <v>11428</v>
      </c>
      <c r="N1132" s="75" t="s">
        <v>1036</v>
      </c>
      <c r="O1132" s="290" t="s">
        <v>14259</v>
      </c>
      <c r="P1132" t="s">
        <v>14680</v>
      </c>
    </row>
    <row r="1133" spans="11:16" x14ac:dyDescent="0.25">
      <c r="K1133" s="75" t="s">
        <v>8749</v>
      </c>
      <c r="L1133" s="75" t="s">
        <v>467</v>
      </c>
      <c r="M1133" t="s">
        <v>11272</v>
      </c>
      <c r="N1133" s="75" t="s">
        <v>14640</v>
      </c>
      <c r="O1133" s="290" t="s">
        <v>8045</v>
      </c>
      <c r="P1133" t="s">
        <v>14837</v>
      </c>
    </row>
    <row r="1134" spans="11:16" x14ac:dyDescent="0.25">
      <c r="K1134" s="75" t="s">
        <v>11322</v>
      </c>
      <c r="L1134" s="75" t="s">
        <v>942</v>
      </c>
      <c r="M1134" t="s">
        <v>11365</v>
      </c>
      <c r="N1134" s="75" t="s">
        <v>8522</v>
      </c>
      <c r="O1134" s="75" t="s">
        <v>12545</v>
      </c>
      <c r="P1134" t="s">
        <v>14677</v>
      </c>
    </row>
    <row r="1135" spans="11:16" x14ac:dyDescent="0.25">
      <c r="K1135" s="75" t="s">
        <v>11314</v>
      </c>
      <c r="L1135" s="75" t="s">
        <v>583</v>
      </c>
      <c r="M1135" t="s">
        <v>11460</v>
      </c>
      <c r="N1135" s="74" t="s">
        <v>14282</v>
      </c>
      <c r="O1135" s="290" t="s">
        <v>14137</v>
      </c>
      <c r="P1135" t="s">
        <v>14510</v>
      </c>
    </row>
    <row r="1136" spans="11:16" x14ac:dyDescent="0.25">
      <c r="K1136" s="74" t="s">
        <v>11507</v>
      </c>
      <c r="L1136" t="s">
        <v>583</v>
      </c>
      <c r="M1136" t="s">
        <v>11601</v>
      </c>
      <c r="N1136" s="75" t="s">
        <v>8251</v>
      </c>
      <c r="O1136" s="75" t="s">
        <v>14137</v>
      </c>
      <c r="P1136" t="s">
        <v>15180</v>
      </c>
    </row>
    <row r="1137" spans="11:16" x14ac:dyDescent="0.25">
      <c r="K1137" s="75" t="s">
        <v>11516</v>
      </c>
      <c r="L1137" t="s">
        <v>380</v>
      </c>
      <c r="M1137" t="s">
        <v>11544</v>
      </c>
      <c r="N1137" s="75" t="s">
        <v>14931</v>
      </c>
      <c r="O1137" s="290" t="s">
        <v>14285</v>
      </c>
      <c r="P1137" t="s">
        <v>15145</v>
      </c>
    </row>
    <row r="1138" spans="11:16" x14ac:dyDescent="0.25">
      <c r="K1138" s="75" t="s">
        <v>11610</v>
      </c>
      <c r="L1138" s="75" t="s">
        <v>9753</v>
      </c>
      <c r="M1138" t="s">
        <v>11672</v>
      </c>
      <c r="N1138" s="74" t="s">
        <v>924</v>
      </c>
      <c r="O1138" s="74" t="s">
        <v>14381</v>
      </c>
      <c r="P1138" t="s">
        <v>15124</v>
      </c>
    </row>
    <row r="1139" spans="11:16" x14ac:dyDescent="0.25">
      <c r="K1139" s="75" t="s">
        <v>11152</v>
      </c>
      <c r="L1139" s="216" t="s">
        <v>526</v>
      </c>
      <c r="M1139" t="s">
        <v>11715</v>
      </c>
    </row>
    <row r="1140" spans="11:16" x14ac:dyDescent="0.25">
      <c r="K1140" s="75" t="s">
        <v>11676</v>
      </c>
      <c r="L1140" s="75" t="s">
        <v>9753</v>
      </c>
      <c r="M1140" t="s">
        <v>11700</v>
      </c>
    </row>
    <row r="1141" spans="11:16" x14ac:dyDescent="0.25">
      <c r="K1141" s="75" t="s">
        <v>12023</v>
      </c>
      <c r="L1141" s="75" t="s">
        <v>380</v>
      </c>
      <c r="M1141" t="s">
        <v>12119</v>
      </c>
    </row>
    <row r="1142" spans="11:16" x14ac:dyDescent="0.25">
      <c r="K1142" s="75" t="s">
        <v>11489</v>
      </c>
      <c r="L1142" s="75" t="s">
        <v>380</v>
      </c>
      <c r="M1142" t="s">
        <v>11684</v>
      </c>
    </row>
    <row r="1143" spans="11:16" x14ac:dyDescent="0.25">
      <c r="K1143" s="75" t="s">
        <v>9819</v>
      </c>
      <c r="L1143" s="75" t="s">
        <v>676</v>
      </c>
      <c r="M1143" t="s">
        <v>9867</v>
      </c>
    </row>
    <row r="1144" spans="11:16" x14ac:dyDescent="0.25">
      <c r="K1144" s="75" t="s">
        <v>12194</v>
      </c>
      <c r="L1144" s="75" t="s">
        <v>467</v>
      </c>
      <c r="M1144" t="s">
        <v>12239</v>
      </c>
    </row>
    <row r="1145" spans="11:16" x14ac:dyDescent="0.25">
      <c r="K1145" s="75" t="s">
        <v>11205</v>
      </c>
      <c r="L1145" s="75" t="s">
        <v>305</v>
      </c>
      <c r="M1145" t="s">
        <v>11245</v>
      </c>
    </row>
    <row r="1146" spans="11:16" x14ac:dyDescent="0.25">
      <c r="K1146" s="75" t="s">
        <v>12282</v>
      </c>
      <c r="L1146" s="75" t="s">
        <v>583</v>
      </c>
      <c r="M1146" t="s">
        <v>12368</v>
      </c>
    </row>
    <row r="1147" spans="11:16" x14ac:dyDescent="0.25">
      <c r="K1147" s="75" t="s">
        <v>12193</v>
      </c>
      <c r="L1147" s="216" t="s">
        <v>9753</v>
      </c>
      <c r="M1147" t="s">
        <v>12429</v>
      </c>
    </row>
    <row r="1148" spans="11:16" x14ac:dyDescent="0.25">
      <c r="K1148" s="75" t="s">
        <v>12369</v>
      </c>
      <c r="L1148" s="290" t="s">
        <v>583</v>
      </c>
      <c r="M1148" t="s">
        <v>12386</v>
      </c>
    </row>
    <row r="1149" spans="11:16" x14ac:dyDescent="0.25">
      <c r="K1149" s="75" t="s">
        <v>12260</v>
      </c>
      <c r="L1149" s="75" t="s">
        <v>467</v>
      </c>
      <c r="M1149" t="s">
        <v>12295</v>
      </c>
    </row>
    <row r="1150" spans="11:16" x14ac:dyDescent="0.25">
      <c r="K1150" s="75" t="s">
        <v>12138</v>
      </c>
      <c r="L1150" s="75" t="s">
        <v>9753</v>
      </c>
      <c r="M1150" t="s">
        <v>12302</v>
      </c>
    </row>
    <row r="1151" spans="11:16" x14ac:dyDescent="0.25">
      <c r="K1151" s="75" t="s">
        <v>12589</v>
      </c>
      <c r="L1151" s="75" t="s">
        <v>526</v>
      </c>
      <c r="M1151" t="s">
        <v>12765</v>
      </c>
    </row>
    <row r="1152" spans="11:16" x14ac:dyDescent="0.25">
      <c r="K1152" s="75" t="s">
        <v>11028</v>
      </c>
      <c r="L1152" s="75" t="s">
        <v>577</v>
      </c>
      <c r="M1152" t="s">
        <v>11169</v>
      </c>
    </row>
    <row r="1153" spans="11:13" x14ac:dyDescent="0.25">
      <c r="K1153" s="74" t="s">
        <v>10134</v>
      </c>
      <c r="L1153" s="74" t="s">
        <v>386</v>
      </c>
      <c r="M1153" t="s">
        <v>10213</v>
      </c>
    </row>
    <row r="1154" spans="11:13" x14ac:dyDescent="0.25">
      <c r="K1154" s="75" t="s">
        <v>12764</v>
      </c>
      <c r="L1154" s="75" t="s">
        <v>583</v>
      </c>
      <c r="M1154" t="s">
        <v>12853</v>
      </c>
    </row>
    <row r="1155" spans="11:13" x14ac:dyDescent="0.25">
      <c r="K1155" s="75" t="s">
        <v>12769</v>
      </c>
      <c r="L1155" s="75" t="s">
        <v>526</v>
      </c>
      <c r="M1155" t="s">
        <v>12905</v>
      </c>
    </row>
    <row r="1156" spans="11:13" x14ac:dyDescent="0.25">
      <c r="K1156" s="75" t="s">
        <v>8059</v>
      </c>
      <c r="L1156" s="75" t="s">
        <v>305</v>
      </c>
      <c r="M1156" t="s">
        <v>13067</v>
      </c>
    </row>
    <row r="1157" spans="11:13" x14ac:dyDescent="0.25">
      <c r="K1157" s="75" t="s">
        <v>12812</v>
      </c>
      <c r="L1157" s="75" t="s">
        <v>2</v>
      </c>
      <c r="M1157" t="s">
        <v>13099</v>
      </c>
    </row>
    <row r="1158" spans="11:13" x14ac:dyDescent="0.25">
      <c r="K1158" s="75" t="s">
        <v>12897</v>
      </c>
      <c r="L1158" s="75" t="s">
        <v>305</v>
      </c>
      <c r="M1158" t="s">
        <v>13070</v>
      </c>
    </row>
    <row r="1159" spans="11:13" x14ac:dyDescent="0.25">
      <c r="K1159" s="75" t="s">
        <v>13028</v>
      </c>
      <c r="L1159" s="75" t="s">
        <v>9753</v>
      </c>
      <c r="M1159" t="s">
        <v>13063</v>
      </c>
    </row>
    <row r="1160" spans="11:13" x14ac:dyDescent="0.25">
      <c r="K1160" s="75" t="s">
        <v>13193</v>
      </c>
      <c r="L1160" s="75" t="s">
        <v>13066</v>
      </c>
      <c r="M1160" t="s">
        <v>13288</v>
      </c>
    </row>
    <row r="1161" spans="11:13" x14ac:dyDescent="0.25">
      <c r="K1161" s="75" t="s">
        <v>7406</v>
      </c>
      <c r="L1161" s="75" t="s">
        <v>13172</v>
      </c>
      <c r="M1161" t="s">
        <v>13353</v>
      </c>
    </row>
    <row r="1162" spans="11:13" x14ac:dyDescent="0.25">
      <c r="K1162" s="75" t="s">
        <v>13306</v>
      </c>
      <c r="L1162" s="75" t="s">
        <v>13066</v>
      </c>
      <c r="M1162" t="s">
        <v>13340</v>
      </c>
    </row>
    <row r="1163" spans="11:13" x14ac:dyDescent="0.25">
      <c r="K1163" s="75" t="s">
        <v>13438</v>
      </c>
      <c r="L1163" s="216" t="s">
        <v>604</v>
      </c>
      <c r="M1163" t="s">
        <v>13538</v>
      </c>
    </row>
    <row r="1164" spans="11:13" x14ac:dyDescent="0.25">
      <c r="K1164" s="75" t="s">
        <v>12588</v>
      </c>
      <c r="L1164" s="75" t="s">
        <v>577</v>
      </c>
      <c r="M1164" t="s">
        <v>13307</v>
      </c>
    </row>
    <row r="1165" spans="11:13" x14ac:dyDescent="0.25">
      <c r="K1165" s="75" t="s">
        <v>13477</v>
      </c>
      <c r="L1165" s="216" t="s">
        <v>604</v>
      </c>
      <c r="M1165" t="s">
        <v>13627</v>
      </c>
    </row>
    <row r="1166" spans="11:13" x14ac:dyDescent="0.25">
      <c r="K1166" s="75" t="s">
        <v>12798</v>
      </c>
      <c r="L1166" s="75" t="s">
        <v>12064</v>
      </c>
      <c r="M1166" t="s">
        <v>13207</v>
      </c>
    </row>
    <row r="1167" spans="11:13" x14ac:dyDescent="0.25">
      <c r="K1167" s="75" t="s">
        <v>13079</v>
      </c>
      <c r="L1167" s="75" t="s">
        <v>2</v>
      </c>
      <c r="M1167" t="s">
        <v>13197</v>
      </c>
    </row>
    <row r="1168" spans="11:13" x14ac:dyDescent="0.25">
      <c r="K1168" s="75" t="s">
        <v>13625</v>
      </c>
      <c r="L1168" s="75" t="s">
        <v>13626</v>
      </c>
      <c r="M1168" t="s">
        <v>13745</v>
      </c>
    </row>
    <row r="1169" spans="11:13" x14ac:dyDescent="0.25">
      <c r="K1169" s="75" t="s">
        <v>13663</v>
      </c>
      <c r="L1169" s="75" t="s">
        <v>13664</v>
      </c>
      <c r="M1169" t="s">
        <v>13818</v>
      </c>
    </row>
    <row r="1170" spans="11:13" x14ac:dyDescent="0.25">
      <c r="K1170" s="75" t="s">
        <v>13541</v>
      </c>
      <c r="L1170" s="75" t="s">
        <v>13066</v>
      </c>
      <c r="M1170" t="s">
        <v>13904</v>
      </c>
    </row>
    <row r="1171" spans="11:13" x14ac:dyDescent="0.25">
      <c r="K1171" s="74" t="s">
        <v>13709</v>
      </c>
      <c r="L1171" s="74" t="s">
        <v>526</v>
      </c>
      <c r="M1171" t="s">
        <v>13849</v>
      </c>
    </row>
    <row r="1172" spans="11:13" x14ac:dyDescent="0.25">
      <c r="K1172" s="75" t="s">
        <v>13820</v>
      </c>
      <c r="L1172" s="75" t="s">
        <v>13664</v>
      </c>
      <c r="M1172" t="s">
        <v>13979</v>
      </c>
    </row>
    <row r="1173" spans="11:13" x14ac:dyDescent="0.25">
      <c r="K1173" s="74" t="s">
        <v>13983</v>
      </c>
      <c r="L1173" s="74" t="s">
        <v>526</v>
      </c>
      <c r="M1173" t="s">
        <v>14016</v>
      </c>
    </row>
    <row r="1174" spans="11:13" x14ac:dyDescent="0.25">
      <c r="K1174" s="75" t="s">
        <v>13996</v>
      </c>
      <c r="L1174" s="75" t="s">
        <v>12303</v>
      </c>
      <c r="M1174" t="s">
        <v>14045</v>
      </c>
    </row>
    <row r="1175" spans="11:13" x14ac:dyDescent="0.25">
      <c r="K1175" s="75" t="s">
        <v>13908</v>
      </c>
      <c r="L1175" s="290" t="s">
        <v>13066</v>
      </c>
      <c r="M1175" t="s">
        <v>14055</v>
      </c>
    </row>
    <row r="1176" spans="11:13" x14ac:dyDescent="0.25">
      <c r="K1176" s="75" t="s">
        <v>13715</v>
      </c>
      <c r="L1176" s="75" t="s">
        <v>9753</v>
      </c>
      <c r="M1176" t="s">
        <v>13923</v>
      </c>
    </row>
    <row r="1177" spans="11:13" x14ac:dyDescent="0.25">
      <c r="K1177" s="74" t="s">
        <v>14076</v>
      </c>
      <c r="L1177" s="74" t="s">
        <v>13066</v>
      </c>
      <c r="M1177" t="s">
        <v>14103</v>
      </c>
    </row>
    <row r="1178" spans="11:13" x14ac:dyDescent="0.25">
      <c r="K1178" s="75" t="s">
        <v>13746</v>
      </c>
      <c r="L1178" s="75" t="s">
        <v>13626</v>
      </c>
      <c r="M1178" t="s">
        <v>14064</v>
      </c>
    </row>
    <row r="1179" spans="11:13" x14ac:dyDescent="0.25">
      <c r="K1179" s="75" t="s">
        <v>12742</v>
      </c>
      <c r="L1179" s="75" t="s">
        <v>6216</v>
      </c>
      <c r="M1179" t="s">
        <v>12817</v>
      </c>
    </row>
    <row r="1180" spans="11:13" x14ac:dyDescent="0.25">
      <c r="K1180" s="75" t="s">
        <v>9782</v>
      </c>
      <c r="L1180" s="75" t="s">
        <v>467</v>
      </c>
      <c r="M1180" t="s">
        <v>9887</v>
      </c>
    </row>
    <row r="1181" spans="11:13" x14ac:dyDescent="0.25">
      <c r="K1181" s="74" t="s">
        <v>14066</v>
      </c>
      <c r="L1181" s="74" t="s">
        <v>14136</v>
      </c>
      <c r="M1181" t="s">
        <v>14141</v>
      </c>
    </row>
    <row r="1182" spans="11:13" x14ac:dyDescent="0.25">
      <c r="K1182" s="75" t="s">
        <v>14091</v>
      </c>
      <c r="L1182" s="75" t="s">
        <v>14138</v>
      </c>
      <c r="M1182" t="s">
        <v>14179</v>
      </c>
    </row>
    <row r="1183" spans="11:13" x14ac:dyDescent="0.25">
      <c r="K1183" s="75" t="s">
        <v>14204</v>
      </c>
      <c r="L1183" s="75" t="s">
        <v>8045</v>
      </c>
      <c r="M1183" t="s">
        <v>14314</v>
      </c>
    </row>
    <row r="1184" spans="11:13" x14ac:dyDescent="0.25">
      <c r="K1184" s="74" t="s">
        <v>14110</v>
      </c>
      <c r="L1184" s="74" t="s">
        <v>14136</v>
      </c>
      <c r="M1184" t="s">
        <v>14247</v>
      </c>
    </row>
    <row r="1185" spans="11:25" x14ac:dyDescent="0.25">
      <c r="K1185" s="75" t="s">
        <v>14244</v>
      </c>
      <c r="L1185" s="75" t="s">
        <v>14259</v>
      </c>
      <c r="M1185" t="s">
        <v>14319</v>
      </c>
    </row>
    <row r="1186" spans="11:25" x14ac:dyDescent="0.25">
      <c r="K1186" s="75" t="s">
        <v>10964</v>
      </c>
      <c r="L1186" s="75" t="s">
        <v>1507</v>
      </c>
      <c r="M1186" t="s">
        <v>14464</v>
      </c>
    </row>
    <row r="1187" spans="11:25" x14ac:dyDescent="0.25">
      <c r="K1187" s="74" t="s">
        <v>14112</v>
      </c>
      <c r="L1187" s="74" t="s">
        <v>14136</v>
      </c>
      <c r="M1187" t="s">
        <v>14438</v>
      </c>
    </row>
    <row r="1188" spans="11:25" x14ac:dyDescent="0.25">
      <c r="K1188" s="75" t="s">
        <v>816</v>
      </c>
      <c r="L1188" s="75" t="s">
        <v>6216</v>
      </c>
      <c r="M1188" t="s">
        <v>15133</v>
      </c>
    </row>
    <row r="1189" spans="11:25" x14ac:dyDescent="0.25">
      <c r="K1189" s="74" t="s">
        <v>14599</v>
      </c>
      <c r="L1189" s="290" t="s">
        <v>14285</v>
      </c>
      <c r="M1189" t="s">
        <v>14644</v>
      </c>
    </row>
    <row r="1190" spans="11:25" x14ac:dyDescent="0.25">
      <c r="K1190" s="74" t="s">
        <v>12589</v>
      </c>
      <c r="L1190" s="74" t="s">
        <v>14137</v>
      </c>
      <c r="M1190" t="s">
        <v>14714</v>
      </c>
    </row>
    <row r="1191" spans="11:25" x14ac:dyDescent="0.25">
      <c r="K1191" s="75" t="s">
        <v>14665</v>
      </c>
      <c r="L1191" s="290" t="s">
        <v>6216</v>
      </c>
      <c r="M1191" t="s">
        <v>14741</v>
      </c>
    </row>
    <row r="1192" spans="11:25" x14ac:dyDescent="0.25">
      <c r="K1192" s="75" t="s">
        <v>14284</v>
      </c>
      <c r="L1192" s="75" t="s">
        <v>14285</v>
      </c>
      <c r="M1192" t="s">
        <v>14598</v>
      </c>
    </row>
    <row r="1193" spans="11:25" x14ac:dyDescent="0.25">
      <c r="K1193" s="75" t="s">
        <v>14547</v>
      </c>
      <c r="L1193" s="75" t="s">
        <v>6925</v>
      </c>
      <c r="M1193" t="s">
        <v>14678</v>
      </c>
    </row>
    <row r="1194" spans="11:25" x14ac:dyDescent="0.25">
      <c r="K1194" s="74" t="s">
        <v>14778</v>
      </c>
      <c r="L1194" s="74" t="s">
        <v>14138</v>
      </c>
      <c r="M1194" t="s">
        <v>14791</v>
      </c>
    </row>
    <row r="1195" spans="11:25" x14ac:dyDescent="0.25">
      <c r="K1195" s="75" t="s">
        <v>14590</v>
      </c>
      <c r="L1195" s="75" t="s">
        <v>8045</v>
      </c>
      <c r="M1195" t="s">
        <v>14822</v>
      </c>
    </row>
    <row r="1196" spans="11:25" x14ac:dyDescent="0.25">
      <c r="K1196" s="75" t="s">
        <v>14111</v>
      </c>
      <c r="L1196" s="75" t="s">
        <v>14139</v>
      </c>
      <c r="M1196" t="s">
        <v>14239</v>
      </c>
    </row>
    <row r="1197" spans="11:25" x14ac:dyDescent="0.25">
      <c r="K1197" s="75" t="s">
        <v>14065</v>
      </c>
      <c r="L1197" s="75" t="s">
        <v>12303</v>
      </c>
      <c r="M1197" t="s">
        <v>14237</v>
      </c>
    </row>
    <row r="1198" spans="11:25" ht="15.75" x14ac:dyDescent="0.25">
      <c r="K1198" s="75" t="s">
        <v>14779</v>
      </c>
      <c r="L1198" s="75" t="s">
        <v>14138</v>
      </c>
      <c r="M1198" t="s">
        <v>14909</v>
      </c>
      <c r="Y1198" s="100"/>
    </row>
    <row r="1199" spans="11:25" x14ac:dyDescent="0.25">
      <c r="K1199" s="75" t="s">
        <v>14838</v>
      </c>
      <c r="L1199" s="75" t="s">
        <v>8045</v>
      </c>
      <c r="M1199" t="s">
        <v>15061</v>
      </c>
    </row>
    <row r="1200" spans="11:25" x14ac:dyDescent="0.25">
      <c r="K1200" s="74" t="s">
        <v>14935</v>
      </c>
      <c r="L1200" s="74" t="s">
        <v>14669</v>
      </c>
      <c r="M1200" t="s">
        <v>14936</v>
      </c>
    </row>
    <row r="1201" spans="1:26" x14ac:dyDescent="0.25">
      <c r="K1201" s="74" t="s">
        <v>14835</v>
      </c>
      <c r="L1201" s="74" t="s">
        <v>8045</v>
      </c>
      <c r="M1201" t="s">
        <v>14976</v>
      </c>
    </row>
    <row r="1202" spans="1:26" x14ac:dyDescent="0.25">
      <c r="K1202" s="75" t="s">
        <v>14746</v>
      </c>
      <c r="L1202" s="75" t="s">
        <v>14139</v>
      </c>
      <c r="M1202" t="s">
        <v>14965</v>
      </c>
    </row>
    <row r="1203" spans="1:26" x14ac:dyDescent="0.25">
      <c r="K1203" s="75" t="s">
        <v>14912</v>
      </c>
      <c r="L1203" s="75" t="s">
        <v>14138</v>
      </c>
      <c r="M1203" t="s">
        <v>15125</v>
      </c>
    </row>
    <row r="1204" spans="1:26" x14ac:dyDescent="0.25">
      <c r="J1204" t="s">
        <v>13210</v>
      </c>
      <c r="K1204" s="75" t="s">
        <v>15182</v>
      </c>
      <c r="L1204" s="75" t="s">
        <v>13989</v>
      </c>
      <c r="M1204" t="s">
        <v>15185</v>
      </c>
    </row>
    <row r="1205" spans="1:26" x14ac:dyDescent="0.25">
      <c r="K1205" s="75" t="s">
        <v>15127</v>
      </c>
      <c r="L1205" s="75" t="s">
        <v>8045</v>
      </c>
      <c r="M1205" t="s">
        <v>15243</v>
      </c>
      <c r="U1205" s="324"/>
    </row>
    <row r="1206" spans="1:26" x14ac:dyDescent="0.25">
      <c r="K1206" s="74" t="s">
        <v>14367</v>
      </c>
      <c r="L1206" s="74" t="s">
        <v>14139</v>
      </c>
      <c r="M1206" s="118" t="s">
        <v>15174</v>
      </c>
    </row>
    <row r="1207" spans="1:26" x14ac:dyDescent="0.25">
      <c r="K1207" s="74" t="s">
        <v>15297</v>
      </c>
      <c r="L1207" s="74" t="s">
        <v>14947</v>
      </c>
      <c r="M1207" t="s">
        <v>15344</v>
      </c>
    </row>
    <row r="1213" spans="1:26" x14ac:dyDescent="0.25">
      <c r="E1213" s="118"/>
      <c r="F1213" s="118"/>
    </row>
    <row r="1214" spans="1:26" x14ac:dyDescent="0.25">
      <c r="E1214" s="118"/>
      <c r="F1214" s="118"/>
      <c r="G1214" s="118"/>
      <c r="W1214" s="118"/>
      <c r="X1214" s="118"/>
      <c r="Y1214" s="118"/>
    </row>
    <row r="1215" spans="1:26" s="218" customFormat="1" x14ac:dyDescent="0.25">
      <c r="A1215" s="218" t="s">
        <v>3</v>
      </c>
      <c r="B1215" s="218">
        <f>COUNTA(B938:B1214)-72</f>
        <v>25</v>
      </c>
      <c r="E1215" s="218">
        <f>COUNTA(E937:E1214)-74</f>
        <v>23</v>
      </c>
      <c r="H1215" s="218">
        <f>COUNTA(H937:H1214)-74</f>
        <v>17</v>
      </c>
      <c r="K1215" s="218">
        <f>COUNTA(K937:K1214)-195</f>
        <v>76</v>
      </c>
      <c r="N1215" s="218">
        <f>COUNTA(N937:N1214)-162</f>
        <v>40</v>
      </c>
      <c r="Q1215" s="218">
        <f>COUNTA(Q937:Q1214)-40</f>
        <v>18</v>
      </c>
      <c r="T1215" s="218">
        <f>COUNTA(T937:T1214)-49</f>
        <v>17</v>
      </c>
      <c r="W1215" s="218">
        <f>COUNTA(W937:W1214)-92</f>
        <v>74</v>
      </c>
      <c r="Z1215" s="218">
        <f>SUBTOTAL(9,B1215:Y1215)</f>
        <v>290</v>
      </c>
    </row>
    <row r="1216" spans="1:26" x14ac:dyDescent="0.25">
      <c r="A1216" t="s">
        <v>65</v>
      </c>
      <c r="B1216" s="75" t="s">
        <v>15215</v>
      </c>
      <c r="C1216" s="75" t="s">
        <v>6216</v>
      </c>
      <c r="D1216" t="s">
        <v>15249</v>
      </c>
      <c r="E1216" s="84" t="s">
        <v>15229</v>
      </c>
      <c r="F1216" s="118" t="s">
        <v>14450</v>
      </c>
      <c r="G1216" t="s">
        <v>15230</v>
      </c>
      <c r="H1216" s="75" t="s">
        <v>15002</v>
      </c>
      <c r="I1216" s="75" t="s">
        <v>11</v>
      </c>
      <c r="J1216" t="s">
        <v>15398</v>
      </c>
      <c r="K1216" s="84" t="s">
        <v>15328</v>
      </c>
      <c r="L1216" t="s">
        <v>6216</v>
      </c>
      <c r="M1216" t="s">
        <v>15327</v>
      </c>
      <c r="N1216" s="74" t="s">
        <v>1291</v>
      </c>
      <c r="O1216" s="74" t="s">
        <v>349</v>
      </c>
      <c r="P1216" t="s">
        <v>15417</v>
      </c>
      <c r="Q1216" s="75" t="s">
        <v>14311</v>
      </c>
      <c r="R1216" s="75" t="s">
        <v>11</v>
      </c>
      <c r="S1216" t="s">
        <v>15095</v>
      </c>
      <c r="T1216" s="75" t="s">
        <v>14159</v>
      </c>
      <c r="U1216" s="75" t="s">
        <v>5101</v>
      </c>
      <c r="V1216" t="s">
        <v>14255</v>
      </c>
      <c r="W1216" s="84" t="s">
        <v>15105</v>
      </c>
      <c r="X1216" t="s">
        <v>6216</v>
      </c>
      <c r="Y1216" t="s">
        <v>15106</v>
      </c>
    </row>
    <row r="1217" spans="2:25" x14ac:dyDescent="0.25">
      <c r="B1217" s="75" t="s">
        <v>15104</v>
      </c>
      <c r="C1217" s="75" t="s">
        <v>14450</v>
      </c>
      <c r="D1217" t="s">
        <v>15216</v>
      </c>
      <c r="E1217" s="75" t="s">
        <v>15002</v>
      </c>
      <c r="F1217" s="75" t="s">
        <v>11</v>
      </c>
      <c r="G1217" t="s">
        <v>15287</v>
      </c>
      <c r="H1217" s="75" t="s">
        <v>12179</v>
      </c>
      <c r="I1217" s="75" t="s">
        <v>5101</v>
      </c>
      <c r="J1217" t="s">
        <v>12618</v>
      </c>
      <c r="K1217" t="s">
        <v>15096</v>
      </c>
      <c r="L1217" t="s">
        <v>11</v>
      </c>
      <c r="M1217" t="s">
        <v>15380</v>
      </c>
      <c r="N1217" s="75" t="s">
        <v>12436</v>
      </c>
      <c r="O1217" s="75" t="s">
        <v>6216</v>
      </c>
      <c r="P1217" s="118" t="s">
        <v>15207</v>
      </c>
      <c r="Q1217" s="75" t="s">
        <v>14982</v>
      </c>
      <c r="R1217" s="75" t="s">
        <v>349</v>
      </c>
      <c r="S1217" t="s">
        <v>15064</v>
      </c>
      <c r="T1217" s="75" t="s">
        <v>13411</v>
      </c>
      <c r="U1217" s="75" t="s">
        <v>6621</v>
      </c>
      <c r="V1217" t="s">
        <v>15138</v>
      </c>
      <c r="W1217" t="s">
        <v>9611</v>
      </c>
      <c r="X1217" t="s">
        <v>349</v>
      </c>
      <c r="Y1217" t="s">
        <v>15306</v>
      </c>
    </row>
    <row r="1218" spans="2:25" x14ac:dyDescent="0.25">
      <c r="B1218" s="75" t="s">
        <v>11789</v>
      </c>
      <c r="C1218" s="75" t="s">
        <v>12061</v>
      </c>
      <c r="D1218" t="s">
        <v>11949</v>
      </c>
      <c r="E1218" s="75" t="s">
        <v>15118</v>
      </c>
      <c r="F1218" s="75" t="s">
        <v>7659</v>
      </c>
      <c r="G1218" t="s">
        <v>15231</v>
      </c>
      <c r="H1218" s="75" t="s">
        <v>11948</v>
      </c>
      <c r="I1218" s="75" t="s">
        <v>12061</v>
      </c>
      <c r="J1218" t="s">
        <v>12161</v>
      </c>
      <c r="K1218" s="74" t="s">
        <v>15326</v>
      </c>
      <c r="L1218" s="118" t="s">
        <v>348</v>
      </c>
      <c r="M1218" t="s">
        <v>15334</v>
      </c>
      <c r="N1218" s="75" t="s">
        <v>13183</v>
      </c>
      <c r="O1218" s="75" t="s">
        <v>1661</v>
      </c>
      <c r="P1218" t="s">
        <v>13280</v>
      </c>
      <c r="Q1218" s="75" t="s">
        <v>9143</v>
      </c>
      <c r="R1218" s="75" t="s">
        <v>14450</v>
      </c>
      <c r="S1218" t="s">
        <v>14719</v>
      </c>
      <c r="T1218" s="75" t="s">
        <v>4206</v>
      </c>
      <c r="U1218" s="75" t="s">
        <v>6621</v>
      </c>
      <c r="V1218" t="s">
        <v>14177</v>
      </c>
      <c r="W1218" s="84" t="s">
        <v>15304</v>
      </c>
      <c r="X1218" t="s">
        <v>6216</v>
      </c>
      <c r="Y1218" t="s">
        <v>15305</v>
      </c>
    </row>
    <row r="1219" spans="2:25" x14ac:dyDescent="0.25">
      <c r="B1219" s="75" t="s">
        <v>11788</v>
      </c>
      <c r="C1219" s="75" t="s">
        <v>485</v>
      </c>
      <c r="D1219" t="s">
        <v>11946</v>
      </c>
      <c r="E1219" s="75" t="s">
        <v>11465</v>
      </c>
      <c r="F1219" s="75" t="s">
        <v>8199</v>
      </c>
      <c r="G1219" t="s">
        <v>11635</v>
      </c>
      <c r="H1219" s="75" t="s">
        <v>11603</v>
      </c>
      <c r="I1219" s="75" t="s">
        <v>8202</v>
      </c>
      <c r="J1219" t="s">
        <v>12155</v>
      </c>
      <c r="K1219" s="74" t="s">
        <v>15268</v>
      </c>
      <c r="L1219" t="s">
        <v>6216</v>
      </c>
      <c r="M1219" t="s">
        <v>15288</v>
      </c>
      <c r="N1219" s="75" t="s">
        <v>13171</v>
      </c>
      <c r="O1219" s="75" t="s">
        <v>6621</v>
      </c>
      <c r="P1219" t="s">
        <v>13234</v>
      </c>
      <c r="Q1219" s="75" t="s">
        <v>11443</v>
      </c>
      <c r="R1219" s="75" t="s">
        <v>348</v>
      </c>
      <c r="S1219" t="s">
        <v>14633</v>
      </c>
      <c r="T1219" s="75" t="s">
        <v>13854</v>
      </c>
      <c r="U1219" s="75" t="s">
        <v>6621</v>
      </c>
      <c r="V1219" t="s">
        <v>13880</v>
      </c>
      <c r="W1219" s="84" t="s">
        <v>12432</v>
      </c>
      <c r="X1219" t="s">
        <v>14902</v>
      </c>
      <c r="Y1219" t="s">
        <v>14906</v>
      </c>
    </row>
    <row r="1220" spans="2:25" x14ac:dyDescent="0.25">
      <c r="B1220" s="75" t="s">
        <v>11392</v>
      </c>
      <c r="C1220" s="75" t="s">
        <v>8199</v>
      </c>
      <c r="D1220" t="s">
        <v>11466</v>
      </c>
      <c r="E1220" s="75" t="s">
        <v>10722</v>
      </c>
      <c r="F1220" s="75" t="s">
        <v>455</v>
      </c>
      <c r="G1220" t="s">
        <v>11339</v>
      </c>
      <c r="H1220" s="75" t="s">
        <v>10722</v>
      </c>
      <c r="I1220" s="75" t="s">
        <v>455</v>
      </c>
      <c r="J1220" t="s">
        <v>11530</v>
      </c>
      <c r="K1220" s="75" t="s">
        <v>14702</v>
      </c>
      <c r="L1220" t="s">
        <v>6621</v>
      </c>
      <c r="M1220" t="s">
        <v>14863</v>
      </c>
      <c r="N1220" s="75" t="s">
        <v>9655</v>
      </c>
      <c r="O1220" s="216" t="s">
        <v>9753</v>
      </c>
      <c r="P1220" t="s">
        <v>9832</v>
      </c>
      <c r="Q1220" s="75" t="s">
        <v>14172</v>
      </c>
      <c r="R1220" s="75" t="s">
        <v>349</v>
      </c>
      <c r="S1220" t="s">
        <v>14496</v>
      </c>
      <c r="T1220" s="75" t="s">
        <v>10940</v>
      </c>
      <c r="U1220" s="75" t="s">
        <v>1661</v>
      </c>
      <c r="V1220" t="s">
        <v>11260</v>
      </c>
      <c r="W1220" s="84" t="s">
        <v>15250</v>
      </c>
      <c r="X1220" t="s">
        <v>6216</v>
      </c>
      <c r="Y1220" t="s">
        <v>15251</v>
      </c>
    </row>
    <row r="1221" spans="2:25" x14ac:dyDescent="0.25">
      <c r="B1221" s="75" t="s">
        <v>11270</v>
      </c>
      <c r="C1221" s="75" t="s">
        <v>9749</v>
      </c>
      <c r="D1221" t="s">
        <v>11386</v>
      </c>
      <c r="E1221" s="75" t="s">
        <v>10383</v>
      </c>
      <c r="F1221" s="75" t="s">
        <v>9749</v>
      </c>
      <c r="G1221" t="s">
        <v>10993</v>
      </c>
      <c r="H1221" s="75" t="s">
        <v>11082</v>
      </c>
      <c r="I1221" s="75" t="s">
        <v>344</v>
      </c>
      <c r="J1221" t="s">
        <v>11274</v>
      </c>
      <c r="K1221" s="75" t="s">
        <v>14724</v>
      </c>
      <c r="L1221" s="75" t="s">
        <v>1510</v>
      </c>
      <c r="M1221" t="s">
        <v>14832</v>
      </c>
      <c r="N1221" s="75" t="s">
        <v>9318</v>
      </c>
      <c r="O1221" s="216" t="s">
        <v>9422</v>
      </c>
      <c r="P1221" t="s">
        <v>9553</v>
      </c>
      <c r="Q1221" s="75" t="s">
        <v>11821</v>
      </c>
      <c r="R1221" s="75" t="s">
        <v>12063</v>
      </c>
      <c r="S1221" t="s">
        <v>12158</v>
      </c>
      <c r="T1221" s="75" t="s">
        <v>10649</v>
      </c>
      <c r="U1221" s="75" t="s">
        <v>745</v>
      </c>
      <c r="V1221" t="s">
        <v>11035</v>
      </c>
      <c r="W1221" s="118" t="s">
        <v>14369</v>
      </c>
      <c r="X1221" s="118" t="s">
        <v>6216</v>
      </c>
      <c r="Y1221" t="s">
        <v>15252</v>
      </c>
    </row>
    <row r="1222" spans="2:25" x14ac:dyDescent="0.25">
      <c r="B1222" s="75" t="s">
        <v>11036</v>
      </c>
      <c r="C1222" s="75" t="s">
        <v>10253</v>
      </c>
      <c r="D1222" t="s">
        <v>11139</v>
      </c>
      <c r="E1222" s="75" t="s">
        <v>10651</v>
      </c>
      <c r="F1222" s="75" t="s">
        <v>8202</v>
      </c>
      <c r="G1222" t="s">
        <v>10899</v>
      </c>
      <c r="H1222" s="75" t="s">
        <v>10817</v>
      </c>
      <c r="I1222" s="216" t="s">
        <v>10888</v>
      </c>
      <c r="J1222" t="s">
        <v>11258</v>
      </c>
      <c r="K1222" s="75" t="s">
        <v>13006</v>
      </c>
      <c r="L1222" s="75" t="s">
        <v>6216</v>
      </c>
      <c r="M1222" t="s">
        <v>13046</v>
      </c>
      <c r="N1222" s="75" t="s">
        <v>9197</v>
      </c>
      <c r="O1222" s="75" t="s">
        <v>8202</v>
      </c>
      <c r="P1222" t="s">
        <v>10693</v>
      </c>
      <c r="Q1222" s="315" t="s">
        <v>11865</v>
      </c>
      <c r="R1222" s="315" t="s">
        <v>10253</v>
      </c>
      <c r="S1222" s="312" t="s">
        <v>12081</v>
      </c>
      <c r="T1222" s="75" t="s">
        <v>10627</v>
      </c>
      <c r="U1222" s="75" t="s">
        <v>349</v>
      </c>
      <c r="V1222" t="s">
        <v>10802</v>
      </c>
      <c r="W1222" s="84" t="s">
        <v>15266</v>
      </c>
      <c r="X1222" s="118" t="s">
        <v>1510</v>
      </c>
      <c r="Y1222" t="s">
        <v>15267</v>
      </c>
    </row>
    <row r="1223" spans="2:25" x14ac:dyDescent="0.25">
      <c r="B1223" s="75" t="s">
        <v>11038</v>
      </c>
      <c r="C1223" s="75" t="s">
        <v>2972</v>
      </c>
      <c r="D1223" t="s">
        <v>11137</v>
      </c>
      <c r="E1223" s="75" t="s">
        <v>9931</v>
      </c>
      <c r="F1223" s="75" t="s">
        <v>8201</v>
      </c>
      <c r="G1223" t="s">
        <v>10692</v>
      </c>
      <c r="H1223" s="75" t="s">
        <v>10383</v>
      </c>
      <c r="I1223" s="75" t="s">
        <v>9749</v>
      </c>
      <c r="J1223" t="s">
        <v>11144</v>
      </c>
      <c r="K1223" s="75" t="s">
        <v>12619</v>
      </c>
      <c r="L1223" s="75" t="s">
        <v>5101</v>
      </c>
      <c r="M1223" t="s">
        <v>12727</v>
      </c>
      <c r="N1223" s="75" t="s">
        <v>9449</v>
      </c>
      <c r="O1223" s="75" t="s">
        <v>8201</v>
      </c>
      <c r="P1223" t="s">
        <v>10691</v>
      </c>
      <c r="Q1223" s="75" t="s">
        <v>11658</v>
      </c>
      <c r="R1223" s="75" t="s">
        <v>10888</v>
      </c>
      <c r="S1223" t="s">
        <v>11933</v>
      </c>
      <c r="T1223" s="75" t="s">
        <v>11934</v>
      </c>
      <c r="U1223" s="216" t="s">
        <v>2970</v>
      </c>
      <c r="V1223" t="s">
        <v>10513</v>
      </c>
      <c r="W1223" s="290" t="s">
        <v>11979</v>
      </c>
      <c r="X1223" t="s">
        <v>11</v>
      </c>
      <c r="Y1223" t="s">
        <v>15399</v>
      </c>
    </row>
    <row r="1224" spans="2:25" x14ac:dyDescent="0.25">
      <c r="B1224" s="75" t="s">
        <v>10944</v>
      </c>
      <c r="C1224" s="75" t="s">
        <v>344</v>
      </c>
      <c r="D1224" t="s">
        <v>11080</v>
      </c>
      <c r="E1224" s="75" t="s">
        <v>9931</v>
      </c>
      <c r="F1224" s="75" t="s">
        <v>8201</v>
      </c>
      <c r="G1224" t="s">
        <v>10538</v>
      </c>
      <c r="H1224" s="75" t="s">
        <v>10651</v>
      </c>
      <c r="I1224" s="75" t="s">
        <v>8202</v>
      </c>
      <c r="J1224" t="s">
        <v>10934</v>
      </c>
      <c r="K1224" s="75" t="s">
        <v>8645</v>
      </c>
      <c r="L1224" s="75" t="s">
        <v>336</v>
      </c>
      <c r="M1224" t="s">
        <v>9334</v>
      </c>
      <c r="N1224" s="75" t="s">
        <v>9148</v>
      </c>
      <c r="O1224" s="216" t="s">
        <v>348</v>
      </c>
      <c r="P1224" t="s">
        <v>9284</v>
      </c>
      <c r="Q1224" s="74" t="s">
        <v>273</v>
      </c>
      <c r="R1224" s="74" t="s">
        <v>10253</v>
      </c>
      <c r="S1224" t="s">
        <v>11914</v>
      </c>
      <c r="T1224" s="75" t="s">
        <v>9635</v>
      </c>
      <c r="U1224" s="75" t="s">
        <v>1661</v>
      </c>
      <c r="V1224" t="s">
        <v>9855</v>
      </c>
      <c r="W1224" s="75" t="s">
        <v>14994</v>
      </c>
      <c r="X1224" s="75" t="s">
        <v>6216</v>
      </c>
      <c r="Y1224" t="s">
        <v>15396</v>
      </c>
    </row>
    <row r="1225" spans="2:25" x14ac:dyDescent="0.25">
      <c r="B1225" s="75" t="s">
        <v>10728</v>
      </c>
      <c r="C1225" s="75" t="s">
        <v>10253</v>
      </c>
      <c r="D1225" t="s">
        <v>10825</v>
      </c>
      <c r="E1225" s="75" t="s">
        <v>9794</v>
      </c>
      <c r="F1225" s="216" t="s">
        <v>9875</v>
      </c>
      <c r="G1225" t="s">
        <v>10461</v>
      </c>
      <c r="H1225" s="75" t="s">
        <v>9931</v>
      </c>
      <c r="I1225" s="75" t="s">
        <v>8201</v>
      </c>
      <c r="J1225" t="s">
        <v>10698</v>
      </c>
      <c r="K1225" s="75" t="s">
        <v>8945</v>
      </c>
      <c r="L1225" s="216" t="s">
        <v>5101</v>
      </c>
      <c r="M1225" t="s">
        <v>9044</v>
      </c>
      <c r="N1225" s="75" t="s">
        <v>4852</v>
      </c>
      <c r="O1225" s="75" t="s">
        <v>745</v>
      </c>
      <c r="P1225" t="s">
        <v>9286</v>
      </c>
      <c r="Q1225" s="75" t="s">
        <v>10981</v>
      </c>
      <c r="R1225" s="75" t="s">
        <v>350</v>
      </c>
      <c r="S1225" t="s">
        <v>11226</v>
      </c>
      <c r="T1225" s="75" t="s">
        <v>1270</v>
      </c>
      <c r="U1225" s="75" t="s">
        <v>5101</v>
      </c>
      <c r="V1225" t="s">
        <v>9551</v>
      </c>
      <c r="W1225" s="74" t="s">
        <v>10497</v>
      </c>
      <c r="X1225" s="74" t="s">
        <v>1661</v>
      </c>
      <c r="Y1225" t="s">
        <v>11764</v>
      </c>
    </row>
    <row r="1226" spans="2:25" x14ac:dyDescent="0.25">
      <c r="B1226" s="75" t="s">
        <v>10637</v>
      </c>
      <c r="C1226" s="216" t="s">
        <v>10738</v>
      </c>
      <c r="D1226" t="s">
        <v>10818</v>
      </c>
      <c r="E1226" s="75" t="s">
        <v>8643</v>
      </c>
      <c r="F1226" s="75" t="s">
        <v>363</v>
      </c>
      <c r="G1226" t="s">
        <v>10034</v>
      </c>
      <c r="H1226" s="75" t="s">
        <v>9794</v>
      </c>
      <c r="I1226" s="216" t="s">
        <v>9875</v>
      </c>
      <c r="J1226" t="s">
        <v>10583</v>
      </c>
      <c r="K1226" s="75" t="s">
        <v>8861</v>
      </c>
      <c r="L1226" s="74" t="s">
        <v>377</v>
      </c>
      <c r="M1226" t="s">
        <v>8612</v>
      </c>
      <c r="N1226" s="75" t="s">
        <v>8980</v>
      </c>
      <c r="O1226" s="75" t="s">
        <v>8203</v>
      </c>
      <c r="P1226" t="s">
        <v>9264</v>
      </c>
      <c r="Q1226" s="75" t="s">
        <v>10807</v>
      </c>
      <c r="R1226" s="75" t="s">
        <v>5706</v>
      </c>
      <c r="S1226" t="s">
        <v>11166</v>
      </c>
      <c r="T1226" s="75" t="s">
        <v>7813</v>
      </c>
      <c r="U1226" s="75" t="s">
        <v>3860</v>
      </c>
      <c r="V1226" t="s">
        <v>9131</v>
      </c>
      <c r="W1226" s="75" t="s">
        <v>11577</v>
      </c>
      <c r="X1226" s="216" t="s">
        <v>10253</v>
      </c>
      <c r="Y1226" t="s">
        <v>11758</v>
      </c>
    </row>
    <row r="1227" spans="2:25" x14ac:dyDescent="0.25">
      <c r="B1227" s="75" t="s">
        <v>10473</v>
      </c>
      <c r="C1227" s="75" t="s">
        <v>363</v>
      </c>
      <c r="D1227" t="s">
        <v>10723</v>
      </c>
      <c r="E1227" s="75" t="s">
        <v>9496</v>
      </c>
      <c r="F1227" s="75" t="s">
        <v>8203</v>
      </c>
      <c r="G1227" t="s">
        <v>9915</v>
      </c>
      <c r="H1227" s="75" t="s">
        <v>10200</v>
      </c>
      <c r="I1227" s="75" t="s">
        <v>2972</v>
      </c>
      <c r="J1227" t="s">
        <v>10528</v>
      </c>
      <c r="K1227" s="74" t="s">
        <v>7576</v>
      </c>
      <c r="L1227" s="75" t="s">
        <v>363</v>
      </c>
      <c r="M1227" t="s">
        <v>8440</v>
      </c>
      <c r="N1227" s="75" t="s">
        <v>8979</v>
      </c>
      <c r="O1227" s="75" t="s">
        <v>8201</v>
      </c>
      <c r="P1227" t="s">
        <v>9144</v>
      </c>
      <c r="Q1227" s="75" t="s">
        <v>10608</v>
      </c>
      <c r="R1227" s="75" t="s">
        <v>350</v>
      </c>
      <c r="S1227" t="s">
        <v>10874</v>
      </c>
      <c r="T1227" s="75" t="s">
        <v>8328</v>
      </c>
      <c r="U1227" s="75" t="s">
        <v>745</v>
      </c>
      <c r="V1227" t="s">
        <v>8406</v>
      </c>
      <c r="W1227" s="75" t="s">
        <v>9077</v>
      </c>
      <c r="X1227" s="216" t="s">
        <v>485</v>
      </c>
      <c r="Y1227" t="s">
        <v>10356</v>
      </c>
    </row>
    <row r="1228" spans="2:25" x14ac:dyDescent="0.25">
      <c r="B1228" s="75" t="s">
        <v>10247</v>
      </c>
      <c r="C1228" s="75" t="s">
        <v>9749</v>
      </c>
      <c r="D1228" t="s">
        <v>10384</v>
      </c>
      <c r="E1228" s="75" t="s">
        <v>8997</v>
      </c>
      <c r="F1228" s="75" t="s">
        <v>8201</v>
      </c>
      <c r="G1228" t="s">
        <v>9397</v>
      </c>
      <c r="H1228" s="75" t="s">
        <v>9576</v>
      </c>
      <c r="I1228" s="75" t="s">
        <v>364</v>
      </c>
      <c r="J1228" t="s">
        <v>10120</v>
      </c>
      <c r="K1228" s="75" t="s">
        <v>8174</v>
      </c>
      <c r="L1228" s="74" t="s">
        <v>5101</v>
      </c>
      <c r="M1228" t="s">
        <v>8236</v>
      </c>
      <c r="N1228" s="75" t="s">
        <v>1761</v>
      </c>
      <c r="O1228" s="75" t="s">
        <v>745</v>
      </c>
      <c r="P1228" t="s">
        <v>9130</v>
      </c>
      <c r="Q1228" s="75" t="s">
        <v>10218</v>
      </c>
      <c r="R1228" s="75" t="s">
        <v>363</v>
      </c>
      <c r="S1228" t="s">
        <v>10597</v>
      </c>
      <c r="T1228" s="75" t="s">
        <v>7606</v>
      </c>
      <c r="U1228" s="75" t="s">
        <v>5101</v>
      </c>
      <c r="V1228" t="s">
        <v>7752</v>
      </c>
      <c r="W1228" s="75" t="s">
        <v>9072</v>
      </c>
      <c r="X1228" s="75" t="s">
        <v>348</v>
      </c>
      <c r="Y1228" t="s">
        <v>9410</v>
      </c>
    </row>
    <row r="1229" spans="2:25" x14ac:dyDescent="0.25">
      <c r="B1229" s="75" t="s">
        <v>10013</v>
      </c>
      <c r="C1229" s="75" t="s">
        <v>2972</v>
      </c>
      <c r="D1229" t="s">
        <v>10237</v>
      </c>
      <c r="E1229" s="75" t="s">
        <v>8233</v>
      </c>
      <c r="F1229" s="75" t="s">
        <v>8200</v>
      </c>
      <c r="G1229" t="s">
        <v>9133</v>
      </c>
      <c r="H1229" s="75" t="s">
        <v>9802</v>
      </c>
      <c r="I1229" s="75" t="s">
        <v>337</v>
      </c>
      <c r="J1229" t="s">
        <v>10111</v>
      </c>
      <c r="K1229" s="74" t="s">
        <v>5928</v>
      </c>
      <c r="L1229" s="75" t="s">
        <v>6621</v>
      </c>
      <c r="M1229" t="s">
        <v>8210</v>
      </c>
      <c r="N1229" s="75" t="s">
        <v>8765</v>
      </c>
      <c r="O1229" s="75" t="s">
        <v>8201</v>
      </c>
      <c r="P1229" t="s">
        <v>9005</v>
      </c>
      <c r="Q1229" s="75" t="s">
        <v>9727</v>
      </c>
      <c r="R1229" s="75" t="s">
        <v>6027</v>
      </c>
      <c r="S1229" t="s">
        <v>10230</v>
      </c>
      <c r="T1229" s="75" t="s">
        <v>7431</v>
      </c>
      <c r="U1229" s="75" t="s">
        <v>461</v>
      </c>
      <c r="V1229" t="s">
        <v>7575</v>
      </c>
      <c r="W1229" s="75" t="s">
        <v>4756</v>
      </c>
      <c r="X1229" s="75" t="s">
        <v>511</v>
      </c>
      <c r="Y1229" t="s">
        <v>9132</v>
      </c>
    </row>
    <row r="1230" spans="2:25" x14ac:dyDescent="0.25">
      <c r="B1230" s="75" t="s">
        <v>9826</v>
      </c>
      <c r="C1230" s="75" t="s">
        <v>8200</v>
      </c>
      <c r="D1230" t="s">
        <v>9933</v>
      </c>
      <c r="E1230" s="75" t="s">
        <v>8034</v>
      </c>
      <c r="F1230" s="75" t="s">
        <v>746</v>
      </c>
      <c r="G1230" t="s">
        <v>8673</v>
      </c>
      <c r="H1230" s="75" t="s">
        <v>8643</v>
      </c>
      <c r="I1230" s="75" t="s">
        <v>363</v>
      </c>
      <c r="J1230" t="s">
        <v>10293</v>
      </c>
      <c r="K1230" s="75" t="s">
        <v>7858</v>
      </c>
      <c r="L1230" s="75" t="s">
        <v>360</v>
      </c>
      <c r="M1230" t="s">
        <v>7975</v>
      </c>
      <c r="N1230" s="75" t="s">
        <v>8772</v>
      </c>
      <c r="O1230" s="75" t="s">
        <v>360</v>
      </c>
      <c r="P1230" t="s">
        <v>8991</v>
      </c>
      <c r="Q1230" s="75" t="s">
        <v>9076</v>
      </c>
      <c r="R1230" s="75" t="s">
        <v>9749</v>
      </c>
      <c r="S1230" t="s">
        <v>9812</v>
      </c>
      <c r="T1230" s="75" t="s">
        <v>7307</v>
      </c>
      <c r="U1230" s="75" t="s">
        <v>6621</v>
      </c>
      <c r="V1230" t="s">
        <v>7343</v>
      </c>
      <c r="W1230" s="75" t="s">
        <v>8087</v>
      </c>
      <c r="X1230" s="75" t="s">
        <v>485</v>
      </c>
      <c r="Y1230" t="s">
        <v>9070</v>
      </c>
    </row>
    <row r="1231" spans="2:25" x14ac:dyDescent="0.25">
      <c r="B1231" s="75" t="s">
        <v>9814</v>
      </c>
      <c r="C1231" s="75" t="s">
        <v>8201</v>
      </c>
      <c r="D1231" t="s">
        <v>9930</v>
      </c>
      <c r="E1231" s="75" t="s">
        <v>7122</v>
      </c>
      <c r="F1231" s="75" t="s">
        <v>336</v>
      </c>
      <c r="G1231" t="s">
        <v>7651</v>
      </c>
      <c r="H1231" s="75" t="s">
        <v>9496</v>
      </c>
      <c r="I1231" s="75" t="s">
        <v>8203</v>
      </c>
      <c r="J1231" t="s">
        <v>9957</v>
      </c>
      <c r="K1231" s="75" t="s">
        <v>7024</v>
      </c>
      <c r="L1231" s="75" t="s">
        <v>377</v>
      </c>
      <c r="M1231" t="s">
        <v>7811</v>
      </c>
      <c r="N1231" s="75" t="s">
        <v>8415</v>
      </c>
      <c r="O1231" s="75" t="s">
        <v>8201</v>
      </c>
      <c r="P1231" t="s">
        <v>8758</v>
      </c>
      <c r="Q1231" s="75" t="s">
        <v>9162</v>
      </c>
      <c r="R1231" s="75" t="s">
        <v>2972</v>
      </c>
      <c r="S1231" t="s">
        <v>9725</v>
      </c>
      <c r="T1231" s="74" t="s">
        <v>6030</v>
      </c>
      <c r="U1231" s="74" t="s">
        <v>7199</v>
      </c>
      <c r="V1231" t="s">
        <v>7198</v>
      </c>
      <c r="W1231" s="75" t="s">
        <v>8680</v>
      </c>
      <c r="X1231" s="75" t="s">
        <v>364</v>
      </c>
      <c r="Y1231" t="s">
        <v>8847</v>
      </c>
    </row>
    <row r="1232" spans="2:25" x14ac:dyDescent="0.25">
      <c r="B1232" s="75" t="s">
        <v>8441</v>
      </c>
      <c r="C1232" s="75" t="s">
        <v>363</v>
      </c>
      <c r="D1232" t="s">
        <v>10630</v>
      </c>
      <c r="E1232" s="75" t="s">
        <v>7413</v>
      </c>
      <c r="F1232" s="75" t="s">
        <v>5773</v>
      </c>
      <c r="G1232" t="s">
        <v>7605</v>
      </c>
      <c r="H1232" s="75" t="s">
        <v>9105</v>
      </c>
      <c r="I1232" s="75" t="s">
        <v>337</v>
      </c>
      <c r="J1232" t="s">
        <v>9723</v>
      </c>
      <c r="K1232" s="75" t="s">
        <v>7657</v>
      </c>
      <c r="L1232" s="75" t="s">
        <v>3860</v>
      </c>
      <c r="M1232" t="s">
        <v>7754</v>
      </c>
      <c r="N1232" s="75" t="s">
        <v>8573</v>
      </c>
      <c r="O1232" s="75" t="s">
        <v>8574</v>
      </c>
      <c r="P1232" t="s">
        <v>8614</v>
      </c>
      <c r="Q1232" s="75" t="s">
        <v>9430</v>
      </c>
      <c r="R1232" s="75" t="s">
        <v>746</v>
      </c>
      <c r="S1232" t="s">
        <v>9616</v>
      </c>
      <c r="T1232" s="75" t="s">
        <v>6753</v>
      </c>
      <c r="U1232" s="75" t="s">
        <v>5101</v>
      </c>
      <c r="V1232" t="s">
        <v>6916</v>
      </c>
      <c r="W1232" s="75" t="s">
        <v>8150</v>
      </c>
      <c r="X1232" s="75" t="s">
        <v>350</v>
      </c>
      <c r="Y1232" t="s">
        <v>8761</v>
      </c>
    </row>
    <row r="1233" spans="2:25" x14ac:dyDescent="0.25">
      <c r="B1233" s="75" t="s">
        <v>9586</v>
      </c>
      <c r="C1233" s="75" t="s">
        <v>9422</v>
      </c>
      <c r="D1233" t="s">
        <v>9801</v>
      </c>
      <c r="E1233" s="75" t="s">
        <v>729</v>
      </c>
      <c r="F1233" s="75" t="s">
        <v>460</v>
      </c>
      <c r="G1233" t="s">
        <v>7501</v>
      </c>
      <c r="H1233" s="74" t="s">
        <v>8997</v>
      </c>
      <c r="I1233" s="74" t="s">
        <v>8201</v>
      </c>
      <c r="J1233" t="s">
        <v>9714</v>
      </c>
      <c r="K1233" s="75" t="s">
        <v>7720</v>
      </c>
      <c r="L1233" s="75" t="s">
        <v>455</v>
      </c>
      <c r="M1233" t="s">
        <v>7410</v>
      </c>
      <c r="N1233" s="75" t="s">
        <v>5326</v>
      </c>
      <c r="O1233" s="75" t="s">
        <v>8202</v>
      </c>
      <c r="P1233" t="s">
        <v>8572</v>
      </c>
      <c r="Q1233" s="75" t="s">
        <v>8635</v>
      </c>
      <c r="R1233" s="75" t="s">
        <v>362</v>
      </c>
      <c r="S1233" t="s">
        <v>9290</v>
      </c>
      <c r="T1233" s="75" t="s">
        <v>6731</v>
      </c>
      <c r="U1233" s="75" t="s">
        <v>362</v>
      </c>
      <c r="V1233" t="s">
        <v>6860</v>
      </c>
      <c r="W1233" s="75" t="s">
        <v>7310</v>
      </c>
      <c r="X1233" s="75" t="s">
        <v>3861</v>
      </c>
      <c r="Y1233" t="s">
        <v>8624</v>
      </c>
    </row>
    <row r="1234" spans="2:25" x14ac:dyDescent="0.25">
      <c r="B1234" s="75" t="s">
        <v>9268</v>
      </c>
      <c r="C1234" s="75" t="s">
        <v>364</v>
      </c>
      <c r="D1234" t="s">
        <v>9575</v>
      </c>
      <c r="E1234" s="75" t="s">
        <v>6061</v>
      </c>
      <c r="F1234" s="75" t="s">
        <v>677</v>
      </c>
      <c r="G1234" t="s">
        <v>6943</v>
      </c>
      <c r="H1234" s="75" t="s">
        <v>8233</v>
      </c>
      <c r="I1234" s="75" t="s">
        <v>8200</v>
      </c>
      <c r="J1234" t="s">
        <v>9467</v>
      </c>
      <c r="K1234" s="75" t="s">
        <v>7167</v>
      </c>
      <c r="L1234" s="75" t="s">
        <v>461</v>
      </c>
      <c r="M1234" t="s">
        <v>7020</v>
      </c>
      <c r="N1234" s="75" t="s">
        <v>890</v>
      </c>
      <c r="O1234" s="75" t="s">
        <v>362</v>
      </c>
      <c r="P1234" t="s">
        <v>8429</v>
      </c>
      <c r="Q1234" s="75" t="s">
        <v>8162</v>
      </c>
      <c r="R1234" s="75" t="s">
        <v>336</v>
      </c>
      <c r="S1234" t="s">
        <v>8418</v>
      </c>
      <c r="T1234" s="75" t="s">
        <v>6620</v>
      </c>
      <c r="U1234" s="75" t="s">
        <v>6621</v>
      </c>
      <c r="V1234" t="s">
        <v>6677</v>
      </c>
      <c r="W1234" s="75" t="s">
        <v>6291</v>
      </c>
      <c r="X1234" s="75" t="s">
        <v>350</v>
      </c>
      <c r="Y1234" t="s">
        <v>8064</v>
      </c>
    </row>
    <row r="1235" spans="2:25" x14ac:dyDescent="0.25">
      <c r="B1235" s="75" t="s">
        <v>9265</v>
      </c>
      <c r="C1235" s="75" t="s">
        <v>8203</v>
      </c>
      <c r="D1235" t="s">
        <v>9495</v>
      </c>
      <c r="E1235" s="75" t="s">
        <v>5565</v>
      </c>
      <c r="F1235" s="75" t="s">
        <v>5773</v>
      </c>
      <c r="G1235" t="s">
        <v>6915</v>
      </c>
      <c r="H1235" s="75" t="s">
        <v>8643</v>
      </c>
      <c r="I1235" s="75" t="s">
        <v>363</v>
      </c>
      <c r="J1235" t="s">
        <v>9319</v>
      </c>
      <c r="K1235" s="75" t="s">
        <v>6748</v>
      </c>
      <c r="L1235" s="75" t="s">
        <v>348</v>
      </c>
      <c r="M1235" t="s">
        <v>6732</v>
      </c>
      <c r="N1235" s="75" t="s">
        <v>4130</v>
      </c>
      <c r="O1235" s="75" t="s">
        <v>745</v>
      </c>
      <c r="P1235" t="s">
        <v>8239</v>
      </c>
      <c r="Q1235" s="75" t="s">
        <v>8240</v>
      </c>
      <c r="R1235" s="75" t="s">
        <v>485</v>
      </c>
      <c r="S1235" t="s">
        <v>8363</v>
      </c>
      <c r="T1235" s="75" t="s">
        <v>5788</v>
      </c>
      <c r="U1235" s="75" t="s">
        <v>4558</v>
      </c>
      <c r="V1235" t="s">
        <v>6515</v>
      </c>
      <c r="W1235" s="75" t="s">
        <v>5595</v>
      </c>
      <c r="X1235" s="75" t="s">
        <v>532</v>
      </c>
      <c r="Y1235" t="s">
        <v>6191</v>
      </c>
    </row>
    <row r="1236" spans="2:25" x14ac:dyDescent="0.25">
      <c r="B1236" s="75" t="s">
        <v>9006</v>
      </c>
      <c r="C1236" s="75" t="s">
        <v>360</v>
      </c>
      <c r="D1236" t="s">
        <v>9214</v>
      </c>
      <c r="E1236" s="75" t="s">
        <v>4783</v>
      </c>
      <c r="F1236" s="75" t="s">
        <v>346</v>
      </c>
      <c r="G1236" t="s">
        <v>5440</v>
      </c>
      <c r="H1236" s="75" t="s">
        <v>8543</v>
      </c>
      <c r="I1236" s="75" t="s">
        <v>394</v>
      </c>
      <c r="J1236" t="s">
        <v>9142</v>
      </c>
      <c r="K1236" s="75" t="s">
        <v>6229</v>
      </c>
      <c r="L1236" s="75" t="s">
        <v>345</v>
      </c>
      <c r="M1236" t="s">
        <v>9113</v>
      </c>
      <c r="N1236" s="75" t="s">
        <v>7863</v>
      </c>
      <c r="O1236" s="75" t="s">
        <v>7921</v>
      </c>
      <c r="P1236" t="s">
        <v>8032</v>
      </c>
      <c r="Q1236" s="74" t="s">
        <v>7306</v>
      </c>
      <c r="R1236" s="74" t="s">
        <v>2971</v>
      </c>
      <c r="S1236" t="s">
        <v>7725</v>
      </c>
      <c r="T1236" s="75" t="s">
        <v>896</v>
      </c>
      <c r="U1236" s="75" t="s">
        <v>5057</v>
      </c>
      <c r="V1236" t="s">
        <v>5821</v>
      </c>
      <c r="W1236" s="75" t="s">
        <v>3647</v>
      </c>
      <c r="X1236" s="75" t="s">
        <v>511</v>
      </c>
      <c r="Y1236" t="s">
        <v>4757</v>
      </c>
    </row>
    <row r="1237" spans="2:25" x14ac:dyDescent="0.25">
      <c r="B1237" s="75" t="s">
        <v>8962</v>
      </c>
      <c r="C1237" s="75" t="s">
        <v>337</v>
      </c>
      <c r="D1237" t="s">
        <v>9104</v>
      </c>
      <c r="E1237" s="75" t="s">
        <v>4227</v>
      </c>
      <c r="F1237" s="75" t="s">
        <v>750</v>
      </c>
      <c r="G1237" t="s">
        <v>5428</v>
      </c>
      <c r="H1237" s="75" t="s">
        <v>8707</v>
      </c>
      <c r="I1237" s="216" t="s">
        <v>8203</v>
      </c>
      <c r="J1237" t="s">
        <v>9045</v>
      </c>
      <c r="K1237" s="75" t="s">
        <v>6530</v>
      </c>
      <c r="L1237" s="74" t="s">
        <v>362</v>
      </c>
      <c r="M1237" t="s">
        <v>6521</v>
      </c>
      <c r="N1237" s="75" t="s">
        <v>6879</v>
      </c>
      <c r="O1237" s="75" t="s">
        <v>363</v>
      </c>
      <c r="P1237" t="s">
        <v>7112</v>
      </c>
      <c r="Q1237" s="74" t="s">
        <v>6548</v>
      </c>
      <c r="R1237" s="74" t="s">
        <v>746</v>
      </c>
      <c r="S1237" t="s">
        <v>7520</v>
      </c>
      <c r="T1237" s="75" t="s">
        <v>4874</v>
      </c>
      <c r="U1237" s="75" t="s">
        <v>3812</v>
      </c>
      <c r="V1237" t="s">
        <v>5344</v>
      </c>
      <c r="W1237" s="75" t="s">
        <v>4252</v>
      </c>
      <c r="X1237" s="75" t="s">
        <v>11</v>
      </c>
      <c r="Y1237" t="s">
        <v>4549</v>
      </c>
    </row>
    <row r="1238" spans="2:25" x14ac:dyDescent="0.25">
      <c r="B1238" s="75" t="s">
        <v>8808</v>
      </c>
      <c r="C1238" s="216" t="s">
        <v>8201</v>
      </c>
      <c r="D1238" t="s">
        <v>8996</v>
      </c>
      <c r="E1238" s="75" t="s">
        <v>3535</v>
      </c>
      <c r="F1238" s="75" t="s">
        <v>3862</v>
      </c>
      <c r="G1238" t="s">
        <v>4946</v>
      </c>
      <c r="H1238" s="75" t="s">
        <v>8650</v>
      </c>
      <c r="I1238" s="75" t="s">
        <v>394</v>
      </c>
      <c r="J1238" t="s">
        <v>8870</v>
      </c>
      <c r="K1238" s="74" t="s">
        <v>6110</v>
      </c>
      <c r="L1238" s="75" t="s">
        <v>337</v>
      </c>
      <c r="M1238" t="s">
        <v>6422</v>
      </c>
      <c r="N1238" s="75" t="s">
        <v>6865</v>
      </c>
      <c r="O1238" s="75" t="s">
        <v>5778</v>
      </c>
      <c r="P1238" t="s">
        <v>7042</v>
      </c>
      <c r="Q1238" s="75" t="s">
        <v>5619</v>
      </c>
      <c r="R1238" s="75" t="s">
        <v>401</v>
      </c>
      <c r="S1238" t="s">
        <v>5803</v>
      </c>
      <c r="T1238" s="75" t="s">
        <v>539</v>
      </c>
      <c r="U1238" s="75" t="s">
        <v>1899</v>
      </c>
      <c r="V1238" t="s">
        <v>4867</v>
      </c>
      <c r="W1238" s="75" t="s">
        <v>763</v>
      </c>
      <c r="X1238" s="75" t="s">
        <v>946</v>
      </c>
      <c r="Y1238" t="s">
        <v>3703</v>
      </c>
    </row>
    <row r="1239" spans="2:25" x14ac:dyDescent="0.25">
      <c r="B1239" s="75" t="s">
        <v>8615</v>
      </c>
      <c r="C1239" s="75" t="s">
        <v>8574</v>
      </c>
      <c r="D1239" t="s">
        <v>8745</v>
      </c>
      <c r="E1239" s="75" t="s">
        <v>3362</v>
      </c>
      <c r="F1239" s="75" t="s">
        <v>274</v>
      </c>
      <c r="G1239" t="s">
        <v>4244</v>
      </c>
      <c r="H1239" s="75" t="s">
        <v>8650</v>
      </c>
      <c r="I1239" s="75" t="s">
        <v>394</v>
      </c>
      <c r="J1239" t="s">
        <v>8870</v>
      </c>
      <c r="K1239" s="75" t="s">
        <v>4278</v>
      </c>
      <c r="L1239" s="75" t="s">
        <v>5057</v>
      </c>
      <c r="M1239" t="s">
        <v>5916</v>
      </c>
      <c r="N1239" s="75" t="s">
        <v>6575</v>
      </c>
      <c r="O1239" s="75" t="s">
        <v>745</v>
      </c>
      <c r="P1239" t="s">
        <v>6990</v>
      </c>
      <c r="Q1239" s="75" t="s">
        <v>4957</v>
      </c>
      <c r="R1239" s="75" t="s">
        <v>745</v>
      </c>
      <c r="S1239" t="s">
        <v>5063</v>
      </c>
      <c r="T1239" s="75" t="s">
        <v>2589</v>
      </c>
      <c r="U1239" s="75" t="s">
        <v>1899</v>
      </c>
      <c r="V1239" t="s">
        <v>4298</v>
      </c>
      <c r="W1239" s="75" t="s">
        <v>882</v>
      </c>
      <c r="X1239" s="75" t="s">
        <v>522</v>
      </c>
      <c r="Y1239" t="s">
        <v>2370</v>
      </c>
    </row>
    <row r="1240" spans="2:25" x14ac:dyDescent="0.25">
      <c r="B1240" s="75" t="s">
        <v>8552</v>
      </c>
      <c r="C1240" s="75" t="s">
        <v>8203</v>
      </c>
      <c r="D1240" t="s">
        <v>8706</v>
      </c>
      <c r="E1240" s="75" t="s">
        <v>1063</v>
      </c>
      <c r="F1240" s="75" t="s">
        <v>460</v>
      </c>
      <c r="G1240" t="s">
        <v>3871</v>
      </c>
      <c r="H1240" s="75" t="s">
        <v>8034</v>
      </c>
      <c r="I1240" s="75" t="s">
        <v>746</v>
      </c>
      <c r="J1240" t="s">
        <v>8834</v>
      </c>
      <c r="K1240" s="75" t="s">
        <v>5822</v>
      </c>
      <c r="L1240" s="75" t="s">
        <v>746</v>
      </c>
      <c r="M1240" t="s">
        <v>5908</v>
      </c>
      <c r="N1240" s="75" t="s">
        <v>3257</v>
      </c>
      <c r="O1240" s="75" t="s">
        <v>485</v>
      </c>
      <c r="P1240" t="s">
        <v>6777</v>
      </c>
      <c r="Q1240" s="75" t="s">
        <v>4846</v>
      </c>
      <c r="R1240" s="75" t="s">
        <v>389</v>
      </c>
      <c r="S1240" t="s">
        <v>5062</v>
      </c>
      <c r="T1240" s="75" t="s">
        <v>4211</v>
      </c>
      <c r="U1240" s="75" t="s">
        <v>1510</v>
      </c>
      <c r="V1240" t="s">
        <v>3865</v>
      </c>
      <c r="W1240" s="75" t="s">
        <v>513</v>
      </c>
      <c r="X1240" s="75" t="s">
        <v>529</v>
      </c>
      <c r="Y1240" t="s">
        <v>2371</v>
      </c>
    </row>
    <row r="1241" spans="2:25" x14ac:dyDescent="0.25">
      <c r="B1241" s="75" t="s">
        <v>8441</v>
      </c>
      <c r="C1241" s="75" t="s">
        <v>363</v>
      </c>
      <c r="D1241" t="s">
        <v>8644</v>
      </c>
      <c r="E1241" s="75" t="s">
        <v>612</v>
      </c>
      <c r="F1241" s="75" t="s">
        <v>461</v>
      </c>
      <c r="G1241" t="s">
        <v>2535</v>
      </c>
      <c r="H1241" s="75" t="s">
        <v>7672</v>
      </c>
      <c r="I1241" s="75" t="s">
        <v>364</v>
      </c>
      <c r="J1241" t="s">
        <v>8809</v>
      </c>
      <c r="K1241" s="75" t="s">
        <v>5630</v>
      </c>
      <c r="L1241" s="75" t="s">
        <v>461</v>
      </c>
      <c r="M1241" t="s">
        <v>5908</v>
      </c>
      <c r="N1241" s="75" t="s">
        <v>6531</v>
      </c>
      <c r="O1241" s="75" t="s">
        <v>5774</v>
      </c>
      <c r="P1241" t="s">
        <v>7404</v>
      </c>
      <c r="Q1241" s="75" t="s">
        <v>4780</v>
      </c>
      <c r="R1241" s="75" t="s">
        <v>4781</v>
      </c>
      <c r="S1241" t="s">
        <v>5022</v>
      </c>
      <c r="T1241" s="75" t="s">
        <v>3218</v>
      </c>
      <c r="U1241" s="75" t="s">
        <v>522</v>
      </c>
      <c r="V1241" t="s">
        <v>2625</v>
      </c>
      <c r="W1241" s="75" t="s">
        <v>225</v>
      </c>
      <c r="X1241" s="75" t="s">
        <v>388</v>
      </c>
      <c r="Y1241" t="s">
        <v>2372</v>
      </c>
    </row>
    <row r="1242" spans="2:25" x14ac:dyDescent="0.25">
      <c r="B1242" s="75" t="s">
        <v>8365</v>
      </c>
      <c r="C1242" s="216" t="s">
        <v>6935</v>
      </c>
      <c r="D1242" t="s">
        <v>8542</v>
      </c>
      <c r="E1242" s="75" t="s">
        <v>864</v>
      </c>
      <c r="F1242" s="75" t="s">
        <v>746</v>
      </c>
      <c r="G1242" t="s">
        <v>2297</v>
      </c>
      <c r="H1242" s="75" t="s">
        <v>7765</v>
      </c>
      <c r="I1242" s="75" t="s">
        <v>8201</v>
      </c>
      <c r="J1242" t="s">
        <v>8602</v>
      </c>
      <c r="K1242" s="75" t="s">
        <v>5566</v>
      </c>
      <c r="L1242" s="75" t="s">
        <v>389</v>
      </c>
      <c r="M1242" t="s">
        <v>5756</v>
      </c>
      <c r="N1242" s="75" t="s">
        <v>6136</v>
      </c>
      <c r="O1242" s="75" t="s">
        <v>345</v>
      </c>
      <c r="P1242" t="s">
        <v>6509</v>
      </c>
      <c r="Q1242" s="75" t="s">
        <v>613</v>
      </c>
      <c r="R1242" s="75" t="s">
        <v>4655</v>
      </c>
      <c r="S1242" t="s">
        <v>4948</v>
      </c>
      <c r="T1242" s="75" t="s">
        <v>2588</v>
      </c>
      <c r="U1242" s="75" t="s">
        <v>2610</v>
      </c>
      <c r="V1242" t="s">
        <v>2452</v>
      </c>
      <c r="W1242" s="75" t="s">
        <v>245</v>
      </c>
      <c r="X1242" s="75" t="s">
        <v>77</v>
      </c>
      <c r="Y1242" t="s">
        <v>2373</v>
      </c>
    </row>
    <row r="1243" spans="2:25" x14ac:dyDescent="0.25">
      <c r="B1243" s="75" t="s">
        <v>8136</v>
      </c>
      <c r="C1243" s="75" t="s">
        <v>5699</v>
      </c>
      <c r="D1243" t="s">
        <v>8373</v>
      </c>
      <c r="E1243" s="75" t="s">
        <v>709</v>
      </c>
      <c r="F1243" s="75" t="s">
        <v>548</v>
      </c>
      <c r="G1243" t="s">
        <v>1561</v>
      </c>
      <c r="H1243" s="75" t="s">
        <v>7668</v>
      </c>
      <c r="I1243" s="75" t="s">
        <v>8202</v>
      </c>
      <c r="J1243" t="s">
        <v>8374</v>
      </c>
      <c r="K1243" s="75" t="s">
        <v>5397</v>
      </c>
      <c r="L1243" s="75" t="s">
        <v>336</v>
      </c>
      <c r="M1243" t="s">
        <v>5262</v>
      </c>
      <c r="N1243" s="389" t="s">
        <v>4302</v>
      </c>
      <c r="O1243" s="389" t="s">
        <v>348</v>
      </c>
      <c r="P1243" s="19" t="s">
        <v>6228</v>
      </c>
      <c r="Q1243" s="75" t="s">
        <v>4369</v>
      </c>
      <c r="R1243" s="75" t="s">
        <v>389</v>
      </c>
      <c r="S1243" t="s">
        <v>4853</v>
      </c>
      <c r="T1243" s="75" t="s">
        <v>1687</v>
      </c>
      <c r="U1243" s="75" t="s">
        <v>1093</v>
      </c>
      <c r="V1243" t="s">
        <v>1655</v>
      </c>
      <c r="W1243" s="75" t="s">
        <v>239</v>
      </c>
      <c r="X1243" s="75" t="s">
        <v>79</v>
      </c>
      <c r="Y1243" t="s">
        <v>2374</v>
      </c>
    </row>
    <row r="1244" spans="2:25" x14ac:dyDescent="0.25">
      <c r="B1244" s="75" t="s">
        <v>8031</v>
      </c>
      <c r="C1244" s="75" t="s">
        <v>8200</v>
      </c>
      <c r="D1244" t="s">
        <v>8232</v>
      </c>
      <c r="E1244" s="75" t="s">
        <v>705</v>
      </c>
      <c r="F1244" s="75" t="s">
        <v>945</v>
      </c>
      <c r="G1244" t="s">
        <v>2298</v>
      </c>
      <c r="H1244" s="75" t="s">
        <v>5565</v>
      </c>
      <c r="I1244" s="75" t="s">
        <v>5773</v>
      </c>
      <c r="J1244" t="s">
        <v>7683</v>
      </c>
      <c r="K1244" s="75" t="s">
        <v>4349</v>
      </c>
      <c r="L1244" s="75" t="s">
        <v>336</v>
      </c>
      <c r="M1244" t="s">
        <v>4726</v>
      </c>
      <c r="N1244" s="75" t="s">
        <v>5893</v>
      </c>
      <c r="O1244" s="75" t="s">
        <v>460</v>
      </c>
      <c r="P1244" t="s">
        <v>5961</v>
      </c>
      <c r="Q1244" s="75" t="s">
        <v>4317</v>
      </c>
      <c r="R1244" s="75" t="s">
        <v>4318</v>
      </c>
      <c r="S1244" t="s">
        <v>4519</v>
      </c>
      <c r="T1244" s="75" t="s">
        <v>1270</v>
      </c>
      <c r="U1244" s="75" t="s">
        <v>391</v>
      </c>
      <c r="V1244" t="s">
        <v>2350</v>
      </c>
      <c r="W1244" s="75" t="s">
        <v>1562</v>
      </c>
      <c r="X1244" s="75" t="s">
        <v>214</v>
      </c>
      <c r="Y1244" t="s">
        <v>2375</v>
      </c>
    </row>
    <row r="1245" spans="2:25" x14ac:dyDescent="0.25">
      <c r="B1245" s="75" t="s">
        <v>7985</v>
      </c>
      <c r="C1245" s="75" t="s">
        <v>360</v>
      </c>
      <c r="D1245" t="s">
        <v>8206</v>
      </c>
      <c r="E1245" s="75" t="s">
        <v>1567</v>
      </c>
      <c r="F1245" s="75" t="s">
        <v>805</v>
      </c>
      <c r="G1245" t="s">
        <v>2299</v>
      </c>
      <c r="H1245" s="75" t="s">
        <v>6061</v>
      </c>
      <c r="I1245" s="75" t="s">
        <v>677</v>
      </c>
      <c r="J1245" t="s">
        <v>7265</v>
      </c>
      <c r="K1245" s="75" t="s">
        <v>5171</v>
      </c>
      <c r="L1245" s="75" t="s">
        <v>390</v>
      </c>
      <c r="M1245" t="s">
        <v>4320</v>
      </c>
      <c r="N1245" s="75" t="s">
        <v>5353</v>
      </c>
      <c r="O1245" s="75" t="s">
        <v>460</v>
      </c>
      <c r="P1245" t="s">
        <v>5811</v>
      </c>
      <c r="Q1245" s="75" t="s">
        <v>288</v>
      </c>
      <c r="R1245" s="75" t="s">
        <v>401</v>
      </c>
      <c r="S1245" t="s">
        <v>3286</v>
      </c>
      <c r="T1245" s="75" t="s">
        <v>1235</v>
      </c>
      <c r="U1245" s="75" t="s">
        <v>391</v>
      </c>
      <c r="V1245" t="s">
        <v>2351</v>
      </c>
      <c r="W1245" s="75" t="s">
        <v>240</v>
      </c>
      <c r="X1245" s="75" t="s">
        <v>78</v>
      </c>
      <c r="Y1245" t="s">
        <v>2376</v>
      </c>
    </row>
    <row r="1246" spans="2:25" x14ac:dyDescent="0.25">
      <c r="B1246" s="75" t="s">
        <v>7880</v>
      </c>
      <c r="C1246" s="75" t="s">
        <v>746</v>
      </c>
      <c r="D1246" t="s">
        <v>8055</v>
      </c>
      <c r="E1246" s="75" t="s">
        <v>665</v>
      </c>
      <c r="F1246" s="75" t="s">
        <v>636</v>
      </c>
      <c r="G1246" t="s">
        <v>2300</v>
      </c>
      <c r="H1246" s="75" t="s">
        <v>6013</v>
      </c>
      <c r="I1246" s="75" t="s">
        <v>745</v>
      </c>
      <c r="J1246" t="s">
        <v>6646</v>
      </c>
      <c r="K1246" s="75" t="s">
        <v>4278</v>
      </c>
      <c r="L1246" s="75" t="s">
        <v>364</v>
      </c>
      <c r="M1246" t="s">
        <v>4269</v>
      </c>
      <c r="N1246" s="75" t="s">
        <v>5491</v>
      </c>
      <c r="O1246" s="75" t="s">
        <v>1577</v>
      </c>
      <c r="P1246" t="s">
        <v>5812</v>
      </c>
      <c r="Q1246" s="75" t="s">
        <v>2683</v>
      </c>
      <c r="R1246" s="75" t="s">
        <v>338</v>
      </c>
      <c r="S1246" t="s">
        <v>2783</v>
      </c>
      <c r="T1246" s="75" t="s">
        <v>860</v>
      </c>
      <c r="U1246" s="75" t="s">
        <v>391</v>
      </c>
      <c r="V1246" t="s">
        <v>2352</v>
      </c>
      <c r="W1246" s="75" t="s">
        <v>436</v>
      </c>
      <c r="X1246" s="75" t="s">
        <v>511</v>
      </c>
      <c r="Y1246" t="s">
        <v>2377</v>
      </c>
    </row>
    <row r="1247" spans="2:25" x14ac:dyDescent="0.25">
      <c r="B1247" s="75" t="s">
        <v>7596</v>
      </c>
      <c r="C1247" s="75" t="s">
        <v>677</v>
      </c>
      <c r="D1247" t="s">
        <v>7764</v>
      </c>
      <c r="E1247" s="75" t="s">
        <v>194</v>
      </c>
      <c r="F1247" s="75" t="s">
        <v>401</v>
      </c>
      <c r="G1247" t="s">
        <v>1560</v>
      </c>
      <c r="H1247" s="75" t="s">
        <v>6087</v>
      </c>
      <c r="I1247" s="75" t="s">
        <v>336</v>
      </c>
      <c r="J1247" t="s">
        <v>6566</v>
      </c>
      <c r="K1247" s="75" t="s">
        <v>4230</v>
      </c>
      <c r="L1247" s="75" t="s">
        <v>364</v>
      </c>
      <c r="M1247" t="s">
        <v>4138</v>
      </c>
      <c r="N1247" s="75" t="s">
        <v>5293</v>
      </c>
      <c r="O1247" s="75" t="s">
        <v>5363</v>
      </c>
      <c r="P1247" t="s">
        <v>5757</v>
      </c>
      <c r="Q1247" s="75" t="s">
        <v>861</v>
      </c>
      <c r="R1247" s="75" t="s">
        <v>387</v>
      </c>
      <c r="S1247" t="s">
        <v>2550</v>
      </c>
      <c r="T1247" s="75" t="s">
        <v>896</v>
      </c>
      <c r="U1247" s="75" t="s">
        <v>337</v>
      </c>
      <c r="V1247" t="s">
        <v>2353</v>
      </c>
      <c r="W1247" s="75" t="s">
        <v>4206</v>
      </c>
      <c r="X1247" s="75" t="s">
        <v>274</v>
      </c>
      <c r="Y1247" t="s">
        <v>4319</v>
      </c>
    </row>
    <row r="1248" spans="2:25" x14ac:dyDescent="0.25">
      <c r="B1248" s="75" t="s">
        <v>7381</v>
      </c>
      <c r="C1248" s="75" t="s">
        <v>363</v>
      </c>
      <c r="D1248" t="s">
        <v>7673</v>
      </c>
      <c r="E1248" s="75" t="s">
        <v>1045</v>
      </c>
      <c r="F1248" s="75" t="s">
        <v>331</v>
      </c>
      <c r="G1248" t="s">
        <v>1557</v>
      </c>
      <c r="H1248" s="75" t="s">
        <v>5904</v>
      </c>
      <c r="I1248" s="75" t="s">
        <v>345</v>
      </c>
      <c r="J1248" t="s">
        <v>6486</v>
      </c>
      <c r="K1248" s="75" t="s">
        <v>2651</v>
      </c>
      <c r="L1248" s="75" t="s">
        <v>3812</v>
      </c>
      <c r="M1248" t="s">
        <v>4102</v>
      </c>
      <c r="N1248" s="75" t="s">
        <v>5176</v>
      </c>
      <c r="O1248" s="75" t="s">
        <v>347</v>
      </c>
      <c r="P1248" t="s">
        <v>5467</v>
      </c>
      <c r="Q1248" s="75" t="s">
        <v>613</v>
      </c>
      <c r="R1248" s="75" t="s">
        <v>655</v>
      </c>
      <c r="S1248" t="s">
        <v>2345</v>
      </c>
      <c r="T1248" s="75" t="s">
        <v>668</v>
      </c>
      <c r="U1248" s="75" t="s">
        <v>274</v>
      </c>
      <c r="V1248" t="s">
        <v>2354</v>
      </c>
      <c r="W1248" s="75" t="s">
        <v>7183</v>
      </c>
      <c r="X1248" s="75" t="s">
        <v>336</v>
      </c>
      <c r="Y1248" t="s">
        <v>7789</v>
      </c>
    </row>
    <row r="1249" spans="2:25" x14ac:dyDescent="0.25">
      <c r="B1249" s="75" t="s">
        <v>7116</v>
      </c>
      <c r="C1249" s="75" t="s">
        <v>363</v>
      </c>
      <c r="D1249" t="s">
        <v>7286</v>
      </c>
      <c r="E1249" s="75" t="s">
        <v>1046</v>
      </c>
      <c r="F1249" s="75" t="s">
        <v>554</v>
      </c>
      <c r="G1249" t="s">
        <v>1629</v>
      </c>
      <c r="H1249" s="75" t="s">
        <v>5855</v>
      </c>
      <c r="I1249" s="75" t="s">
        <v>5779</v>
      </c>
      <c r="J1249" t="s">
        <v>6322</v>
      </c>
      <c r="K1249" s="75" t="s">
        <v>3642</v>
      </c>
      <c r="L1249" s="75" t="s">
        <v>350</v>
      </c>
      <c r="M1249" t="s">
        <v>4035</v>
      </c>
      <c r="N1249" s="75" t="s">
        <v>4942</v>
      </c>
      <c r="O1249" s="75" t="s">
        <v>461</v>
      </c>
      <c r="P1249" t="s">
        <v>5113</v>
      </c>
      <c r="Q1249" s="75" t="s">
        <v>594</v>
      </c>
      <c r="R1249" s="75" t="s">
        <v>387</v>
      </c>
      <c r="S1249" t="s">
        <v>1559</v>
      </c>
      <c r="T1249" s="75" t="s">
        <v>672</v>
      </c>
      <c r="U1249" s="75" t="s">
        <v>750</v>
      </c>
      <c r="V1249" t="s">
        <v>2355</v>
      </c>
      <c r="W1249" s="75" t="s">
        <v>7650</v>
      </c>
      <c r="X1249" s="75" t="s">
        <v>385</v>
      </c>
      <c r="Y1249" t="s">
        <v>7823</v>
      </c>
    </row>
    <row r="1250" spans="2:25" x14ac:dyDescent="0.25">
      <c r="B1250" s="75" t="s">
        <v>6818</v>
      </c>
      <c r="C1250" s="75" t="s">
        <v>485</v>
      </c>
      <c r="D1250" t="s">
        <v>7079</v>
      </c>
      <c r="E1250" s="75" t="s">
        <v>988</v>
      </c>
      <c r="F1250" s="75" t="s">
        <v>745</v>
      </c>
      <c r="G1250" t="s">
        <v>2301</v>
      </c>
      <c r="H1250" s="75" t="s">
        <v>5485</v>
      </c>
      <c r="I1250" s="75" t="s">
        <v>363</v>
      </c>
      <c r="J1250" t="s">
        <v>6180</v>
      </c>
      <c r="K1250" s="75" t="s">
        <v>3975</v>
      </c>
      <c r="L1250" s="75" t="s">
        <v>3813</v>
      </c>
      <c r="M1250" t="s">
        <v>3990</v>
      </c>
      <c r="N1250" s="75" t="s">
        <v>4752</v>
      </c>
      <c r="O1250" s="75" t="s">
        <v>455</v>
      </c>
      <c r="P1250" t="s">
        <v>5094</v>
      </c>
      <c r="Q1250" s="75" t="s">
        <v>535</v>
      </c>
      <c r="R1250" s="75" t="s">
        <v>401</v>
      </c>
      <c r="S1250" t="s">
        <v>2346</v>
      </c>
      <c r="T1250" s="75" t="s">
        <v>591</v>
      </c>
      <c r="U1250" s="75" t="s">
        <v>391</v>
      </c>
      <c r="V1250" t="s">
        <v>2356</v>
      </c>
      <c r="W1250" s="75" t="s">
        <v>7359</v>
      </c>
      <c r="X1250" s="75" t="s">
        <v>7360</v>
      </c>
      <c r="Y1250" t="s">
        <v>7983</v>
      </c>
    </row>
    <row r="1251" spans="2:25" x14ac:dyDescent="0.25">
      <c r="B1251" s="75" t="s">
        <v>643</v>
      </c>
      <c r="C1251" s="75" t="s">
        <v>460</v>
      </c>
      <c r="D1251" t="s">
        <v>7016</v>
      </c>
      <c r="E1251" s="75" t="s">
        <v>1121</v>
      </c>
      <c r="F1251" s="75" t="s">
        <v>551</v>
      </c>
      <c r="G1251" t="s">
        <v>2975</v>
      </c>
      <c r="H1251" s="75" t="s">
        <v>5647</v>
      </c>
      <c r="I1251" s="75" t="s">
        <v>347</v>
      </c>
      <c r="J1251" t="s">
        <v>6092</v>
      </c>
      <c r="K1251" s="75" t="s">
        <v>2859</v>
      </c>
      <c r="L1251" s="75" t="s">
        <v>587</v>
      </c>
      <c r="M1251" t="s">
        <v>3297</v>
      </c>
      <c r="N1251" s="75" t="s">
        <v>4734</v>
      </c>
      <c r="O1251" s="75" t="s">
        <v>336</v>
      </c>
      <c r="P1251" t="s">
        <v>5051</v>
      </c>
      <c r="Q1251" s="75" t="s">
        <v>463</v>
      </c>
      <c r="R1251" s="75" t="s">
        <v>389</v>
      </c>
      <c r="S1251" t="s">
        <v>2347</v>
      </c>
      <c r="T1251" s="75" t="s">
        <v>478</v>
      </c>
      <c r="U1251" s="75" t="s">
        <v>479</v>
      </c>
      <c r="V1251" t="s">
        <v>2357</v>
      </c>
      <c r="W1251" s="75" t="s">
        <v>7790</v>
      </c>
      <c r="X1251" s="75" t="s">
        <v>336</v>
      </c>
      <c r="Y1251" t="s">
        <v>8025</v>
      </c>
    </row>
    <row r="1252" spans="2:25" x14ac:dyDescent="0.25">
      <c r="B1252" s="75" t="s">
        <v>6556</v>
      </c>
      <c r="C1252" s="75" t="s">
        <v>345</v>
      </c>
      <c r="D1252" t="s">
        <v>6716</v>
      </c>
      <c r="E1252" s="75" t="s">
        <v>1918</v>
      </c>
      <c r="F1252" s="75" t="s">
        <v>485</v>
      </c>
      <c r="G1252" t="s">
        <v>3087</v>
      </c>
      <c r="H1252" s="75" t="s">
        <v>5221</v>
      </c>
      <c r="I1252" s="75" t="s">
        <v>363</v>
      </c>
      <c r="J1252" t="s">
        <v>5892</v>
      </c>
      <c r="K1252" s="75" t="s">
        <v>3536</v>
      </c>
      <c r="L1252" s="75" t="s">
        <v>391</v>
      </c>
      <c r="M1252" t="s">
        <v>3122</v>
      </c>
      <c r="N1252" s="75" t="s">
        <v>405</v>
      </c>
      <c r="O1252" s="75" t="s">
        <v>347</v>
      </c>
      <c r="P1252" t="s">
        <v>4922</v>
      </c>
      <c r="Q1252" s="75" t="s">
        <v>273</v>
      </c>
      <c r="R1252" s="75" t="s">
        <v>272</v>
      </c>
      <c r="S1252" t="s">
        <v>2348</v>
      </c>
      <c r="T1252" s="75" t="s">
        <v>444</v>
      </c>
      <c r="U1252" s="75" t="s">
        <v>392</v>
      </c>
      <c r="V1252" t="s">
        <v>2358</v>
      </c>
      <c r="W1252" s="75" t="s">
        <v>8066</v>
      </c>
      <c r="X1252" s="75" t="s">
        <v>8332</v>
      </c>
      <c r="Y1252" t="s">
        <v>8541</v>
      </c>
    </row>
    <row r="1253" spans="2:25" x14ac:dyDescent="0.25">
      <c r="B1253" s="75" t="s">
        <v>791</v>
      </c>
      <c r="C1253" s="75" t="s">
        <v>460</v>
      </c>
      <c r="D1253" t="s">
        <v>6196</v>
      </c>
      <c r="E1253" s="75" t="s">
        <v>2679</v>
      </c>
      <c r="F1253" s="75" t="s">
        <v>597</v>
      </c>
      <c r="G1253" t="s">
        <v>3088</v>
      </c>
      <c r="H1253" s="75" t="s">
        <v>5348</v>
      </c>
      <c r="I1253" s="75" t="s">
        <v>5268</v>
      </c>
      <c r="J1253" t="s">
        <v>5764</v>
      </c>
      <c r="K1253" s="75" t="s">
        <v>2943</v>
      </c>
      <c r="L1253" s="75" t="s">
        <v>1093</v>
      </c>
      <c r="M1253" t="s">
        <v>2800</v>
      </c>
      <c r="N1253" s="75" t="s">
        <v>4651</v>
      </c>
      <c r="O1253" s="75" t="s">
        <v>3704</v>
      </c>
      <c r="P1253" t="s">
        <v>4807</v>
      </c>
      <c r="Q1253" s="75" t="s">
        <v>431</v>
      </c>
      <c r="R1253" s="75" t="s">
        <v>84</v>
      </c>
      <c r="S1253" t="s">
        <v>2349</v>
      </c>
      <c r="T1253" s="75" t="s">
        <v>402</v>
      </c>
      <c r="U1253" s="75" t="s">
        <v>434</v>
      </c>
      <c r="V1253" t="s">
        <v>2359</v>
      </c>
      <c r="W1253" s="74" t="s">
        <v>8616</v>
      </c>
      <c r="X1253" s="74" t="s">
        <v>745</v>
      </c>
      <c r="Y1253" t="s">
        <v>8686</v>
      </c>
    </row>
    <row r="1254" spans="2:25" x14ac:dyDescent="0.25">
      <c r="B1254" s="75" t="s">
        <v>5960</v>
      </c>
      <c r="C1254" s="75" t="s">
        <v>336</v>
      </c>
      <c r="D1254" t="s">
        <v>6086</v>
      </c>
      <c r="E1254" s="75" t="s">
        <v>1200</v>
      </c>
      <c r="F1254" s="75" t="s">
        <v>744</v>
      </c>
      <c r="G1254" t="s">
        <v>3113</v>
      </c>
      <c r="H1254" s="75" t="s">
        <v>4980</v>
      </c>
      <c r="I1254" s="75" t="s">
        <v>4122</v>
      </c>
      <c r="J1254" t="s">
        <v>5754</v>
      </c>
      <c r="K1254" s="75" t="s">
        <v>2812</v>
      </c>
      <c r="L1254" s="75" t="s">
        <v>390</v>
      </c>
      <c r="M1254" t="s">
        <v>2627</v>
      </c>
      <c r="N1254" s="75" t="s">
        <v>3623</v>
      </c>
      <c r="O1254" s="75" t="s">
        <v>4558</v>
      </c>
      <c r="P1254" t="s">
        <v>4848</v>
      </c>
      <c r="Q1254" s="75" t="s">
        <v>5587</v>
      </c>
      <c r="R1254" s="75" t="s">
        <v>1606</v>
      </c>
      <c r="S1254" t="s">
        <v>5620</v>
      </c>
      <c r="T1254" s="75" t="s">
        <v>281</v>
      </c>
      <c r="U1254" s="75" t="s">
        <v>83</v>
      </c>
      <c r="V1254" t="s">
        <v>2360</v>
      </c>
      <c r="W1254" s="75" t="s">
        <v>8762</v>
      </c>
      <c r="X1254" s="75" t="s">
        <v>350</v>
      </c>
      <c r="Y1254" t="s">
        <v>8778</v>
      </c>
    </row>
    <row r="1255" spans="2:25" x14ac:dyDescent="0.25">
      <c r="B1255" s="75" t="s">
        <v>5790</v>
      </c>
      <c r="C1255" s="75" t="s">
        <v>677</v>
      </c>
      <c r="D1255" t="s">
        <v>6060</v>
      </c>
      <c r="E1255" s="75" t="s">
        <v>2680</v>
      </c>
      <c r="F1255" s="75" t="s">
        <v>636</v>
      </c>
      <c r="G1255" t="s">
        <v>3334</v>
      </c>
      <c r="H1255" s="75" t="s">
        <v>4783</v>
      </c>
      <c r="I1255" s="75" t="s">
        <v>346</v>
      </c>
      <c r="J1255" t="s">
        <v>5611</v>
      </c>
      <c r="K1255" s="75" t="s">
        <v>1340</v>
      </c>
      <c r="L1255" s="75" t="s">
        <v>495</v>
      </c>
      <c r="M1255" t="s">
        <v>2307</v>
      </c>
      <c r="N1255" s="75" t="s">
        <v>4366</v>
      </c>
      <c r="O1255" s="75" t="s">
        <v>461</v>
      </c>
      <c r="P1255" t="s">
        <v>4741</v>
      </c>
      <c r="Q1255" s="74" t="s">
        <v>6866</v>
      </c>
      <c r="R1255" s="74" t="s">
        <v>746</v>
      </c>
      <c r="S1255" t="s">
        <v>7004</v>
      </c>
      <c r="T1255" s="75" t="s">
        <v>231</v>
      </c>
      <c r="U1255" s="75" t="s">
        <v>391</v>
      </c>
      <c r="V1255" t="s">
        <v>2361</v>
      </c>
      <c r="W1255" s="75" t="s">
        <v>8886</v>
      </c>
      <c r="X1255" s="75" t="s">
        <v>8872</v>
      </c>
      <c r="Y1255" t="s">
        <v>9071</v>
      </c>
    </row>
    <row r="1256" spans="2:25" x14ac:dyDescent="0.25">
      <c r="B1256" s="75" t="s">
        <v>6200</v>
      </c>
      <c r="C1256" s="75" t="s">
        <v>346</v>
      </c>
      <c r="D1256" t="s">
        <v>5934</v>
      </c>
      <c r="E1256" s="75" t="s">
        <v>2861</v>
      </c>
      <c r="F1256" s="75" t="s">
        <v>470</v>
      </c>
      <c r="G1256" t="s">
        <v>2929</v>
      </c>
      <c r="H1256" s="75" t="s">
        <v>4227</v>
      </c>
      <c r="I1256" s="75" t="s">
        <v>750</v>
      </c>
      <c r="J1256" t="s">
        <v>5447</v>
      </c>
      <c r="K1256" s="75" t="s">
        <v>884</v>
      </c>
      <c r="L1256" s="75" t="s">
        <v>677</v>
      </c>
      <c r="M1256" t="s">
        <v>2308</v>
      </c>
      <c r="N1256" s="75" t="s">
        <v>650</v>
      </c>
      <c r="O1256" s="75" t="s">
        <v>745</v>
      </c>
      <c r="P1256" t="s">
        <v>4607</v>
      </c>
      <c r="Q1256" s="75" t="s">
        <v>4780</v>
      </c>
      <c r="R1256" s="75" t="s">
        <v>746</v>
      </c>
      <c r="S1256" t="s">
        <v>8918</v>
      </c>
      <c r="T1256" s="75" t="s">
        <v>209</v>
      </c>
      <c r="U1256" s="75" t="s">
        <v>1565</v>
      </c>
      <c r="V1256" t="s">
        <v>2362</v>
      </c>
      <c r="W1256" s="75" t="s">
        <v>9424</v>
      </c>
      <c r="X1256" s="75" t="s">
        <v>348</v>
      </c>
      <c r="Y1256" t="s">
        <v>9585</v>
      </c>
    </row>
    <row r="1257" spans="2:25" x14ac:dyDescent="0.25">
      <c r="B1257" s="75" t="s">
        <v>5679</v>
      </c>
      <c r="C1257" s="75" t="s">
        <v>345</v>
      </c>
      <c r="D1257" t="s">
        <v>5905</v>
      </c>
      <c r="E1257" s="75" t="s">
        <v>2864</v>
      </c>
      <c r="F1257" s="75" t="s">
        <v>3020</v>
      </c>
      <c r="G1257" t="s">
        <v>3584</v>
      </c>
      <c r="H1257" s="75" t="s">
        <v>4691</v>
      </c>
      <c r="I1257" s="75" t="s">
        <v>455</v>
      </c>
      <c r="J1257" t="s">
        <v>5391</v>
      </c>
      <c r="K1257" s="75" t="s">
        <v>759</v>
      </c>
      <c r="L1257" s="75" t="s">
        <v>523</v>
      </c>
      <c r="M1257" t="s">
        <v>2309</v>
      </c>
      <c r="N1257" s="75" t="s">
        <v>1621</v>
      </c>
      <c r="O1257" s="75" t="s">
        <v>461</v>
      </c>
      <c r="P1257" t="s">
        <v>4338</v>
      </c>
      <c r="Q1257" s="75" t="s">
        <v>4317</v>
      </c>
      <c r="R1257" s="75" t="s">
        <v>363</v>
      </c>
      <c r="S1257" t="s">
        <v>9406</v>
      </c>
      <c r="T1257" s="75" t="s">
        <v>189</v>
      </c>
      <c r="U1257" s="75" t="s">
        <v>81</v>
      </c>
      <c r="V1257" t="s">
        <v>2363</v>
      </c>
      <c r="W1257" s="75" t="s">
        <v>9423</v>
      </c>
      <c r="X1257" s="75" t="s">
        <v>336</v>
      </c>
      <c r="Y1257" t="s">
        <v>9922</v>
      </c>
    </row>
    <row r="1258" spans="2:25" x14ac:dyDescent="0.25">
      <c r="B1258" s="75" t="s">
        <v>5561</v>
      </c>
      <c r="C1258" s="75" t="s">
        <v>742</v>
      </c>
      <c r="D1258" t="s">
        <v>5859</v>
      </c>
      <c r="E1258" s="75" t="s">
        <v>3403</v>
      </c>
      <c r="F1258" s="75" t="s">
        <v>347</v>
      </c>
      <c r="G1258" t="s">
        <v>3693</v>
      </c>
      <c r="H1258" s="75" t="s">
        <v>705</v>
      </c>
      <c r="I1258" s="75" t="s">
        <v>445</v>
      </c>
      <c r="J1258" t="s">
        <v>5139</v>
      </c>
      <c r="K1258" s="75" t="s">
        <v>490</v>
      </c>
      <c r="L1258" s="75" t="s">
        <v>479</v>
      </c>
      <c r="M1258" t="s">
        <v>2310</v>
      </c>
      <c r="N1258" s="75" t="s">
        <v>3877</v>
      </c>
      <c r="O1258" s="75" t="s">
        <v>347</v>
      </c>
      <c r="P1258" t="s">
        <v>4340</v>
      </c>
      <c r="Q1258" s="75" t="s">
        <v>9283</v>
      </c>
      <c r="R1258" s="75" t="s">
        <v>2970</v>
      </c>
      <c r="S1258" t="s">
        <v>9425</v>
      </c>
      <c r="T1258" s="75" t="s">
        <v>199</v>
      </c>
      <c r="U1258" s="75" t="s">
        <v>214</v>
      </c>
      <c r="V1258" t="s">
        <v>2364</v>
      </c>
      <c r="W1258" s="75" t="s">
        <v>9598</v>
      </c>
      <c r="X1258" s="75" t="s">
        <v>5101</v>
      </c>
      <c r="Y1258" t="s">
        <v>9955</v>
      </c>
    </row>
    <row r="1259" spans="2:25" x14ac:dyDescent="0.25">
      <c r="B1259" s="75" t="s">
        <v>5446</v>
      </c>
      <c r="C1259" s="75" t="s">
        <v>345</v>
      </c>
      <c r="D1259" t="s">
        <v>5646</v>
      </c>
      <c r="E1259" s="75" t="s">
        <v>2681</v>
      </c>
      <c r="F1259" s="75" t="s">
        <v>471</v>
      </c>
      <c r="G1259" t="s">
        <v>3689</v>
      </c>
      <c r="H1259" s="75" t="s">
        <v>4250</v>
      </c>
      <c r="I1259" s="75" t="s">
        <v>365</v>
      </c>
      <c r="J1259" t="s">
        <v>5007</v>
      </c>
      <c r="K1259" s="75" t="s">
        <v>570</v>
      </c>
      <c r="L1259" s="75" t="s">
        <v>336</v>
      </c>
      <c r="M1259" t="s">
        <v>2311</v>
      </c>
      <c r="N1259" s="75" t="s">
        <v>3045</v>
      </c>
      <c r="O1259" s="75" t="s">
        <v>346</v>
      </c>
      <c r="P1259" t="s">
        <v>4096</v>
      </c>
      <c r="Q1259" s="75" t="s">
        <v>9143</v>
      </c>
      <c r="R1259" s="75" t="s">
        <v>394</v>
      </c>
      <c r="S1259" t="s">
        <v>9456</v>
      </c>
      <c r="T1259" s="75" t="s">
        <v>492</v>
      </c>
      <c r="U1259" s="75" t="s">
        <v>459</v>
      </c>
      <c r="V1259" t="s">
        <v>2365</v>
      </c>
      <c r="W1259" s="75" t="s">
        <v>9762</v>
      </c>
      <c r="X1259" s="75" t="s">
        <v>8202</v>
      </c>
      <c r="Y1259" t="s">
        <v>9956</v>
      </c>
    </row>
    <row r="1260" spans="2:25" x14ac:dyDescent="0.25">
      <c r="B1260" s="75" t="s">
        <v>5250</v>
      </c>
      <c r="C1260" s="75" t="s">
        <v>4655</v>
      </c>
      <c r="D1260" t="s">
        <v>5564</v>
      </c>
      <c r="E1260" s="75" t="s">
        <v>2641</v>
      </c>
      <c r="F1260" s="75" t="s">
        <v>551</v>
      </c>
      <c r="G1260" t="s">
        <v>4027</v>
      </c>
      <c r="H1260" s="75" t="s">
        <v>3520</v>
      </c>
      <c r="I1260" s="75" t="s">
        <v>745</v>
      </c>
      <c r="J1260" t="s">
        <v>4887</v>
      </c>
      <c r="K1260" s="75" t="s">
        <v>884</v>
      </c>
      <c r="L1260" s="75" t="s">
        <v>337</v>
      </c>
      <c r="M1260" t="s">
        <v>1575</v>
      </c>
      <c r="N1260" s="75" t="s">
        <v>3802</v>
      </c>
      <c r="O1260" s="75" t="s">
        <v>597</v>
      </c>
      <c r="P1260" t="s">
        <v>4067</v>
      </c>
      <c r="Q1260" s="74" t="s">
        <v>9457</v>
      </c>
      <c r="R1260" s="74" t="s">
        <v>5717</v>
      </c>
      <c r="S1260" t="s">
        <v>9720</v>
      </c>
      <c r="T1260" s="75" t="s">
        <v>494</v>
      </c>
      <c r="U1260" s="75" t="s">
        <v>495</v>
      </c>
      <c r="V1260" t="s">
        <v>2366</v>
      </c>
      <c r="W1260" s="75" t="s">
        <v>9740</v>
      </c>
      <c r="X1260" s="75" t="s">
        <v>362</v>
      </c>
      <c r="Y1260" t="s">
        <v>9993</v>
      </c>
    </row>
    <row r="1261" spans="2:25" x14ac:dyDescent="0.25">
      <c r="B1261" s="75" t="s">
        <v>5076</v>
      </c>
      <c r="C1261" s="75" t="s">
        <v>5268</v>
      </c>
      <c r="D1261" t="s">
        <v>5349</v>
      </c>
      <c r="E1261" s="75" t="s">
        <v>3835</v>
      </c>
      <c r="F1261" s="75" t="s">
        <v>389</v>
      </c>
      <c r="G1261" t="s">
        <v>4166</v>
      </c>
      <c r="H1261" s="75" t="s">
        <v>3360</v>
      </c>
      <c r="I1261" s="75" t="s">
        <v>587</v>
      </c>
      <c r="J1261" t="s">
        <v>4845</v>
      </c>
      <c r="K1261" s="75" t="s">
        <v>411</v>
      </c>
      <c r="L1261" s="75" t="s">
        <v>390</v>
      </c>
      <c r="M1261" t="s">
        <v>2312</v>
      </c>
      <c r="N1261" s="75" t="s">
        <v>3101</v>
      </c>
      <c r="O1261" s="75" t="s">
        <v>3815</v>
      </c>
      <c r="P1261" t="s">
        <v>4045</v>
      </c>
      <c r="Q1261" s="75" t="s">
        <v>9464</v>
      </c>
      <c r="R1261" s="75" t="s">
        <v>401</v>
      </c>
      <c r="S1261" t="s">
        <v>9785</v>
      </c>
      <c r="T1261" s="75" t="s">
        <v>539</v>
      </c>
      <c r="U1261" s="75" t="s">
        <v>391</v>
      </c>
      <c r="V1261" t="s">
        <v>2367</v>
      </c>
      <c r="W1261" s="75" t="s">
        <v>8616</v>
      </c>
      <c r="X1261" s="75" t="s">
        <v>8203</v>
      </c>
      <c r="Y1261" t="s">
        <v>10080</v>
      </c>
    </row>
    <row r="1262" spans="2:25" x14ac:dyDescent="0.25">
      <c r="B1262" s="75" t="s">
        <v>5011</v>
      </c>
      <c r="C1262" s="75" t="s">
        <v>363</v>
      </c>
      <c r="D1262" t="s">
        <v>5222</v>
      </c>
      <c r="E1262" s="75" t="s">
        <v>4015</v>
      </c>
      <c r="F1262" s="75" t="s">
        <v>347</v>
      </c>
      <c r="G1262" t="s">
        <v>4177</v>
      </c>
      <c r="H1262" s="75" t="s">
        <v>3879</v>
      </c>
      <c r="I1262" s="75" t="s">
        <v>740</v>
      </c>
      <c r="J1262" t="s">
        <v>4770</v>
      </c>
      <c r="K1262" s="75" t="s">
        <v>933</v>
      </c>
      <c r="L1262" s="75" t="s">
        <v>389</v>
      </c>
      <c r="M1262" t="s">
        <v>1576</v>
      </c>
      <c r="N1262" s="75" t="s">
        <v>3623</v>
      </c>
      <c r="O1262" s="75" t="s">
        <v>3814</v>
      </c>
      <c r="P1262" t="s">
        <v>4036</v>
      </c>
      <c r="Q1262" s="74" t="s">
        <v>9282</v>
      </c>
      <c r="R1262" s="74" t="s">
        <v>936</v>
      </c>
      <c r="S1262" t="s">
        <v>10905</v>
      </c>
      <c r="T1262" s="75" t="s">
        <v>539</v>
      </c>
      <c r="U1262" s="75" t="s">
        <v>461</v>
      </c>
      <c r="V1262" t="s">
        <v>1566</v>
      </c>
      <c r="W1262" s="75" t="s">
        <v>9999</v>
      </c>
      <c r="X1262" s="75" t="s">
        <v>362</v>
      </c>
      <c r="Y1262" t="s">
        <v>10142</v>
      </c>
    </row>
    <row r="1263" spans="2:25" x14ac:dyDescent="0.25">
      <c r="B1263" s="75" t="s">
        <v>4870</v>
      </c>
      <c r="C1263" s="75" t="s">
        <v>390</v>
      </c>
      <c r="D1263" t="s">
        <v>5168</v>
      </c>
      <c r="E1263" s="75" t="s">
        <v>3879</v>
      </c>
      <c r="F1263" s="75" t="s">
        <v>740</v>
      </c>
      <c r="G1263" t="s">
        <v>4490</v>
      </c>
      <c r="H1263" s="75" t="s">
        <v>3833</v>
      </c>
      <c r="I1263" s="75" t="s">
        <v>554</v>
      </c>
      <c r="J1263" t="s">
        <v>4771</v>
      </c>
      <c r="K1263" s="75" t="s">
        <v>646</v>
      </c>
      <c r="L1263" s="75" t="s">
        <v>461</v>
      </c>
      <c r="M1263" t="s">
        <v>2313</v>
      </c>
      <c r="N1263" s="75" t="s">
        <v>3399</v>
      </c>
      <c r="O1263" s="75" t="s">
        <v>562</v>
      </c>
      <c r="P1263" t="s">
        <v>3891</v>
      </c>
      <c r="Q1263" s="75" t="s">
        <v>4317</v>
      </c>
      <c r="R1263" s="75" t="s">
        <v>363</v>
      </c>
      <c r="S1263" t="s">
        <v>10190</v>
      </c>
      <c r="T1263" s="75" t="s">
        <v>629</v>
      </c>
      <c r="U1263" s="75" t="s">
        <v>370</v>
      </c>
      <c r="V1263" t="s">
        <v>2368</v>
      </c>
      <c r="W1263" s="75" t="s">
        <v>9409</v>
      </c>
      <c r="X1263" s="75" t="s">
        <v>363</v>
      </c>
      <c r="Y1263" t="s">
        <v>10188</v>
      </c>
    </row>
    <row r="1264" spans="2:25" x14ac:dyDescent="0.25">
      <c r="B1264" s="75" t="s">
        <v>4578</v>
      </c>
      <c r="C1264" s="75" t="s">
        <v>1692</v>
      </c>
      <c r="D1264" t="s">
        <v>5023</v>
      </c>
      <c r="E1264" s="75" t="s">
        <v>4173</v>
      </c>
      <c r="F1264" s="75" t="s">
        <v>2795</v>
      </c>
      <c r="G1264" t="s">
        <v>4522</v>
      </c>
      <c r="H1264" s="75" t="s">
        <v>2678</v>
      </c>
      <c r="I1264" s="75" t="s">
        <v>4122</v>
      </c>
      <c r="J1264" t="s">
        <v>4704</v>
      </c>
      <c r="K1264" s="75" t="s">
        <v>799</v>
      </c>
      <c r="L1264" s="75" t="s">
        <v>401</v>
      </c>
      <c r="M1264" t="s">
        <v>2314</v>
      </c>
      <c r="N1264" s="75" t="s">
        <v>2825</v>
      </c>
      <c r="O1264" s="75" t="s">
        <v>345</v>
      </c>
      <c r="P1264" t="s">
        <v>3300</v>
      </c>
      <c r="Q1264" s="75" t="s">
        <v>10342</v>
      </c>
      <c r="R1264" s="75" t="s">
        <v>379</v>
      </c>
      <c r="S1264" t="s">
        <v>10444</v>
      </c>
      <c r="T1264" s="75" t="s">
        <v>209</v>
      </c>
      <c r="U1264" s="75" t="s">
        <v>522</v>
      </c>
      <c r="V1264" t="s">
        <v>2369</v>
      </c>
      <c r="W1264" s="75" t="s">
        <v>9739</v>
      </c>
      <c r="X1264" s="75" t="s">
        <v>379</v>
      </c>
      <c r="Y1264" t="s">
        <v>10197</v>
      </c>
    </row>
    <row r="1265" spans="2:25" x14ac:dyDescent="0.25">
      <c r="B1265" s="75" t="s">
        <v>4032</v>
      </c>
      <c r="C1265" s="75" t="s">
        <v>750</v>
      </c>
      <c r="D1265" t="s">
        <v>4235</v>
      </c>
      <c r="E1265" s="75" t="s">
        <v>3520</v>
      </c>
      <c r="F1265" s="75" t="s">
        <v>745</v>
      </c>
      <c r="G1265" t="s">
        <v>4589</v>
      </c>
      <c r="H1265" s="75" t="s">
        <v>3362</v>
      </c>
      <c r="I1265" s="75" t="s">
        <v>274</v>
      </c>
      <c r="J1265" t="s">
        <v>4245</v>
      </c>
      <c r="K1265" s="75" t="s">
        <v>188</v>
      </c>
      <c r="L1265" s="75" t="s">
        <v>470</v>
      </c>
      <c r="M1265" t="s">
        <v>2315</v>
      </c>
      <c r="N1265" s="75" t="s">
        <v>795</v>
      </c>
      <c r="O1265" s="75" t="s">
        <v>389</v>
      </c>
      <c r="P1265" t="s">
        <v>3127</v>
      </c>
      <c r="Q1265" s="75" t="s">
        <v>2683</v>
      </c>
      <c r="R1265" s="216" t="s">
        <v>336</v>
      </c>
      <c r="S1265" t="s">
        <v>10495</v>
      </c>
      <c r="T1265" s="75" t="s">
        <v>730</v>
      </c>
      <c r="U1265" s="75" t="s">
        <v>390</v>
      </c>
      <c r="V1265" t="s">
        <v>1568</v>
      </c>
      <c r="W1265" s="75" t="s">
        <v>9923</v>
      </c>
      <c r="X1265" s="75" t="s">
        <v>336</v>
      </c>
      <c r="Y1265" t="s">
        <v>10265</v>
      </c>
    </row>
    <row r="1266" spans="2:25" x14ac:dyDescent="0.25">
      <c r="B1266" s="75" t="s">
        <v>3874</v>
      </c>
      <c r="C1266" s="75" t="s">
        <v>347</v>
      </c>
      <c r="D1266" t="s">
        <v>4017</v>
      </c>
      <c r="E1266" s="75" t="s">
        <v>4250</v>
      </c>
      <c r="F1266" s="75" t="s">
        <v>365</v>
      </c>
      <c r="G1266" t="s">
        <v>4723</v>
      </c>
      <c r="H1266" s="75" t="s">
        <v>3403</v>
      </c>
      <c r="I1266" s="75" t="s">
        <v>347</v>
      </c>
      <c r="J1266" t="s">
        <v>3793</v>
      </c>
      <c r="K1266" s="75" t="s">
        <v>886</v>
      </c>
      <c r="L1266" s="75" t="s">
        <v>470</v>
      </c>
      <c r="M1266" t="s">
        <v>2316</v>
      </c>
      <c r="N1266" s="75" t="s">
        <v>1677</v>
      </c>
      <c r="O1266" s="75" t="s">
        <v>945</v>
      </c>
      <c r="P1266" t="s">
        <v>2699</v>
      </c>
      <c r="Q1266" s="75" t="s">
        <v>8635</v>
      </c>
      <c r="R1266" s="75" t="s">
        <v>8201</v>
      </c>
      <c r="S1266" t="s">
        <v>10713</v>
      </c>
      <c r="T1266" s="75" t="s">
        <v>735</v>
      </c>
      <c r="U1266" s="75" t="s">
        <v>461</v>
      </c>
      <c r="V1266" t="s">
        <v>2792</v>
      </c>
      <c r="W1266" s="75" t="s">
        <v>10121</v>
      </c>
      <c r="X1266" s="75" t="s">
        <v>362</v>
      </c>
      <c r="Y1266" t="s">
        <v>10273</v>
      </c>
    </row>
    <row r="1267" spans="2:25" x14ac:dyDescent="0.25">
      <c r="B1267" s="75" t="s">
        <v>3803</v>
      </c>
      <c r="C1267" s="75" t="s">
        <v>3658</v>
      </c>
      <c r="D1267" t="s">
        <v>4018</v>
      </c>
      <c r="E1267" s="75" t="s">
        <v>4365</v>
      </c>
      <c r="F1267" s="75" t="s">
        <v>744</v>
      </c>
      <c r="G1267" t="s">
        <v>4724</v>
      </c>
      <c r="H1267" s="75" t="s">
        <v>2864</v>
      </c>
      <c r="I1267" s="75" t="s">
        <v>3020</v>
      </c>
      <c r="J1267" t="s">
        <v>3794</v>
      </c>
      <c r="K1267" s="75" t="s">
        <v>1578</v>
      </c>
      <c r="L1267" s="75" t="s">
        <v>461</v>
      </c>
      <c r="M1267" t="s">
        <v>1579</v>
      </c>
      <c r="N1267" s="75" t="s">
        <v>1676</v>
      </c>
      <c r="O1267" s="75" t="s">
        <v>362</v>
      </c>
      <c r="P1267" t="s">
        <v>2659</v>
      </c>
      <c r="Q1267" s="74" t="s">
        <v>10747</v>
      </c>
      <c r="R1267" s="74" t="s">
        <v>10002</v>
      </c>
      <c r="S1267" t="s">
        <v>10796</v>
      </c>
      <c r="T1267" s="75" t="s">
        <v>2612</v>
      </c>
      <c r="U1267" s="75" t="s">
        <v>2532</v>
      </c>
      <c r="V1267" t="s">
        <v>2860</v>
      </c>
      <c r="W1267" s="75" t="s">
        <v>10225</v>
      </c>
      <c r="X1267" s="75" t="s">
        <v>379</v>
      </c>
      <c r="Y1267" t="s">
        <v>10341</v>
      </c>
    </row>
    <row r="1268" spans="2:25" x14ac:dyDescent="0.25">
      <c r="B1268" s="75" t="s">
        <v>3556</v>
      </c>
      <c r="C1268" s="75" t="s">
        <v>740</v>
      </c>
      <c r="D1268" t="s">
        <v>3878</v>
      </c>
      <c r="E1268" s="75" t="s">
        <v>4364</v>
      </c>
      <c r="F1268" s="75" t="s">
        <v>364</v>
      </c>
      <c r="G1268" t="s">
        <v>4947</v>
      </c>
      <c r="H1268" s="75" t="s">
        <v>1200</v>
      </c>
      <c r="I1268" s="75" t="s">
        <v>744</v>
      </c>
      <c r="J1268" t="s">
        <v>3507</v>
      </c>
      <c r="K1268" s="75" t="s">
        <v>1054</v>
      </c>
      <c r="L1268" s="75" t="s">
        <v>495</v>
      </c>
      <c r="M1268" t="s">
        <v>2317</v>
      </c>
      <c r="N1268" s="75" t="s">
        <v>1342</v>
      </c>
      <c r="O1268" s="75" t="s">
        <v>471</v>
      </c>
      <c r="P1268" t="s">
        <v>2472</v>
      </c>
      <c r="Q1268" s="75" t="s">
        <v>861</v>
      </c>
      <c r="R1268" s="75" t="s">
        <v>8199</v>
      </c>
      <c r="S1268" t="s">
        <v>10959</v>
      </c>
      <c r="T1268" s="75" t="s">
        <v>2818</v>
      </c>
      <c r="U1268" s="75" t="s">
        <v>1663</v>
      </c>
      <c r="V1268" t="s">
        <v>3643</v>
      </c>
      <c r="W1268" s="75" t="s">
        <v>10127</v>
      </c>
      <c r="X1268" s="75" t="s">
        <v>364</v>
      </c>
      <c r="Y1268" t="s">
        <v>10371</v>
      </c>
    </row>
    <row r="1269" spans="2:25" x14ac:dyDescent="0.25">
      <c r="B1269" s="75" t="s">
        <v>3491</v>
      </c>
      <c r="C1269" s="75" t="s">
        <v>3051</v>
      </c>
      <c r="D1269" t="s">
        <v>3749</v>
      </c>
      <c r="E1269" s="75" t="s">
        <v>4691</v>
      </c>
      <c r="F1269" s="75" t="s">
        <v>455</v>
      </c>
      <c r="G1269" t="s">
        <v>5170</v>
      </c>
      <c r="H1269" s="75" t="s">
        <v>1918</v>
      </c>
      <c r="I1269" s="75" t="s">
        <v>485</v>
      </c>
      <c r="J1269" t="s">
        <v>3378</v>
      </c>
      <c r="K1269" s="75" t="s">
        <v>573</v>
      </c>
      <c r="L1269" s="75" t="s">
        <v>523</v>
      </c>
      <c r="M1269" t="s">
        <v>2318</v>
      </c>
      <c r="N1269" s="75" t="s">
        <v>1271</v>
      </c>
      <c r="O1269" s="75" t="s">
        <v>335</v>
      </c>
      <c r="P1269" t="s">
        <v>2326</v>
      </c>
      <c r="Q1269" s="75" t="s">
        <v>9464</v>
      </c>
      <c r="R1269" s="216" t="s">
        <v>9422</v>
      </c>
      <c r="S1269" t="s">
        <v>11175</v>
      </c>
      <c r="T1269" s="75" t="s">
        <v>3348</v>
      </c>
      <c r="U1269" s="75" t="s">
        <v>461</v>
      </c>
      <c r="V1269" t="s">
        <v>3821</v>
      </c>
      <c r="W1269" s="75" t="s">
        <v>10258</v>
      </c>
      <c r="X1269" s="75" t="s">
        <v>336</v>
      </c>
      <c r="Y1269" t="s">
        <v>10407</v>
      </c>
    </row>
    <row r="1270" spans="2:25" x14ac:dyDescent="0.25">
      <c r="B1270" s="75" t="s">
        <v>3235</v>
      </c>
      <c r="C1270" s="75" t="s">
        <v>470</v>
      </c>
      <c r="D1270" t="s">
        <v>3521</v>
      </c>
      <c r="E1270" s="75" t="s">
        <v>5167</v>
      </c>
      <c r="F1270" s="75" t="s">
        <v>744</v>
      </c>
      <c r="G1270" t="s">
        <v>5525</v>
      </c>
      <c r="H1270" s="75" t="s">
        <v>1121</v>
      </c>
      <c r="I1270" s="75" t="s">
        <v>551</v>
      </c>
      <c r="J1270" t="s">
        <v>3203</v>
      </c>
      <c r="K1270" s="75" t="s">
        <v>889</v>
      </c>
      <c r="L1270" s="75" t="s">
        <v>1093</v>
      </c>
      <c r="M1270" t="s">
        <v>2319</v>
      </c>
      <c r="N1270" s="75" t="s">
        <v>1249</v>
      </c>
      <c r="O1270" s="75" t="s">
        <v>522</v>
      </c>
      <c r="P1270" t="s">
        <v>1754</v>
      </c>
      <c r="Q1270" s="75" t="s">
        <v>10612</v>
      </c>
      <c r="R1270" s="216" t="s">
        <v>8202</v>
      </c>
      <c r="S1270" t="s">
        <v>11227</v>
      </c>
      <c r="T1270" s="75" t="s">
        <v>3648</v>
      </c>
      <c r="U1270" s="75" t="s">
        <v>485</v>
      </c>
      <c r="V1270" t="s">
        <v>4826</v>
      </c>
      <c r="W1270" s="75" t="s">
        <v>10369</v>
      </c>
      <c r="X1270" s="75" t="s">
        <v>364</v>
      </c>
      <c r="Y1270" t="s">
        <v>10488</v>
      </c>
    </row>
    <row r="1271" spans="2:25" x14ac:dyDescent="0.25">
      <c r="B1271" s="75" t="s">
        <v>3227</v>
      </c>
      <c r="C1271" s="75" t="s">
        <v>744</v>
      </c>
      <c r="D1271" t="s">
        <v>3519</v>
      </c>
      <c r="E1271" s="75" t="s">
        <v>4980</v>
      </c>
      <c r="F1271" s="75" t="s">
        <v>4122</v>
      </c>
      <c r="G1271" t="s">
        <v>5671</v>
      </c>
      <c r="H1271" s="75" t="s">
        <v>988</v>
      </c>
      <c r="I1271" s="75" t="s">
        <v>745</v>
      </c>
      <c r="J1271" t="s">
        <v>2639</v>
      </c>
      <c r="K1271" s="75" t="s">
        <v>1103</v>
      </c>
      <c r="L1271" s="75" t="s">
        <v>1147</v>
      </c>
      <c r="M1271" t="s">
        <v>2320</v>
      </c>
      <c r="N1271" s="75" t="s">
        <v>792</v>
      </c>
      <c r="O1271" s="75" t="s">
        <v>471</v>
      </c>
      <c r="P1271" t="s">
        <v>1563</v>
      </c>
      <c r="Q1271" s="75" t="s">
        <v>11291</v>
      </c>
      <c r="R1271" s="75" t="s">
        <v>344</v>
      </c>
      <c r="S1271" t="s">
        <v>11317</v>
      </c>
      <c r="T1271" s="75" t="s">
        <v>6576</v>
      </c>
      <c r="U1271" s="75" t="s">
        <v>5101</v>
      </c>
      <c r="V1271" t="s">
        <v>6632</v>
      </c>
      <c r="W1271" s="75" t="s">
        <v>10400</v>
      </c>
      <c r="X1271" s="75" t="s">
        <v>485</v>
      </c>
      <c r="Y1271" t="s">
        <v>10563</v>
      </c>
    </row>
    <row r="1272" spans="2:25" x14ac:dyDescent="0.25">
      <c r="B1272" s="75" t="s">
        <v>3225</v>
      </c>
      <c r="C1272" s="75" t="s">
        <v>347</v>
      </c>
      <c r="D1272" t="s">
        <v>3402</v>
      </c>
      <c r="E1272" s="75" t="s">
        <v>5348</v>
      </c>
      <c r="F1272" s="75" t="s">
        <v>5268</v>
      </c>
      <c r="G1272" t="s">
        <v>5730</v>
      </c>
      <c r="H1272" s="75" t="s">
        <v>1046</v>
      </c>
      <c r="I1272" s="75" t="s">
        <v>554</v>
      </c>
      <c r="J1272" t="s">
        <v>2638</v>
      </c>
      <c r="K1272" s="75" t="s">
        <v>1042</v>
      </c>
      <c r="L1272" s="75" t="s">
        <v>391</v>
      </c>
      <c r="M1272" t="s">
        <v>1580</v>
      </c>
      <c r="N1272" s="75" t="s">
        <v>891</v>
      </c>
      <c r="O1272" s="75" t="s">
        <v>803</v>
      </c>
      <c r="P1272" t="s">
        <v>1564</v>
      </c>
      <c r="Q1272" s="75" t="s">
        <v>11200</v>
      </c>
      <c r="R1272" s="75" t="s">
        <v>9422</v>
      </c>
      <c r="S1272" t="s">
        <v>11394</v>
      </c>
      <c r="T1272" s="75" t="s">
        <v>7222</v>
      </c>
      <c r="U1272" s="75" t="s">
        <v>5774</v>
      </c>
      <c r="V1272" t="s">
        <v>7326</v>
      </c>
      <c r="W1272" s="75" t="s">
        <v>10497</v>
      </c>
      <c r="X1272" s="75" t="s">
        <v>745</v>
      </c>
      <c r="Y1272" t="s">
        <v>10582</v>
      </c>
    </row>
    <row r="1273" spans="2:25" x14ac:dyDescent="0.25">
      <c r="B1273" s="75" t="s">
        <v>1807</v>
      </c>
      <c r="C1273" s="75" t="s">
        <v>330</v>
      </c>
      <c r="D1273" t="s">
        <v>2676</v>
      </c>
      <c r="E1273" s="75" t="s">
        <v>5221</v>
      </c>
      <c r="F1273" s="75" t="s">
        <v>363</v>
      </c>
      <c r="G1273" t="s">
        <v>5830</v>
      </c>
      <c r="H1273" s="75" t="s">
        <v>864</v>
      </c>
      <c r="I1273" s="75" t="s">
        <v>746</v>
      </c>
      <c r="J1273" t="s">
        <v>2536</v>
      </c>
      <c r="K1273" s="75" t="s">
        <v>967</v>
      </c>
      <c r="L1273" s="75" t="s">
        <v>495</v>
      </c>
      <c r="M1273" t="s">
        <v>1581</v>
      </c>
      <c r="N1273" s="75" t="s">
        <v>654</v>
      </c>
      <c r="O1273" s="75" t="s">
        <v>551</v>
      </c>
      <c r="P1273" t="s">
        <v>2327</v>
      </c>
      <c r="Q1273" s="75" t="s">
        <v>11197</v>
      </c>
      <c r="R1273" s="75" t="s">
        <v>746</v>
      </c>
      <c r="S1273" t="s">
        <v>11432</v>
      </c>
      <c r="T1273" s="75" t="s">
        <v>7941</v>
      </c>
      <c r="U1273" s="75" t="s">
        <v>336</v>
      </c>
      <c r="V1273" t="s">
        <v>8742</v>
      </c>
      <c r="W1273" s="75" t="s">
        <v>10294</v>
      </c>
      <c r="X1273" s="75" t="s">
        <v>362</v>
      </c>
      <c r="Y1273" t="s">
        <v>10584</v>
      </c>
    </row>
    <row r="1274" spans="2:25" x14ac:dyDescent="0.25">
      <c r="B1274" s="75" t="s">
        <v>1809</v>
      </c>
      <c r="C1274" s="75" t="s">
        <v>1808</v>
      </c>
      <c r="D1274" t="s">
        <v>2675</v>
      </c>
      <c r="E1274" s="75" t="s">
        <v>5647</v>
      </c>
      <c r="F1274" s="75" t="s">
        <v>347</v>
      </c>
      <c r="G1274" t="s">
        <v>5986</v>
      </c>
      <c r="H1274" s="75" t="s">
        <v>729</v>
      </c>
      <c r="I1274" s="75" t="s">
        <v>479</v>
      </c>
      <c r="J1274" t="s">
        <v>2302</v>
      </c>
      <c r="K1274" s="75" t="s">
        <v>1084</v>
      </c>
      <c r="L1274" s="75" t="s">
        <v>389</v>
      </c>
      <c r="M1274" t="s">
        <v>2321</v>
      </c>
      <c r="N1274" s="75" t="s">
        <v>793</v>
      </c>
      <c r="O1274" s="75" t="s">
        <v>803</v>
      </c>
      <c r="P1274" t="s">
        <v>2328</v>
      </c>
      <c r="Q1274" s="75" t="s">
        <v>10866</v>
      </c>
      <c r="R1274" s="216" t="s">
        <v>485</v>
      </c>
      <c r="S1274" t="s">
        <v>11434</v>
      </c>
      <c r="T1274" s="75" t="s">
        <v>10198</v>
      </c>
      <c r="U1274" s="75" t="s">
        <v>5101</v>
      </c>
      <c r="V1274" t="s">
        <v>10329</v>
      </c>
      <c r="W1274" s="75" t="s">
        <v>10558</v>
      </c>
      <c r="X1274" s="75" t="s">
        <v>2970</v>
      </c>
      <c r="Y1274" t="s">
        <v>10669</v>
      </c>
    </row>
    <row r="1275" spans="2:25" x14ac:dyDescent="0.25">
      <c r="B1275" s="75" t="s">
        <v>1646</v>
      </c>
      <c r="C1275" s="75" t="s">
        <v>335</v>
      </c>
      <c r="D1275" t="s">
        <v>2673</v>
      </c>
      <c r="E1275" s="75" t="s">
        <v>5592</v>
      </c>
      <c r="F1275" s="75" t="s">
        <v>348</v>
      </c>
      <c r="G1275" t="s">
        <v>5993</v>
      </c>
      <c r="H1275" s="75" t="s">
        <v>660</v>
      </c>
      <c r="I1275" s="75" t="s">
        <v>511</v>
      </c>
      <c r="J1275" t="s">
        <v>2303</v>
      </c>
      <c r="K1275" s="75" t="s">
        <v>961</v>
      </c>
      <c r="L1275" s="75" t="s">
        <v>1584</v>
      </c>
      <c r="M1275" t="s">
        <v>2322</v>
      </c>
      <c r="N1275" s="75" t="s">
        <v>806</v>
      </c>
      <c r="O1275" s="75" t="s">
        <v>805</v>
      </c>
      <c r="P1275" t="s">
        <v>2329</v>
      </c>
      <c r="Q1275" s="75" t="s">
        <v>11163</v>
      </c>
      <c r="R1275" s="75" t="s">
        <v>9352</v>
      </c>
      <c r="S1275" t="s">
        <v>11749</v>
      </c>
      <c r="T1275" s="75" t="s">
        <v>11012</v>
      </c>
      <c r="U1275" s="75" t="s">
        <v>5101</v>
      </c>
      <c r="V1275" t="s">
        <v>11196</v>
      </c>
      <c r="W1275" s="75" t="s">
        <v>10590</v>
      </c>
      <c r="X1275" s="75" t="s">
        <v>485</v>
      </c>
      <c r="Y1275" t="s">
        <v>10749</v>
      </c>
    </row>
    <row r="1276" spans="2:25" x14ac:dyDescent="0.25">
      <c r="B1276" s="75" t="s">
        <v>1018</v>
      </c>
      <c r="C1276" s="75" t="s">
        <v>744</v>
      </c>
      <c r="D1276" t="s">
        <v>2287</v>
      </c>
      <c r="E1276" s="75" t="s">
        <v>5485</v>
      </c>
      <c r="F1276" s="75" t="s">
        <v>363</v>
      </c>
      <c r="G1276" t="s">
        <v>8387</v>
      </c>
      <c r="H1276" s="75" t="s">
        <v>1266</v>
      </c>
      <c r="I1276" s="75" t="s">
        <v>805</v>
      </c>
      <c r="J1276" t="s">
        <v>2304</v>
      </c>
      <c r="K1276" s="75" t="s">
        <v>1583</v>
      </c>
      <c r="L1276" s="75" t="s">
        <v>391</v>
      </c>
      <c r="M1276" t="s">
        <v>1585</v>
      </c>
      <c r="N1276" s="75" t="s">
        <v>876</v>
      </c>
      <c r="O1276" s="75" t="s">
        <v>401</v>
      </c>
      <c r="P1276" t="s">
        <v>2330</v>
      </c>
      <c r="Q1276" s="75" t="s">
        <v>11438</v>
      </c>
      <c r="R1276" s="75" t="s">
        <v>746</v>
      </c>
      <c r="S1276" t="s">
        <v>11747</v>
      </c>
      <c r="T1276" s="75" t="s">
        <v>11571</v>
      </c>
      <c r="U1276" s="75" t="s">
        <v>344</v>
      </c>
      <c r="V1276" t="s">
        <v>11731</v>
      </c>
      <c r="W1276" s="75" t="s">
        <v>10585</v>
      </c>
      <c r="X1276" s="216" t="s">
        <v>10684</v>
      </c>
      <c r="Y1276" t="s">
        <v>10751</v>
      </c>
    </row>
    <row r="1277" spans="2:25" x14ac:dyDescent="0.25">
      <c r="B1277" s="75" t="s">
        <v>791</v>
      </c>
      <c r="C1277" s="75" t="s">
        <v>746</v>
      </c>
      <c r="D1277" t="s">
        <v>2288</v>
      </c>
      <c r="E1277" s="75" t="s">
        <v>5855</v>
      </c>
      <c r="F1277" s="75" t="s">
        <v>5779</v>
      </c>
      <c r="G1277" t="s">
        <v>6258</v>
      </c>
      <c r="H1277" s="75" t="s">
        <v>709</v>
      </c>
      <c r="I1277" s="75" t="s">
        <v>548</v>
      </c>
      <c r="J1277" t="s">
        <v>1699</v>
      </c>
      <c r="K1277" s="75" t="s">
        <v>541</v>
      </c>
      <c r="L1277" s="75" t="s">
        <v>1173</v>
      </c>
      <c r="M1277" t="s">
        <v>2323</v>
      </c>
      <c r="N1277" s="75" t="s">
        <v>760</v>
      </c>
      <c r="O1277" s="75" t="s">
        <v>551</v>
      </c>
      <c r="P1277" t="s">
        <v>1582</v>
      </c>
      <c r="Q1277" s="75" t="s">
        <v>11482</v>
      </c>
      <c r="R1277" s="75" t="s">
        <v>344</v>
      </c>
      <c r="S1277" t="s">
        <v>11547</v>
      </c>
      <c r="T1277" s="75" t="s">
        <v>11830</v>
      </c>
      <c r="U1277" s="75" t="s">
        <v>1661</v>
      </c>
      <c r="V1277" t="s">
        <v>11896</v>
      </c>
      <c r="W1277" s="75" t="s">
        <v>10674</v>
      </c>
      <c r="X1277" s="75" t="s">
        <v>2970</v>
      </c>
      <c r="Y1277" t="s">
        <v>10776</v>
      </c>
    </row>
    <row r="1278" spans="2:25" x14ac:dyDescent="0.25">
      <c r="B1278" s="75" t="s">
        <v>683</v>
      </c>
      <c r="C1278" s="75" t="s">
        <v>677</v>
      </c>
      <c r="D1278" t="s">
        <v>1558</v>
      </c>
      <c r="E1278" s="75" t="s">
        <v>6199</v>
      </c>
      <c r="F1278" s="75" t="s">
        <v>346</v>
      </c>
      <c r="G1278" t="s">
        <v>6290</v>
      </c>
      <c r="H1278" s="75" t="s">
        <v>954</v>
      </c>
      <c r="I1278" s="75" t="s">
        <v>538</v>
      </c>
      <c r="J1278" t="s">
        <v>1859</v>
      </c>
      <c r="K1278" s="75" t="s">
        <v>1172</v>
      </c>
      <c r="L1278" s="75" t="s">
        <v>83</v>
      </c>
      <c r="M1278" t="s">
        <v>1660</v>
      </c>
      <c r="N1278" s="75" t="s">
        <v>795</v>
      </c>
      <c r="O1278" s="75" t="s">
        <v>554</v>
      </c>
      <c r="P1278" t="s">
        <v>2331</v>
      </c>
      <c r="Q1278" s="75" t="s">
        <v>11050</v>
      </c>
      <c r="R1278" s="75" t="s">
        <v>336</v>
      </c>
      <c r="S1278" t="s">
        <v>11279</v>
      </c>
      <c r="T1278" s="74" t="s">
        <v>2612</v>
      </c>
      <c r="U1278" s="74" t="s">
        <v>6621</v>
      </c>
      <c r="V1278" t="s">
        <v>11564</v>
      </c>
      <c r="W1278" s="75" t="s">
        <v>10648</v>
      </c>
      <c r="X1278" s="75" t="s">
        <v>336</v>
      </c>
      <c r="Y1278" t="s">
        <v>10808</v>
      </c>
    </row>
    <row r="1279" spans="2:25" x14ac:dyDescent="0.25">
      <c r="B1279" s="75" t="s">
        <v>643</v>
      </c>
      <c r="C1279" s="75" t="s">
        <v>479</v>
      </c>
      <c r="D1279" t="s">
        <v>2289</v>
      </c>
      <c r="E1279" s="75" t="s">
        <v>5904</v>
      </c>
      <c r="F1279" s="75" t="s">
        <v>345</v>
      </c>
      <c r="G1279" t="s">
        <v>6368</v>
      </c>
      <c r="H1279" s="75" t="s">
        <v>665</v>
      </c>
      <c r="I1279" s="75" t="s">
        <v>636</v>
      </c>
      <c r="J1279" t="s">
        <v>2305</v>
      </c>
      <c r="K1279" s="75" t="s">
        <v>885</v>
      </c>
      <c r="L1279" s="75" t="s">
        <v>677</v>
      </c>
      <c r="M1279" t="s">
        <v>1684</v>
      </c>
      <c r="N1279" s="75" t="s">
        <v>890</v>
      </c>
      <c r="O1279" s="75" t="s">
        <v>805</v>
      </c>
      <c r="P1279" t="s">
        <v>2332</v>
      </c>
      <c r="Q1279" s="74" t="s">
        <v>12127</v>
      </c>
      <c r="R1279" s="74" t="s">
        <v>2972</v>
      </c>
      <c r="S1279" t="s">
        <v>12416</v>
      </c>
      <c r="T1279" s="75" t="s">
        <v>2612</v>
      </c>
      <c r="U1279" s="75" t="s">
        <v>350</v>
      </c>
      <c r="V1279" t="s">
        <v>12376</v>
      </c>
      <c r="W1279" s="75" t="s">
        <v>10752</v>
      </c>
      <c r="X1279" s="75" t="s">
        <v>9422</v>
      </c>
      <c r="Y1279" t="s">
        <v>10927</v>
      </c>
    </row>
    <row r="1280" spans="2:25" x14ac:dyDescent="0.25">
      <c r="B1280" s="75" t="s">
        <v>575</v>
      </c>
      <c r="C1280" s="75" t="s">
        <v>370</v>
      </c>
      <c r="D1280" t="s">
        <v>2290</v>
      </c>
      <c r="E1280" s="75" t="s">
        <v>6087</v>
      </c>
      <c r="F1280" s="75" t="s">
        <v>336</v>
      </c>
      <c r="G1280" t="s">
        <v>6474</v>
      </c>
      <c r="H1280" s="75" t="s">
        <v>1258</v>
      </c>
      <c r="I1280" s="75" t="s">
        <v>470</v>
      </c>
      <c r="J1280" t="s">
        <v>2306</v>
      </c>
      <c r="K1280" s="75" t="s">
        <v>1306</v>
      </c>
      <c r="L1280" s="75" t="s">
        <v>389</v>
      </c>
      <c r="M1280" t="s">
        <v>1686</v>
      </c>
      <c r="N1280" s="75" t="s">
        <v>650</v>
      </c>
      <c r="O1280" s="75" t="s">
        <v>479</v>
      </c>
      <c r="P1280" t="s">
        <v>2333</v>
      </c>
      <c r="Q1280" s="75" t="s">
        <v>288</v>
      </c>
      <c r="R1280" s="75" t="s">
        <v>1457</v>
      </c>
      <c r="S1280" t="s">
        <v>12621</v>
      </c>
      <c r="T1280" s="75" t="s">
        <v>12117</v>
      </c>
      <c r="U1280" s="75" t="s">
        <v>1661</v>
      </c>
      <c r="V1280" t="s">
        <v>12252</v>
      </c>
      <c r="W1280" s="75" t="s">
        <v>10677</v>
      </c>
      <c r="X1280" s="216" t="s">
        <v>344</v>
      </c>
      <c r="Y1280" t="s">
        <v>10943</v>
      </c>
    </row>
    <row r="1281" spans="2:25" x14ac:dyDescent="0.25">
      <c r="B1281" s="75" t="s">
        <v>429</v>
      </c>
      <c r="C1281" s="75" t="s">
        <v>388</v>
      </c>
      <c r="D1281" t="s">
        <v>2291</v>
      </c>
      <c r="E1281" s="75" t="s">
        <v>3835</v>
      </c>
      <c r="F1281" s="75" t="s">
        <v>5774</v>
      </c>
      <c r="G1281" t="s">
        <v>6475</v>
      </c>
      <c r="H1281" s="75" t="s">
        <v>1045</v>
      </c>
      <c r="I1281" s="75" t="s">
        <v>331</v>
      </c>
      <c r="J1281" t="s">
        <v>2463</v>
      </c>
      <c r="K1281" s="75" t="s">
        <v>1234</v>
      </c>
      <c r="L1281" s="75" t="s">
        <v>1093</v>
      </c>
      <c r="M1281" t="s">
        <v>1819</v>
      </c>
      <c r="N1281" s="75" t="s">
        <v>812</v>
      </c>
      <c r="O1281" s="75" t="s">
        <v>744</v>
      </c>
      <c r="P1281" t="s">
        <v>2334</v>
      </c>
      <c r="Q1281" s="75" t="s">
        <v>12160</v>
      </c>
      <c r="R1281" s="75" t="s">
        <v>350</v>
      </c>
      <c r="S1281" t="s">
        <v>12301</v>
      </c>
      <c r="T1281" s="75" t="s">
        <v>12852</v>
      </c>
      <c r="U1281" s="75" t="s">
        <v>2972</v>
      </c>
      <c r="V1281" t="s">
        <v>12881</v>
      </c>
      <c r="W1281" s="75" t="s">
        <v>10819</v>
      </c>
      <c r="X1281" s="75" t="s">
        <v>336</v>
      </c>
      <c r="Y1281" t="s">
        <v>10945</v>
      </c>
    </row>
    <row r="1282" spans="2:25" x14ac:dyDescent="0.25">
      <c r="B1282" s="75" t="s">
        <v>555</v>
      </c>
      <c r="C1282" s="75" t="s">
        <v>373</v>
      </c>
      <c r="D1282" t="s">
        <v>2292</v>
      </c>
      <c r="E1282" s="75" t="s">
        <v>6013</v>
      </c>
      <c r="F1282" s="75" t="s">
        <v>745</v>
      </c>
      <c r="G1282" t="s">
        <v>6549</v>
      </c>
      <c r="H1282" s="75" t="s">
        <v>194</v>
      </c>
      <c r="I1282" s="75" t="s">
        <v>338</v>
      </c>
      <c r="J1282" t="s">
        <v>2780</v>
      </c>
      <c r="K1282" s="75" t="s">
        <v>1170</v>
      </c>
      <c r="L1282" s="75" t="s">
        <v>677</v>
      </c>
      <c r="M1282" t="s">
        <v>2324</v>
      </c>
      <c r="N1282" s="75" t="s">
        <v>962</v>
      </c>
      <c r="O1282" s="75" t="s">
        <v>390</v>
      </c>
      <c r="P1282" t="s">
        <v>2335</v>
      </c>
      <c r="Q1282" s="75" t="s">
        <v>12970</v>
      </c>
      <c r="R1282" s="216" t="s">
        <v>13105</v>
      </c>
      <c r="S1282" t="s">
        <v>13201</v>
      </c>
      <c r="T1282" s="75" t="s">
        <v>12902</v>
      </c>
      <c r="U1282" s="75" t="s">
        <v>6216</v>
      </c>
      <c r="V1282" t="s">
        <v>12976</v>
      </c>
      <c r="W1282" s="74" t="s">
        <v>10949</v>
      </c>
      <c r="X1282" s="74" t="s">
        <v>485</v>
      </c>
      <c r="Y1282" t="s">
        <v>11019</v>
      </c>
    </row>
    <row r="1283" spans="2:25" x14ac:dyDescent="0.25">
      <c r="B1283" s="75" t="s">
        <v>865</v>
      </c>
      <c r="C1283" s="75" t="s">
        <v>538</v>
      </c>
      <c r="D1283" t="s">
        <v>1569</v>
      </c>
      <c r="E1283" s="75" t="s">
        <v>7039</v>
      </c>
      <c r="F1283" s="75" t="s">
        <v>5774</v>
      </c>
      <c r="G1283" t="s">
        <v>7190</v>
      </c>
      <c r="H1283" s="75" t="s">
        <v>1063</v>
      </c>
      <c r="I1283" s="75" t="s">
        <v>461</v>
      </c>
      <c r="J1283" t="s">
        <v>3164</v>
      </c>
      <c r="K1283" s="75" t="s">
        <v>1667</v>
      </c>
      <c r="L1283" s="75" t="s">
        <v>1173</v>
      </c>
      <c r="M1283" t="s">
        <v>2325</v>
      </c>
      <c r="N1283" s="75" t="s">
        <v>599</v>
      </c>
      <c r="O1283" s="75" t="s">
        <v>677</v>
      </c>
      <c r="P1283" t="s">
        <v>1586</v>
      </c>
      <c r="Q1283" s="75" t="s">
        <v>13268</v>
      </c>
      <c r="R1283" s="290" t="s">
        <v>350</v>
      </c>
      <c r="S1283" t="s">
        <v>13279</v>
      </c>
      <c r="T1283" s="75" t="s">
        <v>12121</v>
      </c>
      <c r="U1283" s="75" t="s">
        <v>6621</v>
      </c>
      <c r="V1283" t="s">
        <v>12938</v>
      </c>
      <c r="W1283" s="75" t="s">
        <v>10971</v>
      </c>
      <c r="X1283" s="75" t="s">
        <v>336</v>
      </c>
      <c r="Y1283" t="s">
        <v>11041</v>
      </c>
    </row>
    <row r="1284" spans="2:25" x14ac:dyDescent="0.25">
      <c r="B1284" s="75" t="s">
        <v>807</v>
      </c>
      <c r="C1284" s="75" t="s">
        <v>745</v>
      </c>
      <c r="D1284" t="s">
        <v>2293</v>
      </c>
      <c r="E1284" s="75" t="s">
        <v>864</v>
      </c>
      <c r="F1284" s="75" t="s">
        <v>460</v>
      </c>
      <c r="G1284" t="s">
        <v>7281</v>
      </c>
      <c r="H1284" s="75" t="s">
        <v>2679</v>
      </c>
      <c r="I1284" s="75" t="s">
        <v>597</v>
      </c>
      <c r="J1284" t="s">
        <v>3367</v>
      </c>
      <c r="K1284" s="75" t="s">
        <v>1325</v>
      </c>
      <c r="L1284" s="75" t="s">
        <v>389</v>
      </c>
      <c r="M1284" t="s">
        <v>2451</v>
      </c>
      <c r="N1284" s="75" t="s">
        <v>963</v>
      </c>
      <c r="O1284" s="75" t="s">
        <v>523</v>
      </c>
      <c r="P1284" t="s">
        <v>1587</v>
      </c>
      <c r="Q1284" s="75" t="s">
        <v>12837</v>
      </c>
      <c r="R1284" s="75" t="s">
        <v>485</v>
      </c>
      <c r="S1284" t="s">
        <v>13103</v>
      </c>
      <c r="T1284" s="75" t="s">
        <v>12393</v>
      </c>
      <c r="U1284" s="216" t="s">
        <v>1661</v>
      </c>
      <c r="V1284" t="s">
        <v>12925</v>
      </c>
      <c r="W1284" s="75" t="s">
        <v>11020</v>
      </c>
      <c r="X1284" s="75" t="s">
        <v>485</v>
      </c>
      <c r="Y1284" t="s">
        <v>11051</v>
      </c>
    </row>
    <row r="1285" spans="2:25" x14ac:dyDescent="0.25">
      <c r="B1285" s="75" t="s">
        <v>1008</v>
      </c>
      <c r="C1285" s="75" t="s">
        <v>389</v>
      </c>
      <c r="D1285" t="s">
        <v>1570</v>
      </c>
      <c r="E1285" s="75" t="s">
        <v>6715</v>
      </c>
      <c r="F1285" s="75" t="s">
        <v>345</v>
      </c>
      <c r="G1285" t="s">
        <v>7298</v>
      </c>
      <c r="H1285" s="75" t="s">
        <v>2680</v>
      </c>
      <c r="I1285" s="75" t="s">
        <v>636</v>
      </c>
      <c r="J1285" t="s">
        <v>3721</v>
      </c>
      <c r="K1285" s="75" t="s">
        <v>1272</v>
      </c>
      <c r="L1285" s="75" t="s">
        <v>1173</v>
      </c>
      <c r="M1285" t="s">
        <v>2626</v>
      </c>
      <c r="N1285" s="75" t="s">
        <v>558</v>
      </c>
      <c r="O1285" s="75" t="s">
        <v>461</v>
      </c>
      <c r="P1285" t="s">
        <v>2336</v>
      </c>
      <c r="Q1285" s="75" t="s">
        <v>11842</v>
      </c>
      <c r="R1285" s="75" t="s">
        <v>349</v>
      </c>
      <c r="S1285" t="s">
        <v>12279</v>
      </c>
      <c r="T1285" s="75" t="s">
        <v>13835</v>
      </c>
      <c r="U1285" s="75" t="s">
        <v>6878</v>
      </c>
      <c r="V1285" t="s">
        <v>13969</v>
      </c>
      <c r="W1285" s="75" t="s">
        <v>11076</v>
      </c>
      <c r="X1285" s="75" t="s">
        <v>485</v>
      </c>
      <c r="Y1285" t="s">
        <v>11094</v>
      </c>
    </row>
    <row r="1286" spans="2:25" x14ac:dyDescent="0.25">
      <c r="B1286" s="75" t="s">
        <v>883</v>
      </c>
      <c r="C1286" s="75" t="s">
        <v>331</v>
      </c>
      <c r="D1286" t="s">
        <v>2294</v>
      </c>
      <c r="E1286" s="75" t="s">
        <v>7191</v>
      </c>
      <c r="F1286" s="75" t="s">
        <v>746</v>
      </c>
      <c r="G1286" t="s">
        <v>7487</v>
      </c>
      <c r="H1286" s="75" t="s">
        <v>4015</v>
      </c>
      <c r="I1286" s="75" t="s">
        <v>347</v>
      </c>
      <c r="J1286" t="s">
        <v>4276</v>
      </c>
      <c r="K1286" s="75" t="s">
        <v>1839</v>
      </c>
      <c r="L1286" s="75" t="s">
        <v>84</v>
      </c>
      <c r="M1286" t="s">
        <v>2628</v>
      </c>
      <c r="N1286" s="75" t="s">
        <v>1588</v>
      </c>
      <c r="O1286" s="75" t="s">
        <v>336</v>
      </c>
      <c r="P1286" t="s">
        <v>2337</v>
      </c>
      <c r="Q1286" s="75" t="s">
        <v>11927</v>
      </c>
      <c r="R1286" s="75" t="s">
        <v>10253</v>
      </c>
      <c r="S1286" t="s">
        <v>12231</v>
      </c>
      <c r="T1286" s="75" t="s">
        <v>13544</v>
      </c>
      <c r="U1286" s="75" t="s">
        <v>1661</v>
      </c>
      <c r="V1286" t="s">
        <v>14032</v>
      </c>
      <c r="W1286" s="75" t="s">
        <v>11118</v>
      </c>
      <c r="X1286" s="75" t="s">
        <v>9352</v>
      </c>
      <c r="Y1286" t="s">
        <v>11142</v>
      </c>
    </row>
    <row r="1287" spans="2:25" x14ac:dyDescent="0.25">
      <c r="B1287" s="75" t="s">
        <v>971</v>
      </c>
      <c r="C1287" s="75" t="s">
        <v>805</v>
      </c>
      <c r="D1287" t="s">
        <v>1571</v>
      </c>
      <c r="E1287" s="75" t="s">
        <v>6976</v>
      </c>
      <c r="F1287" s="75" t="s">
        <v>348</v>
      </c>
      <c r="G1287" t="s">
        <v>7488</v>
      </c>
      <c r="H1287" s="75" t="s">
        <v>2641</v>
      </c>
      <c r="I1287" s="75" t="s">
        <v>551</v>
      </c>
      <c r="J1287" t="s">
        <v>4518</v>
      </c>
      <c r="K1287" s="75" t="s">
        <v>1309</v>
      </c>
      <c r="L1287" s="75" t="s">
        <v>337</v>
      </c>
      <c r="M1287" t="s">
        <v>2671</v>
      </c>
      <c r="N1287" s="75" t="s">
        <v>1273</v>
      </c>
      <c r="O1287" s="75" t="s">
        <v>485</v>
      </c>
      <c r="P1287" t="s">
        <v>2338</v>
      </c>
      <c r="Q1287" s="75" t="s">
        <v>11892</v>
      </c>
      <c r="R1287" s="216" t="s">
        <v>8202</v>
      </c>
      <c r="S1287" t="s">
        <v>12212</v>
      </c>
      <c r="T1287" s="75" t="s">
        <v>13975</v>
      </c>
      <c r="U1287" s="75" t="s">
        <v>13976</v>
      </c>
      <c r="V1287" t="s">
        <v>14143</v>
      </c>
      <c r="W1287" s="75" t="s">
        <v>11103</v>
      </c>
      <c r="X1287" s="75" t="s">
        <v>349</v>
      </c>
      <c r="Y1287" t="s">
        <v>11153</v>
      </c>
    </row>
    <row r="1288" spans="2:25" x14ac:dyDescent="0.25">
      <c r="B1288" s="75" t="s">
        <v>960</v>
      </c>
      <c r="C1288" s="75" t="s">
        <v>554</v>
      </c>
      <c r="D1288" t="s">
        <v>1572</v>
      </c>
      <c r="E1288" s="75" t="s">
        <v>7285</v>
      </c>
      <c r="F1288" s="75" t="s">
        <v>363</v>
      </c>
      <c r="G1288" t="s">
        <v>7597</v>
      </c>
      <c r="H1288" s="75" t="s">
        <v>4016</v>
      </c>
      <c r="I1288" s="75" t="s">
        <v>3658</v>
      </c>
      <c r="J1288" t="s">
        <v>4416</v>
      </c>
      <c r="K1288" s="75" t="s">
        <v>1219</v>
      </c>
      <c r="L1288" s="75" t="s">
        <v>391</v>
      </c>
      <c r="M1288" t="s">
        <v>2766</v>
      </c>
      <c r="N1288" s="75" t="s">
        <v>1220</v>
      </c>
      <c r="O1288" s="75" t="s">
        <v>337</v>
      </c>
      <c r="P1288" t="s">
        <v>2339</v>
      </c>
      <c r="Q1288" s="75" t="s">
        <v>13772</v>
      </c>
      <c r="R1288" s="75" t="s">
        <v>348</v>
      </c>
      <c r="S1288" t="s">
        <v>14059</v>
      </c>
      <c r="T1288" s="75" t="s">
        <v>14190</v>
      </c>
      <c r="U1288" s="75" t="s">
        <v>377</v>
      </c>
      <c r="V1288" t="s">
        <v>14371</v>
      </c>
      <c r="W1288" s="75" t="s">
        <v>11040</v>
      </c>
      <c r="X1288" s="216" t="s">
        <v>6621</v>
      </c>
      <c r="Y1288" t="s">
        <v>11206</v>
      </c>
    </row>
    <row r="1289" spans="2:25" x14ac:dyDescent="0.25">
      <c r="B1289" s="75" t="s">
        <v>953</v>
      </c>
      <c r="C1289" s="75" t="s">
        <v>460</v>
      </c>
      <c r="D1289" t="s">
        <v>1573</v>
      </c>
      <c r="E1289" s="75" t="s">
        <v>7283</v>
      </c>
      <c r="F1289" s="75" t="s">
        <v>745</v>
      </c>
      <c r="G1289" t="s">
        <v>7736</v>
      </c>
      <c r="H1289" s="75" t="s">
        <v>4257</v>
      </c>
      <c r="I1289" s="75" t="s">
        <v>3813</v>
      </c>
      <c r="J1289" t="s">
        <v>4521</v>
      </c>
      <c r="K1289" s="75" t="s">
        <v>1666</v>
      </c>
      <c r="L1289" s="75" t="s">
        <v>333</v>
      </c>
      <c r="M1289" t="s">
        <v>2781</v>
      </c>
      <c r="N1289" s="75" t="s">
        <v>1221</v>
      </c>
      <c r="O1289" s="75" t="s">
        <v>337</v>
      </c>
      <c r="P1289" t="s">
        <v>1616</v>
      </c>
      <c r="Q1289" s="75" t="s">
        <v>13720</v>
      </c>
      <c r="R1289" s="75" t="s">
        <v>350</v>
      </c>
      <c r="S1289" t="s">
        <v>14191</v>
      </c>
      <c r="T1289" s="75" t="s">
        <v>14503</v>
      </c>
      <c r="U1289" s="290" t="s">
        <v>377</v>
      </c>
      <c r="V1289" t="s">
        <v>14561</v>
      </c>
      <c r="W1289" s="75" t="s">
        <v>10992</v>
      </c>
      <c r="X1289" s="75" t="s">
        <v>8199</v>
      </c>
      <c r="Y1289" t="s">
        <v>11257</v>
      </c>
    </row>
    <row r="1290" spans="2:25" x14ac:dyDescent="0.25">
      <c r="B1290" s="75" t="s">
        <v>1017</v>
      </c>
      <c r="C1290" s="75" t="s">
        <v>401</v>
      </c>
      <c r="D1290" t="s">
        <v>1574</v>
      </c>
      <c r="E1290" s="75" t="s">
        <v>7668</v>
      </c>
      <c r="F1290" s="75" t="s">
        <v>461</v>
      </c>
      <c r="G1290" t="s">
        <v>8134</v>
      </c>
      <c r="H1290" s="75" t="s">
        <v>3522</v>
      </c>
      <c r="I1290" s="75" t="s">
        <v>1300</v>
      </c>
      <c r="J1290" t="s">
        <v>4705</v>
      </c>
      <c r="K1290" s="75" t="s">
        <v>2530</v>
      </c>
      <c r="L1290" s="75" t="s">
        <v>1663</v>
      </c>
      <c r="M1290" t="s">
        <v>2928</v>
      </c>
      <c r="N1290" s="75" t="s">
        <v>567</v>
      </c>
      <c r="O1290" s="75" t="s">
        <v>1095</v>
      </c>
      <c r="P1290" t="s">
        <v>2340</v>
      </c>
      <c r="Q1290" s="75" t="s">
        <v>13803</v>
      </c>
      <c r="R1290" s="75" t="s">
        <v>485</v>
      </c>
      <c r="S1290" t="s">
        <v>14262</v>
      </c>
      <c r="T1290" s="74" t="s">
        <v>14703</v>
      </c>
      <c r="U1290" s="74" t="s">
        <v>1510</v>
      </c>
      <c r="V1290" t="s">
        <v>14970</v>
      </c>
      <c r="W1290" s="75" t="s">
        <v>11261</v>
      </c>
      <c r="X1290" s="75" t="s">
        <v>10888</v>
      </c>
      <c r="Y1290" t="s">
        <v>11329</v>
      </c>
    </row>
    <row r="1291" spans="2:25" x14ac:dyDescent="0.25">
      <c r="B1291" s="75" t="s">
        <v>997</v>
      </c>
      <c r="C1291" s="75" t="s">
        <v>551</v>
      </c>
      <c r="D1291" t="s">
        <v>2295</v>
      </c>
      <c r="E1291" s="75" t="s">
        <v>7765</v>
      </c>
      <c r="F1291" s="75" t="s">
        <v>8201</v>
      </c>
      <c r="G1291" t="s">
        <v>8465</v>
      </c>
      <c r="H1291" s="75" t="s">
        <v>4365</v>
      </c>
      <c r="I1291" s="75" t="s">
        <v>744</v>
      </c>
      <c r="J1291" t="s">
        <v>4854</v>
      </c>
      <c r="K1291" s="75" t="s">
        <v>1662</v>
      </c>
      <c r="L1291" s="75" t="s">
        <v>391</v>
      </c>
      <c r="M1291" t="s">
        <v>2932</v>
      </c>
      <c r="N1291" s="75" t="s">
        <v>1135</v>
      </c>
      <c r="O1291" s="75" t="s">
        <v>364</v>
      </c>
      <c r="P1291" t="s">
        <v>2341</v>
      </c>
      <c r="Q1291" s="74" t="s">
        <v>14058</v>
      </c>
      <c r="R1291" s="74" t="s">
        <v>348</v>
      </c>
      <c r="S1291" t="s">
        <v>14373</v>
      </c>
      <c r="W1291" s="75" t="s">
        <v>10960</v>
      </c>
      <c r="X1291" s="75" t="s">
        <v>337</v>
      </c>
      <c r="Y1291" t="s">
        <v>11433</v>
      </c>
    </row>
    <row r="1292" spans="2:25" x14ac:dyDescent="0.25">
      <c r="B1292" s="75" t="s">
        <v>1099</v>
      </c>
      <c r="C1292" s="75" t="s">
        <v>470</v>
      </c>
      <c r="D1292" t="s">
        <v>2296</v>
      </c>
      <c r="E1292" s="75" t="s">
        <v>8330</v>
      </c>
      <c r="F1292" s="216" t="s">
        <v>8203</v>
      </c>
      <c r="G1292" t="s">
        <v>8507</v>
      </c>
      <c r="H1292" s="75" t="s">
        <v>4364</v>
      </c>
      <c r="I1292" s="75" t="s">
        <v>364</v>
      </c>
      <c r="J1292" t="s">
        <v>5006</v>
      </c>
      <c r="K1292" s="75" t="s">
        <v>2686</v>
      </c>
      <c r="L1292" s="75" t="s">
        <v>389</v>
      </c>
      <c r="M1292" t="s">
        <v>3188</v>
      </c>
      <c r="N1292" s="75" t="s">
        <v>1305</v>
      </c>
      <c r="O1292" s="75" t="s">
        <v>485</v>
      </c>
      <c r="P1292" t="s">
        <v>2342</v>
      </c>
      <c r="Q1292" s="75" t="s">
        <v>14057</v>
      </c>
      <c r="R1292" s="75" t="s">
        <v>1510</v>
      </c>
      <c r="S1292" t="s">
        <v>14765</v>
      </c>
      <c r="W1292" s="75" t="s">
        <v>11384</v>
      </c>
      <c r="X1292" s="75" t="s">
        <v>10888</v>
      </c>
      <c r="Y1292" t="s">
        <v>11480</v>
      </c>
    </row>
    <row r="1293" spans="2:25" x14ac:dyDescent="0.25">
      <c r="B1293" s="75" t="s">
        <v>1751</v>
      </c>
      <c r="C1293" s="75" t="s">
        <v>336</v>
      </c>
      <c r="D1293" t="s">
        <v>1914</v>
      </c>
      <c r="E1293" s="75" t="s">
        <v>7672</v>
      </c>
      <c r="F1293" s="75" t="s">
        <v>364</v>
      </c>
      <c r="G1293" t="s">
        <v>8554</v>
      </c>
      <c r="H1293" s="75" t="s">
        <v>3535</v>
      </c>
      <c r="I1293" s="75" t="s">
        <v>3862</v>
      </c>
      <c r="J1293" t="s">
        <v>5122</v>
      </c>
      <c r="K1293" s="75" t="s">
        <v>1924</v>
      </c>
      <c r="L1293" s="75" t="s">
        <v>479</v>
      </c>
      <c r="M1293" t="s">
        <v>3187</v>
      </c>
      <c r="N1293" s="75" t="s">
        <v>1215</v>
      </c>
      <c r="O1293" s="75" t="s">
        <v>364</v>
      </c>
      <c r="P1293" t="s">
        <v>1753</v>
      </c>
      <c r="W1293" s="75" t="s">
        <v>11318</v>
      </c>
      <c r="X1293" s="75" t="s">
        <v>344</v>
      </c>
      <c r="Y1293" t="s">
        <v>11481</v>
      </c>
    </row>
    <row r="1294" spans="2:25" x14ac:dyDescent="0.25">
      <c r="B1294" s="75" t="s">
        <v>1758</v>
      </c>
      <c r="C1294" s="75" t="s">
        <v>485</v>
      </c>
      <c r="D1294" t="s">
        <v>2640</v>
      </c>
      <c r="E1294" s="75" t="s">
        <v>8207</v>
      </c>
      <c r="F1294" s="75" t="s">
        <v>360</v>
      </c>
      <c r="G1294" t="s">
        <v>8603</v>
      </c>
      <c r="H1294" s="75" t="s">
        <v>753</v>
      </c>
      <c r="I1294" s="75" t="s">
        <v>742</v>
      </c>
      <c r="J1294" t="s">
        <v>5269</v>
      </c>
      <c r="K1294" s="75" t="s">
        <v>277</v>
      </c>
      <c r="L1294" s="75" t="s">
        <v>390</v>
      </c>
      <c r="M1294" t="s">
        <v>3258</v>
      </c>
      <c r="N1294" s="75" t="s">
        <v>1617</v>
      </c>
      <c r="O1294" s="75" t="s">
        <v>485</v>
      </c>
      <c r="P1294" t="s">
        <v>1759</v>
      </c>
      <c r="W1294" s="74" t="s">
        <v>10712</v>
      </c>
      <c r="X1294" s="74" t="s">
        <v>8201</v>
      </c>
      <c r="Y1294" t="s">
        <v>11529</v>
      </c>
    </row>
    <row r="1295" spans="2:25" x14ac:dyDescent="0.25">
      <c r="B1295" s="75" t="s">
        <v>1850</v>
      </c>
      <c r="C1295" s="75" t="s">
        <v>335</v>
      </c>
      <c r="D1295" t="s">
        <v>2674</v>
      </c>
      <c r="E1295" s="74" t="s">
        <v>7056</v>
      </c>
      <c r="F1295" s="74" t="s">
        <v>337</v>
      </c>
      <c r="G1295" t="s">
        <v>8646</v>
      </c>
      <c r="H1295" s="75" t="s">
        <v>5167</v>
      </c>
      <c r="I1295" s="75" t="s">
        <v>744</v>
      </c>
      <c r="J1295" t="s">
        <v>5533</v>
      </c>
      <c r="K1295" s="75" t="s">
        <v>2799</v>
      </c>
      <c r="L1295" s="75" t="s">
        <v>2532</v>
      </c>
      <c r="M1295" t="s">
        <v>3271</v>
      </c>
      <c r="N1295" s="75" t="s">
        <v>1277</v>
      </c>
      <c r="O1295" s="75" t="s">
        <v>523</v>
      </c>
      <c r="P1295" t="s">
        <v>2343</v>
      </c>
      <c r="W1295" s="75" t="s">
        <v>11483</v>
      </c>
      <c r="X1295" s="75" t="s">
        <v>10888</v>
      </c>
      <c r="Y1295" t="s">
        <v>11588</v>
      </c>
    </row>
    <row r="1296" spans="2:25" x14ac:dyDescent="0.25">
      <c r="B1296" s="75" t="s">
        <v>1898</v>
      </c>
      <c r="C1296" s="75" t="s">
        <v>470</v>
      </c>
      <c r="D1296" t="s">
        <v>2865</v>
      </c>
      <c r="E1296" s="74" t="s">
        <v>8372</v>
      </c>
      <c r="F1296" s="74" t="s">
        <v>5699</v>
      </c>
      <c r="G1296" t="s">
        <v>8764</v>
      </c>
      <c r="H1296" s="75" t="s">
        <v>6199</v>
      </c>
      <c r="I1296" s="75" t="s">
        <v>346</v>
      </c>
      <c r="J1296" t="s">
        <v>6321</v>
      </c>
      <c r="K1296" s="75" t="s">
        <v>2788</v>
      </c>
      <c r="L1296" s="75" t="s">
        <v>458</v>
      </c>
      <c r="M1296" t="s">
        <v>3299</v>
      </c>
      <c r="N1296" s="75" t="s">
        <v>1255</v>
      </c>
      <c r="O1296" s="75" t="s">
        <v>805</v>
      </c>
      <c r="P1296" t="s">
        <v>1801</v>
      </c>
      <c r="W1296" s="74" t="s">
        <v>11531</v>
      </c>
      <c r="X1296" s="74" t="s">
        <v>8201</v>
      </c>
      <c r="Y1296" t="s">
        <v>11626</v>
      </c>
    </row>
    <row r="1297" spans="2:25" x14ac:dyDescent="0.25">
      <c r="B1297" s="75" t="s">
        <v>1806</v>
      </c>
      <c r="C1297" s="75" t="s">
        <v>1805</v>
      </c>
      <c r="D1297" t="s">
        <v>2866</v>
      </c>
      <c r="E1297" s="75" t="s">
        <v>8650</v>
      </c>
      <c r="F1297" s="75" t="s">
        <v>394</v>
      </c>
      <c r="G1297" t="s">
        <v>8831</v>
      </c>
      <c r="H1297" s="75" t="s">
        <v>3835</v>
      </c>
      <c r="I1297" s="75" t="s">
        <v>5774</v>
      </c>
      <c r="J1297" t="s">
        <v>6550</v>
      </c>
      <c r="K1297" s="75" t="s">
        <v>2613</v>
      </c>
      <c r="L1297" s="75" t="s">
        <v>390</v>
      </c>
      <c r="M1297" t="s">
        <v>3322</v>
      </c>
      <c r="N1297" s="75" t="s">
        <v>1291</v>
      </c>
      <c r="O1297" s="75" t="s">
        <v>330</v>
      </c>
      <c r="P1297" t="s">
        <v>1815</v>
      </c>
      <c r="T1297" s="118"/>
      <c r="U1297" s="118"/>
      <c r="V1297" s="118"/>
      <c r="W1297" s="75" t="s">
        <v>10126</v>
      </c>
      <c r="X1297" s="75" t="s">
        <v>337</v>
      </c>
      <c r="Y1297" t="s">
        <v>10955</v>
      </c>
    </row>
    <row r="1298" spans="2:25" x14ac:dyDescent="0.25">
      <c r="B1298" s="75" t="s">
        <v>2779</v>
      </c>
      <c r="C1298" s="75" t="s">
        <v>1095</v>
      </c>
      <c r="D1298" t="s">
        <v>3359</v>
      </c>
      <c r="E1298" s="75" t="s">
        <v>8746</v>
      </c>
      <c r="F1298" s="75" t="s">
        <v>8574</v>
      </c>
      <c r="G1298" t="s">
        <v>8849</v>
      </c>
      <c r="H1298" s="75" t="s">
        <v>3835</v>
      </c>
      <c r="I1298" s="75" t="s">
        <v>364</v>
      </c>
      <c r="J1298" t="s">
        <v>6977</v>
      </c>
      <c r="K1298" s="75" t="s">
        <v>2799</v>
      </c>
      <c r="L1298" s="75" t="s">
        <v>1093</v>
      </c>
      <c r="M1298" t="s">
        <v>3335</v>
      </c>
      <c r="N1298" s="75" t="s">
        <v>1820</v>
      </c>
      <c r="O1298" s="75" t="s">
        <v>677</v>
      </c>
      <c r="P1298" t="s">
        <v>2344</v>
      </c>
      <c r="W1298" s="75" t="s">
        <v>11594</v>
      </c>
      <c r="X1298" s="75" t="s">
        <v>10888</v>
      </c>
      <c r="Y1298" t="s">
        <v>11685</v>
      </c>
    </row>
    <row r="1299" spans="2:25" x14ac:dyDescent="0.25">
      <c r="B1299" s="75" t="s">
        <v>3169</v>
      </c>
      <c r="C1299" s="75" t="s">
        <v>3170</v>
      </c>
      <c r="D1299" t="s">
        <v>3361</v>
      </c>
      <c r="E1299" s="75" t="s">
        <v>8707</v>
      </c>
      <c r="F1299" s="75" t="s">
        <v>8203</v>
      </c>
      <c r="G1299" t="s">
        <v>8934</v>
      </c>
      <c r="H1299" s="75" t="s">
        <v>7039</v>
      </c>
      <c r="I1299" s="75" t="s">
        <v>5774</v>
      </c>
      <c r="J1299" t="s">
        <v>7246</v>
      </c>
      <c r="K1299" s="75" t="s">
        <v>2813</v>
      </c>
      <c r="L1299" s="75" t="s">
        <v>1093</v>
      </c>
      <c r="M1299" t="s">
        <v>3396</v>
      </c>
      <c r="N1299" s="75" t="s">
        <v>1761</v>
      </c>
      <c r="O1299" s="75" t="s">
        <v>364</v>
      </c>
      <c r="P1299" t="s">
        <v>2462</v>
      </c>
      <c r="W1299" s="75" t="s">
        <v>11593</v>
      </c>
      <c r="X1299" s="75" t="s">
        <v>10253</v>
      </c>
      <c r="Y1299" t="s">
        <v>11689</v>
      </c>
    </row>
    <row r="1300" spans="2:25" x14ac:dyDescent="0.25">
      <c r="B1300" s="75" t="s">
        <v>3312</v>
      </c>
      <c r="C1300" s="75" t="s">
        <v>554</v>
      </c>
      <c r="D1300" t="s">
        <v>3832</v>
      </c>
      <c r="E1300" s="75" t="s">
        <v>8543</v>
      </c>
      <c r="F1300" s="75" t="s">
        <v>394</v>
      </c>
      <c r="G1300" t="s">
        <v>9030</v>
      </c>
      <c r="H1300" s="75" t="s">
        <v>6715</v>
      </c>
      <c r="I1300" s="75" t="s">
        <v>345</v>
      </c>
      <c r="J1300" t="s">
        <v>7330</v>
      </c>
      <c r="K1300" s="75" t="s">
        <v>3325</v>
      </c>
      <c r="L1300" s="75" t="s">
        <v>495</v>
      </c>
      <c r="M1300" t="s">
        <v>3589</v>
      </c>
      <c r="N1300" s="75" t="s">
        <v>1764</v>
      </c>
      <c r="O1300" s="75" t="s">
        <v>805</v>
      </c>
      <c r="P1300" t="s">
        <v>2744</v>
      </c>
      <c r="W1300" s="75" t="s">
        <v>9468</v>
      </c>
      <c r="X1300" s="75" t="s">
        <v>8201</v>
      </c>
      <c r="Y1300" t="s">
        <v>11870</v>
      </c>
    </row>
    <row r="1301" spans="2:25" x14ac:dyDescent="0.25">
      <c r="B1301" s="75" t="s">
        <v>3675</v>
      </c>
      <c r="C1301" s="75" t="s">
        <v>389</v>
      </c>
      <c r="D1301" t="s">
        <v>3834</v>
      </c>
      <c r="E1301" s="75" t="s">
        <v>8643</v>
      </c>
      <c r="F1301" s="75" t="s">
        <v>363</v>
      </c>
      <c r="G1301" t="s">
        <v>9062</v>
      </c>
      <c r="H1301" s="75" t="s">
        <v>7191</v>
      </c>
      <c r="I1301" s="75" t="s">
        <v>746</v>
      </c>
      <c r="J1301" t="s">
        <v>7614</v>
      </c>
      <c r="K1301" s="75" t="s">
        <v>2652</v>
      </c>
      <c r="L1301" s="75" t="s">
        <v>2532</v>
      </c>
      <c r="M1301" t="s">
        <v>3660</v>
      </c>
      <c r="N1301" s="75" t="s">
        <v>2442</v>
      </c>
      <c r="O1301" s="75" t="s">
        <v>460</v>
      </c>
      <c r="P1301" t="s">
        <v>2542</v>
      </c>
      <c r="W1301" s="75" t="s">
        <v>11718</v>
      </c>
      <c r="X1301" s="75" t="s">
        <v>11719</v>
      </c>
      <c r="Y1301" t="s">
        <v>12108</v>
      </c>
    </row>
    <row r="1302" spans="2:25" x14ac:dyDescent="0.25">
      <c r="B1302" s="75" t="s">
        <v>3675</v>
      </c>
      <c r="C1302" s="75" t="s">
        <v>389</v>
      </c>
      <c r="D1302" t="s">
        <v>3834</v>
      </c>
      <c r="E1302" s="75" t="s">
        <v>9213</v>
      </c>
      <c r="F1302" s="75" t="s">
        <v>360</v>
      </c>
      <c r="G1302" t="s">
        <v>9396</v>
      </c>
      <c r="H1302" s="75" t="s">
        <v>864</v>
      </c>
      <c r="I1302" s="75" t="s">
        <v>460</v>
      </c>
      <c r="J1302" t="s">
        <v>7615</v>
      </c>
      <c r="K1302" s="75" t="s">
        <v>3287</v>
      </c>
      <c r="L1302" s="75" t="s">
        <v>522</v>
      </c>
      <c r="M1302" t="s">
        <v>3910</v>
      </c>
      <c r="N1302" s="75" t="s">
        <v>1851</v>
      </c>
      <c r="O1302" s="75" t="s">
        <v>389</v>
      </c>
      <c r="P1302" t="s">
        <v>2983</v>
      </c>
      <c r="W1302" s="75" t="s">
        <v>11656</v>
      </c>
      <c r="X1302" s="216" t="s">
        <v>11717</v>
      </c>
      <c r="Y1302" t="s">
        <v>11846</v>
      </c>
    </row>
    <row r="1303" spans="2:25" x14ac:dyDescent="0.25">
      <c r="B1303" s="75" t="s">
        <v>971</v>
      </c>
      <c r="C1303" s="75" t="s">
        <v>365</v>
      </c>
      <c r="D1303" t="s">
        <v>4251</v>
      </c>
      <c r="E1303" s="75" t="s">
        <v>9802</v>
      </c>
      <c r="F1303" s="75" t="s">
        <v>337</v>
      </c>
      <c r="G1303" t="s">
        <v>10032</v>
      </c>
      <c r="H1303" s="75" t="s">
        <v>7285</v>
      </c>
      <c r="I1303" s="75" t="s">
        <v>363</v>
      </c>
      <c r="J1303" t="s">
        <v>7616</v>
      </c>
      <c r="K1303" s="75" t="s">
        <v>3509</v>
      </c>
      <c r="L1303" s="75" t="s">
        <v>519</v>
      </c>
      <c r="M1303" t="s">
        <v>3986</v>
      </c>
      <c r="N1303" s="75" t="s">
        <v>727</v>
      </c>
      <c r="O1303" s="75" t="s">
        <v>523</v>
      </c>
      <c r="P1303" t="s">
        <v>2784</v>
      </c>
      <c r="W1303" s="75" t="s">
        <v>11527</v>
      </c>
      <c r="X1303" s="75" t="s">
        <v>1661</v>
      </c>
      <c r="Y1303" t="s">
        <v>11828</v>
      </c>
    </row>
    <row r="1304" spans="2:25" x14ac:dyDescent="0.25">
      <c r="B1304" s="75" t="s">
        <v>4034</v>
      </c>
      <c r="C1304" s="75" t="s">
        <v>3813</v>
      </c>
      <c r="D1304" t="s">
        <v>4270</v>
      </c>
      <c r="E1304" s="75" t="s">
        <v>9576</v>
      </c>
      <c r="F1304" s="75" t="s">
        <v>364</v>
      </c>
      <c r="G1304" t="s">
        <v>10060</v>
      </c>
      <c r="H1304" s="75" t="s">
        <v>729</v>
      </c>
      <c r="I1304" s="75" t="s">
        <v>460</v>
      </c>
      <c r="J1304" t="s">
        <v>7617</v>
      </c>
      <c r="K1304" s="75" t="s">
        <v>3270</v>
      </c>
      <c r="L1304" s="75" t="s">
        <v>518</v>
      </c>
      <c r="M1304" t="s">
        <v>4030</v>
      </c>
      <c r="N1304" s="75" t="s">
        <v>1888</v>
      </c>
      <c r="O1304" s="75" t="s">
        <v>677</v>
      </c>
      <c r="P1304" t="s">
        <v>2809</v>
      </c>
      <c r="W1304" s="75" t="s">
        <v>11939</v>
      </c>
      <c r="X1304" s="75" t="s">
        <v>11719</v>
      </c>
      <c r="Y1304" t="s">
        <v>12128</v>
      </c>
    </row>
    <row r="1305" spans="2:25" x14ac:dyDescent="0.25">
      <c r="B1305" s="75" t="s">
        <v>4390</v>
      </c>
      <c r="C1305" s="75" t="s">
        <v>455</v>
      </c>
      <c r="D1305" t="s">
        <v>4694</v>
      </c>
      <c r="E1305" s="75" t="s">
        <v>9934</v>
      </c>
      <c r="F1305" s="75" t="s">
        <v>8200</v>
      </c>
      <c r="G1305" t="s">
        <v>10186</v>
      </c>
      <c r="H1305" s="75" t="s">
        <v>6976</v>
      </c>
      <c r="I1305" s="75" t="s">
        <v>348</v>
      </c>
      <c r="J1305" t="s">
        <v>7618</v>
      </c>
      <c r="K1305" s="75" t="s">
        <v>3820</v>
      </c>
      <c r="L1305" s="75" t="s">
        <v>750</v>
      </c>
      <c r="M1305" t="s">
        <v>4073</v>
      </c>
      <c r="N1305" s="75" t="s">
        <v>1895</v>
      </c>
      <c r="O1305" s="75" t="s">
        <v>331</v>
      </c>
      <c r="P1305" t="s">
        <v>2976</v>
      </c>
      <c r="W1305" s="75" t="s">
        <v>11897</v>
      </c>
      <c r="X1305" s="75" t="s">
        <v>344</v>
      </c>
      <c r="Y1305" t="s">
        <v>11986</v>
      </c>
    </row>
    <row r="1306" spans="2:25" x14ac:dyDescent="0.25">
      <c r="B1306" s="75" t="s">
        <v>4294</v>
      </c>
      <c r="C1306" s="75" t="s">
        <v>364</v>
      </c>
      <c r="D1306" t="s">
        <v>4710</v>
      </c>
      <c r="E1306" s="75" t="s">
        <v>10200</v>
      </c>
      <c r="F1306" s="75" t="s">
        <v>2972</v>
      </c>
      <c r="G1306" t="s">
        <v>10425</v>
      </c>
      <c r="H1306" s="75" t="s">
        <v>7413</v>
      </c>
      <c r="I1306" s="75" t="s">
        <v>5773</v>
      </c>
      <c r="J1306" t="s">
        <v>7682</v>
      </c>
      <c r="K1306" s="75" t="s">
        <v>3973</v>
      </c>
      <c r="L1306" s="75" t="s">
        <v>390</v>
      </c>
      <c r="M1306" t="s">
        <v>4174</v>
      </c>
      <c r="N1306" s="75" t="s">
        <v>1760</v>
      </c>
      <c r="O1306" s="75" t="s">
        <v>445</v>
      </c>
      <c r="P1306" t="s">
        <v>3240</v>
      </c>
      <c r="W1306" s="75" t="s">
        <v>7790</v>
      </c>
      <c r="X1306" s="75" t="s">
        <v>349</v>
      </c>
      <c r="Y1306" t="s">
        <v>11827</v>
      </c>
    </row>
    <row r="1307" spans="2:25" x14ac:dyDescent="0.25">
      <c r="B1307" s="75" t="s">
        <v>4489</v>
      </c>
      <c r="C1307" s="75" t="s">
        <v>347</v>
      </c>
      <c r="D1307" t="s">
        <v>4785</v>
      </c>
      <c r="E1307" s="75" t="s">
        <v>10824</v>
      </c>
      <c r="F1307" s="75" t="s">
        <v>10253</v>
      </c>
      <c r="G1307" t="s">
        <v>11021</v>
      </c>
      <c r="H1307" s="75" t="s">
        <v>8330</v>
      </c>
      <c r="I1307" s="75" t="s">
        <v>8203</v>
      </c>
      <c r="J1307" t="s">
        <v>8551</v>
      </c>
      <c r="K1307" s="75" t="s">
        <v>3462</v>
      </c>
      <c r="L1307" s="75" t="s">
        <v>511</v>
      </c>
      <c r="M1307" t="s">
        <v>4195</v>
      </c>
      <c r="N1307" s="75" t="s">
        <v>673</v>
      </c>
      <c r="O1307" s="75" t="s">
        <v>745</v>
      </c>
      <c r="P1307" t="s">
        <v>2991</v>
      </c>
      <c r="W1307" s="74" t="s">
        <v>12156</v>
      </c>
      <c r="X1307" s="74" t="s">
        <v>8202</v>
      </c>
      <c r="Y1307" t="s">
        <v>12180</v>
      </c>
    </row>
    <row r="1308" spans="2:25" x14ac:dyDescent="0.25">
      <c r="B1308" s="75" t="s">
        <v>4806</v>
      </c>
      <c r="C1308" s="75" t="s">
        <v>4122</v>
      </c>
      <c r="D1308" t="s">
        <v>4981</v>
      </c>
      <c r="E1308" s="75" t="s">
        <v>10817</v>
      </c>
      <c r="F1308" s="216" t="s">
        <v>10888</v>
      </c>
      <c r="G1308" t="s">
        <v>11199</v>
      </c>
      <c r="H1308" s="75" t="s">
        <v>8207</v>
      </c>
      <c r="I1308" s="75" t="s">
        <v>360</v>
      </c>
      <c r="J1308" t="s">
        <v>8766</v>
      </c>
      <c r="K1308" s="75" t="s">
        <v>3895</v>
      </c>
      <c r="L1308" s="75" t="s">
        <v>597</v>
      </c>
      <c r="M1308" t="s">
        <v>4208</v>
      </c>
      <c r="N1308" s="75" t="s">
        <v>2531</v>
      </c>
      <c r="O1308" s="75" t="s">
        <v>445</v>
      </c>
      <c r="P1308" t="s">
        <v>3241</v>
      </c>
      <c r="W1308" s="75" t="s">
        <v>11978</v>
      </c>
      <c r="X1308" s="75" t="s">
        <v>9749</v>
      </c>
      <c r="Y1308" t="s">
        <v>12265</v>
      </c>
    </row>
    <row r="1309" spans="2:25" x14ac:dyDescent="0.25">
      <c r="B1309" s="75" t="s">
        <v>5249</v>
      </c>
      <c r="C1309" s="75" t="s">
        <v>274</v>
      </c>
      <c r="D1309" t="s">
        <v>5356</v>
      </c>
      <c r="E1309" s="75" t="s">
        <v>11136</v>
      </c>
      <c r="F1309" s="75" t="s">
        <v>2972</v>
      </c>
      <c r="G1309" t="s">
        <v>11211</v>
      </c>
      <c r="H1309" s="75" t="s">
        <v>7056</v>
      </c>
      <c r="I1309" s="75" t="s">
        <v>337</v>
      </c>
      <c r="J1309" t="s">
        <v>8795</v>
      </c>
      <c r="K1309" s="75" t="s">
        <v>4160</v>
      </c>
      <c r="L1309" s="75" t="s">
        <v>345</v>
      </c>
      <c r="M1309" t="s">
        <v>4363</v>
      </c>
      <c r="N1309" s="75" t="s">
        <v>2467</v>
      </c>
      <c r="O1309" s="75" t="s">
        <v>548</v>
      </c>
      <c r="P1309" t="s">
        <v>3015</v>
      </c>
      <c r="W1309" s="75" t="s">
        <v>11979</v>
      </c>
      <c r="X1309" s="75" t="s">
        <v>746</v>
      </c>
      <c r="Y1309" t="s">
        <v>12296</v>
      </c>
    </row>
    <row r="1310" spans="2:25" x14ac:dyDescent="0.25">
      <c r="B1310" s="75" t="s">
        <v>5294</v>
      </c>
      <c r="C1310" s="75" t="s">
        <v>587</v>
      </c>
      <c r="D1310" t="s">
        <v>5486</v>
      </c>
      <c r="E1310" s="75" t="s">
        <v>11081</v>
      </c>
      <c r="F1310" s="75" t="s">
        <v>344</v>
      </c>
      <c r="G1310" t="s">
        <v>11232</v>
      </c>
      <c r="H1310" s="75" t="s">
        <v>8746</v>
      </c>
      <c r="I1310" s="75" t="s">
        <v>8574</v>
      </c>
      <c r="J1310" t="s">
        <v>8869</v>
      </c>
      <c r="K1310" s="75" t="s">
        <v>277</v>
      </c>
      <c r="L1310" s="75" t="s">
        <v>345</v>
      </c>
      <c r="M1310" t="s">
        <v>4363</v>
      </c>
      <c r="N1310" s="75" t="s">
        <v>567</v>
      </c>
      <c r="O1310" s="75" t="s">
        <v>2532</v>
      </c>
      <c r="P1310" t="s">
        <v>3016</v>
      </c>
      <c r="W1310" s="75" t="s">
        <v>12269</v>
      </c>
      <c r="X1310" s="75" t="s">
        <v>9749</v>
      </c>
      <c r="Y1310" t="s">
        <v>12334</v>
      </c>
    </row>
    <row r="1311" spans="2:25" x14ac:dyDescent="0.25">
      <c r="B1311" s="75" t="s">
        <v>5418</v>
      </c>
      <c r="C1311" s="75" t="s">
        <v>11</v>
      </c>
      <c r="D1311" t="s">
        <v>5591</v>
      </c>
      <c r="E1311" s="75" t="s">
        <v>11138</v>
      </c>
      <c r="F1311" s="75" t="s">
        <v>10253</v>
      </c>
      <c r="G1311" t="s">
        <v>11255</v>
      </c>
      <c r="H1311" s="75" t="s">
        <v>9213</v>
      </c>
      <c r="I1311" s="216" t="s">
        <v>9422</v>
      </c>
      <c r="J1311" t="s">
        <v>9421</v>
      </c>
      <c r="K1311" s="75" t="s">
        <v>277</v>
      </c>
      <c r="L1311" s="75" t="s">
        <v>345</v>
      </c>
      <c r="M1311" t="s">
        <v>4448</v>
      </c>
      <c r="N1311" s="75" t="s">
        <v>2798</v>
      </c>
      <c r="O1311" s="75" t="s">
        <v>803</v>
      </c>
      <c r="P1311" t="s">
        <v>3027</v>
      </c>
      <c r="W1311" s="75" t="s">
        <v>12300</v>
      </c>
      <c r="X1311" s="75" t="s">
        <v>344</v>
      </c>
      <c r="Y1311" t="s">
        <v>12364</v>
      </c>
    </row>
    <row r="1312" spans="2:25" x14ac:dyDescent="0.25">
      <c r="B1312" s="75" t="s">
        <v>3675</v>
      </c>
      <c r="C1312" s="75" t="s">
        <v>5774</v>
      </c>
      <c r="D1312" t="s">
        <v>5820</v>
      </c>
      <c r="E1312" s="75" t="s">
        <v>11385</v>
      </c>
      <c r="F1312" s="75" t="s">
        <v>9749</v>
      </c>
      <c r="G1312" t="s">
        <v>11859</v>
      </c>
      <c r="H1312" s="75" t="s">
        <v>10824</v>
      </c>
      <c r="I1312" s="75" t="s">
        <v>10253</v>
      </c>
      <c r="J1312" t="s">
        <v>11022</v>
      </c>
      <c r="K1312" s="75" t="s">
        <v>430</v>
      </c>
      <c r="L1312" s="75" t="s">
        <v>3812</v>
      </c>
      <c r="M1312" t="s">
        <v>4454</v>
      </c>
      <c r="N1312" s="75" t="s">
        <v>2466</v>
      </c>
      <c r="O1312" s="75" t="s">
        <v>364</v>
      </c>
      <c r="P1312" t="s">
        <v>3056</v>
      </c>
      <c r="W1312" s="74" t="s">
        <v>12401</v>
      </c>
      <c r="X1312" s="74" t="s">
        <v>350</v>
      </c>
      <c r="Y1312" t="s">
        <v>12428</v>
      </c>
    </row>
    <row r="1313" spans="2:25" x14ac:dyDescent="0.25">
      <c r="B1313" s="75" t="s">
        <v>5789</v>
      </c>
      <c r="C1313" s="75" t="s">
        <v>745</v>
      </c>
      <c r="D1313" t="s">
        <v>6014</v>
      </c>
      <c r="E1313" s="75" t="s">
        <v>11597</v>
      </c>
      <c r="F1313" s="75" t="s">
        <v>5706</v>
      </c>
      <c r="G1313" t="s">
        <v>11723</v>
      </c>
      <c r="H1313" s="75" t="s">
        <v>11136</v>
      </c>
      <c r="I1313" s="75" t="s">
        <v>2972</v>
      </c>
      <c r="J1313" t="s">
        <v>11218</v>
      </c>
      <c r="K1313" s="75" t="s">
        <v>4321</v>
      </c>
      <c r="L1313" s="75" t="s">
        <v>347</v>
      </c>
      <c r="M1313" t="s">
        <v>4455</v>
      </c>
      <c r="N1313" s="75" t="s">
        <v>2611</v>
      </c>
      <c r="O1313" s="75" t="s">
        <v>337</v>
      </c>
      <c r="P1313" t="s">
        <v>3102</v>
      </c>
      <c r="W1313" s="75" t="s">
        <v>12432</v>
      </c>
      <c r="X1313" s="75" t="s">
        <v>350</v>
      </c>
      <c r="Y1313" t="s">
        <v>12526</v>
      </c>
    </row>
    <row r="1314" spans="2:25" x14ac:dyDescent="0.25">
      <c r="B1314" s="75" t="s">
        <v>6819</v>
      </c>
      <c r="C1314" s="75" t="s">
        <v>348</v>
      </c>
      <c r="D1314" t="s">
        <v>6975</v>
      </c>
      <c r="E1314" s="75" t="s">
        <v>11948</v>
      </c>
      <c r="F1314" s="75" t="s">
        <v>12061</v>
      </c>
      <c r="G1314" t="s">
        <v>12129</v>
      </c>
      <c r="H1314" s="75" t="s">
        <v>11597</v>
      </c>
      <c r="I1314" s="75" t="s">
        <v>5706</v>
      </c>
      <c r="J1314" t="s">
        <v>11743</v>
      </c>
      <c r="K1314" s="75" t="s">
        <v>4372</v>
      </c>
      <c r="L1314" s="75" t="s">
        <v>390</v>
      </c>
      <c r="M1314" t="s">
        <v>4476</v>
      </c>
      <c r="N1314" s="75" t="s">
        <v>3026</v>
      </c>
      <c r="O1314" s="75" t="s">
        <v>470</v>
      </c>
      <c r="P1314" t="s">
        <v>3121</v>
      </c>
      <c r="W1314" s="75" t="s">
        <v>12234</v>
      </c>
      <c r="X1314" s="75" t="s">
        <v>344</v>
      </c>
      <c r="Y1314" t="s">
        <v>12523</v>
      </c>
    </row>
    <row r="1315" spans="2:25" x14ac:dyDescent="0.25">
      <c r="B1315" s="74" t="s">
        <v>3803</v>
      </c>
      <c r="C1315" s="74" t="s">
        <v>6690</v>
      </c>
      <c r="D1315" t="s">
        <v>6994</v>
      </c>
      <c r="E1315" s="75" t="s">
        <v>11947</v>
      </c>
      <c r="F1315" s="75" t="s">
        <v>485</v>
      </c>
      <c r="G1315" t="s">
        <v>12186</v>
      </c>
      <c r="H1315" s="75" t="s">
        <v>11385</v>
      </c>
      <c r="I1315" s="75" t="s">
        <v>9749</v>
      </c>
      <c r="J1315" t="s">
        <v>11976</v>
      </c>
      <c r="K1315" s="75" t="s">
        <v>570</v>
      </c>
      <c r="L1315" s="75" t="s">
        <v>3704</v>
      </c>
      <c r="M1315" t="s">
        <v>4535</v>
      </c>
      <c r="N1315" s="75" t="s">
        <v>2854</v>
      </c>
      <c r="O1315" s="75" t="s">
        <v>346</v>
      </c>
      <c r="P1315" t="s">
        <v>3123</v>
      </c>
      <c r="W1315" s="74" t="s">
        <v>12131</v>
      </c>
      <c r="X1315" s="74" t="s">
        <v>2972</v>
      </c>
      <c r="Y1315" s="216" t="s">
        <v>12620</v>
      </c>
    </row>
    <row r="1316" spans="2:25" x14ac:dyDescent="0.25">
      <c r="B1316" s="75" t="s">
        <v>6881</v>
      </c>
      <c r="C1316" s="75" t="s">
        <v>5774</v>
      </c>
      <c r="D1316" t="s">
        <v>7038</v>
      </c>
      <c r="E1316" s="75" t="s">
        <v>12462</v>
      </c>
      <c r="F1316" s="290" t="s">
        <v>485</v>
      </c>
      <c r="G1316" t="s">
        <v>12610</v>
      </c>
      <c r="H1316" s="75" t="s">
        <v>11465</v>
      </c>
      <c r="I1316" s="75" t="s">
        <v>8199</v>
      </c>
      <c r="J1316" t="s">
        <v>11687</v>
      </c>
      <c r="K1316" s="75" t="s">
        <v>4277</v>
      </c>
      <c r="L1316" s="75" t="s">
        <v>389</v>
      </c>
      <c r="M1316" t="s">
        <v>4537</v>
      </c>
      <c r="N1316" s="75" t="s">
        <v>2808</v>
      </c>
      <c r="O1316" s="75" t="s">
        <v>347</v>
      </c>
      <c r="P1316" t="s">
        <v>3224</v>
      </c>
      <c r="W1316" s="75" t="s">
        <v>12529</v>
      </c>
      <c r="X1316" s="290" t="s">
        <v>350</v>
      </c>
      <c r="Y1316" t="s">
        <v>12677</v>
      </c>
    </row>
    <row r="1317" spans="2:25" x14ac:dyDescent="0.25">
      <c r="B1317" s="75" t="s">
        <v>6914</v>
      </c>
      <c r="C1317" s="75" t="s">
        <v>336</v>
      </c>
      <c r="D1317" t="s">
        <v>7121</v>
      </c>
      <c r="E1317" s="75" t="s">
        <v>12830</v>
      </c>
      <c r="F1317" s="216" t="s">
        <v>12658</v>
      </c>
      <c r="G1317" s="360" t="s">
        <v>13251</v>
      </c>
      <c r="H1317" s="75" t="s">
        <v>11947</v>
      </c>
      <c r="I1317" s="75" t="s">
        <v>485</v>
      </c>
      <c r="J1317" t="s">
        <v>12186</v>
      </c>
      <c r="K1317" s="75" t="s">
        <v>4321</v>
      </c>
      <c r="L1317" s="75" t="s">
        <v>347</v>
      </c>
      <c r="M1317" t="s">
        <v>4582</v>
      </c>
      <c r="N1317" s="75" t="s">
        <v>3044</v>
      </c>
      <c r="O1317" s="75" t="s">
        <v>445</v>
      </c>
      <c r="P1317" t="s">
        <v>3254</v>
      </c>
      <c r="W1317" s="75" t="s">
        <v>12688</v>
      </c>
      <c r="X1317" s="75" t="s">
        <v>350</v>
      </c>
      <c r="Y1317" t="s">
        <v>12715</v>
      </c>
    </row>
    <row r="1318" spans="2:25" x14ac:dyDescent="0.25">
      <c r="B1318" s="75" t="s">
        <v>7005</v>
      </c>
      <c r="C1318" s="75" t="s">
        <v>746</v>
      </c>
      <c r="D1318" t="s">
        <v>7192</v>
      </c>
      <c r="E1318" s="75" t="s">
        <v>12179</v>
      </c>
      <c r="F1318" s="75" t="s">
        <v>5101</v>
      </c>
      <c r="G1318" t="s">
        <v>12552</v>
      </c>
      <c r="H1318" s="75" t="s">
        <v>12462</v>
      </c>
      <c r="I1318" s="75" t="s">
        <v>485</v>
      </c>
      <c r="J1318" t="s">
        <v>12645</v>
      </c>
      <c r="K1318" s="75" t="s">
        <v>4475</v>
      </c>
      <c r="L1318" s="75" t="s">
        <v>11</v>
      </c>
      <c r="M1318" t="s">
        <v>4648</v>
      </c>
      <c r="N1318" s="75" t="s">
        <v>2985</v>
      </c>
      <c r="O1318" s="75" t="s">
        <v>331</v>
      </c>
      <c r="P1318" t="s">
        <v>3259</v>
      </c>
      <c r="W1318" s="75" t="s">
        <v>12544</v>
      </c>
      <c r="X1318" s="75" t="s">
        <v>12545</v>
      </c>
      <c r="Y1318" t="s">
        <v>12794</v>
      </c>
    </row>
    <row r="1319" spans="2:25" x14ac:dyDescent="0.25">
      <c r="B1319" s="75" t="s">
        <v>6989</v>
      </c>
      <c r="C1319" s="75" t="s">
        <v>745</v>
      </c>
      <c r="D1319" t="s">
        <v>7284</v>
      </c>
      <c r="E1319" s="75" t="s">
        <v>13628</v>
      </c>
      <c r="F1319" s="75" t="s">
        <v>349</v>
      </c>
      <c r="G1319" s="361" t="s">
        <v>13777</v>
      </c>
      <c r="H1319" s="75" t="s">
        <v>12830</v>
      </c>
      <c r="I1319" s="216" t="s">
        <v>12658</v>
      </c>
      <c r="J1319" t="s">
        <v>13313</v>
      </c>
      <c r="K1319" s="75" t="s">
        <v>4212</v>
      </c>
      <c r="L1319" s="75" t="s">
        <v>363</v>
      </c>
      <c r="M1319" t="s">
        <v>4649</v>
      </c>
      <c r="N1319" s="75" t="s">
        <v>2931</v>
      </c>
      <c r="O1319" s="75" t="s">
        <v>389</v>
      </c>
      <c r="P1319" t="s">
        <v>3260</v>
      </c>
      <c r="W1319" s="75" t="s">
        <v>11593</v>
      </c>
      <c r="X1319" s="75" t="s">
        <v>12545</v>
      </c>
      <c r="Y1319" t="s">
        <v>12863</v>
      </c>
    </row>
    <row r="1320" spans="2:25" x14ac:dyDescent="0.25">
      <c r="B1320" s="75" t="s">
        <v>7234</v>
      </c>
      <c r="C1320" s="75" t="s">
        <v>5773</v>
      </c>
      <c r="D1320" t="s">
        <v>7414</v>
      </c>
      <c r="E1320" s="75" t="s">
        <v>13492</v>
      </c>
      <c r="F1320" s="75" t="s">
        <v>485</v>
      </c>
      <c r="G1320" t="s">
        <v>13692</v>
      </c>
      <c r="H1320" s="75" t="s">
        <v>13492</v>
      </c>
      <c r="I1320" s="75" t="s">
        <v>485</v>
      </c>
      <c r="J1320" t="s">
        <v>13808</v>
      </c>
      <c r="K1320" s="75" t="s">
        <v>4373</v>
      </c>
      <c r="L1320" s="75" t="s">
        <v>345</v>
      </c>
      <c r="M1320" t="s">
        <v>4809</v>
      </c>
      <c r="N1320" s="75" t="s">
        <v>413</v>
      </c>
      <c r="O1320" s="75" t="s">
        <v>523</v>
      </c>
      <c r="P1320" t="s">
        <v>3272</v>
      </c>
      <c r="W1320" s="75" t="s">
        <v>12646</v>
      </c>
      <c r="X1320" s="75" t="s">
        <v>485</v>
      </c>
      <c r="Y1320" t="s">
        <v>12836</v>
      </c>
    </row>
    <row r="1321" spans="2:25" x14ac:dyDescent="0.25">
      <c r="B1321" s="75" t="s">
        <v>6986</v>
      </c>
      <c r="C1321" s="75" t="s">
        <v>461</v>
      </c>
      <c r="D1321" t="s">
        <v>7671</v>
      </c>
      <c r="E1321" s="75" t="s">
        <v>11603</v>
      </c>
      <c r="F1321" s="75" t="s">
        <v>8202</v>
      </c>
      <c r="G1321" t="s">
        <v>11981</v>
      </c>
      <c r="H1321" s="75" t="s">
        <v>15118</v>
      </c>
      <c r="I1321" s="290" t="s">
        <v>7659</v>
      </c>
      <c r="J1321" t="s">
        <v>15265</v>
      </c>
      <c r="K1321" s="75" t="s">
        <v>4453</v>
      </c>
      <c r="L1321" s="75" t="s">
        <v>3704</v>
      </c>
      <c r="M1321" t="s">
        <v>4808</v>
      </c>
      <c r="N1321" s="75" t="s">
        <v>408</v>
      </c>
      <c r="O1321" s="75" t="s">
        <v>470</v>
      </c>
      <c r="P1321" t="s">
        <v>3298</v>
      </c>
      <c r="W1321" s="75" t="s">
        <v>12864</v>
      </c>
      <c r="X1321" s="75" t="s">
        <v>6216</v>
      </c>
      <c r="Y1321" t="s">
        <v>12893</v>
      </c>
    </row>
    <row r="1322" spans="2:25" x14ac:dyDescent="0.25">
      <c r="B1322" s="75" t="s">
        <v>8132</v>
      </c>
      <c r="C1322" s="75" t="s">
        <v>538</v>
      </c>
      <c r="D1322" t="s">
        <v>8350</v>
      </c>
      <c r="K1322" s="75" t="s">
        <v>4368</v>
      </c>
      <c r="L1322" s="75" t="s">
        <v>3658</v>
      </c>
      <c r="M1322" t="s">
        <v>4787</v>
      </c>
      <c r="N1322" s="75" t="s">
        <v>3256</v>
      </c>
      <c r="O1322" s="75" t="s">
        <v>551</v>
      </c>
      <c r="P1322" t="s">
        <v>3505</v>
      </c>
      <c r="W1322" s="75" t="s">
        <v>9598</v>
      </c>
      <c r="X1322" s="75" t="s">
        <v>1510</v>
      </c>
      <c r="Y1322" t="s">
        <v>12792</v>
      </c>
    </row>
    <row r="1323" spans="2:25" x14ac:dyDescent="0.25">
      <c r="B1323" s="75" t="s">
        <v>8553</v>
      </c>
      <c r="C1323" s="75" t="s">
        <v>394</v>
      </c>
      <c r="D1323" t="s">
        <v>8651</v>
      </c>
      <c r="K1323" s="75" t="s">
        <v>4481</v>
      </c>
      <c r="L1323" s="75" t="s">
        <v>350</v>
      </c>
      <c r="M1323" t="s">
        <v>4941</v>
      </c>
      <c r="N1323" s="75" t="s">
        <v>3128</v>
      </c>
      <c r="O1323" s="75" t="s">
        <v>389</v>
      </c>
      <c r="P1323" t="s">
        <v>3702</v>
      </c>
      <c r="W1323" s="75" t="s">
        <v>11656</v>
      </c>
      <c r="X1323" s="75" t="s">
        <v>2972</v>
      </c>
      <c r="Y1323" t="s">
        <v>12676</v>
      </c>
    </row>
    <row r="1324" spans="2:25" x14ac:dyDescent="0.25">
      <c r="B1324" s="75" t="s">
        <v>9690</v>
      </c>
      <c r="C1324" s="75" t="s">
        <v>337</v>
      </c>
      <c r="D1324" t="s">
        <v>9793</v>
      </c>
      <c r="K1324" s="75" t="s">
        <v>4790</v>
      </c>
      <c r="L1324" s="75" t="s">
        <v>587</v>
      </c>
      <c r="M1324" t="s">
        <v>4944</v>
      </c>
      <c r="N1324" s="75" t="s">
        <v>3052</v>
      </c>
      <c r="O1324" s="75" t="s">
        <v>3051</v>
      </c>
      <c r="P1324" t="s">
        <v>3464</v>
      </c>
      <c r="W1324" s="75" t="s">
        <v>12877</v>
      </c>
      <c r="X1324" s="75" t="s">
        <v>1510</v>
      </c>
      <c r="Y1324" t="s">
        <v>12996</v>
      </c>
    </row>
    <row r="1325" spans="2:25" x14ac:dyDescent="0.25">
      <c r="B1325" s="75" t="s">
        <v>10524</v>
      </c>
      <c r="C1325" s="75" t="s">
        <v>8203</v>
      </c>
      <c r="D1325" t="s">
        <v>10652</v>
      </c>
      <c r="K1325" s="75" t="s">
        <v>4674</v>
      </c>
      <c r="L1325" s="75" t="s">
        <v>345</v>
      </c>
      <c r="M1325" t="s">
        <v>5000</v>
      </c>
      <c r="N1325" s="75" t="s">
        <v>2782</v>
      </c>
      <c r="O1325" s="75" t="s">
        <v>551</v>
      </c>
      <c r="P1325" t="s">
        <v>3508</v>
      </c>
      <c r="W1325" s="75" t="s">
        <v>12928</v>
      </c>
      <c r="X1325" s="75" t="s">
        <v>350</v>
      </c>
      <c r="Y1325" t="s">
        <v>13093</v>
      </c>
    </row>
    <row r="1326" spans="2:25" x14ac:dyDescent="0.25">
      <c r="B1326" s="75" t="s">
        <v>11503</v>
      </c>
      <c r="C1326" s="75" t="s">
        <v>8202</v>
      </c>
      <c r="D1326" t="s">
        <v>11604</v>
      </c>
      <c r="K1326" s="75" t="s">
        <v>4824</v>
      </c>
      <c r="L1326" s="75" t="s">
        <v>4558</v>
      </c>
      <c r="M1326" t="s">
        <v>5052</v>
      </c>
      <c r="N1326" s="75" t="s">
        <v>3333</v>
      </c>
      <c r="O1326" s="75" t="s">
        <v>1093</v>
      </c>
      <c r="P1326" t="s">
        <v>3587</v>
      </c>
      <c r="W1326" s="75" t="s">
        <v>12983</v>
      </c>
      <c r="X1326" s="75" t="s">
        <v>6216</v>
      </c>
      <c r="Y1326" t="s">
        <v>13104</v>
      </c>
    </row>
    <row r="1327" spans="2:25" x14ac:dyDescent="0.25">
      <c r="B1327" s="75" t="s">
        <v>11437</v>
      </c>
      <c r="C1327" s="75" t="s">
        <v>5706</v>
      </c>
      <c r="D1327" t="s">
        <v>11590</v>
      </c>
      <c r="K1327" s="75" t="s">
        <v>4931</v>
      </c>
      <c r="L1327" s="75" t="s">
        <v>587</v>
      </c>
      <c r="M1327" t="s">
        <v>5089</v>
      </c>
      <c r="N1327" s="75" t="s">
        <v>3264</v>
      </c>
      <c r="O1327" s="75" t="s">
        <v>362</v>
      </c>
      <c r="P1327" t="s">
        <v>3617</v>
      </c>
      <c r="W1327" s="75" t="s">
        <v>13184</v>
      </c>
      <c r="X1327" s="75" t="s">
        <v>349</v>
      </c>
      <c r="Y1327" t="s">
        <v>13264</v>
      </c>
    </row>
    <row r="1328" spans="2:25" x14ac:dyDescent="0.25">
      <c r="B1328" s="75" t="s">
        <v>11994</v>
      </c>
      <c r="C1328" s="75" t="s">
        <v>5101</v>
      </c>
      <c r="D1328" t="s">
        <v>12154</v>
      </c>
      <c r="K1328" s="75" t="s">
        <v>646</v>
      </c>
      <c r="L1328" s="75" t="s">
        <v>1661</v>
      </c>
      <c r="M1328" t="s">
        <v>5090</v>
      </c>
      <c r="N1328" s="75" t="s">
        <v>3384</v>
      </c>
      <c r="O1328" s="75" t="s">
        <v>485</v>
      </c>
      <c r="P1328" t="s">
        <v>3619</v>
      </c>
      <c r="W1328" s="75" t="s">
        <v>8616</v>
      </c>
      <c r="X1328" s="216" t="s">
        <v>349</v>
      </c>
      <c r="Y1328" t="s">
        <v>13314</v>
      </c>
    </row>
    <row r="1329" spans="2:25" x14ac:dyDescent="0.25">
      <c r="B1329" s="75" t="s">
        <v>12629</v>
      </c>
      <c r="C1329" s="216" t="s">
        <v>12658</v>
      </c>
      <c r="D1329" t="s">
        <v>12831</v>
      </c>
      <c r="K1329" s="75" t="s">
        <v>4825</v>
      </c>
      <c r="L1329" s="75" t="s">
        <v>5057</v>
      </c>
      <c r="M1329" t="s">
        <v>5147</v>
      </c>
      <c r="N1329" s="75" t="s">
        <v>3269</v>
      </c>
      <c r="O1329" s="75" t="s">
        <v>523</v>
      </c>
      <c r="P1329" t="s">
        <v>3620</v>
      </c>
      <c r="W1329" s="75" t="s">
        <v>13043</v>
      </c>
      <c r="X1329" s="75" t="s">
        <v>350</v>
      </c>
      <c r="Y1329" t="s">
        <v>13267</v>
      </c>
    </row>
    <row r="1330" spans="2:25" x14ac:dyDescent="0.25">
      <c r="B1330" s="75" t="s">
        <v>12402</v>
      </c>
      <c r="C1330" s="75" t="s">
        <v>485</v>
      </c>
      <c r="D1330" t="s">
        <v>12463</v>
      </c>
      <c r="K1330" s="75" t="s">
        <v>646</v>
      </c>
      <c r="L1330" s="75" t="s">
        <v>745</v>
      </c>
      <c r="M1330" t="s">
        <v>5147</v>
      </c>
      <c r="N1330" s="75" t="s">
        <v>3330</v>
      </c>
      <c r="O1330" s="75" t="s">
        <v>345</v>
      </c>
      <c r="P1330" t="s">
        <v>3760</v>
      </c>
      <c r="W1330" s="75" t="s">
        <v>13397</v>
      </c>
      <c r="X1330" s="75" t="s">
        <v>12659</v>
      </c>
      <c r="Y1330" t="s">
        <v>13543</v>
      </c>
    </row>
    <row r="1331" spans="2:25" x14ac:dyDescent="0.25">
      <c r="B1331" s="75" t="s">
        <v>13468</v>
      </c>
      <c r="C1331" s="75" t="s">
        <v>349</v>
      </c>
      <c r="D1331" t="s">
        <v>13629</v>
      </c>
      <c r="K1331" s="75" t="s">
        <v>5077</v>
      </c>
      <c r="L1331" s="75" t="s">
        <v>5101</v>
      </c>
      <c r="M1331" t="s">
        <v>5203</v>
      </c>
      <c r="N1331" s="75" t="s">
        <v>3380</v>
      </c>
      <c r="O1331" s="75" t="s">
        <v>597</v>
      </c>
      <c r="P1331" t="s">
        <v>3786</v>
      </c>
      <c r="W1331" s="75" t="s">
        <v>13780</v>
      </c>
      <c r="X1331" s="84" t="s">
        <v>349</v>
      </c>
      <c r="Y1331" t="s">
        <v>13872</v>
      </c>
    </row>
    <row r="1332" spans="2:25" x14ac:dyDescent="0.25">
      <c r="B1332" s="75" t="s">
        <v>14848</v>
      </c>
      <c r="C1332" s="75" t="s">
        <v>11</v>
      </c>
      <c r="D1332" t="s">
        <v>15001</v>
      </c>
      <c r="K1332" s="75" t="s">
        <v>4873</v>
      </c>
      <c r="L1332" s="75" t="s">
        <v>2459</v>
      </c>
      <c r="M1332" t="s">
        <v>5220</v>
      </c>
      <c r="N1332" s="75" t="s">
        <v>3189</v>
      </c>
      <c r="O1332" s="75" t="s">
        <v>479</v>
      </c>
      <c r="P1332" t="s">
        <v>3839</v>
      </c>
      <c r="W1332" s="75" t="s">
        <v>13411</v>
      </c>
      <c r="X1332" s="75" t="s">
        <v>13105</v>
      </c>
      <c r="Y1332" t="s">
        <v>13542</v>
      </c>
    </row>
    <row r="1333" spans="2:25" x14ac:dyDescent="0.25">
      <c r="B1333" s="75" t="s">
        <v>13324</v>
      </c>
      <c r="C1333" s="75" t="s">
        <v>485</v>
      </c>
      <c r="D1333" t="s">
        <v>13491</v>
      </c>
      <c r="K1333" s="75" t="s">
        <v>5126</v>
      </c>
      <c r="L1333" s="75" t="s">
        <v>4558</v>
      </c>
      <c r="M1333" t="s">
        <v>5264</v>
      </c>
      <c r="N1333" s="75" t="s">
        <v>1129</v>
      </c>
      <c r="O1333" s="75" t="s">
        <v>1023</v>
      </c>
      <c r="P1333" t="s">
        <v>9804</v>
      </c>
      <c r="W1333" s="75" t="s">
        <v>10992</v>
      </c>
      <c r="X1333" s="75" t="s">
        <v>349</v>
      </c>
      <c r="Y1333" t="s">
        <v>14031</v>
      </c>
    </row>
    <row r="1334" spans="2:25" x14ac:dyDescent="0.25">
      <c r="B1334" s="75" t="s">
        <v>15021</v>
      </c>
      <c r="C1334" s="75" t="s">
        <v>7659</v>
      </c>
      <c r="D1334" t="s">
        <v>15117</v>
      </c>
      <c r="K1334" s="75" t="s">
        <v>4275</v>
      </c>
      <c r="L1334" s="75" t="s">
        <v>945</v>
      </c>
      <c r="M1334" t="s">
        <v>5302</v>
      </c>
      <c r="N1334" s="75" t="s">
        <v>410</v>
      </c>
      <c r="O1334" s="75" t="s">
        <v>458</v>
      </c>
      <c r="P1334" t="s">
        <v>3859</v>
      </c>
      <c r="W1334" s="75" t="s">
        <v>14017</v>
      </c>
      <c r="X1334" s="75" t="s">
        <v>14018</v>
      </c>
      <c r="Y1334" t="s">
        <v>14286</v>
      </c>
    </row>
    <row r="1335" spans="2:25" x14ac:dyDescent="0.25">
      <c r="K1335" s="75" t="s">
        <v>5098</v>
      </c>
      <c r="L1335" s="75" t="s">
        <v>1899</v>
      </c>
      <c r="M1335" t="s">
        <v>5331</v>
      </c>
      <c r="N1335" s="75" t="s">
        <v>3801</v>
      </c>
      <c r="O1335" s="75" t="s">
        <v>347</v>
      </c>
      <c r="P1335" t="s">
        <v>3873</v>
      </c>
      <c r="W1335" s="75" t="s">
        <v>14310</v>
      </c>
      <c r="X1335" s="75" t="s">
        <v>6216</v>
      </c>
      <c r="Y1335" t="s">
        <v>14321</v>
      </c>
    </row>
    <row r="1336" spans="2:25" x14ac:dyDescent="0.25">
      <c r="K1336" s="75" t="s">
        <v>5240</v>
      </c>
      <c r="L1336" s="75" t="s">
        <v>2459</v>
      </c>
      <c r="M1336" t="s">
        <v>5346</v>
      </c>
      <c r="N1336" s="75" t="s">
        <v>3163</v>
      </c>
      <c r="O1336" s="75" t="s">
        <v>346</v>
      </c>
      <c r="P1336" t="s">
        <v>3883</v>
      </c>
      <c r="W1336" s="74" t="s">
        <v>14085</v>
      </c>
      <c r="X1336" s="74" t="s">
        <v>11</v>
      </c>
      <c r="Y1336" t="s">
        <v>14318</v>
      </c>
    </row>
    <row r="1337" spans="2:25" x14ac:dyDescent="0.25">
      <c r="K1337" s="75" t="s">
        <v>5053</v>
      </c>
      <c r="L1337" s="75" t="s">
        <v>3812</v>
      </c>
      <c r="M1337" t="s">
        <v>5351</v>
      </c>
      <c r="N1337" s="75" t="s">
        <v>558</v>
      </c>
      <c r="O1337" s="75" t="s">
        <v>1093</v>
      </c>
      <c r="P1337" t="s">
        <v>3929</v>
      </c>
      <c r="W1337" s="75" t="s">
        <v>14322</v>
      </c>
      <c r="X1337" s="75" t="s">
        <v>6216</v>
      </c>
      <c r="Y1337" t="s">
        <v>14407</v>
      </c>
    </row>
    <row r="1338" spans="2:25" x14ac:dyDescent="0.25">
      <c r="K1338" s="75" t="s">
        <v>4955</v>
      </c>
      <c r="L1338" s="75" t="s">
        <v>347</v>
      </c>
      <c r="M1338" t="s">
        <v>5354</v>
      </c>
      <c r="N1338" s="75" t="s">
        <v>3720</v>
      </c>
      <c r="O1338" s="75" t="s">
        <v>636</v>
      </c>
      <c r="P1338" t="s">
        <v>3951</v>
      </c>
      <c r="W1338" s="75" t="s">
        <v>13100</v>
      </c>
      <c r="X1338" s="75" t="s">
        <v>350</v>
      </c>
      <c r="Y1338" t="s">
        <v>13142</v>
      </c>
    </row>
    <row r="1339" spans="2:25" x14ac:dyDescent="0.25">
      <c r="K1339" s="75" t="s">
        <v>277</v>
      </c>
      <c r="L1339" s="75" t="s">
        <v>4558</v>
      </c>
      <c r="M1339" t="s">
        <v>5372</v>
      </c>
      <c r="N1339" s="75" t="s">
        <v>3616</v>
      </c>
      <c r="O1339" s="75" t="s">
        <v>2532</v>
      </c>
      <c r="P1339" t="s">
        <v>3963</v>
      </c>
      <c r="W1339" s="75" t="s">
        <v>13007</v>
      </c>
      <c r="X1339" s="75" t="s">
        <v>12659</v>
      </c>
      <c r="Y1339" t="s">
        <v>13127</v>
      </c>
    </row>
    <row r="1340" spans="2:25" x14ac:dyDescent="0.25">
      <c r="K1340" s="75" t="s">
        <v>5161</v>
      </c>
      <c r="L1340" s="75" t="s">
        <v>746</v>
      </c>
      <c r="M1340" t="s">
        <v>5422</v>
      </c>
      <c r="N1340" s="75" t="s">
        <v>3800</v>
      </c>
      <c r="O1340" s="75" t="s">
        <v>3020</v>
      </c>
      <c r="P1340" t="s">
        <v>3994</v>
      </c>
      <c r="W1340" s="75" t="s">
        <v>14551</v>
      </c>
      <c r="X1340" s="75" t="s">
        <v>349</v>
      </c>
      <c r="Y1340" t="s">
        <v>14604</v>
      </c>
    </row>
    <row r="1341" spans="2:25" x14ac:dyDescent="0.25">
      <c r="K1341" s="75" t="s">
        <v>285</v>
      </c>
      <c r="L1341" s="75" t="s">
        <v>75</v>
      </c>
      <c r="M1341" t="s">
        <v>5518</v>
      </c>
      <c r="N1341" s="75" t="s">
        <v>3866</v>
      </c>
      <c r="O1341" s="75" t="s">
        <v>365</v>
      </c>
      <c r="P1341" t="s">
        <v>4031</v>
      </c>
      <c r="W1341" s="75" t="s">
        <v>14605</v>
      </c>
      <c r="X1341" s="75" t="s">
        <v>349</v>
      </c>
      <c r="Y1341" t="s">
        <v>14732</v>
      </c>
    </row>
    <row r="1342" spans="2:25" x14ac:dyDescent="0.25">
      <c r="K1342" s="75" t="s">
        <v>5386</v>
      </c>
      <c r="L1342" s="75" t="s">
        <v>4040</v>
      </c>
      <c r="M1342" t="s">
        <v>5568</v>
      </c>
      <c r="N1342" s="75" t="s">
        <v>3872</v>
      </c>
      <c r="O1342" s="75" t="s">
        <v>3974</v>
      </c>
      <c r="P1342" t="s">
        <v>4121</v>
      </c>
      <c r="W1342" s="75" t="s">
        <v>14487</v>
      </c>
      <c r="X1342" s="75" t="s">
        <v>6621</v>
      </c>
      <c r="Y1342" t="s">
        <v>14634</v>
      </c>
    </row>
    <row r="1343" spans="2:25" x14ac:dyDescent="0.25">
      <c r="K1343" s="75" t="s">
        <v>5121</v>
      </c>
      <c r="L1343" s="75" t="s">
        <v>461</v>
      </c>
      <c r="M1343" t="s">
        <v>5617</v>
      </c>
      <c r="N1343" s="75" t="s">
        <v>3952</v>
      </c>
      <c r="O1343" s="75" t="s">
        <v>390</v>
      </c>
      <c r="P1343" t="s">
        <v>4125</v>
      </c>
      <c r="W1343" s="75" t="s">
        <v>12405</v>
      </c>
      <c r="X1343" s="75" t="s">
        <v>1510</v>
      </c>
      <c r="Y1343" t="s">
        <v>12575</v>
      </c>
    </row>
    <row r="1344" spans="2:25" x14ac:dyDescent="0.25">
      <c r="K1344" s="75" t="s">
        <v>5334</v>
      </c>
      <c r="L1344" s="75" t="s">
        <v>1899</v>
      </c>
      <c r="M1344" t="s">
        <v>5637</v>
      </c>
      <c r="N1344" s="75" t="s">
        <v>3957</v>
      </c>
      <c r="O1344" s="75" t="s">
        <v>345</v>
      </c>
      <c r="P1344" t="s">
        <v>4137</v>
      </c>
      <c r="W1344" s="75" t="s">
        <v>11799</v>
      </c>
      <c r="X1344" s="75" t="s">
        <v>14902</v>
      </c>
      <c r="Y1344" t="s">
        <v>14905</v>
      </c>
    </row>
    <row r="1345" spans="11:25" x14ac:dyDescent="0.25">
      <c r="K1345" s="75" t="s">
        <v>5396</v>
      </c>
      <c r="L1345" s="75" t="s">
        <v>1510</v>
      </c>
      <c r="M1345" t="s">
        <v>5670</v>
      </c>
      <c r="N1345" s="75" t="s">
        <v>3988</v>
      </c>
      <c r="O1345" s="75" t="s">
        <v>518</v>
      </c>
      <c r="P1345" t="s">
        <v>4128</v>
      </c>
      <c r="W1345" s="75" t="s">
        <v>14810</v>
      </c>
      <c r="X1345" s="75" t="s">
        <v>349</v>
      </c>
      <c r="Y1345" t="s">
        <v>14981</v>
      </c>
    </row>
    <row r="1346" spans="11:25" x14ac:dyDescent="0.25">
      <c r="K1346" s="75" t="s">
        <v>5016</v>
      </c>
      <c r="L1346" s="75" t="s">
        <v>742</v>
      </c>
      <c r="M1346" t="s">
        <v>5676</v>
      </c>
      <c r="N1346" s="75" t="s">
        <v>3972</v>
      </c>
      <c r="O1346" s="75" t="s">
        <v>364</v>
      </c>
      <c r="P1346" t="s">
        <v>4139</v>
      </c>
      <c r="W1346" s="75" t="s">
        <v>14447</v>
      </c>
      <c r="X1346" s="75" t="s">
        <v>14448</v>
      </c>
      <c r="Y1346" t="s">
        <v>14995</v>
      </c>
    </row>
    <row r="1347" spans="11:25" x14ac:dyDescent="0.25">
      <c r="K1347" s="75" t="s">
        <v>4921</v>
      </c>
      <c r="L1347" s="75" t="s">
        <v>5636</v>
      </c>
      <c r="M1347" t="s">
        <v>5687</v>
      </c>
      <c r="N1347" s="75" t="s">
        <v>3985</v>
      </c>
      <c r="O1347" s="75" t="s">
        <v>562</v>
      </c>
      <c r="P1347" t="s">
        <v>4193</v>
      </c>
      <c r="W1347" s="75" t="s">
        <v>12130</v>
      </c>
      <c r="X1347" s="75" t="s">
        <v>344</v>
      </c>
      <c r="Y1347" t="s">
        <v>12304</v>
      </c>
    </row>
    <row r="1348" spans="11:25" x14ac:dyDescent="0.25">
      <c r="K1348" s="75" t="s">
        <v>4873</v>
      </c>
      <c r="L1348" s="75" t="s">
        <v>4040</v>
      </c>
      <c r="M1348" t="s">
        <v>5688</v>
      </c>
      <c r="N1348" s="75" t="s">
        <v>3956</v>
      </c>
      <c r="O1348" s="75" t="s">
        <v>3704</v>
      </c>
      <c r="P1348" t="s">
        <v>4196</v>
      </c>
      <c r="W1348" s="74" t="s">
        <v>11798</v>
      </c>
      <c r="X1348" s="74" t="s">
        <v>9352</v>
      </c>
      <c r="Y1348" t="s">
        <v>11814</v>
      </c>
    </row>
    <row r="1349" spans="11:25" x14ac:dyDescent="0.25">
      <c r="K1349" s="75" t="s">
        <v>2799</v>
      </c>
      <c r="L1349" s="75" t="s">
        <v>5763</v>
      </c>
      <c r="M1349" t="s">
        <v>5793</v>
      </c>
      <c r="N1349" s="75" t="s">
        <v>3991</v>
      </c>
      <c r="O1349" s="75" t="s">
        <v>587</v>
      </c>
      <c r="P1349" t="s">
        <v>4266</v>
      </c>
      <c r="W1349" s="75" t="s">
        <v>11596</v>
      </c>
      <c r="X1349" s="75" t="s">
        <v>350</v>
      </c>
      <c r="Y1349" t="s">
        <v>12157</v>
      </c>
    </row>
    <row r="1350" spans="11:25" x14ac:dyDescent="0.25">
      <c r="K1350" s="75" t="s">
        <v>5685</v>
      </c>
      <c r="L1350" s="75" t="s">
        <v>336</v>
      </c>
      <c r="M1350" t="s">
        <v>5843</v>
      </c>
      <c r="N1350" s="75" t="s">
        <v>4130</v>
      </c>
      <c r="O1350" s="75" t="s">
        <v>945</v>
      </c>
      <c r="P1350" t="s">
        <v>4267</v>
      </c>
      <c r="W1350" s="75" t="s">
        <v>11688</v>
      </c>
      <c r="X1350" s="75" t="s">
        <v>12063</v>
      </c>
      <c r="Y1350" t="s">
        <v>11820</v>
      </c>
    </row>
    <row r="1351" spans="11:25" x14ac:dyDescent="0.25">
      <c r="K1351" s="75" t="s">
        <v>5633</v>
      </c>
      <c r="L1351" s="75" t="s">
        <v>1899</v>
      </c>
      <c r="M1351" t="s">
        <v>5856</v>
      </c>
      <c r="N1351" s="389" t="s">
        <v>4134</v>
      </c>
      <c r="O1351" s="389" t="s">
        <v>350</v>
      </c>
      <c r="P1351" s="19" t="s">
        <v>4268</v>
      </c>
      <c r="W1351" s="75" t="s">
        <v>14833</v>
      </c>
      <c r="X1351" s="75" t="s">
        <v>13493</v>
      </c>
      <c r="Y1351" t="s">
        <v>15397</v>
      </c>
    </row>
    <row r="1352" spans="11:25" x14ac:dyDescent="0.25">
      <c r="K1352" s="75" t="s">
        <v>5766</v>
      </c>
      <c r="L1352" s="75" t="s">
        <v>389</v>
      </c>
      <c r="M1352" t="s">
        <v>5871</v>
      </c>
      <c r="N1352" s="75" t="s">
        <v>3623</v>
      </c>
      <c r="O1352" s="75" t="s">
        <v>460</v>
      </c>
      <c r="P1352" t="s">
        <v>4337</v>
      </c>
    </row>
    <row r="1353" spans="11:25" x14ac:dyDescent="0.25">
      <c r="K1353" s="75" t="s">
        <v>5865</v>
      </c>
      <c r="L1353" s="75" t="s">
        <v>4260</v>
      </c>
      <c r="M1353" t="s">
        <v>5907</v>
      </c>
      <c r="N1353" s="75" t="s">
        <v>4118</v>
      </c>
      <c r="O1353" s="75" t="s">
        <v>3020</v>
      </c>
      <c r="P1353" t="s">
        <v>4339</v>
      </c>
    </row>
    <row r="1354" spans="11:25" x14ac:dyDescent="0.25">
      <c r="K1354" s="75" t="s">
        <v>5928</v>
      </c>
      <c r="L1354" s="75" t="s">
        <v>4260</v>
      </c>
      <c r="M1354" t="s">
        <v>5998</v>
      </c>
      <c r="N1354" s="75" t="s">
        <v>4141</v>
      </c>
      <c r="O1354" s="75" t="s">
        <v>390</v>
      </c>
      <c r="P1354" t="s">
        <v>4362</v>
      </c>
    </row>
    <row r="1355" spans="11:25" x14ac:dyDescent="0.25">
      <c r="K1355" s="75" t="s">
        <v>5870</v>
      </c>
      <c r="L1355" s="75" t="s">
        <v>336</v>
      </c>
      <c r="M1355" t="s">
        <v>5999</v>
      </c>
      <c r="N1355" s="75" t="s">
        <v>4058</v>
      </c>
      <c r="O1355" s="75" t="s">
        <v>4057</v>
      </c>
      <c r="P1355" t="s">
        <v>4436</v>
      </c>
    </row>
    <row r="1356" spans="11:25" x14ac:dyDescent="0.25">
      <c r="K1356" s="75" t="s">
        <v>6040</v>
      </c>
      <c r="L1356" s="75" t="s">
        <v>460</v>
      </c>
      <c r="M1356" t="s">
        <v>6095</v>
      </c>
      <c r="N1356" s="75" t="s">
        <v>4179</v>
      </c>
      <c r="O1356" s="75" t="s">
        <v>4180</v>
      </c>
      <c r="P1356" t="s">
        <v>4437</v>
      </c>
    </row>
    <row r="1357" spans="11:25" x14ac:dyDescent="0.25">
      <c r="K1357" s="74" t="s">
        <v>5914</v>
      </c>
      <c r="L1357" s="74" t="s">
        <v>389</v>
      </c>
      <c r="M1357" t="s">
        <v>5938</v>
      </c>
      <c r="N1357" s="75" t="s">
        <v>1712</v>
      </c>
      <c r="O1357" s="75" t="s">
        <v>518</v>
      </c>
      <c r="P1357" t="s">
        <v>4449</v>
      </c>
    </row>
    <row r="1358" spans="11:25" x14ac:dyDescent="0.25">
      <c r="K1358" s="75" t="s">
        <v>5752</v>
      </c>
      <c r="L1358" s="75" t="s">
        <v>362</v>
      </c>
      <c r="M1358" t="s">
        <v>6145</v>
      </c>
      <c r="N1358" s="75" t="s">
        <v>1764</v>
      </c>
      <c r="O1358" s="75" t="s">
        <v>562</v>
      </c>
      <c r="P1358" t="s">
        <v>4450</v>
      </c>
    </row>
    <row r="1359" spans="11:25" x14ac:dyDescent="0.25">
      <c r="K1359" s="74" t="s">
        <v>6047</v>
      </c>
      <c r="L1359" s="74" t="s">
        <v>5777</v>
      </c>
      <c r="M1359" t="s">
        <v>6192</v>
      </c>
      <c r="N1359" s="389" t="s">
        <v>4302</v>
      </c>
      <c r="O1359" s="389" t="s">
        <v>350</v>
      </c>
      <c r="P1359" s="19" t="s">
        <v>4527</v>
      </c>
    </row>
    <row r="1360" spans="11:25" x14ac:dyDescent="0.25">
      <c r="K1360" s="75" t="s">
        <v>5864</v>
      </c>
      <c r="L1360" s="75" t="s">
        <v>1899</v>
      </c>
      <c r="M1360" t="s">
        <v>6232</v>
      </c>
      <c r="N1360" s="75" t="s">
        <v>4308</v>
      </c>
      <c r="O1360" s="75" t="s">
        <v>4309</v>
      </c>
      <c r="P1360" t="s">
        <v>4538</v>
      </c>
    </row>
    <row r="1361" spans="11:16" x14ac:dyDescent="0.25">
      <c r="K1361" s="75" t="s">
        <v>5897</v>
      </c>
      <c r="L1361" s="75" t="s">
        <v>362</v>
      </c>
      <c r="M1361" t="s">
        <v>6251</v>
      </c>
      <c r="N1361" s="75" t="s">
        <v>3257</v>
      </c>
      <c r="O1361" s="75" t="s">
        <v>744</v>
      </c>
      <c r="P1361" t="s">
        <v>4584</v>
      </c>
    </row>
    <row r="1362" spans="11:16" x14ac:dyDescent="0.25">
      <c r="K1362" s="74" t="s">
        <v>6111</v>
      </c>
      <c r="L1362" s="74" t="s">
        <v>460</v>
      </c>
      <c r="M1362" t="s">
        <v>6357</v>
      </c>
      <c r="N1362" s="75" t="s">
        <v>4367</v>
      </c>
      <c r="O1362" s="75" t="s">
        <v>390</v>
      </c>
      <c r="P1362" t="s">
        <v>4610</v>
      </c>
    </row>
    <row r="1363" spans="11:16" x14ac:dyDescent="0.25">
      <c r="K1363" s="75" t="s">
        <v>6088</v>
      </c>
      <c r="L1363" s="75" t="s">
        <v>5057</v>
      </c>
      <c r="M1363" t="s">
        <v>6372</v>
      </c>
      <c r="N1363" s="75" t="s">
        <v>4432</v>
      </c>
      <c r="O1363" s="75" t="s">
        <v>3020</v>
      </c>
      <c r="P1363" t="s">
        <v>4611</v>
      </c>
    </row>
    <row r="1364" spans="11:16" x14ac:dyDescent="0.25">
      <c r="K1364" s="75" t="s">
        <v>5462</v>
      </c>
      <c r="L1364" s="75" t="s">
        <v>389</v>
      </c>
      <c r="M1364" t="s">
        <v>6383</v>
      </c>
      <c r="N1364" s="75" t="s">
        <v>4433</v>
      </c>
      <c r="O1364" s="75" t="s">
        <v>4122</v>
      </c>
      <c r="P1364" t="s">
        <v>4661</v>
      </c>
    </row>
    <row r="1365" spans="11:16" x14ac:dyDescent="0.25">
      <c r="K1365" s="75" t="s">
        <v>6250</v>
      </c>
      <c r="L1365" s="75" t="s">
        <v>5779</v>
      </c>
      <c r="M1365" t="s">
        <v>6390</v>
      </c>
      <c r="N1365" s="75" t="s">
        <v>2594</v>
      </c>
      <c r="O1365" s="75" t="s">
        <v>2795</v>
      </c>
      <c r="P1365" t="s">
        <v>4702</v>
      </c>
    </row>
    <row r="1366" spans="11:16" x14ac:dyDescent="0.25">
      <c r="K1366" s="74" t="s">
        <v>1084</v>
      </c>
      <c r="L1366" s="74" t="s">
        <v>460</v>
      </c>
      <c r="M1366" t="s">
        <v>6391</v>
      </c>
      <c r="N1366" s="75" t="s">
        <v>4583</v>
      </c>
      <c r="O1366" s="75" t="s">
        <v>11</v>
      </c>
      <c r="P1366" t="s">
        <v>4725</v>
      </c>
    </row>
    <row r="1367" spans="11:16" x14ac:dyDescent="0.25">
      <c r="K1367" s="75" t="s">
        <v>5915</v>
      </c>
      <c r="L1367" s="75" t="s">
        <v>5057</v>
      </c>
      <c r="M1367" t="s">
        <v>6421</v>
      </c>
      <c r="N1367" s="75" t="s">
        <v>4474</v>
      </c>
      <c r="O1367" s="75" t="s">
        <v>336</v>
      </c>
      <c r="P1367" t="s">
        <v>4727</v>
      </c>
    </row>
    <row r="1368" spans="11:16" x14ac:dyDescent="0.25">
      <c r="K1368" s="75" t="s">
        <v>6193</v>
      </c>
      <c r="L1368" s="75" t="s">
        <v>5777</v>
      </c>
      <c r="M1368" t="s">
        <v>6491</v>
      </c>
      <c r="N1368" s="75" t="s">
        <v>4733</v>
      </c>
      <c r="O1368" s="75" t="s">
        <v>587</v>
      </c>
      <c r="P1368" t="s">
        <v>4788</v>
      </c>
    </row>
    <row r="1369" spans="11:16" x14ac:dyDescent="0.25">
      <c r="K1369" s="75" t="s">
        <v>6392</v>
      </c>
      <c r="L1369" s="75" t="s">
        <v>460</v>
      </c>
      <c r="M1369" t="s">
        <v>6551</v>
      </c>
      <c r="N1369" s="75" t="s">
        <v>556</v>
      </c>
      <c r="O1369" s="75" t="s">
        <v>347</v>
      </c>
      <c r="P1369" t="s">
        <v>4811</v>
      </c>
    </row>
    <row r="1370" spans="11:16" x14ac:dyDescent="0.25">
      <c r="K1370" s="75" t="s">
        <v>6435</v>
      </c>
      <c r="L1370" s="75" t="s">
        <v>5057</v>
      </c>
      <c r="M1370" t="s">
        <v>6560</v>
      </c>
      <c r="N1370" s="75" t="s">
        <v>593</v>
      </c>
      <c r="O1370" s="75" t="s">
        <v>345</v>
      </c>
      <c r="P1370" t="s">
        <v>4810</v>
      </c>
    </row>
    <row r="1371" spans="11:16" x14ac:dyDescent="0.25">
      <c r="K1371" s="75" t="s">
        <v>6514</v>
      </c>
      <c r="L1371" s="75" t="s">
        <v>363</v>
      </c>
      <c r="M1371" t="s">
        <v>6570</v>
      </c>
      <c r="N1371" s="75" t="s">
        <v>4768</v>
      </c>
      <c r="O1371" s="75" t="s">
        <v>9</v>
      </c>
      <c r="P1371" t="s">
        <v>4827</v>
      </c>
    </row>
    <row r="1372" spans="11:16" x14ac:dyDescent="0.25">
      <c r="K1372" s="75" t="s">
        <v>6356</v>
      </c>
      <c r="L1372" s="75" t="s">
        <v>336</v>
      </c>
      <c r="M1372" t="s">
        <v>6572</v>
      </c>
      <c r="N1372" s="75" t="s">
        <v>4791</v>
      </c>
      <c r="O1372" s="75" t="s">
        <v>350</v>
      </c>
      <c r="P1372" t="s">
        <v>4872</v>
      </c>
    </row>
    <row r="1373" spans="11:16" x14ac:dyDescent="0.25">
      <c r="K1373" s="75" t="s">
        <v>6445</v>
      </c>
      <c r="L1373" s="75" t="s">
        <v>389</v>
      </c>
      <c r="M1373" t="s">
        <v>6578</v>
      </c>
      <c r="N1373" s="75" t="s">
        <v>4754</v>
      </c>
      <c r="O1373" s="75" t="s">
        <v>390</v>
      </c>
      <c r="P1373" t="s">
        <v>4871</v>
      </c>
    </row>
    <row r="1374" spans="11:16" x14ac:dyDescent="0.25">
      <c r="K1374" s="74" t="s">
        <v>6573</v>
      </c>
      <c r="L1374" s="74" t="s">
        <v>363</v>
      </c>
      <c r="M1374" t="s">
        <v>6605</v>
      </c>
      <c r="N1374" s="75" t="s">
        <v>673</v>
      </c>
      <c r="O1374" s="75" t="s">
        <v>347</v>
      </c>
      <c r="P1374" t="s">
        <v>4999</v>
      </c>
    </row>
    <row r="1375" spans="11:16" x14ac:dyDescent="0.25">
      <c r="K1375" s="74" t="s">
        <v>5915</v>
      </c>
      <c r="L1375" s="74" t="s">
        <v>5057</v>
      </c>
      <c r="M1375" t="s">
        <v>6625</v>
      </c>
      <c r="N1375" s="75" t="s">
        <v>4852</v>
      </c>
      <c r="O1375" s="75" t="s">
        <v>744</v>
      </c>
      <c r="P1375" t="s">
        <v>5024</v>
      </c>
    </row>
    <row r="1376" spans="11:16" x14ac:dyDescent="0.25">
      <c r="K1376" s="75" t="s">
        <v>4409</v>
      </c>
      <c r="L1376" s="75" t="s">
        <v>1899</v>
      </c>
      <c r="M1376" t="s">
        <v>6619</v>
      </c>
      <c r="N1376" s="75" t="s">
        <v>3923</v>
      </c>
      <c r="O1376" s="75" t="s">
        <v>364</v>
      </c>
      <c r="P1376" t="s">
        <v>5071</v>
      </c>
    </row>
    <row r="1377" spans="11:16" x14ac:dyDescent="0.25">
      <c r="K1377" s="75" t="s">
        <v>6538</v>
      </c>
      <c r="L1377" s="75" t="s">
        <v>362</v>
      </c>
      <c r="M1377" t="s">
        <v>6664</v>
      </c>
      <c r="N1377" s="75" t="s">
        <v>406</v>
      </c>
      <c r="O1377" s="75" t="s">
        <v>345</v>
      </c>
      <c r="P1377" t="s">
        <v>5091</v>
      </c>
    </row>
    <row r="1378" spans="11:16" x14ac:dyDescent="0.25">
      <c r="K1378" s="75" t="s">
        <v>6194</v>
      </c>
      <c r="L1378" s="75" t="s">
        <v>4260</v>
      </c>
      <c r="M1378" t="s">
        <v>6676</v>
      </c>
      <c r="N1378" s="75" t="s">
        <v>5001</v>
      </c>
      <c r="O1378" s="75" t="s">
        <v>336</v>
      </c>
      <c r="P1378" t="s">
        <v>5174</v>
      </c>
    </row>
    <row r="1379" spans="11:16" x14ac:dyDescent="0.25">
      <c r="K1379" s="75" t="s">
        <v>4873</v>
      </c>
      <c r="L1379" s="75" t="s">
        <v>5777</v>
      </c>
      <c r="M1379" t="s">
        <v>6691</v>
      </c>
      <c r="N1379" s="75" t="s">
        <v>581</v>
      </c>
      <c r="O1379" s="75" t="s">
        <v>4558</v>
      </c>
      <c r="P1379" t="s">
        <v>5182</v>
      </c>
    </row>
    <row r="1380" spans="11:16" x14ac:dyDescent="0.25">
      <c r="K1380" s="75" t="s">
        <v>6439</v>
      </c>
      <c r="L1380" s="75" t="s">
        <v>337</v>
      </c>
      <c r="M1380" t="s">
        <v>6721</v>
      </c>
      <c r="N1380" s="75" t="s">
        <v>282</v>
      </c>
      <c r="O1380" s="75" t="s">
        <v>746</v>
      </c>
      <c r="P1380" t="s">
        <v>5202</v>
      </c>
    </row>
    <row r="1381" spans="11:16" x14ac:dyDescent="0.25">
      <c r="K1381" s="74" t="s">
        <v>6638</v>
      </c>
      <c r="L1381" s="74" t="s">
        <v>5101</v>
      </c>
      <c r="M1381" t="s">
        <v>6734</v>
      </c>
      <c r="N1381" s="75" t="s">
        <v>5033</v>
      </c>
      <c r="O1381" s="75" t="s">
        <v>350</v>
      </c>
      <c r="P1381" t="s">
        <v>5235</v>
      </c>
    </row>
    <row r="1382" spans="11:16" x14ac:dyDescent="0.25">
      <c r="K1382" s="75" t="s">
        <v>6733</v>
      </c>
      <c r="L1382" s="75" t="s">
        <v>348</v>
      </c>
      <c r="M1382" t="s">
        <v>6747</v>
      </c>
      <c r="N1382" s="75" t="s">
        <v>5056</v>
      </c>
      <c r="O1382" s="75" t="s">
        <v>445</v>
      </c>
      <c r="P1382" t="s">
        <v>5263</v>
      </c>
    </row>
    <row r="1383" spans="11:16" x14ac:dyDescent="0.25">
      <c r="K1383" s="74" t="s">
        <v>6624</v>
      </c>
      <c r="L1383" s="74" t="s">
        <v>1899</v>
      </c>
      <c r="M1383" t="s">
        <v>6759</v>
      </c>
      <c r="N1383" s="75" t="s">
        <v>5160</v>
      </c>
      <c r="O1383" s="75" t="s">
        <v>389</v>
      </c>
      <c r="P1383" t="s">
        <v>5332</v>
      </c>
    </row>
    <row r="1384" spans="11:16" x14ac:dyDescent="0.25">
      <c r="K1384" s="75" t="s">
        <v>6596</v>
      </c>
      <c r="L1384" s="75" t="s">
        <v>461</v>
      </c>
      <c r="M1384" t="s">
        <v>6758</v>
      </c>
      <c r="N1384" s="75" t="s">
        <v>5326</v>
      </c>
      <c r="O1384" s="75" t="s">
        <v>390</v>
      </c>
      <c r="P1384" t="s">
        <v>5381</v>
      </c>
    </row>
    <row r="1385" spans="11:16" x14ac:dyDescent="0.25">
      <c r="K1385" s="75" t="s">
        <v>6547</v>
      </c>
      <c r="L1385" s="75" t="s">
        <v>336</v>
      </c>
      <c r="M1385" t="s">
        <v>6829</v>
      </c>
      <c r="N1385" s="75" t="s">
        <v>5099</v>
      </c>
      <c r="O1385" s="75" t="s">
        <v>345</v>
      </c>
      <c r="P1385" t="s">
        <v>5388</v>
      </c>
    </row>
    <row r="1386" spans="11:16" x14ac:dyDescent="0.25">
      <c r="K1386" s="75" t="s">
        <v>6722</v>
      </c>
      <c r="L1386" s="75" t="s">
        <v>337</v>
      </c>
      <c r="M1386" t="s">
        <v>6845</v>
      </c>
      <c r="N1386" s="75" t="s">
        <v>5297</v>
      </c>
      <c r="O1386" s="75" t="s">
        <v>747</v>
      </c>
      <c r="P1386" t="s">
        <v>5389</v>
      </c>
    </row>
    <row r="1387" spans="11:16" x14ac:dyDescent="0.25">
      <c r="K1387" s="75" t="s">
        <v>6679</v>
      </c>
      <c r="L1387" s="75" t="s">
        <v>4260</v>
      </c>
      <c r="M1387" t="s">
        <v>6883</v>
      </c>
      <c r="N1387" s="75" t="s">
        <v>4956</v>
      </c>
      <c r="O1387" s="75" t="s">
        <v>460</v>
      </c>
      <c r="P1387" t="s">
        <v>5390</v>
      </c>
    </row>
    <row r="1388" spans="11:16" x14ac:dyDescent="0.25">
      <c r="K1388" s="75" t="s">
        <v>6729</v>
      </c>
      <c r="L1388" s="75" t="s">
        <v>363</v>
      </c>
      <c r="M1388" t="s">
        <v>6884</v>
      </c>
      <c r="N1388" s="75" t="s">
        <v>3330</v>
      </c>
      <c r="O1388" s="75" t="s">
        <v>11</v>
      </c>
      <c r="P1388" t="s">
        <v>5459</v>
      </c>
    </row>
    <row r="1389" spans="11:16" x14ac:dyDescent="0.25">
      <c r="K1389" s="75" t="s">
        <v>6861</v>
      </c>
      <c r="L1389" s="75" t="s">
        <v>362</v>
      </c>
      <c r="M1389" t="s">
        <v>6949</v>
      </c>
      <c r="N1389" s="75" t="s">
        <v>5293</v>
      </c>
      <c r="O1389" s="75" t="s">
        <v>5363</v>
      </c>
      <c r="P1389" t="s">
        <v>5439</v>
      </c>
    </row>
    <row r="1390" spans="11:16" x14ac:dyDescent="0.25">
      <c r="K1390" s="75" t="s">
        <v>6877</v>
      </c>
      <c r="L1390" s="75" t="s">
        <v>337</v>
      </c>
      <c r="M1390" t="s">
        <v>6987</v>
      </c>
      <c r="N1390" s="75" t="s">
        <v>5410</v>
      </c>
      <c r="O1390" s="75" t="s">
        <v>742</v>
      </c>
      <c r="P1390" t="s">
        <v>5450</v>
      </c>
    </row>
    <row r="1391" spans="11:16" x14ac:dyDescent="0.25">
      <c r="K1391" s="75" t="s">
        <v>6885</v>
      </c>
      <c r="L1391" s="75" t="s">
        <v>4260</v>
      </c>
      <c r="M1391" t="s">
        <v>7019</v>
      </c>
      <c r="N1391" s="75" t="s">
        <v>5353</v>
      </c>
      <c r="O1391" s="75" t="s">
        <v>5445</v>
      </c>
      <c r="P1391" t="s">
        <v>5475</v>
      </c>
    </row>
    <row r="1392" spans="11:16" x14ac:dyDescent="0.25">
      <c r="K1392" s="75" t="s">
        <v>6891</v>
      </c>
      <c r="L1392" s="75" t="s">
        <v>363</v>
      </c>
      <c r="M1392" t="s">
        <v>7033</v>
      </c>
      <c r="N1392" s="75" t="s">
        <v>5407</v>
      </c>
      <c r="O1392" s="75" t="s">
        <v>5363</v>
      </c>
      <c r="P1392" t="s">
        <v>5509</v>
      </c>
    </row>
    <row r="1393" spans="11:16" x14ac:dyDescent="0.25">
      <c r="K1393" s="74" t="s">
        <v>6595</v>
      </c>
      <c r="L1393" s="74" t="s">
        <v>389</v>
      </c>
      <c r="M1393" t="s">
        <v>7177</v>
      </c>
      <c r="N1393" s="75" t="s">
        <v>5411</v>
      </c>
      <c r="O1393" s="75" t="s">
        <v>862</v>
      </c>
      <c r="P1393" t="s">
        <v>5521</v>
      </c>
    </row>
    <row r="1394" spans="11:16" x14ac:dyDescent="0.25">
      <c r="K1394" s="75" t="s">
        <v>7007</v>
      </c>
      <c r="L1394" s="75" t="s">
        <v>677</v>
      </c>
      <c r="M1394" t="s">
        <v>7194</v>
      </c>
      <c r="N1394" s="75" t="s">
        <v>5444</v>
      </c>
      <c r="O1394" s="75" t="s">
        <v>75</v>
      </c>
      <c r="P1394" t="s">
        <v>6808</v>
      </c>
    </row>
    <row r="1395" spans="11:16" x14ac:dyDescent="0.25">
      <c r="K1395" s="75" t="s">
        <v>7053</v>
      </c>
      <c r="L1395" s="75" t="s">
        <v>461</v>
      </c>
      <c r="M1395" t="s">
        <v>7214</v>
      </c>
      <c r="N1395" s="75" t="s">
        <v>5392</v>
      </c>
      <c r="O1395" s="75" t="s">
        <v>460</v>
      </c>
      <c r="P1395" t="s">
        <v>5562</v>
      </c>
    </row>
    <row r="1396" spans="11:16" x14ac:dyDescent="0.25">
      <c r="K1396" s="75" t="s">
        <v>6678</v>
      </c>
      <c r="L1396" s="75" t="s">
        <v>6621</v>
      </c>
      <c r="M1396" t="s">
        <v>7227</v>
      </c>
      <c r="N1396" s="75" t="s">
        <v>4474</v>
      </c>
      <c r="O1396" s="75" t="s">
        <v>75</v>
      </c>
      <c r="P1396" t="s">
        <v>5567</v>
      </c>
    </row>
    <row r="1397" spans="11:16" x14ac:dyDescent="0.25">
      <c r="K1397" s="75" t="s">
        <v>7029</v>
      </c>
      <c r="L1397" s="75" t="s">
        <v>4260</v>
      </c>
      <c r="M1397" t="s">
        <v>7469</v>
      </c>
      <c r="N1397" s="75" t="s">
        <v>5510</v>
      </c>
      <c r="O1397" s="75" t="s">
        <v>742</v>
      </c>
      <c r="P1397" t="s">
        <v>5586</v>
      </c>
    </row>
    <row r="1398" spans="11:16" x14ac:dyDescent="0.25">
      <c r="K1398" s="75" t="s">
        <v>5098</v>
      </c>
      <c r="L1398" s="75" t="s">
        <v>362</v>
      </c>
      <c r="M1398" t="s">
        <v>7547</v>
      </c>
      <c r="N1398" s="75" t="s">
        <v>5421</v>
      </c>
      <c r="O1398" s="75" t="s">
        <v>746</v>
      </c>
      <c r="P1398" t="s">
        <v>5628</v>
      </c>
    </row>
    <row r="1399" spans="11:16" x14ac:dyDescent="0.25">
      <c r="K1399" s="75" t="s">
        <v>7344</v>
      </c>
      <c r="L1399" s="75" t="s">
        <v>6621</v>
      </c>
      <c r="M1399" t="s">
        <v>7590</v>
      </c>
      <c r="N1399" s="75" t="s">
        <v>4302</v>
      </c>
      <c r="O1399" s="75" t="s">
        <v>75</v>
      </c>
      <c r="P1399" t="s">
        <v>5686</v>
      </c>
    </row>
    <row r="1400" spans="11:16" x14ac:dyDescent="0.25">
      <c r="K1400" s="75" t="s">
        <v>7753</v>
      </c>
      <c r="L1400" s="75" t="s">
        <v>5101</v>
      </c>
      <c r="M1400" t="s">
        <v>7788</v>
      </c>
      <c r="N1400" s="75" t="s">
        <v>5376</v>
      </c>
      <c r="O1400" s="75" t="s">
        <v>750</v>
      </c>
      <c r="P1400" t="s">
        <v>5677</v>
      </c>
    </row>
    <row r="1401" spans="11:16" x14ac:dyDescent="0.25">
      <c r="K1401" s="75" t="s">
        <v>7549</v>
      </c>
      <c r="L1401" s="75" t="s">
        <v>362</v>
      </c>
      <c r="M1401" t="s">
        <v>7833</v>
      </c>
      <c r="N1401" s="75" t="s">
        <v>766</v>
      </c>
      <c r="O1401" s="75" t="s">
        <v>945</v>
      </c>
      <c r="P1401" t="s">
        <v>5693</v>
      </c>
    </row>
    <row r="1402" spans="11:16" x14ac:dyDescent="0.25">
      <c r="K1402" s="75" t="s">
        <v>7792</v>
      </c>
      <c r="L1402" s="75" t="s">
        <v>5101</v>
      </c>
      <c r="M1402" t="s">
        <v>7857</v>
      </c>
      <c r="N1402" s="75" t="s">
        <v>5610</v>
      </c>
      <c r="O1402" s="75" t="s">
        <v>346</v>
      </c>
      <c r="P1402" t="s">
        <v>5731</v>
      </c>
    </row>
    <row r="1403" spans="11:16" x14ac:dyDescent="0.25">
      <c r="K1403" s="75" t="s">
        <v>7835</v>
      </c>
      <c r="L1403" s="75" t="s">
        <v>362</v>
      </c>
      <c r="M1403" t="s">
        <v>7943</v>
      </c>
      <c r="N1403" s="75" t="s">
        <v>5658</v>
      </c>
      <c r="O1403" s="75" t="s">
        <v>746</v>
      </c>
      <c r="P1403" t="s">
        <v>5753</v>
      </c>
    </row>
    <row r="1404" spans="11:16" x14ac:dyDescent="0.25">
      <c r="K1404" s="75" t="s">
        <v>7925</v>
      </c>
      <c r="L1404" s="75" t="s">
        <v>7659</v>
      </c>
      <c r="M1404" t="s">
        <v>7958</v>
      </c>
      <c r="N1404" s="75" t="s">
        <v>5528</v>
      </c>
      <c r="O1404" s="75" t="s">
        <v>2459</v>
      </c>
      <c r="P1404" t="s">
        <v>5783</v>
      </c>
    </row>
    <row r="1405" spans="11:16" x14ac:dyDescent="0.25">
      <c r="K1405" s="75" t="s">
        <v>6917</v>
      </c>
      <c r="L1405" s="75" t="s">
        <v>554</v>
      </c>
      <c r="M1405" t="s">
        <v>8027</v>
      </c>
      <c r="N1405" s="75" t="s">
        <v>5684</v>
      </c>
      <c r="O1405" s="75" t="s">
        <v>677</v>
      </c>
      <c r="P1405" t="s">
        <v>5884</v>
      </c>
    </row>
    <row r="1406" spans="11:16" x14ac:dyDescent="0.25">
      <c r="K1406" s="74" t="s">
        <v>7860</v>
      </c>
      <c r="L1406" s="74" t="s">
        <v>5101</v>
      </c>
      <c r="M1406" t="s">
        <v>8085</v>
      </c>
      <c r="N1406" s="75" t="s">
        <v>3257</v>
      </c>
      <c r="O1406" s="75" t="s">
        <v>362</v>
      </c>
      <c r="P1406" t="s">
        <v>6017</v>
      </c>
    </row>
    <row r="1407" spans="11:16" x14ac:dyDescent="0.25">
      <c r="K1407" s="75" t="s">
        <v>8033</v>
      </c>
      <c r="L1407" s="75" t="s">
        <v>554</v>
      </c>
      <c r="M1407" t="s">
        <v>8120</v>
      </c>
      <c r="N1407" s="75" t="s">
        <v>5618</v>
      </c>
      <c r="O1407" s="75" t="s">
        <v>460</v>
      </c>
      <c r="P1407" t="s">
        <v>6038</v>
      </c>
    </row>
    <row r="1408" spans="11:16" x14ac:dyDescent="0.25">
      <c r="K1408" s="75" t="s">
        <v>7859</v>
      </c>
      <c r="L1408" s="75" t="s">
        <v>7659</v>
      </c>
      <c r="M1408" t="s">
        <v>8175</v>
      </c>
      <c r="N1408" s="75" t="s">
        <v>5644</v>
      </c>
      <c r="O1408" s="75" t="s">
        <v>5777</v>
      </c>
      <c r="P1408" t="s">
        <v>6042</v>
      </c>
    </row>
    <row r="1409" spans="11:16" x14ac:dyDescent="0.25">
      <c r="K1409" s="75" t="s">
        <v>4372</v>
      </c>
      <c r="L1409" s="216" t="s">
        <v>377</v>
      </c>
      <c r="M1409" t="s">
        <v>8230</v>
      </c>
      <c r="N1409" s="75" t="s">
        <v>5909</v>
      </c>
      <c r="O1409" s="75" t="s">
        <v>746</v>
      </c>
      <c r="P1409" t="s">
        <v>6078</v>
      </c>
    </row>
    <row r="1410" spans="11:16" x14ac:dyDescent="0.25">
      <c r="K1410" s="75" t="s">
        <v>7982</v>
      </c>
      <c r="L1410" s="216" t="s">
        <v>8424</v>
      </c>
      <c r="M1410" t="s">
        <v>8302</v>
      </c>
      <c r="N1410" s="75" t="s">
        <v>5806</v>
      </c>
      <c r="O1410" s="75" t="s">
        <v>461</v>
      </c>
      <c r="P1410" t="s">
        <v>6079</v>
      </c>
    </row>
    <row r="1411" spans="11:16" x14ac:dyDescent="0.25">
      <c r="K1411" s="75" t="s">
        <v>8041</v>
      </c>
      <c r="L1411" s="75" t="s">
        <v>5101</v>
      </c>
      <c r="M1411" t="s">
        <v>8391</v>
      </c>
      <c r="N1411" s="75" t="s">
        <v>6048</v>
      </c>
      <c r="O1411" s="75" t="s">
        <v>362</v>
      </c>
      <c r="P1411" t="s">
        <v>6094</v>
      </c>
    </row>
    <row r="1412" spans="11:16" x14ac:dyDescent="0.25">
      <c r="K1412" s="74" t="s">
        <v>8400</v>
      </c>
      <c r="L1412" s="74" t="s">
        <v>5101</v>
      </c>
      <c r="M1412" t="s">
        <v>8489</v>
      </c>
      <c r="N1412" s="75" t="s">
        <v>6112</v>
      </c>
      <c r="O1412" s="75" t="s">
        <v>461</v>
      </c>
      <c r="P1412" t="s">
        <v>6179</v>
      </c>
    </row>
    <row r="1413" spans="11:16" x14ac:dyDescent="0.25">
      <c r="K1413" s="75" t="s">
        <v>8405</v>
      </c>
      <c r="L1413" s="75" t="s">
        <v>745</v>
      </c>
      <c r="M1413" t="s">
        <v>8606</v>
      </c>
      <c r="N1413" s="75" t="s">
        <v>5765</v>
      </c>
      <c r="O1413" s="75" t="s">
        <v>364</v>
      </c>
      <c r="P1413" t="s">
        <v>6223</v>
      </c>
    </row>
    <row r="1414" spans="11:16" x14ac:dyDescent="0.25">
      <c r="K1414" s="75" t="s">
        <v>8501</v>
      </c>
      <c r="L1414" s="75" t="s">
        <v>5101</v>
      </c>
      <c r="M1414" t="s">
        <v>8632</v>
      </c>
      <c r="N1414" s="75" t="s">
        <v>6148</v>
      </c>
      <c r="O1414" s="75" t="s">
        <v>363</v>
      </c>
      <c r="P1414" t="s">
        <v>6419</v>
      </c>
    </row>
    <row r="1415" spans="11:16" x14ac:dyDescent="0.25">
      <c r="K1415" s="74" t="s">
        <v>8639</v>
      </c>
      <c r="L1415" s="74" t="s">
        <v>1661</v>
      </c>
      <c r="M1415" t="s">
        <v>8741</v>
      </c>
      <c r="N1415" s="75" t="s">
        <v>6147</v>
      </c>
      <c r="O1415" s="75" t="s">
        <v>585</v>
      </c>
      <c r="P1415" t="s">
        <v>6420</v>
      </c>
    </row>
    <row r="1416" spans="11:16" x14ac:dyDescent="0.25">
      <c r="K1416" s="74" t="s">
        <v>8386</v>
      </c>
      <c r="L1416" s="74" t="s">
        <v>5699</v>
      </c>
      <c r="M1416" t="s">
        <v>8777</v>
      </c>
      <c r="N1416" s="75" t="s">
        <v>6146</v>
      </c>
      <c r="O1416" s="75" t="s">
        <v>461</v>
      </c>
      <c r="P1416" t="s">
        <v>6476</v>
      </c>
    </row>
    <row r="1417" spans="11:16" x14ac:dyDescent="0.25">
      <c r="K1417" s="75" t="s">
        <v>8743</v>
      </c>
      <c r="L1417" s="75" t="s">
        <v>1661</v>
      </c>
      <c r="M1417" t="s">
        <v>8917</v>
      </c>
      <c r="N1417" s="75" t="s">
        <v>5672</v>
      </c>
      <c r="O1417" s="75" t="s">
        <v>745</v>
      </c>
      <c r="P1417" t="s">
        <v>6484</v>
      </c>
    </row>
    <row r="1418" spans="11:16" x14ac:dyDescent="0.25">
      <c r="K1418" s="75" t="s">
        <v>2799</v>
      </c>
      <c r="L1418" s="216" t="s">
        <v>1661</v>
      </c>
      <c r="M1418" t="s">
        <v>9069</v>
      </c>
      <c r="N1418" s="75" t="s">
        <v>6355</v>
      </c>
      <c r="O1418" s="75" t="s">
        <v>485</v>
      </c>
      <c r="P1418" t="s">
        <v>6508</v>
      </c>
    </row>
    <row r="1419" spans="11:16" x14ac:dyDescent="0.25">
      <c r="K1419" s="75" t="s">
        <v>8386</v>
      </c>
      <c r="L1419" s="216" t="s">
        <v>5101</v>
      </c>
      <c r="M1419" t="s">
        <v>9114</v>
      </c>
      <c r="N1419" s="75" t="s">
        <v>5765</v>
      </c>
      <c r="O1419" s="75" t="s">
        <v>389</v>
      </c>
      <c r="P1419" t="s">
        <v>6535</v>
      </c>
    </row>
    <row r="1420" spans="11:16" x14ac:dyDescent="0.25">
      <c r="K1420" s="75" t="s">
        <v>8659</v>
      </c>
      <c r="L1420" s="75" t="s">
        <v>364</v>
      </c>
      <c r="M1420" t="s">
        <v>9267</v>
      </c>
      <c r="N1420" s="75" t="s">
        <v>6436</v>
      </c>
      <c r="O1420" s="75" t="s">
        <v>345</v>
      </c>
      <c r="P1420" t="s">
        <v>6559</v>
      </c>
    </row>
    <row r="1421" spans="11:16" x14ac:dyDescent="0.25">
      <c r="K1421" s="75" t="s">
        <v>8555</v>
      </c>
      <c r="L1421" s="75" t="s">
        <v>746</v>
      </c>
      <c r="M1421" t="s">
        <v>9295</v>
      </c>
      <c r="N1421" s="75" t="s">
        <v>6373</v>
      </c>
      <c r="O1421" s="75" t="s">
        <v>346</v>
      </c>
      <c r="P1421" t="s">
        <v>6565</v>
      </c>
    </row>
    <row r="1422" spans="11:16" x14ac:dyDescent="0.25">
      <c r="K1422" s="75" t="s">
        <v>961</v>
      </c>
      <c r="L1422" s="75" t="s">
        <v>1661</v>
      </c>
      <c r="M1422" t="s">
        <v>9302</v>
      </c>
      <c r="N1422" s="75" t="s">
        <v>6268</v>
      </c>
      <c r="O1422" s="75" t="s">
        <v>461</v>
      </c>
      <c r="P1422" t="s">
        <v>6571</v>
      </c>
    </row>
    <row r="1423" spans="11:16" x14ac:dyDescent="0.25">
      <c r="K1423" s="75" t="s">
        <v>7821</v>
      </c>
      <c r="L1423" s="75" t="s">
        <v>363</v>
      </c>
      <c r="M1423" t="s">
        <v>9413</v>
      </c>
      <c r="N1423" s="75" t="s">
        <v>5160</v>
      </c>
      <c r="O1423" s="75" t="s">
        <v>460</v>
      </c>
      <c r="P1423" t="s">
        <v>6584</v>
      </c>
    </row>
    <row r="1424" spans="11:16" x14ac:dyDescent="0.25">
      <c r="K1424" s="75" t="s">
        <v>9478</v>
      </c>
      <c r="L1424" s="75" t="s">
        <v>362</v>
      </c>
      <c r="M1424" t="s">
        <v>9479</v>
      </c>
      <c r="N1424" s="75" t="s">
        <v>6579</v>
      </c>
      <c r="O1424" s="75" t="s">
        <v>389</v>
      </c>
      <c r="P1424" t="s">
        <v>6606</v>
      </c>
    </row>
    <row r="1425" spans="11:16" x14ac:dyDescent="0.25">
      <c r="K1425" s="75" t="s">
        <v>5865</v>
      </c>
      <c r="L1425" s="75" t="s">
        <v>5101</v>
      </c>
      <c r="M1425" t="s">
        <v>9535</v>
      </c>
      <c r="N1425" s="75" t="s">
        <v>6385</v>
      </c>
      <c r="O1425" s="75" t="s">
        <v>585</v>
      </c>
      <c r="P1425" t="s">
        <v>6608</v>
      </c>
    </row>
    <row r="1426" spans="11:16" x14ac:dyDescent="0.25">
      <c r="K1426" s="74" t="s">
        <v>7925</v>
      </c>
      <c r="L1426" s="74" t="s">
        <v>1661</v>
      </c>
      <c r="M1426" t="s">
        <v>9636</v>
      </c>
      <c r="N1426" s="75" t="s">
        <v>6472</v>
      </c>
      <c r="O1426" s="75" t="s">
        <v>5778</v>
      </c>
      <c r="P1426" t="s">
        <v>6627</v>
      </c>
    </row>
    <row r="1427" spans="11:16" x14ac:dyDescent="0.25">
      <c r="K1427" s="75" t="s">
        <v>9612</v>
      </c>
      <c r="L1427" s="216" t="s">
        <v>9412</v>
      </c>
      <c r="M1427" t="s">
        <v>9697</v>
      </c>
      <c r="N1427" s="75" t="s">
        <v>6609</v>
      </c>
      <c r="O1427" s="75" t="s">
        <v>585</v>
      </c>
      <c r="P1427" t="s">
        <v>6628</v>
      </c>
    </row>
    <row r="1428" spans="11:16" x14ac:dyDescent="0.25">
      <c r="K1428" s="74" t="s">
        <v>9478</v>
      </c>
      <c r="L1428" s="216" t="s">
        <v>8201</v>
      </c>
      <c r="M1428" t="s">
        <v>9813</v>
      </c>
      <c r="N1428" s="75" t="s">
        <v>5160</v>
      </c>
      <c r="O1428" s="75" t="s">
        <v>460</v>
      </c>
      <c r="P1428" t="s">
        <v>6657</v>
      </c>
    </row>
    <row r="1429" spans="11:16" x14ac:dyDescent="0.25">
      <c r="K1429" s="75" t="s">
        <v>9676</v>
      </c>
      <c r="L1429" s="75" t="s">
        <v>349</v>
      </c>
      <c r="M1429" t="s">
        <v>10061</v>
      </c>
      <c r="N1429" s="75" t="s">
        <v>6483</v>
      </c>
      <c r="O1429" s="75" t="s">
        <v>363</v>
      </c>
      <c r="P1429" t="s">
        <v>6667</v>
      </c>
    </row>
    <row r="1430" spans="11:16" x14ac:dyDescent="0.25">
      <c r="K1430" s="75" t="s">
        <v>9856</v>
      </c>
      <c r="L1430" s="216" t="s">
        <v>1661</v>
      </c>
      <c r="M1430" t="s">
        <v>9947</v>
      </c>
      <c r="N1430" s="75" t="s">
        <v>6574</v>
      </c>
      <c r="O1430" s="75" t="s">
        <v>345</v>
      </c>
      <c r="P1430" t="s">
        <v>6764</v>
      </c>
    </row>
    <row r="1431" spans="11:16" x14ac:dyDescent="0.25">
      <c r="K1431" s="74" t="s">
        <v>9843</v>
      </c>
      <c r="L1431" s="74" t="s">
        <v>349</v>
      </c>
      <c r="M1431" t="s">
        <v>9952</v>
      </c>
      <c r="N1431" s="75" t="s">
        <v>6656</v>
      </c>
      <c r="O1431" s="75" t="s">
        <v>5778</v>
      </c>
      <c r="P1431" t="s">
        <v>6844</v>
      </c>
    </row>
    <row r="1432" spans="11:16" x14ac:dyDescent="0.25">
      <c r="K1432" s="75" t="s">
        <v>9786</v>
      </c>
      <c r="L1432" s="75" t="s">
        <v>401</v>
      </c>
      <c r="M1432" t="s">
        <v>9954</v>
      </c>
      <c r="N1432" s="75" t="s">
        <v>4134</v>
      </c>
      <c r="O1432" s="75" t="s">
        <v>5774</v>
      </c>
      <c r="P1432" t="s">
        <v>6882</v>
      </c>
    </row>
    <row r="1433" spans="11:16" x14ac:dyDescent="0.25">
      <c r="K1433" s="75" t="s">
        <v>8183</v>
      </c>
      <c r="L1433" s="75" t="s">
        <v>8203</v>
      </c>
      <c r="M1433" t="s">
        <v>9988</v>
      </c>
      <c r="N1433" s="75" t="s">
        <v>6726</v>
      </c>
      <c r="O1433" s="75" t="s">
        <v>363</v>
      </c>
      <c r="P1433" t="s">
        <v>6890</v>
      </c>
    </row>
    <row r="1434" spans="11:16" x14ac:dyDescent="0.25">
      <c r="K1434" s="75" t="s">
        <v>9911</v>
      </c>
      <c r="L1434" s="75" t="s">
        <v>9753</v>
      </c>
      <c r="M1434" t="s">
        <v>10024</v>
      </c>
      <c r="N1434" s="75" t="s">
        <v>5056</v>
      </c>
      <c r="O1434" s="75" t="s">
        <v>336</v>
      </c>
      <c r="P1434" t="s">
        <v>6913</v>
      </c>
    </row>
    <row r="1435" spans="11:16" x14ac:dyDescent="0.25">
      <c r="K1435" s="74" t="s">
        <v>9948</v>
      </c>
      <c r="L1435" s="74" t="s">
        <v>1661</v>
      </c>
      <c r="M1435" t="s">
        <v>10089</v>
      </c>
      <c r="N1435" s="75" t="s">
        <v>3101</v>
      </c>
      <c r="O1435" s="75" t="s">
        <v>6690</v>
      </c>
      <c r="P1435" t="s">
        <v>6918</v>
      </c>
    </row>
    <row r="1436" spans="11:16" x14ac:dyDescent="0.25">
      <c r="K1436" s="75" t="s">
        <v>10149</v>
      </c>
      <c r="L1436" s="75" t="s">
        <v>745</v>
      </c>
      <c r="M1436" t="s">
        <v>10214</v>
      </c>
      <c r="N1436" s="75" t="s">
        <v>6695</v>
      </c>
      <c r="O1436" s="75" t="s">
        <v>461</v>
      </c>
      <c r="P1436" t="s">
        <v>6960</v>
      </c>
    </row>
    <row r="1437" spans="11:16" x14ac:dyDescent="0.25">
      <c r="K1437" s="75" t="s">
        <v>10163</v>
      </c>
      <c r="L1437" s="75" t="s">
        <v>6621</v>
      </c>
      <c r="M1437" t="s">
        <v>10223</v>
      </c>
      <c r="N1437" s="75" t="s">
        <v>6668</v>
      </c>
      <c r="O1437" s="75" t="s">
        <v>585</v>
      </c>
      <c r="P1437" t="s">
        <v>6972</v>
      </c>
    </row>
    <row r="1438" spans="11:16" x14ac:dyDescent="0.25">
      <c r="K1438" s="75" t="s">
        <v>10220</v>
      </c>
      <c r="L1438" s="75" t="s">
        <v>9749</v>
      </c>
      <c r="M1438" t="s">
        <v>10246</v>
      </c>
      <c r="N1438" s="75" t="s">
        <v>6971</v>
      </c>
      <c r="O1438" s="75" t="s">
        <v>461</v>
      </c>
      <c r="P1438" t="s">
        <v>7119</v>
      </c>
    </row>
    <row r="1439" spans="11:16" x14ac:dyDescent="0.25">
      <c r="K1439" s="75" t="s">
        <v>9921</v>
      </c>
      <c r="L1439" s="75" t="s">
        <v>936</v>
      </c>
      <c r="M1439" t="s">
        <v>10250</v>
      </c>
      <c r="N1439" s="75" t="s">
        <v>3330</v>
      </c>
      <c r="O1439" s="75" t="s">
        <v>363</v>
      </c>
      <c r="P1439" t="s">
        <v>7145</v>
      </c>
    </row>
    <row r="1440" spans="11:16" x14ac:dyDescent="0.25">
      <c r="K1440" s="74" t="s">
        <v>8744</v>
      </c>
      <c r="L1440" s="74" t="s">
        <v>9753</v>
      </c>
      <c r="M1440" t="s">
        <v>10262</v>
      </c>
      <c r="N1440" s="75" t="s">
        <v>3269</v>
      </c>
      <c r="O1440" s="75" t="s">
        <v>5773</v>
      </c>
      <c r="P1440" t="s">
        <v>7220</v>
      </c>
    </row>
    <row r="1441" spans="11:16" x14ac:dyDescent="0.25">
      <c r="K1441" s="75" t="s">
        <v>10170</v>
      </c>
      <c r="L1441" s="75" t="s">
        <v>10275</v>
      </c>
      <c r="M1441" t="s">
        <v>10281</v>
      </c>
      <c r="N1441" s="75" t="s">
        <v>6919</v>
      </c>
      <c r="O1441" s="75" t="s">
        <v>5777</v>
      </c>
      <c r="P1441" t="s">
        <v>7257</v>
      </c>
    </row>
    <row r="1442" spans="11:16" x14ac:dyDescent="0.25">
      <c r="K1442" s="75" t="s">
        <v>11292</v>
      </c>
      <c r="L1442" s="75" t="s">
        <v>10253</v>
      </c>
      <c r="M1442" t="s">
        <v>11337</v>
      </c>
      <c r="N1442" s="75" t="s">
        <v>7006</v>
      </c>
      <c r="O1442" s="75" t="s">
        <v>585</v>
      </c>
      <c r="P1442" t="s">
        <v>7258</v>
      </c>
    </row>
    <row r="1443" spans="11:16" x14ac:dyDescent="0.25">
      <c r="K1443" s="75" t="s">
        <v>6194</v>
      </c>
      <c r="L1443" s="75" t="s">
        <v>349</v>
      </c>
      <c r="M1443" t="s">
        <v>10367</v>
      </c>
      <c r="N1443" s="75" t="s">
        <v>7238</v>
      </c>
      <c r="O1443" s="75" t="s">
        <v>677</v>
      </c>
      <c r="P1443" t="s">
        <v>7371</v>
      </c>
    </row>
    <row r="1444" spans="11:16" x14ac:dyDescent="0.25">
      <c r="K1444" s="75" t="s">
        <v>10259</v>
      </c>
      <c r="L1444" s="75" t="s">
        <v>9753</v>
      </c>
      <c r="M1444" t="s">
        <v>10343</v>
      </c>
      <c r="N1444" s="75" t="s">
        <v>282</v>
      </c>
      <c r="O1444" s="75" t="s">
        <v>363</v>
      </c>
      <c r="P1444" t="s">
        <v>7380</v>
      </c>
    </row>
    <row r="1445" spans="11:16" x14ac:dyDescent="0.25">
      <c r="K1445" s="74" t="s">
        <v>10215</v>
      </c>
      <c r="L1445" s="74" t="s">
        <v>745</v>
      </c>
      <c r="M1445" t="s">
        <v>10375</v>
      </c>
      <c r="N1445" s="74" t="s">
        <v>7215</v>
      </c>
      <c r="O1445" s="74" t="s">
        <v>461</v>
      </c>
      <c r="P1445" t="s">
        <v>7382</v>
      </c>
    </row>
    <row r="1446" spans="11:16" x14ac:dyDescent="0.25">
      <c r="K1446" s="75" t="s">
        <v>10518</v>
      </c>
      <c r="L1446" s="75" t="s">
        <v>2970</v>
      </c>
      <c r="M1446" t="s">
        <v>10526</v>
      </c>
      <c r="N1446" s="75" t="s">
        <v>7036</v>
      </c>
      <c r="O1446" s="75" t="s">
        <v>461</v>
      </c>
      <c r="P1446" t="s">
        <v>7433</v>
      </c>
    </row>
    <row r="1447" spans="11:16" x14ac:dyDescent="0.25">
      <c r="K1447" s="75" t="s">
        <v>10295</v>
      </c>
      <c r="L1447" s="75" t="s">
        <v>5101</v>
      </c>
      <c r="M1447" t="s">
        <v>10510</v>
      </c>
      <c r="N1447" s="75" t="s">
        <v>7299</v>
      </c>
      <c r="O1447" s="75" t="s">
        <v>4260</v>
      </c>
      <c r="P1447" t="s">
        <v>7467</v>
      </c>
    </row>
    <row r="1448" spans="11:16" x14ac:dyDescent="0.25">
      <c r="K1448" s="75" t="s">
        <v>9552</v>
      </c>
      <c r="L1448" s="75" t="s">
        <v>6621</v>
      </c>
      <c r="M1448" t="s">
        <v>10618</v>
      </c>
      <c r="N1448" s="75" t="s">
        <v>7356</v>
      </c>
      <c r="O1448" s="75" t="s">
        <v>677</v>
      </c>
      <c r="P1448" t="s">
        <v>7548</v>
      </c>
    </row>
    <row r="1449" spans="11:16" x14ac:dyDescent="0.25">
      <c r="K1449" s="75" t="s">
        <v>10257</v>
      </c>
      <c r="L1449" s="75" t="s">
        <v>6027</v>
      </c>
      <c r="M1449" t="s">
        <v>10622</v>
      </c>
      <c r="N1449" s="75" t="s">
        <v>4141</v>
      </c>
      <c r="O1449" s="75" t="s">
        <v>455</v>
      </c>
      <c r="P1449" t="s">
        <v>7574</v>
      </c>
    </row>
    <row r="1450" spans="11:16" x14ac:dyDescent="0.25">
      <c r="K1450" s="75" t="s">
        <v>10515</v>
      </c>
      <c r="L1450" s="75" t="s">
        <v>5101</v>
      </c>
      <c r="M1450" t="s">
        <v>10623</v>
      </c>
      <c r="N1450" s="75" t="s">
        <v>7510</v>
      </c>
      <c r="O1450" s="75" t="s">
        <v>677</v>
      </c>
      <c r="P1450" t="s">
        <v>7608</v>
      </c>
    </row>
    <row r="1451" spans="11:16" x14ac:dyDescent="0.25">
      <c r="K1451" s="75" t="s">
        <v>10153</v>
      </c>
      <c r="L1451" s="75" t="s">
        <v>5101</v>
      </c>
      <c r="M1451" t="s">
        <v>10625</v>
      </c>
      <c r="N1451" s="75" t="s">
        <v>7468</v>
      </c>
      <c r="O1451" s="75" t="s">
        <v>7290</v>
      </c>
      <c r="P1451" t="s">
        <v>7691</v>
      </c>
    </row>
    <row r="1452" spans="11:16" x14ac:dyDescent="0.25">
      <c r="K1452" s="75" t="s">
        <v>685</v>
      </c>
      <c r="L1452" s="75" t="s">
        <v>349</v>
      </c>
      <c r="M1452" t="s">
        <v>10626</v>
      </c>
      <c r="N1452" s="75" t="s">
        <v>7277</v>
      </c>
      <c r="O1452" s="75" t="s">
        <v>362</v>
      </c>
      <c r="P1452" t="s">
        <v>7336</v>
      </c>
    </row>
    <row r="1453" spans="11:16" x14ac:dyDescent="0.25">
      <c r="K1453" s="75" t="s">
        <v>10639</v>
      </c>
      <c r="L1453" s="75" t="s">
        <v>5101</v>
      </c>
      <c r="M1453" t="s">
        <v>10681</v>
      </c>
      <c r="N1453" s="75" t="s">
        <v>7383</v>
      </c>
      <c r="O1453" s="75" t="s">
        <v>461</v>
      </c>
      <c r="P1453" t="s">
        <v>7737</v>
      </c>
    </row>
    <row r="1454" spans="11:16" x14ac:dyDescent="0.25">
      <c r="K1454" s="75" t="s">
        <v>9807</v>
      </c>
      <c r="L1454" s="75" t="s">
        <v>2972</v>
      </c>
      <c r="M1454" t="s">
        <v>10676</v>
      </c>
      <c r="N1454" s="75" t="s">
        <v>7632</v>
      </c>
      <c r="O1454" s="75" t="s">
        <v>746</v>
      </c>
      <c r="P1454" t="s">
        <v>7919</v>
      </c>
    </row>
    <row r="1455" spans="11:16" x14ac:dyDescent="0.25">
      <c r="K1455" s="75" t="s">
        <v>10730</v>
      </c>
      <c r="L1455" s="75" t="s">
        <v>5101</v>
      </c>
      <c r="M1455" t="s">
        <v>10860</v>
      </c>
      <c r="N1455" s="75" t="s">
        <v>7776</v>
      </c>
      <c r="O1455" s="75" t="s">
        <v>461</v>
      </c>
      <c r="P1455" t="s">
        <v>7977</v>
      </c>
    </row>
    <row r="1456" spans="11:16" x14ac:dyDescent="0.25">
      <c r="K1456" s="75" t="s">
        <v>10748</v>
      </c>
      <c r="L1456" s="75" t="s">
        <v>6621</v>
      </c>
      <c r="M1456" t="s">
        <v>10777</v>
      </c>
      <c r="N1456" s="75" t="s">
        <v>7780</v>
      </c>
      <c r="O1456" s="75" t="s">
        <v>363</v>
      </c>
      <c r="P1456" t="s">
        <v>8024</v>
      </c>
    </row>
    <row r="1457" spans="11:16" x14ac:dyDescent="0.25">
      <c r="K1457" s="75" t="s">
        <v>10598</v>
      </c>
      <c r="L1457" s="75" t="s">
        <v>363</v>
      </c>
      <c r="M1457" t="s">
        <v>10801</v>
      </c>
      <c r="N1457" s="75" t="s">
        <v>7812</v>
      </c>
      <c r="O1457" s="75" t="s">
        <v>5773</v>
      </c>
      <c r="P1457" t="s">
        <v>8063</v>
      </c>
    </row>
    <row r="1458" spans="11:16" x14ac:dyDescent="0.25">
      <c r="K1458" s="75" t="s">
        <v>6885</v>
      </c>
      <c r="L1458" s="75" t="s">
        <v>349</v>
      </c>
      <c r="M1458" t="s">
        <v>10923</v>
      </c>
      <c r="N1458" s="75" t="s">
        <v>7595</v>
      </c>
      <c r="O1458" s="75" t="s">
        <v>362</v>
      </c>
      <c r="P1458" t="s">
        <v>8211</v>
      </c>
    </row>
    <row r="1459" spans="11:16" x14ac:dyDescent="0.25">
      <c r="K1459" s="75" t="s">
        <v>10835</v>
      </c>
      <c r="L1459" s="75" t="s">
        <v>2972</v>
      </c>
      <c r="M1459" t="s">
        <v>10873</v>
      </c>
      <c r="N1459" s="74" t="s">
        <v>7578</v>
      </c>
      <c r="O1459" s="74" t="s">
        <v>8203</v>
      </c>
      <c r="P1459" t="s">
        <v>8218</v>
      </c>
    </row>
    <row r="1460" spans="11:16" x14ac:dyDescent="0.25">
      <c r="K1460" s="75" t="s">
        <v>10189</v>
      </c>
      <c r="L1460" s="75" t="s">
        <v>363</v>
      </c>
      <c r="M1460" t="s">
        <v>10472</v>
      </c>
      <c r="N1460" s="75" t="s">
        <v>8088</v>
      </c>
      <c r="O1460" s="75" t="s">
        <v>8293</v>
      </c>
      <c r="P1460" t="s">
        <v>8331</v>
      </c>
    </row>
    <row r="1461" spans="11:16" x14ac:dyDescent="0.25">
      <c r="K1461" s="75" t="s">
        <v>9722</v>
      </c>
      <c r="L1461" s="75" t="s">
        <v>2972</v>
      </c>
      <c r="M1461" t="s">
        <v>10668</v>
      </c>
      <c r="N1461" s="75" t="s">
        <v>8926</v>
      </c>
      <c r="O1461" s="75" t="s">
        <v>8203</v>
      </c>
      <c r="P1461" t="s">
        <v>8954</v>
      </c>
    </row>
    <row r="1462" spans="11:16" x14ac:dyDescent="0.25">
      <c r="K1462" s="75" t="s">
        <v>10709</v>
      </c>
      <c r="L1462" s="75" t="s">
        <v>6621</v>
      </c>
      <c r="M1462" t="s">
        <v>10912</v>
      </c>
      <c r="N1462" s="75" t="s">
        <v>8783</v>
      </c>
      <c r="O1462" s="75" t="s">
        <v>337</v>
      </c>
      <c r="P1462" t="s">
        <v>8961</v>
      </c>
    </row>
    <row r="1463" spans="11:16" x14ac:dyDescent="0.25">
      <c r="K1463" s="74" t="s">
        <v>10783</v>
      </c>
      <c r="L1463" s="74" t="s">
        <v>746</v>
      </c>
      <c r="M1463" t="s">
        <v>10946</v>
      </c>
      <c r="N1463" s="75" t="s">
        <v>8835</v>
      </c>
      <c r="O1463" s="75" t="s">
        <v>350</v>
      </c>
      <c r="P1463" t="s">
        <v>8992</v>
      </c>
    </row>
    <row r="1464" spans="11:16" x14ac:dyDescent="0.25">
      <c r="K1464" s="75" t="s">
        <v>11659</v>
      </c>
      <c r="L1464" s="75" t="s">
        <v>1510</v>
      </c>
      <c r="M1464" t="s">
        <v>11711</v>
      </c>
      <c r="N1464" s="74" t="s">
        <v>8296</v>
      </c>
      <c r="O1464" s="74" t="s">
        <v>350</v>
      </c>
      <c r="P1464" t="s">
        <v>9121</v>
      </c>
    </row>
    <row r="1465" spans="11:16" x14ac:dyDescent="0.25">
      <c r="K1465" s="75" t="s">
        <v>10948</v>
      </c>
      <c r="L1465" s="75" t="s">
        <v>5101</v>
      </c>
      <c r="M1465" t="s">
        <v>11001</v>
      </c>
      <c r="N1465" s="75" t="s">
        <v>9145</v>
      </c>
      <c r="O1465" s="75" t="s">
        <v>8201</v>
      </c>
      <c r="P1465" t="s">
        <v>9383</v>
      </c>
    </row>
    <row r="1466" spans="11:16" x14ac:dyDescent="0.25">
      <c r="K1466" s="75" t="s">
        <v>10878</v>
      </c>
      <c r="L1466" s="75" t="s">
        <v>350</v>
      </c>
      <c r="M1466" t="s">
        <v>10963</v>
      </c>
      <c r="N1466" s="75" t="s">
        <v>9557</v>
      </c>
      <c r="O1466" s="75" t="s">
        <v>9422</v>
      </c>
      <c r="P1466" t="s">
        <v>9582</v>
      </c>
    </row>
    <row r="1467" spans="11:16" x14ac:dyDescent="0.25">
      <c r="K1467" s="75" t="s">
        <v>10876</v>
      </c>
      <c r="L1467" s="75" t="s">
        <v>745</v>
      </c>
      <c r="M1467" t="s">
        <v>10962</v>
      </c>
      <c r="N1467" s="75" t="s">
        <v>7510</v>
      </c>
      <c r="O1467" s="75" t="s">
        <v>8202</v>
      </c>
      <c r="P1467" t="s">
        <v>9677</v>
      </c>
    </row>
    <row r="1468" spans="11:16" x14ac:dyDescent="0.25">
      <c r="K1468" s="75" t="s">
        <v>10914</v>
      </c>
      <c r="L1468" s="75" t="s">
        <v>6621</v>
      </c>
      <c r="M1468" t="s">
        <v>10961</v>
      </c>
      <c r="N1468" s="75" t="s">
        <v>9863</v>
      </c>
      <c r="O1468" s="75" t="s">
        <v>9753</v>
      </c>
      <c r="P1468" t="s">
        <v>9941</v>
      </c>
    </row>
    <row r="1469" spans="11:16" x14ac:dyDescent="0.25">
      <c r="K1469" s="75" t="s">
        <v>10650</v>
      </c>
      <c r="L1469" s="75" t="s">
        <v>1661</v>
      </c>
      <c r="M1469" t="s">
        <v>11230</v>
      </c>
      <c r="N1469" s="75" t="s">
        <v>9772</v>
      </c>
      <c r="O1469" s="75" t="s">
        <v>348</v>
      </c>
      <c r="P1469" t="s">
        <v>9951</v>
      </c>
    </row>
    <row r="1470" spans="11:16" x14ac:dyDescent="0.25">
      <c r="K1470" s="75" t="s">
        <v>10617</v>
      </c>
      <c r="L1470" s="75" t="s">
        <v>5101</v>
      </c>
      <c r="M1470" t="s">
        <v>10911</v>
      </c>
      <c r="N1470" s="75" t="s">
        <v>10115</v>
      </c>
      <c r="O1470" s="216" t="s">
        <v>8203</v>
      </c>
      <c r="P1470" t="s">
        <v>10143</v>
      </c>
    </row>
    <row r="1471" spans="11:16" x14ac:dyDescent="0.25">
      <c r="K1471" s="75" t="s">
        <v>9721</v>
      </c>
      <c r="L1471" s="75" t="s">
        <v>5101</v>
      </c>
      <c r="M1471" t="s">
        <v>10020</v>
      </c>
      <c r="N1471" s="75" t="s">
        <v>10076</v>
      </c>
      <c r="O1471" s="75" t="s">
        <v>745</v>
      </c>
      <c r="P1471" t="s">
        <v>10267</v>
      </c>
    </row>
    <row r="1472" spans="11:16" x14ac:dyDescent="0.25">
      <c r="K1472" s="75" t="s">
        <v>7821</v>
      </c>
      <c r="L1472" s="75" t="s">
        <v>363</v>
      </c>
      <c r="M1472" t="s">
        <v>9660</v>
      </c>
      <c r="N1472" s="75" t="s">
        <v>8573</v>
      </c>
      <c r="O1472" s="75" t="s">
        <v>10253</v>
      </c>
      <c r="P1472" t="s">
        <v>10280</v>
      </c>
    </row>
    <row r="1473" spans="11:16" x14ac:dyDescent="0.25">
      <c r="K1473" s="75" t="s">
        <v>11228</v>
      </c>
      <c r="L1473" s="75" t="s">
        <v>350</v>
      </c>
      <c r="M1473" t="s">
        <v>11290</v>
      </c>
      <c r="N1473" s="75" t="s">
        <v>10274</v>
      </c>
      <c r="O1473" s="75" t="s">
        <v>8203</v>
      </c>
      <c r="P1473" t="s">
        <v>10351</v>
      </c>
    </row>
    <row r="1474" spans="11:16" x14ac:dyDescent="0.25">
      <c r="K1474" s="75" t="s">
        <v>11210</v>
      </c>
      <c r="L1474" s="75" t="s">
        <v>2972</v>
      </c>
      <c r="M1474" t="s">
        <v>11485</v>
      </c>
      <c r="N1474" s="75" t="s">
        <v>795</v>
      </c>
      <c r="O1474" s="75" t="s">
        <v>349</v>
      </c>
      <c r="P1474" t="s">
        <v>10328</v>
      </c>
    </row>
    <row r="1475" spans="11:16" x14ac:dyDescent="0.25">
      <c r="K1475" s="75" t="s">
        <v>11209</v>
      </c>
      <c r="L1475" s="75" t="s">
        <v>6621</v>
      </c>
      <c r="M1475" t="s">
        <v>11391</v>
      </c>
      <c r="N1475" s="75" t="s">
        <v>282</v>
      </c>
      <c r="O1475" s="75" t="s">
        <v>10253</v>
      </c>
      <c r="P1475" t="s">
        <v>10390</v>
      </c>
    </row>
    <row r="1476" spans="11:16" x14ac:dyDescent="0.25">
      <c r="K1476" s="75" t="s">
        <v>11164</v>
      </c>
      <c r="L1476" s="75" t="s">
        <v>5706</v>
      </c>
      <c r="M1476" t="s">
        <v>11390</v>
      </c>
      <c r="N1476" s="75" t="s">
        <v>10261</v>
      </c>
      <c r="O1476" s="75" t="s">
        <v>745</v>
      </c>
      <c r="P1476" t="s">
        <v>10388</v>
      </c>
    </row>
    <row r="1477" spans="11:16" x14ac:dyDescent="0.25">
      <c r="K1477" s="75" t="s">
        <v>10325</v>
      </c>
      <c r="L1477" s="75" t="s">
        <v>10738</v>
      </c>
      <c r="M1477" t="s">
        <v>11381</v>
      </c>
      <c r="N1477" s="75" t="s">
        <v>9654</v>
      </c>
      <c r="O1477" s="216" t="s">
        <v>745</v>
      </c>
      <c r="P1477" t="s">
        <v>9992</v>
      </c>
    </row>
    <row r="1478" spans="11:16" x14ac:dyDescent="0.25">
      <c r="K1478" s="75" t="s">
        <v>11704</v>
      </c>
      <c r="L1478" s="75" t="s">
        <v>10253</v>
      </c>
      <c r="M1478" t="s">
        <v>11708</v>
      </c>
      <c r="N1478" s="75" t="s">
        <v>673</v>
      </c>
      <c r="O1478" s="75" t="s">
        <v>349</v>
      </c>
      <c r="P1478" t="s">
        <v>10447</v>
      </c>
    </row>
    <row r="1479" spans="11:16" x14ac:dyDescent="0.25">
      <c r="K1479" s="74" t="s">
        <v>11263</v>
      </c>
      <c r="L1479" s="74" t="s">
        <v>349</v>
      </c>
      <c r="M1479" t="s">
        <v>11371</v>
      </c>
      <c r="N1479" s="75" t="s">
        <v>10362</v>
      </c>
      <c r="O1479" s="216" t="s">
        <v>10253</v>
      </c>
      <c r="P1479" t="s">
        <v>10504</v>
      </c>
    </row>
    <row r="1480" spans="11:16" x14ac:dyDescent="0.25">
      <c r="K1480" s="75" t="s">
        <v>11422</v>
      </c>
      <c r="L1480" s="75" t="s">
        <v>9422</v>
      </c>
      <c r="M1480" t="s">
        <v>11496</v>
      </c>
      <c r="N1480" s="75" t="s">
        <v>10399</v>
      </c>
      <c r="O1480" s="75" t="s">
        <v>8203</v>
      </c>
      <c r="P1480" t="s">
        <v>10503</v>
      </c>
    </row>
    <row r="1481" spans="11:16" x14ac:dyDescent="0.25">
      <c r="K1481" s="75" t="s">
        <v>10220</v>
      </c>
      <c r="L1481" s="75" t="s">
        <v>9749</v>
      </c>
      <c r="M1481" t="s">
        <v>11269</v>
      </c>
      <c r="N1481" s="74" t="s">
        <v>10505</v>
      </c>
      <c r="O1481" s="74" t="s">
        <v>10253</v>
      </c>
      <c r="P1481" t="s">
        <v>10567</v>
      </c>
    </row>
    <row r="1482" spans="11:16" x14ac:dyDescent="0.25">
      <c r="K1482" s="75" t="s">
        <v>5898</v>
      </c>
      <c r="L1482" s="75" t="s">
        <v>1661</v>
      </c>
      <c r="M1482" t="s">
        <v>11518</v>
      </c>
      <c r="N1482" s="75" t="s">
        <v>6436</v>
      </c>
      <c r="O1482" s="75" t="s">
        <v>746</v>
      </c>
      <c r="P1482" t="s">
        <v>10750</v>
      </c>
    </row>
    <row r="1483" spans="11:16" x14ac:dyDescent="0.25">
      <c r="K1483" s="75" t="s">
        <v>11229</v>
      </c>
      <c r="L1483" s="75" t="s">
        <v>8202</v>
      </c>
      <c r="M1483" t="s">
        <v>11515</v>
      </c>
      <c r="N1483" s="75" t="s">
        <v>3877</v>
      </c>
      <c r="O1483" s="216" t="s">
        <v>10253</v>
      </c>
      <c r="P1483" t="s">
        <v>10716</v>
      </c>
    </row>
    <row r="1484" spans="11:16" x14ac:dyDescent="0.25">
      <c r="K1484" s="75" t="s">
        <v>11262</v>
      </c>
      <c r="L1484" s="75" t="s">
        <v>336</v>
      </c>
      <c r="M1484" t="s">
        <v>11534</v>
      </c>
      <c r="N1484" s="75" t="s">
        <v>10474</v>
      </c>
      <c r="O1484" s="75" t="s">
        <v>745</v>
      </c>
      <c r="P1484" t="s">
        <v>10624</v>
      </c>
    </row>
    <row r="1485" spans="11:16" x14ac:dyDescent="0.25">
      <c r="K1485" s="75" t="s">
        <v>11430</v>
      </c>
      <c r="L1485" s="216" t="s">
        <v>5101</v>
      </c>
      <c r="M1485" t="s">
        <v>11583</v>
      </c>
      <c r="N1485" s="75" t="s">
        <v>8783</v>
      </c>
      <c r="O1485" s="75" t="s">
        <v>936</v>
      </c>
      <c r="P1485" t="s">
        <v>10621</v>
      </c>
    </row>
    <row r="1486" spans="11:16" x14ac:dyDescent="0.25">
      <c r="K1486" s="75" t="s">
        <v>11328</v>
      </c>
      <c r="L1486" s="75" t="s">
        <v>349</v>
      </c>
      <c r="M1486" t="s">
        <v>11570</v>
      </c>
      <c r="N1486" s="75" t="s">
        <v>10408</v>
      </c>
      <c r="O1486" s="75" t="s">
        <v>349</v>
      </c>
      <c r="P1486" t="s">
        <v>10547</v>
      </c>
    </row>
    <row r="1487" spans="11:16" x14ac:dyDescent="0.25">
      <c r="K1487" s="75" t="s">
        <v>11402</v>
      </c>
      <c r="L1487" s="75" t="s">
        <v>5706</v>
      </c>
      <c r="M1487" t="s">
        <v>11791</v>
      </c>
      <c r="N1487" s="75" t="s">
        <v>10401</v>
      </c>
      <c r="O1487" s="75" t="s">
        <v>745</v>
      </c>
      <c r="P1487" t="s">
        <v>10484</v>
      </c>
    </row>
    <row r="1488" spans="11:16" x14ac:dyDescent="0.25">
      <c r="K1488" s="75" t="s">
        <v>11592</v>
      </c>
      <c r="L1488" s="75" t="s">
        <v>3704</v>
      </c>
      <c r="M1488" t="s">
        <v>11615</v>
      </c>
      <c r="N1488" s="75" t="s">
        <v>10947</v>
      </c>
      <c r="O1488" s="75" t="s">
        <v>746</v>
      </c>
      <c r="P1488" t="s">
        <v>11042</v>
      </c>
    </row>
    <row r="1489" spans="10:16" x14ac:dyDescent="0.25">
      <c r="K1489" s="75" t="s">
        <v>11563</v>
      </c>
      <c r="L1489" s="75" t="s">
        <v>336</v>
      </c>
      <c r="M1489" t="s">
        <v>11616</v>
      </c>
      <c r="N1489" s="75" t="s">
        <v>10859</v>
      </c>
      <c r="O1489" s="75" t="s">
        <v>2972</v>
      </c>
      <c r="P1489" t="s">
        <v>11034</v>
      </c>
    </row>
    <row r="1490" spans="10:16" x14ac:dyDescent="0.25">
      <c r="K1490" s="75" t="s">
        <v>11748</v>
      </c>
      <c r="L1490" s="216" t="s">
        <v>746</v>
      </c>
      <c r="M1490" t="s">
        <v>11903</v>
      </c>
      <c r="N1490" s="75" t="s">
        <v>8835</v>
      </c>
      <c r="O1490" s="216" t="s">
        <v>8202</v>
      </c>
      <c r="P1490" t="s">
        <v>11067</v>
      </c>
    </row>
    <row r="1491" spans="10:16" x14ac:dyDescent="0.25">
      <c r="K1491" s="74" t="s">
        <v>7029</v>
      </c>
      <c r="L1491" s="74" t="s">
        <v>1661</v>
      </c>
      <c r="M1491" t="s">
        <v>11815</v>
      </c>
      <c r="N1491" s="75" t="s">
        <v>11161</v>
      </c>
      <c r="O1491" s="75" t="s">
        <v>6621</v>
      </c>
      <c r="P1491" t="s">
        <v>11162</v>
      </c>
    </row>
    <row r="1492" spans="10:16" x14ac:dyDescent="0.25">
      <c r="J1492" s="116"/>
      <c r="K1492" s="75" t="s">
        <v>11519</v>
      </c>
      <c r="L1492" s="75" t="s">
        <v>12062</v>
      </c>
      <c r="M1492" t="s">
        <v>12083</v>
      </c>
      <c r="N1492" s="75" t="s">
        <v>11165</v>
      </c>
      <c r="O1492" s="75" t="s">
        <v>349</v>
      </c>
      <c r="P1492" t="s">
        <v>11256</v>
      </c>
    </row>
    <row r="1493" spans="10:16" x14ac:dyDescent="0.25">
      <c r="K1493" s="75" t="s">
        <v>12091</v>
      </c>
      <c r="L1493" s="75" t="s">
        <v>12062</v>
      </c>
      <c r="M1493" t="s">
        <v>12133</v>
      </c>
      <c r="N1493" s="75" t="s">
        <v>5444</v>
      </c>
      <c r="O1493" s="75" t="s">
        <v>745</v>
      </c>
      <c r="P1493" t="s">
        <v>11219</v>
      </c>
    </row>
    <row r="1494" spans="10:16" x14ac:dyDescent="0.25">
      <c r="K1494" s="75" t="s">
        <v>12159</v>
      </c>
      <c r="L1494" s="75" t="s">
        <v>10888</v>
      </c>
      <c r="M1494" t="s">
        <v>12035</v>
      </c>
      <c r="N1494" s="75" t="s">
        <v>1277</v>
      </c>
      <c r="O1494" s="75" t="s">
        <v>746</v>
      </c>
      <c r="P1494" t="s">
        <v>11174</v>
      </c>
    </row>
    <row r="1495" spans="10:16" x14ac:dyDescent="0.25">
      <c r="K1495" s="74" t="s">
        <v>11936</v>
      </c>
      <c r="L1495" s="75" t="s">
        <v>5101</v>
      </c>
      <c r="M1495" t="s">
        <v>12000</v>
      </c>
      <c r="N1495" s="75" t="s">
        <v>6574</v>
      </c>
      <c r="O1495" s="75" t="s">
        <v>2972</v>
      </c>
      <c r="P1495" t="s">
        <v>11352</v>
      </c>
    </row>
    <row r="1496" spans="10:16" x14ac:dyDescent="0.25">
      <c r="K1496" s="74" t="s">
        <v>11750</v>
      </c>
      <c r="L1496" s="74" t="s">
        <v>746</v>
      </c>
      <c r="M1496" t="s">
        <v>11980</v>
      </c>
      <c r="N1496" s="75" t="s">
        <v>7468</v>
      </c>
      <c r="O1496" s="75" t="s">
        <v>349</v>
      </c>
      <c r="P1496" t="s">
        <v>11066</v>
      </c>
    </row>
    <row r="1497" spans="10:16" x14ac:dyDescent="0.25">
      <c r="K1497" s="75" t="s">
        <v>12284</v>
      </c>
      <c r="L1497" s="75" t="s">
        <v>12063</v>
      </c>
      <c r="M1497" t="s">
        <v>12287</v>
      </c>
      <c r="N1497" s="75" t="s">
        <v>11307</v>
      </c>
      <c r="O1497" s="75" t="s">
        <v>5101</v>
      </c>
      <c r="P1497" t="s">
        <v>11425</v>
      </c>
    </row>
    <row r="1498" spans="10:16" x14ac:dyDescent="0.25">
      <c r="K1498" s="75" t="s">
        <v>12288</v>
      </c>
      <c r="L1498" s="75" t="s">
        <v>12063</v>
      </c>
      <c r="M1498" t="s">
        <v>12324</v>
      </c>
      <c r="N1498" s="75" t="s">
        <v>11346</v>
      </c>
      <c r="O1498" s="75" t="s">
        <v>10253</v>
      </c>
      <c r="P1498" t="s">
        <v>11431</v>
      </c>
    </row>
    <row r="1499" spans="10:16" x14ac:dyDescent="0.25">
      <c r="K1499" s="75" t="s">
        <v>11906</v>
      </c>
      <c r="L1499" s="75" t="s">
        <v>485</v>
      </c>
      <c r="M1499" t="s">
        <v>11790</v>
      </c>
      <c r="N1499" s="75" t="s">
        <v>10913</v>
      </c>
      <c r="O1499" s="216" t="s">
        <v>9422</v>
      </c>
      <c r="P1499" t="s">
        <v>11065</v>
      </c>
    </row>
    <row r="1500" spans="10:16" x14ac:dyDescent="0.25">
      <c r="K1500" s="75" t="s">
        <v>12214</v>
      </c>
      <c r="L1500" s="75" t="s">
        <v>8202</v>
      </c>
      <c r="M1500" t="s">
        <v>12297</v>
      </c>
      <c r="N1500" s="75" t="s">
        <v>10884</v>
      </c>
      <c r="O1500" s="75" t="s">
        <v>9885</v>
      </c>
      <c r="P1500" t="s">
        <v>11033</v>
      </c>
    </row>
    <row r="1501" spans="10:16" x14ac:dyDescent="0.25">
      <c r="K1501" s="75" t="s">
        <v>11435</v>
      </c>
      <c r="L1501" s="75" t="s">
        <v>485</v>
      </c>
      <c r="M1501" t="s">
        <v>12404</v>
      </c>
      <c r="N1501" s="75" t="s">
        <v>11398</v>
      </c>
      <c r="O1501" s="216" t="s">
        <v>9422</v>
      </c>
      <c r="P1501" t="s">
        <v>11517</v>
      </c>
    </row>
    <row r="1502" spans="10:16" x14ac:dyDescent="0.25">
      <c r="K1502" s="75" t="s">
        <v>12258</v>
      </c>
      <c r="L1502" s="75" t="s">
        <v>1661</v>
      </c>
      <c r="M1502" t="s">
        <v>12427</v>
      </c>
      <c r="N1502" s="75" t="s">
        <v>11444</v>
      </c>
      <c r="O1502" s="75" t="s">
        <v>10253</v>
      </c>
      <c r="P1502" t="s">
        <v>11582</v>
      </c>
    </row>
    <row r="1503" spans="10:16" x14ac:dyDescent="0.25">
      <c r="K1503" s="75" t="s">
        <v>12339</v>
      </c>
      <c r="L1503" s="75" t="s">
        <v>1606</v>
      </c>
      <c r="M1503" t="s">
        <v>12459</v>
      </c>
      <c r="N1503" s="75" t="s">
        <v>11581</v>
      </c>
      <c r="O1503" s="75" t="s">
        <v>2972</v>
      </c>
      <c r="P1503" t="s">
        <v>11706</v>
      </c>
    </row>
    <row r="1504" spans="10:16" x14ac:dyDescent="0.25">
      <c r="K1504" s="75" t="s">
        <v>12410</v>
      </c>
      <c r="L1504" s="75" t="s">
        <v>344</v>
      </c>
      <c r="M1504" t="s">
        <v>12424</v>
      </c>
      <c r="N1504" s="75" t="s">
        <v>14958</v>
      </c>
      <c r="O1504" s="75" t="s">
        <v>7659</v>
      </c>
      <c r="P1504" t="s">
        <v>15020</v>
      </c>
    </row>
    <row r="1505" spans="8:16" x14ac:dyDescent="0.25">
      <c r="K1505" s="75" t="s">
        <v>12527</v>
      </c>
      <c r="L1505" s="75" t="s">
        <v>12528</v>
      </c>
      <c r="M1505" t="s">
        <v>12542</v>
      </c>
      <c r="N1505" s="75" t="s">
        <v>12559</v>
      </c>
      <c r="O1505" s="75" t="s">
        <v>1661</v>
      </c>
      <c r="P1505" t="s">
        <v>12669</v>
      </c>
    </row>
    <row r="1506" spans="8:16" x14ac:dyDescent="0.25">
      <c r="K1506" s="75" t="s">
        <v>12430</v>
      </c>
      <c r="L1506" s="216" t="s">
        <v>1661</v>
      </c>
      <c r="M1506" t="s">
        <v>12558</v>
      </c>
      <c r="N1506" s="75" t="s">
        <v>11541</v>
      </c>
      <c r="O1506" s="75" t="s">
        <v>350</v>
      </c>
      <c r="P1506" t="s">
        <v>11589</v>
      </c>
    </row>
    <row r="1507" spans="8:16" x14ac:dyDescent="0.25">
      <c r="K1507" s="74" t="s">
        <v>12338</v>
      </c>
      <c r="L1507" s="74" t="s">
        <v>344</v>
      </c>
      <c r="M1507" t="s">
        <v>12411</v>
      </c>
      <c r="N1507" s="75" t="s">
        <v>12721</v>
      </c>
      <c r="O1507" s="75" t="s">
        <v>12659</v>
      </c>
      <c r="P1507" t="s">
        <v>12868</v>
      </c>
    </row>
    <row r="1508" spans="8:16" x14ac:dyDescent="0.25">
      <c r="K1508" s="75" t="s">
        <v>11435</v>
      </c>
      <c r="L1508" s="216" t="s">
        <v>362</v>
      </c>
      <c r="M1508" t="s">
        <v>9466</v>
      </c>
      <c r="N1508" s="75" t="s">
        <v>11379</v>
      </c>
      <c r="O1508" s="75" t="s">
        <v>349</v>
      </c>
      <c r="P1508" t="s">
        <v>11495</v>
      </c>
    </row>
    <row r="1509" spans="8:16" x14ac:dyDescent="0.25">
      <c r="K1509" s="75" t="s">
        <v>12490</v>
      </c>
      <c r="L1509" s="75" t="s">
        <v>2970</v>
      </c>
      <c r="M1509" t="s">
        <v>12628</v>
      </c>
      <c r="N1509" s="75" t="s">
        <v>12932</v>
      </c>
      <c r="O1509" s="75" t="s">
        <v>12528</v>
      </c>
      <c r="P1509" t="s">
        <v>13077</v>
      </c>
    </row>
    <row r="1510" spans="8:16" x14ac:dyDescent="0.25">
      <c r="K1510" s="75" t="s">
        <v>9270</v>
      </c>
      <c r="L1510" s="75" t="s">
        <v>6621</v>
      </c>
      <c r="M1510" t="s">
        <v>9411</v>
      </c>
      <c r="N1510" s="75" t="s">
        <v>12884</v>
      </c>
      <c r="O1510" s="75" t="s">
        <v>12885</v>
      </c>
      <c r="P1510" t="s">
        <v>12974</v>
      </c>
    </row>
    <row r="1511" spans="8:16" x14ac:dyDescent="0.25">
      <c r="K1511" s="75" t="s">
        <v>12668</v>
      </c>
      <c r="L1511" s="216" t="s">
        <v>1661</v>
      </c>
      <c r="M1511" t="s">
        <v>12709</v>
      </c>
      <c r="N1511" s="75" t="s">
        <v>12841</v>
      </c>
      <c r="O1511" s="75" t="s">
        <v>12528</v>
      </c>
      <c r="P1511" t="s">
        <v>12933</v>
      </c>
    </row>
    <row r="1512" spans="8:16" x14ac:dyDescent="0.25">
      <c r="K1512" s="75" t="s">
        <v>12605</v>
      </c>
      <c r="L1512" s="75" t="s">
        <v>12659</v>
      </c>
      <c r="M1512" t="s">
        <v>12675</v>
      </c>
      <c r="N1512" s="75" t="s">
        <v>10377</v>
      </c>
      <c r="O1512" s="75" t="s">
        <v>745</v>
      </c>
      <c r="P1512" t="s">
        <v>10457</v>
      </c>
    </row>
    <row r="1513" spans="8:16" x14ac:dyDescent="0.25">
      <c r="H1513" t="s">
        <v>47</v>
      </c>
      <c r="K1513" s="75" t="s">
        <v>12624</v>
      </c>
      <c r="L1513" s="75" t="s">
        <v>1457</v>
      </c>
      <c r="M1513" t="s">
        <v>12767</v>
      </c>
      <c r="N1513" s="75" t="s">
        <v>7468</v>
      </c>
      <c r="O1513" s="75" t="s">
        <v>12528</v>
      </c>
      <c r="P1513" t="s">
        <v>13216</v>
      </c>
    </row>
    <row r="1514" spans="8:16" x14ac:dyDescent="0.25">
      <c r="K1514" s="75" t="s">
        <v>12718</v>
      </c>
      <c r="L1514" s="75" t="s">
        <v>2972</v>
      </c>
      <c r="M1514" t="s">
        <v>12753</v>
      </c>
      <c r="N1514" s="75" t="s">
        <v>13117</v>
      </c>
      <c r="O1514" s="75" t="s">
        <v>12885</v>
      </c>
      <c r="P1514" t="s">
        <v>13215</v>
      </c>
    </row>
    <row r="1515" spans="8:16" x14ac:dyDescent="0.25">
      <c r="K1515" s="75" t="s">
        <v>12768</v>
      </c>
      <c r="L1515" s="75" t="s">
        <v>1457</v>
      </c>
      <c r="M1515" t="s">
        <v>12815</v>
      </c>
      <c r="N1515" s="75" t="s">
        <v>795</v>
      </c>
      <c r="O1515" s="75" t="s">
        <v>12528</v>
      </c>
      <c r="P1515" t="s">
        <v>13312</v>
      </c>
    </row>
    <row r="1516" spans="8:16" x14ac:dyDescent="0.25">
      <c r="K1516" s="75" t="s">
        <v>12720</v>
      </c>
      <c r="L1516" s="75" t="s">
        <v>350</v>
      </c>
      <c r="M1516" t="s">
        <v>12876</v>
      </c>
      <c r="N1516" s="75" t="s">
        <v>13219</v>
      </c>
      <c r="O1516" s="75" t="s">
        <v>5101</v>
      </c>
      <c r="P1516" t="s">
        <v>13289</v>
      </c>
    </row>
    <row r="1517" spans="8:16" x14ac:dyDescent="0.25">
      <c r="K1517" s="75" t="s">
        <v>12793</v>
      </c>
      <c r="L1517" s="290" t="s">
        <v>1510</v>
      </c>
      <c r="M1517" t="s">
        <v>12861</v>
      </c>
      <c r="N1517" s="75" t="s">
        <v>13859</v>
      </c>
      <c r="O1517" s="75" t="s">
        <v>5101</v>
      </c>
      <c r="P1517" t="s">
        <v>13980</v>
      </c>
    </row>
    <row r="1518" spans="8:16" x14ac:dyDescent="0.25">
      <c r="K1518" s="75" t="s">
        <v>12816</v>
      </c>
      <c r="L1518" s="75" t="s">
        <v>1457</v>
      </c>
      <c r="M1518" t="s">
        <v>12883</v>
      </c>
      <c r="N1518" s="75" t="s">
        <v>6436</v>
      </c>
      <c r="O1518" s="75" t="s">
        <v>12528</v>
      </c>
      <c r="P1518" t="s">
        <v>13697</v>
      </c>
    </row>
    <row r="1519" spans="8:16" x14ac:dyDescent="0.25">
      <c r="K1519" s="75" t="s">
        <v>12882</v>
      </c>
      <c r="L1519" s="75" t="s">
        <v>2972</v>
      </c>
      <c r="M1519" t="s">
        <v>12927</v>
      </c>
      <c r="N1519" s="75" t="s">
        <v>9773</v>
      </c>
      <c r="O1519" s="75" t="s">
        <v>12528</v>
      </c>
      <c r="P1519" t="s">
        <v>13518</v>
      </c>
    </row>
    <row r="1520" spans="8:16" x14ac:dyDescent="0.25">
      <c r="K1520" s="75" t="s">
        <v>12845</v>
      </c>
      <c r="L1520" s="75" t="s">
        <v>350</v>
      </c>
      <c r="M1520" t="s">
        <v>12926</v>
      </c>
      <c r="N1520" s="75" t="s">
        <v>14411</v>
      </c>
      <c r="O1520" s="290" t="s">
        <v>1510</v>
      </c>
      <c r="P1520" t="s">
        <v>14546</v>
      </c>
    </row>
    <row r="1521" spans="11:16" x14ac:dyDescent="0.25">
      <c r="K1521" s="75" t="s">
        <v>12896</v>
      </c>
      <c r="L1521" s="75" t="s">
        <v>1457</v>
      </c>
      <c r="M1521" t="s">
        <v>12931</v>
      </c>
      <c r="N1521" s="75" t="s">
        <v>11581</v>
      </c>
      <c r="O1521" s="75" t="s">
        <v>1510</v>
      </c>
      <c r="P1521" t="s">
        <v>14722</v>
      </c>
    </row>
    <row r="1522" spans="11:16" x14ac:dyDescent="0.25">
      <c r="K1522" s="75" t="s">
        <v>12606</v>
      </c>
      <c r="L1522" s="75" t="s">
        <v>6621</v>
      </c>
      <c r="M1522" t="s">
        <v>12851</v>
      </c>
      <c r="N1522" s="74" t="s">
        <v>11346</v>
      </c>
      <c r="O1522" s="74" t="s">
        <v>349</v>
      </c>
      <c r="P1522" t="s">
        <v>14808</v>
      </c>
    </row>
    <row r="1523" spans="11:16" x14ac:dyDescent="0.25">
      <c r="K1523" s="75" t="s">
        <v>12543</v>
      </c>
      <c r="L1523" s="216" t="s">
        <v>12659</v>
      </c>
      <c r="M1523" t="s">
        <v>12975</v>
      </c>
      <c r="N1523" s="75" t="s">
        <v>13472</v>
      </c>
      <c r="O1523" s="75" t="s">
        <v>1661</v>
      </c>
      <c r="P1523" t="s">
        <v>14415</v>
      </c>
    </row>
    <row r="1524" spans="11:16" x14ac:dyDescent="0.25">
      <c r="K1524" s="75" t="s">
        <v>12657</v>
      </c>
      <c r="L1524" s="75" t="s">
        <v>1661</v>
      </c>
      <c r="M1524" t="s">
        <v>12795</v>
      </c>
      <c r="N1524" s="75" t="s">
        <v>7632</v>
      </c>
      <c r="O1524" s="75" t="s">
        <v>14450</v>
      </c>
      <c r="P1524" t="s">
        <v>15120</v>
      </c>
    </row>
    <row r="1525" spans="11:16" x14ac:dyDescent="0.25">
      <c r="K1525" s="75" t="s">
        <v>13000</v>
      </c>
      <c r="L1525" s="75" t="s">
        <v>12885</v>
      </c>
      <c r="M1525" t="s">
        <v>13094</v>
      </c>
    </row>
    <row r="1526" spans="11:16" x14ac:dyDescent="0.25">
      <c r="K1526" s="75" t="s">
        <v>12929</v>
      </c>
      <c r="L1526" s="75" t="s">
        <v>12885</v>
      </c>
      <c r="M1526" t="s">
        <v>13112</v>
      </c>
    </row>
    <row r="1527" spans="11:16" x14ac:dyDescent="0.25">
      <c r="K1527" s="75" t="s">
        <v>9722</v>
      </c>
      <c r="L1527" s="75" t="s">
        <v>13105</v>
      </c>
      <c r="M1527" t="s">
        <v>13278</v>
      </c>
    </row>
    <row r="1528" spans="11:16" x14ac:dyDescent="0.25">
      <c r="K1528" s="74" t="s">
        <v>13200</v>
      </c>
      <c r="L1528" s="74" t="s">
        <v>12659</v>
      </c>
      <c r="M1528" t="s">
        <v>13260</v>
      </c>
    </row>
    <row r="1529" spans="11:16" x14ac:dyDescent="0.25">
      <c r="K1529" s="75" t="s">
        <v>12955</v>
      </c>
      <c r="L1529" s="75" t="s">
        <v>1510</v>
      </c>
      <c r="M1529" t="s">
        <v>13209</v>
      </c>
    </row>
    <row r="1530" spans="11:16" x14ac:dyDescent="0.25">
      <c r="K1530" s="75" t="s">
        <v>12939</v>
      </c>
      <c r="L1530" s="75" t="s">
        <v>6621</v>
      </c>
      <c r="M1530" t="s">
        <v>13170</v>
      </c>
    </row>
    <row r="1531" spans="11:16" x14ac:dyDescent="0.25">
      <c r="K1531" s="75" t="s">
        <v>13283</v>
      </c>
      <c r="L1531" s="75" t="s">
        <v>13284</v>
      </c>
      <c r="M1531" t="s">
        <v>13483</v>
      </c>
    </row>
    <row r="1532" spans="11:16" x14ac:dyDescent="0.25">
      <c r="K1532" s="74" t="s">
        <v>13106</v>
      </c>
      <c r="L1532" s="74" t="s">
        <v>485</v>
      </c>
      <c r="M1532" t="s">
        <v>13323</v>
      </c>
    </row>
    <row r="1533" spans="11:16" x14ac:dyDescent="0.25">
      <c r="K1533" s="75" t="s">
        <v>6530</v>
      </c>
      <c r="L1533" s="75" t="s">
        <v>349</v>
      </c>
      <c r="M1533" t="s">
        <v>13322</v>
      </c>
    </row>
    <row r="1534" spans="11:16" x14ac:dyDescent="0.25">
      <c r="K1534" s="75" t="s">
        <v>13153</v>
      </c>
      <c r="L1534" s="75" t="s">
        <v>1661</v>
      </c>
      <c r="M1534" t="s">
        <v>13339</v>
      </c>
    </row>
    <row r="1535" spans="11:16" x14ac:dyDescent="0.25">
      <c r="K1535" s="75" t="s">
        <v>13388</v>
      </c>
      <c r="L1535" s="75" t="s">
        <v>1661</v>
      </c>
      <c r="M1535" t="s">
        <v>13519</v>
      </c>
    </row>
    <row r="1536" spans="11:16" x14ac:dyDescent="0.25">
      <c r="K1536" s="75" t="s">
        <v>13337</v>
      </c>
      <c r="L1536" s="75" t="s">
        <v>2972</v>
      </c>
      <c r="M1536" t="s">
        <v>13521</v>
      </c>
    </row>
    <row r="1537" spans="11:13" x14ac:dyDescent="0.25">
      <c r="K1537" s="75" t="s">
        <v>13318</v>
      </c>
      <c r="L1537" s="75" t="s">
        <v>349</v>
      </c>
      <c r="M1537" t="s">
        <v>13456</v>
      </c>
    </row>
    <row r="1538" spans="11:13" x14ac:dyDescent="0.25">
      <c r="K1538" s="75" t="s">
        <v>13520</v>
      </c>
      <c r="L1538" s="75" t="s">
        <v>1661</v>
      </c>
      <c r="M1538" t="s">
        <v>13694</v>
      </c>
    </row>
    <row r="1539" spans="11:13" x14ac:dyDescent="0.25">
      <c r="K1539" s="75" t="s">
        <v>13282</v>
      </c>
      <c r="L1539" s="75" t="s">
        <v>12659</v>
      </c>
      <c r="M1539" t="s">
        <v>13360</v>
      </c>
    </row>
    <row r="1540" spans="11:13" x14ac:dyDescent="0.25">
      <c r="K1540" s="75" t="s">
        <v>13638</v>
      </c>
      <c r="L1540" s="75" t="s">
        <v>13105</v>
      </c>
      <c r="M1540" t="s">
        <v>13743</v>
      </c>
    </row>
    <row r="1541" spans="11:13" x14ac:dyDescent="0.25">
      <c r="K1541" s="75" t="s">
        <v>13739</v>
      </c>
      <c r="L1541" s="75" t="s">
        <v>5101</v>
      </c>
      <c r="M1541" t="s">
        <v>13857</v>
      </c>
    </row>
    <row r="1542" spans="11:13" x14ac:dyDescent="0.25">
      <c r="K1542" s="75" t="s">
        <v>13691</v>
      </c>
      <c r="L1542" s="75" t="s">
        <v>1661</v>
      </c>
      <c r="M1542" t="s">
        <v>13895</v>
      </c>
    </row>
    <row r="1543" spans="11:13" x14ac:dyDescent="0.25">
      <c r="K1543" s="74" t="s">
        <v>13914</v>
      </c>
      <c r="L1543" s="74" t="s">
        <v>1661</v>
      </c>
      <c r="M1543" t="s">
        <v>13935</v>
      </c>
    </row>
    <row r="1544" spans="11:13" x14ac:dyDescent="0.25">
      <c r="K1544" s="75" t="s">
        <v>13750</v>
      </c>
      <c r="L1544" s="75" t="s">
        <v>6878</v>
      </c>
      <c r="M1544" t="s">
        <v>13834</v>
      </c>
    </row>
    <row r="1545" spans="11:13" x14ac:dyDescent="0.25">
      <c r="K1545" s="75" t="s">
        <v>13998</v>
      </c>
      <c r="L1545" s="75" t="s">
        <v>6621</v>
      </c>
      <c r="M1545" t="s">
        <v>13999</v>
      </c>
    </row>
    <row r="1546" spans="11:13" x14ac:dyDescent="0.25">
      <c r="K1546" s="75" t="s">
        <v>13876</v>
      </c>
      <c r="L1546" t="s">
        <v>6621</v>
      </c>
      <c r="M1546" t="s">
        <v>14035</v>
      </c>
    </row>
    <row r="1547" spans="11:13" x14ac:dyDescent="0.25">
      <c r="K1547" s="75" t="s">
        <v>12939</v>
      </c>
      <c r="L1547" s="75" t="s">
        <v>1661</v>
      </c>
      <c r="M1547" t="s">
        <v>14142</v>
      </c>
    </row>
    <row r="1548" spans="11:13" x14ac:dyDescent="0.25">
      <c r="K1548" s="75" t="s">
        <v>12605</v>
      </c>
      <c r="L1548" s="75" t="s">
        <v>1661</v>
      </c>
      <c r="M1548" t="s">
        <v>14069</v>
      </c>
    </row>
    <row r="1549" spans="11:13" x14ac:dyDescent="0.25">
      <c r="K1549" s="75" t="s">
        <v>13738</v>
      </c>
      <c r="L1549" s="75" t="s">
        <v>6621</v>
      </c>
      <c r="M1549" t="s">
        <v>13970</v>
      </c>
    </row>
    <row r="1550" spans="11:13" x14ac:dyDescent="0.25">
      <c r="K1550" s="75" t="s">
        <v>14180</v>
      </c>
      <c r="L1550" s="75" t="s">
        <v>1510</v>
      </c>
      <c r="M1550" t="s">
        <v>14227</v>
      </c>
    </row>
    <row r="1551" spans="11:13" x14ac:dyDescent="0.25">
      <c r="K1551" s="75" t="s">
        <v>13959</v>
      </c>
      <c r="L1551" s="75" t="s">
        <v>6878</v>
      </c>
      <c r="M1551" t="s">
        <v>14301</v>
      </c>
    </row>
    <row r="1552" spans="11:13" x14ac:dyDescent="0.25">
      <c r="K1552" s="75" t="s">
        <v>8400</v>
      </c>
      <c r="L1552" s="75" t="s">
        <v>1661</v>
      </c>
      <c r="M1552" t="s">
        <v>14329</v>
      </c>
    </row>
    <row r="1553" spans="11:13" x14ac:dyDescent="0.25">
      <c r="K1553" s="75" t="s">
        <v>14330</v>
      </c>
      <c r="L1553" s="75" t="s">
        <v>1661</v>
      </c>
      <c r="M1553" t="s">
        <v>14398</v>
      </c>
    </row>
    <row r="1554" spans="11:13" x14ac:dyDescent="0.25">
      <c r="K1554" s="75" t="s">
        <v>14324</v>
      </c>
      <c r="L1554" s="75" t="s">
        <v>6621</v>
      </c>
      <c r="M1554" t="s">
        <v>14486</v>
      </c>
    </row>
    <row r="1555" spans="11:13" x14ac:dyDescent="0.25">
      <c r="K1555" s="75" t="s">
        <v>14497</v>
      </c>
      <c r="L1555" s="75" t="s">
        <v>349</v>
      </c>
      <c r="M1555" t="s">
        <v>14550</v>
      </c>
    </row>
    <row r="1556" spans="11:13" x14ac:dyDescent="0.25">
      <c r="K1556" s="75" t="s">
        <v>14372</v>
      </c>
      <c r="L1556" s="75" t="s">
        <v>377</v>
      </c>
      <c r="M1556" t="s">
        <v>14502</v>
      </c>
    </row>
    <row r="1557" spans="11:13" x14ac:dyDescent="0.25">
      <c r="K1557" s="75" t="s">
        <v>14189</v>
      </c>
      <c r="L1557" s="75" t="s">
        <v>6621</v>
      </c>
      <c r="M1557" t="s">
        <v>14435</v>
      </c>
    </row>
    <row r="1558" spans="11:13" x14ac:dyDescent="0.25">
      <c r="K1558" s="75" t="s">
        <v>14178</v>
      </c>
      <c r="L1558" s="75" t="s">
        <v>6621</v>
      </c>
      <c r="M1558" t="s">
        <v>14254</v>
      </c>
    </row>
    <row r="1559" spans="11:13" x14ac:dyDescent="0.25">
      <c r="K1559" s="75" t="s">
        <v>2613</v>
      </c>
      <c r="L1559" s="290" t="s">
        <v>6621</v>
      </c>
      <c r="M1559" t="s">
        <v>14700</v>
      </c>
    </row>
    <row r="1560" spans="11:13" x14ac:dyDescent="0.25">
      <c r="K1560" s="75" t="s">
        <v>14558</v>
      </c>
      <c r="L1560" s="75" t="s">
        <v>1510</v>
      </c>
      <c r="M1560" t="s">
        <v>14699</v>
      </c>
    </row>
    <row r="1561" spans="11:13" x14ac:dyDescent="0.25">
      <c r="K1561" s="75" t="s">
        <v>13220</v>
      </c>
      <c r="L1561" s="216" t="s">
        <v>13493</v>
      </c>
      <c r="M1561" t="s">
        <v>13755</v>
      </c>
    </row>
    <row r="1562" spans="11:13" x14ac:dyDescent="0.25">
      <c r="K1562" s="74" t="s">
        <v>14649</v>
      </c>
      <c r="L1562" s="290" t="s">
        <v>348</v>
      </c>
      <c r="M1562" t="s">
        <v>14873</v>
      </c>
    </row>
    <row r="1563" spans="11:13" x14ac:dyDescent="0.25">
      <c r="K1563" s="75" t="s">
        <v>13326</v>
      </c>
      <c r="L1563" s="75" t="s">
        <v>12658</v>
      </c>
      <c r="M1563" t="s">
        <v>13359</v>
      </c>
    </row>
    <row r="1564" spans="11:13" x14ac:dyDescent="0.25">
      <c r="K1564" s="75" t="s">
        <v>14721</v>
      </c>
      <c r="L1564" s="75" t="s">
        <v>14450</v>
      </c>
      <c r="M1564" t="s">
        <v>14876</v>
      </c>
    </row>
    <row r="1565" spans="11:13" x14ac:dyDescent="0.25">
      <c r="K1565" s="75" t="s">
        <v>14720</v>
      </c>
      <c r="L1565" s="75" t="s">
        <v>14450</v>
      </c>
      <c r="M1565" t="s">
        <v>14999</v>
      </c>
    </row>
    <row r="1566" spans="11:13" x14ac:dyDescent="0.25">
      <c r="K1566" s="74" t="s">
        <v>15046</v>
      </c>
      <c r="L1566" s="74" t="s">
        <v>11</v>
      </c>
      <c r="M1566" t="s">
        <v>15053</v>
      </c>
    </row>
    <row r="1567" spans="11:13" x14ac:dyDescent="0.25">
      <c r="K1567" s="75" t="s">
        <v>14723</v>
      </c>
      <c r="L1567" s="75" t="s">
        <v>7659</v>
      </c>
      <c r="M1567" t="s">
        <v>14957</v>
      </c>
    </row>
    <row r="1568" spans="11:13" x14ac:dyDescent="0.25">
      <c r="K1568" s="75" t="s">
        <v>14858</v>
      </c>
      <c r="L1568" s="75" t="s">
        <v>6621</v>
      </c>
      <c r="M1568" t="s">
        <v>15070</v>
      </c>
    </row>
    <row r="1607" spans="1:26" x14ac:dyDescent="0.25">
      <c r="T1607" s="118"/>
      <c r="U1607" s="118"/>
      <c r="V1607" s="118"/>
    </row>
    <row r="1608" spans="1:26" s="218" customFormat="1" x14ac:dyDescent="0.25">
      <c r="A1608" s="218" t="s">
        <v>3</v>
      </c>
      <c r="B1608" s="218">
        <f>COUNTA(B1216:B1525)-104</f>
        <v>15</v>
      </c>
      <c r="E1608" s="218">
        <f>COUNTA(E1217:E1525)-95</f>
        <v>10</v>
      </c>
      <c r="H1608" s="218">
        <f>COUNTA(H1216:H1525)-93</f>
        <v>14</v>
      </c>
      <c r="K1608" s="218">
        <f>COUNTA(K1216:K1528)-256</f>
        <v>57</v>
      </c>
      <c r="N1608" s="218">
        <f>COUNTA(N1216:N1525)-279</f>
        <v>30</v>
      </c>
      <c r="Q1608" s="218">
        <f>COUNTA(Q1216:Q1525)-48</f>
        <v>29</v>
      </c>
      <c r="T1608" s="218">
        <f>COUNTA(T1216:T1525)-57</f>
        <v>18</v>
      </c>
      <c r="W1608" s="218">
        <f>COUNTA(W1216:W1525)-65</f>
        <v>71</v>
      </c>
      <c r="Z1608" s="218">
        <f>SUBTOTAL(9,B1608:Y1608)</f>
        <v>244</v>
      </c>
    </row>
    <row r="1609" spans="1:26" x14ac:dyDescent="0.25">
      <c r="A1609" t="s">
        <v>257</v>
      </c>
      <c r="B1609" s="75" t="s">
        <v>15217</v>
      </c>
      <c r="C1609" s="75" t="s">
        <v>5701</v>
      </c>
      <c r="D1609" t="s">
        <v>15402</v>
      </c>
      <c r="E1609" t="s">
        <v>15085</v>
      </c>
      <c r="F1609" t="s">
        <v>5702</v>
      </c>
      <c r="G1609" t="s">
        <v>15086</v>
      </c>
      <c r="H1609" s="387" t="s">
        <v>14004</v>
      </c>
      <c r="I1609" s="388" t="s">
        <v>5700</v>
      </c>
      <c r="J1609" t="s">
        <v>14802</v>
      </c>
      <c r="K1609" s="118" t="s">
        <v>656</v>
      </c>
      <c r="L1609" s="216" t="s">
        <v>14949</v>
      </c>
      <c r="M1609" t="s">
        <v>15360</v>
      </c>
      <c r="N1609" s="75" t="s">
        <v>15041</v>
      </c>
      <c r="O1609" s="75" t="s">
        <v>5700</v>
      </c>
      <c r="P1609" t="s">
        <v>15150</v>
      </c>
      <c r="Q1609" s="74" t="s">
        <v>14667</v>
      </c>
      <c r="R1609" s="74" t="s">
        <v>5700</v>
      </c>
      <c r="S1609" t="s">
        <v>14925</v>
      </c>
      <c r="T1609" s="118" t="s">
        <v>13168</v>
      </c>
      <c r="U1609" s="118" t="s">
        <v>1510</v>
      </c>
      <c r="V1609" t="s">
        <v>15312</v>
      </c>
      <c r="W1609" s="84" t="s">
        <v>15257</v>
      </c>
      <c r="X1609" s="118" t="s">
        <v>12888</v>
      </c>
      <c r="Y1609" t="s">
        <v>15258</v>
      </c>
    </row>
    <row r="1610" spans="1:26" x14ac:dyDescent="0.25">
      <c r="B1610" s="75" t="s">
        <v>14926</v>
      </c>
      <c r="C1610" s="75" t="s">
        <v>5702</v>
      </c>
      <c r="D1610" t="s">
        <v>15084</v>
      </c>
      <c r="E1610" s="290" t="s">
        <v>15135</v>
      </c>
      <c r="F1610" t="s">
        <v>5701</v>
      </c>
      <c r="G1610" t="s">
        <v>15136</v>
      </c>
      <c r="H1610" s="75" t="s">
        <v>14516</v>
      </c>
      <c r="I1610" s="75" t="s">
        <v>12888</v>
      </c>
      <c r="J1610" t="s">
        <v>14786</v>
      </c>
      <c r="K1610" s="74" t="s">
        <v>14612</v>
      </c>
      <c r="L1610" s="74" t="s">
        <v>5701</v>
      </c>
      <c r="M1610" t="s">
        <v>15167</v>
      </c>
      <c r="N1610" s="75" t="s">
        <v>14737</v>
      </c>
      <c r="O1610" s="75" t="s">
        <v>12888</v>
      </c>
      <c r="P1610" t="s">
        <v>15063</v>
      </c>
      <c r="Q1610" s="75" t="s">
        <v>12203</v>
      </c>
      <c r="R1610" s="216" t="s">
        <v>5700</v>
      </c>
      <c r="S1610" t="s">
        <v>12632</v>
      </c>
      <c r="T1610" s="75" t="s">
        <v>14872</v>
      </c>
      <c r="U1610" s="75" t="s">
        <v>12888</v>
      </c>
      <c r="V1610" t="s">
        <v>15256</v>
      </c>
      <c r="W1610" s="84" t="s">
        <v>12814</v>
      </c>
      <c r="X1610" t="s">
        <v>6216</v>
      </c>
      <c r="Y1610" t="s">
        <v>15345</v>
      </c>
    </row>
    <row r="1611" spans="1:26" x14ac:dyDescent="0.25">
      <c r="B1611" s="75" t="s">
        <v>11677</v>
      </c>
      <c r="C1611" s="75" t="s">
        <v>5705</v>
      </c>
      <c r="D1611" t="s">
        <v>11779</v>
      </c>
      <c r="E1611" s="290" t="s">
        <v>15408</v>
      </c>
      <c r="F1611" t="s">
        <v>5701</v>
      </c>
      <c r="G1611" t="s">
        <v>15409</v>
      </c>
      <c r="H1611" s="75" t="s">
        <v>9928</v>
      </c>
      <c r="I1611" s="216" t="s">
        <v>12064</v>
      </c>
      <c r="J1611" t="s">
        <v>12560</v>
      </c>
      <c r="K1611" s="75" t="s">
        <v>14213</v>
      </c>
      <c r="L1611" s="75" t="s">
        <v>1510</v>
      </c>
      <c r="M1611" t="s">
        <v>15166</v>
      </c>
      <c r="N1611" s="75" t="s">
        <v>14807</v>
      </c>
      <c r="O1611" s="75" t="s">
        <v>5701</v>
      </c>
      <c r="P1611" t="s">
        <v>15032</v>
      </c>
      <c r="Q1611" s="75" t="s">
        <v>12100</v>
      </c>
      <c r="R1611" s="75" t="s">
        <v>12067</v>
      </c>
      <c r="S1611" t="s">
        <v>12347</v>
      </c>
      <c r="T1611" s="75" t="s">
        <v>7796</v>
      </c>
      <c r="U1611" s="75" t="s">
        <v>5701</v>
      </c>
      <c r="V1611" t="s">
        <v>13971</v>
      </c>
      <c r="W1611" s="75" t="s">
        <v>12833</v>
      </c>
      <c r="X1611" s="75" t="s">
        <v>12901</v>
      </c>
      <c r="Y1611" t="s">
        <v>12878</v>
      </c>
    </row>
    <row r="1612" spans="1:26" x14ac:dyDescent="0.25">
      <c r="B1612" s="75" t="s">
        <v>11675</v>
      </c>
      <c r="C1612" s="75" t="s">
        <v>10892</v>
      </c>
      <c r="D1612" t="s">
        <v>11741</v>
      </c>
      <c r="E1612" s="75" t="s">
        <v>10074</v>
      </c>
      <c r="F1612" s="290" t="s">
        <v>10895</v>
      </c>
      <c r="G1612" t="s">
        <v>11923</v>
      </c>
      <c r="H1612" s="75" t="s">
        <v>11566</v>
      </c>
      <c r="I1612" s="216" t="s">
        <v>9422</v>
      </c>
      <c r="J1612" t="s">
        <v>11835</v>
      </c>
      <c r="K1612" s="75" t="s">
        <v>13972</v>
      </c>
      <c r="L1612" s="75" t="s">
        <v>5701</v>
      </c>
      <c r="M1612" t="s">
        <v>14261</v>
      </c>
      <c r="N1612" s="75" t="s">
        <v>7362</v>
      </c>
      <c r="O1612" s="75" t="s">
        <v>10895</v>
      </c>
      <c r="P1612" t="s">
        <v>11802</v>
      </c>
      <c r="Q1612" s="75" t="s">
        <v>11995</v>
      </c>
      <c r="R1612" s="75" t="s">
        <v>12197</v>
      </c>
      <c r="S1612" t="s">
        <v>12229</v>
      </c>
      <c r="T1612" s="75" t="s">
        <v>13637</v>
      </c>
      <c r="U1612" s="75" t="s">
        <v>13277</v>
      </c>
      <c r="V1612" t="s">
        <v>13645</v>
      </c>
      <c r="W1612" s="75" t="s">
        <v>12381</v>
      </c>
      <c r="X1612" s="75" t="s">
        <v>12064</v>
      </c>
      <c r="Y1612" t="s">
        <v>12503</v>
      </c>
    </row>
    <row r="1613" spans="1:26" ht="15.75" x14ac:dyDescent="0.25">
      <c r="B1613" s="75" t="s">
        <v>6585</v>
      </c>
      <c r="C1613" s="216" t="s">
        <v>9422</v>
      </c>
      <c r="D1613" t="s">
        <v>11707</v>
      </c>
      <c r="E1613" s="75" t="s">
        <v>11778</v>
      </c>
      <c r="F1613" s="290" t="s">
        <v>5705</v>
      </c>
      <c r="G1613" t="s">
        <v>11849</v>
      </c>
      <c r="H1613" s="75" t="s">
        <v>11740</v>
      </c>
      <c r="I1613" s="75" t="s">
        <v>10892</v>
      </c>
      <c r="J1613" t="s">
        <v>11833</v>
      </c>
      <c r="K1613" s="349" t="s">
        <v>4228</v>
      </c>
      <c r="L1613" s="350" t="s">
        <v>5700</v>
      </c>
      <c r="M1613" t="s">
        <v>13152</v>
      </c>
      <c r="N1613" s="75" t="s">
        <v>6993</v>
      </c>
      <c r="O1613" s="75" t="s">
        <v>10895</v>
      </c>
      <c r="P1613" t="s">
        <v>11728</v>
      </c>
      <c r="Q1613" s="75" t="s">
        <v>11569</v>
      </c>
      <c r="R1613" s="75" t="s">
        <v>5700</v>
      </c>
      <c r="S1613" t="s">
        <v>11868</v>
      </c>
      <c r="T1613" s="75" t="s">
        <v>12352</v>
      </c>
      <c r="U1613" s="75" t="s">
        <v>5697</v>
      </c>
      <c r="V1613" t="s">
        <v>12636</v>
      </c>
      <c r="W1613" s="74" t="s">
        <v>12454</v>
      </c>
      <c r="X1613" s="74" t="s">
        <v>12244</v>
      </c>
      <c r="Y1613" t="s">
        <v>12519</v>
      </c>
    </row>
    <row r="1614" spans="1:26" x14ac:dyDescent="0.25">
      <c r="B1614" s="75" t="s">
        <v>11375</v>
      </c>
      <c r="C1614" s="75" t="s">
        <v>5701</v>
      </c>
      <c r="D1614" t="s">
        <v>11512</v>
      </c>
      <c r="E1614" s="75" t="s">
        <v>11566</v>
      </c>
      <c r="F1614" s="216" t="s">
        <v>9422</v>
      </c>
      <c r="G1614" t="s">
        <v>11834</v>
      </c>
      <c r="H1614" s="75" t="s">
        <v>11607</v>
      </c>
      <c r="I1614" s="75" t="s">
        <v>303</v>
      </c>
      <c r="J1614" t="s">
        <v>11816</v>
      </c>
      <c r="K1614" s="75" t="s">
        <v>12306</v>
      </c>
      <c r="L1614" s="75" t="s">
        <v>12065</v>
      </c>
      <c r="M1614" t="s">
        <v>12366</v>
      </c>
      <c r="N1614" s="75" t="s">
        <v>11445</v>
      </c>
      <c r="O1614" s="75" t="s">
        <v>10892</v>
      </c>
      <c r="P1614" t="s">
        <v>11886</v>
      </c>
      <c r="Q1614" s="75" t="s">
        <v>11056</v>
      </c>
      <c r="R1614" s="216" t="s">
        <v>5702</v>
      </c>
      <c r="S1614" t="s">
        <v>11595</v>
      </c>
      <c r="T1614" s="75" t="s">
        <v>12289</v>
      </c>
      <c r="U1614" s="75" t="s">
        <v>12204</v>
      </c>
      <c r="V1614" t="s">
        <v>12290</v>
      </c>
      <c r="W1614" s="75" t="s">
        <v>11955</v>
      </c>
      <c r="X1614" s="75" t="s">
        <v>329</v>
      </c>
      <c r="Y1614" t="s">
        <v>12451</v>
      </c>
    </row>
    <row r="1615" spans="1:26" x14ac:dyDescent="0.25">
      <c r="B1615" s="75" t="s">
        <v>11283</v>
      </c>
      <c r="C1615" s="75" t="s">
        <v>10895</v>
      </c>
      <c r="D1615" t="s">
        <v>11359</v>
      </c>
      <c r="E1615" s="75" t="s">
        <v>11740</v>
      </c>
      <c r="F1615" s="290" t="s">
        <v>10892</v>
      </c>
      <c r="G1615" t="s">
        <v>11832</v>
      </c>
      <c r="H1615" s="75" t="s">
        <v>11006</v>
      </c>
      <c r="I1615" s="75" t="s">
        <v>10896</v>
      </c>
      <c r="J1615" t="s">
        <v>11668</v>
      </c>
      <c r="K1615" s="75" t="s">
        <v>9639</v>
      </c>
      <c r="L1615" s="75" t="s">
        <v>488</v>
      </c>
      <c r="M1615" t="s">
        <v>9983</v>
      </c>
      <c r="N1615" s="75" t="s">
        <v>11239</v>
      </c>
      <c r="O1615" s="75" t="s">
        <v>10897</v>
      </c>
      <c r="P1615" t="s">
        <v>11411</v>
      </c>
      <c r="Q1615" s="75" t="s">
        <v>10916</v>
      </c>
      <c r="R1615" s="75" t="s">
        <v>318</v>
      </c>
      <c r="S1615" t="s">
        <v>11225</v>
      </c>
      <c r="T1615" s="74" t="s">
        <v>12118</v>
      </c>
      <c r="U1615" s="74" t="s">
        <v>12065</v>
      </c>
      <c r="V1615" t="s">
        <v>12224</v>
      </c>
      <c r="W1615" s="75" t="s">
        <v>11959</v>
      </c>
      <c r="X1615" s="75" t="s">
        <v>274</v>
      </c>
      <c r="Y1615" t="s">
        <v>12450</v>
      </c>
    </row>
    <row r="1616" spans="1:26" x14ac:dyDescent="0.25">
      <c r="B1616" s="75" t="s">
        <v>11156</v>
      </c>
      <c r="C1616" s="75" t="s">
        <v>451</v>
      </c>
      <c r="D1616" t="s">
        <v>11253</v>
      </c>
      <c r="E1616" s="75" t="s">
        <v>11693</v>
      </c>
      <c r="F1616" s="75" t="s">
        <v>5705</v>
      </c>
      <c r="G1616" t="s">
        <v>11803</v>
      </c>
      <c r="H1616" s="75" t="s">
        <v>10902</v>
      </c>
      <c r="I1616" s="75" t="s">
        <v>10893</v>
      </c>
      <c r="J1616" t="s">
        <v>11642</v>
      </c>
      <c r="K1616" s="75" t="s">
        <v>9275</v>
      </c>
      <c r="L1616" s="75" t="s">
        <v>318</v>
      </c>
      <c r="M1616" t="s">
        <v>9913</v>
      </c>
      <c r="N1616" s="75" t="s">
        <v>11213</v>
      </c>
      <c r="O1616" s="75" t="s">
        <v>303</v>
      </c>
      <c r="P1616" t="s">
        <v>11338</v>
      </c>
      <c r="Q1616" s="75" t="s">
        <v>10392</v>
      </c>
      <c r="R1616" s="75" t="s">
        <v>318</v>
      </c>
      <c r="S1616" t="s">
        <v>10493</v>
      </c>
      <c r="T1616" s="75" t="s">
        <v>12051</v>
      </c>
      <c r="U1616" s="75" t="s">
        <v>12066</v>
      </c>
      <c r="V1616" t="s">
        <v>12134</v>
      </c>
      <c r="W1616" s="75" t="s">
        <v>11879</v>
      </c>
      <c r="X1616" s="75" t="s">
        <v>5700</v>
      </c>
      <c r="Y1616" t="s">
        <v>12187</v>
      </c>
    </row>
    <row r="1617" spans="2:25" x14ac:dyDescent="0.25">
      <c r="B1617" s="75" t="s">
        <v>11156</v>
      </c>
      <c r="C1617" s="75" t="s">
        <v>317</v>
      </c>
      <c r="D1617" t="s">
        <v>11251</v>
      </c>
      <c r="E1617" s="75" t="s">
        <v>11006</v>
      </c>
      <c r="F1617" s="75" t="s">
        <v>10896</v>
      </c>
      <c r="G1617" t="s">
        <v>11524</v>
      </c>
      <c r="H1617" s="75" t="s">
        <v>4716</v>
      </c>
      <c r="I1617" s="75" t="s">
        <v>317</v>
      </c>
      <c r="J1617" t="s">
        <v>11468</v>
      </c>
      <c r="K1617" s="75" t="s">
        <v>9442</v>
      </c>
      <c r="L1617" s="75" t="s">
        <v>370</v>
      </c>
      <c r="M1617" t="s">
        <v>9525</v>
      </c>
      <c r="N1617" s="75" t="s">
        <v>9978</v>
      </c>
      <c r="O1617" s="75" t="s">
        <v>319</v>
      </c>
      <c r="P1617" t="s">
        <v>10284</v>
      </c>
      <c r="Q1617" s="75" t="s">
        <v>10191</v>
      </c>
      <c r="R1617" s="75" t="s">
        <v>7513</v>
      </c>
      <c r="S1617" t="s">
        <v>10314</v>
      </c>
      <c r="T1617" s="74" t="s">
        <v>11323</v>
      </c>
      <c r="U1617" s="74" t="s">
        <v>5704</v>
      </c>
      <c r="V1617" t="s">
        <v>11342</v>
      </c>
      <c r="W1617" s="75" t="s">
        <v>12073</v>
      </c>
      <c r="X1617" t="s">
        <v>5697</v>
      </c>
      <c r="Y1617" t="s">
        <v>12139</v>
      </c>
    </row>
    <row r="1618" spans="2:25" x14ac:dyDescent="0.25">
      <c r="B1618" s="75" t="s">
        <v>10932</v>
      </c>
      <c r="C1618" s="75" t="s">
        <v>10896</v>
      </c>
      <c r="D1618" t="s">
        <v>11007</v>
      </c>
      <c r="E1618" s="75" t="s">
        <v>10286</v>
      </c>
      <c r="F1618" s="75" t="s">
        <v>9965</v>
      </c>
      <c r="G1618" t="s">
        <v>10770</v>
      </c>
      <c r="H1618" s="75" t="s">
        <v>10704</v>
      </c>
      <c r="I1618" s="75" t="s">
        <v>5697</v>
      </c>
      <c r="J1618" t="s">
        <v>11300</v>
      </c>
      <c r="K1618" s="75" t="s">
        <v>9391</v>
      </c>
      <c r="L1618" s="75" t="s">
        <v>372</v>
      </c>
      <c r="M1618" t="s">
        <v>9517</v>
      </c>
      <c r="N1618" s="75" t="s">
        <v>9935</v>
      </c>
      <c r="O1618" s="75" t="s">
        <v>5705</v>
      </c>
      <c r="P1618" t="s">
        <v>10154</v>
      </c>
      <c r="Q1618" s="75" t="s">
        <v>8579</v>
      </c>
      <c r="R1618" s="75" t="s">
        <v>401</v>
      </c>
      <c r="S1618" t="s">
        <v>9343</v>
      </c>
      <c r="T1618" s="74" t="s">
        <v>11157</v>
      </c>
      <c r="U1618" s="74" t="s">
        <v>9884</v>
      </c>
      <c r="V1618" t="s">
        <v>11294</v>
      </c>
      <c r="W1618" s="74" t="s">
        <v>11902</v>
      </c>
      <c r="X1618" s="74" t="s">
        <v>11753</v>
      </c>
      <c r="Y1618" t="s">
        <v>11969</v>
      </c>
    </row>
    <row r="1619" spans="2:25" x14ac:dyDescent="0.25">
      <c r="B1619" s="75" t="s">
        <v>10769</v>
      </c>
      <c r="C1619" s="75" t="s">
        <v>10893</v>
      </c>
      <c r="D1619" t="s">
        <v>10903</v>
      </c>
      <c r="E1619" s="75" t="s">
        <v>5799</v>
      </c>
      <c r="F1619" s="75" t="s">
        <v>9475</v>
      </c>
      <c r="G1619" t="s">
        <v>9924</v>
      </c>
      <c r="H1619" s="75" t="s">
        <v>10966</v>
      </c>
      <c r="I1619" s="75" t="s">
        <v>5697</v>
      </c>
      <c r="J1619" t="s">
        <v>11248</v>
      </c>
      <c r="K1619" s="75" t="s">
        <v>8613</v>
      </c>
      <c r="L1619" s="75" t="s">
        <v>370</v>
      </c>
      <c r="M1619" t="s">
        <v>9446</v>
      </c>
      <c r="N1619" s="75" t="s">
        <v>9888</v>
      </c>
      <c r="O1619" s="75" t="s">
        <v>356</v>
      </c>
      <c r="P1619" t="s">
        <v>10064</v>
      </c>
      <c r="Q1619" s="75" t="s">
        <v>7458</v>
      </c>
      <c r="R1619" s="75" t="s">
        <v>401</v>
      </c>
      <c r="S1619" t="s">
        <v>8538</v>
      </c>
      <c r="T1619" s="75" t="s">
        <v>11099</v>
      </c>
      <c r="U1619" s="75" t="s">
        <v>5705</v>
      </c>
      <c r="V1619" t="s">
        <v>11146</v>
      </c>
      <c r="W1619" s="75" t="s">
        <v>11825</v>
      </c>
      <c r="X1619" s="75" t="s">
        <v>9422</v>
      </c>
      <c r="Y1619" t="s">
        <v>11861</v>
      </c>
    </row>
    <row r="1620" spans="2:25" x14ac:dyDescent="0.25">
      <c r="B1620" s="75" t="s">
        <v>10743</v>
      </c>
      <c r="C1620" s="75" t="s">
        <v>303</v>
      </c>
      <c r="D1620" t="s">
        <v>10823</v>
      </c>
      <c r="E1620" s="75" t="s">
        <v>9055</v>
      </c>
      <c r="F1620" s="75" t="s">
        <v>9707</v>
      </c>
      <c r="G1620" t="s">
        <v>9872</v>
      </c>
      <c r="H1620" s="75" t="s">
        <v>10822</v>
      </c>
      <c r="I1620" s="75" t="s">
        <v>303</v>
      </c>
      <c r="J1620" t="s">
        <v>11203</v>
      </c>
      <c r="K1620" s="75" t="s">
        <v>8169</v>
      </c>
      <c r="L1620" s="75" t="s">
        <v>452</v>
      </c>
      <c r="M1620" t="s">
        <v>9408</v>
      </c>
      <c r="N1620" s="75" t="s">
        <v>9758</v>
      </c>
      <c r="O1620" s="75" t="s">
        <v>5697</v>
      </c>
      <c r="P1620" t="s">
        <v>10006</v>
      </c>
      <c r="Q1620" s="75" t="s">
        <v>5084</v>
      </c>
      <c r="R1620" s="75" t="s">
        <v>655</v>
      </c>
      <c r="S1620" t="s">
        <v>7398</v>
      </c>
      <c r="T1620" s="74" t="s">
        <v>10833</v>
      </c>
      <c r="U1620" s="74" t="s">
        <v>6927</v>
      </c>
      <c r="V1620" t="s">
        <v>11002</v>
      </c>
      <c r="W1620" s="75" t="s">
        <v>675</v>
      </c>
      <c r="X1620" s="216" t="s">
        <v>10502</v>
      </c>
      <c r="Y1620" t="s">
        <v>10779</v>
      </c>
    </row>
    <row r="1621" spans="2:25" x14ac:dyDescent="0.25">
      <c r="B1621" s="75" t="s">
        <v>10772</v>
      </c>
      <c r="C1621" s="75" t="s">
        <v>356</v>
      </c>
      <c r="D1621" t="s">
        <v>10804</v>
      </c>
      <c r="E1621" s="75" t="s">
        <v>9026</v>
      </c>
      <c r="F1621" s="75" t="s">
        <v>5705</v>
      </c>
      <c r="G1621" t="s">
        <v>9871</v>
      </c>
      <c r="H1621" s="75" t="s">
        <v>11004</v>
      </c>
      <c r="I1621" s="75" t="s">
        <v>10890</v>
      </c>
      <c r="J1621" t="s">
        <v>11179</v>
      </c>
      <c r="K1621" s="74" t="s">
        <v>8243</v>
      </c>
      <c r="L1621" s="74" t="s">
        <v>352</v>
      </c>
      <c r="M1621" t="s">
        <v>8839</v>
      </c>
      <c r="N1621" s="75" t="s">
        <v>10516</v>
      </c>
      <c r="O1621" s="75" t="s">
        <v>318</v>
      </c>
      <c r="P1621" t="s">
        <v>9870</v>
      </c>
      <c r="Q1621" s="75" t="s">
        <v>2868</v>
      </c>
      <c r="R1621" s="75" t="s">
        <v>387</v>
      </c>
      <c r="S1621" t="s">
        <v>4782</v>
      </c>
      <c r="T1621" s="75" t="s">
        <v>9463</v>
      </c>
      <c r="U1621" s="75" t="s">
        <v>5715</v>
      </c>
      <c r="V1621" t="s">
        <v>10985</v>
      </c>
      <c r="W1621" s="75" t="s">
        <v>10292</v>
      </c>
      <c r="X1621" s="75" t="s">
        <v>319</v>
      </c>
      <c r="Y1621" t="s">
        <v>10519</v>
      </c>
    </row>
    <row r="1622" spans="2:25" x14ac:dyDescent="0.25">
      <c r="B1622" s="75" t="s">
        <v>10636</v>
      </c>
      <c r="C1622" s="75" t="s">
        <v>5703</v>
      </c>
      <c r="D1622" t="s">
        <v>10705</v>
      </c>
      <c r="E1622" s="75" t="s">
        <v>7598</v>
      </c>
      <c r="F1622" s="75" t="s">
        <v>296</v>
      </c>
      <c r="G1622" t="s">
        <v>8921</v>
      </c>
      <c r="H1622" s="75" t="s">
        <v>10413</v>
      </c>
      <c r="I1622" s="75" t="s">
        <v>10889</v>
      </c>
      <c r="J1622" t="s">
        <v>10900</v>
      </c>
      <c r="K1622" s="74" t="s">
        <v>8110</v>
      </c>
      <c r="L1622" s="74" t="s">
        <v>5701</v>
      </c>
      <c r="M1622" t="s">
        <v>8588</v>
      </c>
      <c r="N1622" s="75" t="s">
        <v>9657</v>
      </c>
      <c r="O1622" s="75" t="s">
        <v>4</v>
      </c>
      <c r="P1622" t="s">
        <v>9853</v>
      </c>
      <c r="Q1622" s="75" t="s">
        <v>1157</v>
      </c>
      <c r="R1622" s="75" t="s">
        <v>401</v>
      </c>
      <c r="S1622" t="s">
        <v>2791</v>
      </c>
      <c r="T1622" s="75" t="s">
        <v>10386</v>
      </c>
      <c r="U1622" s="75" t="s">
        <v>451</v>
      </c>
      <c r="V1622" t="s">
        <v>10520</v>
      </c>
      <c r="W1622" s="75" t="s">
        <v>10195</v>
      </c>
      <c r="X1622" s="75" t="s">
        <v>354</v>
      </c>
      <c r="Y1622" t="s">
        <v>10463</v>
      </c>
    </row>
    <row r="1623" spans="2:25" x14ac:dyDescent="0.25">
      <c r="B1623" s="75" t="s">
        <v>10465</v>
      </c>
      <c r="C1623" s="75" t="s">
        <v>9964</v>
      </c>
      <c r="D1623" t="s">
        <v>10553</v>
      </c>
      <c r="E1623" s="75" t="s">
        <v>7455</v>
      </c>
      <c r="F1623" s="75" t="s">
        <v>317</v>
      </c>
      <c r="G1623" t="s">
        <v>8618</v>
      </c>
      <c r="H1623" s="75" t="s">
        <v>10552</v>
      </c>
      <c r="I1623" s="75" t="s">
        <v>9964</v>
      </c>
      <c r="J1623" t="s">
        <v>10852</v>
      </c>
      <c r="K1623" s="75" t="s">
        <v>6637</v>
      </c>
      <c r="L1623" s="75" t="s">
        <v>297</v>
      </c>
      <c r="M1623" t="s">
        <v>8320</v>
      </c>
      <c r="N1623" s="75" t="s">
        <v>9631</v>
      </c>
      <c r="O1623" s="75" t="s">
        <v>370</v>
      </c>
      <c r="P1623" t="s">
        <v>9825</v>
      </c>
      <c r="Q1623" s="75" t="s">
        <v>3151</v>
      </c>
      <c r="R1623" s="75" t="s">
        <v>401</v>
      </c>
      <c r="S1623" t="s">
        <v>4659</v>
      </c>
      <c r="T1623" s="74" t="s">
        <v>9382</v>
      </c>
      <c r="U1623" s="74" t="s">
        <v>318</v>
      </c>
      <c r="V1623" t="s">
        <v>9415</v>
      </c>
      <c r="W1623" s="75" t="s">
        <v>1202</v>
      </c>
      <c r="X1623" s="75" t="s">
        <v>338</v>
      </c>
      <c r="Y1623" t="s">
        <v>10093</v>
      </c>
    </row>
    <row r="1624" spans="2:25" x14ac:dyDescent="0.25">
      <c r="B1624" s="75" t="s">
        <v>10348</v>
      </c>
      <c r="C1624" s="75" t="s">
        <v>6851</v>
      </c>
      <c r="D1624" t="s">
        <v>10451</v>
      </c>
      <c r="E1624" s="75" t="s">
        <v>6187</v>
      </c>
      <c r="F1624" s="75" t="s">
        <v>373</v>
      </c>
      <c r="G1624" t="s">
        <v>8281</v>
      </c>
      <c r="H1624" s="75" t="s">
        <v>10450</v>
      </c>
      <c r="I1624" s="75" t="s">
        <v>6851</v>
      </c>
      <c r="J1624" t="s">
        <v>10778</v>
      </c>
      <c r="K1624" s="74" t="s">
        <v>7791</v>
      </c>
      <c r="L1624" s="74" t="s">
        <v>5704</v>
      </c>
      <c r="M1624" t="s">
        <v>8317</v>
      </c>
      <c r="N1624" s="75" t="s">
        <v>9706</v>
      </c>
      <c r="O1624" s="75" t="s">
        <v>5701</v>
      </c>
      <c r="P1624" t="s">
        <v>9781</v>
      </c>
      <c r="Q1624" s="75" t="s">
        <v>4786</v>
      </c>
      <c r="R1624" s="75" t="s">
        <v>387</v>
      </c>
      <c r="S1624" t="s">
        <v>5025</v>
      </c>
      <c r="T1624" s="74" t="s">
        <v>8881</v>
      </c>
      <c r="U1624" s="74" t="s">
        <v>356</v>
      </c>
      <c r="V1624" t="s">
        <v>9370</v>
      </c>
      <c r="W1624" s="75" t="s">
        <v>7274</v>
      </c>
      <c r="X1624" s="75" t="s">
        <v>318</v>
      </c>
      <c r="Y1624" t="s">
        <v>8736</v>
      </c>
    </row>
    <row r="1625" spans="2:25" x14ac:dyDescent="0.25">
      <c r="B1625" s="75" t="s">
        <v>10270</v>
      </c>
      <c r="C1625" s="75" t="s">
        <v>5701</v>
      </c>
      <c r="D1625" t="s">
        <v>10414</v>
      </c>
      <c r="E1625" s="75" t="s">
        <v>5651</v>
      </c>
      <c r="F1625" s="75" t="s">
        <v>371</v>
      </c>
      <c r="G1625" t="s">
        <v>8126</v>
      </c>
      <c r="H1625" s="75" t="s">
        <v>9263</v>
      </c>
      <c r="I1625" s="75" t="s">
        <v>5700</v>
      </c>
      <c r="J1625" t="s">
        <v>10509</v>
      </c>
      <c r="K1625" s="75" t="s">
        <v>7965</v>
      </c>
      <c r="L1625" s="75" t="s">
        <v>374</v>
      </c>
      <c r="M1625" t="s">
        <v>8054</v>
      </c>
      <c r="N1625" s="75" t="s">
        <v>9394</v>
      </c>
      <c r="O1625" s="75" t="s">
        <v>369</v>
      </c>
      <c r="P1625" t="s">
        <v>9698</v>
      </c>
      <c r="Q1625" s="75" t="s">
        <v>8092</v>
      </c>
      <c r="R1625" s="75" t="s">
        <v>6927</v>
      </c>
      <c r="S1625" t="s">
        <v>8189</v>
      </c>
      <c r="T1625" s="75" t="s">
        <v>721</v>
      </c>
      <c r="U1625" s="75" t="s">
        <v>560</v>
      </c>
      <c r="V1625" t="s">
        <v>9154</v>
      </c>
      <c r="W1625" s="75" t="s">
        <v>8181</v>
      </c>
      <c r="X1625" s="75" t="s">
        <v>454</v>
      </c>
      <c r="Y1625" t="s">
        <v>8469</v>
      </c>
    </row>
    <row r="1626" spans="2:25" x14ac:dyDescent="0.25">
      <c r="B1626" s="75" t="s">
        <v>10236</v>
      </c>
      <c r="C1626" s="75" t="s">
        <v>6851</v>
      </c>
      <c r="D1626" t="s">
        <v>10303</v>
      </c>
      <c r="E1626" s="74" t="s">
        <v>6582</v>
      </c>
      <c r="F1626" s="74" t="s">
        <v>316</v>
      </c>
      <c r="G1626" t="s">
        <v>8035</v>
      </c>
      <c r="H1626" s="75" t="s">
        <v>9858</v>
      </c>
      <c r="I1626" s="75" t="s">
        <v>9965</v>
      </c>
      <c r="J1626" t="s">
        <v>10216</v>
      </c>
      <c r="K1626" s="74" t="s">
        <v>7787</v>
      </c>
      <c r="L1626" s="74" t="s">
        <v>7513</v>
      </c>
      <c r="M1626" t="s">
        <v>7956</v>
      </c>
      <c r="N1626" s="75" t="s">
        <v>9558</v>
      </c>
      <c r="O1626" s="75" t="s">
        <v>1905</v>
      </c>
      <c r="P1626" t="s">
        <v>9595</v>
      </c>
      <c r="Q1626" s="75" t="s">
        <v>2815</v>
      </c>
      <c r="R1626" s="75" t="s">
        <v>452</v>
      </c>
      <c r="S1626" t="s">
        <v>8190</v>
      </c>
      <c r="T1626" s="75" t="s">
        <v>8827</v>
      </c>
      <c r="U1626" s="75" t="s">
        <v>317</v>
      </c>
      <c r="V1626" t="s">
        <v>8941</v>
      </c>
      <c r="W1626" s="75" t="s">
        <v>5899</v>
      </c>
      <c r="X1626" s="75" t="s">
        <v>296</v>
      </c>
      <c r="Y1626" t="s">
        <v>6783</v>
      </c>
    </row>
    <row r="1627" spans="2:25" x14ac:dyDescent="0.25">
      <c r="B1627" s="75" t="s">
        <v>10285</v>
      </c>
      <c r="C1627" s="75" t="s">
        <v>9965</v>
      </c>
      <c r="D1627" t="s">
        <v>10288</v>
      </c>
      <c r="E1627" s="75" t="s">
        <v>7114</v>
      </c>
      <c r="F1627" s="75" t="s">
        <v>6935</v>
      </c>
      <c r="G1627" t="s">
        <v>7704</v>
      </c>
      <c r="H1627" s="75" t="s">
        <v>9604</v>
      </c>
      <c r="I1627" s="75" t="s">
        <v>303</v>
      </c>
      <c r="J1627" t="s">
        <v>10136</v>
      </c>
      <c r="K1627" s="75" t="s">
        <v>7584</v>
      </c>
      <c r="L1627" s="75" t="s">
        <v>370</v>
      </c>
      <c r="M1627" t="s">
        <v>7934</v>
      </c>
      <c r="N1627" s="74" t="s">
        <v>9519</v>
      </c>
      <c r="O1627" s="74" t="s">
        <v>372</v>
      </c>
      <c r="P1627" t="s">
        <v>9592</v>
      </c>
      <c r="Q1627" s="75" t="s">
        <v>11176</v>
      </c>
      <c r="R1627" s="216" t="s">
        <v>5702</v>
      </c>
      <c r="S1627" t="s">
        <v>11410</v>
      </c>
      <c r="T1627" s="75" t="s">
        <v>8723</v>
      </c>
      <c r="U1627" s="75" t="s">
        <v>375</v>
      </c>
      <c r="V1627" t="s">
        <v>8816</v>
      </c>
      <c r="W1627" s="75" t="s">
        <v>5982</v>
      </c>
      <c r="X1627" s="75" t="s">
        <v>5983</v>
      </c>
      <c r="Y1627" t="s">
        <v>6429</v>
      </c>
    </row>
    <row r="1628" spans="2:25" x14ac:dyDescent="0.25">
      <c r="B1628" s="75" t="s">
        <v>10053</v>
      </c>
      <c r="C1628" s="75" t="s">
        <v>356</v>
      </c>
      <c r="D1628" t="s">
        <v>10207</v>
      </c>
      <c r="E1628" s="74" t="s">
        <v>4274</v>
      </c>
      <c r="F1628" s="74" t="s">
        <v>318</v>
      </c>
      <c r="G1628" t="s">
        <v>6460</v>
      </c>
      <c r="H1628" s="75" t="s">
        <v>9573</v>
      </c>
      <c r="I1628" s="75" t="s">
        <v>296</v>
      </c>
      <c r="J1628" t="s">
        <v>10117</v>
      </c>
      <c r="K1628" s="74" t="s">
        <v>2750</v>
      </c>
      <c r="L1628" s="74" t="s">
        <v>5705</v>
      </c>
      <c r="M1628" t="s">
        <v>7738</v>
      </c>
      <c r="N1628" s="75" t="s">
        <v>9416</v>
      </c>
      <c r="O1628" s="75" t="s">
        <v>5701</v>
      </c>
      <c r="P1628" t="s">
        <v>9591</v>
      </c>
      <c r="Q1628" s="75" t="s">
        <v>11613</v>
      </c>
      <c r="R1628" s="75" t="s">
        <v>317</v>
      </c>
      <c r="S1628" t="s">
        <v>11666</v>
      </c>
      <c r="T1628" s="75" t="s">
        <v>8558</v>
      </c>
      <c r="U1628" s="75" t="s">
        <v>5705</v>
      </c>
      <c r="V1628" t="s">
        <v>8701</v>
      </c>
      <c r="W1628" s="75" t="s">
        <v>700</v>
      </c>
      <c r="X1628" s="75" t="s">
        <v>296</v>
      </c>
      <c r="Y1628" t="s">
        <v>6301</v>
      </c>
    </row>
    <row r="1629" spans="2:25" x14ac:dyDescent="0.25">
      <c r="B1629" s="75" t="s">
        <v>9835</v>
      </c>
      <c r="C1629" s="75" t="s">
        <v>4</v>
      </c>
      <c r="D1629" t="s">
        <v>10075</v>
      </c>
      <c r="E1629" s="75" t="s">
        <v>5350</v>
      </c>
      <c r="F1629" s="75" t="s">
        <v>352</v>
      </c>
      <c r="G1629" t="s">
        <v>6021</v>
      </c>
      <c r="H1629" s="75" t="s">
        <v>5799</v>
      </c>
      <c r="I1629" s="75" t="s">
        <v>9475</v>
      </c>
      <c r="J1629" t="s">
        <v>10536</v>
      </c>
      <c r="K1629" s="75" t="s">
        <v>5854</v>
      </c>
      <c r="L1629" s="75" t="s">
        <v>5746</v>
      </c>
      <c r="M1629" t="s">
        <v>6591</v>
      </c>
      <c r="N1629" s="75" t="s">
        <v>11069</v>
      </c>
      <c r="O1629" s="216" t="s">
        <v>354</v>
      </c>
      <c r="P1629" t="s">
        <v>9527</v>
      </c>
      <c r="Q1629" s="75" t="s">
        <v>11926</v>
      </c>
      <c r="R1629" s="75" t="s">
        <v>12067</v>
      </c>
      <c r="S1629" t="s">
        <v>12058</v>
      </c>
      <c r="T1629" s="75" t="s">
        <v>8186</v>
      </c>
      <c r="U1629" s="75" t="s">
        <v>318</v>
      </c>
      <c r="V1629" t="s">
        <v>8436</v>
      </c>
      <c r="W1629" s="75" t="s">
        <v>5542</v>
      </c>
      <c r="X1629" s="75" t="s">
        <v>5772</v>
      </c>
      <c r="Y1629" t="s">
        <v>6296</v>
      </c>
    </row>
    <row r="1630" spans="2:25" x14ac:dyDescent="0.25">
      <c r="B1630" s="75" t="s">
        <v>9779</v>
      </c>
      <c r="C1630" s="75" t="s">
        <v>5701</v>
      </c>
      <c r="D1630" t="s">
        <v>9927</v>
      </c>
      <c r="E1630" s="75" t="s">
        <v>4012</v>
      </c>
      <c r="F1630" s="75" t="s">
        <v>3775</v>
      </c>
      <c r="G1630" t="s">
        <v>5246</v>
      </c>
      <c r="H1630" s="75" t="s">
        <v>9055</v>
      </c>
      <c r="I1630" s="75" t="s">
        <v>9959</v>
      </c>
      <c r="J1630" t="s">
        <v>9998</v>
      </c>
      <c r="K1630" s="75" t="s">
        <v>5603</v>
      </c>
      <c r="L1630" s="75" t="s">
        <v>352</v>
      </c>
      <c r="M1630" t="s">
        <v>6493</v>
      </c>
      <c r="N1630" s="75" t="s">
        <v>8688</v>
      </c>
      <c r="O1630" s="75" t="s">
        <v>352</v>
      </c>
      <c r="P1630" t="s">
        <v>9127</v>
      </c>
      <c r="Q1630" s="74" t="s">
        <v>12059</v>
      </c>
      <c r="R1630" s="290" t="s">
        <v>12067</v>
      </c>
      <c r="S1630" t="s">
        <v>12111</v>
      </c>
      <c r="T1630" s="75" t="s">
        <v>7914</v>
      </c>
      <c r="U1630" s="75" t="s">
        <v>4155</v>
      </c>
      <c r="V1630" t="s">
        <v>8168</v>
      </c>
      <c r="W1630" s="75" t="s">
        <v>5169</v>
      </c>
      <c r="X1630" s="75" t="s">
        <v>4243</v>
      </c>
      <c r="Y1630" t="s">
        <v>5289</v>
      </c>
    </row>
    <row r="1631" spans="2:25" x14ac:dyDescent="0.25">
      <c r="B1631" s="75" t="s">
        <v>9689</v>
      </c>
      <c r="C1631" s="75" t="s">
        <v>372</v>
      </c>
      <c r="D1631" t="s">
        <v>9857</v>
      </c>
      <c r="E1631" s="75" t="s">
        <v>3869</v>
      </c>
      <c r="F1631" s="75" t="s">
        <v>369</v>
      </c>
      <c r="G1631" t="s">
        <v>5082</v>
      </c>
      <c r="H1631" s="75" t="s">
        <v>8273</v>
      </c>
      <c r="I1631" s="75" t="s">
        <v>374</v>
      </c>
      <c r="J1631" t="s">
        <v>9997</v>
      </c>
      <c r="K1631" s="74" t="s">
        <v>5863</v>
      </c>
      <c r="L1631" s="74" t="s">
        <v>5697</v>
      </c>
      <c r="M1631" t="s">
        <v>6069</v>
      </c>
      <c r="N1631" s="75" t="s">
        <v>8877</v>
      </c>
      <c r="O1631" s="75" t="s">
        <v>316</v>
      </c>
      <c r="P1631" t="s">
        <v>9088</v>
      </c>
      <c r="Q1631" s="75" t="s">
        <v>12520</v>
      </c>
      <c r="R1631" s="290" t="s">
        <v>12197</v>
      </c>
      <c r="S1631" t="s">
        <v>12783</v>
      </c>
      <c r="T1631" s="75" t="s">
        <v>1330</v>
      </c>
      <c r="U1631" s="75" t="s">
        <v>7513</v>
      </c>
      <c r="V1631" t="s">
        <v>8123</v>
      </c>
      <c r="W1631" s="75" t="s">
        <v>4899</v>
      </c>
      <c r="X1631" s="75" t="s">
        <v>1905</v>
      </c>
      <c r="Y1631" t="s">
        <v>5083</v>
      </c>
    </row>
    <row r="1632" spans="2:25" x14ac:dyDescent="0.25">
      <c r="B1632" s="75" t="s">
        <v>9452</v>
      </c>
      <c r="C1632" s="75" t="s">
        <v>9474</v>
      </c>
      <c r="D1632" t="s">
        <v>9713</v>
      </c>
      <c r="E1632" s="75" t="s">
        <v>3679</v>
      </c>
      <c r="F1632" s="75" t="s">
        <v>318</v>
      </c>
      <c r="G1632" t="s">
        <v>4820</v>
      </c>
      <c r="H1632" s="75" t="s">
        <v>8920</v>
      </c>
      <c r="I1632" s="75" t="s">
        <v>9474</v>
      </c>
      <c r="J1632" t="s">
        <v>9571</v>
      </c>
      <c r="K1632" s="74" t="s">
        <v>4272</v>
      </c>
      <c r="L1632" s="74" t="s">
        <v>1905</v>
      </c>
      <c r="M1632" t="s">
        <v>5085</v>
      </c>
      <c r="N1632" s="75" t="s">
        <v>5739</v>
      </c>
      <c r="O1632" s="75" t="s">
        <v>370</v>
      </c>
      <c r="P1632" t="s">
        <v>8790</v>
      </c>
      <c r="Q1632" s="74" t="s">
        <v>12930</v>
      </c>
      <c r="R1632" s="74" t="s">
        <v>3492</v>
      </c>
      <c r="S1632" t="s">
        <v>13009</v>
      </c>
      <c r="T1632" s="75" t="s">
        <v>7771</v>
      </c>
      <c r="U1632" s="75" t="s">
        <v>5705</v>
      </c>
      <c r="V1632" t="s">
        <v>7818</v>
      </c>
      <c r="W1632" s="75" t="s">
        <v>4163</v>
      </c>
      <c r="X1632" s="75" t="s">
        <v>382</v>
      </c>
      <c r="Y1632" t="s">
        <v>4249</v>
      </c>
    </row>
    <row r="1633" spans="2:25" x14ac:dyDescent="0.25">
      <c r="B1633" s="75" t="s">
        <v>9090</v>
      </c>
      <c r="C1633" s="75" t="s">
        <v>6255</v>
      </c>
      <c r="D1633" t="s">
        <v>9262</v>
      </c>
      <c r="E1633" s="75" t="s">
        <v>3442</v>
      </c>
      <c r="F1633" s="75" t="s">
        <v>354</v>
      </c>
      <c r="G1633" t="s">
        <v>4838</v>
      </c>
      <c r="H1633" s="75" t="s">
        <v>7598</v>
      </c>
      <c r="I1633" s="75" t="s">
        <v>296</v>
      </c>
      <c r="J1633" t="s">
        <v>9192</v>
      </c>
      <c r="K1633" s="74" t="s">
        <v>4444</v>
      </c>
      <c r="L1633" s="74" t="s">
        <v>356</v>
      </c>
      <c r="M1633" t="s">
        <v>4902</v>
      </c>
      <c r="N1633" s="75" t="s">
        <v>8439</v>
      </c>
      <c r="O1633" s="75" t="s">
        <v>352</v>
      </c>
      <c r="P1633" t="s">
        <v>8774</v>
      </c>
      <c r="T1633" s="75" t="s">
        <v>1133</v>
      </c>
      <c r="U1633" s="75" t="s">
        <v>5704</v>
      </c>
      <c r="V1633" t="s">
        <v>7786</v>
      </c>
      <c r="W1633" s="75" t="s">
        <v>3599</v>
      </c>
      <c r="X1633" s="75" t="s">
        <v>1905</v>
      </c>
      <c r="Y1633" t="s">
        <v>3893</v>
      </c>
    </row>
    <row r="1634" spans="2:25" x14ac:dyDescent="0.25">
      <c r="B1634" s="75" t="s">
        <v>9089</v>
      </c>
      <c r="C1634" s="75" t="s">
        <v>355</v>
      </c>
      <c r="D1634" t="s">
        <v>9253</v>
      </c>
      <c r="E1634" s="75" t="s">
        <v>3144</v>
      </c>
      <c r="F1634" s="75" t="s">
        <v>308</v>
      </c>
      <c r="G1634" t="s">
        <v>3984</v>
      </c>
      <c r="H1634" s="75" t="s">
        <v>8077</v>
      </c>
      <c r="I1634" s="75" t="s">
        <v>5700</v>
      </c>
      <c r="J1634" t="s">
        <v>9174</v>
      </c>
      <c r="K1634" s="75" t="s">
        <v>4394</v>
      </c>
      <c r="L1634" s="75" t="s">
        <v>361</v>
      </c>
      <c r="M1634" t="s">
        <v>4466</v>
      </c>
      <c r="N1634" s="75" t="s">
        <v>8382</v>
      </c>
      <c r="O1634" s="75" t="s">
        <v>5697</v>
      </c>
      <c r="P1634" t="s">
        <v>8487</v>
      </c>
      <c r="T1634" s="75" t="s">
        <v>3917</v>
      </c>
      <c r="U1634" s="75" t="s">
        <v>7513</v>
      </c>
      <c r="V1634" t="s">
        <v>7700</v>
      </c>
      <c r="W1634" s="75" t="s">
        <v>1745</v>
      </c>
      <c r="X1634" s="75" t="s">
        <v>1905</v>
      </c>
      <c r="Y1634" t="s">
        <v>3618</v>
      </c>
    </row>
    <row r="1635" spans="2:25" x14ac:dyDescent="0.25">
      <c r="B1635" s="75" t="s">
        <v>5548</v>
      </c>
      <c r="C1635" s="75" t="s">
        <v>360</v>
      </c>
      <c r="D1635" t="s">
        <v>9206</v>
      </c>
      <c r="E1635" s="75" t="s">
        <v>1631</v>
      </c>
      <c r="F1635" s="75" t="s">
        <v>678</v>
      </c>
      <c r="G1635" t="s">
        <v>3527</v>
      </c>
      <c r="H1635" s="75" t="s">
        <v>7939</v>
      </c>
      <c r="I1635" s="75" t="s">
        <v>360</v>
      </c>
      <c r="J1635" t="s">
        <v>9046</v>
      </c>
      <c r="K1635" s="75" t="s">
        <v>3661</v>
      </c>
      <c r="L1635" s="75" t="s">
        <v>3662</v>
      </c>
      <c r="M1635" t="s">
        <v>4011</v>
      </c>
      <c r="N1635" s="75" t="s">
        <v>7906</v>
      </c>
      <c r="O1635" s="75" t="s">
        <v>6927</v>
      </c>
      <c r="P1635" t="s">
        <v>8464</v>
      </c>
      <c r="T1635" s="75" t="s">
        <v>7508</v>
      </c>
      <c r="U1635" s="75" t="s">
        <v>453</v>
      </c>
      <c r="V1635" t="s">
        <v>7684</v>
      </c>
      <c r="W1635" s="75" t="s">
        <v>2815</v>
      </c>
      <c r="X1635" s="75" t="s">
        <v>401</v>
      </c>
      <c r="Y1635" t="s">
        <v>3145</v>
      </c>
    </row>
    <row r="1636" spans="2:25" x14ac:dyDescent="0.25">
      <c r="B1636" s="75" t="s">
        <v>8735</v>
      </c>
      <c r="C1636" s="75" t="s">
        <v>375</v>
      </c>
      <c r="D1636" t="s">
        <v>9054</v>
      </c>
      <c r="E1636" s="75" t="s">
        <v>1861</v>
      </c>
      <c r="F1636" s="75" t="s">
        <v>927</v>
      </c>
      <c r="G1636" t="s">
        <v>3120</v>
      </c>
      <c r="H1636" s="75" t="s">
        <v>7783</v>
      </c>
      <c r="I1636" s="75" t="s">
        <v>5700</v>
      </c>
      <c r="J1636" t="s">
        <v>8944</v>
      </c>
      <c r="K1636" s="75" t="s">
        <v>3204</v>
      </c>
      <c r="L1636" s="75" t="s">
        <v>372</v>
      </c>
      <c r="M1636" t="s">
        <v>5184</v>
      </c>
      <c r="N1636" s="75" t="s">
        <v>8138</v>
      </c>
      <c r="O1636" s="75" t="s">
        <v>5705</v>
      </c>
      <c r="P1636" t="s">
        <v>8292</v>
      </c>
      <c r="T1636" s="75" t="s">
        <v>7209</v>
      </c>
      <c r="U1636" s="75" t="s">
        <v>6851</v>
      </c>
      <c r="V1636" t="s">
        <v>7427</v>
      </c>
      <c r="W1636" s="75" t="s">
        <v>1202</v>
      </c>
      <c r="X1636" s="75" t="s">
        <v>301</v>
      </c>
      <c r="Y1636" t="s">
        <v>2434</v>
      </c>
    </row>
    <row r="1637" spans="2:25" x14ac:dyDescent="0.25">
      <c r="B1637" s="75" t="s">
        <v>8851</v>
      </c>
      <c r="C1637" s="75" t="s">
        <v>5703</v>
      </c>
      <c r="D1637" t="s">
        <v>9378</v>
      </c>
      <c r="E1637" s="75" t="s">
        <v>1050</v>
      </c>
      <c r="F1637" s="75" t="s">
        <v>302</v>
      </c>
      <c r="G1637" t="s">
        <v>2540</v>
      </c>
      <c r="H1637" s="75" t="s">
        <v>7003</v>
      </c>
      <c r="I1637" s="75" t="s">
        <v>360</v>
      </c>
      <c r="J1637" t="s">
        <v>8709</v>
      </c>
      <c r="K1637" s="75" t="s">
        <v>657</v>
      </c>
      <c r="L1637" s="75" t="s">
        <v>617</v>
      </c>
      <c r="M1637" t="s">
        <v>3966</v>
      </c>
      <c r="N1637" s="75" t="s">
        <v>7362</v>
      </c>
      <c r="O1637" s="75" t="s">
        <v>352</v>
      </c>
      <c r="P1637" t="s">
        <v>8221</v>
      </c>
      <c r="T1637" s="74" t="s">
        <v>6697</v>
      </c>
      <c r="U1637" s="74" t="s">
        <v>5704</v>
      </c>
      <c r="V1637" t="s">
        <v>6830</v>
      </c>
      <c r="W1637" s="75" t="s">
        <v>720</v>
      </c>
      <c r="X1637" s="75" t="s">
        <v>373</v>
      </c>
      <c r="Y1637" t="s">
        <v>2378</v>
      </c>
    </row>
    <row r="1638" spans="2:25" x14ac:dyDescent="0.25">
      <c r="B1638" s="75" t="s">
        <v>8562</v>
      </c>
      <c r="C1638" s="75" t="s">
        <v>5704</v>
      </c>
      <c r="D1638" t="s">
        <v>8806</v>
      </c>
      <c r="E1638" s="75" t="s">
        <v>2749</v>
      </c>
      <c r="F1638" s="75" t="s">
        <v>3023</v>
      </c>
      <c r="G1638" t="s">
        <v>3134</v>
      </c>
      <c r="H1638" s="75" t="s">
        <v>5799</v>
      </c>
      <c r="I1638" s="75" t="s">
        <v>369</v>
      </c>
      <c r="J1638" t="s">
        <v>8710</v>
      </c>
      <c r="K1638" s="75" t="s">
        <v>639</v>
      </c>
      <c r="L1638" s="75" t="s">
        <v>372</v>
      </c>
      <c r="M1638" t="s">
        <v>2789</v>
      </c>
      <c r="N1638" s="75" t="s">
        <v>7936</v>
      </c>
      <c r="O1638" s="75" t="s">
        <v>370</v>
      </c>
      <c r="P1638" t="s">
        <v>8157</v>
      </c>
      <c r="T1638" s="74" t="s">
        <v>6185</v>
      </c>
      <c r="U1638" s="74" t="s">
        <v>447</v>
      </c>
      <c r="V1638" t="s">
        <v>6226</v>
      </c>
      <c r="W1638" s="75" t="s">
        <v>675</v>
      </c>
      <c r="X1638" s="75" t="s">
        <v>617</v>
      </c>
      <c r="Y1638" t="s">
        <v>2379</v>
      </c>
    </row>
    <row r="1639" spans="2:25" x14ac:dyDescent="0.25">
      <c r="B1639" s="75" t="s">
        <v>12474</v>
      </c>
      <c r="C1639" s="75" t="s">
        <v>5697</v>
      </c>
      <c r="D1639" t="s">
        <v>8634</v>
      </c>
      <c r="E1639" s="75" t="s">
        <v>3318</v>
      </c>
      <c r="F1639" s="75" t="s">
        <v>373</v>
      </c>
      <c r="G1639" t="s">
        <v>3827</v>
      </c>
      <c r="H1639" s="75" t="s">
        <v>6582</v>
      </c>
      <c r="I1639" s="75" t="s">
        <v>316</v>
      </c>
      <c r="J1639" t="s">
        <v>8711</v>
      </c>
      <c r="K1639" s="75" t="s">
        <v>662</v>
      </c>
      <c r="L1639" s="75" t="s">
        <v>372</v>
      </c>
      <c r="M1639" t="s">
        <v>2404</v>
      </c>
      <c r="N1639" s="75" t="s">
        <v>7629</v>
      </c>
      <c r="O1639" s="75" t="s">
        <v>1905</v>
      </c>
      <c r="P1639" t="s">
        <v>7873</v>
      </c>
      <c r="T1639" s="75" t="s">
        <v>5517</v>
      </c>
      <c r="U1639" s="75" t="s">
        <v>5705</v>
      </c>
      <c r="V1639" t="s">
        <v>5663</v>
      </c>
      <c r="W1639" s="75" t="s">
        <v>589</v>
      </c>
      <c r="X1639" s="75" t="s">
        <v>371</v>
      </c>
      <c r="Y1639" t="s">
        <v>2380</v>
      </c>
    </row>
    <row r="1640" spans="2:25" x14ac:dyDescent="0.25">
      <c r="B1640" s="75" t="s">
        <v>8329</v>
      </c>
      <c r="C1640" s="75" t="s">
        <v>453</v>
      </c>
      <c r="D1640" t="s">
        <v>8528</v>
      </c>
      <c r="E1640" s="75" t="s">
        <v>3207</v>
      </c>
      <c r="F1640" s="75" t="s">
        <v>309</v>
      </c>
      <c r="G1640" t="s">
        <v>3844</v>
      </c>
      <c r="H1640" s="75" t="s">
        <v>7453</v>
      </c>
      <c r="I1640" s="75" t="s">
        <v>375</v>
      </c>
      <c r="J1640" t="s">
        <v>8349</v>
      </c>
      <c r="K1640" s="75" t="s">
        <v>493</v>
      </c>
      <c r="L1640" s="75" t="s">
        <v>371</v>
      </c>
      <c r="M1640" t="s">
        <v>2405</v>
      </c>
      <c r="N1640" s="75" t="s">
        <v>6080</v>
      </c>
      <c r="O1640" s="75" t="s">
        <v>361</v>
      </c>
      <c r="P1640" t="s">
        <v>8253</v>
      </c>
      <c r="T1640" s="75" t="s">
        <v>2534</v>
      </c>
      <c r="U1640" s="75" t="s">
        <v>927</v>
      </c>
      <c r="V1640" t="s">
        <v>5596</v>
      </c>
      <c r="W1640" s="75" t="s">
        <v>543</v>
      </c>
      <c r="X1640" s="75" t="s">
        <v>389</v>
      </c>
      <c r="Y1640" t="s">
        <v>2383</v>
      </c>
    </row>
    <row r="1641" spans="2:25" x14ac:dyDescent="0.25">
      <c r="B1641" s="75" t="s">
        <v>8321</v>
      </c>
      <c r="C1641" s="75" t="s">
        <v>297</v>
      </c>
      <c r="D1641" t="s">
        <v>8527</v>
      </c>
      <c r="E1641" s="75" t="s">
        <v>2992</v>
      </c>
      <c r="F1641" s="75" t="s">
        <v>369</v>
      </c>
      <c r="G1641" t="s">
        <v>3909</v>
      </c>
      <c r="H1641" s="75" t="s">
        <v>6235</v>
      </c>
      <c r="I1641" s="75" t="s">
        <v>5918</v>
      </c>
      <c r="J1641" t="s">
        <v>8712</v>
      </c>
      <c r="K1641" s="75" t="s">
        <v>804</v>
      </c>
      <c r="L1641" s="75" t="s">
        <v>371</v>
      </c>
      <c r="M1641" t="s">
        <v>2406</v>
      </c>
      <c r="N1641" s="75" t="s">
        <v>7435</v>
      </c>
      <c r="O1641" s="75" t="s">
        <v>5702</v>
      </c>
      <c r="P1641" t="s">
        <v>7637</v>
      </c>
      <c r="T1641" s="75" t="s">
        <v>4939</v>
      </c>
      <c r="U1641" s="75" t="s">
        <v>373</v>
      </c>
      <c r="V1641" t="s">
        <v>5484</v>
      </c>
      <c r="W1641" s="75" t="s">
        <v>628</v>
      </c>
      <c r="X1641" s="75" t="s">
        <v>371</v>
      </c>
      <c r="Y1641" t="s">
        <v>2381</v>
      </c>
    </row>
    <row r="1642" spans="2:25" x14ac:dyDescent="0.25">
      <c r="B1642" s="75" t="s">
        <v>7800</v>
      </c>
      <c r="C1642" s="75" t="s">
        <v>375</v>
      </c>
      <c r="D1642" t="s">
        <v>8275</v>
      </c>
      <c r="E1642" s="75" t="s">
        <v>3798</v>
      </c>
      <c r="F1642" s="75" t="s">
        <v>371</v>
      </c>
      <c r="G1642" t="s">
        <v>4098</v>
      </c>
      <c r="H1642" s="75" t="s">
        <v>7066</v>
      </c>
      <c r="I1642" s="75" t="s">
        <v>1905</v>
      </c>
      <c r="J1642" t="s">
        <v>7848</v>
      </c>
      <c r="K1642" s="75" t="s">
        <v>834</v>
      </c>
      <c r="L1642" s="75" t="s">
        <v>371</v>
      </c>
      <c r="M1642" t="s">
        <v>2556</v>
      </c>
      <c r="N1642" s="75" t="s">
        <v>7030</v>
      </c>
      <c r="O1642" s="75" t="s">
        <v>5700</v>
      </c>
      <c r="P1642" t="s">
        <v>7357</v>
      </c>
      <c r="T1642" s="75" t="s">
        <v>3585</v>
      </c>
      <c r="U1642" s="75" t="s">
        <v>360</v>
      </c>
      <c r="V1642" t="s">
        <v>5361</v>
      </c>
      <c r="W1642" s="75" t="s">
        <v>770</v>
      </c>
      <c r="X1642" s="75" t="s">
        <v>371</v>
      </c>
      <c r="Y1642" t="s">
        <v>2382</v>
      </c>
    </row>
    <row r="1643" spans="2:25" x14ac:dyDescent="0.25">
      <c r="B1643" s="75" t="s">
        <v>8073</v>
      </c>
      <c r="C1643" s="75" t="s">
        <v>374</v>
      </c>
      <c r="D1643" t="s">
        <v>8276</v>
      </c>
      <c r="E1643" s="75" t="s">
        <v>3512</v>
      </c>
      <c r="F1643" s="75" t="s">
        <v>360</v>
      </c>
      <c r="G1643" t="s">
        <v>4543</v>
      </c>
      <c r="H1643" s="75" t="s">
        <v>7096</v>
      </c>
      <c r="I1643" s="75" t="s">
        <v>453</v>
      </c>
      <c r="J1643" t="s">
        <v>8713</v>
      </c>
      <c r="K1643" s="75" t="s">
        <v>512</v>
      </c>
      <c r="L1643" s="75" t="s">
        <v>371</v>
      </c>
      <c r="M1643" t="s">
        <v>2407</v>
      </c>
      <c r="N1643" s="75" t="s">
        <v>6874</v>
      </c>
      <c r="O1643" s="75" t="s">
        <v>5776</v>
      </c>
      <c r="P1643" t="s">
        <v>7348</v>
      </c>
      <c r="T1643" s="75" t="s">
        <v>4707</v>
      </c>
      <c r="U1643" s="75" t="s">
        <v>316</v>
      </c>
      <c r="V1643" t="s">
        <v>4954</v>
      </c>
      <c r="W1643" s="75" t="s">
        <v>845</v>
      </c>
      <c r="X1643" s="75" t="s">
        <v>725</v>
      </c>
      <c r="Y1643" t="s">
        <v>2383</v>
      </c>
    </row>
    <row r="1644" spans="2:25" x14ac:dyDescent="0.25">
      <c r="B1644" s="75" t="s">
        <v>7740</v>
      </c>
      <c r="C1644" s="75" t="s">
        <v>361</v>
      </c>
      <c r="D1644" t="s">
        <v>7938</v>
      </c>
      <c r="E1644" s="75" t="s">
        <v>3549</v>
      </c>
      <c r="F1644" s="75" t="s">
        <v>355</v>
      </c>
      <c r="G1644" t="s">
        <v>4592</v>
      </c>
      <c r="H1644" s="75" t="s">
        <v>5213</v>
      </c>
      <c r="I1644" s="75" t="s">
        <v>375</v>
      </c>
      <c r="J1644" t="s">
        <v>8714</v>
      </c>
      <c r="K1644" s="75" t="s">
        <v>528</v>
      </c>
      <c r="L1644" s="75" t="s">
        <v>561</v>
      </c>
      <c r="M1644" t="s">
        <v>2408</v>
      </c>
      <c r="N1644" s="75" t="s">
        <v>6369</v>
      </c>
      <c r="O1644" s="75" t="s">
        <v>360</v>
      </c>
      <c r="P1644" t="s">
        <v>6736</v>
      </c>
      <c r="T1644" s="75" t="s">
        <v>4657</v>
      </c>
      <c r="U1644" s="75" t="s">
        <v>4487</v>
      </c>
      <c r="V1644" t="s">
        <v>4926</v>
      </c>
      <c r="W1644" s="75" t="s">
        <v>4772</v>
      </c>
      <c r="X1644" s="75" t="s">
        <v>1905</v>
      </c>
      <c r="Y1644" t="s">
        <v>4886</v>
      </c>
    </row>
    <row r="1645" spans="2:25" x14ac:dyDescent="0.25">
      <c r="B1645" s="75" t="s">
        <v>7477</v>
      </c>
      <c r="C1645" s="75" t="s">
        <v>296</v>
      </c>
      <c r="D1645" t="s">
        <v>7599</v>
      </c>
      <c r="E1645" s="75" t="s">
        <v>3880</v>
      </c>
      <c r="F1645" s="75" t="s">
        <v>4243</v>
      </c>
      <c r="G1645" t="s">
        <v>4963</v>
      </c>
      <c r="H1645" s="75" t="s">
        <v>5939</v>
      </c>
      <c r="I1645" s="75" t="s">
        <v>6926</v>
      </c>
      <c r="J1645" t="s">
        <v>8715</v>
      </c>
      <c r="K1645" s="75" t="s">
        <v>959</v>
      </c>
      <c r="L1645" s="75" t="s">
        <v>375</v>
      </c>
      <c r="M1645" t="s">
        <v>2409</v>
      </c>
      <c r="N1645" s="75" t="s">
        <v>6315</v>
      </c>
      <c r="O1645" s="75" t="s">
        <v>5702</v>
      </c>
      <c r="P1645" t="s">
        <v>6681</v>
      </c>
      <c r="T1645" s="75" t="s">
        <v>3585</v>
      </c>
      <c r="U1645" s="75" t="s">
        <v>3023</v>
      </c>
      <c r="V1645" t="s">
        <v>3707</v>
      </c>
      <c r="W1645" s="75" t="s">
        <v>720</v>
      </c>
      <c r="X1645" s="75" t="s">
        <v>382</v>
      </c>
      <c r="Y1645" t="s">
        <v>5638</v>
      </c>
    </row>
    <row r="1646" spans="2:25" x14ac:dyDescent="0.25">
      <c r="B1646" s="75" t="s">
        <v>7239</v>
      </c>
      <c r="C1646" s="75" t="s">
        <v>375</v>
      </c>
      <c r="D1646" t="s">
        <v>8905</v>
      </c>
      <c r="E1646" s="75" t="s">
        <v>4305</v>
      </c>
      <c r="F1646" s="75" t="s">
        <v>1720</v>
      </c>
      <c r="G1646" t="s">
        <v>5181</v>
      </c>
      <c r="H1646" s="75" t="s">
        <v>4274</v>
      </c>
      <c r="I1646" s="75" t="s">
        <v>318</v>
      </c>
      <c r="J1646" t="s">
        <v>7273</v>
      </c>
      <c r="K1646" s="75" t="s">
        <v>922</v>
      </c>
      <c r="L1646" s="75" t="s">
        <v>374</v>
      </c>
      <c r="M1646" t="s">
        <v>5185</v>
      </c>
      <c r="N1646" s="75" t="s">
        <v>6116</v>
      </c>
      <c r="O1646" s="75" t="s">
        <v>1905</v>
      </c>
      <c r="P1646" t="s">
        <v>6612</v>
      </c>
      <c r="T1646" s="75" t="s">
        <v>1909</v>
      </c>
      <c r="U1646" s="75" t="s">
        <v>1905</v>
      </c>
      <c r="V1646" t="s">
        <v>3598</v>
      </c>
      <c r="W1646" s="75" t="s">
        <v>4262</v>
      </c>
      <c r="X1646" s="75" t="s">
        <v>382</v>
      </c>
      <c r="Y1646" t="s">
        <v>5733</v>
      </c>
    </row>
    <row r="1647" spans="2:25" x14ac:dyDescent="0.25">
      <c r="B1647" s="75" t="s">
        <v>6854</v>
      </c>
      <c r="C1647" s="75" t="s">
        <v>6935</v>
      </c>
      <c r="D1647" t="s">
        <v>7115</v>
      </c>
      <c r="E1647" s="75" t="s">
        <v>4115</v>
      </c>
      <c r="F1647" s="75" t="s">
        <v>309</v>
      </c>
      <c r="G1647" t="s">
        <v>5207</v>
      </c>
      <c r="H1647" s="75" t="s">
        <v>6306</v>
      </c>
      <c r="I1647" s="75" t="s">
        <v>6410</v>
      </c>
      <c r="J1647" t="s">
        <v>8716</v>
      </c>
      <c r="K1647" s="75" t="s">
        <v>610</v>
      </c>
      <c r="L1647" s="75" t="s">
        <v>318</v>
      </c>
      <c r="M1647" t="s">
        <v>2410</v>
      </c>
      <c r="N1647" s="75" t="s">
        <v>6080</v>
      </c>
      <c r="O1647" s="75" t="s">
        <v>5776</v>
      </c>
      <c r="P1647" t="s">
        <v>6467</v>
      </c>
      <c r="T1647" s="75" t="s">
        <v>2831</v>
      </c>
      <c r="U1647" s="75" t="s">
        <v>1720</v>
      </c>
      <c r="V1647" t="s">
        <v>3317</v>
      </c>
      <c r="W1647" s="75" t="s">
        <v>5722</v>
      </c>
      <c r="X1647" s="75" t="s">
        <v>361</v>
      </c>
      <c r="Y1647" t="s">
        <v>5933</v>
      </c>
    </row>
    <row r="1648" spans="2:25" x14ac:dyDescent="0.25">
      <c r="B1648" s="75" t="s">
        <v>6534</v>
      </c>
      <c r="C1648" s="75" t="s">
        <v>318</v>
      </c>
      <c r="D1648" t="s">
        <v>7067</v>
      </c>
      <c r="E1648" s="75" t="s">
        <v>4417</v>
      </c>
      <c r="F1648" s="75" t="s">
        <v>5079</v>
      </c>
      <c r="G1648" t="s">
        <v>5395</v>
      </c>
      <c r="H1648" s="75" t="s">
        <v>5819</v>
      </c>
      <c r="I1648" s="75" t="s">
        <v>5746</v>
      </c>
      <c r="J1648" t="s">
        <v>6536</v>
      </c>
      <c r="K1648" s="75" t="s">
        <v>754</v>
      </c>
      <c r="L1648" s="75" t="s">
        <v>319</v>
      </c>
      <c r="M1648" t="s">
        <v>2411</v>
      </c>
      <c r="N1648" s="75" t="s">
        <v>3667</v>
      </c>
      <c r="O1648" s="75" t="s">
        <v>360</v>
      </c>
      <c r="P1648" t="s">
        <v>6371</v>
      </c>
      <c r="T1648" s="75" t="s">
        <v>1842</v>
      </c>
      <c r="U1648" s="75" t="s">
        <v>679</v>
      </c>
      <c r="V1648" t="s">
        <v>2477</v>
      </c>
      <c r="W1648" s="75" t="s">
        <v>6649</v>
      </c>
      <c r="X1648" s="75" t="s">
        <v>531</v>
      </c>
      <c r="Y1648" t="s">
        <v>7384</v>
      </c>
    </row>
    <row r="1649" spans="2:25" x14ac:dyDescent="0.25">
      <c r="B1649" s="74" t="s">
        <v>6672</v>
      </c>
      <c r="C1649" s="74" t="s">
        <v>317</v>
      </c>
      <c r="D1649" t="s">
        <v>6706</v>
      </c>
      <c r="E1649" s="75" t="s">
        <v>4716</v>
      </c>
      <c r="F1649" s="75" t="s">
        <v>4569</v>
      </c>
      <c r="G1649" t="s">
        <v>5405</v>
      </c>
      <c r="H1649" s="75" t="s">
        <v>3206</v>
      </c>
      <c r="I1649" s="75" t="s">
        <v>316</v>
      </c>
      <c r="J1649" t="s">
        <v>6184</v>
      </c>
      <c r="K1649" s="75" t="s">
        <v>656</v>
      </c>
      <c r="L1649" s="75" t="s">
        <v>1085</v>
      </c>
      <c r="M1649" t="s">
        <v>5186</v>
      </c>
      <c r="N1649" s="75" t="s">
        <v>5662</v>
      </c>
      <c r="O1649" s="75" t="s">
        <v>5705</v>
      </c>
      <c r="P1649" t="s">
        <v>6190</v>
      </c>
      <c r="T1649" s="75" t="s">
        <v>1624</v>
      </c>
      <c r="U1649" s="75" t="s">
        <v>274</v>
      </c>
      <c r="V1649" t="s">
        <v>1824</v>
      </c>
      <c r="W1649" s="75" t="s">
        <v>6227</v>
      </c>
      <c r="X1649" s="75" t="s">
        <v>3860</v>
      </c>
      <c r="Y1649" t="s">
        <v>7708</v>
      </c>
    </row>
    <row r="1650" spans="2:25" x14ac:dyDescent="0.25">
      <c r="B1650" s="75" t="s">
        <v>6186</v>
      </c>
      <c r="C1650" s="75" t="s">
        <v>370</v>
      </c>
      <c r="D1650" t="s">
        <v>6469</v>
      </c>
      <c r="E1650" s="75" t="s">
        <v>4728</v>
      </c>
      <c r="F1650" s="75" t="s">
        <v>5231</v>
      </c>
      <c r="G1650" t="s">
        <v>5609</v>
      </c>
      <c r="H1650" s="74" t="s">
        <v>1050</v>
      </c>
      <c r="I1650" s="74" t="s">
        <v>5700</v>
      </c>
      <c r="J1650" t="s">
        <v>5784</v>
      </c>
      <c r="K1650" s="75" t="s">
        <v>1076</v>
      </c>
      <c r="L1650" s="75" t="s">
        <v>511</v>
      </c>
      <c r="M1650" t="s">
        <v>2412</v>
      </c>
      <c r="N1650" s="75" t="s">
        <v>5441</v>
      </c>
      <c r="O1650" s="75" t="s">
        <v>5704</v>
      </c>
      <c r="P1650" t="s">
        <v>6170</v>
      </c>
      <c r="T1650" s="75" t="s">
        <v>1133</v>
      </c>
      <c r="U1650" s="75" t="s">
        <v>1085</v>
      </c>
      <c r="V1650" t="s">
        <v>1591</v>
      </c>
      <c r="W1650" s="75" t="s">
        <v>7423</v>
      </c>
      <c r="X1650" s="75" t="s">
        <v>5700</v>
      </c>
      <c r="Y1650" t="s">
        <v>7825</v>
      </c>
    </row>
    <row r="1651" spans="2:25" x14ac:dyDescent="0.25">
      <c r="B1651" s="75" t="s">
        <v>5968</v>
      </c>
      <c r="C1651" s="75" t="s">
        <v>296</v>
      </c>
      <c r="D1651" t="s">
        <v>6320</v>
      </c>
      <c r="E1651" s="75" t="s">
        <v>5357</v>
      </c>
      <c r="F1651" s="75" t="s">
        <v>296</v>
      </c>
      <c r="G1651" t="s">
        <v>5696</v>
      </c>
      <c r="H1651" s="75" t="s">
        <v>3549</v>
      </c>
      <c r="I1651" s="75" t="s">
        <v>355</v>
      </c>
      <c r="J1651" t="s">
        <v>5208</v>
      </c>
      <c r="K1651" s="75" t="s">
        <v>881</v>
      </c>
      <c r="L1651" s="75" t="s">
        <v>678</v>
      </c>
      <c r="M1651" t="s">
        <v>2413</v>
      </c>
      <c r="N1651" s="75" t="s">
        <v>4261</v>
      </c>
      <c r="O1651" s="75" t="s">
        <v>448</v>
      </c>
      <c r="P1651" t="s">
        <v>6149</v>
      </c>
      <c r="T1651" s="75" t="s">
        <v>764</v>
      </c>
      <c r="U1651" s="75" t="s">
        <v>725</v>
      </c>
      <c r="V1651" t="s">
        <v>2384</v>
      </c>
      <c r="W1651" s="75" t="s">
        <v>7796</v>
      </c>
      <c r="X1651" s="75" t="s">
        <v>5697</v>
      </c>
      <c r="Y1651" t="s">
        <v>7954</v>
      </c>
    </row>
    <row r="1652" spans="2:25" x14ac:dyDescent="0.25">
      <c r="B1652" s="75" t="s">
        <v>5853</v>
      </c>
      <c r="C1652" s="75" t="s">
        <v>6254</v>
      </c>
      <c r="D1652" t="s">
        <v>6299</v>
      </c>
      <c r="E1652" s="75" t="s">
        <v>5664</v>
      </c>
      <c r="F1652" s="75" t="s">
        <v>452</v>
      </c>
      <c r="G1652" t="s">
        <v>6004</v>
      </c>
      <c r="H1652" s="75" t="s">
        <v>3798</v>
      </c>
      <c r="I1652" s="75" t="s">
        <v>371</v>
      </c>
      <c r="J1652" t="s">
        <v>4493</v>
      </c>
      <c r="K1652" s="75" t="s">
        <v>698</v>
      </c>
      <c r="L1652" s="75" t="s">
        <v>531</v>
      </c>
      <c r="M1652" t="s">
        <v>1596</v>
      </c>
      <c r="N1652" s="75" t="s">
        <v>2590</v>
      </c>
      <c r="O1652" s="75" t="s">
        <v>361</v>
      </c>
      <c r="P1652" t="s">
        <v>5236</v>
      </c>
      <c r="T1652" s="75" t="s">
        <v>737</v>
      </c>
      <c r="U1652" s="75" t="s">
        <v>371</v>
      </c>
      <c r="V1652" t="s">
        <v>2385</v>
      </c>
      <c r="W1652" s="75" t="s">
        <v>7133</v>
      </c>
      <c r="X1652" s="75" t="s">
        <v>5771</v>
      </c>
      <c r="Y1652" t="s">
        <v>8180</v>
      </c>
    </row>
    <row r="1653" spans="2:25" x14ac:dyDescent="0.25">
      <c r="B1653" s="75" t="s">
        <v>5572</v>
      </c>
      <c r="C1653" s="75" t="s">
        <v>5746</v>
      </c>
      <c r="D1653" t="s">
        <v>5818</v>
      </c>
      <c r="E1653" s="75" t="s">
        <v>5925</v>
      </c>
      <c r="F1653" s="75" t="s">
        <v>5702</v>
      </c>
      <c r="G1653" t="s">
        <v>6123</v>
      </c>
      <c r="H1653" s="75" t="s">
        <v>2992</v>
      </c>
      <c r="I1653" s="75" t="s">
        <v>369</v>
      </c>
      <c r="J1653" t="s">
        <v>4284</v>
      </c>
      <c r="K1653" s="75" t="s">
        <v>1216</v>
      </c>
      <c r="L1653" s="75" t="s">
        <v>318</v>
      </c>
      <c r="M1653" t="s">
        <v>2414</v>
      </c>
      <c r="N1653" s="75" t="s">
        <v>2528</v>
      </c>
      <c r="O1653" s="75" t="s">
        <v>373</v>
      </c>
      <c r="P1653" t="s">
        <v>5179</v>
      </c>
      <c r="T1653" s="75" t="s">
        <v>619</v>
      </c>
      <c r="U1653" s="75" t="s">
        <v>382</v>
      </c>
      <c r="V1653" t="s">
        <v>2386</v>
      </c>
      <c r="W1653" s="75" t="s">
        <v>4163</v>
      </c>
      <c r="X1653" s="75" t="s">
        <v>8224</v>
      </c>
      <c r="Y1653" t="s">
        <v>8259</v>
      </c>
    </row>
    <row r="1654" spans="2:25" x14ac:dyDescent="0.25">
      <c r="B1654" s="75" t="s">
        <v>5548</v>
      </c>
      <c r="C1654" s="75" t="s">
        <v>369</v>
      </c>
      <c r="D1654" t="s">
        <v>5787</v>
      </c>
      <c r="E1654" s="75" t="s">
        <v>5819</v>
      </c>
      <c r="F1654" s="75" t="s">
        <v>5746</v>
      </c>
      <c r="G1654" t="s">
        <v>6248</v>
      </c>
      <c r="H1654" s="75" t="s">
        <v>3207</v>
      </c>
      <c r="I1654" s="75" t="s">
        <v>356</v>
      </c>
      <c r="J1654" t="s">
        <v>4029</v>
      </c>
      <c r="K1654" s="75" t="s">
        <v>1074</v>
      </c>
      <c r="L1654" s="75" t="s">
        <v>679</v>
      </c>
      <c r="M1654" t="s">
        <v>5187</v>
      </c>
      <c r="N1654" s="75" t="s">
        <v>4194</v>
      </c>
      <c r="O1654" s="75" t="s">
        <v>1905</v>
      </c>
      <c r="P1654" t="s">
        <v>6397</v>
      </c>
      <c r="T1654" s="75" t="s">
        <v>579</v>
      </c>
      <c r="U1654" s="75" t="s">
        <v>371</v>
      </c>
      <c r="V1654" t="s">
        <v>1592</v>
      </c>
      <c r="W1654" s="75" t="s">
        <v>9093</v>
      </c>
      <c r="X1654" s="75" t="s">
        <v>318</v>
      </c>
      <c r="Y1654" t="s">
        <v>9209</v>
      </c>
    </row>
    <row r="1655" spans="2:25" x14ac:dyDescent="0.25">
      <c r="B1655" s="75" t="s">
        <v>5118</v>
      </c>
      <c r="C1655" s="75" t="s">
        <v>296</v>
      </c>
      <c r="D1655" t="s">
        <v>5358</v>
      </c>
      <c r="E1655" s="75" t="s">
        <v>6300</v>
      </c>
      <c r="F1655" s="75" t="s">
        <v>6254</v>
      </c>
      <c r="G1655" t="s">
        <v>6661</v>
      </c>
      <c r="H1655" s="75" t="s">
        <v>1631</v>
      </c>
      <c r="I1655" s="75" t="s">
        <v>678</v>
      </c>
      <c r="J1655" t="s">
        <v>3948</v>
      </c>
      <c r="K1655" s="75" t="s">
        <v>1323</v>
      </c>
      <c r="L1655" s="75" t="s">
        <v>372</v>
      </c>
      <c r="M1655" t="s">
        <v>5188</v>
      </c>
      <c r="N1655" s="75" t="s">
        <v>4552</v>
      </c>
      <c r="O1655" s="75" t="s">
        <v>369</v>
      </c>
      <c r="P1655" t="s">
        <v>5064</v>
      </c>
      <c r="T1655" s="75" t="s">
        <v>424</v>
      </c>
      <c r="U1655" s="75" t="s">
        <v>371</v>
      </c>
      <c r="V1655" t="s">
        <v>2387</v>
      </c>
      <c r="W1655" s="75" t="s">
        <v>9161</v>
      </c>
      <c r="X1655" s="75" t="s">
        <v>6927</v>
      </c>
      <c r="Y1655" t="s">
        <v>9407</v>
      </c>
    </row>
    <row r="1656" spans="2:25" x14ac:dyDescent="0.25">
      <c r="B1656" s="75" t="s">
        <v>5080</v>
      </c>
      <c r="C1656" s="75" t="s">
        <v>369</v>
      </c>
      <c r="D1656" t="s">
        <v>5241</v>
      </c>
      <c r="E1656" s="75" t="s">
        <v>6306</v>
      </c>
      <c r="F1656" s="75" t="s">
        <v>6410</v>
      </c>
      <c r="G1656" t="s">
        <v>6680</v>
      </c>
      <c r="H1656" s="75" t="s">
        <v>2749</v>
      </c>
      <c r="I1656" s="75" t="s">
        <v>3023</v>
      </c>
      <c r="J1656" t="s">
        <v>3231</v>
      </c>
      <c r="K1656" s="75" t="s">
        <v>826</v>
      </c>
      <c r="L1656" s="75" t="s">
        <v>316</v>
      </c>
      <c r="M1656" t="s">
        <v>2415</v>
      </c>
      <c r="N1656" s="75" t="s">
        <v>4229</v>
      </c>
      <c r="O1656" s="75" t="s">
        <v>4172</v>
      </c>
      <c r="P1656" t="s">
        <v>5279</v>
      </c>
      <c r="T1656" s="75" t="s">
        <v>422</v>
      </c>
      <c r="U1656" s="75" t="s">
        <v>86</v>
      </c>
      <c r="V1656" t="s">
        <v>2388</v>
      </c>
      <c r="W1656" s="75" t="s">
        <v>9160</v>
      </c>
      <c r="X1656" s="75" t="s">
        <v>317</v>
      </c>
      <c r="Y1656" t="s">
        <v>9462</v>
      </c>
    </row>
    <row r="1657" spans="2:25" x14ac:dyDescent="0.25">
      <c r="B1657" s="75" t="s">
        <v>4510</v>
      </c>
      <c r="C1657" s="75" t="s">
        <v>307</v>
      </c>
      <c r="D1657" t="s">
        <v>4729</v>
      </c>
      <c r="E1657" s="75" t="s">
        <v>6054</v>
      </c>
      <c r="F1657" s="75" t="s">
        <v>5703</v>
      </c>
      <c r="G1657" t="s">
        <v>6898</v>
      </c>
      <c r="H1657" s="75" t="s">
        <v>3318</v>
      </c>
      <c r="I1657" s="75" t="s">
        <v>373</v>
      </c>
      <c r="J1657" t="s">
        <v>4010</v>
      </c>
      <c r="K1657" s="75" t="s">
        <v>634</v>
      </c>
      <c r="L1657" s="75" t="s">
        <v>307</v>
      </c>
      <c r="M1657" t="s">
        <v>5189</v>
      </c>
      <c r="N1657" s="75" t="s">
        <v>3510</v>
      </c>
      <c r="O1657" s="75" t="s">
        <v>372</v>
      </c>
      <c r="P1657" t="s">
        <v>3934</v>
      </c>
      <c r="T1657" s="75" t="s">
        <v>633</v>
      </c>
      <c r="U1657" s="75" t="s">
        <v>371</v>
      </c>
      <c r="V1657" t="s">
        <v>2389</v>
      </c>
      <c r="W1657" s="75" t="s">
        <v>9363</v>
      </c>
      <c r="X1657" s="75" t="s">
        <v>318</v>
      </c>
      <c r="Y1657" t="s">
        <v>9629</v>
      </c>
    </row>
    <row r="1658" spans="2:25" x14ac:dyDescent="0.25">
      <c r="B1658" s="75" t="s">
        <v>4534</v>
      </c>
      <c r="C1658" s="75" t="s">
        <v>4569</v>
      </c>
      <c r="D1658" t="s">
        <v>4715</v>
      </c>
      <c r="E1658" s="75" t="s">
        <v>5213</v>
      </c>
      <c r="F1658" s="75" t="s">
        <v>375</v>
      </c>
      <c r="G1658" t="s">
        <v>7396</v>
      </c>
      <c r="H1658" s="75" t="s">
        <v>3144</v>
      </c>
      <c r="I1658" s="75" t="s">
        <v>308</v>
      </c>
      <c r="J1658" t="s">
        <v>4116</v>
      </c>
      <c r="K1658" s="75" t="s">
        <v>1009</v>
      </c>
      <c r="L1658" s="75" t="s">
        <v>1085</v>
      </c>
      <c r="M1658" t="s">
        <v>2416</v>
      </c>
      <c r="N1658" s="75" t="s">
        <v>3468</v>
      </c>
      <c r="O1658" s="75" t="s">
        <v>1905</v>
      </c>
      <c r="P1658" t="s">
        <v>3884</v>
      </c>
      <c r="T1658" s="75" t="s">
        <v>721</v>
      </c>
      <c r="U1658" s="75" t="s">
        <v>617</v>
      </c>
      <c r="V1658" t="s">
        <v>2390</v>
      </c>
      <c r="W1658" s="75" t="s">
        <v>9418</v>
      </c>
      <c r="X1658" s="75" t="s">
        <v>6927</v>
      </c>
      <c r="Y1658" t="s">
        <v>9630</v>
      </c>
    </row>
    <row r="1659" spans="2:25" x14ac:dyDescent="0.25">
      <c r="B1659" s="75" t="s">
        <v>4145</v>
      </c>
      <c r="C1659" s="75" t="s">
        <v>1643</v>
      </c>
      <c r="D1659" t="s">
        <v>4400</v>
      </c>
      <c r="E1659" s="75" t="s">
        <v>5939</v>
      </c>
      <c r="F1659" s="75" t="s">
        <v>6926</v>
      </c>
      <c r="G1659" t="s">
        <v>7397</v>
      </c>
      <c r="H1659" s="75" t="s">
        <v>3512</v>
      </c>
      <c r="I1659" s="75" t="s">
        <v>360</v>
      </c>
      <c r="J1659" t="s">
        <v>5021</v>
      </c>
      <c r="K1659" s="75" t="s">
        <v>738</v>
      </c>
      <c r="L1659" s="75" t="s">
        <v>1085</v>
      </c>
      <c r="M1659" t="s">
        <v>2417</v>
      </c>
      <c r="N1659" s="75" t="s">
        <v>3220</v>
      </c>
      <c r="O1659" s="75" t="s">
        <v>2935</v>
      </c>
      <c r="P1659" t="s">
        <v>3828</v>
      </c>
      <c r="T1659" s="75" t="s">
        <v>700</v>
      </c>
      <c r="U1659" s="75" t="s">
        <v>725</v>
      </c>
      <c r="V1659" t="s">
        <v>2391</v>
      </c>
      <c r="W1659" s="75" t="s">
        <v>9458</v>
      </c>
      <c r="X1659" s="75" t="s">
        <v>374</v>
      </c>
      <c r="Y1659" t="s">
        <v>9735</v>
      </c>
    </row>
    <row r="1660" spans="2:25" x14ac:dyDescent="0.25">
      <c r="B1660" s="75" t="s">
        <v>3925</v>
      </c>
      <c r="C1660" s="75" t="s">
        <v>318</v>
      </c>
      <c r="D1660" t="s">
        <v>4151</v>
      </c>
      <c r="E1660" s="75" t="s">
        <v>7096</v>
      </c>
      <c r="F1660" s="75" t="s">
        <v>453</v>
      </c>
      <c r="G1660" t="s">
        <v>7464</v>
      </c>
      <c r="H1660" s="75" t="s">
        <v>1861</v>
      </c>
      <c r="I1660" s="75" t="s">
        <v>927</v>
      </c>
      <c r="J1660" t="s">
        <v>5032</v>
      </c>
      <c r="K1660" s="75" t="s">
        <v>1607</v>
      </c>
      <c r="L1660" s="75" t="s">
        <v>372</v>
      </c>
      <c r="M1660" t="s">
        <v>2418</v>
      </c>
      <c r="N1660" s="75" t="s">
        <v>3008</v>
      </c>
      <c r="O1660" s="75" t="s">
        <v>927</v>
      </c>
      <c r="P1660" t="s">
        <v>3762</v>
      </c>
      <c r="T1660" s="75" t="s">
        <v>734</v>
      </c>
      <c r="U1660" s="75" t="s">
        <v>372</v>
      </c>
      <c r="V1660" t="s">
        <v>1595</v>
      </c>
      <c r="W1660" s="75" t="s">
        <v>9658</v>
      </c>
      <c r="X1660" s="75" t="s">
        <v>6927</v>
      </c>
      <c r="Y1660" t="s">
        <v>9795</v>
      </c>
    </row>
    <row r="1661" spans="2:25" x14ac:dyDescent="0.25">
      <c r="B1661" s="75" t="s">
        <v>3773</v>
      </c>
      <c r="C1661" s="75" t="s">
        <v>3775</v>
      </c>
      <c r="D1661" t="s">
        <v>4013</v>
      </c>
      <c r="E1661" s="75" t="s">
        <v>6235</v>
      </c>
      <c r="F1661" s="75" t="s">
        <v>5918</v>
      </c>
      <c r="G1661" t="s">
        <v>7543</v>
      </c>
      <c r="H1661" s="75" t="s">
        <v>3880</v>
      </c>
      <c r="I1661" s="75" t="s">
        <v>4243</v>
      </c>
      <c r="J1661" t="s">
        <v>5320</v>
      </c>
      <c r="K1661" s="75" t="s">
        <v>1351</v>
      </c>
      <c r="L1661" s="75" t="s">
        <v>679</v>
      </c>
      <c r="M1661" t="s">
        <v>1768</v>
      </c>
      <c r="N1661" s="75" t="s">
        <v>1317</v>
      </c>
      <c r="O1661" s="75" t="s">
        <v>679</v>
      </c>
      <c r="P1661" t="s">
        <v>2703</v>
      </c>
      <c r="T1661" s="75" t="s">
        <v>734</v>
      </c>
      <c r="U1661" s="75" t="s">
        <v>301</v>
      </c>
      <c r="V1661" t="s">
        <v>2392</v>
      </c>
      <c r="W1661" s="75" t="s">
        <v>9120</v>
      </c>
      <c r="X1661" s="75" t="s">
        <v>316</v>
      </c>
      <c r="Y1661" t="s">
        <v>9852</v>
      </c>
    </row>
    <row r="1662" spans="2:25" x14ac:dyDescent="0.25">
      <c r="B1662" s="75" t="s">
        <v>3515</v>
      </c>
      <c r="C1662" s="75" t="s">
        <v>307</v>
      </c>
      <c r="D1662" t="s">
        <v>3881</v>
      </c>
      <c r="E1662" s="75" t="s">
        <v>6468</v>
      </c>
      <c r="F1662" s="75" t="s">
        <v>370</v>
      </c>
      <c r="G1662" t="s">
        <v>7583</v>
      </c>
      <c r="H1662" s="75" t="s">
        <v>3442</v>
      </c>
      <c r="I1662" s="75" t="s">
        <v>354</v>
      </c>
      <c r="J1662" t="s">
        <v>5320</v>
      </c>
      <c r="K1662" s="75" t="s">
        <v>1702</v>
      </c>
      <c r="L1662" s="75" t="s">
        <v>307</v>
      </c>
      <c r="M1662" t="s">
        <v>1822</v>
      </c>
      <c r="N1662" s="75" t="s">
        <v>1783</v>
      </c>
      <c r="O1662" s="75" t="s">
        <v>309</v>
      </c>
      <c r="P1662" t="s">
        <v>2548</v>
      </c>
      <c r="T1662" s="75" t="s">
        <v>1232</v>
      </c>
      <c r="U1662" s="75" t="s">
        <v>481</v>
      </c>
      <c r="V1662" t="s">
        <v>2393</v>
      </c>
      <c r="W1662" s="75" t="s">
        <v>9717</v>
      </c>
      <c r="X1662" s="75" t="s">
        <v>318</v>
      </c>
      <c r="Y1662" t="s">
        <v>9868</v>
      </c>
    </row>
    <row r="1663" spans="2:25" x14ac:dyDescent="0.25">
      <c r="B1663" s="75" t="s">
        <v>3237</v>
      </c>
      <c r="C1663" s="75" t="s">
        <v>318</v>
      </c>
      <c r="D1663" t="s">
        <v>3678</v>
      </c>
      <c r="E1663" s="75" t="s">
        <v>7066</v>
      </c>
      <c r="F1663" s="75" t="s">
        <v>1905</v>
      </c>
      <c r="G1663" t="s">
        <v>7570</v>
      </c>
      <c r="H1663" s="75" t="s">
        <v>4115</v>
      </c>
      <c r="I1663" s="75" t="s">
        <v>965</v>
      </c>
      <c r="J1663" t="s">
        <v>5345</v>
      </c>
      <c r="K1663" s="75" t="s">
        <v>1353</v>
      </c>
      <c r="L1663" s="75" t="s">
        <v>655</v>
      </c>
      <c r="M1663" t="s">
        <v>2419</v>
      </c>
      <c r="N1663" s="75" t="s">
        <v>887</v>
      </c>
      <c r="O1663" s="75" t="s">
        <v>375</v>
      </c>
      <c r="P1663" t="s">
        <v>2533</v>
      </c>
      <c r="T1663" s="75" t="s">
        <v>1233</v>
      </c>
      <c r="U1663" s="75" t="s">
        <v>274</v>
      </c>
      <c r="V1663" t="s">
        <v>2394</v>
      </c>
      <c r="W1663" s="75" t="s">
        <v>9750</v>
      </c>
      <c r="X1663" s="75" t="s">
        <v>9964</v>
      </c>
      <c r="Y1663" t="s">
        <v>9975</v>
      </c>
    </row>
    <row r="1664" spans="2:25" x14ac:dyDescent="0.25">
      <c r="B1664" s="75" t="s">
        <v>3236</v>
      </c>
      <c r="C1664" s="75" t="s">
        <v>1744</v>
      </c>
      <c r="D1664" t="s">
        <v>3548</v>
      </c>
      <c r="E1664" s="75" t="s">
        <v>6700</v>
      </c>
      <c r="F1664" s="75" t="s">
        <v>453</v>
      </c>
      <c r="G1664" t="s">
        <v>7701</v>
      </c>
      <c r="H1664" s="75" t="s">
        <v>4305</v>
      </c>
      <c r="I1664" s="75" t="s">
        <v>1720</v>
      </c>
      <c r="J1664" t="s">
        <v>5360</v>
      </c>
      <c r="K1664" s="75" t="s">
        <v>1352</v>
      </c>
      <c r="L1664" s="75" t="s">
        <v>4</v>
      </c>
      <c r="M1664" t="s">
        <v>2435</v>
      </c>
      <c r="N1664" s="75" t="s">
        <v>1830</v>
      </c>
      <c r="O1664" s="75" t="s">
        <v>372</v>
      </c>
      <c r="P1664" t="s">
        <v>2524</v>
      </c>
      <c r="T1664" s="75" t="s">
        <v>1330</v>
      </c>
      <c r="U1664" s="75" t="s">
        <v>4</v>
      </c>
      <c r="V1664" t="s">
        <v>2395</v>
      </c>
      <c r="W1664" s="75" t="s">
        <v>7274</v>
      </c>
      <c r="X1664" s="75" t="s">
        <v>318</v>
      </c>
      <c r="Y1664" t="s">
        <v>10644</v>
      </c>
    </row>
    <row r="1665" spans="2:25" x14ac:dyDescent="0.25">
      <c r="B1665" s="75" t="s">
        <v>3219</v>
      </c>
      <c r="C1665" s="75" t="s">
        <v>1734</v>
      </c>
      <c r="D1665" t="s">
        <v>3441</v>
      </c>
      <c r="E1665" s="75" t="s">
        <v>6240</v>
      </c>
      <c r="F1665" s="75" t="s">
        <v>374</v>
      </c>
      <c r="G1665" t="s">
        <v>7763</v>
      </c>
      <c r="H1665" s="75" t="s">
        <v>3679</v>
      </c>
      <c r="I1665" s="75" t="s">
        <v>318</v>
      </c>
      <c r="J1665" t="s">
        <v>5378</v>
      </c>
      <c r="K1665" s="75" t="s">
        <v>1327</v>
      </c>
      <c r="L1665" s="75" t="s">
        <v>318</v>
      </c>
      <c r="M1665" t="s">
        <v>2465</v>
      </c>
      <c r="N1665" s="75" t="s">
        <v>1061</v>
      </c>
      <c r="O1665" s="75" t="s">
        <v>679</v>
      </c>
      <c r="P1665" t="s">
        <v>2396</v>
      </c>
      <c r="T1665" s="75" t="s">
        <v>1253</v>
      </c>
      <c r="U1665" s="75" t="s">
        <v>316</v>
      </c>
      <c r="V1665" t="s">
        <v>1630</v>
      </c>
      <c r="W1665" s="75" t="s">
        <v>9363</v>
      </c>
      <c r="X1665" s="75" t="s">
        <v>319</v>
      </c>
      <c r="Y1665" t="s">
        <v>10703</v>
      </c>
    </row>
    <row r="1666" spans="2:25" x14ac:dyDescent="0.25">
      <c r="B1666" s="75" t="s">
        <v>3099</v>
      </c>
      <c r="C1666" s="75" t="s">
        <v>373</v>
      </c>
      <c r="D1666" t="s">
        <v>3319</v>
      </c>
      <c r="E1666" s="75" t="s">
        <v>6635</v>
      </c>
      <c r="F1666" s="75" t="s">
        <v>6927</v>
      </c>
      <c r="G1666" t="s">
        <v>7819</v>
      </c>
      <c r="H1666" s="75" t="s">
        <v>4012</v>
      </c>
      <c r="I1666" s="75" t="s">
        <v>3775</v>
      </c>
      <c r="J1666" t="s">
        <v>5449</v>
      </c>
      <c r="K1666" s="75" t="s">
        <v>1611</v>
      </c>
      <c r="L1666" s="75" t="s">
        <v>1734</v>
      </c>
      <c r="M1666" t="s">
        <v>2525</v>
      </c>
      <c r="N1666" s="75" t="s">
        <v>772</v>
      </c>
      <c r="O1666" s="75" t="s">
        <v>679</v>
      </c>
      <c r="P1666" t="s">
        <v>2397</v>
      </c>
      <c r="T1666" s="75" t="s">
        <v>1319</v>
      </c>
      <c r="U1666" s="75" t="s">
        <v>678</v>
      </c>
      <c r="V1666" t="s">
        <v>1670</v>
      </c>
      <c r="W1666" s="75" t="s">
        <v>9458</v>
      </c>
      <c r="X1666" s="75" t="s">
        <v>6927</v>
      </c>
      <c r="Y1666" t="s">
        <v>10702</v>
      </c>
    </row>
    <row r="1667" spans="2:25" x14ac:dyDescent="0.25">
      <c r="B1667" s="75" t="s">
        <v>2853</v>
      </c>
      <c r="C1667" s="75" t="s">
        <v>316</v>
      </c>
      <c r="D1667" t="s">
        <v>3205</v>
      </c>
      <c r="E1667" s="75" t="s">
        <v>5799</v>
      </c>
      <c r="F1667" s="75" t="s">
        <v>369</v>
      </c>
      <c r="G1667" t="s">
        <v>8010</v>
      </c>
      <c r="H1667" s="75" t="s">
        <v>4716</v>
      </c>
      <c r="I1667" s="75" t="s">
        <v>4569</v>
      </c>
      <c r="J1667" t="s">
        <v>5541</v>
      </c>
      <c r="K1667" s="75" t="s">
        <v>1001</v>
      </c>
      <c r="L1667" s="75" t="s">
        <v>481</v>
      </c>
      <c r="M1667" t="s">
        <v>2551</v>
      </c>
      <c r="N1667" s="75" t="s">
        <v>776</v>
      </c>
      <c r="O1667" s="75" t="s">
        <v>678</v>
      </c>
      <c r="P1667" t="s">
        <v>1593</v>
      </c>
      <c r="T1667" s="75" t="s">
        <v>2526</v>
      </c>
      <c r="U1667" s="75" t="s">
        <v>1734</v>
      </c>
      <c r="V1667" t="s">
        <v>2614</v>
      </c>
      <c r="W1667" s="75" t="s">
        <v>10969</v>
      </c>
      <c r="X1667" s="75" t="s">
        <v>10889</v>
      </c>
      <c r="Y1667" t="s">
        <v>11093</v>
      </c>
    </row>
    <row r="1668" spans="2:25" x14ac:dyDescent="0.25">
      <c r="B1668" s="75" t="s">
        <v>2960</v>
      </c>
      <c r="C1668" s="75" t="s">
        <v>309</v>
      </c>
      <c r="D1668" t="s">
        <v>3202</v>
      </c>
      <c r="E1668" s="75" t="s">
        <v>7003</v>
      </c>
      <c r="F1668" s="75" t="s">
        <v>360</v>
      </c>
      <c r="G1668" t="s">
        <v>8017</v>
      </c>
      <c r="H1668" s="75" t="s">
        <v>4417</v>
      </c>
      <c r="I1668" s="75" t="s">
        <v>5079</v>
      </c>
      <c r="J1668" t="s">
        <v>5675</v>
      </c>
      <c r="K1668" s="75" t="s">
        <v>880</v>
      </c>
      <c r="L1668" s="75" t="s">
        <v>965</v>
      </c>
      <c r="M1668" t="s">
        <v>5190</v>
      </c>
      <c r="N1668" s="75" t="s">
        <v>1075</v>
      </c>
      <c r="O1668" s="75" t="s">
        <v>679</v>
      </c>
      <c r="P1668" t="s">
        <v>1594</v>
      </c>
      <c r="T1668" s="75" t="s">
        <v>2534</v>
      </c>
      <c r="U1668" s="75" t="s">
        <v>316</v>
      </c>
      <c r="V1668" t="s">
        <v>2725</v>
      </c>
      <c r="W1668" s="75" t="s">
        <v>10996</v>
      </c>
      <c r="X1668" s="75" t="s">
        <v>317</v>
      </c>
      <c r="Y1668" t="s">
        <v>11112</v>
      </c>
    </row>
    <row r="1669" spans="2:25" x14ac:dyDescent="0.25">
      <c r="B1669" s="75" t="s">
        <v>2424</v>
      </c>
      <c r="C1669" s="75" t="s">
        <v>307</v>
      </c>
      <c r="D1669" t="s">
        <v>2759</v>
      </c>
      <c r="E1669" s="75" t="s">
        <v>7453</v>
      </c>
      <c r="F1669" s="75" t="s">
        <v>375</v>
      </c>
      <c r="G1669" t="s">
        <v>8036</v>
      </c>
      <c r="H1669" s="75" t="s">
        <v>4728</v>
      </c>
      <c r="I1669" s="75" t="s">
        <v>307</v>
      </c>
      <c r="J1669" t="s">
        <v>5935</v>
      </c>
      <c r="K1669" s="75" t="s">
        <v>639</v>
      </c>
      <c r="L1669" s="75" t="s">
        <v>1720</v>
      </c>
      <c r="M1669" t="s">
        <v>2790</v>
      </c>
      <c r="N1669" s="75" t="s">
        <v>915</v>
      </c>
      <c r="O1669" s="75" t="s">
        <v>679</v>
      </c>
      <c r="P1669" t="s">
        <v>2398</v>
      </c>
      <c r="T1669" s="75" t="s">
        <v>2751</v>
      </c>
      <c r="U1669" s="75" t="s">
        <v>307</v>
      </c>
      <c r="V1669" t="s">
        <v>2977</v>
      </c>
      <c r="W1669" s="75" t="s">
        <v>11109</v>
      </c>
      <c r="X1669" s="75" t="s">
        <v>10889</v>
      </c>
      <c r="Y1669" t="s">
        <v>11140</v>
      </c>
    </row>
    <row r="1670" spans="2:25" x14ac:dyDescent="0.25">
      <c r="B1670" s="75" t="s">
        <v>1613</v>
      </c>
      <c r="C1670" s="75" t="s">
        <v>927</v>
      </c>
      <c r="D1670" t="s">
        <v>1867</v>
      </c>
      <c r="E1670" s="75" t="s">
        <v>7495</v>
      </c>
      <c r="F1670" s="75" t="s">
        <v>318</v>
      </c>
      <c r="G1670" t="s">
        <v>8130</v>
      </c>
      <c r="H1670" s="75" t="s">
        <v>3869</v>
      </c>
      <c r="I1670" s="75" t="s">
        <v>372</v>
      </c>
      <c r="J1670" t="s">
        <v>6020</v>
      </c>
      <c r="K1670" s="75" t="s">
        <v>2568</v>
      </c>
      <c r="L1670" s="75" t="s">
        <v>481</v>
      </c>
      <c r="M1670" t="s">
        <v>5191</v>
      </c>
      <c r="N1670" s="75" t="s">
        <v>1098</v>
      </c>
      <c r="O1670" s="75" t="s">
        <v>316</v>
      </c>
      <c r="P1670" t="s">
        <v>2399</v>
      </c>
      <c r="T1670" s="75" t="s">
        <v>3933</v>
      </c>
      <c r="U1670" s="75" t="s">
        <v>678</v>
      </c>
      <c r="V1670" t="s">
        <v>4075</v>
      </c>
      <c r="W1670" s="75" t="s">
        <v>10968</v>
      </c>
      <c r="X1670" s="75" t="s">
        <v>9964</v>
      </c>
      <c r="Y1670" t="s">
        <v>11141</v>
      </c>
    </row>
    <row r="1671" spans="2:25" x14ac:dyDescent="0.25">
      <c r="B1671" s="75" t="s">
        <v>958</v>
      </c>
      <c r="C1671" s="75" t="s">
        <v>302</v>
      </c>
      <c r="D1671" t="s">
        <v>1589</v>
      </c>
      <c r="E1671" s="75" t="s">
        <v>6453</v>
      </c>
      <c r="F1671" s="75" t="s">
        <v>372</v>
      </c>
      <c r="G1671" t="s">
        <v>6454</v>
      </c>
      <c r="H1671" s="75" t="s">
        <v>5213</v>
      </c>
      <c r="I1671" s="75" t="s">
        <v>370</v>
      </c>
      <c r="J1671" t="s">
        <v>6140</v>
      </c>
      <c r="K1671" s="75" t="s">
        <v>1605</v>
      </c>
      <c r="L1671" s="75" t="s">
        <v>532</v>
      </c>
      <c r="M1671" t="s">
        <v>5192</v>
      </c>
      <c r="N1671" s="75" t="s">
        <v>887</v>
      </c>
      <c r="O1671" s="75" t="s">
        <v>375</v>
      </c>
      <c r="P1671" t="s">
        <v>2400</v>
      </c>
      <c r="T1671" s="75" t="s">
        <v>4722</v>
      </c>
      <c r="U1671" s="75" t="s">
        <v>3233</v>
      </c>
      <c r="V1671" t="s">
        <v>4847</v>
      </c>
      <c r="W1671" s="75" t="s">
        <v>10994</v>
      </c>
      <c r="X1671" s="75" t="s">
        <v>297</v>
      </c>
      <c r="Y1671" t="s">
        <v>11143</v>
      </c>
    </row>
    <row r="1672" spans="2:25" x14ac:dyDescent="0.25">
      <c r="B1672" s="75" t="s">
        <v>1237</v>
      </c>
      <c r="C1672" s="75" t="s">
        <v>375</v>
      </c>
      <c r="D1672" t="s">
        <v>3965</v>
      </c>
      <c r="E1672" s="75" t="s">
        <v>7783</v>
      </c>
      <c r="F1672" s="75" t="s">
        <v>5700</v>
      </c>
      <c r="G1672" t="s">
        <v>8609</v>
      </c>
      <c r="H1672" s="75" t="s">
        <v>5925</v>
      </c>
      <c r="I1672" s="75" t="s">
        <v>5702</v>
      </c>
      <c r="J1672" t="s">
        <v>6141</v>
      </c>
      <c r="K1672" s="75" t="s">
        <v>2645</v>
      </c>
      <c r="L1672" s="75" t="s">
        <v>297</v>
      </c>
      <c r="M1672" t="s">
        <v>2879</v>
      </c>
      <c r="N1672" s="75" t="s">
        <v>1111</v>
      </c>
      <c r="O1672" s="75" t="s">
        <v>679</v>
      </c>
      <c r="P1672" t="s">
        <v>2401</v>
      </c>
      <c r="T1672" s="75" t="s">
        <v>700</v>
      </c>
      <c r="U1672" s="75" t="s">
        <v>1905</v>
      </c>
      <c r="V1672" t="s">
        <v>5305</v>
      </c>
      <c r="W1672" s="75" t="s">
        <v>10995</v>
      </c>
      <c r="X1672" s="75" t="s">
        <v>5704</v>
      </c>
      <c r="Y1672" t="s">
        <v>11184</v>
      </c>
    </row>
    <row r="1673" spans="2:25" x14ac:dyDescent="0.25">
      <c r="B1673" s="75" t="s">
        <v>2529</v>
      </c>
      <c r="C1673" s="75" t="s">
        <v>369</v>
      </c>
      <c r="D1673" t="s">
        <v>3964</v>
      </c>
      <c r="E1673" s="75" t="s">
        <v>7939</v>
      </c>
      <c r="F1673" s="75" t="s">
        <v>360</v>
      </c>
      <c r="G1673" t="s">
        <v>8767</v>
      </c>
      <c r="H1673" s="75" t="s">
        <v>5664</v>
      </c>
      <c r="I1673" s="75" t="s">
        <v>452</v>
      </c>
      <c r="J1673" t="s">
        <v>6181</v>
      </c>
      <c r="K1673" s="75" t="s">
        <v>2591</v>
      </c>
      <c r="L1673" s="75" t="s">
        <v>2633</v>
      </c>
      <c r="M1673" t="s">
        <v>5193</v>
      </c>
      <c r="N1673" s="75" t="s">
        <v>1211</v>
      </c>
      <c r="O1673" s="75" t="s">
        <v>316</v>
      </c>
      <c r="P1673" t="s">
        <v>2402</v>
      </c>
      <c r="T1673" s="75" t="s">
        <v>3917</v>
      </c>
      <c r="U1673" s="75" t="s">
        <v>274</v>
      </c>
      <c r="V1673" t="s">
        <v>5489</v>
      </c>
      <c r="W1673" s="75" t="s">
        <v>11147</v>
      </c>
      <c r="X1673" s="75" t="s">
        <v>317</v>
      </c>
      <c r="Y1673" t="s">
        <v>11186</v>
      </c>
    </row>
    <row r="1674" spans="2:25" x14ac:dyDescent="0.25">
      <c r="B1674" s="75" t="s">
        <v>2852</v>
      </c>
      <c r="C1674" s="75" t="s">
        <v>308</v>
      </c>
      <c r="D1674" t="s">
        <v>3143</v>
      </c>
      <c r="E1674" s="75" t="s">
        <v>8512</v>
      </c>
      <c r="F1674" s="75" t="s">
        <v>360</v>
      </c>
      <c r="G1674" t="s">
        <v>8836</v>
      </c>
      <c r="H1674" s="75" t="s">
        <v>6300</v>
      </c>
      <c r="I1674" s="75" t="s">
        <v>6254</v>
      </c>
      <c r="J1674" t="s">
        <v>6840</v>
      </c>
      <c r="K1674" s="75" t="s">
        <v>923</v>
      </c>
      <c r="L1674" s="75" t="s">
        <v>309</v>
      </c>
      <c r="M1674" t="s">
        <v>2958</v>
      </c>
      <c r="N1674" s="75" t="s">
        <v>736</v>
      </c>
      <c r="O1674" s="75" t="s">
        <v>678</v>
      </c>
      <c r="P1674" t="s">
        <v>2403</v>
      </c>
      <c r="T1674" s="75" t="s">
        <v>3917</v>
      </c>
      <c r="U1674" s="75" t="s">
        <v>274</v>
      </c>
      <c r="V1674" t="s">
        <v>5489</v>
      </c>
      <c r="W1674" s="75" t="s">
        <v>11190</v>
      </c>
      <c r="X1674" s="75" t="s">
        <v>5704</v>
      </c>
      <c r="Y1674" t="s">
        <v>11208</v>
      </c>
    </row>
    <row r="1675" spans="2:25" x14ac:dyDescent="0.25">
      <c r="B1675" s="75" t="s">
        <v>3310</v>
      </c>
      <c r="C1675" s="75" t="s">
        <v>360</v>
      </c>
      <c r="D1675" t="s">
        <v>3779</v>
      </c>
      <c r="E1675" s="75" t="s">
        <v>8274</v>
      </c>
      <c r="F1675" s="75" t="s">
        <v>374</v>
      </c>
      <c r="G1675" t="s">
        <v>8866</v>
      </c>
      <c r="H1675" s="75" t="s">
        <v>6054</v>
      </c>
      <c r="I1675" s="75" t="s">
        <v>5703</v>
      </c>
      <c r="J1675" t="s">
        <v>7068</v>
      </c>
      <c r="K1675" s="75" t="s">
        <v>2750</v>
      </c>
      <c r="L1675" s="75" t="s">
        <v>679</v>
      </c>
      <c r="M1675" t="s">
        <v>2965</v>
      </c>
      <c r="N1675" s="75" t="s">
        <v>1710</v>
      </c>
      <c r="O1675" s="75" t="s">
        <v>1711</v>
      </c>
      <c r="P1675" t="s">
        <v>2464</v>
      </c>
      <c r="T1675" s="75" t="s">
        <v>619</v>
      </c>
      <c r="U1675" s="75" t="s">
        <v>5287</v>
      </c>
      <c r="V1675" t="s">
        <v>5552</v>
      </c>
      <c r="W1675" s="75" t="s">
        <v>11217</v>
      </c>
      <c r="X1675" s="75" t="s">
        <v>5704</v>
      </c>
      <c r="Y1675" t="s">
        <v>11276</v>
      </c>
    </row>
    <row r="1676" spans="2:25" x14ac:dyDescent="0.25">
      <c r="B1676" s="75" t="s">
        <v>3597</v>
      </c>
      <c r="C1676" s="75" t="s">
        <v>369</v>
      </c>
      <c r="D1676" t="s">
        <v>3899</v>
      </c>
      <c r="E1676" s="75" t="s">
        <v>8539</v>
      </c>
      <c r="F1676" s="75" t="s">
        <v>453</v>
      </c>
      <c r="G1676" t="s">
        <v>8901</v>
      </c>
      <c r="H1676" s="75" t="s">
        <v>6700</v>
      </c>
      <c r="I1676" s="75" t="s">
        <v>453</v>
      </c>
      <c r="J1676" t="s">
        <v>7899</v>
      </c>
      <c r="K1676" s="75" t="s">
        <v>2492</v>
      </c>
      <c r="L1676" s="75" t="s">
        <v>318</v>
      </c>
      <c r="M1676" t="s">
        <v>3004</v>
      </c>
      <c r="N1676" s="75" t="s">
        <v>1762</v>
      </c>
      <c r="O1676" s="75" t="s">
        <v>678</v>
      </c>
      <c r="P1676" t="s">
        <v>2819</v>
      </c>
      <c r="T1676" s="75" t="s">
        <v>6430</v>
      </c>
      <c r="U1676" s="75" t="s">
        <v>317</v>
      </c>
      <c r="V1676" t="s">
        <v>6663</v>
      </c>
      <c r="W1676" s="75" t="s">
        <v>11297</v>
      </c>
      <c r="X1676" s="75" t="s">
        <v>5704</v>
      </c>
      <c r="Y1676" t="s">
        <v>11327</v>
      </c>
    </row>
    <row r="1677" spans="2:25" x14ac:dyDescent="0.25">
      <c r="B1677" s="75" t="s">
        <v>3663</v>
      </c>
      <c r="C1677" s="75" t="s">
        <v>371</v>
      </c>
      <c r="D1677" t="s">
        <v>3797</v>
      </c>
      <c r="E1677" s="75" t="s">
        <v>8077</v>
      </c>
      <c r="F1677" s="75" t="s">
        <v>5700</v>
      </c>
      <c r="G1677" t="s">
        <v>8922</v>
      </c>
      <c r="H1677" s="75" t="s">
        <v>6635</v>
      </c>
      <c r="I1677" s="75" t="s">
        <v>6927</v>
      </c>
      <c r="J1677" t="s">
        <v>7903</v>
      </c>
      <c r="K1677" s="75" t="s">
        <v>2724</v>
      </c>
      <c r="L1677" s="75" t="s">
        <v>2935</v>
      </c>
      <c r="M1677" t="s">
        <v>3028</v>
      </c>
      <c r="N1677" s="75" t="s">
        <v>1590</v>
      </c>
      <c r="O1677" s="75" t="s">
        <v>369</v>
      </c>
      <c r="P1677" t="s">
        <v>2520</v>
      </c>
      <c r="T1677" s="75" t="s">
        <v>6513</v>
      </c>
      <c r="U1677" s="75" t="s">
        <v>296</v>
      </c>
      <c r="V1677" t="s">
        <v>6636</v>
      </c>
      <c r="W1677" s="75" t="s">
        <v>11224</v>
      </c>
      <c r="X1677" s="75" t="s">
        <v>318</v>
      </c>
      <c r="Y1677" t="s">
        <v>11326</v>
      </c>
    </row>
    <row r="1678" spans="2:25" x14ac:dyDescent="0.25">
      <c r="B1678" s="75" t="s">
        <v>3946</v>
      </c>
      <c r="C1678" s="75" t="s">
        <v>309</v>
      </c>
      <c r="D1678" t="s">
        <v>4114</v>
      </c>
      <c r="E1678" s="75" t="s">
        <v>8100</v>
      </c>
      <c r="F1678" s="75" t="s">
        <v>1905</v>
      </c>
      <c r="G1678" t="s">
        <v>8924</v>
      </c>
      <c r="H1678" s="75" t="s">
        <v>6453</v>
      </c>
      <c r="I1678" s="75" t="s">
        <v>372</v>
      </c>
      <c r="J1678" t="s">
        <v>8458</v>
      </c>
      <c r="K1678" s="75" t="s">
        <v>1846</v>
      </c>
      <c r="L1678" s="75" t="s">
        <v>374</v>
      </c>
      <c r="M1678" t="s">
        <v>3031</v>
      </c>
      <c r="N1678" s="75" t="s">
        <v>1625</v>
      </c>
      <c r="O1678" s="75" t="s">
        <v>1614</v>
      </c>
      <c r="P1678" t="s">
        <v>2521</v>
      </c>
      <c r="T1678" s="75" t="s">
        <v>5982</v>
      </c>
      <c r="U1678" s="75" t="s">
        <v>370</v>
      </c>
      <c r="V1678" t="s">
        <v>8611</v>
      </c>
      <c r="W1678" s="75" t="s">
        <v>11130</v>
      </c>
      <c r="X1678" s="75" t="s">
        <v>9964</v>
      </c>
      <c r="Y1678" t="s">
        <v>11350</v>
      </c>
    </row>
    <row r="1679" spans="2:25" x14ac:dyDescent="0.25">
      <c r="B1679" s="75" t="s">
        <v>4181</v>
      </c>
      <c r="C1679" s="75" t="s">
        <v>1720</v>
      </c>
      <c r="D1679" t="s">
        <v>4304</v>
      </c>
      <c r="E1679" s="75" t="s">
        <v>8633</v>
      </c>
      <c r="F1679" s="75" t="s">
        <v>5697</v>
      </c>
      <c r="G1679" t="s">
        <v>9028</v>
      </c>
      <c r="H1679" s="75" t="s">
        <v>7495</v>
      </c>
      <c r="I1679" s="75" t="s">
        <v>318</v>
      </c>
      <c r="J1679" t="s">
        <v>8491</v>
      </c>
      <c r="K1679" s="75" t="s">
        <v>2880</v>
      </c>
      <c r="L1679" s="75" t="s">
        <v>511</v>
      </c>
      <c r="M1679" t="s">
        <v>5194</v>
      </c>
      <c r="N1679" s="75" t="s">
        <v>1324</v>
      </c>
      <c r="O1679" s="75" t="s">
        <v>371</v>
      </c>
      <c r="P1679" t="s">
        <v>2704</v>
      </c>
      <c r="T1679" s="75" t="s">
        <v>8845</v>
      </c>
      <c r="U1679" s="75" t="s">
        <v>8843</v>
      </c>
      <c r="V1679" t="s">
        <v>8888</v>
      </c>
      <c r="W1679" s="75" t="s">
        <v>579</v>
      </c>
      <c r="X1679" s="75" t="s">
        <v>10805</v>
      </c>
      <c r="Y1679" t="s">
        <v>11439</v>
      </c>
    </row>
    <row r="1680" spans="2:25" x14ac:dyDescent="0.25">
      <c r="B1680" s="75" t="s">
        <v>5457</v>
      </c>
      <c r="C1680" s="75" t="s">
        <v>17</v>
      </c>
      <c r="D1680" t="s">
        <v>5650</v>
      </c>
      <c r="E1680" s="75" t="s">
        <v>8920</v>
      </c>
      <c r="F1680" s="75" t="s">
        <v>361</v>
      </c>
      <c r="G1680" t="s">
        <v>9333</v>
      </c>
      <c r="H1680" s="75" t="s">
        <v>6240</v>
      </c>
      <c r="I1680" s="75" t="s">
        <v>374</v>
      </c>
      <c r="J1680" t="s">
        <v>8537</v>
      </c>
      <c r="K1680" s="75" t="s">
        <v>3032</v>
      </c>
      <c r="L1680" s="75" t="s">
        <v>374</v>
      </c>
      <c r="M1680" t="s">
        <v>3186</v>
      </c>
      <c r="N1680" s="75" t="s">
        <v>2555</v>
      </c>
      <c r="O1680" s="75" t="s">
        <v>927</v>
      </c>
      <c r="P1680" t="s">
        <v>2733</v>
      </c>
      <c r="T1680" s="75" t="s">
        <v>8842</v>
      </c>
      <c r="U1680" s="75" t="s">
        <v>8843</v>
      </c>
      <c r="V1680" t="s">
        <v>8912</v>
      </c>
      <c r="W1680" s="75" t="s">
        <v>11131</v>
      </c>
      <c r="X1680" s="75" t="s">
        <v>10892</v>
      </c>
      <c r="Y1680" t="s">
        <v>11440</v>
      </c>
    </row>
    <row r="1681" spans="2:25" x14ac:dyDescent="0.25">
      <c r="B1681" s="75" t="s">
        <v>5454</v>
      </c>
      <c r="C1681" s="75" t="s">
        <v>4155</v>
      </c>
      <c r="D1681" t="s">
        <v>5665</v>
      </c>
      <c r="E1681" s="75" t="s">
        <v>8273</v>
      </c>
      <c r="F1681" s="75" t="s">
        <v>374</v>
      </c>
      <c r="G1681" t="s">
        <v>9490</v>
      </c>
      <c r="H1681" s="75" t="s">
        <v>5651</v>
      </c>
      <c r="I1681" s="75" t="s">
        <v>371</v>
      </c>
      <c r="J1681" t="s">
        <v>8547</v>
      </c>
      <c r="K1681" s="75" t="s">
        <v>3131</v>
      </c>
      <c r="L1681" s="75" t="s">
        <v>2935</v>
      </c>
      <c r="M1681" t="s">
        <v>3232</v>
      </c>
      <c r="N1681" s="75" t="s">
        <v>2734</v>
      </c>
      <c r="O1681" s="75" t="s">
        <v>927</v>
      </c>
      <c r="P1681" t="s">
        <v>2829</v>
      </c>
      <c r="T1681" s="75" t="s">
        <v>9463</v>
      </c>
      <c r="U1681" s="75" t="s">
        <v>371</v>
      </c>
      <c r="V1681" t="s">
        <v>9783</v>
      </c>
      <c r="W1681" s="75" t="s">
        <v>11388</v>
      </c>
      <c r="X1681" s="75" t="s">
        <v>5704</v>
      </c>
      <c r="Y1681" t="s">
        <v>11452</v>
      </c>
    </row>
    <row r="1682" spans="2:25" x14ac:dyDescent="0.25">
      <c r="B1682" s="75" t="s">
        <v>5560</v>
      </c>
      <c r="C1682" s="75" t="s">
        <v>5079</v>
      </c>
      <c r="D1682" t="s">
        <v>5748</v>
      </c>
      <c r="E1682" s="75" t="s">
        <v>9029</v>
      </c>
      <c r="F1682" s="75" t="s">
        <v>5703</v>
      </c>
      <c r="G1682" t="s">
        <v>9681</v>
      </c>
      <c r="H1682" s="75" t="s">
        <v>6187</v>
      </c>
      <c r="I1682" s="75" t="s">
        <v>373</v>
      </c>
      <c r="J1682" t="s">
        <v>8620</v>
      </c>
      <c r="K1682" s="75" t="s">
        <v>4546</v>
      </c>
      <c r="L1682" s="75" t="s">
        <v>3177</v>
      </c>
      <c r="M1682" t="s">
        <v>3288</v>
      </c>
      <c r="N1682" s="75" t="s">
        <v>2549</v>
      </c>
      <c r="O1682" s="75" t="s">
        <v>369</v>
      </c>
      <c r="P1682" t="s">
        <v>2896</v>
      </c>
      <c r="T1682" s="75" t="s">
        <v>9803</v>
      </c>
      <c r="U1682" s="75" t="s">
        <v>6927</v>
      </c>
      <c r="V1682" t="s">
        <v>9969</v>
      </c>
      <c r="W1682" s="75" t="s">
        <v>11420</v>
      </c>
      <c r="X1682" s="75" t="s">
        <v>316</v>
      </c>
      <c r="Y1682" t="s">
        <v>11453</v>
      </c>
    </row>
    <row r="1683" spans="2:25" x14ac:dyDescent="0.25">
      <c r="B1683" s="75" t="s">
        <v>5238</v>
      </c>
      <c r="C1683" s="75" t="s">
        <v>352</v>
      </c>
      <c r="D1683" t="s">
        <v>5786</v>
      </c>
      <c r="E1683" s="75" t="s">
        <v>8810</v>
      </c>
      <c r="F1683" s="75" t="s">
        <v>5697</v>
      </c>
      <c r="G1683" t="s">
        <v>9682</v>
      </c>
      <c r="H1683" s="75" t="s">
        <v>7455</v>
      </c>
      <c r="I1683" s="75" t="s">
        <v>317</v>
      </c>
      <c r="J1683" t="s">
        <v>8793</v>
      </c>
      <c r="K1683" s="75" t="s">
        <v>3185</v>
      </c>
      <c r="L1683" s="75" t="s">
        <v>1711</v>
      </c>
      <c r="M1683" t="s">
        <v>5195</v>
      </c>
      <c r="N1683" s="75" t="s">
        <v>2763</v>
      </c>
      <c r="O1683" s="75" t="s">
        <v>371</v>
      </c>
      <c r="P1683" t="s">
        <v>2918</v>
      </c>
      <c r="T1683" s="75" t="s">
        <v>9426</v>
      </c>
      <c r="U1683" s="75" t="s">
        <v>354</v>
      </c>
      <c r="V1683" t="s">
        <v>10194</v>
      </c>
      <c r="W1683" s="75" t="s">
        <v>11155</v>
      </c>
      <c r="X1683" s="216" t="s">
        <v>10164</v>
      </c>
      <c r="Y1683" t="s">
        <v>11644</v>
      </c>
    </row>
    <row r="1684" spans="2:25" x14ac:dyDescent="0.25">
      <c r="B1684" s="75" t="s">
        <v>5740</v>
      </c>
      <c r="C1684" s="75" t="s">
        <v>5702</v>
      </c>
      <c r="D1684" t="s">
        <v>5924</v>
      </c>
      <c r="E1684" s="75" t="s">
        <v>8540</v>
      </c>
      <c r="F1684" s="75" t="s">
        <v>1905</v>
      </c>
      <c r="G1684" t="s">
        <v>9710</v>
      </c>
      <c r="H1684" s="75" t="s">
        <v>8539</v>
      </c>
      <c r="I1684" s="75" t="s">
        <v>453</v>
      </c>
      <c r="J1684" t="s">
        <v>8943</v>
      </c>
      <c r="K1684" s="75" t="s">
        <v>3467</v>
      </c>
      <c r="L1684" s="75" t="s">
        <v>372</v>
      </c>
      <c r="M1684" t="s">
        <v>5196</v>
      </c>
      <c r="N1684" s="75" t="s">
        <v>1868</v>
      </c>
      <c r="O1684" s="75" t="s">
        <v>2935</v>
      </c>
      <c r="P1684" t="s">
        <v>3037</v>
      </c>
      <c r="T1684" s="75" t="s">
        <v>5542</v>
      </c>
      <c r="U1684" s="75" t="s">
        <v>9959</v>
      </c>
      <c r="V1684" t="s">
        <v>10378</v>
      </c>
      <c r="W1684" s="75" t="s">
        <v>11299</v>
      </c>
      <c r="X1684" s="75" t="s">
        <v>5697</v>
      </c>
      <c r="Y1684" t="s">
        <v>11493</v>
      </c>
    </row>
    <row r="1685" spans="2:25" x14ac:dyDescent="0.25">
      <c r="B1685" s="75" t="s">
        <v>5876</v>
      </c>
      <c r="C1685" s="75" t="s">
        <v>5703</v>
      </c>
      <c r="D1685" t="s">
        <v>6055</v>
      </c>
      <c r="E1685" s="75" t="s">
        <v>9226</v>
      </c>
      <c r="F1685" s="75" t="s">
        <v>355</v>
      </c>
      <c r="G1685" t="s">
        <v>9734</v>
      </c>
      <c r="H1685" s="75" t="s">
        <v>8274</v>
      </c>
      <c r="I1685" s="75" t="s">
        <v>374</v>
      </c>
      <c r="J1685" t="s">
        <v>9013</v>
      </c>
      <c r="K1685" s="75" t="s">
        <v>1767</v>
      </c>
      <c r="L1685" s="75" t="s">
        <v>3023</v>
      </c>
      <c r="M1685" t="s">
        <v>5197</v>
      </c>
      <c r="N1685" s="75" t="s">
        <v>2528</v>
      </c>
      <c r="O1685" s="75" t="s">
        <v>373</v>
      </c>
      <c r="P1685" t="s">
        <v>3059</v>
      </c>
      <c r="T1685" s="75" t="s">
        <v>10660</v>
      </c>
      <c r="U1685" s="216" t="s">
        <v>10805</v>
      </c>
      <c r="V1685" t="s">
        <v>10856</v>
      </c>
      <c r="W1685" s="75" t="s">
        <v>11608</v>
      </c>
      <c r="X1685" s="75" t="s">
        <v>10502</v>
      </c>
      <c r="Y1685" t="s">
        <v>11665</v>
      </c>
    </row>
    <row r="1686" spans="2:25" x14ac:dyDescent="0.25">
      <c r="B1686" s="75" t="s">
        <v>5839</v>
      </c>
      <c r="C1686" s="75" t="s">
        <v>373</v>
      </c>
      <c r="D1686" t="s">
        <v>6188</v>
      </c>
      <c r="E1686" s="75" t="s">
        <v>9556</v>
      </c>
      <c r="F1686" s="75" t="s">
        <v>375</v>
      </c>
      <c r="G1686" t="s">
        <v>9745</v>
      </c>
      <c r="H1686" s="75" t="s">
        <v>8512</v>
      </c>
      <c r="I1686" s="75" t="s">
        <v>360</v>
      </c>
      <c r="J1686" t="s">
        <v>9022</v>
      </c>
      <c r="K1686" s="75" t="s">
        <v>2832</v>
      </c>
      <c r="L1686" s="75" t="s">
        <v>274</v>
      </c>
      <c r="M1686" t="s">
        <v>3670</v>
      </c>
      <c r="N1686" s="75" t="s">
        <v>2527</v>
      </c>
      <c r="O1686" s="75" t="s">
        <v>317</v>
      </c>
      <c r="P1686" t="s">
        <v>3097</v>
      </c>
      <c r="T1686" s="75" t="s">
        <v>1330</v>
      </c>
      <c r="U1686" s="216" t="s">
        <v>5701</v>
      </c>
      <c r="V1686" t="s">
        <v>10983</v>
      </c>
      <c r="W1686" s="75" t="s">
        <v>7385</v>
      </c>
      <c r="X1686" s="75" t="s">
        <v>532</v>
      </c>
      <c r="Y1686" t="s">
        <v>11538</v>
      </c>
    </row>
    <row r="1687" spans="2:25" x14ac:dyDescent="0.25">
      <c r="B1687" s="75" t="s">
        <v>5917</v>
      </c>
      <c r="C1687" s="75" t="s">
        <v>5918</v>
      </c>
      <c r="D1687" t="s">
        <v>6236</v>
      </c>
      <c r="E1687" s="75" t="s">
        <v>9573</v>
      </c>
      <c r="F1687" s="75" t="s">
        <v>296</v>
      </c>
      <c r="G1687" t="s">
        <v>10046</v>
      </c>
      <c r="H1687" s="75" t="s">
        <v>8633</v>
      </c>
      <c r="I1687" s="75" t="s">
        <v>5697</v>
      </c>
      <c r="J1687" t="s">
        <v>9061</v>
      </c>
      <c r="K1687" s="75" t="s">
        <v>3375</v>
      </c>
      <c r="L1687" s="75" t="s">
        <v>3023</v>
      </c>
      <c r="M1687" t="s">
        <v>5198</v>
      </c>
      <c r="N1687" s="75" t="s">
        <v>2886</v>
      </c>
      <c r="O1687" s="75" t="s">
        <v>1711</v>
      </c>
      <c r="P1687" t="s">
        <v>3167</v>
      </c>
      <c r="T1687" s="75" t="s">
        <v>8845</v>
      </c>
      <c r="U1687" s="74" t="s">
        <v>318</v>
      </c>
      <c r="V1687" t="s">
        <v>11521</v>
      </c>
      <c r="W1687" s="75" t="s">
        <v>11653</v>
      </c>
      <c r="X1687" s="75" t="s">
        <v>10502</v>
      </c>
      <c r="Y1687" t="s">
        <v>11742</v>
      </c>
    </row>
    <row r="1688" spans="2:25" x14ac:dyDescent="0.25">
      <c r="B1688" s="75" t="s">
        <v>5969</v>
      </c>
      <c r="C1688" s="75" t="s">
        <v>374</v>
      </c>
      <c r="D1688" t="s">
        <v>6241</v>
      </c>
      <c r="E1688" s="75" t="s">
        <v>9604</v>
      </c>
      <c r="F1688" s="75" t="s">
        <v>303</v>
      </c>
      <c r="G1688" t="s">
        <v>10110</v>
      </c>
      <c r="H1688" s="75" t="s">
        <v>8100</v>
      </c>
      <c r="I1688" s="75" t="s">
        <v>1905</v>
      </c>
      <c r="J1688" t="s">
        <v>9153</v>
      </c>
      <c r="K1688" s="75" t="s">
        <v>3665</v>
      </c>
      <c r="L1688" s="75" t="s">
        <v>274</v>
      </c>
      <c r="M1688" t="s">
        <v>3906</v>
      </c>
      <c r="N1688" s="75" t="s">
        <v>2473</v>
      </c>
      <c r="O1688" s="75" t="s">
        <v>3024</v>
      </c>
      <c r="P1688" t="s">
        <v>3168</v>
      </c>
      <c r="T1688" s="75" t="s">
        <v>11709</v>
      </c>
      <c r="U1688" s="75" t="s">
        <v>11710</v>
      </c>
      <c r="V1688" t="s">
        <v>11751</v>
      </c>
      <c r="W1688" s="75" t="s">
        <v>11745</v>
      </c>
      <c r="X1688" s="75" t="s">
        <v>10805</v>
      </c>
      <c r="Y1688" t="s">
        <v>11795</v>
      </c>
    </row>
    <row r="1689" spans="2:25" x14ac:dyDescent="0.25">
      <c r="B1689" s="75" t="s">
        <v>6225</v>
      </c>
      <c r="C1689" s="75" t="s">
        <v>372</v>
      </c>
      <c r="D1689" t="s">
        <v>6452</v>
      </c>
      <c r="E1689" s="75" t="s">
        <v>9858</v>
      </c>
      <c r="F1689" s="75" t="s">
        <v>9965</v>
      </c>
      <c r="G1689" t="s">
        <v>9866</v>
      </c>
      <c r="H1689" s="75" t="s">
        <v>9556</v>
      </c>
      <c r="I1689" s="75" t="s">
        <v>375</v>
      </c>
      <c r="J1689" t="s">
        <v>9754</v>
      </c>
      <c r="K1689" s="75" t="s">
        <v>634</v>
      </c>
      <c r="L1689" s="75" t="s">
        <v>318</v>
      </c>
      <c r="M1689" t="s">
        <v>5199</v>
      </c>
      <c r="N1689" s="75" t="s">
        <v>2557</v>
      </c>
      <c r="O1689" s="75" t="s">
        <v>481</v>
      </c>
      <c r="P1689" t="s">
        <v>3190</v>
      </c>
      <c r="T1689" s="75" t="s">
        <v>11793</v>
      </c>
      <c r="U1689" s="75" t="s">
        <v>10502</v>
      </c>
      <c r="V1689" t="s">
        <v>11922</v>
      </c>
      <c r="W1689" s="75" t="s">
        <v>11732</v>
      </c>
      <c r="X1689" s="75" t="s">
        <v>11733</v>
      </c>
      <c r="Y1689" t="s">
        <v>11777</v>
      </c>
    </row>
    <row r="1690" spans="2:25" x14ac:dyDescent="0.25">
      <c r="B1690" s="75" t="s">
        <v>6351</v>
      </c>
      <c r="C1690" s="75" t="s">
        <v>316</v>
      </c>
      <c r="D1690" t="s">
        <v>6843</v>
      </c>
      <c r="E1690" s="75" t="s">
        <v>9928</v>
      </c>
      <c r="F1690" s="75" t="s">
        <v>5701</v>
      </c>
      <c r="G1690" t="s">
        <v>10272</v>
      </c>
      <c r="H1690" s="75" t="s">
        <v>9226</v>
      </c>
      <c r="I1690" s="75" t="s">
        <v>355</v>
      </c>
      <c r="J1690" t="s">
        <v>9760</v>
      </c>
      <c r="K1690" s="75" t="s">
        <v>3771</v>
      </c>
      <c r="L1690" s="75" t="s">
        <v>3023</v>
      </c>
      <c r="M1690" t="s">
        <v>5200</v>
      </c>
      <c r="N1690" s="75" t="s">
        <v>3173</v>
      </c>
      <c r="O1690" s="75" t="s">
        <v>309</v>
      </c>
      <c r="P1690" t="s">
        <v>3212</v>
      </c>
      <c r="T1690" s="75" t="s">
        <v>1133</v>
      </c>
      <c r="U1690" s="75" t="s">
        <v>11753</v>
      </c>
      <c r="V1690" t="s">
        <v>11905</v>
      </c>
      <c r="W1690" s="75" t="s">
        <v>11662</v>
      </c>
      <c r="X1690" s="75" t="s">
        <v>10896</v>
      </c>
      <c r="Y1690" t="s">
        <v>11774</v>
      </c>
    </row>
    <row r="1691" spans="2:25" x14ac:dyDescent="0.25">
      <c r="B1691" s="75" t="s">
        <v>6260</v>
      </c>
      <c r="C1691" s="75" t="s">
        <v>5079</v>
      </c>
      <c r="D1691" t="s">
        <v>6634</v>
      </c>
      <c r="E1691" s="75" t="s">
        <v>9263</v>
      </c>
      <c r="F1691" s="75" t="s">
        <v>5700</v>
      </c>
      <c r="G1691" t="s">
        <v>10271</v>
      </c>
      <c r="H1691" s="75" t="s">
        <v>8810</v>
      </c>
      <c r="I1691" s="75" t="s">
        <v>5697</v>
      </c>
      <c r="J1691" t="s">
        <v>9800</v>
      </c>
      <c r="K1691" s="75" t="s">
        <v>3932</v>
      </c>
      <c r="L1691" s="75" t="s">
        <v>3931</v>
      </c>
      <c r="M1691" t="s">
        <v>3971</v>
      </c>
      <c r="N1691" s="75" t="s">
        <v>771</v>
      </c>
      <c r="O1691" s="75" t="s">
        <v>2994</v>
      </c>
      <c r="P1691" t="s">
        <v>3215</v>
      </c>
      <c r="T1691" s="75" t="s">
        <v>12243</v>
      </c>
      <c r="U1691" s="75" t="s">
        <v>12244</v>
      </c>
      <c r="V1691" t="s">
        <v>12323</v>
      </c>
      <c r="W1691" s="75" t="s">
        <v>11506</v>
      </c>
      <c r="X1691" s="75" t="s">
        <v>5697</v>
      </c>
      <c r="Y1691" t="s">
        <v>11739</v>
      </c>
    </row>
    <row r="1692" spans="2:25" x14ac:dyDescent="0.25">
      <c r="B1692" s="75" t="s">
        <v>6398</v>
      </c>
      <c r="C1692" s="75" t="s">
        <v>453</v>
      </c>
      <c r="D1692" t="s">
        <v>6701</v>
      </c>
      <c r="E1692" s="75" t="s">
        <v>9712</v>
      </c>
      <c r="F1692" s="75" t="s">
        <v>9475</v>
      </c>
      <c r="G1692" t="s">
        <v>10352</v>
      </c>
      <c r="H1692" s="75" t="s">
        <v>8540</v>
      </c>
      <c r="I1692" s="75" t="s">
        <v>1905</v>
      </c>
      <c r="J1692" t="s">
        <v>9848</v>
      </c>
      <c r="K1692" s="75" t="s">
        <v>2615</v>
      </c>
      <c r="L1692" s="75" t="s">
        <v>356</v>
      </c>
      <c r="M1692" t="s">
        <v>4082</v>
      </c>
      <c r="N1692" s="75" t="s">
        <v>2999</v>
      </c>
      <c r="O1692" s="75" t="s">
        <v>1734</v>
      </c>
      <c r="P1692" t="s">
        <v>3234</v>
      </c>
      <c r="T1692" s="74" t="s">
        <v>12593</v>
      </c>
      <c r="U1692" s="74" t="s">
        <v>12409</v>
      </c>
      <c r="V1692" t="s">
        <v>12732</v>
      </c>
      <c r="W1692" s="75" t="s">
        <v>10784</v>
      </c>
      <c r="X1692" s="75" t="s">
        <v>10502</v>
      </c>
      <c r="Y1692" t="s">
        <v>11537</v>
      </c>
    </row>
    <row r="1693" spans="2:25" x14ac:dyDescent="0.25">
      <c r="B1693" s="75" t="s">
        <v>6735</v>
      </c>
      <c r="C1693" s="75" t="s">
        <v>360</v>
      </c>
      <c r="D1693" t="s">
        <v>7002</v>
      </c>
      <c r="E1693" s="75" t="s">
        <v>9981</v>
      </c>
      <c r="F1693" s="75" t="s">
        <v>318</v>
      </c>
      <c r="G1693" t="s">
        <v>10355</v>
      </c>
      <c r="H1693" s="75" t="s">
        <v>9026</v>
      </c>
      <c r="I1693" s="75" t="s">
        <v>5705</v>
      </c>
      <c r="J1693" t="s">
        <v>9925</v>
      </c>
      <c r="K1693" s="75" t="s">
        <v>3851</v>
      </c>
      <c r="L1693" s="75" t="s">
        <v>3931</v>
      </c>
      <c r="M1693" t="s">
        <v>4084</v>
      </c>
      <c r="N1693" s="75" t="s">
        <v>2668</v>
      </c>
      <c r="O1693" s="75" t="s">
        <v>1744</v>
      </c>
      <c r="P1693" t="s">
        <v>3242</v>
      </c>
      <c r="T1693" s="75" t="s">
        <v>11793</v>
      </c>
      <c r="U1693" s="75" t="s">
        <v>12065</v>
      </c>
      <c r="V1693" t="s">
        <v>12690</v>
      </c>
      <c r="W1693" s="74" t="s">
        <v>10989</v>
      </c>
      <c r="X1693" s="74" t="s">
        <v>319</v>
      </c>
      <c r="Y1693" t="s">
        <v>11191</v>
      </c>
    </row>
    <row r="1694" spans="2:25" x14ac:dyDescent="0.25">
      <c r="B1694" s="75" t="s">
        <v>6855</v>
      </c>
      <c r="C1694" s="75" t="s">
        <v>1905</v>
      </c>
      <c r="D1694" t="s">
        <v>7065</v>
      </c>
      <c r="E1694" s="75" t="s">
        <v>10074</v>
      </c>
      <c r="F1694" s="75" t="s">
        <v>4</v>
      </c>
      <c r="G1694" t="s">
        <v>10466</v>
      </c>
      <c r="H1694" s="75" t="s">
        <v>9029</v>
      </c>
      <c r="I1694" s="75" t="s">
        <v>5703</v>
      </c>
      <c r="J1694" t="s">
        <v>9966</v>
      </c>
      <c r="K1694" s="75" t="s">
        <v>3908</v>
      </c>
      <c r="L1694" s="75" t="s">
        <v>296</v>
      </c>
      <c r="M1694" t="s">
        <v>4198</v>
      </c>
      <c r="N1694" s="75" t="s">
        <v>2592</v>
      </c>
      <c r="O1694" s="75" t="s">
        <v>309</v>
      </c>
      <c r="P1694" t="s">
        <v>3311</v>
      </c>
      <c r="T1694" s="75" t="s">
        <v>4707</v>
      </c>
      <c r="U1694" s="216" t="s">
        <v>12065</v>
      </c>
      <c r="V1694" t="s">
        <v>12892</v>
      </c>
      <c r="W1694" s="75" t="s">
        <v>10717</v>
      </c>
      <c r="X1694" s="75" t="s">
        <v>318</v>
      </c>
      <c r="Y1694" t="s">
        <v>10880</v>
      </c>
    </row>
    <row r="1695" spans="2:25" x14ac:dyDescent="0.25">
      <c r="B1695" s="75" t="s">
        <v>6856</v>
      </c>
      <c r="C1695" s="75" t="s">
        <v>453</v>
      </c>
      <c r="D1695" t="s">
        <v>7095</v>
      </c>
      <c r="E1695" s="75" t="s">
        <v>10206</v>
      </c>
      <c r="F1695" s="75" t="s">
        <v>354</v>
      </c>
      <c r="G1695" t="s">
        <v>10481</v>
      </c>
      <c r="H1695" s="75" t="s">
        <v>12044</v>
      </c>
      <c r="I1695" s="216" t="s">
        <v>5697</v>
      </c>
      <c r="J1695" t="s">
        <v>12345</v>
      </c>
      <c r="K1695" s="75" t="s">
        <v>2923</v>
      </c>
      <c r="L1695" s="75" t="s">
        <v>372</v>
      </c>
      <c r="M1695" t="s">
        <v>4283</v>
      </c>
      <c r="N1695" s="75" t="s">
        <v>2998</v>
      </c>
      <c r="O1695" s="75" t="s">
        <v>371</v>
      </c>
      <c r="P1695" t="s">
        <v>3327</v>
      </c>
      <c r="T1695" s="75" t="s">
        <v>12820</v>
      </c>
      <c r="U1695" s="290" t="s">
        <v>12244</v>
      </c>
      <c r="V1695" s="216" t="s">
        <v>13050</v>
      </c>
      <c r="W1695" s="75" t="s">
        <v>10708</v>
      </c>
      <c r="X1695" s="75" t="s">
        <v>317</v>
      </c>
      <c r="Y1695" t="s">
        <v>10879</v>
      </c>
    </row>
    <row r="1696" spans="2:25" x14ac:dyDescent="0.25">
      <c r="B1696" s="75" t="s">
        <v>7103</v>
      </c>
      <c r="C1696" s="75" t="s">
        <v>317</v>
      </c>
      <c r="D1696" t="s">
        <v>7456</v>
      </c>
      <c r="E1696" s="75" t="s">
        <v>10450</v>
      </c>
      <c r="F1696" s="75" t="s">
        <v>6851</v>
      </c>
      <c r="G1696" t="s">
        <v>10699</v>
      </c>
      <c r="H1696" s="75" t="s">
        <v>9712</v>
      </c>
      <c r="I1696" s="216" t="s">
        <v>9475</v>
      </c>
      <c r="J1696" t="s">
        <v>10462</v>
      </c>
      <c r="K1696" s="75" t="s">
        <v>4301</v>
      </c>
      <c r="L1696" s="75" t="s">
        <v>361</v>
      </c>
      <c r="M1696" t="s">
        <v>5529</v>
      </c>
      <c r="N1696" s="75" t="s">
        <v>3100</v>
      </c>
      <c r="O1696" s="75" t="s">
        <v>317</v>
      </c>
      <c r="P1696" t="s">
        <v>4164</v>
      </c>
      <c r="T1696" s="75" t="s">
        <v>13168</v>
      </c>
      <c r="U1696" s="75" t="s">
        <v>12888</v>
      </c>
      <c r="V1696" s="118" t="s">
        <v>15155</v>
      </c>
      <c r="W1696" s="75" t="s">
        <v>11850</v>
      </c>
      <c r="X1696" s="75" t="s">
        <v>5702</v>
      </c>
      <c r="Y1696" t="s">
        <v>11900</v>
      </c>
    </row>
    <row r="1697" spans="2:25" x14ac:dyDescent="0.25">
      <c r="B1697" s="75" t="s">
        <v>7636</v>
      </c>
      <c r="C1697" s="75" t="s">
        <v>5700</v>
      </c>
      <c r="D1697" t="s">
        <v>7782</v>
      </c>
      <c r="E1697" s="75" t="s">
        <v>10552</v>
      </c>
      <c r="F1697" s="75" t="s">
        <v>9964</v>
      </c>
      <c r="G1697" t="s">
        <v>10771</v>
      </c>
      <c r="H1697" s="75" t="s">
        <v>10206</v>
      </c>
      <c r="I1697" s="75" t="s">
        <v>354</v>
      </c>
      <c r="J1697" t="s">
        <v>10506</v>
      </c>
      <c r="K1697" s="75" t="s">
        <v>4451</v>
      </c>
      <c r="L1697" s="75" t="s">
        <v>4487</v>
      </c>
      <c r="M1697" t="s">
        <v>4633</v>
      </c>
      <c r="N1697" s="75" t="s">
        <v>2590</v>
      </c>
      <c r="O1697" s="75" t="s">
        <v>307</v>
      </c>
      <c r="P1697" t="s">
        <v>3490</v>
      </c>
      <c r="T1697" s="75" t="s">
        <v>13386</v>
      </c>
      <c r="U1697" s="75" t="s">
        <v>5700</v>
      </c>
      <c r="V1697" t="s">
        <v>13583</v>
      </c>
      <c r="W1697" s="75" t="s">
        <v>11800</v>
      </c>
      <c r="X1697" s="75" t="s">
        <v>5705</v>
      </c>
      <c r="Y1697" t="s">
        <v>11904</v>
      </c>
    </row>
    <row r="1698" spans="2:25" x14ac:dyDescent="0.25">
      <c r="B1698" s="75" t="s">
        <v>7800</v>
      </c>
      <c r="C1698" s="75" t="s">
        <v>375</v>
      </c>
      <c r="D1698" t="s">
        <v>7845</v>
      </c>
      <c r="E1698" s="75" t="s">
        <v>10413</v>
      </c>
      <c r="F1698" s="75" t="s">
        <v>10889</v>
      </c>
      <c r="G1698" t="s">
        <v>10820</v>
      </c>
      <c r="H1698" s="75" t="s">
        <v>10074</v>
      </c>
      <c r="I1698" s="75" t="s">
        <v>4</v>
      </c>
      <c r="J1698" t="s">
        <v>10599</v>
      </c>
      <c r="K1698" s="75" t="s">
        <v>4083</v>
      </c>
      <c r="L1698" s="75" t="s">
        <v>356</v>
      </c>
      <c r="M1698" t="s">
        <v>4665</v>
      </c>
      <c r="N1698" s="75" t="s">
        <v>1590</v>
      </c>
      <c r="O1698" s="75" t="s">
        <v>369</v>
      </c>
      <c r="P1698" t="s">
        <v>3525</v>
      </c>
      <c r="T1698" s="74" t="s">
        <v>12910</v>
      </c>
      <c r="U1698" s="74" t="s">
        <v>12901</v>
      </c>
      <c r="V1698" t="s">
        <v>12986</v>
      </c>
      <c r="W1698" t="s">
        <v>11388</v>
      </c>
      <c r="X1698" s="75" t="s">
        <v>12065</v>
      </c>
      <c r="Y1698" t="s">
        <v>11880</v>
      </c>
    </row>
    <row r="1699" spans="2:25" x14ac:dyDescent="0.25">
      <c r="B1699" s="75" t="s">
        <v>7904</v>
      </c>
      <c r="C1699" s="75" t="s">
        <v>5918</v>
      </c>
      <c r="D1699" t="s">
        <v>8078</v>
      </c>
      <c r="E1699" s="75" t="s">
        <v>10304</v>
      </c>
      <c r="F1699" s="75" t="s">
        <v>6410</v>
      </c>
      <c r="G1699" t="s">
        <v>10855</v>
      </c>
      <c r="H1699" s="75" t="s">
        <v>9981</v>
      </c>
      <c r="I1699" s="75" t="s">
        <v>318</v>
      </c>
      <c r="J1699" t="s">
        <v>10402</v>
      </c>
      <c r="K1699" s="75" t="s">
        <v>4316</v>
      </c>
      <c r="L1699" s="75" t="s">
        <v>4488</v>
      </c>
      <c r="M1699" t="s">
        <v>4736</v>
      </c>
      <c r="N1699" s="75" t="s">
        <v>2937</v>
      </c>
      <c r="O1699" s="75" t="s">
        <v>369</v>
      </c>
      <c r="P1699" t="s">
        <v>3526</v>
      </c>
      <c r="T1699" s="74" t="s">
        <v>12367</v>
      </c>
      <c r="U1699" s="216" t="s">
        <v>12409</v>
      </c>
      <c r="V1699" t="s">
        <v>12592</v>
      </c>
      <c r="W1699" s="75" t="s">
        <v>11881</v>
      </c>
      <c r="X1699" s="75" t="s">
        <v>10896</v>
      </c>
      <c r="Y1699" t="s">
        <v>11970</v>
      </c>
    </row>
    <row r="1700" spans="2:25" x14ac:dyDescent="0.25">
      <c r="B1700" s="75" t="s">
        <v>7872</v>
      </c>
      <c r="C1700" s="75" t="s">
        <v>1905</v>
      </c>
      <c r="D1700" t="s">
        <v>8099</v>
      </c>
      <c r="E1700" s="75" t="s">
        <v>10192</v>
      </c>
      <c r="F1700" s="75" t="s">
        <v>10895</v>
      </c>
      <c r="G1700" t="s">
        <v>11052</v>
      </c>
      <c r="H1700" s="75" t="s">
        <v>10286</v>
      </c>
      <c r="I1700" s="75" t="s">
        <v>9965</v>
      </c>
      <c r="J1700" t="s">
        <v>10851</v>
      </c>
      <c r="K1700" s="75" t="s">
        <v>4667</v>
      </c>
      <c r="L1700" s="75" t="s">
        <v>356</v>
      </c>
      <c r="M1700" t="s">
        <v>4753</v>
      </c>
      <c r="N1700" s="75" t="s">
        <v>2748</v>
      </c>
      <c r="O1700" s="75" t="s">
        <v>371</v>
      </c>
      <c r="P1700" t="s">
        <v>3668</v>
      </c>
      <c r="T1700" s="75" t="s">
        <v>13608</v>
      </c>
      <c r="U1700" s="75" t="s">
        <v>12888</v>
      </c>
      <c r="V1700" t="s">
        <v>13671</v>
      </c>
      <c r="W1700" s="75" t="s">
        <v>12007</v>
      </c>
      <c r="X1700" s="75" t="s">
        <v>12067</v>
      </c>
      <c r="Y1700" t="s">
        <v>12042</v>
      </c>
    </row>
    <row r="1701" spans="2:25" x14ac:dyDescent="0.25">
      <c r="B1701" s="75" t="s">
        <v>8329</v>
      </c>
      <c r="C1701" s="75" t="s">
        <v>453</v>
      </c>
      <c r="D1701" t="s">
        <v>8433</v>
      </c>
      <c r="E1701" s="75" t="s">
        <v>10982</v>
      </c>
      <c r="F1701" s="75" t="s">
        <v>5703</v>
      </c>
      <c r="G1701" t="s">
        <v>11062</v>
      </c>
      <c r="H1701" s="75" t="s">
        <v>10192</v>
      </c>
      <c r="I1701" s="75" t="s">
        <v>10895</v>
      </c>
      <c r="J1701" t="s">
        <v>11111</v>
      </c>
      <c r="K1701" s="75" t="s">
        <v>657</v>
      </c>
      <c r="L1701" s="75" t="s">
        <v>373</v>
      </c>
      <c r="M1701" t="s">
        <v>4938</v>
      </c>
      <c r="N1701" s="75" t="s">
        <v>2830</v>
      </c>
      <c r="O1701" s="75" t="s">
        <v>927</v>
      </c>
      <c r="P1701" t="s">
        <v>3669</v>
      </c>
      <c r="T1701" s="75" t="s">
        <v>13608</v>
      </c>
      <c r="U1701" s="290" t="s">
        <v>12888</v>
      </c>
      <c r="V1701" t="s">
        <v>13775</v>
      </c>
      <c r="W1701" s="75" t="s">
        <v>11860</v>
      </c>
      <c r="X1701" s="75" t="s">
        <v>5697</v>
      </c>
      <c r="Y1701" t="s">
        <v>12076</v>
      </c>
    </row>
    <row r="1702" spans="2:25" x14ac:dyDescent="0.25">
      <c r="B1702" s="75" t="s">
        <v>8295</v>
      </c>
      <c r="C1702" s="75" t="s">
        <v>360</v>
      </c>
      <c r="D1702" t="s">
        <v>8511</v>
      </c>
      <c r="E1702" s="75" t="s">
        <v>10704</v>
      </c>
      <c r="F1702" s="75" t="s">
        <v>5697</v>
      </c>
      <c r="G1702" t="s">
        <v>11204</v>
      </c>
      <c r="H1702" s="75" t="s">
        <v>10304</v>
      </c>
      <c r="I1702" s="75" t="s">
        <v>6410</v>
      </c>
      <c r="J1702" t="s">
        <v>10901</v>
      </c>
      <c r="K1702" s="75" t="s">
        <v>4653</v>
      </c>
      <c r="L1702" s="75" t="s">
        <v>4569</v>
      </c>
      <c r="M1702" t="s">
        <v>5036</v>
      </c>
      <c r="N1702" s="75" t="s">
        <v>1211</v>
      </c>
      <c r="O1702" s="75" t="s">
        <v>1085</v>
      </c>
      <c r="P1702" t="s">
        <v>3854</v>
      </c>
      <c r="T1702" s="74" t="s">
        <v>13807</v>
      </c>
      <c r="U1702" s="290" t="s">
        <v>363</v>
      </c>
      <c r="V1702" t="s">
        <v>13894</v>
      </c>
      <c r="W1702" s="75" t="s">
        <v>12132</v>
      </c>
      <c r="X1702" s="75" t="s">
        <v>5697</v>
      </c>
      <c r="Y1702" t="s">
        <v>12192</v>
      </c>
    </row>
    <row r="1703" spans="2:25" x14ac:dyDescent="0.25">
      <c r="B1703" s="75" t="s">
        <v>8750</v>
      </c>
      <c r="C1703" s="75" t="s">
        <v>361</v>
      </c>
      <c r="D1703" t="s">
        <v>8919</v>
      </c>
      <c r="E1703" s="75" t="s">
        <v>10822</v>
      </c>
      <c r="F1703" s="75" t="s">
        <v>303</v>
      </c>
      <c r="G1703" t="s">
        <v>11117</v>
      </c>
      <c r="H1703" s="75" t="s">
        <v>11358</v>
      </c>
      <c r="I1703" s="75" t="s">
        <v>10895</v>
      </c>
      <c r="J1703" t="s">
        <v>11540</v>
      </c>
      <c r="K1703" s="75" t="s">
        <v>4561</v>
      </c>
      <c r="L1703" s="75" t="s">
        <v>481</v>
      </c>
      <c r="M1703" t="s">
        <v>5201</v>
      </c>
      <c r="N1703" s="75" t="s">
        <v>3238</v>
      </c>
      <c r="O1703" s="75" t="s">
        <v>2994</v>
      </c>
      <c r="P1703" t="s">
        <v>3727</v>
      </c>
      <c r="T1703" s="74" t="s">
        <v>7508</v>
      </c>
      <c r="U1703" s="84" t="s">
        <v>12409</v>
      </c>
      <c r="V1703" t="s">
        <v>13877</v>
      </c>
      <c r="W1703" s="75" t="s">
        <v>12245</v>
      </c>
      <c r="X1703" s="75" t="s">
        <v>5701</v>
      </c>
      <c r="Y1703" t="s">
        <v>12515</v>
      </c>
    </row>
    <row r="1704" spans="2:25" x14ac:dyDescent="0.25">
      <c r="B1704" s="75" t="s">
        <v>8852</v>
      </c>
      <c r="C1704" s="75" t="s">
        <v>5705</v>
      </c>
      <c r="D1704" t="s">
        <v>9025</v>
      </c>
      <c r="E1704" s="75" t="s">
        <v>11004</v>
      </c>
      <c r="F1704" s="75" t="s">
        <v>9965</v>
      </c>
      <c r="G1704" t="s">
        <v>11154</v>
      </c>
      <c r="H1704" s="74" t="s">
        <v>10221</v>
      </c>
      <c r="I1704" s="74" t="s">
        <v>488</v>
      </c>
      <c r="J1704" t="s">
        <v>11576</v>
      </c>
      <c r="K1704" s="75" t="s">
        <v>4950</v>
      </c>
      <c r="L1704" s="75" t="s">
        <v>316</v>
      </c>
      <c r="M1704" t="s">
        <v>5183</v>
      </c>
      <c r="N1704" s="75" t="s">
        <v>3705</v>
      </c>
      <c r="O1704" s="75" t="s">
        <v>309</v>
      </c>
      <c r="P1704" t="s">
        <v>3759</v>
      </c>
      <c r="T1704" s="74" t="s">
        <v>13948</v>
      </c>
      <c r="U1704" s="74" t="s">
        <v>13951</v>
      </c>
      <c r="V1704" t="s">
        <v>14449</v>
      </c>
      <c r="W1704" s="75" t="s">
        <v>12518</v>
      </c>
      <c r="X1704" s="75" t="s">
        <v>5698</v>
      </c>
      <c r="Y1704" t="s">
        <v>12562</v>
      </c>
    </row>
    <row r="1705" spans="2:25" x14ac:dyDescent="0.25">
      <c r="B1705" s="75" t="s">
        <v>9482</v>
      </c>
      <c r="C1705" s="75" t="s">
        <v>375</v>
      </c>
      <c r="D1705" t="s">
        <v>9546</v>
      </c>
      <c r="E1705" s="75" t="s">
        <v>10966</v>
      </c>
      <c r="F1705" s="75" t="s">
        <v>5697</v>
      </c>
      <c r="G1705" t="s">
        <v>11168</v>
      </c>
      <c r="H1705" s="75" t="s">
        <v>11513</v>
      </c>
      <c r="I1705" s="75" t="s">
        <v>5701</v>
      </c>
      <c r="J1705" t="s">
        <v>11679</v>
      </c>
      <c r="K1705" s="75" t="s">
        <v>5093</v>
      </c>
      <c r="L1705" s="75" t="s">
        <v>373</v>
      </c>
      <c r="M1705" t="s">
        <v>5219</v>
      </c>
      <c r="N1705" s="75" t="s">
        <v>3664</v>
      </c>
      <c r="O1705" s="75" t="s">
        <v>369</v>
      </c>
      <c r="P1705" t="s">
        <v>3868</v>
      </c>
      <c r="T1705" s="75" t="s">
        <v>14570</v>
      </c>
      <c r="U1705" s="75" t="s">
        <v>5702</v>
      </c>
      <c r="V1705" t="s">
        <v>14611</v>
      </c>
      <c r="W1705" s="75" t="s">
        <v>12563</v>
      </c>
      <c r="X1705" s="75" t="s">
        <v>5698</v>
      </c>
      <c r="Y1705" t="s">
        <v>12633</v>
      </c>
    </row>
    <row r="1706" spans="2:25" x14ac:dyDescent="0.25">
      <c r="B1706" s="75" t="s">
        <v>9487</v>
      </c>
      <c r="C1706" s="75" t="s">
        <v>296</v>
      </c>
      <c r="D1706" t="s">
        <v>9572</v>
      </c>
      <c r="E1706" s="75" t="s">
        <v>4716</v>
      </c>
      <c r="F1706" s="75" t="s">
        <v>317</v>
      </c>
      <c r="G1706" t="s">
        <v>11406</v>
      </c>
      <c r="H1706" s="75" t="s">
        <v>11252</v>
      </c>
      <c r="I1706" s="75" t="s">
        <v>451</v>
      </c>
      <c r="J1706" t="s">
        <v>11691</v>
      </c>
      <c r="K1706" s="75" t="s">
        <v>5239</v>
      </c>
      <c r="L1706" s="75" t="s">
        <v>361</v>
      </c>
      <c r="M1706" t="s">
        <v>5415</v>
      </c>
      <c r="N1706" s="75" t="s">
        <v>3666</v>
      </c>
      <c r="O1706" s="75" t="s">
        <v>1643</v>
      </c>
      <c r="P1706" t="s">
        <v>4136</v>
      </c>
      <c r="T1706" s="75" t="s">
        <v>11709</v>
      </c>
      <c r="U1706" s="75" t="s">
        <v>12888</v>
      </c>
      <c r="V1706" t="s">
        <v>14344</v>
      </c>
      <c r="W1706" s="75" t="s">
        <v>12638</v>
      </c>
      <c r="X1706" s="75" t="s">
        <v>5698</v>
      </c>
      <c r="Y1706" t="s">
        <v>12728</v>
      </c>
    </row>
    <row r="1707" spans="2:25" x14ac:dyDescent="0.25">
      <c r="B1707" s="75" t="s">
        <v>9483</v>
      </c>
      <c r="C1707" s="75" t="s">
        <v>303</v>
      </c>
      <c r="D1707" t="s">
        <v>9603</v>
      </c>
      <c r="E1707" s="75" t="s">
        <v>10902</v>
      </c>
      <c r="F1707" s="75" t="s">
        <v>10893</v>
      </c>
      <c r="G1707" t="s">
        <v>11429</v>
      </c>
      <c r="H1707" s="75" t="s">
        <v>10074</v>
      </c>
      <c r="I1707" s="290" t="s">
        <v>10895</v>
      </c>
      <c r="J1707" t="s">
        <v>11923</v>
      </c>
      <c r="K1707" s="75" t="s">
        <v>4849</v>
      </c>
      <c r="L1707" s="75" t="s">
        <v>3233</v>
      </c>
      <c r="M1707" t="s">
        <v>5443</v>
      </c>
      <c r="N1707" s="75" t="s">
        <v>3744</v>
      </c>
      <c r="O1707" s="75" t="s">
        <v>3746</v>
      </c>
      <c r="P1707" t="s">
        <v>4247</v>
      </c>
      <c r="T1707" s="75" t="s">
        <v>14774</v>
      </c>
      <c r="U1707" s="75" t="s">
        <v>6954</v>
      </c>
      <c r="V1707" t="s">
        <v>15052</v>
      </c>
      <c r="W1707" s="75" t="s">
        <v>12483</v>
      </c>
      <c r="X1707" s="75" t="s">
        <v>12064</v>
      </c>
      <c r="Y1707" t="s">
        <v>12550</v>
      </c>
    </row>
    <row r="1708" spans="2:25" x14ac:dyDescent="0.25">
      <c r="B1708" s="75" t="s">
        <v>9873</v>
      </c>
      <c r="C1708" s="75" t="s">
        <v>318</v>
      </c>
      <c r="D1708" t="s">
        <v>9986</v>
      </c>
      <c r="E1708" s="75" t="s">
        <v>10221</v>
      </c>
      <c r="F1708" s="75" t="s">
        <v>488</v>
      </c>
      <c r="G1708" t="s">
        <v>11532</v>
      </c>
      <c r="H1708" s="75" t="s">
        <v>12472</v>
      </c>
      <c r="I1708" s="75" t="s">
        <v>12197</v>
      </c>
      <c r="J1708" t="s">
        <v>12663</v>
      </c>
      <c r="K1708" s="75" t="s">
        <v>4228</v>
      </c>
      <c r="L1708" s="75" t="s">
        <v>7</v>
      </c>
      <c r="M1708" t="s">
        <v>5452</v>
      </c>
      <c r="N1708" s="75" t="s">
        <v>3469</v>
      </c>
      <c r="O1708" s="75" t="s">
        <v>1720</v>
      </c>
      <c r="P1708" t="s">
        <v>4295</v>
      </c>
      <c r="W1708" s="75" t="s">
        <v>12714</v>
      </c>
      <c r="X1708" s="75" t="s">
        <v>5698</v>
      </c>
      <c r="Y1708" t="s">
        <v>12832</v>
      </c>
    </row>
    <row r="1709" spans="2:25" x14ac:dyDescent="0.25">
      <c r="B1709" s="75" t="s">
        <v>10055</v>
      </c>
      <c r="C1709" s="75" t="s">
        <v>10895</v>
      </c>
      <c r="D1709" t="s">
        <v>10193</v>
      </c>
      <c r="E1709" s="75" t="s">
        <v>11252</v>
      </c>
      <c r="F1709" s="75" t="s">
        <v>451</v>
      </c>
      <c r="G1709" t="s">
        <v>11643</v>
      </c>
      <c r="H1709" s="75" t="s">
        <v>12751</v>
      </c>
      <c r="I1709" s="75" t="s">
        <v>5700</v>
      </c>
      <c r="J1709" t="s">
        <v>12869</v>
      </c>
      <c r="K1709" s="75" t="s">
        <v>5286</v>
      </c>
      <c r="L1709" s="75" t="s">
        <v>5287</v>
      </c>
      <c r="M1709" t="s">
        <v>5288</v>
      </c>
      <c r="N1709" s="75" t="s">
        <v>3885</v>
      </c>
      <c r="O1709" s="75" t="s">
        <v>1905</v>
      </c>
      <c r="P1709" t="s">
        <v>4273</v>
      </c>
      <c r="W1709" s="75" t="s">
        <v>12814</v>
      </c>
      <c r="X1709" s="290" t="s">
        <v>6216</v>
      </c>
      <c r="Y1709" s="216" t="s">
        <v>13008</v>
      </c>
    </row>
    <row r="1710" spans="2:25" x14ac:dyDescent="0.25">
      <c r="B1710" s="75" t="s">
        <v>10054</v>
      </c>
      <c r="C1710" s="75" t="s">
        <v>488</v>
      </c>
      <c r="D1710" t="s">
        <v>10255</v>
      </c>
      <c r="E1710" s="74" t="s">
        <v>11566</v>
      </c>
      <c r="F1710" s="74" t="s">
        <v>10893</v>
      </c>
      <c r="G1710" t="s">
        <v>11567</v>
      </c>
      <c r="H1710" s="75" t="s">
        <v>13206</v>
      </c>
      <c r="I1710" s="216" t="s">
        <v>12409</v>
      </c>
      <c r="J1710" t="s">
        <v>13680</v>
      </c>
      <c r="K1710" s="75" t="s">
        <v>5352</v>
      </c>
      <c r="L1710" s="75" t="s">
        <v>965</v>
      </c>
      <c r="M1710" t="s">
        <v>5534</v>
      </c>
      <c r="N1710" s="75" t="s">
        <v>2830</v>
      </c>
      <c r="O1710" s="75" t="s">
        <v>3931</v>
      </c>
      <c r="P1710" t="s">
        <v>4286</v>
      </c>
      <c r="W1710" s="75" t="s">
        <v>12408</v>
      </c>
      <c r="X1710" s="216" t="s">
        <v>12244</v>
      </c>
      <c r="Y1710" t="s">
        <v>12987</v>
      </c>
    </row>
    <row r="1711" spans="2:25" x14ac:dyDescent="0.25">
      <c r="B1711" s="75" t="s">
        <v>10868</v>
      </c>
      <c r="C1711" s="75" t="s">
        <v>5697</v>
      </c>
      <c r="D1711" t="s">
        <v>10965</v>
      </c>
      <c r="E1711" s="75" t="s">
        <v>11513</v>
      </c>
      <c r="F1711" s="75" t="s">
        <v>5701</v>
      </c>
      <c r="G1711" t="s">
        <v>11651</v>
      </c>
      <c r="H1711" s="74" t="s">
        <v>10803</v>
      </c>
      <c r="I1711" s="216" t="s">
        <v>10555</v>
      </c>
      <c r="J1711" t="s">
        <v>12590</v>
      </c>
      <c r="K1711" s="75" t="s">
        <v>5453</v>
      </c>
      <c r="L1711" s="75" t="s">
        <v>5138</v>
      </c>
      <c r="M1711" t="s">
        <v>5516</v>
      </c>
      <c r="N1711" s="75" t="s">
        <v>3772</v>
      </c>
      <c r="O1711" s="75" t="s">
        <v>309</v>
      </c>
      <c r="P1711" t="s">
        <v>4328</v>
      </c>
      <c r="W1711" s="74" t="s">
        <v>13650</v>
      </c>
      <c r="X1711" s="74" t="s">
        <v>12244</v>
      </c>
      <c r="Y1711" t="s">
        <v>14186</v>
      </c>
    </row>
    <row r="1712" spans="2:25" x14ac:dyDescent="0.25">
      <c r="B1712" s="75" t="s">
        <v>10836</v>
      </c>
      <c r="C1712" s="75" t="s">
        <v>5703</v>
      </c>
      <c r="D1712" t="s">
        <v>10980</v>
      </c>
      <c r="E1712" s="75" t="s">
        <v>11358</v>
      </c>
      <c r="F1712" s="75" t="s">
        <v>10895</v>
      </c>
      <c r="G1712" t="s">
        <v>11523</v>
      </c>
      <c r="K1712" s="75" t="s">
        <v>4735</v>
      </c>
      <c r="L1712" s="75" t="s">
        <v>4488</v>
      </c>
      <c r="M1712" t="s">
        <v>5531</v>
      </c>
      <c r="N1712" s="75" t="s">
        <v>4154</v>
      </c>
      <c r="O1712" s="75" t="s">
        <v>4155</v>
      </c>
      <c r="P1712" t="s">
        <v>4341</v>
      </c>
      <c r="W1712" s="75" t="s">
        <v>13747</v>
      </c>
      <c r="X1712" s="75" t="s">
        <v>13277</v>
      </c>
      <c r="Y1712" t="s">
        <v>13806</v>
      </c>
    </row>
    <row r="1713" spans="2:25" x14ac:dyDescent="0.25">
      <c r="B1713" s="75" t="s">
        <v>10921</v>
      </c>
      <c r="C1713" s="75" t="s">
        <v>10890</v>
      </c>
      <c r="D1713" t="s">
        <v>11005</v>
      </c>
      <c r="E1713" s="75" t="s">
        <v>10803</v>
      </c>
      <c r="F1713" s="216" t="s">
        <v>10555</v>
      </c>
      <c r="G1713" t="s">
        <v>11988</v>
      </c>
      <c r="K1713" s="75" t="s">
        <v>5218</v>
      </c>
      <c r="L1713" s="75" t="s">
        <v>360</v>
      </c>
      <c r="M1713" t="s">
        <v>5573</v>
      </c>
      <c r="N1713" s="75" t="s">
        <v>3981</v>
      </c>
      <c r="O1713" s="75" t="s">
        <v>3023</v>
      </c>
      <c r="P1713" t="s">
        <v>4329</v>
      </c>
      <c r="W1713" s="75" t="s">
        <v>14364</v>
      </c>
      <c r="X1713" s="75" t="s">
        <v>6216</v>
      </c>
      <c r="Y1713" t="s">
        <v>15158</v>
      </c>
    </row>
    <row r="1714" spans="2:25" x14ac:dyDescent="0.25">
      <c r="B1714" s="75" t="s">
        <v>11442</v>
      </c>
      <c r="C1714" s="75" t="s">
        <v>303</v>
      </c>
      <c r="D1714" t="s">
        <v>11605</v>
      </c>
      <c r="E1714" s="75" t="s">
        <v>12044</v>
      </c>
      <c r="F1714" s="216" t="s">
        <v>5697</v>
      </c>
      <c r="G1714" t="s">
        <v>12325</v>
      </c>
      <c r="K1714" s="74" t="s">
        <v>5481</v>
      </c>
      <c r="L1714" s="74" t="s">
        <v>1744</v>
      </c>
      <c r="M1714" t="s">
        <v>5749</v>
      </c>
      <c r="N1714" s="75" t="s">
        <v>3918</v>
      </c>
      <c r="O1714" s="75" t="s">
        <v>3662</v>
      </c>
      <c r="P1714" t="s">
        <v>4401</v>
      </c>
      <c r="W1714" s="74" t="s">
        <v>14354</v>
      </c>
      <c r="X1714" s="74" t="s">
        <v>6216</v>
      </c>
      <c r="Y1714" t="s">
        <v>14413</v>
      </c>
    </row>
    <row r="1715" spans="2:25" x14ac:dyDescent="0.25">
      <c r="B1715" s="75" t="s">
        <v>11451</v>
      </c>
      <c r="C1715" s="75" t="s">
        <v>5705</v>
      </c>
      <c r="D1715" t="s">
        <v>11692</v>
      </c>
      <c r="E1715" s="75" t="s">
        <v>12472</v>
      </c>
      <c r="F1715" s="290" t="s">
        <v>12197</v>
      </c>
      <c r="G1715" t="s">
        <v>12591</v>
      </c>
      <c r="K1715" s="74" t="s">
        <v>5352</v>
      </c>
      <c r="L1715" s="74" t="s">
        <v>5776</v>
      </c>
      <c r="M1715" t="s">
        <v>6072</v>
      </c>
      <c r="N1715" s="75" t="s">
        <v>4039</v>
      </c>
      <c r="O1715" s="75" t="s">
        <v>374</v>
      </c>
      <c r="P1715" t="s">
        <v>4402</v>
      </c>
      <c r="W1715" s="75" t="s">
        <v>9093</v>
      </c>
      <c r="X1715" s="75" t="s">
        <v>6216</v>
      </c>
      <c r="Y1715" t="s">
        <v>15337</v>
      </c>
    </row>
    <row r="1716" spans="2:25" x14ac:dyDescent="0.25">
      <c r="B1716" s="75" t="s">
        <v>9835</v>
      </c>
      <c r="C1716" s="75" t="s">
        <v>10895</v>
      </c>
      <c r="D1716" t="s">
        <v>11801</v>
      </c>
      <c r="E1716" s="75" t="s">
        <v>12751</v>
      </c>
      <c r="F1716" s="75" t="s">
        <v>5700</v>
      </c>
      <c r="G1716" t="s">
        <v>12846</v>
      </c>
      <c r="K1716" s="74" t="s">
        <v>5762</v>
      </c>
      <c r="L1716" s="74" t="s">
        <v>5775</v>
      </c>
      <c r="M1716" t="s">
        <v>6189</v>
      </c>
      <c r="N1716" s="75" t="s">
        <v>4170</v>
      </c>
      <c r="O1716" s="75" t="s">
        <v>318</v>
      </c>
      <c r="P1716" t="s">
        <v>4485</v>
      </c>
    </row>
    <row r="1717" spans="2:25" ht="15.75" x14ac:dyDescent="0.25">
      <c r="B1717" s="75" t="s">
        <v>11857</v>
      </c>
      <c r="C1717" s="216" t="s">
        <v>12064</v>
      </c>
      <c r="D1717" t="s">
        <v>12045</v>
      </c>
      <c r="E1717" s="385" t="s">
        <v>14516</v>
      </c>
      <c r="F1717" s="386" t="s">
        <v>12888</v>
      </c>
      <c r="G1717" t="s">
        <v>14730</v>
      </c>
      <c r="K1717" s="75" t="s">
        <v>5093</v>
      </c>
      <c r="L1717" s="75" t="s">
        <v>361</v>
      </c>
      <c r="M1717" t="s">
        <v>6249</v>
      </c>
      <c r="N1717" s="75" t="s">
        <v>4113</v>
      </c>
      <c r="O1717" s="75" t="s">
        <v>1905</v>
      </c>
      <c r="P1717" t="s">
        <v>4477</v>
      </c>
    </row>
    <row r="1718" spans="2:25" x14ac:dyDescent="0.25">
      <c r="B1718" s="75" t="s">
        <v>12662</v>
      </c>
      <c r="C1718" s="75" t="s">
        <v>5700</v>
      </c>
      <c r="D1718" t="s">
        <v>12752</v>
      </c>
      <c r="E1718" s="75" t="s">
        <v>14004</v>
      </c>
      <c r="F1718" s="75" t="s">
        <v>5700</v>
      </c>
      <c r="G1718" t="s">
        <v>14573</v>
      </c>
      <c r="K1718" s="74" t="s">
        <v>5321</v>
      </c>
      <c r="L1718" s="74" t="s">
        <v>5079</v>
      </c>
      <c r="M1718" t="s">
        <v>6256</v>
      </c>
      <c r="N1718" s="75" t="s">
        <v>4285</v>
      </c>
      <c r="O1718" s="75" t="s">
        <v>3931</v>
      </c>
      <c r="P1718" t="s">
        <v>4478</v>
      </c>
    </row>
    <row r="1719" spans="2:25" x14ac:dyDescent="0.25">
      <c r="B1719" s="75" t="s">
        <v>13073</v>
      </c>
      <c r="C1719" s="216" t="s">
        <v>12409</v>
      </c>
      <c r="D1719" t="s">
        <v>13205</v>
      </c>
      <c r="E1719" s="75" t="s">
        <v>13206</v>
      </c>
      <c r="F1719" s="216" t="s">
        <v>12409</v>
      </c>
      <c r="G1719" t="s">
        <v>13534</v>
      </c>
      <c r="K1719" s="75" t="s">
        <v>6058</v>
      </c>
      <c r="L1719" s="75" t="s">
        <v>317</v>
      </c>
      <c r="M1719" t="s">
        <v>6257</v>
      </c>
      <c r="N1719" s="75" t="s">
        <v>4261</v>
      </c>
      <c r="O1719" s="75" t="s">
        <v>356</v>
      </c>
      <c r="P1719" t="s">
        <v>4480</v>
      </c>
    </row>
    <row r="1720" spans="2:25" x14ac:dyDescent="0.25">
      <c r="B1720" s="75" t="s">
        <v>13823</v>
      </c>
      <c r="C1720" s="75" t="s">
        <v>12409</v>
      </c>
      <c r="D1720" t="s">
        <v>14005</v>
      </c>
      <c r="K1720" s="75" t="s">
        <v>6113</v>
      </c>
      <c r="L1720" s="75" t="s">
        <v>5697</v>
      </c>
      <c r="M1720" t="s">
        <v>6492</v>
      </c>
      <c r="N1720" s="75" t="s">
        <v>4327</v>
      </c>
      <c r="O1720" s="75" t="s">
        <v>309</v>
      </c>
      <c r="P1720" t="s">
        <v>4511</v>
      </c>
    </row>
    <row r="1721" spans="2:25" x14ac:dyDescent="0.25">
      <c r="B1721" s="75" t="s">
        <v>14431</v>
      </c>
      <c r="C1721" s="75" t="s">
        <v>12888</v>
      </c>
      <c r="D1721" t="s">
        <v>14517</v>
      </c>
      <c r="K1721" s="75" t="s">
        <v>5559</v>
      </c>
      <c r="L1721" s="75" t="s">
        <v>5957</v>
      </c>
      <c r="M1721" t="s">
        <v>6506</v>
      </c>
      <c r="N1721" s="75" t="s">
        <v>4006</v>
      </c>
      <c r="O1721" s="75" t="s">
        <v>372</v>
      </c>
      <c r="P1721" t="s">
        <v>4515</v>
      </c>
    </row>
    <row r="1722" spans="2:25" x14ac:dyDescent="0.25">
      <c r="B1722" s="75" t="s">
        <v>12398</v>
      </c>
      <c r="C1722" s="75" t="s">
        <v>12197</v>
      </c>
      <c r="D1722" t="s">
        <v>12473</v>
      </c>
      <c r="K1722" s="75" t="s">
        <v>6253</v>
      </c>
      <c r="L1722" s="75" t="s">
        <v>447</v>
      </c>
      <c r="M1722" t="s">
        <v>6633</v>
      </c>
      <c r="N1722" s="75" t="s">
        <v>4326</v>
      </c>
      <c r="O1722" s="75" t="s">
        <v>3023</v>
      </c>
      <c r="P1722" t="s">
        <v>4556</v>
      </c>
    </row>
    <row r="1723" spans="2:25" x14ac:dyDescent="0.25">
      <c r="B1723" s="75" t="s">
        <v>15040</v>
      </c>
      <c r="C1723" s="75" t="s">
        <v>5701</v>
      </c>
      <c r="D1723" t="s">
        <v>15134</v>
      </c>
      <c r="K1723" s="75" t="s">
        <v>6593</v>
      </c>
      <c r="L1723" s="75" t="s">
        <v>1905</v>
      </c>
      <c r="M1723" t="s">
        <v>6648</v>
      </c>
      <c r="N1723" s="75" t="s">
        <v>640</v>
      </c>
      <c r="O1723" s="75" t="s">
        <v>4570</v>
      </c>
      <c r="P1723" t="s">
        <v>4593</v>
      </c>
    </row>
    <row r="1724" spans="2:25" x14ac:dyDescent="0.25">
      <c r="K1724" s="74" t="s">
        <v>5218</v>
      </c>
      <c r="L1724" s="74" t="s">
        <v>6254</v>
      </c>
      <c r="M1724" t="s">
        <v>6708</v>
      </c>
      <c r="N1724" s="75" t="s">
        <v>4348</v>
      </c>
      <c r="O1724" s="75" t="s">
        <v>371</v>
      </c>
      <c r="P1724" t="s">
        <v>4669</v>
      </c>
    </row>
    <row r="1725" spans="2:25" x14ac:dyDescent="0.25">
      <c r="K1725" s="75" t="s">
        <v>5239</v>
      </c>
      <c r="L1725" s="75" t="s">
        <v>5700</v>
      </c>
      <c r="M1725" t="s">
        <v>7028</v>
      </c>
      <c r="N1725" s="75" t="s">
        <v>3667</v>
      </c>
      <c r="O1725" s="75" t="s">
        <v>3233</v>
      </c>
      <c r="P1725" t="s">
        <v>4672</v>
      </c>
    </row>
    <row r="1726" spans="2:25" x14ac:dyDescent="0.25">
      <c r="K1726" s="74" t="s">
        <v>6730</v>
      </c>
      <c r="L1726" s="74" t="s">
        <v>5701</v>
      </c>
      <c r="M1726" t="s">
        <v>7044</v>
      </c>
      <c r="N1726" s="75" t="s">
        <v>4494</v>
      </c>
      <c r="O1726" s="75" t="s">
        <v>1905</v>
      </c>
      <c r="P1726" t="s">
        <v>4759</v>
      </c>
    </row>
    <row r="1727" spans="2:25" x14ac:dyDescent="0.25">
      <c r="K1727" s="75" t="s">
        <v>5286</v>
      </c>
      <c r="L1727" s="75" t="s">
        <v>454</v>
      </c>
      <c r="M1727" t="s">
        <v>7049</v>
      </c>
      <c r="N1727" s="75" t="s">
        <v>4217</v>
      </c>
      <c r="O1727" s="75" t="s">
        <v>678</v>
      </c>
      <c r="P1727" t="s">
        <v>4779</v>
      </c>
    </row>
    <row r="1728" spans="2:25" x14ac:dyDescent="0.25">
      <c r="K1728" s="75" t="s">
        <v>7055</v>
      </c>
      <c r="L1728" s="75" t="s">
        <v>5701</v>
      </c>
      <c r="M1728" t="s">
        <v>7117</v>
      </c>
      <c r="N1728" s="75" t="s">
        <v>2527</v>
      </c>
      <c r="O1728" s="75" t="s">
        <v>361</v>
      </c>
      <c r="P1728" t="s">
        <v>4964</v>
      </c>
    </row>
    <row r="1729" spans="11:16" x14ac:dyDescent="0.25">
      <c r="K1729" s="75" t="s">
        <v>5558</v>
      </c>
      <c r="L1729" s="75" t="s">
        <v>5704</v>
      </c>
      <c r="M1729" t="s">
        <v>7142</v>
      </c>
      <c r="N1729" s="75" t="s">
        <v>4924</v>
      </c>
      <c r="O1729" s="75" t="s">
        <v>4155</v>
      </c>
      <c r="P1729" t="s">
        <v>5251</v>
      </c>
    </row>
    <row r="1730" spans="11:16" x14ac:dyDescent="0.25">
      <c r="K1730" s="75" t="s">
        <v>6763</v>
      </c>
      <c r="L1730" s="75" t="s">
        <v>5705</v>
      </c>
      <c r="M1730" t="s">
        <v>7153</v>
      </c>
      <c r="N1730" s="75" t="s">
        <v>4682</v>
      </c>
      <c r="O1730" s="75" t="s">
        <v>3662</v>
      </c>
      <c r="P1730" t="s">
        <v>5309</v>
      </c>
    </row>
    <row r="1731" spans="11:16" x14ac:dyDescent="0.25">
      <c r="K1731" s="75" t="s">
        <v>4083</v>
      </c>
      <c r="L1731" s="75" t="s">
        <v>352</v>
      </c>
      <c r="M1731" t="s">
        <v>7157</v>
      </c>
      <c r="N1731" s="75" t="s">
        <v>4973</v>
      </c>
      <c r="O1731" s="75" t="s">
        <v>371</v>
      </c>
      <c r="P1731" t="s">
        <v>5384</v>
      </c>
    </row>
    <row r="1732" spans="11:16" x14ac:dyDescent="0.25">
      <c r="K1732" s="75" t="s">
        <v>7054</v>
      </c>
      <c r="L1732" s="75" t="s">
        <v>454</v>
      </c>
      <c r="M1732" t="s">
        <v>7195</v>
      </c>
      <c r="N1732" s="75" t="s">
        <v>3772</v>
      </c>
      <c r="O1732" s="75" t="s">
        <v>4673</v>
      </c>
      <c r="P1732" t="s">
        <v>5416</v>
      </c>
    </row>
    <row r="1733" spans="11:16" x14ac:dyDescent="0.25">
      <c r="K1733" s="75" t="s">
        <v>3661</v>
      </c>
      <c r="L1733" s="75" t="s">
        <v>6851</v>
      </c>
      <c r="M1733" t="s">
        <v>7196</v>
      </c>
      <c r="N1733" s="75" t="s">
        <v>4953</v>
      </c>
      <c r="O1733" s="75" t="s">
        <v>17</v>
      </c>
      <c r="P1733" t="s">
        <v>5460</v>
      </c>
    </row>
    <row r="1734" spans="11:16" x14ac:dyDescent="0.25">
      <c r="K1734" s="75" t="s">
        <v>5451</v>
      </c>
      <c r="L1734" s="75" t="s">
        <v>7012</v>
      </c>
      <c r="M1734" t="s">
        <v>7211</v>
      </c>
      <c r="N1734" s="75" t="s">
        <v>4379</v>
      </c>
      <c r="O1734" s="75" t="s">
        <v>1744</v>
      </c>
      <c r="P1734" t="s">
        <v>5482</v>
      </c>
    </row>
    <row r="1735" spans="11:16" x14ac:dyDescent="0.25">
      <c r="K1735" s="75" t="s">
        <v>7216</v>
      </c>
      <c r="L1735" s="75" t="s">
        <v>5697</v>
      </c>
      <c r="M1735" t="s">
        <v>7294</v>
      </c>
      <c r="N1735" s="75" t="s">
        <v>5180</v>
      </c>
      <c r="O1735" s="75" t="s">
        <v>4155</v>
      </c>
      <c r="P1735" t="s">
        <v>5483</v>
      </c>
    </row>
    <row r="1736" spans="11:16" x14ac:dyDescent="0.25">
      <c r="K1736" s="75" t="s">
        <v>7210</v>
      </c>
      <c r="L1736" s="75" t="s">
        <v>454</v>
      </c>
      <c r="M1736" t="s">
        <v>7399</v>
      </c>
      <c r="N1736" s="75" t="s">
        <v>4229</v>
      </c>
      <c r="O1736" s="75" t="s">
        <v>355</v>
      </c>
      <c r="P1736" t="s">
        <v>5526</v>
      </c>
    </row>
    <row r="1737" spans="11:16" x14ac:dyDescent="0.25">
      <c r="K1737" s="75" t="s">
        <v>6727</v>
      </c>
      <c r="L1737" s="75" t="s">
        <v>5775</v>
      </c>
      <c r="M1737" t="s">
        <v>7425</v>
      </c>
      <c r="N1737" s="75" t="s">
        <v>5540</v>
      </c>
      <c r="O1737" s="75" t="s">
        <v>4488</v>
      </c>
      <c r="P1737" t="s">
        <v>5549</v>
      </c>
    </row>
    <row r="1738" spans="11:16" x14ac:dyDescent="0.25">
      <c r="K1738" s="75" t="s">
        <v>7138</v>
      </c>
      <c r="L1738" s="75" t="s">
        <v>5700</v>
      </c>
      <c r="M1738" t="s">
        <v>7500</v>
      </c>
      <c r="N1738" s="75" t="s">
        <v>5456</v>
      </c>
      <c r="O1738" s="75" t="s">
        <v>5079</v>
      </c>
      <c r="P1738" t="s">
        <v>5563</v>
      </c>
    </row>
    <row r="1739" spans="11:16" x14ac:dyDescent="0.25">
      <c r="K1739" s="75" t="s">
        <v>4248</v>
      </c>
      <c r="L1739" s="75" t="s">
        <v>5705</v>
      </c>
      <c r="M1739" t="s">
        <v>7581</v>
      </c>
      <c r="N1739" s="75" t="s">
        <v>5515</v>
      </c>
      <c r="O1739" s="75" t="s">
        <v>296</v>
      </c>
      <c r="P1739" t="s">
        <v>5616</v>
      </c>
    </row>
    <row r="1740" spans="11:16" x14ac:dyDescent="0.25">
      <c r="K1740" s="75" t="s">
        <v>7146</v>
      </c>
      <c r="L1740" s="75" t="s">
        <v>5704</v>
      </c>
      <c r="M1740" t="s">
        <v>7582</v>
      </c>
      <c r="N1740" s="75" t="s">
        <v>5413</v>
      </c>
      <c r="O1740" s="75" t="s">
        <v>361</v>
      </c>
      <c r="P1740" t="s">
        <v>5694</v>
      </c>
    </row>
    <row r="1741" spans="11:16" x14ac:dyDescent="0.25">
      <c r="K1741" s="75" t="s">
        <v>2750</v>
      </c>
      <c r="L1741" s="75" t="s">
        <v>1905</v>
      </c>
      <c r="M1741" t="s">
        <v>7603</v>
      </c>
      <c r="N1741" s="75" t="s">
        <v>5514</v>
      </c>
      <c r="O1741" s="75" t="s">
        <v>5702</v>
      </c>
      <c r="P1741" t="s">
        <v>5695</v>
      </c>
    </row>
    <row r="1742" spans="11:16" x14ac:dyDescent="0.25">
      <c r="K1742" s="74" t="s">
        <v>7478</v>
      </c>
      <c r="L1742" s="74" t="s">
        <v>454</v>
      </c>
      <c r="M1742" t="s">
        <v>7625</v>
      </c>
      <c r="N1742" s="75" t="s">
        <v>5761</v>
      </c>
      <c r="O1742" s="75" t="s">
        <v>5697</v>
      </c>
      <c r="P1742" t="s">
        <v>5785</v>
      </c>
    </row>
    <row r="1743" spans="11:16" x14ac:dyDescent="0.25">
      <c r="K1743" s="75" t="s">
        <v>7512</v>
      </c>
      <c r="L1743" s="75" t="s">
        <v>7513</v>
      </c>
      <c r="M1743" t="s">
        <v>7692</v>
      </c>
      <c r="N1743" s="75" t="s">
        <v>5018</v>
      </c>
      <c r="O1743" s="75" t="s">
        <v>373</v>
      </c>
      <c r="P1743" t="s">
        <v>5813</v>
      </c>
    </row>
    <row r="1744" spans="11:16" x14ac:dyDescent="0.25">
      <c r="K1744" s="74" t="s">
        <v>7586</v>
      </c>
      <c r="L1744" s="74" t="s">
        <v>5704</v>
      </c>
      <c r="M1744" t="s">
        <v>7714</v>
      </c>
      <c r="N1744" s="75" t="s">
        <v>5412</v>
      </c>
      <c r="O1744" s="75" t="s">
        <v>5703</v>
      </c>
      <c r="P1744" t="s">
        <v>5836</v>
      </c>
    </row>
    <row r="1745" spans="11:16" x14ac:dyDescent="0.25">
      <c r="K1745" s="75" t="s">
        <v>7496</v>
      </c>
      <c r="L1745" s="75" t="s">
        <v>6851</v>
      </c>
      <c r="M1745" t="s">
        <v>7785</v>
      </c>
      <c r="N1745" s="75" t="s">
        <v>5674</v>
      </c>
      <c r="O1745" s="75" t="s">
        <v>296</v>
      </c>
      <c r="P1745" t="s">
        <v>5862</v>
      </c>
    </row>
    <row r="1746" spans="11:16" x14ac:dyDescent="0.25">
      <c r="K1746" s="74" t="s">
        <v>7311</v>
      </c>
      <c r="L1746" s="74" t="s">
        <v>5697</v>
      </c>
      <c r="M1746" t="s">
        <v>7797</v>
      </c>
      <c r="N1746" s="75" t="s">
        <v>5458</v>
      </c>
      <c r="O1746" s="75" t="s">
        <v>5776</v>
      </c>
      <c r="P1746" t="s">
        <v>5891</v>
      </c>
    </row>
    <row r="1747" spans="11:16" x14ac:dyDescent="0.25">
      <c r="K1747" s="75" t="s">
        <v>7628</v>
      </c>
      <c r="L1747" s="75" t="s">
        <v>454</v>
      </c>
      <c r="M1747" t="s">
        <v>7808</v>
      </c>
      <c r="N1747" s="75" t="s">
        <v>5750</v>
      </c>
      <c r="O1747" s="75" t="s">
        <v>5751</v>
      </c>
      <c r="P1747" t="s">
        <v>5932</v>
      </c>
    </row>
    <row r="1748" spans="11:16" x14ac:dyDescent="0.25">
      <c r="K1748" s="75" t="s">
        <v>7801</v>
      </c>
      <c r="L1748" s="75" t="s">
        <v>453</v>
      </c>
      <c r="M1748" t="s">
        <v>7844</v>
      </c>
      <c r="N1748" s="75" t="s">
        <v>3666</v>
      </c>
      <c r="O1748" s="75" t="s">
        <v>447</v>
      </c>
      <c r="P1748" t="s">
        <v>5936</v>
      </c>
    </row>
    <row r="1749" spans="11:16" x14ac:dyDescent="0.25">
      <c r="K1749" s="75" t="s">
        <v>5551</v>
      </c>
      <c r="L1749" s="75" t="s">
        <v>352</v>
      </c>
      <c r="M1749" t="s">
        <v>7905</v>
      </c>
      <c r="N1749" s="75" t="s">
        <v>5515</v>
      </c>
      <c r="O1749" s="75" t="s">
        <v>296</v>
      </c>
      <c r="P1749" t="s">
        <v>6057</v>
      </c>
    </row>
    <row r="1750" spans="11:16" x14ac:dyDescent="0.25">
      <c r="K1750" s="74" t="s">
        <v>7847</v>
      </c>
      <c r="L1750" s="74" t="s">
        <v>1905</v>
      </c>
      <c r="M1750" t="s">
        <v>7945</v>
      </c>
      <c r="N1750" s="75" t="s">
        <v>5739</v>
      </c>
      <c r="O1750" s="75" t="s">
        <v>3023</v>
      </c>
      <c r="P1750" t="s">
        <v>6085</v>
      </c>
    </row>
    <row r="1751" spans="11:16" x14ac:dyDescent="0.25">
      <c r="K1751" s="74" t="s">
        <v>6496</v>
      </c>
      <c r="L1751" s="74" t="s">
        <v>352</v>
      </c>
      <c r="M1751" t="s">
        <v>7944</v>
      </c>
      <c r="N1751" s="75" t="s">
        <v>4229</v>
      </c>
      <c r="O1751" s="75" t="s">
        <v>352</v>
      </c>
      <c r="P1751" t="s">
        <v>6071</v>
      </c>
    </row>
    <row r="1752" spans="11:16" x14ac:dyDescent="0.25">
      <c r="K1752" s="75" t="s">
        <v>7846</v>
      </c>
      <c r="L1752" s="75" t="s">
        <v>453</v>
      </c>
      <c r="M1752" t="s">
        <v>7976</v>
      </c>
      <c r="N1752" s="75" t="s">
        <v>4973</v>
      </c>
      <c r="O1752" s="75" t="s">
        <v>309</v>
      </c>
      <c r="P1752" t="s">
        <v>6104</v>
      </c>
    </row>
    <row r="1753" spans="11:16" x14ac:dyDescent="0.25">
      <c r="K1753" s="75" t="s">
        <v>5551</v>
      </c>
      <c r="L1753" s="75" t="s">
        <v>453</v>
      </c>
      <c r="M1753" t="s">
        <v>7991</v>
      </c>
      <c r="N1753" s="74" t="s">
        <v>2528</v>
      </c>
      <c r="O1753" s="74" t="s">
        <v>453</v>
      </c>
      <c r="P1753" t="s">
        <v>6202</v>
      </c>
    </row>
    <row r="1754" spans="11:16" x14ac:dyDescent="0.25">
      <c r="K1754" s="75" t="s">
        <v>7815</v>
      </c>
      <c r="L1754" s="75" t="s">
        <v>5705</v>
      </c>
      <c r="M1754" t="s">
        <v>8083</v>
      </c>
      <c r="N1754" s="75" t="s">
        <v>6169</v>
      </c>
      <c r="O1754" s="75" t="s">
        <v>5704</v>
      </c>
      <c r="P1754" t="s">
        <v>6394</v>
      </c>
    </row>
    <row r="1755" spans="11:16" x14ac:dyDescent="0.25">
      <c r="K1755" s="75" t="s">
        <v>4667</v>
      </c>
      <c r="L1755" s="75" t="s">
        <v>5700</v>
      </c>
      <c r="M1755" t="s">
        <v>8102</v>
      </c>
      <c r="N1755" s="74" t="s">
        <v>6259</v>
      </c>
      <c r="O1755" s="74" t="s">
        <v>454</v>
      </c>
      <c r="P1755" t="s">
        <v>6396</v>
      </c>
    </row>
    <row r="1756" spans="11:16" x14ac:dyDescent="0.25">
      <c r="K1756" s="74" t="s">
        <v>7798</v>
      </c>
      <c r="L1756" s="74" t="s">
        <v>454</v>
      </c>
      <c r="M1756" t="s">
        <v>8145</v>
      </c>
      <c r="N1756" s="75" t="s">
        <v>6270</v>
      </c>
      <c r="O1756" s="75" t="s">
        <v>5079</v>
      </c>
      <c r="P1756" t="s">
        <v>6455</v>
      </c>
    </row>
    <row r="1757" spans="11:16" x14ac:dyDescent="0.25">
      <c r="K1757" s="75" t="s">
        <v>5451</v>
      </c>
      <c r="L1757" s="75" t="s">
        <v>352</v>
      </c>
      <c r="M1757" t="s">
        <v>8242</v>
      </c>
      <c r="N1757" s="74" t="s">
        <v>5455</v>
      </c>
      <c r="O1757" s="74" t="s">
        <v>452</v>
      </c>
      <c r="P1757" t="s">
        <v>6466</v>
      </c>
    </row>
    <row r="1758" spans="11:16" x14ac:dyDescent="0.25">
      <c r="K1758" s="75" t="s">
        <v>8082</v>
      </c>
      <c r="L1758" s="75" t="s">
        <v>5697</v>
      </c>
      <c r="M1758" t="s">
        <v>8428</v>
      </c>
      <c r="N1758" s="75" t="s">
        <v>6261</v>
      </c>
      <c r="O1758" s="75" t="s">
        <v>317</v>
      </c>
      <c r="P1758" t="s">
        <v>6529</v>
      </c>
    </row>
    <row r="1759" spans="11:16" x14ac:dyDescent="0.25">
      <c r="K1759" s="75" t="s">
        <v>3908</v>
      </c>
      <c r="L1759" s="75" t="s">
        <v>5704</v>
      </c>
      <c r="M1759" t="s">
        <v>8523</v>
      </c>
      <c r="N1759" s="75" t="s">
        <v>5458</v>
      </c>
      <c r="O1759" s="75" t="s">
        <v>6255</v>
      </c>
      <c r="P1759" t="s">
        <v>6555</v>
      </c>
    </row>
    <row r="1760" spans="11:16" x14ac:dyDescent="0.25">
      <c r="K1760" s="75" t="s">
        <v>8431</v>
      </c>
      <c r="L1760" s="75" t="s">
        <v>5703</v>
      </c>
      <c r="M1760" t="s">
        <v>8621</v>
      </c>
      <c r="N1760" s="75" t="s">
        <v>6197</v>
      </c>
      <c r="O1760" s="75" t="s">
        <v>453</v>
      </c>
      <c r="P1760" t="s">
        <v>6665</v>
      </c>
    </row>
    <row r="1761" spans="11:16" x14ac:dyDescent="0.25">
      <c r="K1761" s="74" t="s">
        <v>8515</v>
      </c>
      <c r="L1761" s="74" t="s">
        <v>6927</v>
      </c>
      <c r="M1761" t="s">
        <v>8684</v>
      </c>
      <c r="N1761" s="75" t="s">
        <v>6485</v>
      </c>
      <c r="O1761" s="75" t="s">
        <v>5775</v>
      </c>
      <c r="P1761" t="s">
        <v>6696</v>
      </c>
    </row>
    <row r="1762" spans="11:16" x14ac:dyDescent="0.25">
      <c r="K1762" s="75" t="s">
        <v>8672</v>
      </c>
      <c r="L1762" s="75" t="s">
        <v>5705</v>
      </c>
      <c r="M1762" t="s">
        <v>8693</v>
      </c>
      <c r="N1762" s="75" t="s">
        <v>2763</v>
      </c>
      <c r="O1762" s="75" t="s">
        <v>1905</v>
      </c>
      <c r="P1762" t="s">
        <v>6707</v>
      </c>
    </row>
    <row r="1763" spans="11:16" x14ac:dyDescent="0.25">
      <c r="K1763" s="74" t="s">
        <v>8319</v>
      </c>
      <c r="L1763" s="74" t="s">
        <v>375</v>
      </c>
      <c r="M1763" t="s">
        <v>8722</v>
      </c>
      <c r="N1763" s="75" t="s">
        <v>6666</v>
      </c>
      <c r="O1763" s="75" t="s">
        <v>453</v>
      </c>
      <c r="P1763" t="s">
        <v>10537</v>
      </c>
    </row>
    <row r="1764" spans="11:16" x14ac:dyDescent="0.25">
      <c r="K1764" s="75" t="s">
        <v>8694</v>
      </c>
      <c r="L1764" s="75" t="s">
        <v>8695</v>
      </c>
      <c r="M1764" t="s">
        <v>8791</v>
      </c>
      <c r="N1764" s="75" t="s">
        <v>6527</v>
      </c>
      <c r="O1764" s="75" t="s">
        <v>5700</v>
      </c>
      <c r="P1764" t="s">
        <v>6849</v>
      </c>
    </row>
    <row r="1765" spans="11:16" x14ac:dyDescent="0.25">
      <c r="K1765" s="75" t="s">
        <v>8437</v>
      </c>
      <c r="L1765" s="75" t="s">
        <v>318</v>
      </c>
      <c r="M1765" t="s">
        <v>8794</v>
      </c>
      <c r="N1765" s="75" t="s">
        <v>6502</v>
      </c>
      <c r="O1765" s="75" t="s">
        <v>5697</v>
      </c>
      <c r="P1765" t="s">
        <v>6850</v>
      </c>
    </row>
    <row r="1766" spans="11:16" x14ac:dyDescent="0.25">
      <c r="K1766" s="75" t="s">
        <v>8730</v>
      </c>
      <c r="L1766" s="75" t="s">
        <v>6927</v>
      </c>
      <c r="M1766" t="s">
        <v>8814</v>
      </c>
      <c r="N1766" s="75" t="s">
        <v>6568</v>
      </c>
      <c r="O1766" s="75" t="s">
        <v>1744</v>
      </c>
      <c r="P1766" t="s">
        <v>6852</v>
      </c>
    </row>
    <row r="1767" spans="11:16" x14ac:dyDescent="0.25">
      <c r="K1767" s="75" t="s">
        <v>4316</v>
      </c>
      <c r="L1767" s="75" t="s">
        <v>370</v>
      </c>
      <c r="M1767" t="s">
        <v>8854</v>
      </c>
      <c r="N1767" s="75" t="s">
        <v>6728</v>
      </c>
      <c r="O1767" s="75" t="s">
        <v>1905</v>
      </c>
      <c r="P1767" t="s">
        <v>6853</v>
      </c>
    </row>
    <row r="1768" spans="11:16" x14ac:dyDescent="0.25">
      <c r="K1768" s="74" t="s">
        <v>8853</v>
      </c>
      <c r="L1768" s="74" t="s">
        <v>318</v>
      </c>
      <c r="M1768" t="s">
        <v>8942</v>
      </c>
      <c r="N1768" s="75" t="s">
        <v>6631</v>
      </c>
      <c r="O1768" s="75" t="s">
        <v>5697</v>
      </c>
      <c r="P1768" t="s">
        <v>6870</v>
      </c>
    </row>
    <row r="1769" spans="11:16" x14ac:dyDescent="0.25">
      <c r="K1769" s="75" t="s">
        <v>8812</v>
      </c>
      <c r="L1769" s="75" t="s">
        <v>6927</v>
      </c>
      <c r="M1769" t="s">
        <v>8972</v>
      </c>
      <c r="N1769" s="75" t="s">
        <v>6750</v>
      </c>
      <c r="O1769" s="75" t="s">
        <v>5957</v>
      </c>
      <c r="P1769" t="s">
        <v>6992</v>
      </c>
    </row>
    <row r="1770" spans="11:16" x14ac:dyDescent="0.25">
      <c r="K1770" s="75" t="s">
        <v>1846</v>
      </c>
      <c r="L1770" s="75" t="s">
        <v>560</v>
      </c>
      <c r="M1770" t="s">
        <v>9000</v>
      </c>
      <c r="N1770" s="75" t="s">
        <v>6720</v>
      </c>
      <c r="O1770" s="75" t="s">
        <v>454</v>
      </c>
      <c r="P1770" t="s">
        <v>7041</v>
      </c>
    </row>
    <row r="1771" spans="11:16" x14ac:dyDescent="0.25">
      <c r="K1771" s="75" t="s">
        <v>8796</v>
      </c>
      <c r="L1771" s="75" t="s">
        <v>318</v>
      </c>
      <c r="M1771" t="s">
        <v>9012</v>
      </c>
      <c r="N1771" s="75" t="s">
        <v>6761</v>
      </c>
      <c r="O1771" s="75" t="s">
        <v>317</v>
      </c>
      <c r="P1771" t="s">
        <v>7058</v>
      </c>
    </row>
    <row r="1772" spans="11:16" x14ac:dyDescent="0.25">
      <c r="K1772" s="74" t="s">
        <v>8889</v>
      </c>
      <c r="L1772" s="216" t="s">
        <v>8843</v>
      </c>
      <c r="M1772" t="s">
        <v>9082</v>
      </c>
      <c r="N1772" s="75" t="s">
        <v>6868</v>
      </c>
      <c r="O1772" s="75" t="s">
        <v>5697</v>
      </c>
      <c r="P1772" t="s">
        <v>7197</v>
      </c>
    </row>
    <row r="1773" spans="11:16" x14ac:dyDescent="0.25">
      <c r="K1773" s="75" t="s">
        <v>8995</v>
      </c>
      <c r="L1773" s="75" t="s">
        <v>370</v>
      </c>
      <c r="M1773" t="s">
        <v>9087</v>
      </c>
      <c r="N1773" s="75" t="s">
        <v>6080</v>
      </c>
      <c r="O1773" s="75" t="s">
        <v>5703</v>
      </c>
      <c r="P1773" t="s">
        <v>7237</v>
      </c>
    </row>
    <row r="1774" spans="11:16" x14ac:dyDescent="0.25">
      <c r="K1774" s="75" t="s">
        <v>8946</v>
      </c>
      <c r="L1774" s="75" t="s">
        <v>317</v>
      </c>
      <c r="M1774" t="s">
        <v>9159</v>
      </c>
      <c r="N1774" s="75" t="s">
        <v>6848</v>
      </c>
      <c r="O1774" s="75" t="s">
        <v>296</v>
      </c>
      <c r="P1774" t="s">
        <v>7279</v>
      </c>
    </row>
    <row r="1775" spans="11:16" x14ac:dyDescent="0.25">
      <c r="K1775" s="75" t="s">
        <v>8937</v>
      </c>
      <c r="L1775" s="75" t="s">
        <v>6926</v>
      </c>
      <c r="M1775" t="s">
        <v>9179</v>
      </c>
      <c r="N1775" s="75" t="s">
        <v>7154</v>
      </c>
      <c r="O1775" s="75" t="s">
        <v>5705</v>
      </c>
      <c r="P1775" t="s">
        <v>7332</v>
      </c>
    </row>
    <row r="1776" spans="11:16" x14ac:dyDescent="0.25">
      <c r="K1776" s="75" t="s">
        <v>8983</v>
      </c>
      <c r="L1776" s="75" t="s">
        <v>375</v>
      </c>
      <c r="M1776" t="s">
        <v>9190</v>
      </c>
      <c r="N1776" s="75" t="s">
        <v>6502</v>
      </c>
      <c r="O1776" s="75" t="s">
        <v>5700</v>
      </c>
      <c r="P1776" t="s">
        <v>7333</v>
      </c>
    </row>
    <row r="1777" spans="11:16" x14ac:dyDescent="0.25">
      <c r="K1777" s="75" t="s">
        <v>9094</v>
      </c>
      <c r="L1777" s="216" t="s">
        <v>370</v>
      </c>
      <c r="M1777" t="s">
        <v>9273</v>
      </c>
      <c r="N1777" s="75" t="s">
        <v>6993</v>
      </c>
      <c r="O1777" s="75" t="s">
        <v>5957</v>
      </c>
      <c r="P1777" t="s">
        <v>7352</v>
      </c>
    </row>
    <row r="1778" spans="11:16" x14ac:dyDescent="0.25">
      <c r="K1778" s="74" t="s">
        <v>9155</v>
      </c>
      <c r="L1778" s="74" t="s">
        <v>452</v>
      </c>
      <c r="M1778" t="s">
        <v>9279</v>
      </c>
      <c r="N1778" s="75" t="s">
        <v>7280</v>
      </c>
      <c r="O1778" s="75" t="s">
        <v>296</v>
      </c>
      <c r="P1778" t="s">
        <v>7428</v>
      </c>
    </row>
    <row r="1779" spans="11:16" x14ac:dyDescent="0.25">
      <c r="K1779" s="75" t="s">
        <v>8913</v>
      </c>
      <c r="L1779" s="75" t="s">
        <v>371</v>
      </c>
      <c r="M1779" t="s">
        <v>9303</v>
      </c>
      <c r="N1779" s="75" t="s">
        <v>7362</v>
      </c>
      <c r="O1779" s="75" t="s">
        <v>361</v>
      </c>
      <c r="P1779" t="s">
        <v>7542</v>
      </c>
    </row>
    <row r="1780" spans="11:16" x14ac:dyDescent="0.25">
      <c r="K1780" s="74" t="s">
        <v>8875</v>
      </c>
      <c r="L1780" s="216" t="s">
        <v>361</v>
      </c>
      <c r="M1780" t="s">
        <v>9340</v>
      </c>
      <c r="N1780" s="75" t="s">
        <v>7762</v>
      </c>
      <c r="O1780" s="75" t="s">
        <v>560</v>
      </c>
      <c r="P1780" t="s">
        <v>7864</v>
      </c>
    </row>
    <row r="1781" spans="11:16" x14ac:dyDescent="0.25">
      <c r="K1781" s="75" t="s">
        <v>9236</v>
      </c>
      <c r="L1781" s="75" t="s">
        <v>372</v>
      </c>
      <c r="M1781" t="s">
        <v>9390</v>
      </c>
      <c r="N1781" s="74" t="s">
        <v>7826</v>
      </c>
      <c r="O1781" s="74" t="s">
        <v>374</v>
      </c>
      <c r="P1781" t="s">
        <v>7966</v>
      </c>
    </row>
    <row r="1782" spans="11:16" x14ac:dyDescent="0.25">
      <c r="K1782" s="74" t="s">
        <v>6593</v>
      </c>
      <c r="L1782" s="74" t="s">
        <v>296</v>
      </c>
      <c r="M1782" t="s">
        <v>9450</v>
      </c>
      <c r="N1782" s="74" t="s">
        <v>7900</v>
      </c>
      <c r="O1782" s="74" t="s">
        <v>1905</v>
      </c>
      <c r="P1782" t="s">
        <v>7994</v>
      </c>
    </row>
    <row r="1783" spans="11:16" x14ac:dyDescent="0.25">
      <c r="K1783" s="75" t="s">
        <v>9332</v>
      </c>
      <c r="L1783" s="75" t="s">
        <v>371</v>
      </c>
      <c r="M1783" t="s">
        <v>9528</v>
      </c>
      <c r="N1783" s="75" t="s">
        <v>3981</v>
      </c>
      <c r="O1783" s="75" t="s">
        <v>452</v>
      </c>
      <c r="P1783" t="s">
        <v>8040</v>
      </c>
    </row>
    <row r="1784" spans="11:16" x14ac:dyDescent="0.25">
      <c r="K1784" s="75" t="s">
        <v>9594</v>
      </c>
      <c r="L1784" s="75" t="s">
        <v>372</v>
      </c>
      <c r="M1784" t="s">
        <v>9674</v>
      </c>
      <c r="N1784" s="75" t="s">
        <v>771</v>
      </c>
      <c r="O1784" s="75" t="s">
        <v>5697</v>
      </c>
      <c r="P1784" t="s">
        <v>8216</v>
      </c>
    </row>
    <row r="1785" spans="11:16" x14ac:dyDescent="0.25">
      <c r="K1785" s="75" t="s">
        <v>9784</v>
      </c>
      <c r="L1785" s="75" t="s">
        <v>371</v>
      </c>
      <c r="M1785" t="s">
        <v>9830</v>
      </c>
      <c r="N1785" s="75" t="s">
        <v>8260</v>
      </c>
      <c r="O1785" s="75" t="s">
        <v>5703</v>
      </c>
      <c r="P1785" t="s">
        <v>8430</v>
      </c>
    </row>
    <row r="1786" spans="11:16" x14ac:dyDescent="0.25">
      <c r="K1786" s="74" t="s">
        <v>9834</v>
      </c>
      <c r="L1786" s="74" t="s">
        <v>1905</v>
      </c>
      <c r="M1786" t="s">
        <v>9869</v>
      </c>
      <c r="N1786" s="75" t="s">
        <v>3918</v>
      </c>
      <c r="O1786" s="75" t="s">
        <v>5701</v>
      </c>
      <c r="P1786" t="s">
        <v>8696</v>
      </c>
    </row>
    <row r="1787" spans="11:16" x14ac:dyDescent="0.25">
      <c r="K1787" s="75" t="s">
        <v>7378</v>
      </c>
      <c r="L1787" s="75" t="s">
        <v>1905</v>
      </c>
      <c r="M1787" t="s">
        <v>9882</v>
      </c>
      <c r="N1787" s="75" t="s">
        <v>8536</v>
      </c>
      <c r="O1787" s="75" t="s">
        <v>375</v>
      </c>
      <c r="P1787" t="s">
        <v>8737</v>
      </c>
    </row>
    <row r="1788" spans="11:16" x14ac:dyDescent="0.25">
      <c r="K1788" s="74" t="s">
        <v>9536</v>
      </c>
      <c r="L1788" s="74" t="s">
        <v>356</v>
      </c>
      <c r="M1788" t="s">
        <v>9889</v>
      </c>
      <c r="N1788" s="75" t="s">
        <v>8813</v>
      </c>
      <c r="O1788" s="75" t="s">
        <v>6926</v>
      </c>
      <c r="P1788" t="s">
        <v>8925</v>
      </c>
    </row>
    <row r="1789" spans="11:16" x14ac:dyDescent="0.25">
      <c r="K1789" s="75" t="s">
        <v>9828</v>
      </c>
      <c r="L1789" s="75" t="s">
        <v>370</v>
      </c>
      <c r="M1789" t="s">
        <v>9891</v>
      </c>
      <c r="N1789" s="74" t="s">
        <v>8717</v>
      </c>
      <c r="O1789" s="74" t="s">
        <v>370</v>
      </c>
      <c r="P1789" t="s">
        <v>8988</v>
      </c>
    </row>
    <row r="1790" spans="11:16" x14ac:dyDescent="0.25">
      <c r="K1790" s="75" t="s">
        <v>9846</v>
      </c>
      <c r="L1790" s="75" t="s">
        <v>451</v>
      </c>
      <c r="M1790" t="s">
        <v>9968</v>
      </c>
      <c r="N1790" s="75" t="s">
        <v>5540</v>
      </c>
      <c r="O1790" s="75" t="s">
        <v>370</v>
      </c>
      <c r="P1790" t="s">
        <v>9011</v>
      </c>
    </row>
    <row r="1791" spans="11:16" x14ac:dyDescent="0.25">
      <c r="K1791" s="75" t="s">
        <v>9534</v>
      </c>
      <c r="L1791" s="75" t="s">
        <v>6851</v>
      </c>
      <c r="M1791" t="s">
        <v>9974</v>
      </c>
      <c r="N1791" s="75" t="s">
        <v>8628</v>
      </c>
      <c r="O1791" s="75" t="s">
        <v>5703</v>
      </c>
      <c r="P1791" t="s">
        <v>8844</v>
      </c>
    </row>
    <row r="1792" spans="11:16" x14ac:dyDescent="0.25">
      <c r="K1792" s="75" t="s">
        <v>8169</v>
      </c>
      <c r="L1792" s="75" t="s">
        <v>319</v>
      </c>
      <c r="M1792" t="s">
        <v>9982</v>
      </c>
      <c r="N1792" s="74" t="s">
        <v>8865</v>
      </c>
      <c r="O1792" s="216" t="s">
        <v>370</v>
      </c>
      <c r="P1792" t="s">
        <v>9134</v>
      </c>
    </row>
    <row r="1793" spans="11:16" x14ac:dyDescent="0.25">
      <c r="K1793" s="75" t="s">
        <v>9831</v>
      </c>
      <c r="L1793" s="75" t="s">
        <v>9964</v>
      </c>
      <c r="M1793" t="s">
        <v>10025</v>
      </c>
      <c r="N1793" s="75" t="s">
        <v>1098</v>
      </c>
      <c r="O1793" s="75" t="s">
        <v>5701</v>
      </c>
      <c r="P1793" t="s">
        <v>9140</v>
      </c>
    </row>
    <row r="1794" spans="11:16" x14ac:dyDescent="0.25">
      <c r="K1794" s="75" t="s">
        <v>10014</v>
      </c>
      <c r="L1794" s="75" t="s">
        <v>6851</v>
      </c>
      <c r="M1794" t="s">
        <v>10016</v>
      </c>
      <c r="N1794" s="75" t="s">
        <v>9048</v>
      </c>
      <c r="O1794" s="75" t="s">
        <v>5700</v>
      </c>
      <c r="P1794" t="s">
        <v>9172</v>
      </c>
    </row>
    <row r="1795" spans="11:16" x14ac:dyDescent="0.25">
      <c r="K1795" s="74" t="s">
        <v>10021</v>
      </c>
      <c r="L1795" s="74" t="s">
        <v>355</v>
      </c>
      <c r="M1795" t="s">
        <v>10022</v>
      </c>
      <c r="N1795" s="75" t="s">
        <v>9191</v>
      </c>
      <c r="O1795" s="75" t="s">
        <v>375</v>
      </c>
      <c r="P1795" t="s">
        <v>9280</v>
      </c>
    </row>
    <row r="1796" spans="11:16" x14ac:dyDescent="0.25">
      <c r="K1796" s="74" t="s">
        <v>10015</v>
      </c>
      <c r="L1796" s="74" t="s">
        <v>5697</v>
      </c>
      <c r="M1796" t="s">
        <v>10039</v>
      </c>
      <c r="N1796" s="75" t="s">
        <v>9193</v>
      </c>
      <c r="O1796" s="75" t="s">
        <v>6926</v>
      </c>
      <c r="P1796" t="s">
        <v>9375</v>
      </c>
    </row>
    <row r="1797" spans="11:16" x14ac:dyDescent="0.25">
      <c r="K1797" s="74" t="s">
        <v>10781</v>
      </c>
      <c r="L1797" s="216" t="s">
        <v>10889</v>
      </c>
      <c r="M1797" t="s">
        <v>10970</v>
      </c>
      <c r="N1797" s="75" t="s">
        <v>9173</v>
      </c>
      <c r="O1797" s="75" t="s">
        <v>5701</v>
      </c>
      <c r="P1797" t="s">
        <v>9376</v>
      </c>
    </row>
    <row r="1798" spans="11:16" x14ac:dyDescent="0.25">
      <c r="K1798" s="75" t="s">
        <v>9709</v>
      </c>
      <c r="L1798" s="75" t="s">
        <v>5703</v>
      </c>
      <c r="M1798" t="s">
        <v>10072</v>
      </c>
      <c r="N1798" s="75" t="s">
        <v>8916</v>
      </c>
      <c r="O1798" s="75" t="s">
        <v>451</v>
      </c>
      <c r="P1798" t="s">
        <v>9392</v>
      </c>
    </row>
    <row r="1799" spans="11:16" x14ac:dyDescent="0.25">
      <c r="K1799" s="75" t="s">
        <v>10029</v>
      </c>
      <c r="L1799" s="75" t="s">
        <v>9964</v>
      </c>
      <c r="M1799" t="s">
        <v>10088</v>
      </c>
      <c r="N1799" s="75" t="s">
        <v>9151</v>
      </c>
      <c r="O1799" s="216" t="s">
        <v>369</v>
      </c>
      <c r="P1799" t="s">
        <v>9393</v>
      </c>
    </row>
    <row r="1800" spans="11:16" x14ac:dyDescent="0.25">
      <c r="K1800" s="75" t="s">
        <v>10232</v>
      </c>
      <c r="L1800" s="75" t="s">
        <v>6927</v>
      </c>
      <c r="M1800" t="s">
        <v>10233</v>
      </c>
      <c r="N1800" s="75" t="s">
        <v>9281</v>
      </c>
      <c r="O1800" s="75" t="s">
        <v>375</v>
      </c>
      <c r="P1800" t="s">
        <v>9465</v>
      </c>
    </row>
    <row r="1801" spans="11:16" x14ac:dyDescent="0.25">
      <c r="K1801" s="75" t="s">
        <v>10116</v>
      </c>
      <c r="L1801" s="75" t="s">
        <v>9964</v>
      </c>
      <c r="M1801" t="s">
        <v>10133</v>
      </c>
      <c r="N1801" s="75" t="s">
        <v>5743</v>
      </c>
      <c r="O1801" s="75" t="s">
        <v>369</v>
      </c>
      <c r="P1801" t="s">
        <v>9562</v>
      </c>
    </row>
    <row r="1802" spans="11:16" x14ac:dyDescent="0.25">
      <c r="K1802" s="75" t="s">
        <v>10096</v>
      </c>
      <c r="L1802" s="75" t="s">
        <v>9964</v>
      </c>
      <c r="M1802" t="s">
        <v>10155</v>
      </c>
      <c r="N1802" s="75" t="s">
        <v>6750</v>
      </c>
      <c r="O1802" s="75" t="s">
        <v>370</v>
      </c>
      <c r="P1802" t="s">
        <v>9618</v>
      </c>
    </row>
    <row r="1803" spans="11:16" x14ac:dyDescent="0.25">
      <c r="K1803" s="75" t="s">
        <v>6593</v>
      </c>
      <c r="L1803" s="75" t="s">
        <v>296</v>
      </c>
      <c r="M1803" t="s">
        <v>10268</v>
      </c>
      <c r="N1803" s="75" t="s">
        <v>6259</v>
      </c>
      <c r="O1803" s="75" t="s">
        <v>5701</v>
      </c>
      <c r="P1803" t="s">
        <v>10030</v>
      </c>
    </row>
    <row r="1804" spans="11:16" x14ac:dyDescent="0.25">
      <c r="K1804" s="75" t="s">
        <v>10166</v>
      </c>
      <c r="L1804" s="75" t="s">
        <v>9964</v>
      </c>
      <c r="M1804" t="s">
        <v>10338</v>
      </c>
      <c r="N1804" s="74" t="s">
        <v>9894</v>
      </c>
      <c r="O1804" s="74" t="s">
        <v>9959</v>
      </c>
      <c r="P1804" t="s">
        <v>10063</v>
      </c>
    </row>
    <row r="1805" spans="11:16" x14ac:dyDescent="0.25">
      <c r="K1805" s="75" t="s">
        <v>5603</v>
      </c>
      <c r="L1805" s="75" t="s">
        <v>5701</v>
      </c>
      <c r="M1805" t="s">
        <v>10243</v>
      </c>
      <c r="N1805" s="75" t="s">
        <v>9897</v>
      </c>
      <c r="O1805" s="75" t="s">
        <v>9965</v>
      </c>
      <c r="P1805" t="s">
        <v>10228</v>
      </c>
    </row>
    <row r="1806" spans="11:16" x14ac:dyDescent="0.25">
      <c r="K1806" s="75" t="s">
        <v>9970</v>
      </c>
      <c r="L1806" s="75" t="s">
        <v>451</v>
      </c>
      <c r="M1806" t="s">
        <v>10244</v>
      </c>
      <c r="N1806" s="75" t="s">
        <v>10023</v>
      </c>
      <c r="O1806" s="75" t="s">
        <v>6851</v>
      </c>
      <c r="P1806" t="s">
        <v>10152</v>
      </c>
    </row>
    <row r="1807" spans="11:16" x14ac:dyDescent="0.25">
      <c r="K1807" s="75" t="s">
        <v>10138</v>
      </c>
      <c r="L1807" s="75" t="s">
        <v>6927</v>
      </c>
      <c r="M1807" t="s">
        <v>10283</v>
      </c>
      <c r="N1807" s="75" t="s">
        <v>9940</v>
      </c>
      <c r="O1807" s="75" t="s">
        <v>9964</v>
      </c>
      <c r="P1807" t="s">
        <v>10171</v>
      </c>
    </row>
    <row r="1808" spans="11:16" x14ac:dyDescent="0.25">
      <c r="K1808" s="75" t="s">
        <v>10137</v>
      </c>
      <c r="L1808" s="75" t="s">
        <v>303</v>
      </c>
      <c r="M1808" t="s">
        <v>10317</v>
      </c>
      <c r="N1808" s="75" t="s">
        <v>5413</v>
      </c>
      <c r="O1808" s="75" t="s">
        <v>5703</v>
      </c>
      <c r="P1808" t="s">
        <v>10208</v>
      </c>
    </row>
    <row r="1809" spans="11:16" x14ac:dyDescent="0.25">
      <c r="K1809" s="75" t="s">
        <v>9536</v>
      </c>
      <c r="L1809" s="75" t="s">
        <v>451</v>
      </c>
      <c r="M1809" t="s">
        <v>10380</v>
      </c>
      <c r="N1809" s="75" t="s">
        <v>10210</v>
      </c>
      <c r="O1809" s="75" t="s">
        <v>5703</v>
      </c>
      <c r="P1809" t="s">
        <v>10306</v>
      </c>
    </row>
    <row r="1810" spans="11:16" x14ac:dyDescent="0.25">
      <c r="K1810" s="75" t="s">
        <v>10319</v>
      </c>
      <c r="L1810" s="75" t="s">
        <v>511</v>
      </c>
      <c r="M1810" t="s">
        <v>10419</v>
      </c>
      <c r="N1810" s="75" t="s">
        <v>5455</v>
      </c>
      <c r="O1810" s="75" t="s">
        <v>10164</v>
      </c>
      <c r="P1810" t="s">
        <v>10411</v>
      </c>
    </row>
    <row r="1811" spans="11:16" x14ac:dyDescent="0.25">
      <c r="K1811" s="75" t="s">
        <v>10395</v>
      </c>
      <c r="L1811" s="75" t="s">
        <v>296</v>
      </c>
      <c r="M1811" t="s">
        <v>10426</v>
      </c>
      <c r="N1811" s="75" t="s">
        <v>10158</v>
      </c>
      <c r="O1811" s="75" t="s">
        <v>6851</v>
      </c>
      <c r="P1811" t="s">
        <v>10347</v>
      </c>
    </row>
    <row r="1812" spans="11:16" x14ac:dyDescent="0.25">
      <c r="K1812" s="75" t="s">
        <v>10235</v>
      </c>
      <c r="L1812" s="216" t="s">
        <v>10441</v>
      </c>
      <c r="M1812" t="s">
        <v>10479</v>
      </c>
      <c r="N1812" s="74" t="s">
        <v>4924</v>
      </c>
      <c r="O1812" s="74" t="s">
        <v>7513</v>
      </c>
      <c r="P1812" t="s">
        <v>10363</v>
      </c>
    </row>
    <row r="1813" spans="11:16" x14ac:dyDescent="0.25">
      <c r="K1813" s="75" t="s">
        <v>5218</v>
      </c>
      <c r="L1813" s="75" t="s">
        <v>5703</v>
      </c>
      <c r="M1813" t="s">
        <v>10418</v>
      </c>
      <c r="N1813" s="74" t="s">
        <v>10291</v>
      </c>
      <c r="O1813" s="74" t="s">
        <v>318</v>
      </c>
      <c r="P1813" t="s">
        <v>10420</v>
      </c>
    </row>
    <row r="1814" spans="11:16" x14ac:dyDescent="0.25">
      <c r="K1814" s="75" t="s">
        <v>10501</v>
      </c>
      <c r="L1814" s="75" t="s">
        <v>5697</v>
      </c>
      <c r="M1814" t="s">
        <v>10643</v>
      </c>
      <c r="N1814" s="75" t="s">
        <v>10357</v>
      </c>
      <c r="O1814" s="75" t="s">
        <v>6851</v>
      </c>
      <c r="P1814" t="s">
        <v>10494</v>
      </c>
    </row>
    <row r="1815" spans="11:16" x14ac:dyDescent="0.25">
      <c r="K1815" s="75" t="s">
        <v>10428</v>
      </c>
      <c r="L1815" s="75" t="s">
        <v>5703</v>
      </c>
      <c r="M1815" t="s">
        <v>10664</v>
      </c>
      <c r="N1815" s="74" t="s">
        <v>10427</v>
      </c>
      <c r="O1815" s="74" t="s">
        <v>319</v>
      </c>
      <c r="P1815" t="s">
        <v>10527</v>
      </c>
    </row>
    <row r="1816" spans="11:16" x14ac:dyDescent="0.25">
      <c r="K1816" s="75" t="s">
        <v>10301</v>
      </c>
      <c r="L1816" s="75" t="s">
        <v>5700</v>
      </c>
      <c r="M1816" t="s">
        <v>10659</v>
      </c>
      <c r="N1816" s="74" t="s">
        <v>10324</v>
      </c>
      <c r="O1816" s="74" t="s">
        <v>303</v>
      </c>
      <c r="P1816" t="s">
        <v>10559</v>
      </c>
    </row>
    <row r="1817" spans="11:16" x14ac:dyDescent="0.25">
      <c r="K1817" s="75" t="s">
        <v>10569</v>
      </c>
      <c r="L1817" s="75" t="s">
        <v>451</v>
      </c>
      <c r="M1817" t="s">
        <v>10661</v>
      </c>
      <c r="N1817" s="75" t="s">
        <v>3705</v>
      </c>
      <c r="O1817" s="75" t="s">
        <v>9964</v>
      </c>
      <c r="P1817" t="s">
        <v>10445</v>
      </c>
    </row>
    <row r="1818" spans="11:16" x14ac:dyDescent="0.25">
      <c r="K1818" s="75" t="s">
        <v>10434</v>
      </c>
      <c r="L1818" s="75" t="s">
        <v>10164</v>
      </c>
      <c r="M1818" t="s">
        <v>10665</v>
      </c>
      <c r="N1818" s="75" t="s">
        <v>9417</v>
      </c>
      <c r="O1818" s="75" t="s">
        <v>5701</v>
      </c>
      <c r="P1818" t="s">
        <v>10663</v>
      </c>
    </row>
    <row r="1819" spans="11:16" x14ac:dyDescent="0.25">
      <c r="K1819" s="75" t="s">
        <v>10646</v>
      </c>
      <c r="L1819" s="75" t="s">
        <v>10164</v>
      </c>
      <c r="M1819" t="s">
        <v>10707</v>
      </c>
      <c r="N1819" s="75" t="s">
        <v>9708</v>
      </c>
      <c r="O1819" s="75" t="s">
        <v>318</v>
      </c>
      <c r="P1819" t="s">
        <v>10697</v>
      </c>
    </row>
    <row r="1820" spans="11:16" x14ac:dyDescent="0.25">
      <c r="K1820" s="75" t="s">
        <v>10746</v>
      </c>
      <c r="L1820" s="75" t="s">
        <v>10635</v>
      </c>
      <c r="M1820" t="s">
        <v>10767</v>
      </c>
      <c r="N1820" s="75" t="s">
        <v>10560</v>
      </c>
      <c r="O1820" s="75" t="s">
        <v>303</v>
      </c>
      <c r="P1820" t="s">
        <v>10742</v>
      </c>
    </row>
    <row r="1821" spans="11:16" x14ac:dyDescent="0.25">
      <c r="K1821" s="75" t="s">
        <v>10667</v>
      </c>
      <c r="L1821" s="75" t="s">
        <v>10635</v>
      </c>
      <c r="M1821" t="s">
        <v>10711</v>
      </c>
      <c r="N1821" s="75" t="s">
        <v>10391</v>
      </c>
      <c r="O1821" s="75" t="s">
        <v>9965</v>
      </c>
      <c r="P1821" t="s">
        <v>10768</v>
      </c>
    </row>
    <row r="1822" spans="11:16" x14ac:dyDescent="0.25">
      <c r="K1822" s="75" t="s">
        <v>10448</v>
      </c>
      <c r="L1822" s="216" t="s">
        <v>10635</v>
      </c>
      <c r="M1822" t="s">
        <v>10787</v>
      </c>
      <c r="N1822" s="75" t="s">
        <v>10560</v>
      </c>
      <c r="O1822" s="75" t="s">
        <v>303</v>
      </c>
      <c r="P1822" t="s">
        <v>10742</v>
      </c>
    </row>
    <row r="1823" spans="11:16" x14ac:dyDescent="0.25">
      <c r="K1823" s="75" t="s">
        <v>10788</v>
      </c>
      <c r="L1823" s="75" t="s">
        <v>10891</v>
      </c>
      <c r="M1823" t="s">
        <v>10872</v>
      </c>
      <c r="N1823" s="75" t="s">
        <v>10427</v>
      </c>
      <c r="O1823" s="75" t="s">
        <v>10635</v>
      </c>
      <c r="P1823" t="s">
        <v>10662</v>
      </c>
    </row>
    <row r="1824" spans="11:16" x14ac:dyDescent="0.25">
      <c r="K1824" s="75" t="s">
        <v>10780</v>
      </c>
      <c r="L1824" s="75" t="s">
        <v>10164</v>
      </c>
      <c r="M1824" t="s">
        <v>10791</v>
      </c>
      <c r="N1824" s="75" t="s">
        <v>10666</v>
      </c>
      <c r="O1824" s="216" t="s">
        <v>5697</v>
      </c>
      <c r="P1824" t="s">
        <v>10865</v>
      </c>
    </row>
    <row r="1825" spans="11:16" x14ac:dyDescent="0.25">
      <c r="K1825" s="75" t="s">
        <v>10672</v>
      </c>
      <c r="L1825" s="75" t="s">
        <v>10603</v>
      </c>
      <c r="M1825" t="s">
        <v>10782</v>
      </c>
      <c r="N1825" s="75" t="s">
        <v>10718</v>
      </c>
      <c r="O1825" s="75" t="s">
        <v>6927</v>
      </c>
      <c r="P1825" t="s">
        <v>10821</v>
      </c>
    </row>
    <row r="1826" spans="11:16" x14ac:dyDescent="0.25">
      <c r="K1826" s="75" t="s">
        <v>9914</v>
      </c>
      <c r="L1826" s="216" t="s">
        <v>5701</v>
      </c>
      <c r="M1826" t="s">
        <v>10881</v>
      </c>
      <c r="N1826" s="75" t="s">
        <v>10745</v>
      </c>
      <c r="O1826" s="75" t="s">
        <v>10890</v>
      </c>
      <c r="P1826" t="s">
        <v>10883</v>
      </c>
    </row>
    <row r="1827" spans="11:16" x14ac:dyDescent="0.25">
      <c r="K1827" s="75" t="s">
        <v>10290</v>
      </c>
      <c r="L1827" s="75" t="s">
        <v>6927</v>
      </c>
      <c r="M1827" t="s">
        <v>10410</v>
      </c>
      <c r="N1827" s="75" t="s">
        <v>7936</v>
      </c>
      <c r="O1827" s="75" t="s">
        <v>10896</v>
      </c>
      <c r="P1827" t="s">
        <v>10931</v>
      </c>
    </row>
    <row r="1828" spans="11:16" x14ac:dyDescent="0.25">
      <c r="K1828" s="74" t="s">
        <v>10507</v>
      </c>
      <c r="L1828" s="216" t="s">
        <v>9884</v>
      </c>
      <c r="M1828" t="s">
        <v>10937</v>
      </c>
      <c r="N1828" s="75" t="s">
        <v>9519</v>
      </c>
      <c r="O1828" s="75" t="s">
        <v>297</v>
      </c>
      <c r="P1828" t="s">
        <v>10938</v>
      </c>
    </row>
    <row r="1829" spans="11:16" x14ac:dyDescent="0.25">
      <c r="K1829" s="74" t="s">
        <v>7781</v>
      </c>
      <c r="L1829" s="74" t="s">
        <v>5705</v>
      </c>
      <c r="M1829" t="s">
        <v>10936</v>
      </c>
      <c r="N1829" s="75" t="s">
        <v>10148</v>
      </c>
      <c r="O1829" s="75" t="s">
        <v>6851</v>
      </c>
      <c r="P1829" t="s">
        <v>10350</v>
      </c>
    </row>
    <row r="1830" spans="11:16" x14ac:dyDescent="0.25">
      <c r="K1830" s="75" t="s">
        <v>11403</v>
      </c>
      <c r="L1830" s="75" t="s">
        <v>5700</v>
      </c>
      <c r="M1830" t="s">
        <v>11514</v>
      </c>
      <c r="N1830" s="75" t="s">
        <v>6315</v>
      </c>
      <c r="O1830" s="75" t="s">
        <v>3277</v>
      </c>
      <c r="P1830" t="s">
        <v>11008</v>
      </c>
    </row>
    <row r="1831" spans="11:16" x14ac:dyDescent="0.25">
      <c r="K1831" s="74" t="s">
        <v>8169</v>
      </c>
      <c r="L1831" s="74" t="s">
        <v>10805</v>
      </c>
      <c r="M1831" t="s">
        <v>11009</v>
      </c>
      <c r="N1831" s="75" t="s">
        <v>4194</v>
      </c>
      <c r="O1831" s="75" t="s">
        <v>10891</v>
      </c>
      <c r="P1831" t="s">
        <v>11011</v>
      </c>
    </row>
    <row r="1832" spans="11:16" x14ac:dyDescent="0.25">
      <c r="K1832" s="74" t="s">
        <v>10941</v>
      </c>
      <c r="L1832" s="74" t="s">
        <v>10892</v>
      </c>
      <c r="M1832" t="s">
        <v>11010</v>
      </c>
      <c r="N1832" s="75" t="s">
        <v>10837</v>
      </c>
      <c r="O1832" s="75" t="s">
        <v>10164</v>
      </c>
      <c r="P1832" t="s">
        <v>10979</v>
      </c>
    </row>
    <row r="1833" spans="11:16" x14ac:dyDescent="0.25">
      <c r="K1833" s="74" t="s">
        <v>10861</v>
      </c>
      <c r="L1833" s="74" t="s">
        <v>10805</v>
      </c>
      <c r="M1833" t="s">
        <v>10935</v>
      </c>
      <c r="N1833" s="75" t="s">
        <v>5750</v>
      </c>
      <c r="O1833" s="75" t="s">
        <v>5704</v>
      </c>
      <c r="P1833" t="s">
        <v>10972</v>
      </c>
    </row>
    <row r="1834" spans="11:16" x14ac:dyDescent="0.25">
      <c r="K1834" s="75" t="s">
        <v>10209</v>
      </c>
      <c r="L1834" s="75" t="s">
        <v>296</v>
      </c>
      <c r="M1834" t="s">
        <v>10374</v>
      </c>
      <c r="N1834" s="75" t="s">
        <v>10083</v>
      </c>
      <c r="O1834" s="75" t="s">
        <v>296</v>
      </c>
      <c r="P1834" t="s">
        <v>10349</v>
      </c>
    </row>
    <row r="1835" spans="11:16" x14ac:dyDescent="0.25">
      <c r="K1835" s="74" t="s">
        <v>11000</v>
      </c>
      <c r="L1835" s="74" t="s">
        <v>6927</v>
      </c>
      <c r="M1835" t="s">
        <v>11068</v>
      </c>
      <c r="N1835" s="75" t="s">
        <v>8260</v>
      </c>
      <c r="O1835" s="75" t="s">
        <v>9884</v>
      </c>
      <c r="P1835" t="s">
        <v>11029</v>
      </c>
    </row>
    <row r="1836" spans="11:16" x14ac:dyDescent="0.25">
      <c r="K1836" s="75" t="s">
        <v>9979</v>
      </c>
      <c r="L1836" s="216" t="s">
        <v>9884</v>
      </c>
      <c r="M1836" t="s">
        <v>11092</v>
      </c>
      <c r="N1836" s="75" t="s">
        <v>8838</v>
      </c>
      <c r="O1836" s="75" t="s">
        <v>10805</v>
      </c>
      <c r="P1836" t="s">
        <v>11102</v>
      </c>
    </row>
    <row r="1837" spans="11:16" x14ac:dyDescent="0.25">
      <c r="K1837" s="75" t="s">
        <v>10838</v>
      </c>
      <c r="L1837" s="75" t="s">
        <v>10892</v>
      </c>
      <c r="M1837" t="s">
        <v>10929</v>
      </c>
      <c r="N1837" s="75" t="s">
        <v>10953</v>
      </c>
      <c r="O1837" s="75" t="s">
        <v>451</v>
      </c>
      <c r="P1837" t="s">
        <v>11148</v>
      </c>
    </row>
    <row r="1838" spans="11:16" x14ac:dyDescent="0.25">
      <c r="K1838" s="75" t="s">
        <v>10984</v>
      </c>
      <c r="L1838" s="75" t="s">
        <v>5701</v>
      </c>
      <c r="M1838" t="s">
        <v>11110</v>
      </c>
      <c r="N1838" s="75" t="s">
        <v>11014</v>
      </c>
      <c r="O1838" s="75" t="s">
        <v>10894</v>
      </c>
      <c r="P1838" t="s">
        <v>11619</v>
      </c>
    </row>
    <row r="1839" spans="11:16" x14ac:dyDescent="0.25">
      <c r="K1839" s="75" t="s">
        <v>9155</v>
      </c>
      <c r="L1839" s="75" t="s">
        <v>9884</v>
      </c>
      <c r="M1839" t="s">
        <v>11134</v>
      </c>
      <c r="N1839" s="75" t="s">
        <v>11018</v>
      </c>
      <c r="O1839" s="75" t="s">
        <v>10897</v>
      </c>
      <c r="P1839" t="s">
        <v>11259</v>
      </c>
    </row>
    <row r="1840" spans="11:16" x14ac:dyDescent="0.25">
      <c r="K1840" s="75" t="s">
        <v>11119</v>
      </c>
      <c r="L1840" s="75" t="s">
        <v>5701</v>
      </c>
      <c r="M1840" t="s">
        <v>11214</v>
      </c>
      <c r="N1840" s="74" t="s">
        <v>11031</v>
      </c>
      <c r="O1840" s="74" t="s">
        <v>9884</v>
      </c>
      <c r="P1840" t="s">
        <v>11039</v>
      </c>
    </row>
    <row r="1841" spans="11:16" x14ac:dyDescent="0.25">
      <c r="K1841" s="75" t="s">
        <v>11238</v>
      </c>
      <c r="L1841" s="75" t="s">
        <v>10897</v>
      </c>
      <c r="M1841" t="s">
        <v>11280</v>
      </c>
      <c r="N1841" s="75" t="s">
        <v>11135</v>
      </c>
      <c r="O1841" s="216" t="s">
        <v>10889</v>
      </c>
      <c r="P1841" t="s">
        <v>11320</v>
      </c>
    </row>
    <row r="1842" spans="11:16" x14ac:dyDescent="0.25">
      <c r="K1842" s="75" t="s">
        <v>11063</v>
      </c>
      <c r="L1842" s="75" t="s">
        <v>5703</v>
      </c>
      <c r="M1842" t="s">
        <v>11293</v>
      </c>
      <c r="N1842" s="75" t="s">
        <v>11212</v>
      </c>
      <c r="O1842" s="75" t="s">
        <v>5701</v>
      </c>
      <c r="P1842" t="s">
        <v>11361</v>
      </c>
    </row>
    <row r="1843" spans="11:16" x14ac:dyDescent="0.25">
      <c r="K1843" s="75" t="s">
        <v>10248</v>
      </c>
      <c r="L1843" s="216" t="s">
        <v>10892</v>
      </c>
      <c r="M1843" t="s">
        <v>11133</v>
      </c>
      <c r="N1843" s="75" t="s">
        <v>11308</v>
      </c>
      <c r="O1843" s="75" t="s">
        <v>5705</v>
      </c>
      <c r="P1843" t="s">
        <v>11376</v>
      </c>
    </row>
    <row r="1844" spans="11:16" x14ac:dyDescent="0.25">
      <c r="K1844" s="75" t="s">
        <v>11343</v>
      </c>
      <c r="L1844" s="75" t="s">
        <v>5704</v>
      </c>
      <c r="M1844" t="s">
        <v>11387</v>
      </c>
      <c r="N1844" s="75" t="s">
        <v>11296</v>
      </c>
      <c r="O1844" s="75" t="s">
        <v>5703</v>
      </c>
      <c r="P1844" t="s">
        <v>11450</v>
      </c>
    </row>
    <row r="1845" spans="11:16" x14ac:dyDescent="0.25">
      <c r="K1845" s="75" t="s">
        <v>10917</v>
      </c>
      <c r="L1845" s="75" t="s">
        <v>317</v>
      </c>
      <c r="M1845" t="s">
        <v>11412</v>
      </c>
      <c r="N1845" s="75" t="s">
        <v>11400</v>
      </c>
      <c r="O1845" s="75" t="s">
        <v>5703</v>
      </c>
      <c r="P1845" t="s">
        <v>11997</v>
      </c>
    </row>
    <row r="1846" spans="11:16" x14ac:dyDescent="0.25">
      <c r="K1846" s="75" t="s">
        <v>11100</v>
      </c>
      <c r="L1846" s="75" t="s">
        <v>11471</v>
      </c>
      <c r="M1846" t="s">
        <v>11446</v>
      </c>
      <c r="N1846" s="75" t="s">
        <v>11457</v>
      </c>
      <c r="O1846" s="75" t="s">
        <v>5704</v>
      </c>
      <c r="P1846" t="s">
        <v>11550</v>
      </c>
    </row>
    <row r="1847" spans="11:16" x14ac:dyDescent="0.25">
      <c r="K1847" s="75" t="s">
        <v>5352</v>
      </c>
      <c r="L1847" s="75" t="s">
        <v>355</v>
      </c>
      <c r="M1847" t="s">
        <v>11546</v>
      </c>
      <c r="N1847" s="75" t="s">
        <v>11560</v>
      </c>
      <c r="O1847" s="75" t="s">
        <v>317</v>
      </c>
      <c r="P1847" t="s">
        <v>11609</v>
      </c>
    </row>
    <row r="1848" spans="11:16" x14ac:dyDescent="0.25">
      <c r="K1848" s="74" t="s">
        <v>1323</v>
      </c>
      <c r="L1848" s="74" t="s">
        <v>10891</v>
      </c>
      <c r="M1848" t="s">
        <v>11568</v>
      </c>
      <c r="N1848" s="75" t="s">
        <v>6631</v>
      </c>
      <c r="O1848" s="75" t="s">
        <v>10892</v>
      </c>
      <c r="P1848" t="s">
        <v>11671</v>
      </c>
    </row>
    <row r="1849" spans="11:16" x14ac:dyDescent="0.25">
      <c r="K1849" s="75" t="s">
        <v>11458</v>
      </c>
      <c r="L1849" s="75" t="s">
        <v>10805</v>
      </c>
      <c r="M1849" t="s">
        <v>11606</v>
      </c>
      <c r="N1849" s="75" t="s">
        <v>6874</v>
      </c>
      <c r="O1849" s="75" t="s">
        <v>11471</v>
      </c>
      <c r="P1849" t="s">
        <v>11655</v>
      </c>
    </row>
    <row r="1850" spans="11:16" x14ac:dyDescent="0.25">
      <c r="K1850" s="75" t="s">
        <v>9732</v>
      </c>
      <c r="L1850" s="75" t="s">
        <v>9959</v>
      </c>
      <c r="M1850" t="s">
        <v>10282</v>
      </c>
      <c r="N1850" s="75" t="s">
        <v>6485</v>
      </c>
      <c r="O1850" s="75" t="s">
        <v>10897</v>
      </c>
      <c r="P1850" t="s">
        <v>11839</v>
      </c>
    </row>
    <row r="1851" spans="11:16" x14ac:dyDescent="0.25">
      <c r="K1851" s="75" t="s">
        <v>10986</v>
      </c>
      <c r="L1851" s="216" t="s">
        <v>316</v>
      </c>
      <c r="M1851" t="s">
        <v>11625</v>
      </c>
      <c r="N1851" s="75" t="s">
        <v>9940</v>
      </c>
      <c r="O1851" s="75" t="s">
        <v>318</v>
      </c>
      <c r="P1851" t="s">
        <v>11836</v>
      </c>
    </row>
    <row r="1852" spans="11:16" x14ac:dyDescent="0.25">
      <c r="K1852" s="74" t="s">
        <v>11447</v>
      </c>
      <c r="L1852" s="74" t="s">
        <v>10897</v>
      </c>
      <c r="M1852" t="s">
        <v>11726</v>
      </c>
      <c r="N1852" s="75" t="s">
        <v>11940</v>
      </c>
      <c r="O1852" s="75" t="s">
        <v>12065</v>
      </c>
      <c r="P1852" t="s">
        <v>12082</v>
      </c>
    </row>
    <row r="1853" spans="11:16" x14ac:dyDescent="0.25">
      <c r="K1853" s="75" t="s">
        <v>11565</v>
      </c>
      <c r="L1853" s="75" t="s">
        <v>5704</v>
      </c>
      <c r="M1853" t="s">
        <v>11664</v>
      </c>
      <c r="N1853" s="75" t="s">
        <v>7435</v>
      </c>
      <c r="O1853" s="75" t="s">
        <v>5702</v>
      </c>
      <c r="P1853" t="s">
        <v>12206</v>
      </c>
    </row>
    <row r="1854" spans="11:16" x14ac:dyDescent="0.25">
      <c r="K1854" s="75" t="s">
        <v>10906</v>
      </c>
      <c r="L1854" s="216" t="s">
        <v>318</v>
      </c>
      <c r="M1854" t="s">
        <v>11727</v>
      </c>
      <c r="N1854" s="75" t="s">
        <v>12438</v>
      </c>
      <c r="O1854" s="216" t="s">
        <v>12144</v>
      </c>
      <c r="P1854" t="s">
        <v>12502</v>
      </c>
    </row>
    <row r="1855" spans="11:16" x14ac:dyDescent="0.25">
      <c r="K1855" s="74" t="s">
        <v>10116</v>
      </c>
      <c r="L1855" s="74" t="s">
        <v>316</v>
      </c>
      <c r="M1855" t="s">
        <v>11746</v>
      </c>
      <c r="N1855" s="75" t="s">
        <v>12385</v>
      </c>
      <c r="O1855" s="75" t="s">
        <v>12144</v>
      </c>
      <c r="P1855" t="s">
        <v>12449</v>
      </c>
    </row>
    <row r="1856" spans="11:16" x14ac:dyDescent="0.25">
      <c r="K1856" s="75" t="s">
        <v>11614</v>
      </c>
      <c r="L1856" s="75" t="s">
        <v>10805</v>
      </c>
      <c r="M1856" t="s">
        <v>11722</v>
      </c>
      <c r="N1856" s="74" t="s">
        <v>12684</v>
      </c>
      <c r="O1856" s="216" t="s">
        <v>12064</v>
      </c>
      <c r="P1856" t="s">
        <v>12770</v>
      </c>
    </row>
    <row r="1857" spans="11:16" x14ac:dyDescent="0.25">
      <c r="K1857" s="75" t="s">
        <v>11780</v>
      </c>
      <c r="L1857" s="75" t="s">
        <v>10896</v>
      </c>
      <c r="M1857" t="s">
        <v>11854</v>
      </c>
      <c r="N1857" s="75" t="s">
        <v>10718</v>
      </c>
      <c r="O1857" s="75" t="s">
        <v>5705</v>
      </c>
      <c r="P1857" t="s">
        <v>12010</v>
      </c>
    </row>
    <row r="1858" spans="11:16" x14ac:dyDescent="0.25">
      <c r="K1858" s="75" t="s">
        <v>11730</v>
      </c>
      <c r="L1858" s="75" t="s">
        <v>5697</v>
      </c>
      <c r="M1858" t="s">
        <v>11853</v>
      </c>
      <c r="N1858" s="75" t="s">
        <v>13226</v>
      </c>
      <c r="O1858" s="216" t="s">
        <v>12244</v>
      </c>
      <c r="P1858" t="s">
        <v>13371</v>
      </c>
    </row>
    <row r="1859" spans="11:16" x14ac:dyDescent="0.25">
      <c r="K1859" s="75" t="s">
        <v>11878</v>
      </c>
      <c r="L1859" s="75" t="s">
        <v>10896</v>
      </c>
      <c r="M1859" t="s">
        <v>11921</v>
      </c>
      <c r="N1859" s="75" t="s">
        <v>3666</v>
      </c>
      <c r="O1859" s="75" t="s">
        <v>13214</v>
      </c>
      <c r="P1859" t="s">
        <v>13271</v>
      </c>
    </row>
    <row r="1860" spans="11:16" x14ac:dyDescent="0.25">
      <c r="K1860" s="75" t="s">
        <v>11907</v>
      </c>
      <c r="L1860" s="75" t="s">
        <v>5702</v>
      </c>
      <c r="M1860" t="s">
        <v>11985</v>
      </c>
      <c r="N1860" s="75" t="s">
        <v>13372</v>
      </c>
      <c r="O1860" s="290" t="s">
        <v>12244</v>
      </c>
      <c r="P1860" t="s">
        <v>13445</v>
      </c>
    </row>
    <row r="1861" spans="11:16" x14ac:dyDescent="0.25">
      <c r="K1861" s="75" t="s">
        <v>11000</v>
      </c>
      <c r="L1861" s="75" t="s">
        <v>11753</v>
      </c>
      <c r="M1861" t="s">
        <v>12008</v>
      </c>
      <c r="N1861" s="75" t="s">
        <v>13427</v>
      </c>
      <c r="O1861" s="216" t="s">
        <v>12244</v>
      </c>
      <c r="P1861" t="s">
        <v>13585</v>
      </c>
    </row>
    <row r="1862" spans="11:16" x14ac:dyDescent="0.25">
      <c r="K1862" s="75" t="s">
        <v>12030</v>
      </c>
      <c r="L1862" s="75" t="s">
        <v>12064</v>
      </c>
      <c r="M1862" t="s">
        <v>12107</v>
      </c>
      <c r="N1862" s="75" t="s">
        <v>13453</v>
      </c>
      <c r="O1862" s="75" t="s">
        <v>12888</v>
      </c>
      <c r="P1862" t="s">
        <v>13584</v>
      </c>
    </row>
    <row r="1863" spans="11:16" x14ac:dyDescent="0.25">
      <c r="K1863" s="75" t="s">
        <v>11987</v>
      </c>
      <c r="L1863" s="75" t="s">
        <v>5702</v>
      </c>
      <c r="M1863" t="s">
        <v>12096</v>
      </c>
      <c r="N1863" s="75" t="s">
        <v>13649</v>
      </c>
      <c r="O1863" s="75" t="s">
        <v>362</v>
      </c>
      <c r="P1863" t="s">
        <v>14248</v>
      </c>
    </row>
    <row r="1864" spans="11:16" x14ac:dyDescent="0.25">
      <c r="K1864" s="75" t="s">
        <v>11924</v>
      </c>
      <c r="L1864" s="75" t="s">
        <v>12064</v>
      </c>
      <c r="M1864" t="s">
        <v>12033</v>
      </c>
      <c r="N1864" s="74" t="s">
        <v>13774</v>
      </c>
      <c r="O1864" s="74" t="s">
        <v>12888</v>
      </c>
      <c r="P1864" t="s">
        <v>14363</v>
      </c>
    </row>
    <row r="1865" spans="11:16" x14ac:dyDescent="0.25">
      <c r="K1865" s="75" t="s">
        <v>11580</v>
      </c>
      <c r="L1865" s="75" t="s">
        <v>5702</v>
      </c>
      <c r="M1865" t="s">
        <v>11837</v>
      </c>
      <c r="N1865" s="75" t="s">
        <v>4113</v>
      </c>
      <c r="O1865" s="75" t="s">
        <v>5700</v>
      </c>
      <c r="P1865" t="s">
        <v>13235</v>
      </c>
    </row>
    <row r="1866" spans="11:16" x14ac:dyDescent="0.25">
      <c r="K1866" s="75" t="s">
        <v>12227</v>
      </c>
      <c r="L1866" s="75" t="s">
        <v>12065</v>
      </c>
      <c r="M1866" t="s">
        <v>12305</v>
      </c>
      <c r="N1866" s="75" t="s">
        <v>14419</v>
      </c>
      <c r="O1866" s="290" t="s">
        <v>5702</v>
      </c>
      <c r="P1866" t="s">
        <v>14569</v>
      </c>
    </row>
    <row r="1867" spans="11:16" x14ac:dyDescent="0.25">
      <c r="K1867" s="74" t="s">
        <v>10428</v>
      </c>
      <c r="L1867" s="216" t="s">
        <v>10502</v>
      </c>
      <c r="M1867" t="s">
        <v>11792</v>
      </c>
      <c r="N1867" s="75" t="s">
        <v>14365</v>
      </c>
      <c r="O1867" s="75" t="s">
        <v>12888</v>
      </c>
      <c r="P1867" t="s">
        <v>14430</v>
      </c>
    </row>
    <row r="1868" spans="11:16" x14ac:dyDescent="0.25">
      <c r="K1868" s="75" t="s">
        <v>8815</v>
      </c>
      <c r="L1868" s="216" t="s">
        <v>9475</v>
      </c>
      <c r="M1868" t="s">
        <v>10318</v>
      </c>
      <c r="N1868" s="75" t="s">
        <v>8536</v>
      </c>
      <c r="O1868" s="75" t="s">
        <v>5702</v>
      </c>
      <c r="P1868" t="s">
        <v>14924</v>
      </c>
    </row>
    <row r="1869" spans="11:16" x14ac:dyDescent="0.25">
      <c r="K1869" s="75" t="s">
        <v>12228</v>
      </c>
      <c r="L1869" s="75" t="s">
        <v>12197</v>
      </c>
      <c r="M1869" t="s">
        <v>12739</v>
      </c>
      <c r="N1869" s="75" t="s">
        <v>14938</v>
      </c>
      <c r="O1869" s="75" t="s">
        <v>5700</v>
      </c>
      <c r="P1869" t="s">
        <v>15039</v>
      </c>
    </row>
    <row r="1870" spans="11:16" x14ac:dyDescent="0.25">
      <c r="K1870" s="75" t="s">
        <v>12353</v>
      </c>
      <c r="L1870" s="75" t="s">
        <v>12244</v>
      </c>
      <c r="M1870" t="s">
        <v>12433</v>
      </c>
    </row>
    <row r="1871" spans="11:16" x14ac:dyDescent="0.25">
      <c r="K1871" s="75" t="s">
        <v>12143</v>
      </c>
      <c r="L1871" s="75" t="s">
        <v>12144</v>
      </c>
      <c r="M1871" t="s">
        <v>12484</v>
      </c>
    </row>
    <row r="1872" spans="11:16" x14ac:dyDescent="0.25">
      <c r="K1872" s="75" t="s">
        <v>12587</v>
      </c>
      <c r="L1872" s="75" t="s">
        <v>5697</v>
      </c>
      <c r="M1872" t="s">
        <v>12683</v>
      </c>
    </row>
    <row r="1873" spans="11:15" x14ac:dyDescent="0.25">
      <c r="K1873" s="75" t="s">
        <v>12191</v>
      </c>
      <c r="L1873" s="75" t="s">
        <v>5700</v>
      </c>
      <c r="M1873" t="s">
        <v>12476</v>
      </c>
    </row>
    <row r="1874" spans="11:15" x14ac:dyDescent="0.25">
      <c r="K1874" s="75" t="s">
        <v>12561</v>
      </c>
      <c r="L1874" s="216" t="s">
        <v>5700</v>
      </c>
      <c r="M1874" t="s">
        <v>12654</v>
      </c>
    </row>
    <row r="1875" spans="11:15" x14ac:dyDescent="0.25">
      <c r="K1875" s="75" t="s">
        <v>12475</v>
      </c>
      <c r="L1875" s="75" t="s">
        <v>5697</v>
      </c>
      <c r="M1875" t="s">
        <v>12708</v>
      </c>
    </row>
    <row r="1876" spans="11:15" x14ac:dyDescent="0.25">
      <c r="K1876" s="74" t="s">
        <v>12733</v>
      </c>
      <c r="L1876" s="74" t="s">
        <v>12065</v>
      </c>
      <c r="M1876" t="s">
        <v>12740</v>
      </c>
    </row>
    <row r="1877" spans="11:15" x14ac:dyDescent="0.25">
      <c r="K1877" s="75" t="s">
        <v>12696</v>
      </c>
      <c r="L1877" s="75" t="s">
        <v>12065</v>
      </c>
      <c r="M1877" t="s">
        <v>12819</v>
      </c>
    </row>
    <row r="1878" spans="11:15" x14ac:dyDescent="0.25">
      <c r="K1878" s="75" t="s">
        <v>12713</v>
      </c>
      <c r="L1878" s="75" t="s">
        <v>5697</v>
      </c>
      <c r="M1878" t="s">
        <v>12780</v>
      </c>
    </row>
    <row r="1879" spans="11:15" x14ac:dyDescent="0.25">
      <c r="K1879" s="75" t="s">
        <v>12557</v>
      </c>
      <c r="L1879" s="75" t="s">
        <v>12064</v>
      </c>
      <c r="M1879" t="s">
        <v>12801</v>
      </c>
    </row>
    <row r="1880" spans="11:15" x14ac:dyDescent="0.25">
      <c r="K1880" s="75" t="s">
        <v>12370</v>
      </c>
      <c r="L1880" s="75" t="s">
        <v>12197</v>
      </c>
      <c r="M1880" t="s">
        <v>12766</v>
      </c>
    </row>
    <row r="1881" spans="11:15" x14ac:dyDescent="0.25">
      <c r="K1881" s="75" t="s">
        <v>12894</v>
      </c>
      <c r="L1881" s="75" t="s">
        <v>12409</v>
      </c>
      <c r="M1881" t="s">
        <v>13086</v>
      </c>
      <c r="N1881" s="324"/>
    </row>
    <row r="1882" spans="11:15" x14ac:dyDescent="0.25">
      <c r="K1882" s="74" t="s">
        <v>12349</v>
      </c>
      <c r="L1882" s="74" t="s">
        <v>12067</v>
      </c>
      <c r="M1882" t="s">
        <v>12399</v>
      </c>
    </row>
    <row r="1883" spans="11:15" x14ac:dyDescent="0.25">
      <c r="K1883" s="74" t="s">
        <v>13042</v>
      </c>
      <c r="L1883" s="74" t="s">
        <v>12244</v>
      </c>
      <c r="M1883" t="s">
        <v>13187</v>
      </c>
    </row>
    <row r="1884" spans="11:15" x14ac:dyDescent="0.25">
      <c r="K1884" s="74" t="s">
        <v>9979</v>
      </c>
      <c r="L1884" s="74" t="s">
        <v>12901</v>
      </c>
      <c r="M1884" t="s">
        <v>13196</v>
      </c>
    </row>
    <row r="1885" spans="11:15" x14ac:dyDescent="0.25">
      <c r="K1885" s="75" t="s">
        <v>13119</v>
      </c>
      <c r="L1885" s="216" t="s">
        <v>12901</v>
      </c>
      <c r="M1885" t="s">
        <v>13276</v>
      </c>
      <c r="O1885" s="217"/>
    </row>
    <row r="1886" spans="11:15" x14ac:dyDescent="0.25">
      <c r="K1886" s="75" t="s">
        <v>13195</v>
      </c>
      <c r="L1886" s="75" t="s">
        <v>12888</v>
      </c>
      <c r="M1886" t="s">
        <v>13336</v>
      </c>
    </row>
    <row r="1887" spans="11:15" x14ac:dyDescent="0.25">
      <c r="K1887" s="75" t="s">
        <v>9536</v>
      </c>
      <c r="L1887" s="75" t="s">
        <v>13277</v>
      </c>
      <c r="M1887" t="s">
        <v>13422</v>
      </c>
    </row>
    <row r="1888" spans="11:15" x14ac:dyDescent="0.25">
      <c r="K1888" s="75" t="s">
        <v>13348</v>
      </c>
      <c r="L1888" s="75" t="s">
        <v>12888</v>
      </c>
      <c r="M1888" t="s">
        <v>13486</v>
      </c>
    </row>
    <row r="1889" spans="11:13" x14ac:dyDescent="0.25">
      <c r="K1889" s="75" t="s">
        <v>11098</v>
      </c>
      <c r="L1889" s="75" t="s">
        <v>13277</v>
      </c>
      <c r="M1889" t="s">
        <v>13636</v>
      </c>
    </row>
    <row r="1890" spans="11:13" x14ac:dyDescent="0.25">
      <c r="K1890" s="75" t="s">
        <v>8319</v>
      </c>
      <c r="L1890" s="75" t="s">
        <v>12409</v>
      </c>
      <c r="M1890" t="s">
        <v>13589</v>
      </c>
    </row>
    <row r="1891" spans="11:13" x14ac:dyDescent="0.25">
      <c r="K1891" s="75" t="s">
        <v>13850</v>
      </c>
      <c r="L1891" s="75" t="s">
        <v>13851</v>
      </c>
      <c r="M1891" t="s">
        <v>13868</v>
      </c>
    </row>
    <row r="1892" spans="11:13" x14ac:dyDescent="0.25">
      <c r="K1892" s="75" t="s">
        <v>13706</v>
      </c>
      <c r="L1892" s="75" t="s">
        <v>12409</v>
      </c>
      <c r="M1892" t="s">
        <v>13822</v>
      </c>
    </row>
    <row r="1893" spans="11:13" x14ac:dyDescent="0.25">
      <c r="K1893" s="75" t="s">
        <v>8243</v>
      </c>
      <c r="L1893" s="75" t="s">
        <v>5700</v>
      </c>
      <c r="M1893" t="s">
        <v>13374</v>
      </c>
    </row>
    <row r="1894" spans="11:13" x14ac:dyDescent="0.25">
      <c r="K1894" s="75" t="s">
        <v>12895</v>
      </c>
      <c r="L1894" s="75" t="s">
        <v>12888</v>
      </c>
      <c r="M1894" t="s">
        <v>13163</v>
      </c>
    </row>
    <row r="1895" spans="11:13" x14ac:dyDescent="0.25">
      <c r="K1895" s="75" t="s">
        <v>13773</v>
      </c>
      <c r="L1895" s="75" t="s">
        <v>362</v>
      </c>
      <c r="M1895" t="s">
        <v>13961</v>
      </c>
    </row>
    <row r="1896" spans="11:13" x14ac:dyDescent="0.25">
      <c r="K1896" s="75" t="s">
        <v>13826</v>
      </c>
      <c r="L1896" s="75" t="s">
        <v>5701</v>
      </c>
      <c r="M1896" t="s">
        <v>13907</v>
      </c>
    </row>
    <row r="1897" spans="11:13" x14ac:dyDescent="0.25">
      <c r="K1897" s="75" t="s">
        <v>13918</v>
      </c>
      <c r="L1897" s="75" t="s">
        <v>12888</v>
      </c>
      <c r="M1897" t="s">
        <v>14063</v>
      </c>
    </row>
    <row r="1898" spans="11:13" x14ac:dyDescent="0.25">
      <c r="K1898" s="74" t="s">
        <v>13878</v>
      </c>
      <c r="L1898" s="290" t="s">
        <v>5700</v>
      </c>
      <c r="M1898" t="s">
        <v>14174</v>
      </c>
    </row>
    <row r="1899" spans="11:13" x14ac:dyDescent="0.25">
      <c r="K1899" s="75" t="s">
        <v>8875</v>
      </c>
      <c r="L1899" s="75" t="s">
        <v>5700</v>
      </c>
      <c r="M1899" t="s">
        <v>14226</v>
      </c>
    </row>
    <row r="1900" spans="11:13" ht="15.75" x14ac:dyDescent="0.25">
      <c r="K1900" s="349" t="s">
        <v>9846</v>
      </c>
      <c r="L1900" s="350" t="s">
        <v>362</v>
      </c>
      <c r="M1900" t="s">
        <v>14360</v>
      </c>
    </row>
    <row r="1901" spans="11:13" x14ac:dyDescent="0.25">
      <c r="K1901" s="75" t="s">
        <v>14089</v>
      </c>
      <c r="L1901" s="75" t="s">
        <v>12888</v>
      </c>
      <c r="M1901" t="s">
        <v>14298</v>
      </c>
    </row>
    <row r="1902" spans="11:13" x14ac:dyDescent="0.25">
      <c r="K1902" s="75" t="s">
        <v>14706</v>
      </c>
      <c r="L1902" s="75" t="s">
        <v>12888</v>
      </c>
      <c r="M1902" t="s">
        <v>14742</v>
      </c>
    </row>
    <row r="1919" spans="14:24" x14ac:dyDescent="0.25">
      <c r="N1919" s="390"/>
    </row>
    <row r="1920" spans="14:24" x14ac:dyDescent="0.25">
      <c r="X1920" t="s">
        <v>47</v>
      </c>
    </row>
    <row r="1925" spans="1:26" s="218" customFormat="1" x14ac:dyDescent="0.25">
      <c r="A1925" s="218" t="s">
        <v>3</v>
      </c>
      <c r="B1925" s="218">
        <f>COUNTA(B1609:B1886)-98</f>
        <v>17</v>
      </c>
      <c r="E1925" s="218">
        <f>COUNTA(E1610:E1886)-89</f>
        <v>21</v>
      </c>
      <c r="H1925" s="218">
        <f>COUNTA(H1609:H1886)-85</f>
        <v>18</v>
      </c>
      <c r="K1925" s="218">
        <f>COUNTA(K1610:K1886)-235</f>
        <v>42</v>
      </c>
      <c r="N1925" s="218">
        <f>COUNTA(N1610:N1886)-226</f>
        <v>34</v>
      </c>
      <c r="Q1925" s="218">
        <f>COUNTA(Q1609:Q1886)-13</f>
        <v>11</v>
      </c>
      <c r="T1925" s="218">
        <f>COUNTA(T1609:T1886)-70</f>
        <v>29</v>
      </c>
      <c r="W1925" s="218">
        <f>COUNTA(W1609:W1886)-62</f>
        <v>45</v>
      </c>
      <c r="Z1925" s="218">
        <f>SUBTOTAL(9,B1925:Y1925)</f>
        <v>217</v>
      </c>
    </row>
    <row r="1926" spans="1:26" ht="15.75" customHeight="1" x14ac:dyDescent="0.25">
      <c r="A1926" t="s">
        <v>1152</v>
      </c>
      <c r="B1926" s="75" t="s">
        <v>10132</v>
      </c>
      <c r="C1926" s="216" t="s">
        <v>4155</v>
      </c>
      <c r="D1926" t="s">
        <v>15385</v>
      </c>
      <c r="E1926" t="s">
        <v>15023</v>
      </c>
      <c r="F1926" s="216" t="s">
        <v>340</v>
      </c>
      <c r="G1926" t="s">
        <v>15129</v>
      </c>
      <c r="H1926" s="75" t="s">
        <v>11116</v>
      </c>
      <c r="I1926" s="75" t="s">
        <v>4155</v>
      </c>
      <c r="J1926" t="s">
        <v>15190</v>
      </c>
      <c r="K1926" s="84" t="s">
        <v>15218</v>
      </c>
      <c r="L1926" t="s">
        <v>15219</v>
      </c>
      <c r="M1926" t="s">
        <v>15220</v>
      </c>
      <c r="N1926" t="s">
        <v>15139</v>
      </c>
      <c r="O1926" t="s">
        <v>12070</v>
      </c>
      <c r="P1926" t="s">
        <v>15214</v>
      </c>
      <c r="Q1926" s="84" t="s">
        <v>14979</v>
      </c>
      <c r="R1926" t="s">
        <v>5072</v>
      </c>
      <c r="S1926" t="s">
        <v>14980</v>
      </c>
      <c r="T1926" s="75" t="s">
        <v>14937</v>
      </c>
      <c r="U1926" s="75" t="s">
        <v>14655</v>
      </c>
      <c r="V1926" t="s">
        <v>15276</v>
      </c>
      <c r="W1926" s="75" t="s">
        <v>13687</v>
      </c>
      <c r="X1926" s="75" t="s">
        <v>4068</v>
      </c>
      <c r="Y1926" t="s">
        <v>15071</v>
      </c>
    </row>
    <row r="1927" spans="1:26" ht="15.75" x14ac:dyDescent="0.25">
      <c r="B1927" s="75" t="s">
        <v>15223</v>
      </c>
      <c r="C1927" s="75" t="s">
        <v>340</v>
      </c>
      <c r="D1927" t="s">
        <v>15382</v>
      </c>
      <c r="E1927" s="106" t="s">
        <v>15101</v>
      </c>
      <c r="F1927" t="s">
        <v>15171</v>
      </c>
      <c r="G1927" t="s">
        <v>15170</v>
      </c>
      <c r="H1927" s="75" t="s">
        <v>14289</v>
      </c>
      <c r="I1927" s="290" t="s">
        <v>5</v>
      </c>
      <c r="J1927" t="s">
        <v>15109</v>
      </c>
      <c r="K1927" s="84" t="s">
        <v>15274</v>
      </c>
      <c r="L1927" t="s">
        <v>4068</v>
      </c>
      <c r="M1927" t="s">
        <v>15275</v>
      </c>
      <c r="N1927" s="290" t="s">
        <v>15329</v>
      </c>
      <c r="O1927" t="s">
        <v>12070</v>
      </c>
      <c r="P1927" t="s">
        <v>15372</v>
      </c>
      <c r="Q1927" s="84" t="s">
        <v>15013</v>
      </c>
      <c r="R1927" t="s">
        <v>401</v>
      </c>
      <c r="S1927" t="s">
        <v>15014</v>
      </c>
      <c r="T1927" s="75" t="s">
        <v>14636</v>
      </c>
      <c r="U1927" s="75" t="s">
        <v>14637</v>
      </c>
      <c r="V1927" t="s">
        <v>15211</v>
      </c>
      <c r="W1927" s="75" t="s">
        <v>14417</v>
      </c>
      <c r="X1927" s="290" t="s">
        <v>14265</v>
      </c>
      <c r="Y1927" t="s">
        <v>14476</v>
      </c>
    </row>
    <row r="1928" spans="1:26" x14ac:dyDescent="0.25">
      <c r="B1928" s="75" t="s">
        <v>15111</v>
      </c>
      <c r="C1928" s="75" t="s">
        <v>5</v>
      </c>
      <c r="D1928" t="s">
        <v>15253</v>
      </c>
      <c r="E1928" s="118" t="s">
        <v>15016</v>
      </c>
      <c r="F1928" s="118" t="s">
        <v>4155</v>
      </c>
      <c r="G1928" t="s">
        <v>15115</v>
      </c>
      <c r="H1928" s="75" t="s">
        <v>11885</v>
      </c>
      <c r="I1928" s="75" t="s">
        <v>356</v>
      </c>
      <c r="J1928" t="s">
        <v>12640</v>
      </c>
      <c r="K1928" s="84" t="s">
        <v>15277</v>
      </c>
      <c r="L1928" t="s">
        <v>14655</v>
      </c>
      <c r="M1928" t="s">
        <v>15278</v>
      </c>
      <c r="N1928" s="75" t="s">
        <v>15066</v>
      </c>
      <c r="O1928" s="75" t="s">
        <v>4155</v>
      </c>
      <c r="P1928" t="s">
        <v>15241</v>
      </c>
      <c r="Q1928" s="84" t="s">
        <v>15072</v>
      </c>
      <c r="R1928" t="s">
        <v>4068</v>
      </c>
      <c r="S1928" t="s">
        <v>15073</v>
      </c>
      <c r="T1928" s="75" t="s">
        <v>14619</v>
      </c>
      <c r="U1928" s="75" t="s">
        <v>341</v>
      </c>
      <c r="V1928" t="s">
        <v>14642</v>
      </c>
      <c r="W1928" s="75" t="s">
        <v>14006</v>
      </c>
      <c r="X1928" s="75" t="s">
        <v>12547</v>
      </c>
      <c r="Y1928" t="s">
        <v>14309</v>
      </c>
    </row>
    <row r="1929" spans="1:26" x14ac:dyDescent="0.25">
      <c r="B1929" s="75" t="s">
        <v>12478</v>
      </c>
      <c r="C1929" s="75" t="s">
        <v>367</v>
      </c>
      <c r="D1929" t="s">
        <v>12555</v>
      </c>
      <c r="E1929" s="290" t="s">
        <v>15254</v>
      </c>
      <c r="F1929" t="s">
        <v>5</v>
      </c>
      <c r="G1929" t="s">
        <v>15255</v>
      </c>
      <c r="H1929" s="75" t="s">
        <v>12178</v>
      </c>
      <c r="I1929" s="75" t="s">
        <v>12071</v>
      </c>
      <c r="J1929" t="s">
        <v>12259</v>
      </c>
      <c r="K1929" s="290" t="s">
        <v>15321</v>
      </c>
      <c r="L1929" t="s">
        <v>14265</v>
      </c>
      <c r="M1929" t="s">
        <v>15322</v>
      </c>
      <c r="N1929" s="75" t="s">
        <v>10322</v>
      </c>
      <c r="O1929" s="75" t="s">
        <v>340</v>
      </c>
      <c r="P1929" t="s">
        <v>15222</v>
      </c>
      <c r="Q1929" s="75" t="s">
        <v>12052</v>
      </c>
      <c r="R1929" s="75" t="s">
        <v>11469</v>
      </c>
      <c r="S1929" t="s">
        <v>12217</v>
      </c>
      <c r="T1929" s="75" t="s">
        <v>13531</v>
      </c>
      <c r="U1929" s="216" t="s">
        <v>6954</v>
      </c>
      <c r="V1929" t="s">
        <v>13688</v>
      </c>
      <c r="W1929" s="75" t="s">
        <v>13931</v>
      </c>
      <c r="X1929" s="75" t="s">
        <v>6216</v>
      </c>
      <c r="Y1929" t="s">
        <v>14003</v>
      </c>
    </row>
    <row r="1930" spans="1:26" x14ac:dyDescent="0.25">
      <c r="B1930" s="75" t="s">
        <v>12285</v>
      </c>
      <c r="C1930" s="216" t="s">
        <v>12070</v>
      </c>
      <c r="D1930" t="s">
        <v>12390</v>
      </c>
      <c r="E1930" s="290" t="s">
        <v>15383</v>
      </c>
      <c r="F1930" t="s">
        <v>340</v>
      </c>
      <c r="G1930" t="s">
        <v>15384</v>
      </c>
      <c r="H1930" s="75" t="s">
        <v>12049</v>
      </c>
      <c r="I1930" s="75" t="s">
        <v>464</v>
      </c>
      <c r="J1930" t="s">
        <v>12230</v>
      </c>
      <c r="K1930" s="290" t="s">
        <v>15391</v>
      </c>
      <c r="L1930" t="s">
        <v>15392</v>
      </c>
      <c r="M1930" t="s">
        <v>15393</v>
      </c>
      <c r="N1930" s="376" t="s">
        <v>14568</v>
      </c>
      <c r="O1930" s="75" t="s">
        <v>6954</v>
      </c>
      <c r="P1930" t="s">
        <v>14950</v>
      </c>
      <c r="Q1930" s="75" t="s">
        <v>11436</v>
      </c>
      <c r="R1930" s="216" t="s">
        <v>965</v>
      </c>
      <c r="S1930" t="s">
        <v>11887</v>
      </c>
      <c r="T1930" s="75" t="s">
        <v>12165</v>
      </c>
      <c r="U1930" s="216" t="s">
        <v>340</v>
      </c>
      <c r="V1930" t="s">
        <v>13686</v>
      </c>
      <c r="W1930" s="75" t="s">
        <v>13846</v>
      </c>
      <c r="X1930" s="75" t="s">
        <v>12070</v>
      </c>
      <c r="Y1930" t="s">
        <v>13957</v>
      </c>
    </row>
    <row r="1931" spans="1:26" x14ac:dyDescent="0.25">
      <c r="B1931" s="75" t="s">
        <v>12153</v>
      </c>
      <c r="C1931" s="75" t="s">
        <v>12068</v>
      </c>
      <c r="D1931" t="s">
        <v>12293</v>
      </c>
      <c r="E1931" s="290" t="s">
        <v>10309</v>
      </c>
      <c r="F1931" s="118" t="s">
        <v>4155</v>
      </c>
      <c r="G1931" t="s">
        <v>15386</v>
      </c>
      <c r="H1931" s="75" t="s">
        <v>12094</v>
      </c>
      <c r="I1931" s="75" t="s">
        <v>12069</v>
      </c>
      <c r="J1931" t="s">
        <v>12220</v>
      </c>
      <c r="K1931" s="75" t="s">
        <v>13660</v>
      </c>
      <c r="L1931" s="75" t="s">
        <v>340</v>
      </c>
      <c r="M1931" t="s">
        <v>14852</v>
      </c>
      <c r="N1931" s="74" t="s">
        <v>14814</v>
      </c>
      <c r="O1931" s="74" t="s">
        <v>4068</v>
      </c>
      <c r="P1931" t="s">
        <v>14940</v>
      </c>
      <c r="Q1931" s="75" t="s">
        <v>8348</v>
      </c>
      <c r="R1931" s="216" t="s">
        <v>401</v>
      </c>
      <c r="S1931" t="s">
        <v>8595</v>
      </c>
      <c r="T1931" s="74" t="s">
        <v>9240</v>
      </c>
      <c r="U1931" s="74" t="s">
        <v>474</v>
      </c>
      <c r="V1931" t="s">
        <v>12322</v>
      </c>
      <c r="W1931" s="75" t="s">
        <v>9118</v>
      </c>
      <c r="X1931" s="75" t="s">
        <v>12547</v>
      </c>
      <c r="Y1931" t="s">
        <v>13956</v>
      </c>
    </row>
    <row r="1932" spans="1:26" x14ac:dyDescent="0.25">
      <c r="B1932" s="75" t="s">
        <v>12150</v>
      </c>
      <c r="C1932" s="75" t="s">
        <v>448</v>
      </c>
      <c r="D1932" t="s">
        <v>12268</v>
      </c>
      <c r="E1932" s="75" t="s">
        <v>11885</v>
      </c>
      <c r="F1932" s="75" t="s">
        <v>356</v>
      </c>
      <c r="G1932" t="s">
        <v>12556</v>
      </c>
      <c r="H1932" s="75" t="s">
        <v>11760</v>
      </c>
      <c r="I1932" s="75" t="s">
        <v>5717</v>
      </c>
      <c r="J1932" t="s">
        <v>11899</v>
      </c>
      <c r="K1932" s="75" t="s">
        <v>14391</v>
      </c>
      <c r="L1932" s="290" t="s">
        <v>6954</v>
      </c>
      <c r="M1932" t="s">
        <v>14508</v>
      </c>
      <c r="N1932" s="75" t="s">
        <v>14422</v>
      </c>
      <c r="O1932" s="290" t="s">
        <v>401</v>
      </c>
      <c r="P1932" t="s">
        <v>14601</v>
      </c>
      <c r="Q1932" s="75" t="s">
        <v>3075</v>
      </c>
      <c r="R1932" s="75" t="s">
        <v>655</v>
      </c>
      <c r="S1932" t="s">
        <v>4025</v>
      </c>
      <c r="T1932" s="75" t="s">
        <v>12165</v>
      </c>
      <c r="U1932" s="216" t="s">
        <v>342</v>
      </c>
      <c r="V1932" t="s">
        <v>12508</v>
      </c>
      <c r="W1932" s="75" t="s">
        <v>13687</v>
      </c>
      <c r="X1932" s="75" t="s">
        <v>6216</v>
      </c>
      <c r="Y1932" t="s">
        <v>13942</v>
      </c>
    </row>
    <row r="1933" spans="1:26" x14ac:dyDescent="0.25">
      <c r="B1933" s="75" t="s">
        <v>12020</v>
      </c>
      <c r="C1933" s="316" t="s">
        <v>12071</v>
      </c>
      <c r="D1933" t="s">
        <v>12177</v>
      </c>
      <c r="E1933" s="75" t="s">
        <v>11116</v>
      </c>
      <c r="F1933" s="75" t="s">
        <v>10890</v>
      </c>
      <c r="G1933" t="s">
        <v>12344</v>
      </c>
      <c r="H1933" s="75" t="s">
        <v>11696</v>
      </c>
      <c r="I1933" s="75" t="s">
        <v>352</v>
      </c>
      <c r="J1933" t="s">
        <v>11869</v>
      </c>
      <c r="K1933" s="75" t="s">
        <v>14454</v>
      </c>
      <c r="L1933" s="75" t="s">
        <v>341</v>
      </c>
      <c r="M1933" t="s">
        <v>14506</v>
      </c>
      <c r="N1933" s="75" t="s">
        <v>14583</v>
      </c>
      <c r="O1933" s="75" t="s">
        <v>14316</v>
      </c>
      <c r="P1933" t="s">
        <v>14600</v>
      </c>
      <c r="Q1933" s="75" t="s">
        <v>11370</v>
      </c>
      <c r="R1933" s="75" t="s">
        <v>359</v>
      </c>
      <c r="S1933" t="s">
        <v>12006</v>
      </c>
      <c r="T1933" s="75" t="s">
        <v>10853</v>
      </c>
      <c r="U1933" s="216" t="s">
        <v>454</v>
      </c>
      <c r="V1933" t="s">
        <v>11240</v>
      </c>
      <c r="W1933" s="75" t="s">
        <v>12842</v>
      </c>
      <c r="X1933" s="75" t="s">
        <v>356</v>
      </c>
      <c r="Y1933" t="s">
        <v>12961</v>
      </c>
    </row>
    <row r="1934" spans="1:26" x14ac:dyDescent="0.25">
      <c r="B1934" s="75" t="s">
        <v>10991</v>
      </c>
      <c r="C1934" s="75" t="s">
        <v>10890</v>
      </c>
      <c r="D1934" t="s">
        <v>12166</v>
      </c>
      <c r="E1934" s="75" t="s">
        <v>12115</v>
      </c>
      <c r="F1934" s="216" t="s">
        <v>12072</v>
      </c>
      <c r="G1934" t="s">
        <v>12278</v>
      </c>
      <c r="H1934" s="75" t="s">
        <v>11735</v>
      </c>
      <c r="I1934" s="75" t="s">
        <v>448</v>
      </c>
      <c r="J1934" t="s">
        <v>11831</v>
      </c>
      <c r="K1934" s="75" t="s">
        <v>14382</v>
      </c>
      <c r="L1934" s="75" t="s">
        <v>4155</v>
      </c>
      <c r="M1934" t="s">
        <v>14471</v>
      </c>
      <c r="N1934" s="75" t="s">
        <v>10645</v>
      </c>
      <c r="O1934" s="75" t="s">
        <v>14265</v>
      </c>
      <c r="P1934" t="s">
        <v>14544</v>
      </c>
      <c r="Q1934" s="74" t="s">
        <v>12858</v>
      </c>
      <c r="R1934" s="74" t="s">
        <v>359</v>
      </c>
      <c r="S1934" t="s">
        <v>12962</v>
      </c>
      <c r="T1934" s="75" t="s">
        <v>11003</v>
      </c>
      <c r="U1934" s="75" t="s">
        <v>6825</v>
      </c>
      <c r="V1934" t="s">
        <v>11287</v>
      </c>
      <c r="W1934" s="75" t="s">
        <v>12480</v>
      </c>
      <c r="X1934" s="75" t="s">
        <v>342</v>
      </c>
      <c r="Y1934" t="s">
        <v>12958</v>
      </c>
    </row>
    <row r="1935" spans="1:26" x14ac:dyDescent="0.25">
      <c r="B1935" s="75" t="s">
        <v>12016</v>
      </c>
      <c r="C1935" s="216" t="s">
        <v>10893</v>
      </c>
      <c r="D1935" t="s">
        <v>12116</v>
      </c>
      <c r="E1935" s="75" t="s">
        <v>12028</v>
      </c>
      <c r="F1935" s="75" t="s">
        <v>6980</v>
      </c>
      <c r="G1935" t="s">
        <v>12277</v>
      </c>
      <c r="H1935" s="75" t="s">
        <v>10799</v>
      </c>
      <c r="I1935" s="75" t="s">
        <v>464</v>
      </c>
      <c r="J1935" t="s">
        <v>11771</v>
      </c>
      <c r="K1935" s="74" t="s">
        <v>14157</v>
      </c>
      <c r="L1935" s="74" t="s">
        <v>4155</v>
      </c>
      <c r="M1935" t="s">
        <v>14355</v>
      </c>
      <c r="N1935" s="75" t="s">
        <v>12354</v>
      </c>
      <c r="O1935" s="75" t="s">
        <v>447</v>
      </c>
      <c r="P1935" t="s">
        <v>12383</v>
      </c>
      <c r="Q1935" s="75" t="s">
        <v>12036</v>
      </c>
      <c r="R1935" s="75" t="s">
        <v>12009</v>
      </c>
      <c r="S1935" t="s">
        <v>12614</v>
      </c>
      <c r="T1935" s="74" t="s">
        <v>10695</v>
      </c>
      <c r="U1935" s="74" t="s">
        <v>6926</v>
      </c>
      <c r="V1935" t="s">
        <v>11121</v>
      </c>
      <c r="W1935" s="75" t="s">
        <v>11984</v>
      </c>
      <c r="X1935" s="75" t="s">
        <v>538</v>
      </c>
      <c r="Y1935" t="s">
        <v>12048</v>
      </c>
    </row>
    <row r="1936" spans="1:26" x14ac:dyDescent="0.25">
      <c r="B1936" s="75" t="s">
        <v>10990</v>
      </c>
      <c r="C1936" s="216" t="s">
        <v>488</v>
      </c>
      <c r="D1936" t="s">
        <v>12114</v>
      </c>
      <c r="E1936" s="75" t="s">
        <v>10794</v>
      </c>
      <c r="F1936" s="216" t="s">
        <v>303</v>
      </c>
      <c r="G1936" t="s">
        <v>12271</v>
      </c>
      <c r="H1936" s="75" t="s">
        <v>11409</v>
      </c>
      <c r="I1936" s="75" t="s">
        <v>742</v>
      </c>
      <c r="J1936" t="s">
        <v>11686</v>
      </c>
      <c r="K1936" s="75" t="s">
        <v>13924</v>
      </c>
      <c r="L1936" s="75" t="s">
        <v>340</v>
      </c>
      <c r="M1936" t="s">
        <v>14025</v>
      </c>
      <c r="N1936" s="75" t="s">
        <v>10998</v>
      </c>
      <c r="O1936" s="216" t="s">
        <v>584</v>
      </c>
      <c r="P1936" t="s">
        <v>11302</v>
      </c>
      <c r="Q1936" s="75" t="s">
        <v>12392</v>
      </c>
      <c r="R1936" s="75" t="s">
        <v>11469</v>
      </c>
      <c r="S1936" t="s">
        <v>12453</v>
      </c>
      <c r="T1936" s="75" t="s">
        <v>10641</v>
      </c>
      <c r="U1936" s="75" t="s">
        <v>6926</v>
      </c>
      <c r="V1936" t="s">
        <v>10694</v>
      </c>
      <c r="W1936" s="75" t="s">
        <v>11695</v>
      </c>
      <c r="X1936" s="75" t="s">
        <v>5698</v>
      </c>
      <c r="Y1936" t="s">
        <v>11873</v>
      </c>
    </row>
    <row r="1937" spans="2:25" x14ac:dyDescent="0.25">
      <c r="B1937" s="75" t="s">
        <v>12031</v>
      </c>
      <c r="C1937" s="75" t="s">
        <v>862</v>
      </c>
      <c r="D1937" t="s">
        <v>12113</v>
      </c>
      <c r="E1937" s="75" t="s">
        <v>12178</v>
      </c>
      <c r="F1937" s="75" t="s">
        <v>12071</v>
      </c>
      <c r="G1937" t="s">
        <v>12255</v>
      </c>
      <c r="H1937" s="75" t="s">
        <v>11125</v>
      </c>
      <c r="I1937" s="216" t="s">
        <v>5717</v>
      </c>
      <c r="J1937" t="s">
        <v>11654</v>
      </c>
      <c r="K1937" s="75" t="s">
        <v>13884</v>
      </c>
      <c r="L1937" s="75" t="s">
        <v>342</v>
      </c>
      <c r="M1937" t="s">
        <v>13954</v>
      </c>
      <c r="N1937" s="75" t="s">
        <v>11046</v>
      </c>
      <c r="O1937" s="216" t="s">
        <v>742</v>
      </c>
      <c r="P1937" t="s">
        <v>11286</v>
      </c>
      <c r="Q1937" s="75" t="s">
        <v>13116</v>
      </c>
      <c r="R1937" s="216" t="s">
        <v>340</v>
      </c>
      <c r="S1937" t="s">
        <v>13656</v>
      </c>
      <c r="T1937" s="75" t="s">
        <v>10404</v>
      </c>
      <c r="U1937" s="75" t="s">
        <v>742</v>
      </c>
      <c r="V1937" t="s">
        <v>10482</v>
      </c>
      <c r="W1937" s="74" t="s">
        <v>11357</v>
      </c>
      <c r="X1937" s="74" t="s">
        <v>488</v>
      </c>
      <c r="Y1937" t="s">
        <v>11809</v>
      </c>
    </row>
    <row r="1938" spans="2:25" x14ac:dyDescent="0.25">
      <c r="B1938" s="75" t="s">
        <v>12039</v>
      </c>
      <c r="C1938" s="75" t="s">
        <v>12069</v>
      </c>
      <c r="D1938" t="s">
        <v>12095</v>
      </c>
      <c r="E1938" s="75" t="s">
        <v>12094</v>
      </c>
      <c r="F1938" s="75" t="s">
        <v>12069</v>
      </c>
      <c r="G1938" t="s">
        <v>12211</v>
      </c>
      <c r="H1938" s="75" t="s">
        <v>9688</v>
      </c>
      <c r="I1938" s="75" t="s">
        <v>353</v>
      </c>
      <c r="J1938" t="s">
        <v>11634</v>
      </c>
      <c r="K1938" s="74" t="s">
        <v>13698</v>
      </c>
      <c r="L1938" s="74" t="s">
        <v>6954</v>
      </c>
      <c r="M1938" t="s">
        <v>13899</v>
      </c>
      <c r="N1938" s="75" t="s">
        <v>10864</v>
      </c>
      <c r="O1938" s="75" t="s">
        <v>5921</v>
      </c>
      <c r="P1938" t="s">
        <v>11353</v>
      </c>
      <c r="Q1938" s="75" t="s">
        <v>13997</v>
      </c>
      <c r="R1938" s="75" t="s">
        <v>13403</v>
      </c>
      <c r="S1938" t="s">
        <v>14161</v>
      </c>
      <c r="T1938" s="75" t="s">
        <v>7052</v>
      </c>
      <c r="U1938" s="75" t="s">
        <v>6931</v>
      </c>
      <c r="V1938" t="s">
        <v>9908</v>
      </c>
      <c r="W1938" s="75" t="s">
        <v>11101</v>
      </c>
      <c r="X1938" s="75" t="s">
        <v>5698</v>
      </c>
      <c r="Y1938" t="s">
        <v>11703</v>
      </c>
    </row>
    <row r="1939" spans="2:25" x14ac:dyDescent="0.25">
      <c r="B1939" s="75" t="s">
        <v>11973</v>
      </c>
      <c r="C1939" s="75" t="s">
        <v>4068</v>
      </c>
      <c r="D1939" t="s">
        <v>12086</v>
      </c>
      <c r="E1939" s="75" t="s">
        <v>12085</v>
      </c>
      <c r="F1939" s="75" t="s">
        <v>387</v>
      </c>
      <c r="G1939" t="s">
        <v>12196</v>
      </c>
      <c r="H1939" s="75" t="s">
        <v>11073</v>
      </c>
      <c r="I1939" s="75" t="s">
        <v>454</v>
      </c>
      <c r="J1939" t="s">
        <v>11629</v>
      </c>
      <c r="K1939" s="75" t="s">
        <v>3924</v>
      </c>
      <c r="L1939" s="75" t="s">
        <v>307</v>
      </c>
      <c r="M1939" t="s">
        <v>4798</v>
      </c>
      <c r="N1939" s="74" t="s">
        <v>10792</v>
      </c>
      <c r="O1939" s="74" t="s">
        <v>6980</v>
      </c>
      <c r="P1939" t="s">
        <v>10975</v>
      </c>
      <c r="Q1939" s="75" t="s">
        <v>13402</v>
      </c>
      <c r="R1939" s="75" t="s">
        <v>13403</v>
      </c>
      <c r="S1939" t="s">
        <v>13466</v>
      </c>
      <c r="T1939" s="75" t="s">
        <v>3631</v>
      </c>
      <c r="U1939" s="75" t="s">
        <v>6930</v>
      </c>
      <c r="V1939" t="s">
        <v>7940</v>
      </c>
      <c r="W1939" s="74" t="s">
        <v>10919</v>
      </c>
      <c r="X1939" s="74" t="s">
        <v>385</v>
      </c>
      <c r="Y1939" t="s">
        <v>10978</v>
      </c>
    </row>
    <row r="1940" spans="2:25" x14ac:dyDescent="0.25">
      <c r="B1940" s="75" t="s">
        <v>11652</v>
      </c>
      <c r="C1940" s="216" t="s">
        <v>355</v>
      </c>
      <c r="D1940" t="s">
        <v>11784</v>
      </c>
      <c r="E1940" s="75" t="s">
        <v>12004</v>
      </c>
      <c r="F1940" s="75" t="s">
        <v>352</v>
      </c>
      <c r="G1940" t="s">
        <v>12195</v>
      </c>
      <c r="H1940" s="75" t="s">
        <v>10309</v>
      </c>
      <c r="I1940" s="216" t="s">
        <v>447</v>
      </c>
      <c r="J1940" t="s">
        <v>11627</v>
      </c>
      <c r="K1940" s="75" t="s">
        <v>2569</v>
      </c>
      <c r="L1940" s="75" t="s">
        <v>340</v>
      </c>
      <c r="M1940" t="s">
        <v>4600</v>
      </c>
      <c r="N1940" s="75" t="s">
        <v>10765</v>
      </c>
      <c r="O1940" s="216" t="s">
        <v>387</v>
      </c>
      <c r="P1940" t="s">
        <v>10974</v>
      </c>
      <c r="Q1940" s="75" t="s">
        <v>14647</v>
      </c>
      <c r="R1940" s="75" t="s">
        <v>401</v>
      </c>
      <c r="S1940" t="s">
        <v>15012</v>
      </c>
      <c r="T1940" s="75" t="s">
        <v>7635</v>
      </c>
      <c r="U1940" s="75" t="s">
        <v>481</v>
      </c>
      <c r="V1940" t="s">
        <v>7662</v>
      </c>
      <c r="W1940" s="75" t="s">
        <v>9355</v>
      </c>
      <c r="X1940" s="75" t="s">
        <v>9356</v>
      </c>
      <c r="Y1940" t="s">
        <v>10918</v>
      </c>
    </row>
    <row r="1941" spans="2:25" x14ac:dyDescent="0.25">
      <c r="B1941" s="75" t="s">
        <v>11660</v>
      </c>
      <c r="C1941" s="75" t="s">
        <v>5717</v>
      </c>
      <c r="D1941" t="s">
        <v>11797</v>
      </c>
      <c r="E1941" s="75" t="s">
        <v>12915</v>
      </c>
      <c r="F1941" s="290" t="s">
        <v>10758</v>
      </c>
      <c r="G1941" t="s">
        <v>12947</v>
      </c>
      <c r="H1941" s="75" t="s">
        <v>10610</v>
      </c>
      <c r="I1941" s="75" t="s">
        <v>387</v>
      </c>
      <c r="J1941" t="s">
        <v>11441</v>
      </c>
      <c r="K1941" s="75" t="s">
        <v>3894</v>
      </c>
      <c r="L1941" s="75" t="s">
        <v>401</v>
      </c>
      <c r="M1941" t="s">
        <v>3970</v>
      </c>
      <c r="N1941" s="75" t="s">
        <v>10831</v>
      </c>
      <c r="O1941" s="75" t="s">
        <v>353</v>
      </c>
      <c r="P1941" t="s">
        <v>10957</v>
      </c>
      <c r="Q1941" s="75" t="s">
        <v>13118</v>
      </c>
      <c r="R1941" s="75" t="s">
        <v>4068</v>
      </c>
      <c r="S1941" t="s">
        <v>13404</v>
      </c>
      <c r="T1941" s="74" t="s">
        <v>3630</v>
      </c>
      <c r="U1941" s="74" t="s">
        <v>5231</v>
      </c>
      <c r="V1941" t="s">
        <v>6867</v>
      </c>
      <c r="W1941" s="75" t="s">
        <v>242</v>
      </c>
      <c r="X1941" s="75" t="s">
        <v>382</v>
      </c>
      <c r="Y1941" t="s">
        <v>8308</v>
      </c>
    </row>
    <row r="1942" spans="2:25" x14ac:dyDescent="0.25">
      <c r="B1942" s="75" t="s">
        <v>11548</v>
      </c>
      <c r="C1942" s="75" t="s">
        <v>448</v>
      </c>
      <c r="D1942" t="s">
        <v>11736</v>
      </c>
      <c r="E1942" s="75" t="s">
        <v>9401</v>
      </c>
      <c r="F1942" s="216" t="s">
        <v>9899</v>
      </c>
      <c r="G1942" t="s">
        <v>10534</v>
      </c>
      <c r="H1942" s="75" t="s">
        <v>10731</v>
      </c>
      <c r="I1942" s="75" t="s">
        <v>448</v>
      </c>
      <c r="J1942" t="s">
        <v>11377</v>
      </c>
      <c r="K1942" s="74" t="s">
        <v>6089</v>
      </c>
      <c r="L1942" s="74" t="s">
        <v>308</v>
      </c>
      <c r="M1942" t="s">
        <v>6097</v>
      </c>
      <c r="N1942" s="75" t="s">
        <v>10159</v>
      </c>
      <c r="O1942" s="216" t="s">
        <v>1577</v>
      </c>
      <c r="P1942" t="s">
        <v>11277</v>
      </c>
      <c r="T1942" s="75" t="s">
        <v>1885</v>
      </c>
      <c r="U1942" s="75" t="s">
        <v>340</v>
      </c>
      <c r="V1942" t="s">
        <v>4914</v>
      </c>
      <c r="W1942" s="75" t="s">
        <v>7822</v>
      </c>
      <c r="X1942" s="75" t="s">
        <v>7716</v>
      </c>
      <c r="Y1942" t="s">
        <v>8173</v>
      </c>
    </row>
    <row r="1943" spans="2:25" x14ac:dyDescent="0.25">
      <c r="B1943" s="75" t="s">
        <v>11562</v>
      </c>
      <c r="C1943" s="75" t="s">
        <v>352</v>
      </c>
      <c r="D1943" t="s">
        <v>11697</v>
      </c>
      <c r="E1943" s="75" t="s">
        <v>8811</v>
      </c>
      <c r="F1943" s="75" t="s">
        <v>448</v>
      </c>
      <c r="G1943" t="s">
        <v>10103</v>
      </c>
      <c r="H1943" s="75" t="s">
        <v>10609</v>
      </c>
      <c r="I1943" s="216" t="s">
        <v>296</v>
      </c>
      <c r="J1943" t="s">
        <v>11202</v>
      </c>
      <c r="K1943" s="74" t="s">
        <v>6090</v>
      </c>
      <c r="L1943" s="74" t="s">
        <v>308</v>
      </c>
      <c r="M1943" t="s">
        <v>6096</v>
      </c>
      <c r="N1943" s="75" t="s">
        <v>9399</v>
      </c>
      <c r="O1943" s="75" t="s">
        <v>6932</v>
      </c>
      <c r="P1943" t="s">
        <v>9939</v>
      </c>
      <c r="T1943" s="74" t="s">
        <v>7895</v>
      </c>
      <c r="U1943" s="74" t="s">
        <v>6931</v>
      </c>
      <c r="V1943" t="s">
        <v>7918</v>
      </c>
      <c r="W1943" s="75" t="s">
        <v>5229</v>
      </c>
      <c r="X1943" s="75" t="s">
        <v>5282</v>
      </c>
      <c r="Y1943" t="s">
        <v>5656</v>
      </c>
    </row>
    <row r="1944" spans="2:25" x14ac:dyDescent="0.25">
      <c r="B1944" s="75" t="s">
        <v>11241</v>
      </c>
      <c r="C1944" s="216" t="s">
        <v>387</v>
      </c>
      <c r="D1944" t="s">
        <v>11500</v>
      </c>
      <c r="E1944" s="75" t="s">
        <v>8306</v>
      </c>
      <c r="F1944" s="75" t="s">
        <v>341</v>
      </c>
      <c r="G1944" t="s">
        <v>10070</v>
      </c>
      <c r="H1944" s="75" t="s">
        <v>10217</v>
      </c>
      <c r="I1944" s="75" t="s">
        <v>352</v>
      </c>
      <c r="J1944" t="s">
        <v>11602</v>
      </c>
      <c r="K1944" s="75" t="s">
        <v>6015</v>
      </c>
      <c r="L1944" s="75" t="s">
        <v>6928</v>
      </c>
      <c r="M1944" t="s">
        <v>7050</v>
      </c>
      <c r="N1944" s="75" t="s">
        <v>9259</v>
      </c>
      <c r="O1944" s="75" t="s">
        <v>6933</v>
      </c>
      <c r="P1944" t="s">
        <v>9662</v>
      </c>
      <c r="T1944" s="74" t="s">
        <v>7052</v>
      </c>
      <c r="U1944" s="74" t="s">
        <v>6929</v>
      </c>
      <c r="V1944" t="s">
        <v>8619</v>
      </c>
      <c r="W1944" s="75" t="s">
        <v>10260</v>
      </c>
      <c r="X1944" s="75" t="s">
        <v>274</v>
      </c>
      <c r="Y1944" t="s">
        <v>10385</v>
      </c>
    </row>
    <row r="1945" spans="2:25" x14ac:dyDescent="0.25">
      <c r="B1945" s="75" t="s">
        <v>10991</v>
      </c>
      <c r="C1945" s="75" t="s">
        <v>353</v>
      </c>
      <c r="D1945" t="s">
        <v>11115</v>
      </c>
      <c r="E1945" s="75" t="s">
        <v>8689</v>
      </c>
      <c r="F1945" s="75" t="s">
        <v>447</v>
      </c>
      <c r="G1945" t="s">
        <v>9623</v>
      </c>
      <c r="H1945" s="75" t="s">
        <v>10296</v>
      </c>
      <c r="I1945" s="216" t="s">
        <v>584</v>
      </c>
      <c r="J1945" t="s">
        <v>11045</v>
      </c>
      <c r="K1945" s="74" t="s">
        <v>7241</v>
      </c>
      <c r="L1945" s="74" t="s">
        <v>6932</v>
      </c>
      <c r="M1945" t="s">
        <v>7602</v>
      </c>
      <c r="N1945" s="75" t="s">
        <v>9098</v>
      </c>
      <c r="O1945" s="75" t="s">
        <v>352</v>
      </c>
      <c r="P1945" t="s">
        <v>9323</v>
      </c>
      <c r="T1945" s="75" t="s">
        <v>9240</v>
      </c>
      <c r="U1945" s="75" t="s">
        <v>464</v>
      </c>
      <c r="V1945" t="s">
        <v>9570</v>
      </c>
      <c r="W1945" s="75" t="s">
        <v>10251</v>
      </c>
      <c r="X1945" s="75" t="s">
        <v>1455</v>
      </c>
      <c r="Y1945" t="s">
        <v>10394</v>
      </c>
    </row>
    <row r="1946" spans="2:25" x14ac:dyDescent="0.25">
      <c r="B1946" s="75" t="s">
        <v>10977</v>
      </c>
      <c r="C1946" s="75" t="s">
        <v>342</v>
      </c>
      <c r="D1946" t="s">
        <v>11089</v>
      </c>
      <c r="E1946" s="75" t="s">
        <v>9238</v>
      </c>
      <c r="F1946" s="75" t="s">
        <v>6928</v>
      </c>
      <c r="G1946" t="s">
        <v>9907</v>
      </c>
      <c r="H1946" s="75" t="s">
        <v>10308</v>
      </c>
      <c r="I1946" s="75" t="s">
        <v>358</v>
      </c>
      <c r="J1946" t="s">
        <v>10915</v>
      </c>
      <c r="K1946" s="75" t="s">
        <v>4597</v>
      </c>
      <c r="L1946" s="75" t="s">
        <v>6929</v>
      </c>
      <c r="M1946" t="s">
        <v>7613</v>
      </c>
      <c r="N1946" s="75" t="s">
        <v>8334</v>
      </c>
      <c r="O1946" s="216" t="s">
        <v>355</v>
      </c>
      <c r="P1946" t="s">
        <v>8931</v>
      </c>
      <c r="T1946" s="74" t="s">
        <v>10081</v>
      </c>
      <c r="U1946" s="74" t="s">
        <v>474</v>
      </c>
      <c r="V1946" t="s">
        <v>10082</v>
      </c>
      <c r="W1946" s="75" t="s">
        <v>12761</v>
      </c>
      <c r="X1946" s="75" t="s">
        <v>488</v>
      </c>
      <c r="Y1946" t="s">
        <v>12979</v>
      </c>
    </row>
    <row r="1947" spans="2:25" x14ac:dyDescent="0.25">
      <c r="B1947" s="75" t="s">
        <v>10976</v>
      </c>
      <c r="C1947" s="75" t="s">
        <v>454</v>
      </c>
      <c r="D1947" t="s">
        <v>11074</v>
      </c>
      <c r="E1947" s="75" t="s">
        <v>9347</v>
      </c>
      <c r="F1947" s="75" t="s">
        <v>742</v>
      </c>
      <c r="G1947" t="s">
        <v>10007</v>
      </c>
      <c r="H1947" s="75" t="s">
        <v>9532</v>
      </c>
      <c r="I1947" s="75" t="s">
        <v>454</v>
      </c>
      <c r="J1947" t="s">
        <v>10489</v>
      </c>
      <c r="K1947" s="74" t="s">
        <v>6053</v>
      </c>
      <c r="L1947" s="74" t="s">
        <v>481</v>
      </c>
      <c r="M1947" t="s">
        <v>7634</v>
      </c>
      <c r="N1947" s="75" t="s">
        <v>7715</v>
      </c>
      <c r="O1947" s="75" t="s">
        <v>7716</v>
      </c>
      <c r="P1947" t="s">
        <v>8065</v>
      </c>
      <c r="T1947" s="75" t="s">
        <v>8137</v>
      </c>
      <c r="U1947" s="75" t="s">
        <v>597</v>
      </c>
      <c r="V1947" t="s">
        <v>10202</v>
      </c>
      <c r="W1947" s="75" t="s">
        <v>10336</v>
      </c>
      <c r="X1947" s="75" t="s">
        <v>1455</v>
      </c>
      <c r="Y1947" t="s">
        <v>10577</v>
      </c>
    </row>
    <row r="1948" spans="2:25" x14ac:dyDescent="0.25">
      <c r="B1948" s="75" t="s">
        <v>10132</v>
      </c>
      <c r="C1948" s="75" t="s">
        <v>447</v>
      </c>
      <c r="D1948" t="s">
        <v>10311</v>
      </c>
      <c r="E1948" s="75" t="s">
        <v>9532</v>
      </c>
      <c r="F1948" s="75" t="s">
        <v>454</v>
      </c>
      <c r="G1948" t="s">
        <v>10203</v>
      </c>
      <c r="H1948" s="75" t="s">
        <v>8811</v>
      </c>
      <c r="I1948" s="75" t="s">
        <v>448</v>
      </c>
      <c r="J1948" t="s">
        <v>10373</v>
      </c>
      <c r="K1948" s="75" t="s">
        <v>7424</v>
      </c>
      <c r="L1948" s="75" t="s">
        <v>655</v>
      </c>
      <c r="M1948" t="s">
        <v>8114</v>
      </c>
      <c r="N1948" s="75" t="s">
        <v>6404</v>
      </c>
      <c r="O1948" s="75" t="s">
        <v>481</v>
      </c>
      <c r="P1948" t="s">
        <v>7676</v>
      </c>
      <c r="T1948" s="74" t="s">
        <v>10734</v>
      </c>
      <c r="U1948" s="74" t="s">
        <v>359</v>
      </c>
      <c r="V1948" t="s">
        <v>10815</v>
      </c>
      <c r="W1948" s="75" t="s">
        <v>11311</v>
      </c>
      <c r="X1948" s="75" t="s">
        <v>385</v>
      </c>
      <c r="Y1948" t="s">
        <v>11520</v>
      </c>
    </row>
    <row r="1949" spans="2:25" x14ac:dyDescent="0.25">
      <c r="B1949" s="75" t="s">
        <v>10058</v>
      </c>
      <c r="C1949" s="75" t="s">
        <v>358</v>
      </c>
      <c r="D1949" t="s">
        <v>10310</v>
      </c>
      <c r="E1949" s="75" t="s">
        <v>9919</v>
      </c>
      <c r="F1949" s="75" t="s">
        <v>452</v>
      </c>
      <c r="G1949" t="s">
        <v>10256</v>
      </c>
      <c r="H1949" s="75" t="s">
        <v>8306</v>
      </c>
      <c r="I1949" s="75" t="s">
        <v>341</v>
      </c>
      <c r="J1949" t="s">
        <v>10071</v>
      </c>
      <c r="K1949" s="75" t="s">
        <v>7663</v>
      </c>
      <c r="L1949" s="75" t="s">
        <v>481</v>
      </c>
      <c r="M1949" t="s">
        <v>8191</v>
      </c>
      <c r="N1949" s="74" t="s">
        <v>6403</v>
      </c>
      <c r="O1949" s="74" t="s">
        <v>308</v>
      </c>
      <c r="P1949" t="s">
        <v>7612</v>
      </c>
      <c r="T1949" s="75" t="s">
        <v>10714</v>
      </c>
      <c r="U1949" s="75" t="s">
        <v>1808</v>
      </c>
      <c r="V1949" t="s">
        <v>10863</v>
      </c>
      <c r="W1949" s="75" t="s">
        <v>11983</v>
      </c>
      <c r="X1949" s="75" t="s">
        <v>5698</v>
      </c>
      <c r="Y1949" t="s">
        <v>12148</v>
      </c>
    </row>
    <row r="1950" spans="2:25" x14ac:dyDescent="0.25">
      <c r="B1950" s="75" t="s">
        <v>10057</v>
      </c>
      <c r="C1950" s="75" t="s">
        <v>584</v>
      </c>
      <c r="D1950" t="s">
        <v>10299</v>
      </c>
      <c r="E1950" s="75" t="s">
        <v>10308</v>
      </c>
      <c r="F1950" s="75" t="s">
        <v>358</v>
      </c>
      <c r="G1950" t="s">
        <v>10870</v>
      </c>
      <c r="H1950" s="75" t="s">
        <v>8689</v>
      </c>
      <c r="I1950" s="75" t="s">
        <v>447</v>
      </c>
      <c r="J1950" t="s">
        <v>9942</v>
      </c>
      <c r="K1950" s="75" t="s">
        <v>7678</v>
      </c>
      <c r="L1950" s="75" t="s">
        <v>6930</v>
      </c>
      <c r="M1950" t="s">
        <v>8282</v>
      </c>
      <c r="N1950" s="75" t="s">
        <v>6402</v>
      </c>
      <c r="O1950" s="75" t="s">
        <v>6934</v>
      </c>
      <c r="P1950" t="s">
        <v>7063</v>
      </c>
      <c r="T1950" s="75" t="s">
        <v>10869</v>
      </c>
      <c r="U1950" s="75" t="s">
        <v>1808</v>
      </c>
      <c r="V1950" t="s">
        <v>10922</v>
      </c>
      <c r="W1950" s="75" t="s">
        <v>11638</v>
      </c>
      <c r="X1950" s="216" t="s">
        <v>5699</v>
      </c>
      <c r="Y1950" t="s">
        <v>12102</v>
      </c>
    </row>
    <row r="1951" spans="2:25" x14ac:dyDescent="0.25">
      <c r="B1951" s="75" t="s">
        <v>9976</v>
      </c>
      <c r="C1951" s="75" t="s">
        <v>5683</v>
      </c>
      <c r="D1951" t="s">
        <v>10234</v>
      </c>
      <c r="E1951" s="75" t="s">
        <v>10609</v>
      </c>
      <c r="F1951" s="75" t="s">
        <v>296</v>
      </c>
      <c r="G1951" t="s">
        <v>11053</v>
      </c>
      <c r="H1951" s="75" t="s">
        <v>9347</v>
      </c>
      <c r="I1951" s="75" t="s">
        <v>742</v>
      </c>
      <c r="J1951" t="s">
        <v>10008</v>
      </c>
      <c r="K1951" s="75" t="s">
        <v>8076</v>
      </c>
      <c r="L1951" s="75" t="s">
        <v>6926</v>
      </c>
      <c r="M1951" t="s">
        <v>8434</v>
      </c>
      <c r="N1951" s="75" t="s">
        <v>4913</v>
      </c>
      <c r="O1951" s="75" t="s">
        <v>340</v>
      </c>
      <c r="P1951" t="s">
        <v>5479</v>
      </c>
      <c r="T1951" s="75" t="s">
        <v>11030</v>
      </c>
      <c r="U1951" s="75" t="s">
        <v>353</v>
      </c>
      <c r="V1951" t="s">
        <v>11075</v>
      </c>
      <c r="W1951" s="75" t="s">
        <v>12335</v>
      </c>
      <c r="X1951" s="216" t="s">
        <v>4068</v>
      </c>
      <c r="Y1951" t="s">
        <v>12482</v>
      </c>
    </row>
    <row r="1952" spans="2:25" x14ac:dyDescent="0.25">
      <c r="B1952" s="75" t="s">
        <v>9453</v>
      </c>
      <c r="C1952" s="75" t="s">
        <v>742</v>
      </c>
      <c r="D1952" t="s">
        <v>9671</v>
      </c>
      <c r="E1952" s="75" t="s">
        <v>10566</v>
      </c>
      <c r="F1952" s="75" t="s">
        <v>387</v>
      </c>
      <c r="G1952" t="s">
        <v>11054</v>
      </c>
      <c r="H1952" s="75" t="s">
        <v>9919</v>
      </c>
      <c r="I1952" s="75" t="s">
        <v>452</v>
      </c>
      <c r="J1952" t="s">
        <v>10433</v>
      </c>
      <c r="K1952" s="74" t="s">
        <v>8364</v>
      </c>
      <c r="L1952" s="74" t="s">
        <v>526</v>
      </c>
      <c r="M1952" t="s">
        <v>8451</v>
      </c>
      <c r="N1952" s="75" t="s">
        <v>7871</v>
      </c>
      <c r="O1952" s="75" t="s">
        <v>655</v>
      </c>
      <c r="P1952" t="s">
        <v>8038</v>
      </c>
      <c r="T1952" s="75" t="s">
        <v>10950</v>
      </c>
      <c r="U1952" s="75" t="s">
        <v>5720</v>
      </c>
      <c r="V1952" t="s">
        <v>11180</v>
      </c>
      <c r="W1952" s="75" t="s">
        <v>12440</v>
      </c>
      <c r="X1952" s="75" t="s">
        <v>447</v>
      </c>
      <c r="Y1952" t="s">
        <v>12510</v>
      </c>
    </row>
    <row r="1953" spans="2:25" x14ac:dyDescent="0.25">
      <c r="B1953" s="75" t="s">
        <v>9322</v>
      </c>
      <c r="C1953" s="75" t="s">
        <v>452</v>
      </c>
      <c r="D1953" t="s">
        <v>9531</v>
      </c>
      <c r="E1953" s="75" t="s">
        <v>9688</v>
      </c>
      <c r="F1953" s="216" t="s">
        <v>5699</v>
      </c>
      <c r="G1953" t="s">
        <v>11072</v>
      </c>
      <c r="H1953" s="75" t="s">
        <v>9401</v>
      </c>
      <c r="I1953" s="216" t="s">
        <v>9899</v>
      </c>
      <c r="J1953" t="s">
        <v>11044</v>
      </c>
      <c r="K1953" s="75" t="s">
        <v>8115</v>
      </c>
      <c r="L1953" s="75" t="s">
        <v>6928</v>
      </c>
      <c r="M1953" t="s">
        <v>8479</v>
      </c>
      <c r="N1953" s="75" t="s">
        <v>7729</v>
      </c>
      <c r="O1953" s="216" t="s">
        <v>448</v>
      </c>
      <c r="P1953" t="s">
        <v>8524</v>
      </c>
      <c r="T1953" s="75" t="s">
        <v>11877</v>
      </c>
      <c r="U1953" s="75" t="s">
        <v>474</v>
      </c>
      <c r="V1953" t="s">
        <v>12037</v>
      </c>
      <c r="W1953" s="75" t="s">
        <v>12772</v>
      </c>
      <c r="X1953" s="290" t="s">
        <v>356</v>
      </c>
      <c r="Y1953" t="s">
        <v>12857</v>
      </c>
    </row>
    <row r="1954" spans="2:25" x14ac:dyDescent="0.25">
      <c r="B1954" s="75" t="s">
        <v>9195</v>
      </c>
      <c r="C1954" s="75" t="s">
        <v>356</v>
      </c>
      <c r="D1954" t="s">
        <v>9400</v>
      </c>
      <c r="E1954" s="75" t="s">
        <v>10731</v>
      </c>
      <c r="F1954" s="75" t="s">
        <v>448</v>
      </c>
      <c r="G1954" t="s">
        <v>11315</v>
      </c>
      <c r="H1954" s="75" t="s">
        <v>10566</v>
      </c>
      <c r="I1954" s="75" t="s">
        <v>1905</v>
      </c>
      <c r="J1954" t="s">
        <v>11201</v>
      </c>
      <c r="K1954" s="75" t="s">
        <v>8178</v>
      </c>
      <c r="L1954" s="216" t="s">
        <v>6432</v>
      </c>
      <c r="M1954" t="s">
        <v>8494</v>
      </c>
      <c r="N1954" s="74" t="s">
        <v>9288</v>
      </c>
      <c r="O1954" s="74" t="s">
        <v>355</v>
      </c>
      <c r="P1954" t="s">
        <v>9289</v>
      </c>
      <c r="T1954" s="75" t="s">
        <v>11967</v>
      </c>
      <c r="U1954" s="216" t="s">
        <v>368</v>
      </c>
      <c r="V1954" t="s">
        <v>12057</v>
      </c>
      <c r="W1954" s="75" t="s">
        <v>12514</v>
      </c>
      <c r="X1954" s="75" t="s">
        <v>10758</v>
      </c>
      <c r="Y1954" t="s">
        <v>12615</v>
      </c>
    </row>
    <row r="1955" spans="2:25" x14ac:dyDescent="0.25">
      <c r="B1955" s="75" t="s">
        <v>9108</v>
      </c>
      <c r="C1955" s="75" t="s">
        <v>342</v>
      </c>
      <c r="D1955" t="s">
        <v>9346</v>
      </c>
      <c r="E1955" s="75" t="s">
        <v>11114</v>
      </c>
      <c r="F1955" s="75" t="s">
        <v>355</v>
      </c>
      <c r="G1955" t="s">
        <v>11340</v>
      </c>
      <c r="H1955" s="75" t="s">
        <v>11114</v>
      </c>
      <c r="I1955" s="75" t="s">
        <v>355</v>
      </c>
      <c r="J1955" t="s">
        <v>11355</v>
      </c>
      <c r="K1955" s="75" t="s">
        <v>7677</v>
      </c>
      <c r="L1955" s="216" t="s">
        <v>577</v>
      </c>
      <c r="M1955" t="s">
        <v>8594</v>
      </c>
      <c r="N1955" s="75" t="s">
        <v>9937</v>
      </c>
      <c r="O1955" s="75" t="s">
        <v>447</v>
      </c>
      <c r="P1955" t="s">
        <v>10129</v>
      </c>
      <c r="T1955" s="75" t="s">
        <v>10734</v>
      </c>
      <c r="U1955" s="75" t="s">
        <v>965</v>
      </c>
      <c r="V1955" t="s">
        <v>11993</v>
      </c>
      <c r="W1955" s="75" t="s">
        <v>12417</v>
      </c>
      <c r="X1955" s="75" t="s">
        <v>4068</v>
      </c>
      <c r="Y1955" t="s">
        <v>12497</v>
      </c>
    </row>
    <row r="1956" spans="2:25" x14ac:dyDescent="0.25">
      <c r="B1956" s="75" t="s">
        <v>9095</v>
      </c>
      <c r="C1956" s="75" t="s">
        <v>9096</v>
      </c>
      <c r="D1956" t="s">
        <v>9237</v>
      </c>
      <c r="E1956" s="75" t="s">
        <v>11088</v>
      </c>
      <c r="F1956" s="75" t="s">
        <v>5720</v>
      </c>
      <c r="G1956" t="s">
        <v>11341</v>
      </c>
      <c r="H1956" s="75" t="s">
        <v>11088</v>
      </c>
      <c r="I1956" s="75" t="s">
        <v>5720</v>
      </c>
      <c r="J1956" t="s">
        <v>11373</v>
      </c>
      <c r="K1956" s="75" t="s">
        <v>5942</v>
      </c>
      <c r="L1956" s="75" t="s">
        <v>6928</v>
      </c>
      <c r="M1956" t="s">
        <v>8756</v>
      </c>
      <c r="N1956" s="75" t="s">
        <v>9977</v>
      </c>
      <c r="O1956" s="75" t="s">
        <v>742</v>
      </c>
      <c r="P1956" t="s">
        <v>10727</v>
      </c>
      <c r="T1956" s="74" t="s">
        <v>11587</v>
      </c>
      <c r="U1956" s="74" t="s">
        <v>5720</v>
      </c>
      <c r="V1956" t="s">
        <v>12346</v>
      </c>
      <c r="W1956" s="75" t="s">
        <v>12147</v>
      </c>
      <c r="X1956" s="216" t="s">
        <v>8339</v>
      </c>
      <c r="Y1956" t="s">
        <v>12310</v>
      </c>
    </row>
    <row r="1957" spans="2:25" x14ac:dyDescent="0.25">
      <c r="B1957" s="75" t="s">
        <v>8585</v>
      </c>
      <c r="C1957" s="75" t="s">
        <v>448</v>
      </c>
      <c r="D1957" t="s">
        <v>8978</v>
      </c>
      <c r="E1957" s="75" t="s">
        <v>10610</v>
      </c>
      <c r="F1957" s="216" t="s">
        <v>387</v>
      </c>
      <c r="G1957" t="s">
        <v>11354</v>
      </c>
      <c r="H1957" s="75" t="s">
        <v>11811</v>
      </c>
      <c r="I1957" s="75" t="s">
        <v>342</v>
      </c>
      <c r="J1957" t="s">
        <v>12084</v>
      </c>
      <c r="K1957" s="74" t="s">
        <v>9097</v>
      </c>
      <c r="L1957" s="74" t="s">
        <v>354</v>
      </c>
      <c r="M1957" t="s">
        <v>9111</v>
      </c>
      <c r="N1957" s="74" t="s">
        <v>9805</v>
      </c>
      <c r="O1957" s="74" t="s">
        <v>7513</v>
      </c>
      <c r="P1957" t="s">
        <v>10464</v>
      </c>
      <c r="T1957" s="75" t="s">
        <v>12422</v>
      </c>
      <c r="U1957" s="216" t="s">
        <v>303</v>
      </c>
      <c r="V1957" t="s">
        <v>12532</v>
      </c>
      <c r="W1957" s="75" t="s">
        <v>12644</v>
      </c>
      <c r="X1957" s="75" t="s">
        <v>356</v>
      </c>
      <c r="Y1957" t="s">
        <v>12726</v>
      </c>
    </row>
    <row r="1958" spans="2:25" x14ac:dyDescent="0.25">
      <c r="B1958" s="75" t="s">
        <v>8454</v>
      </c>
      <c r="C1958" s="75" t="s">
        <v>447</v>
      </c>
      <c r="D1958" t="s">
        <v>8690</v>
      </c>
      <c r="E1958" s="75" t="s">
        <v>11073</v>
      </c>
      <c r="F1958" s="75" t="s">
        <v>454</v>
      </c>
      <c r="G1958" t="s">
        <v>11630</v>
      </c>
      <c r="H1958" s="75" t="s">
        <v>11383</v>
      </c>
      <c r="I1958" s="75" t="s">
        <v>452</v>
      </c>
      <c r="J1958" t="s">
        <v>12022</v>
      </c>
      <c r="K1958" s="75" t="s">
        <v>8681</v>
      </c>
      <c r="L1958" s="75" t="s">
        <v>6931</v>
      </c>
      <c r="M1958" t="s">
        <v>9185</v>
      </c>
      <c r="N1958" s="74" t="s">
        <v>9994</v>
      </c>
      <c r="O1958" s="74" t="s">
        <v>5720</v>
      </c>
      <c r="P1958" t="s">
        <v>10368</v>
      </c>
      <c r="T1958" s="75" t="s">
        <v>12573</v>
      </c>
      <c r="U1958" s="290" t="s">
        <v>452</v>
      </c>
      <c r="V1958" t="s">
        <v>12694</v>
      </c>
      <c r="W1958" s="75" t="s">
        <v>12673</v>
      </c>
      <c r="X1958" s="75" t="s">
        <v>6926</v>
      </c>
      <c r="Y1958" t="s">
        <v>12725</v>
      </c>
    </row>
    <row r="1959" spans="2:25" x14ac:dyDescent="0.25">
      <c r="B1959" s="75" t="s">
        <v>8284</v>
      </c>
      <c r="C1959" s="75" t="s">
        <v>655</v>
      </c>
      <c r="D1959" t="s">
        <v>8307</v>
      </c>
      <c r="E1959" s="75" t="s">
        <v>11125</v>
      </c>
      <c r="F1959" s="75" t="s">
        <v>5717</v>
      </c>
      <c r="G1959" t="s">
        <v>11600</v>
      </c>
      <c r="H1959" s="75" t="s">
        <v>11501</v>
      </c>
      <c r="I1959" s="216" t="s">
        <v>387</v>
      </c>
      <c r="J1959" t="s">
        <v>12015</v>
      </c>
      <c r="K1959" s="74" t="s">
        <v>8495</v>
      </c>
      <c r="L1959" s="74" t="s">
        <v>6930</v>
      </c>
      <c r="M1959" t="s">
        <v>9320</v>
      </c>
      <c r="N1959" s="75" t="s">
        <v>10321</v>
      </c>
      <c r="O1959" s="75" t="s">
        <v>5921</v>
      </c>
      <c r="P1959" t="s">
        <v>10529</v>
      </c>
      <c r="T1959" s="75" t="s">
        <v>12746</v>
      </c>
      <c r="U1959" s="75" t="s">
        <v>5</v>
      </c>
      <c r="V1959" t="s">
        <v>12920</v>
      </c>
      <c r="W1959" s="74" t="s">
        <v>12706</v>
      </c>
      <c r="X1959" s="74" t="s">
        <v>488</v>
      </c>
      <c r="Y1959" t="s">
        <v>12777</v>
      </c>
    </row>
    <row r="1960" spans="2:25" x14ac:dyDescent="0.25">
      <c r="B1960" s="74" t="s">
        <v>8148</v>
      </c>
      <c r="C1960" s="74" t="s">
        <v>5231</v>
      </c>
      <c r="D1960" t="s">
        <v>8283</v>
      </c>
      <c r="E1960" s="75" t="s">
        <v>11116</v>
      </c>
      <c r="F1960" s="75" t="s">
        <v>453</v>
      </c>
      <c r="G1960" t="s">
        <v>11657</v>
      </c>
      <c r="H1960" s="75" t="s">
        <v>12004</v>
      </c>
      <c r="I1960" s="75" t="s">
        <v>352</v>
      </c>
      <c r="J1960" t="s">
        <v>12233</v>
      </c>
      <c r="K1960" s="75" t="s">
        <v>9163</v>
      </c>
      <c r="L1960" s="75" t="s">
        <v>353</v>
      </c>
      <c r="M1960" t="s">
        <v>9501</v>
      </c>
      <c r="N1960" s="75" t="s">
        <v>10322</v>
      </c>
      <c r="O1960" s="75" t="s">
        <v>341</v>
      </c>
      <c r="P1960" t="s">
        <v>10550</v>
      </c>
      <c r="T1960" s="74" t="s">
        <v>10695</v>
      </c>
      <c r="U1960" s="74" t="s">
        <v>475</v>
      </c>
      <c r="V1960" t="s">
        <v>13041</v>
      </c>
      <c r="W1960" s="75" t="s">
        <v>11667</v>
      </c>
      <c r="X1960" s="75" t="s">
        <v>511</v>
      </c>
      <c r="Y1960" t="s">
        <v>12838</v>
      </c>
    </row>
    <row r="1961" spans="2:25" x14ac:dyDescent="0.25">
      <c r="B1961" s="75" t="s">
        <v>9362</v>
      </c>
      <c r="C1961" s="75" t="s">
        <v>454</v>
      </c>
      <c r="D1961" t="s">
        <v>9530</v>
      </c>
      <c r="E1961" s="75" t="s">
        <v>11090</v>
      </c>
      <c r="F1961" s="75" t="s">
        <v>342</v>
      </c>
      <c r="G1961" t="s">
        <v>11680</v>
      </c>
      <c r="H1961" s="75" t="s">
        <v>12028</v>
      </c>
      <c r="I1961" s="75" t="s">
        <v>6980</v>
      </c>
      <c r="J1961" t="s">
        <v>12292</v>
      </c>
      <c r="K1961" s="75" t="s">
        <v>9325</v>
      </c>
      <c r="L1961" s="75" t="s">
        <v>6930</v>
      </c>
      <c r="M1961" t="s">
        <v>9324</v>
      </c>
      <c r="N1961" s="74" t="s">
        <v>10492</v>
      </c>
      <c r="O1961" s="74" t="s">
        <v>5720</v>
      </c>
      <c r="P1961" t="s">
        <v>10551</v>
      </c>
      <c r="T1961" s="75" t="s">
        <v>12110</v>
      </c>
      <c r="U1961" s="216" t="s">
        <v>12070</v>
      </c>
      <c r="V1961" t="s">
        <v>13109</v>
      </c>
      <c r="W1961" s="75" t="s">
        <v>12169</v>
      </c>
      <c r="X1961" s="75" t="s">
        <v>274</v>
      </c>
      <c r="Y1961" t="s">
        <v>12251</v>
      </c>
    </row>
    <row r="1962" spans="2:25" x14ac:dyDescent="0.25">
      <c r="B1962" s="75" t="s">
        <v>10069</v>
      </c>
      <c r="C1962" s="75" t="s">
        <v>742</v>
      </c>
      <c r="D1962" t="s">
        <v>10068</v>
      </c>
      <c r="E1962" s="75" t="s">
        <v>11696</v>
      </c>
      <c r="F1962" s="75" t="s">
        <v>352</v>
      </c>
      <c r="G1962" t="s">
        <v>11796</v>
      </c>
      <c r="H1962" s="75" t="s">
        <v>12115</v>
      </c>
      <c r="I1962" s="216" t="s">
        <v>12072</v>
      </c>
      <c r="J1962" t="s">
        <v>12326</v>
      </c>
      <c r="K1962" s="75" t="s">
        <v>9287</v>
      </c>
      <c r="L1962" s="216" t="s">
        <v>475</v>
      </c>
      <c r="M1962" t="s">
        <v>9555</v>
      </c>
      <c r="N1962" s="75" t="s">
        <v>10052</v>
      </c>
      <c r="O1962" s="75" t="s">
        <v>353</v>
      </c>
      <c r="P1962" t="s">
        <v>10574</v>
      </c>
      <c r="T1962" s="74" t="s">
        <v>10950</v>
      </c>
      <c r="U1962" s="74" t="s">
        <v>1369</v>
      </c>
      <c r="V1962" t="s">
        <v>13239</v>
      </c>
      <c r="W1962" s="74" t="s">
        <v>12540</v>
      </c>
      <c r="X1962" s="290" t="s">
        <v>6954</v>
      </c>
      <c r="Y1962" t="s">
        <v>12856</v>
      </c>
    </row>
    <row r="1963" spans="2:25" x14ac:dyDescent="0.25">
      <c r="B1963" s="75" t="s">
        <v>10491</v>
      </c>
      <c r="C1963" s="75" t="s">
        <v>454</v>
      </c>
      <c r="D1963" t="s">
        <v>10611</v>
      </c>
      <c r="E1963" s="75" t="s">
        <v>11760</v>
      </c>
      <c r="F1963" s="75" t="s">
        <v>5717</v>
      </c>
      <c r="G1963" t="s">
        <v>11888</v>
      </c>
      <c r="H1963" s="75" t="s">
        <v>12085</v>
      </c>
      <c r="I1963" s="216" t="s">
        <v>387</v>
      </c>
      <c r="J1963" t="s">
        <v>12389</v>
      </c>
      <c r="K1963" s="74" t="s">
        <v>9569</v>
      </c>
      <c r="L1963" s="74" t="s">
        <v>353</v>
      </c>
      <c r="M1963" t="s">
        <v>9620</v>
      </c>
      <c r="N1963" s="75" t="s">
        <v>10339</v>
      </c>
      <c r="O1963" s="75" t="s">
        <v>464</v>
      </c>
      <c r="P1963" t="s">
        <v>12046</v>
      </c>
      <c r="T1963" s="75" t="s">
        <v>13114</v>
      </c>
      <c r="U1963" s="75" t="s">
        <v>6954</v>
      </c>
      <c r="V1963" t="s">
        <v>13242</v>
      </c>
      <c r="W1963" s="75" t="s">
        <v>12860</v>
      </c>
      <c r="X1963" s="75" t="s">
        <v>4155</v>
      </c>
      <c r="Y1963" t="s">
        <v>13014</v>
      </c>
    </row>
    <row r="1964" spans="2:25" x14ac:dyDescent="0.25">
      <c r="B1964" s="75" t="s">
        <v>10387</v>
      </c>
      <c r="C1964" s="75" t="s">
        <v>296</v>
      </c>
      <c r="D1964" t="s">
        <v>10640</v>
      </c>
      <c r="E1964" s="75" t="s">
        <v>11267</v>
      </c>
      <c r="F1964" s="75" t="s">
        <v>341</v>
      </c>
      <c r="G1964" t="s">
        <v>11862</v>
      </c>
      <c r="H1964" s="75" t="s">
        <v>10794</v>
      </c>
      <c r="I1964" s="216" t="s">
        <v>303</v>
      </c>
      <c r="J1964" t="s">
        <v>12421</v>
      </c>
      <c r="K1964" s="74" t="s">
        <v>6107</v>
      </c>
      <c r="L1964" s="74" t="s">
        <v>447</v>
      </c>
      <c r="M1964" t="s">
        <v>9860</v>
      </c>
      <c r="N1964" s="75" t="s">
        <v>9259</v>
      </c>
      <c r="O1964" s="75" t="s">
        <v>342</v>
      </c>
      <c r="P1964" t="s">
        <v>10679</v>
      </c>
      <c r="T1964" s="75" t="s">
        <v>12479</v>
      </c>
      <c r="U1964" s="290" t="s">
        <v>10758</v>
      </c>
      <c r="V1964" t="s">
        <v>12511</v>
      </c>
      <c r="W1964" s="75" t="s">
        <v>12946</v>
      </c>
      <c r="X1964" s="75" t="s">
        <v>6954</v>
      </c>
      <c r="Y1964" t="s">
        <v>13010</v>
      </c>
    </row>
    <row r="1965" spans="2:25" x14ac:dyDescent="0.25">
      <c r="B1965" s="75" t="s">
        <v>10499</v>
      </c>
      <c r="C1965" s="75" t="s">
        <v>464</v>
      </c>
      <c r="D1965" t="s">
        <v>10732</v>
      </c>
      <c r="E1965" s="75" t="s">
        <v>11383</v>
      </c>
      <c r="F1965" s="75" t="s">
        <v>452</v>
      </c>
      <c r="G1965" t="s">
        <v>11963</v>
      </c>
      <c r="H1965" s="75" t="s">
        <v>11116</v>
      </c>
      <c r="I1965" s="75" t="s">
        <v>10890</v>
      </c>
      <c r="J1965" t="s">
        <v>12356</v>
      </c>
      <c r="K1965" s="75" t="s">
        <v>9619</v>
      </c>
      <c r="L1965" s="75" t="s">
        <v>742</v>
      </c>
      <c r="M1965" t="s">
        <v>9958</v>
      </c>
      <c r="N1965" s="75" t="s">
        <v>10645</v>
      </c>
      <c r="O1965" s="75" t="s">
        <v>862</v>
      </c>
      <c r="P1965" t="s">
        <v>10685</v>
      </c>
      <c r="T1965" s="75" t="s">
        <v>11587</v>
      </c>
      <c r="U1965" s="216" t="s">
        <v>5720</v>
      </c>
      <c r="V1965" t="s">
        <v>12509</v>
      </c>
      <c r="W1965" s="74" t="s">
        <v>13020</v>
      </c>
      <c r="X1965" s="74" t="s">
        <v>1606</v>
      </c>
      <c r="Y1965" t="s">
        <v>13240</v>
      </c>
    </row>
    <row r="1966" spans="2:25" x14ac:dyDescent="0.25">
      <c r="B1966" s="75" t="s">
        <v>10686</v>
      </c>
      <c r="C1966" s="216" t="s">
        <v>356</v>
      </c>
      <c r="D1966" t="s">
        <v>11382</v>
      </c>
      <c r="E1966" s="75" t="s">
        <v>11918</v>
      </c>
      <c r="F1966" s="75" t="s">
        <v>488</v>
      </c>
      <c r="G1966" t="s">
        <v>11989</v>
      </c>
      <c r="H1966" s="75" t="s">
        <v>12267</v>
      </c>
      <c r="I1966" s="75" t="s">
        <v>448</v>
      </c>
      <c r="J1966" t="s">
        <v>12581</v>
      </c>
      <c r="K1966" s="75" t="s">
        <v>8584</v>
      </c>
      <c r="L1966" s="75" t="s">
        <v>353</v>
      </c>
      <c r="M1966" t="s">
        <v>10119</v>
      </c>
      <c r="N1966" s="75" t="s">
        <v>10475</v>
      </c>
      <c r="O1966" s="216" t="s">
        <v>5921</v>
      </c>
      <c r="P1966" t="s">
        <v>10696</v>
      </c>
      <c r="T1966" s="75" t="s">
        <v>12406</v>
      </c>
      <c r="U1966" s="75" t="s">
        <v>6980</v>
      </c>
      <c r="V1966" t="s">
        <v>13787</v>
      </c>
      <c r="W1966" s="75" t="s">
        <v>13345</v>
      </c>
      <c r="X1966" s="75" t="s">
        <v>12672</v>
      </c>
      <c r="Y1966" t="s">
        <v>13383</v>
      </c>
    </row>
    <row r="1967" spans="2:25" x14ac:dyDescent="0.25">
      <c r="B1967" s="75" t="s">
        <v>10613</v>
      </c>
      <c r="C1967" s="75" t="s">
        <v>464</v>
      </c>
      <c r="D1967" t="s">
        <v>10800</v>
      </c>
      <c r="E1967" s="75" t="s">
        <v>11501</v>
      </c>
      <c r="F1967" s="216" t="s">
        <v>387</v>
      </c>
      <c r="G1967" t="s">
        <v>11962</v>
      </c>
      <c r="H1967" s="75" t="s">
        <v>11073</v>
      </c>
      <c r="I1967" s="75" t="s">
        <v>355</v>
      </c>
      <c r="J1967" t="s">
        <v>12308</v>
      </c>
      <c r="K1967" s="75" t="s">
        <v>10059</v>
      </c>
      <c r="L1967" s="75" t="s">
        <v>359</v>
      </c>
      <c r="M1967" t="s">
        <v>10130</v>
      </c>
      <c r="N1967" s="75" t="s">
        <v>10588</v>
      </c>
      <c r="O1967" s="75" t="s">
        <v>474</v>
      </c>
      <c r="P1967" t="s">
        <v>10725</v>
      </c>
      <c r="T1967" s="75" t="s">
        <v>13644</v>
      </c>
      <c r="U1967" s="75" t="s">
        <v>6954</v>
      </c>
      <c r="V1967" t="s">
        <v>13728</v>
      </c>
      <c r="W1967" s="75" t="s">
        <v>5956</v>
      </c>
      <c r="X1967" s="75" t="s">
        <v>12672</v>
      </c>
      <c r="Y1967" t="s">
        <v>13174</v>
      </c>
    </row>
    <row r="1968" spans="2:25" x14ac:dyDescent="0.25">
      <c r="B1968" s="75" t="s">
        <v>10600</v>
      </c>
      <c r="C1968" s="75" t="s">
        <v>5698</v>
      </c>
      <c r="D1968" t="s">
        <v>10795</v>
      </c>
      <c r="E1968" s="75" t="s">
        <v>11783</v>
      </c>
      <c r="F1968" s="75" t="s">
        <v>355</v>
      </c>
      <c r="G1968" t="s">
        <v>11855</v>
      </c>
      <c r="H1968" s="75" t="s">
        <v>11114</v>
      </c>
      <c r="I1968" s="75" t="s">
        <v>488</v>
      </c>
      <c r="J1968" t="s">
        <v>12679</v>
      </c>
      <c r="K1968" s="75" t="s">
        <v>9581</v>
      </c>
      <c r="L1968" s="75" t="s">
        <v>474</v>
      </c>
      <c r="M1968" t="s">
        <v>10330</v>
      </c>
      <c r="N1968" s="75" t="s">
        <v>9920</v>
      </c>
      <c r="O1968" s="216" t="s">
        <v>341</v>
      </c>
      <c r="P1968" t="s">
        <v>10333</v>
      </c>
      <c r="T1968" s="75" t="s">
        <v>14122</v>
      </c>
      <c r="U1968" s="290" t="s">
        <v>6954</v>
      </c>
      <c r="V1968" t="s">
        <v>14184</v>
      </c>
      <c r="W1968" s="75" t="s">
        <v>13019</v>
      </c>
      <c r="X1968" s="75" t="s">
        <v>12672</v>
      </c>
      <c r="Y1968" t="s">
        <v>13169</v>
      </c>
    </row>
    <row r="1969" spans="2:25" x14ac:dyDescent="0.25">
      <c r="B1969" s="75" t="s">
        <v>10381</v>
      </c>
      <c r="C1969" s="75" t="s">
        <v>296</v>
      </c>
      <c r="D1969" t="s">
        <v>10628</v>
      </c>
      <c r="E1969" s="75" t="s">
        <v>11811</v>
      </c>
      <c r="F1969" s="75" t="s">
        <v>342</v>
      </c>
      <c r="G1969" t="s">
        <v>12077</v>
      </c>
      <c r="H1969" s="75" t="s">
        <v>12371</v>
      </c>
      <c r="I1969" s="216" t="s">
        <v>12070</v>
      </c>
      <c r="J1969" t="s">
        <v>12678</v>
      </c>
      <c r="K1969" s="75" t="s">
        <v>9311</v>
      </c>
      <c r="L1969" s="216" t="s">
        <v>597</v>
      </c>
      <c r="M1969" t="s">
        <v>10331</v>
      </c>
      <c r="N1969" s="75" t="s">
        <v>10486</v>
      </c>
      <c r="O1969" s="75" t="s">
        <v>452</v>
      </c>
      <c r="P1969" t="s">
        <v>10786</v>
      </c>
      <c r="T1969" s="75" t="s">
        <v>14436</v>
      </c>
      <c r="U1969" s="75" t="s">
        <v>6954</v>
      </c>
      <c r="V1969" t="s">
        <v>14478</v>
      </c>
      <c r="W1969" s="74" t="s">
        <v>13496</v>
      </c>
      <c r="X1969" s="290" t="s">
        <v>13403</v>
      </c>
      <c r="Y1969" t="s">
        <v>13559</v>
      </c>
    </row>
    <row r="1970" spans="2:25" x14ac:dyDescent="0.25">
      <c r="B1970" s="75" t="s">
        <v>10990</v>
      </c>
      <c r="C1970" s="75" t="s">
        <v>488</v>
      </c>
      <c r="D1970" t="s">
        <v>11113</v>
      </c>
      <c r="E1970" s="75" t="s">
        <v>11409</v>
      </c>
      <c r="F1970" s="75" t="s">
        <v>742</v>
      </c>
      <c r="G1970" t="s">
        <v>11623</v>
      </c>
      <c r="H1970" s="75" t="s">
        <v>12915</v>
      </c>
      <c r="I1970" s="290" t="s">
        <v>10758</v>
      </c>
      <c r="J1970" t="s">
        <v>12982</v>
      </c>
      <c r="K1970" s="74" t="s">
        <v>10446</v>
      </c>
      <c r="L1970" s="74" t="s">
        <v>10131</v>
      </c>
      <c r="M1970" t="s">
        <v>10412</v>
      </c>
      <c r="N1970" s="75" t="s">
        <v>10361</v>
      </c>
      <c r="O1970" s="75" t="s">
        <v>862</v>
      </c>
      <c r="P1970" t="s">
        <v>11721</v>
      </c>
      <c r="T1970" s="75" t="s">
        <v>13446</v>
      </c>
      <c r="U1970" s="75" t="s">
        <v>4155</v>
      </c>
      <c r="V1970" t="s">
        <v>14470</v>
      </c>
      <c r="W1970" s="75" t="s">
        <v>13465</v>
      </c>
      <c r="X1970" s="75" t="s">
        <v>6216</v>
      </c>
      <c r="Y1970" t="s">
        <v>13805</v>
      </c>
    </row>
    <row r="1971" spans="2:25" x14ac:dyDescent="0.25">
      <c r="B1971" s="75" t="s">
        <v>11149</v>
      </c>
      <c r="C1971" s="75" t="s">
        <v>5720</v>
      </c>
      <c r="D1971" t="s">
        <v>11150</v>
      </c>
      <c r="E1971" s="75" t="s">
        <v>10799</v>
      </c>
      <c r="F1971" s="75" t="s">
        <v>464</v>
      </c>
      <c r="G1971" t="s">
        <v>11618</v>
      </c>
      <c r="H1971" s="74" t="s">
        <v>10217</v>
      </c>
      <c r="I1971" s="216" t="s">
        <v>12984</v>
      </c>
      <c r="J1971" t="s">
        <v>13027</v>
      </c>
      <c r="K1971" s="74" t="s">
        <v>10409</v>
      </c>
      <c r="L1971" s="74" t="s">
        <v>452</v>
      </c>
      <c r="M1971" t="s">
        <v>10439</v>
      </c>
      <c r="N1971" s="75" t="s">
        <v>10806</v>
      </c>
      <c r="O1971" s="75" t="s">
        <v>452</v>
      </c>
      <c r="P1971" t="s">
        <v>10907</v>
      </c>
      <c r="T1971" s="75" t="s">
        <v>13511</v>
      </c>
      <c r="U1971" s="364" t="s">
        <v>6954</v>
      </c>
      <c r="V1971" t="s">
        <v>13689</v>
      </c>
      <c r="W1971" s="75" t="s">
        <v>13419</v>
      </c>
      <c r="X1971" s="75" t="s">
        <v>340</v>
      </c>
      <c r="Y1971" t="s">
        <v>13537</v>
      </c>
    </row>
    <row r="1972" spans="2:25" x14ac:dyDescent="0.25">
      <c r="B1972" s="75" t="s">
        <v>11057</v>
      </c>
      <c r="C1972" s="75" t="s">
        <v>341</v>
      </c>
      <c r="D1972" t="s">
        <v>11207</v>
      </c>
      <c r="E1972" s="75" t="s">
        <v>11735</v>
      </c>
      <c r="F1972" s="75" t="s">
        <v>448</v>
      </c>
      <c r="G1972" t="s">
        <v>11818</v>
      </c>
      <c r="H1972" s="75" t="s">
        <v>12415</v>
      </c>
      <c r="I1972" s="216" t="s">
        <v>4068</v>
      </c>
      <c r="J1972" t="s">
        <v>12960</v>
      </c>
      <c r="K1972" s="74" t="s">
        <v>10084</v>
      </c>
      <c r="L1972" s="74" t="s">
        <v>464</v>
      </c>
      <c r="M1972" t="s">
        <v>10485</v>
      </c>
      <c r="N1972" s="74" t="s">
        <v>10052</v>
      </c>
      <c r="O1972" s="75" t="s">
        <v>342</v>
      </c>
      <c r="P1972" t="s">
        <v>11757</v>
      </c>
      <c r="T1972" s="75" t="s">
        <v>14622</v>
      </c>
      <c r="U1972" s="75" t="s">
        <v>12071</v>
      </c>
      <c r="V1972" t="s">
        <v>14735</v>
      </c>
      <c r="W1972" s="75" t="s">
        <v>13744</v>
      </c>
      <c r="X1972" s="75" t="s">
        <v>12547</v>
      </c>
      <c r="Y1972" t="s">
        <v>13863</v>
      </c>
    </row>
    <row r="1973" spans="2:25" x14ac:dyDescent="0.25">
      <c r="B1973" s="75" t="s">
        <v>10854</v>
      </c>
      <c r="C1973" s="75" t="s">
        <v>5717</v>
      </c>
      <c r="D1973" t="s">
        <v>11126</v>
      </c>
      <c r="E1973" s="75" t="s">
        <v>10309</v>
      </c>
      <c r="F1973" s="75" t="s">
        <v>447</v>
      </c>
      <c r="G1973" t="s">
        <v>11628</v>
      </c>
      <c r="H1973" s="75" t="s">
        <v>12641</v>
      </c>
      <c r="I1973" s="75" t="s">
        <v>12072</v>
      </c>
      <c r="J1973" t="s">
        <v>13227</v>
      </c>
      <c r="K1973" s="75" t="s">
        <v>10449</v>
      </c>
      <c r="L1973" s="75" t="s">
        <v>452</v>
      </c>
      <c r="M1973" t="s">
        <v>10487</v>
      </c>
      <c r="N1973" s="75" t="s">
        <v>10744</v>
      </c>
      <c r="O1973" s="216" t="s">
        <v>551</v>
      </c>
      <c r="P1973" t="s">
        <v>11023</v>
      </c>
      <c r="T1973" s="74" t="s">
        <v>14798</v>
      </c>
      <c r="U1973" s="74" t="s">
        <v>14799</v>
      </c>
      <c r="V1973" t="s">
        <v>14870</v>
      </c>
      <c r="W1973" s="75" t="s">
        <v>12799</v>
      </c>
      <c r="X1973" s="75" t="s">
        <v>6980</v>
      </c>
      <c r="Y1973" t="s">
        <v>12980</v>
      </c>
    </row>
    <row r="1974" spans="2:25" x14ac:dyDescent="0.25">
      <c r="B1974" s="75" t="s">
        <v>11304</v>
      </c>
      <c r="C1974" s="75" t="s">
        <v>742</v>
      </c>
      <c r="D1974" t="s">
        <v>11408</v>
      </c>
      <c r="E1974" s="75" t="s">
        <v>10296</v>
      </c>
      <c r="F1974" s="75" t="s">
        <v>584</v>
      </c>
      <c r="G1974" t="s">
        <v>10942</v>
      </c>
      <c r="H1974" s="75" t="s">
        <v>12049</v>
      </c>
      <c r="I1974" s="75" t="s">
        <v>464</v>
      </c>
      <c r="J1974" t="s">
        <v>13358</v>
      </c>
      <c r="K1974" s="75" t="s">
        <v>10476</v>
      </c>
      <c r="L1974" s="75" t="s">
        <v>6926</v>
      </c>
      <c r="M1974" t="s">
        <v>10606</v>
      </c>
      <c r="N1974" s="75" t="s">
        <v>10688</v>
      </c>
      <c r="O1974" s="75" t="s">
        <v>742</v>
      </c>
      <c r="P1974" t="s">
        <v>11096</v>
      </c>
      <c r="W1974" s="74" t="s">
        <v>14288</v>
      </c>
      <c r="X1974" s="74" t="s">
        <v>1507</v>
      </c>
      <c r="Y1974" t="s">
        <v>14334</v>
      </c>
    </row>
    <row r="1975" spans="2:25" x14ac:dyDescent="0.25">
      <c r="B1975" s="75" t="s">
        <v>11813</v>
      </c>
      <c r="C1975" s="75" t="s">
        <v>356</v>
      </c>
      <c r="D1975" t="s">
        <v>11891</v>
      </c>
      <c r="E1975" s="75" t="s">
        <v>11073</v>
      </c>
      <c r="F1975" s="75" t="s">
        <v>355</v>
      </c>
      <c r="G1975" t="s">
        <v>12249</v>
      </c>
      <c r="H1975" s="75" t="s">
        <v>13180</v>
      </c>
      <c r="I1975" s="75" t="s">
        <v>340</v>
      </c>
      <c r="J1975" t="s">
        <v>13418</v>
      </c>
      <c r="K1975" s="75" t="s">
        <v>10614</v>
      </c>
      <c r="L1975" s="75" t="s">
        <v>454</v>
      </c>
      <c r="M1975" t="s">
        <v>10678</v>
      </c>
      <c r="N1975" s="74" t="s">
        <v>11120</v>
      </c>
      <c r="O1975" s="74" t="s">
        <v>474</v>
      </c>
      <c r="P1975" t="s">
        <v>11173</v>
      </c>
      <c r="W1975" s="75" t="s">
        <v>14002</v>
      </c>
      <c r="X1975" s="290" t="s">
        <v>14243</v>
      </c>
      <c r="Y1975" t="s">
        <v>14333</v>
      </c>
    </row>
    <row r="1976" spans="2:25" x14ac:dyDescent="0.25">
      <c r="B1976" s="75" t="s">
        <v>11694</v>
      </c>
      <c r="C1976" s="75" t="s">
        <v>342</v>
      </c>
      <c r="D1976" t="s">
        <v>11812</v>
      </c>
      <c r="E1976" s="75" t="s">
        <v>12112</v>
      </c>
      <c r="F1976" s="75" t="s">
        <v>862</v>
      </c>
      <c r="G1976" t="s">
        <v>12291</v>
      </c>
      <c r="H1976" s="75" t="s">
        <v>12700</v>
      </c>
      <c r="I1976" s="75" t="s">
        <v>4068</v>
      </c>
      <c r="J1976" t="s">
        <v>13474</v>
      </c>
      <c r="K1976" s="75" t="s">
        <v>10498</v>
      </c>
      <c r="L1976" s="75" t="s">
        <v>742</v>
      </c>
      <c r="M1976" t="s">
        <v>10687</v>
      </c>
      <c r="N1976" s="75" t="s">
        <v>11027</v>
      </c>
      <c r="O1976" s="216" t="s">
        <v>862</v>
      </c>
      <c r="P1976" t="s">
        <v>11235</v>
      </c>
      <c r="W1976" s="75" t="s">
        <v>14384</v>
      </c>
      <c r="X1976" s="75" t="s">
        <v>14316</v>
      </c>
      <c r="Y1976" t="s">
        <v>14653</v>
      </c>
    </row>
    <row r="1977" spans="2:25" x14ac:dyDescent="0.25">
      <c r="B1977" s="75" t="s">
        <v>11838</v>
      </c>
      <c r="C1977" s="75" t="s">
        <v>488</v>
      </c>
      <c r="D1977" t="s">
        <v>11919</v>
      </c>
      <c r="E1977" s="75" t="s">
        <v>11114</v>
      </c>
      <c r="F1977" s="75" t="s">
        <v>488</v>
      </c>
      <c r="G1977" t="s">
        <v>12627</v>
      </c>
      <c r="H1977" s="75" t="s">
        <v>11501</v>
      </c>
      <c r="I1977" s="75" t="s">
        <v>12070</v>
      </c>
      <c r="J1977" t="s">
        <v>13643</v>
      </c>
      <c r="K1977" s="75" t="s">
        <v>10332</v>
      </c>
      <c r="L1977" s="75" t="s">
        <v>597</v>
      </c>
      <c r="M1977" t="s">
        <v>10706</v>
      </c>
      <c r="N1977" s="75" t="s">
        <v>10867</v>
      </c>
      <c r="O1977" s="216" t="s">
        <v>862</v>
      </c>
      <c r="P1977" t="s">
        <v>11720</v>
      </c>
    </row>
    <row r="1978" spans="2:25" x14ac:dyDescent="0.25">
      <c r="B1978" s="75" t="s">
        <v>10976</v>
      </c>
      <c r="C1978" s="75" t="s">
        <v>355</v>
      </c>
      <c r="D1978" t="s">
        <v>11975</v>
      </c>
      <c r="E1978" s="75" t="s">
        <v>12371</v>
      </c>
      <c r="F1978" s="290" t="s">
        <v>12070</v>
      </c>
      <c r="G1978" t="s">
        <v>12611</v>
      </c>
      <c r="H1978" s="75" t="s">
        <v>12553</v>
      </c>
      <c r="I1978" s="75" t="s">
        <v>367</v>
      </c>
      <c r="J1978" t="s">
        <v>13175</v>
      </c>
      <c r="K1978" s="74" t="s">
        <v>10589</v>
      </c>
      <c r="L1978" s="216" t="s">
        <v>10131</v>
      </c>
      <c r="M1978" t="s">
        <v>10733</v>
      </c>
      <c r="N1978" s="75" t="s">
        <v>11013</v>
      </c>
      <c r="O1978" s="75" t="s">
        <v>742</v>
      </c>
      <c r="P1978" t="s">
        <v>11181</v>
      </c>
    </row>
    <row r="1979" spans="2:25" x14ac:dyDescent="0.25">
      <c r="B1979" s="75" t="s">
        <v>11876</v>
      </c>
      <c r="C1979" s="75" t="s">
        <v>6980</v>
      </c>
      <c r="D1979" t="s">
        <v>12029</v>
      </c>
      <c r="E1979" s="75" t="s">
        <v>12267</v>
      </c>
      <c r="F1979" s="75" t="s">
        <v>448</v>
      </c>
      <c r="G1979" t="s">
        <v>12554</v>
      </c>
      <c r="H1979" s="74" t="s">
        <v>13381</v>
      </c>
      <c r="I1979" s="74" t="s">
        <v>5</v>
      </c>
      <c r="J1979" t="s">
        <v>13785</v>
      </c>
      <c r="K1979" s="75" t="s">
        <v>10675</v>
      </c>
      <c r="L1979" s="75" t="s">
        <v>342</v>
      </c>
      <c r="M1979" t="s">
        <v>10760</v>
      </c>
      <c r="N1979" s="74" t="s">
        <v>9399</v>
      </c>
      <c r="O1979" s="74" t="s">
        <v>862</v>
      </c>
      <c r="P1979" t="s">
        <v>11508</v>
      </c>
    </row>
    <row r="1980" spans="2:25" x14ac:dyDescent="0.25">
      <c r="B1980" s="75" t="s">
        <v>11910</v>
      </c>
      <c r="C1980" s="75" t="s">
        <v>352</v>
      </c>
      <c r="D1980" t="s">
        <v>12005</v>
      </c>
      <c r="E1980" s="75" t="s">
        <v>12641</v>
      </c>
      <c r="F1980" s="290" t="s">
        <v>12072</v>
      </c>
      <c r="G1980" t="s">
        <v>13140</v>
      </c>
      <c r="H1980" s="75" t="s">
        <v>13713</v>
      </c>
      <c r="I1980" s="75" t="s">
        <v>4068</v>
      </c>
      <c r="J1980" t="s">
        <v>14183</v>
      </c>
      <c r="K1980" s="75" t="s">
        <v>10043</v>
      </c>
      <c r="L1980" s="75" t="s">
        <v>862</v>
      </c>
      <c r="M1980" t="s">
        <v>10958</v>
      </c>
      <c r="N1980" s="74" t="s">
        <v>11254</v>
      </c>
      <c r="O1980" s="216" t="s">
        <v>448</v>
      </c>
      <c r="P1980" t="s">
        <v>11554</v>
      </c>
    </row>
    <row r="1981" spans="2:25" x14ac:dyDescent="0.25">
      <c r="B1981" s="75" t="s">
        <v>11875</v>
      </c>
      <c r="C1981" s="75" t="s">
        <v>464</v>
      </c>
      <c r="D1981" t="s">
        <v>12050</v>
      </c>
      <c r="E1981" s="75" t="s">
        <v>12049</v>
      </c>
      <c r="F1981" s="75" t="s">
        <v>464</v>
      </c>
      <c r="G1981" t="s">
        <v>13299</v>
      </c>
      <c r="H1981" s="75" t="s">
        <v>13943</v>
      </c>
      <c r="I1981" s="75" t="s">
        <v>12071</v>
      </c>
      <c r="J1981" t="s">
        <v>14077</v>
      </c>
      <c r="K1981" s="75" t="s">
        <v>10930</v>
      </c>
      <c r="L1981" s="75" t="s">
        <v>359</v>
      </c>
      <c r="M1981" t="s">
        <v>11026</v>
      </c>
      <c r="N1981" s="75" t="s">
        <v>11419</v>
      </c>
      <c r="O1981" s="216" t="s">
        <v>474</v>
      </c>
      <c r="P1981" t="s">
        <v>11586</v>
      </c>
    </row>
    <row r="1982" spans="2:25" x14ac:dyDescent="0.25">
      <c r="B1982" s="75" t="s">
        <v>12800</v>
      </c>
      <c r="C1982" s="75" t="s">
        <v>10758</v>
      </c>
      <c r="D1982" t="s">
        <v>12916</v>
      </c>
      <c r="E1982" s="75" t="s">
        <v>13180</v>
      </c>
      <c r="F1982" s="75" t="s">
        <v>340</v>
      </c>
      <c r="G1982" t="s">
        <v>13365</v>
      </c>
      <c r="H1982" s="75" t="s">
        <v>14534</v>
      </c>
      <c r="I1982" s="290" t="s">
        <v>4068</v>
      </c>
      <c r="J1982" t="s">
        <v>14907</v>
      </c>
      <c r="K1982" s="75" t="s">
        <v>10926</v>
      </c>
      <c r="L1982" s="75" t="s">
        <v>1808</v>
      </c>
      <c r="M1982" t="s">
        <v>11183</v>
      </c>
      <c r="N1982" s="75" t="s">
        <v>11462</v>
      </c>
      <c r="O1982" s="75" t="s">
        <v>584</v>
      </c>
      <c r="P1982" t="s">
        <v>11649</v>
      </c>
    </row>
    <row r="1983" spans="2:25" x14ac:dyDescent="0.25">
      <c r="B1983" s="75" t="s">
        <v>13060</v>
      </c>
      <c r="C1983" s="75" t="s">
        <v>340</v>
      </c>
      <c r="D1983" t="s">
        <v>13179</v>
      </c>
      <c r="E1983" s="75" t="s">
        <v>13381</v>
      </c>
      <c r="F1983" s="75" t="s">
        <v>5</v>
      </c>
      <c r="G1983" t="s">
        <v>13685</v>
      </c>
      <c r="H1983" s="75" t="s">
        <v>14535</v>
      </c>
      <c r="I1983" s="75" t="s">
        <v>340</v>
      </c>
      <c r="J1983" t="s">
        <v>15137</v>
      </c>
      <c r="K1983" s="75" t="s">
        <v>10761</v>
      </c>
      <c r="L1983" s="75" t="s">
        <v>5720</v>
      </c>
      <c r="M1983" t="s">
        <v>10834</v>
      </c>
      <c r="N1983" s="75" t="s">
        <v>11243</v>
      </c>
      <c r="O1983" s="75" t="s">
        <v>474</v>
      </c>
      <c r="P1983" t="s">
        <v>11415</v>
      </c>
    </row>
    <row r="1984" spans="2:25" x14ac:dyDescent="0.25">
      <c r="B1984" s="75" t="s">
        <v>12607</v>
      </c>
      <c r="C1984" s="75" t="s">
        <v>4068</v>
      </c>
      <c r="D1984" t="s">
        <v>12702</v>
      </c>
      <c r="E1984" s="75" t="s">
        <v>11501</v>
      </c>
      <c r="F1984" s="75" t="s">
        <v>12070</v>
      </c>
      <c r="G1984" t="s">
        <v>13579</v>
      </c>
      <c r="K1984" s="75" t="s">
        <v>10239</v>
      </c>
      <c r="L1984" s="75" t="s">
        <v>10898</v>
      </c>
      <c r="M1984" t="s">
        <v>11268</v>
      </c>
      <c r="N1984" s="74" t="s">
        <v>11362</v>
      </c>
      <c r="O1984" s="74" t="s">
        <v>5921</v>
      </c>
      <c r="P1984" t="s">
        <v>11491</v>
      </c>
    </row>
    <row r="1985" spans="2:16" x14ac:dyDescent="0.25">
      <c r="B1985" s="75" t="s">
        <v>13258</v>
      </c>
      <c r="C1985" s="75" t="s">
        <v>5</v>
      </c>
      <c r="D1985" t="s">
        <v>13382</v>
      </c>
      <c r="E1985" s="75" t="s">
        <v>13713</v>
      </c>
      <c r="F1985" s="75" t="s">
        <v>4068</v>
      </c>
      <c r="G1985" t="s">
        <v>14088</v>
      </c>
      <c r="K1985" s="74" t="s">
        <v>10793</v>
      </c>
      <c r="L1985" s="74" t="s">
        <v>453</v>
      </c>
      <c r="M1985" t="s">
        <v>10933</v>
      </c>
      <c r="N1985" s="74" t="s">
        <v>11356</v>
      </c>
      <c r="O1985" s="216" t="s">
        <v>453</v>
      </c>
      <c r="P1985" t="s">
        <v>11845</v>
      </c>
    </row>
    <row r="1986" spans="2:16" x14ac:dyDescent="0.25">
      <c r="B1986" s="75" t="s">
        <v>11241</v>
      </c>
      <c r="C1986" s="75" t="s">
        <v>12070</v>
      </c>
      <c r="D1986" t="s">
        <v>13304</v>
      </c>
      <c r="E1986" s="75" t="s">
        <v>13943</v>
      </c>
      <c r="F1986" t="s">
        <v>12071</v>
      </c>
      <c r="G1986" t="s">
        <v>14033</v>
      </c>
      <c r="K1986" s="75" t="s">
        <v>11047</v>
      </c>
      <c r="L1986" s="75" t="s">
        <v>551</v>
      </c>
      <c r="M1986" t="s">
        <v>11312</v>
      </c>
      <c r="N1986" s="74" t="s">
        <v>11805</v>
      </c>
      <c r="O1986" s="216" t="s">
        <v>464</v>
      </c>
      <c r="P1986" t="s">
        <v>11913</v>
      </c>
    </row>
    <row r="1987" spans="2:16" x14ac:dyDescent="0.25">
      <c r="B1987" s="75" t="s">
        <v>13740</v>
      </c>
      <c r="C1987" s="75" t="s">
        <v>12071</v>
      </c>
      <c r="D1987" t="s">
        <v>13906</v>
      </c>
      <c r="E1987" s="75" t="s">
        <v>14534</v>
      </c>
      <c r="F1987" s="75" t="s">
        <v>4068</v>
      </c>
      <c r="G1987" t="s">
        <v>14821</v>
      </c>
      <c r="K1987" s="75" t="s">
        <v>11145</v>
      </c>
      <c r="L1987" s="75" t="s">
        <v>6825</v>
      </c>
      <c r="M1987" t="s">
        <v>11289</v>
      </c>
      <c r="N1987" s="75" t="s">
        <v>11663</v>
      </c>
      <c r="O1987" s="75" t="s">
        <v>862</v>
      </c>
      <c r="P1987" t="s">
        <v>11819</v>
      </c>
    </row>
    <row r="1988" spans="2:16" x14ac:dyDescent="0.25">
      <c r="B1988" s="75" t="s">
        <v>13930</v>
      </c>
      <c r="C1988" s="75" t="s">
        <v>5</v>
      </c>
      <c r="D1988" t="s">
        <v>14290</v>
      </c>
      <c r="E1988" s="75" t="s">
        <v>14289</v>
      </c>
      <c r="F1988" s="290" t="s">
        <v>5</v>
      </c>
      <c r="G1988" t="s">
        <v>14754</v>
      </c>
      <c r="K1988" s="75" t="s">
        <v>10762</v>
      </c>
      <c r="L1988" s="216" t="s">
        <v>5720</v>
      </c>
      <c r="M1988" t="s">
        <v>11424</v>
      </c>
      <c r="N1988" s="75" t="s">
        <v>11895</v>
      </c>
      <c r="O1988" s="75" t="s">
        <v>5717</v>
      </c>
      <c r="P1988" t="s">
        <v>11992</v>
      </c>
    </row>
    <row r="1989" spans="2:16" x14ac:dyDescent="0.25">
      <c r="B1989" s="75" t="s">
        <v>13618</v>
      </c>
      <c r="C1989" s="75" t="s">
        <v>4068</v>
      </c>
      <c r="D1989" t="s">
        <v>13712</v>
      </c>
      <c r="E1989" s="75" t="s">
        <v>12700</v>
      </c>
      <c r="F1989" s="75" t="s">
        <v>4068</v>
      </c>
      <c r="G1989" t="s">
        <v>13413</v>
      </c>
      <c r="K1989" s="74" t="s">
        <v>10535</v>
      </c>
      <c r="L1989" s="74" t="s">
        <v>355</v>
      </c>
      <c r="M1989" t="s">
        <v>11479</v>
      </c>
      <c r="N1989" s="75" t="s">
        <v>11882</v>
      </c>
      <c r="O1989" s="216" t="s">
        <v>862</v>
      </c>
      <c r="P1989" t="s">
        <v>12012</v>
      </c>
    </row>
    <row r="1990" spans="2:16" x14ac:dyDescent="0.25">
      <c r="B1990" s="74" t="s">
        <v>14387</v>
      </c>
      <c r="C1990" s="290" t="s">
        <v>14265</v>
      </c>
      <c r="D1990" t="s">
        <v>14416</v>
      </c>
      <c r="E1990" s="75" t="s">
        <v>14535</v>
      </c>
      <c r="F1990" s="75" t="s">
        <v>340</v>
      </c>
      <c r="G1990" t="s">
        <v>15060</v>
      </c>
      <c r="K1990" s="75" t="s">
        <v>10816</v>
      </c>
      <c r="L1990" s="216" t="s">
        <v>584</v>
      </c>
      <c r="M1990" t="s">
        <v>11461</v>
      </c>
      <c r="N1990" s="75" t="s">
        <v>11765</v>
      </c>
      <c r="O1990" s="216" t="s">
        <v>448</v>
      </c>
      <c r="P1990" t="s">
        <v>11990</v>
      </c>
    </row>
    <row r="1991" spans="2:16" x14ac:dyDescent="0.25">
      <c r="B1991" s="75" t="s">
        <v>14441</v>
      </c>
      <c r="C1991" s="75" t="s">
        <v>4068</v>
      </c>
      <c r="D1991" t="s">
        <v>14533</v>
      </c>
      <c r="E1991" s="75" t="s">
        <v>11116</v>
      </c>
      <c r="F1991" s="75" t="s">
        <v>4155</v>
      </c>
      <c r="G1991" t="s">
        <v>15169</v>
      </c>
      <c r="K1991" s="74" t="s">
        <v>11160</v>
      </c>
      <c r="L1991" s="216" t="s">
        <v>5720</v>
      </c>
      <c r="M1991" t="s">
        <v>11504</v>
      </c>
      <c r="N1991" s="75" t="s">
        <v>11756</v>
      </c>
      <c r="O1991" s="75" t="s">
        <v>488</v>
      </c>
      <c r="P1991" t="s">
        <v>11942</v>
      </c>
    </row>
    <row r="1992" spans="2:16" x14ac:dyDescent="0.25">
      <c r="B1992" s="75" t="s">
        <v>12578</v>
      </c>
      <c r="C1992" s="290" t="s">
        <v>12072</v>
      </c>
      <c r="D1992" t="s">
        <v>12642</v>
      </c>
      <c r="E1992" s="75" t="s">
        <v>12553</v>
      </c>
      <c r="F1992" s="75" t="s">
        <v>367</v>
      </c>
      <c r="G1992" t="s">
        <v>13040</v>
      </c>
      <c r="K1992" s="75" t="s">
        <v>6719</v>
      </c>
      <c r="L1992" s="216" t="s">
        <v>551</v>
      </c>
      <c r="M1992" t="s">
        <v>11525</v>
      </c>
      <c r="N1992" s="75" t="s">
        <v>11681</v>
      </c>
      <c r="O1992" s="75" t="s">
        <v>367</v>
      </c>
      <c r="P1992" t="s">
        <v>12507</v>
      </c>
    </row>
    <row r="1993" spans="2:16" x14ac:dyDescent="0.25">
      <c r="B1993" s="75" t="s">
        <v>10991</v>
      </c>
      <c r="C1993" s="75" t="s">
        <v>4155</v>
      </c>
      <c r="D1993" t="s">
        <v>14917</v>
      </c>
      <c r="E1993" s="75" t="s">
        <v>12415</v>
      </c>
      <c r="F1993" s="290" t="s">
        <v>4068</v>
      </c>
      <c r="G1993" t="s">
        <v>12760</v>
      </c>
      <c r="K1993" s="75" t="s">
        <v>11086</v>
      </c>
      <c r="L1993" s="75" t="s">
        <v>6926</v>
      </c>
      <c r="M1993" t="s">
        <v>11545</v>
      </c>
      <c r="N1993" s="75" t="s">
        <v>12026</v>
      </c>
      <c r="O1993" s="75" t="s">
        <v>452</v>
      </c>
      <c r="P1993" t="s">
        <v>12097</v>
      </c>
    </row>
    <row r="1994" spans="2:16" x14ac:dyDescent="0.25">
      <c r="B1994" s="75" t="s">
        <v>14951</v>
      </c>
      <c r="C1994" s="75" t="s">
        <v>6954</v>
      </c>
      <c r="D1994" t="s">
        <v>15100</v>
      </c>
      <c r="K1994" s="74" t="s">
        <v>11095</v>
      </c>
      <c r="L1994" s="74" t="s">
        <v>352</v>
      </c>
      <c r="M1994" t="s">
        <v>11553</v>
      </c>
      <c r="N1994" s="75" t="s">
        <v>12043</v>
      </c>
      <c r="O1994" s="216" t="s">
        <v>12068</v>
      </c>
      <c r="P1994" t="s">
        <v>12152</v>
      </c>
    </row>
    <row r="1995" spans="2:16" x14ac:dyDescent="0.25">
      <c r="B1995" s="75" t="s">
        <v>14440</v>
      </c>
      <c r="C1995" s="75" t="s">
        <v>340</v>
      </c>
      <c r="D1995" t="s">
        <v>14532</v>
      </c>
      <c r="K1995" s="75" t="s">
        <v>11288</v>
      </c>
      <c r="L1995" s="216" t="s">
        <v>862</v>
      </c>
      <c r="M1995" t="s">
        <v>11585</v>
      </c>
      <c r="N1995" s="75" t="s">
        <v>12027</v>
      </c>
      <c r="O1995" s="216" t="s">
        <v>10758</v>
      </c>
      <c r="P1995" t="s">
        <v>12506</v>
      </c>
    </row>
    <row r="1996" spans="2:16" x14ac:dyDescent="0.25">
      <c r="K1996" s="74" t="s">
        <v>11192</v>
      </c>
      <c r="L1996" s="74" t="s">
        <v>6926</v>
      </c>
      <c r="M1996" t="s">
        <v>11759</v>
      </c>
      <c r="N1996" s="75" t="s">
        <v>12080</v>
      </c>
      <c r="O1996" s="216" t="s">
        <v>342</v>
      </c>
      <c r="P1996" t="s">
        <v>12216</v>
      </c>
    </row>
    <row r="1997" spans="2:16" x14ac:dyDescent="0.25">
      <c r="K1997" s="75" t="s">
        <v>10344</v>
      </c>
      <c r="L1997" s="75" t="s">
        <v>356</v>
      </c>
      <c r="M1997" t="s">
        <v>10741</v>
      </c>
      <c r="N1997" s="75" t="s">
        <v>10645</v>
      </c>
      <c r="O1997" s="75" t="s">
        <v>448</v>
      </c>
      <c r="P1997" t="s">
        <v>12145</v>
      </c>
    </row>
    <row r="1998" spans="2:16" x14ac:dyDescent="0.25">
      <c r="K1998" s="74" t="s">
        <v>11095</v>
      </c>
      <c r="L1998" s="74" t="s">
        <v>356</v>
      </c>
      <c r="M1998" t="s">
        <v>11737</v>
      </c>
      <c r="N1998" s="75" t="s">
        <v>10689</v>
      </c>
      <c r="O1998" s="75" t="s">
        <v>355</v>
      </c>
      <c r="P1998" t="s">
        <v>12318</v>
      </c>
    </row>
    <row r="1999" spans="2:16" x14ac:dyDescent="0.25">
      <c r="K1999" t="s">
        <v>8178</v>
      </c>
      <c r="L1999" s="75" t="s">
        <v>474</v>
      </c>
      <c r="M1999" t="s">
        <v>10580</v>
      </c>
      <c r="N1999" s="75" t="s">
        <v>12221</v>
      </c>
      <c r="O1999" s="75" t="s">
        <v>11469</v>
      </c>
      <c r="P1999" t="s">
        <v>12327</v>
      </c>
    </row>
    <row r="2000" spans="2:16" x14ac:dyDescent="0.25">
      <c r="K2000" s="75" t="s">
        <v>8452</v>
      </c>
      <c r="L2000" s="75" t="s">
        <v>452</v>
      </c>
      <c r="M2000" t="s">
        <v>9345</v>
      </c>
      <c r="N2000" s="75" t="s">
        <v>12264</v>
      </c>
      <c r="O2000" s="75" t="s">
        <v>452</v>
      </c>
      <c r="P2000" t="s">
        <v>12343</v>
      </c>
    </row>
    <row r="2001" spans="11:16" x14ac:dyDescent="0.25">
      <c r="K2001" s="74" t="s">
        <v>11738</v>
      </c>
      <c r="L2001" s="74" t="s">
        <v>356</v>
      </c>
      <c r="M2001" t="s">
        <v>11829</v>
      </c>
      <c r="N2001" s="75" t="s">
        <v>12135</v>
      </c>
      <c r="O2001" s="290" t="s">
        <v>447</v>
      </c>
      <c r="P2001" t="s">
        <v>12333</v>
      </c>
    </row>
    <row r="2002" spans="11:16" x14ac:dyDescent="0.25">
      <c r="K2002" s="75" t="s">
        <v>9311</v>
      </c>
      <c r="L2002" s="75" t="s">
        <v>862</v>
      </c>
      <c r="M2002" t="s">
        <v>11864</v>
      </c>
      <c r="N2002" s="75" t="s">
        <v>11786</v>
      </c>
      <c r="O2002" s="75" t="s">
        <v>6980</v>
      </c>
      <c r="P2002" t="s">
        <v>12357</v>
      </c>
    </row>
    <row r="2003" spans="11:16" x14ac:dyDescent="0.25">
      <c r="K2003" s="75" t="s">
        <v>11806</v>
      </c>
      <c r="L2003" s="75" t="s">
        <v>5698</v>
      </c>
      <c r="M2003" t="s">
        <v>11908</v>
      </c>
      <c r="N2003" s="75" t="s">
        <v>12379</v>
      </c>
      <c r="O2003" s="216" t="s">
        <v>11884</v>
      </c>
      <c r="P2003" t="s">
        <v>12516</v>
      </c>
    </row>
    <row r="2004" spans="11:16" x14ac:dyDescent="0.25">
      <c r="K2004" s="75" t="s">
        <v>10675</v>
      </c>
      <c r="L2004" s="216" t="s">
        <v>368</v>
      </c>
      <c r="M2004" t="s">
        <v>11998</v>
      </c>
      <c r="N2004" s="74" t="s">
        <v>11773</v>
      </c>
      <c r="O2004" s="216" t="s">
        <v>448</v>
      </c>
      <c r="P2004" t="s">
        <v>11916</v>
      </c>
    </row>
    <row r="2005" spans="11:16" x14ac:dyDescent="0.25">
      <c r="K2005" s="74" t="s">
        <v>11920</v>
      </c>
      <c r="L2005" s="216" t="s">
        <v>488</v>
      </c>
      <c r="M2005" t="s">
        <v>12017</v>
      </c>
      <c r="N2005" s="75" t="s">
        <v>11242</v>
      </c>
      <c r="O2005" s="75" t="s">
        <v>862</v>
      </c>
      <c r="P2005" t="s">
        <v>11414</v>
      </c>
    </row>
    <row r="2006" spans="11:16" x14ac:dyDescent="0.25">
      <c r="K2006" s="75" t="s">
        <v>11883</v>
      </c>
      <c r="L2006" s="75" t="s">
        <v>11884</v>
      </c>
      <c r="M2006" t="s">
        <v>12055</v>
      </c>
      <c r="N2006" s="75" t="s">
        <v>12163</v>
      </c>
      <c r="O2006" s="75" t="s">
        <v>10758</v>
      </c>
      <c r="P2006" t="s">
        <v>12373</v>
      </c>
    </row>
    <row r="2007" spans="11:16" x14ac:dyDescent="0.25">
      <c r="K2007" s="75" t="s">
        <v>11528</v>
      </c>
      <c r="L2007" s="75" t="s">
        <v>447</v>
      </c>
      <c r="M2007" t="s">
        <v>11943</v>
      </c>
      <c r="N2007" s="75" t="s">
        <v>12384</v>
      </c>
      <c r="O2007" s="75" t="s">
        <v>10758</v>
      </c>
      <c r="P2007" t="s">
        <v>12444</v>
      </c>
    </row>
    <row r="2008" spans="11:16" x14ac:dyDescent="0.25">
      <c r="K2008" s="74" t="s">
        <v>10762</v>
      </c>
      <c r="L2008" s="74" t="s">
        <v>341</v>
      </c>
      <c r="M2008" t="s">
        <v>11972</v>
      </c>
      <c r="N2008" s="75" t="s">
        <v>12361</v>
      </c>
      <c r="O2008" s="75" t="s">
        <v>10890</v>
      </c>
      <c r="P2008" t="s">
        <v>12445</v>
      </c>
    </row>
    <row r="2009" spans="11:16" x14ac:dyDescent="0.25">
      <c r="K2009" s="75" t="s">
        <v>11579</v>
      </c>
      <c r="L2009" s="75" t="s">
        <v>367</v>
      </c>
      <c r="M2009" t="s">
        <v>11941</v>
      </c>
      <c r="N2009" s="75" t="s">
        <v>10735</v>
      </c>
      <c r="O2009" s="75" t="s">
        <v>454</v>
      </c>
      <c r="P2009" t="s">
        <v>12481</v>
      </c>
    </row>
    <row r="2010" spans="11:16" x14ac:dyDescent="0.25">
      <c r="K2010" s="74" t="s">
        <v>11755</v>
      </c>
      <c r="L2010" s="74" t="s">
        <v>5720</v>
      </c>
      <c r="M2010" t="s">
        <v>12183</v>
      </c>
      <c r="N2010" s="75" t="s">
        <v>12348</v>
      </c>
      <c r="O2010" s="75" t="s">
        <v>12072</v>
      </c>
      <c r="P2010" t="s">
        <v>12460</v>
      </c>
    </row>
    <row r="2011" spans="11:16" x14ac:dyDescent="0.25">
      <c r="K2011" s="75" t="s">
        <v>11851</v>
      </c>
      <c r="L2011" s="216" t="s">
        <v>862</v>
      </c>
      <c r="M2011" t="s">
        <v>12106</v>
      </c>
      <c r="N2011" s="74" t="s">
        <v>12452</v>
      </c>
      <c r="O2011" s="74" t="s">
        <v>12072</v>
      </c>
      <c r="P2011" t="s">
        <v>12512</v>
      </c>
    </row>
    <row r="2012" spans="11:16" x14ac:dyDescent="0.25">
      <c r="K2012" s="75" t="s">
        <v>12056</v>
      </c>
      <c r="L2012" s="75" t="s">
        <v>368</v>
      </c>
      <c r="M2012" t="s">
        <v>12201</v>
      </c>
      <c r="N2012" s="75" t="s">
        <v>12360</v>
      </c>
      <c r="O2012" s="216" t="s">
        <v>447</v>
      </c>
      <c r="P2012" t="s">
        <v>12435</v>
      </c>
    </row>
    <row r="2013" spans="11:16" x14ac:dyDescent="0.25">
      <c r="K2013" s="75" t="s">
        <v>11526</v>
      </c>
      <c r="L2013" s="290" t="s">
        <v>551</v>
      </c>
      <c r="M2013" t="s">
        <v>13132</v>
      </c>
      <c r="N2013" s="75" t="s">
        <v>11362</v>
      </c>
      <c r="O2013" s="75" t="s">
        <v>5698</v>
      </c>
      <c r="P2013" t="s">
        <v>12414</v>
      </c>
    </row>
    <row r="2014" spans="11:16" x14ac:dyDescent="0.25">
      <c r="K2014" s="75" t="s">
        <v>12222</v>
      </c>
      <c r="L2014" s="75" t="s">
        <v>12069</v>
      </c>
      <c r="M2014" t="s">
        <v>12254</v>
      </c>
      <c r="N2014" s="75" t="s">
        <v>12365</v>
      </c>
      <c r="O2014" s="75" t="s">
        <v>12072</v>
      </c>
      <c r="P2014" t="s">
        <v>12579</v>
      </c>
    </row>
    <row r="2015" spans="11:16" x14ac:dyDescent="0.25">
      <c r="K2015" s="75" t="s">
        <v>7937</v>
      </c>
      <c r="L2015" s="75" t="s">
        <v>6931</v>
      </c>
      <c r="M2015" t="s">
        <v>8683</v>
      </c>
      <c r="N2015" s="75" t="s">
        <v>12571</v>
      </c>
      <c r="O2015" s="75" t="s">
        <v>4068</v>
      </c>
      <c r="P2015" t="s">
        <v>12616</v>
      </c>
    </row>
    <row r="2016" spans="11:16" x14ac:dyDescent="0.25">
      <c r="K2016" s="75" t="s">
        <v>12167</v>
      </c>
      <c r="L2016" s="216" t="s">
        <v>474</v>
      </c>
      <c r="M2016" t="s">
        <v>12283</v>
      </c>
      <c r="N2016" s="75" t="s">
        <v>12538</v>
      </c>
      <c r="O2016" s="216" t="s">
        <v>12071</v>
      </c>
      <c r="P2016" t="s">
        <v>12651</v>
      </c>
    </row>
    <row r="2017" spans="9:16" x14ac:dyDescent="0.25">
      <c r="K2017" s="75" t="s">
        <v>12089</v>
      </c>
      <c r="L2017" s="75" t="s">
        <v>10758</v>
      </c>
      <c r="M2017" t="s">
        <v>12151</v>
      </c>
      <c r="N2017" s="75" t="s">
        <v>12521</v>
      </c>
      <c r="O2017" s="216" t="s">
        <v>6926</v>
      </c>
      <c r="P2017" t="s">
        <v>12650</v>
      </c>
    </row>
    <row r="2018" spans="9:16" x14ac:dyDescent="0.25">
      <c r="K2018" s="75" t="s">
        <v>12168</v>
      </c>
      <c r="L2018" s="75" t="s">
        <v>5698</v>
      </c>
      <c r="M2018" t="s">
        <v>12329</v>
      </c>
      <c r="N2018" s="74" t="s">
        <v>12625</v>
      </c>
      <c r="O2018" s="216" t="s">
        <v>474</v>
      </c>
      <c r="P2018" t="s">
        <v>12697</v>
      </c>
    </row>
    <row r="2019" spans="9:16" x14ac:dyDescent="0.25">
      <c r="K2019" s="75" t="s">
        <v>12240</v>
      </c>
      <c r="L2019" s="75" t="s">
        <v>385</v>
      </c>
      <c r="M2019" t="s">
        <v>12337</v>
      </c>
      <c r="N2019" s="75" t="s">
        <v>12164</v>
      </c>
      <c r="O2019" s="216" t="s">
        <v>12070</v>
      </c>
      <c r="P2019" t="s">
        <v>12613</v>
      </c>
    </row>
    <row r="2020" spans="9:16" x14ac:dyDescent="0.25">
      <c r="K2020" s="75" t="s">
        <v>12213</v>
      </c>
      <c r="L2020" s="75" t="s">
        <v>368</v>
      </c>
      <c r="M2020" t="s">
        <v>12336</v>
      </c>
      <c r="N2020" s="75" t="s">
        <v>12534</v>
      </c>
      <c r="O2020" s="75" t="s">
        <v>10758</v>
      </c>
      <c r="P2020" t="s">
        <v>12682</v>
      </c>
    </row>
    <row r="2021" spans="9:16" x14ac:dyDescent="0.25">
      <c r="K2021" s="75" t="s">
        <v>12330</v>
      </c>
      <c r="L2021" s="75" t="s">
        <v>12072</v>
      </c>
      <c r="M2021" t="s">
        <v>12505</v>
      </c>
      <c r="N2021" s="75" t="s">
        <v>12661</v>
      </c>
      <c r="O2021" s="75" t="s">
        <v>5</v>
      </c>
      <c r="P2021" t="s">
        <v>12747</v>
      </c>
    </row>
    <row r="2022" spans="9:16" x14ac:dyDescent="0.25">
      <c r="K2022" s="75" t="s">
        <v>12341</v>
      </c>
      <c r="L2022" s="75" t="s">
        <v>385</v>
      </c>
      <c r="M2022" t="s">
        <v>12504</v>
      </c>
      <c r="N2022" s="75" t="s">
        <v>4913</v>
      </c>
      <c r="O2022" s="75" t="s">
        <v>10758</v>
      </c>
      <c r="P2022" t="s">
        <v>12782</v>
      </c>
    </row>
    <row r="2023" spans="9:16" x14ac:dyDescent="0.25">
      <c r="K2023" s="75" t="s">
        <v>12263</v>
      </c>
      <c r="L2023" s="75" t="s">
        <v>12071</v>
      </c>
      <c r="M2023" t="s">
        <v>12374</v>
      </c>
      <c r="N2023" s="75" t="s">
        <v>12582</v>
      </c>
      <c r="O2023" s="290" t="s">
        <v>356</v>
      </c>
      <c r="P2023" t="s">
        <v>12779</v>
      </c>
    </row>
    <row r="2024" spans="9:16" x14ac:dyDescent="0.25">
      <c r="K2024" s="75" t="s">
        <v>12395</v>
      </c>
      <c r="L2024" s="290" t="s">
        <v>385</v>
      </c>
      <c r="M2024" t="s">
        <v>12418</v>
      </c>
      <c r="N2024" s="75" t="s">
        <v>12686</v>
      </c>
      <c r="O2024" s="75" t="s">
        <v>340</v>
      </c>
      <c r="P2024" t="s">
        <v>12911</v>
      </c>
    </row>
    <row r="2025" spans="9:16" x14ac:dyDescent="0.25">
      <c r="K2025" s="75" t="s">
        <v>12396</v>
      </c>
      <c r="L2025" s="75" t="s">
        <v>367</v>
      </c>
      <c r="M2025" t="s">
        <v>12487</v>
      </c>
      <c r="N2025" s="75" t="s">
        <v>12660</v>
      </c>
      <c r="O2025" s="75" t="s">
        <v>4068</v>
      </c>
      <c r="P2025" t="s">
        <v>12918</v>
      </c>
    </row>
    <row r="2026" spans="9:16" x14ac:dyDescent="0.25">
      <c r="K2026" s="75" t="s">
        <v>12499</v>
      </c>
      <c r="L2026" s="216" t="s">
        <v>10758</v>
      </c>
      <c r="M2026" t="s">
        <v>12531</v>
      </c>
      <c r="N2026" s="75" t="s">
        <v>12808</v>
      </c>
      <c r="O2026" s="75" t="s">
        <v>356</v>
      </c>
      <c r="P2026" t="s">
        <v>12959</v>
      </c>
    </row>
    <row r="2027" spans="9:16" x14ac:dyDescent="0.25">
      <c r="K2027" s="74" t="s">
        <v>12498</v>
      </c>
      <c r="L2027" s="216" t="s">
        <v>10758</v>
      </c>
      <c r="M2027" t="s">
        <v>12533</v>
      </c>
      <c r="N2027" s="75" t="s">
        <v>12847</v>
      </c>
      <c r="O2027" s="216" t="s">
        <v>11884</v>
      </c>
      <c r="P2027" t="s">
        <v>13012</v>
      </c>
    </row>
    <row r="2028" spans="9:16" x14ac:dyDescent="0.25">
      <c r="K2028" s="75" t="s">
        <v>12340</v>
      </c>
      <c r="L2028" s="216" t="s">
        <v>10758</v>
      </c>
      <c r="M2028" t="s">
        <v>12471</v>
      </c>
      <c r="N2028" s="75" t="s">
        <v>12971</v>
      </c>
      <c r="O2028" s="216" t="s">
        <v>12672</v>
      </c>
      <c r="P2028" t="s">
        <v>13051</v>
      </c>
    </row>
    <row r="2029" spans="9:16" x14ac:dyDescent="0.25">
      <c r="K2029" s="75" t="s">
        <v>12041</v>
      </c>
      <c r="L2029" s="290" t="s">
        <v>12513</v>
      </c>
      <c r="M2029" t="s">
        <v>12577</v>
      </c>
      <c r="N2029" s="75" t="s">
        <v>12942</v>
      </c>
      <c r="O2029" s="216" t="s">
        <v>11884</v>
      </c>
      <c r="P2029" t="s">
        <v>13052</v>
      </c>
    </row>
    <row r="2030" spans="9:16" x14ac:dyDescent="0.25">
      <c r="I2030" t="s">
        <v>47</v>
      </c>
      <c r="K2030" s="75" t="s">
        <v>12537</v>
      </c>
      <c r="L2030" s="290" t="s">
        <v>10758</v>
      </c>
      <c r="M2030" t="s">
        <v>12626</v>
      </c>
      <c r="N2030" s="75" t="s">
        <v>12701</v>
      </c>
      <c r="O2030" s="290" t="s">
        <v>12070</v>
      </c>
      <c r="P2030" t="s">
        <v>12891</v>
      </c>
    </row>
    <row r="2031" spans="9:16" x14ac:dyDescent="0.25">
      <c r="K2031" s="75" t="s">
        <v>12584</v>
      </c>
      <c r="L2031" s="75" t="s">
        <v>303</v>
      </c>
      <c r="M2031" t="s">
        <v>12612</v>
      </c>
      <c r="N2031" s="75" t="s">
        <v>12749</v>
      </c>
      <c r="O2031" s="75" t="s">
        <v>11884</v>
      </c>
      <c r="P2031" t="s">
        <v>12872</v>
      </c>
    </row>
    <row r="2032" spans="9:16" x14ac:dyDescent="0.25">
      <c r="K2032" s="74" t="s">
        <v>12583</v>
      </c>
      <c r="L2032" s="290" t="s">
        <v>12580</v>
      </c>
      <c r="M2032" t="s">
        <v>12652</v>
      </c>
      <c r="N2032" s="75" t="s">
        <v>12477</v>
      </c>
      <c r="O2032" s="75" t="s">
        <v>12069</v>
      </c>
      <c r="P2032" t="s">
        <v>12570</v>
      </c>
    </row>
    <row r="2033" spans="11:23" x14ac:dyDescent="0.25">
      <c r="K2033" s="75" t="s">
        <v>12359</v>
      </c>
      <c r="L2033" s="216" t="s">
        <v>474</v>
      </c>
      <c r="M2033" t="s">
        <v>12653</v>
      </c>
      <c r="N2033" s="75" t="s">
        <v>13124</v>
      </c>
      <c r="O2033" s="75" t="s">
        <v>367</v>
      </c>
      <c r="P2033" t="s">
        <v>13232</v>
      </c>
    </row>
    <row r="2034" spans="11:23" x14ac:dyDescent="0.25">
      <c r="K2034" s="75" t="s">
        <v>11423</v>
      </c>
      <c r="L2034" s="216" t="s">
        <v>6954</v>
      </c>
      <c r="M2034" t="s">
        <v>12665</v>
      </c>
      <c r="N2034" s="75" t="s">
        <v>13146</v>
      </c>
      <c r="O2034" s="75" t="s">
        <v>12513</v>
      </c>
      <c r="P2034" t="s">
        <v>13259</v>
      </c>
    </row>
    <row r="2035" spans="11:23" x14ac:dyDescent="0.25">
      <c r="K2035" s="74" t="s">
        <v>12397</v>
      </c>
      <c r="L2035" s="216" t="s">
        <v>352</v>
      </c>
      <c r="M2035" t="s">
        <v>12691</v>
      </c>
      <c r="N2035" s="75" t="s">
        <v>12917</v>
      </c>
      <c r="O2035" s="216" t="s">
        <v>5</v>
      </c>
      <c r="P2035" t="s">
        <v>13252</v>
      </c>
    </row>
    <row r="2036" spans="11:23" x14ac:dyDescent="0.25">
      <c r="K2036" s="75" t="s">
        <v>6090</v>
      </c>
      <c r="L2036" s="75" t="s">
        <v>10758</v>
      </c>
      <c r="M2036" t="s">
        <v>12680</v>
      </c>
      <c r="N2036" s="75" t="s">
        <v>13131</v>
      </c>
      <c r="O2036" s="75" t="s">
        <v>12984</v>
      </c>
      <c r="P2036" t="s">
        <v>13250</v>
      </c>
    </row>
    <row r="2037" spans="11:23" x14ac:dyDescent="0.25">
      <c r="K2037" s="74" t="s">
        <v>12574</v>
      </c>
      <c r="L2037" s="290" t="s">
        <v>12069</v>
      </c>
      <c r="M2037" t="s">
        <v>12671</v>
      </c>
      <c r="N2037" s="75" t="s">
        <v>13236</v>
      </c>
      <c r="O2037" s="75" t="s">
        <v>12672</v>
      </c>
      <c r="P2037" t="s">
        <v>13415</v>
      </c>
    </row>
    <row r="2038" spans="11:23" x14ac:dyDescent="0.25">
      <c r="K2038" s="74" t="s">
        <v>12643</v>
      </c>
      <c r="L2038" s="74" t="s">
        <v>359</v>
      </c>
      <c r="M2038" t="s">
        <v>12716</v>
      </c>
      <c r="N2038" s="75" t="s">
        <v>13407</v>
      </c>
      <c r="O2038" s="75" t="s">
        <v>13408</v>
      </c>
      <c r="P2038" t="s">
        <v>13500</v>
      </c>
    </row>
    <row r="2039" spans="11:23" x14ac:dyDescent="0.25">
      <c r="K2039" s="75" t="s">
        <v>12912</v>
      </c>
      <c r="L2039" s="75" t="s">
        <v>340</v>
      </c>
      <c r="M2039" t="s">
        <v>13224</v>
      </c>
      <c r="N2039" s="75" t="s">
        <v>13401</v>
      </c>
      <c r="O2039" s="75" t="s">
        <v>12070</v>
      </c>
      <c r="P2039" t="s">
        <v>13532</v>
      </c>
    </row>
    <row r="2040" spans="11:23" x14ac:dyDescent="0.25">
      <c r="K2040" s="74" t="s">
        <v>12695</v>
      </c>
      <c r="L2040" s="74" t="s">
        <v>6980</v>
      </c>
      <c r="M2040" t="s">
        <v>12781</v>
      </c>
      <c r="N2040" s="75" t="s">
        <v>13433</v>
      </c>
      <c r="O2040" s="75" t="s">
        <v>6954</v>
      </c>
      <c r="P2040" t="s">
        <v>13570</v>
      </c>
    </row>
    <row r="2041" spans="11:23" x14ac:dyDescent="0.25">
      <c r="K2041" s="75" t="s">
        <v>12692</v>
      </c>
      <c r="L2041" s="75" t="s">
        <v>352</v>
      </c>
      <c r="M2041" t="s">
        <v>12748</v>
      </c>
      <c r="N2041" s="75" t="s">
        <v>13512</v>
      </c>
      <c r="O2041" s="75" t="s">
        <v>1369</v>
      </c>
      <c r="P2041" t="s">
        <v>13602</v>
      </c>
    </row>
    <row r="2042" spans="11:23" x14ac:dyDescent="0.25">
      <c r="K2042" s="74" t="s">
        <v>12722</v>
      </c>
      <c r="L2042" s="74" t="s">
        <v>6980</v>
      </c>
      <c r="M2042" t="s">
        <v>12759</v>
      </c>
      <c r="N2042" s="376" t="s">
        <v>13592</v>
      </c>
      <c r="O2042" s="376" t="s">
        <v>12070</v>
      </c>
      <c r="P2042" t="s">
        <v>13809</v>
      </c>
    </row>
    <row r="2043" spans="11:23" x14ac:dyDescent="0.25">
      <c r="K2043" s="75" t="s">
        <v>12078</v>
      </c>
      <c r="L2043" s="216" t="s">
        <v>352</v>
      </c>
      <c r="M2043" t="s">
        <v>12486</v>
      </c>
      <c r="N2043" s="376" t="s">
        <v>12917</v>
      </c>
      <c r="O2043" s="75" t="s">
        <v>5</v>
      </c>
      <c r="P2043" t="s">
        <v>13955</v>
      </c>
    </row>
    <row r="2044" spans="11:23" x14ac:dyDescent="0.25">
      <c r="K2044" s="317" t="s">
        <v>12630</v>
      </c>
      <c r="L2044" s="326" t="s">
        <v>356</v>
      </c>
      <c r="M2044" t="s">
        <v>12973</v>
      </c>
      <c r="N2044" s="378" t="s">
        <v>10689</v>
      </c>
      <c r="O2044" s="378" t="s">
        <v>12070</v>
      </c>
      <c r="P2044" t="s">
        <v>13909</v>
      </c>
    </row>
    <row r="2045" spans="11:23" x14ac:dyDescent="0.25">
      <c r="K2045" s="75" t="s">
        <v>12363</v>
      </c>
      <c r="L2045" s="216" t="s">
        <v>12672</v>
      </c>
      <c r="M2045" t="s">
        <v>13013</v>
      </c>
      <c r="N2045" s="317" t="s">
        <v>13533</v>
      </c>
      <c r="O2045" s="363" t="s">
        <v>12070</v>
      </c>
      <c r="P2045" t="s">
        <v>13601</v>
      </c>
    </row>
    <row r="2046" spans="11:23" x14ac:dyDescent="0.25">
      <c r="K2046" s="75" t="s">
        <v>12919</v>
      </c>
      <c r="L2046" s="75" t="s">
        <v>5</v>
      </c>
      <c r="M2046" t="s">
        <v>13011</v>
      </c>
      <c r="N2046" s="75" t="s">
        <v>10867</v>
      </c>
      <c r="O2046" s="326" t="s">
        <v>367</v>
      </c>
      <c r="P2046" t="s">
        <v>13443</v>
      </c>
    </row>
    <row r="2047" spans="11:23" x14ac:dyDescent="0.25">
      <c r="K2047" s="74" t="s">
        <v>12840</v>
      </c>
      <c r="L2047" s="74" t="s">
        <v>4068</v>
      </c>
      <c r="M2047" t="s">
        <v>13022</v>
      </c>
      <c r="N2047" s="75" t="s">
        <v>13148</v>
      </c>
      <c r="O2047" s="75" t="s">
        <v>12070</v>
      </c>
      <c r="P2047" t="s">
        <v>13238</v>
      </c>
    </row>
    <row r="2048" spans="11:23" x14ac:dyDescent="0.25">
      <c r="K2048" s="75" t="s">
        <v>12079</v>
      </c>
      <c r="L2048" s="75" t="s">
        <v>11884</v>
      </c>
      <c r="M2048" t="s">
        <v>12351</v>
      </c>
      <c r="N2048" s="75" t="s">
        <v>13081</v>
      </c>
      <c r="O2048" s="75" t="s">
        <v>452</v>
      </c>
      <c r="P2048" t="s">
        <v>13159</v>
      </c>
      <c r="W2048" t="s">
        <v>13188</v>
      </c>
    </row>
    <row r="2049" spans="11:16" x14ac:dyDescent="0.25">
      <c r="K2049" s="75" t="s">
        <v>12840</v>
      </c>
      <c r="L2049" s="75" t="s">
        <v>4068</v>
      </c>
      <c r="M2049" t="s">
        <v>13053</v>
      </c>
      <c r="N2049" s="376" t="s">
        <v>14021</v>
      </c>
      <c r="O2049" s="75" t="s">
        <v>6980</v>
      </c>
      <c r="P2049" t="s">
        <v>14062</v>
      </c>
    </row>
    <row r="2050" spans="11:16" x14ac:dyDescent="0.25">
      <c r="K2050" s="74" t="s">
        <v>5530</v>
      </c>
      <c r="L2050" s="74" t="s">
        <v>481</v>
      </c>
      <c r="M2050" t="s">
        <v>13095</v>
      </c>
      <c r="N2050" s="380" t="s">
        <v>14022</v>
      </c>
      <c r="O2050" t="s">
        <v>342</v>
      </c>
      <c r="P2050" t="s">
        <v>14070</v>
      </c>
    </row>
    <row r="2051" spans="11:16" x14ac:dyDescent="0.25">
      <c r="K2051" s="75" t="s">
        <v>12944</v>
      </c>
      <c r="L2051" s="75" t="s">
        <v>6954</v>
      </c>
      <c r="M2051" t="s">
        <v>13113</v>
      </c>
      <c r="N2051" s="75" t="s">
        <v>12027</v>
      </c>
      <c r="O2051" s="216" t="s">
        <v>12070</v>
      </c>
      <c r="P2051" t="s">
        <v>13158</v>
      </c>
    </row>
    <row r="2052" spans="11:16" x14ac:dyDescent="0.25">
      <c r="K2052" s="75" t="s">
        <v>12311</v>
      </c>
      <c r="L2052" s="216" t="s">
        <v>367</v>
      </c>
      <c r="M2052" t="s">
        <v>13123</v>
      </c>
      <c r="N2052" s="75" t="s">
        <v>14028</v>
      </c>
      <c r="O2052" s="75" t="s">
        <v>342</v>
      </c>
      <c r="P2052" t="s">
        <v>14185</v>
      </c>
    </row>
    <row r="2053" spans="11:16" x14ac:dyDescent="0.25">
      <c r="K2053" s="75" t="s">
        <v>12693</v>
      </c>
      <c r="L2053" s="216" t="s">
        <v>452</v>
      </c>
      <c r="M2053" t="s">
        <v>13233</v>
      </c>
      <c r="N2053" s="75" t="s">
        <v>14027</v>
      </c>
      <c r="O2053" s="75" t="s">
        <v>12070</v>
      </c>
      <c r="P2053" t="s">
        <v>14257</v>
      </c>
    </row>
    <row r="2054" spans="11:16" x14ac:dyDescent="0.25">
      <c r="K2054" s="74" t="s">
        <v>13130</v>
      </c>
      <c r="L2054" s="74" t="s">
        <v>488</v>
      </c>
      <c r="M2054" t="s">
        <v>13237</v>
      </c>
      <c r="N2054" s="75" t="s">
        <v>11419</v>
      </c>
      <c r="O2054" s="290" t="s">
        <v>340</v>
      </c>
      <c r="P2054" t="s">
        <v>14374</v>
      </c>
    </row>
    <row r="2055" spans="11:16" x14ac:dyDescent="0.25">
      <c r="K2055" s="75" t="s">
        <v>13243</v>
      </c>
      <c r="L2055" s="75" t="s">
        <v>488</v>
      </c>
      <c r="M2055" t="s">
        <v>13292</v>
      </c>
      <c r="N2055" s="74" t="s">
        <v>14296</v>
      </c>
      <c r="O2055" s="74" t="s">
        <v>14316</v>
      </c>
      <c r="P2055" t="s">
        <v>14383</v>
      </c>
    </row>
    <row r="2056" spans="11:16" x14ac:dyDescent="0.25">
      <c r="K2056" s="75" t="s">
        <v>12631</v>
      </c>
      <c r="L2056" s="216" t="s">
        <v>488</v>
      </c>
      <c r="M2056" t="s">
        <v>13110</v>
      </c>
      <c r="N2056" s="384" t="s">
        <v>14266</v>
      </c>
      <c r="O2056" s="75" t="s">
        <v>14265</v>
      </c>
      <c r="P2056" t="s">
        <v>14336</v>
      </c>
    </row>
    <row r="2057" spans="11:16" x14ac:dyDescent="0.25">
      <c r="K2057" s="75" t="s">
        <v>12756</v>
      </c>
      <c r="L2057" s="216" t="s">
        <v>12513</v>
      </c>
      <c r="M2057" t="s">
        <v>13138</v>
      </c>
      <c r="N2057" s="75" t="s">
        <v>14160</v>
      </c>
      <c r="O2057" s="75" t="s">
        <v>655</v>
      </c>
      <c r="P2057" t="s">
        <v>14462</v>
      </c>
    </row>
    <row r="2058" spans="11:16" x14ac:dyDescent="0.25">
      <c r="K2058" s="75" t="s">
        <v>13021</v>
      </c>
      <c r="L2058" s="75" t="s">
        <v>5</v>
      </c>
      <c r="M2058" t="s">
        <v>13122</v>
      </c>
      <c r="N2058" s="75" t="s">
        <v>14210</v>
      </c>
      <c r="O2058" s="75" t="s">
        <v>6954</v>
      </c>
      <c r="P2058" t="s">
        <v>14507</v>
      </c>
    </row>
    <row r="2059" spans="11:16" x14ac:dyDescent="0.25">
      <c r="K2059" s="75" t="s">
        <v>13311</v>
      </c>
      <c r="L2059" s="75" t="s">
        <v>6954</v>
      </c>
      <c r="M2059" t="s">
        <v>13416</v>
      </c>
      <c r="N2059" s="75" t="s">
        <v>14375</v>
      </c>
      <c r="O2059" s="290" t="s">
        <v>340</v>
      </c>
      <c r="P2059" t="s">
        <v>14556</v>
      </c>
    </row>
    <row r="2060" spans="11:16" x14ac:dyDescent="0.25">
      <c r="K2060" s="75" t="s">
        <v>13405</v>
      </c>
      <c r="L2060" s="75" t="s">
        <v>10898</v>
      </c>
      <c r="M2060" t="s">
        <v>13450</v>
      </c>
      <c r="N2060" s="75" t="s">
        <v>14022</v>
      </c>
      <c r="O2060" s="75" t="s">
        <v>12070</v>
      </c>
      <c r="P2060" t="s">
        <v>14256</v>
      </c>
    </row>
    <row r="2061" spans="11:16" x14ac:dyDescent="0.25">
      <c r="K2061" s="75" t="s">
        <v>14120</v>
      </c>
      <c r="L2061" s="75" t="s">
        <v>4155</v>
      </c>
      <c r="M2061" t="s">
        <v>14201</v>
      </c>
      <c r="N2061" s="74" t="s">
        <v>14026</v>
      </c>
      <c r="O2061" s="216" t="s">
        <v>4068</v>
      </c>
      <c r="P2061" t="s">
        <v>14218</v>
      </c>
    </row>
    <row r="2062" spans="11:16" x14ac:dyDescent="0.25">
      <c r="K2062" s="75" t="s">
        <v>12666</v>
      </c>
      <c r="L2062" s="216" t="s">
        <v>12672</v>
      </c>
      <c r="M2062" t="s">
        <v>13467</v>
      </c>
      <c r="N2062" s="75" t="s">
        <v>14518</v>
      </c>
      <c r="O2062" s="75" t="s">
        <v>341</v>
      </c>
      <c r="P2062" t="s">
        <v>14557</v>
      </c>
    </row>
    <row r="2063" spans="11:16" x14ac:dyDescent="0.25">
      <c r="K2063" s="75" t="s">
        <v>13080</v>
      </c>
      <c r="L2063" s="75" t="s">
        <v>11884</v>
      </c>
      <c r="M2063" t="s">
        <v>13108</v>
      </c>
      <c r="N2063" s="75" t="s">
        <v>14473</v>
      </c>
      <c r="O2063" s="75" t="s">
        <v>12070</v>
      </c>
      <c r="P2063" t="s">
        <v>14578</v>
      </c>
    </row>
    <row r="2064" spans="11:16" x14ac:dyDescent="0.25">
      <c r="K2064" s="75" t="s">
        <v>12972</v>
      </c>
      <c r="L2064" s="216" t="s">
        <v>12070</v>
      </c>
      <c r="M2064" t="s">
        <v>13528</v>
      </c>
      <c r="N2064" s="75" t="s">
        <v>14511</v>
      </c>
      <c r="O2064" s="75" t="s">
        <v>6954</v>
      </c>
      <c r="P2064" t="s">
        <v>14574</v>
      </c>
    </row>
    <row r="2065" spans="11:16" x14ac:dyDescent="0.25">
      <c r="K2065" s="75" t="s">
        <v>13463</v>
      </c>
      <c r="L2065" s="75" t="s">
        <v>10898</v>
      </c>
      <c r="M2065" t="s">
        <v>13550</v>
      </c>
      <c r="N2065" s="75" t="s">
        <v>14594</v>
      </c>
      <c r="O2065" s="75" t="s">
        <v>4155</v>
      </c>
      <c r="P2065" t="s">
        <v>14679</v>
      </c>
    </row>
    <row r="2066" spans="11:16" x14ac:dyDescent="0.25">
      <c r="K2066" s="75" t="s">
        <v>13409</v>
      </c>
      <c r="L2066" s="75" t="s">
        <v>13410</v>
      </c>
      <c r="M2066" t="s">
        <v>13549</v>
      </c>
      <c r="N2066" s="74" t="s">
        <v>14571</v>
      </c>
      <c r="O2066" s="74" t="s">
        <v>14572</v>
      </c>
      <c r="P2066" t="s">
        <v>14623</v>
      </c>
    </row>
    <row r="2067" spans="11:16" x14ac:dyDescent="0.25">
      <c r="K2067" s="75" t="s">
        <v>13059</v>
      </c>
      <c r="L2067" s="75" t="s">
        <v>4068</v>
      </c>
      <c r="M2067" t="s">
        <v>13553</v>
      </c>
      <c r="N2067" s="75" t="s">
        <v>14681</v>
      </c>
      <c r="O2067" s="75" t="s">
        <v>4155</v>
      </c>
      <c r="P2067" t="s">
        <v>14705</v>
      </c>
    </row>
    <row r="2068" spans="11:16" x14ac:dyDescent="0.25">
      <c r="K2068" s="75" t="s">
        <v>13495</v>
      </c>
      <c r="L2068" s="75" t="s">
        <v>13408</v>
      </c>
      <c r="M2068" t="s">
        <v>13590</v>
      </c>
      <c r="N2068" s="75" t="s">
        <v>14542</v>
      </c>
      <c r="O2068" s="75" t="s">
        <v>4155</v>
      </c>
      <c r="P2068" t="s">
        <v>14617</v>
      </c>
    </row>
    <row r="2069" spans="11:16" x14ac:dyDescent="0.25">
      <c r="K2069" s="75" t="s">
        <v>13325</v>
      </c>
      <c r="L2069" s="216" t="s">
        <v>12070</v>
      </c>
      <c r="M2069" t="s">
        <v>13606</v>
      </c>
      <c r="N2069" s="75" t="s">
        <v>9259</v>
      </c>
      <c r="O2069" s="290" t="s">
        <v>340</v>
      </c>
      <c r="P2069" t="s">
        <v>14733</v>
      </c>
    </row>
    <row r="2070" spans="11:16" x14ac:dyDescent="0.25">
      <c r="K2070" s="75" t="s">
        <v>13464</v>
      </c>
      <c r="L2070" s="75" t="s">
        <v>4068</v>
      </c>
      <c r="M2070" t="s">
        <v>13617</v>
      </c>
      <c r="N2070" s="75" t="s">
        <v>10735</v>
      </c>
      <c r="O2070" s="75" t="s">
        <v>4155</v>
      </c>
      <c r="P2070" t="s">
        <v>14813</v>
      </c>
    </row>
    <row r="2071" spans="11:16" x14ac:dyDescent="0.25">
      <c r="K2071" s="75" t="s">
        <v>13423</v>
      </c>
      <c r="L2071" s="75" t="s">
        <v>13424</v>
      </c>
      <c r="M2071" t="s">
        <v>13530</v>
      </c>
      <c r="N2071" s="75" t="s">
        <v>14512</v>
      </c>
      <c r="O2071" s="75" t="s">
        <v>6980</v>
      </c>
      <c r="P2071" t="s">
        <v>14830</v>
      </c>
    </row>
    <row r="2072" spans="11:16" x14ac:dyDescent="0.25">
      <c r="K2072" s="75" t="s">
        <v>13241</v>
      </c>
      <c r="L2072" s="75" t="s">
        <v>1369</v>
      </c>
      <c r="M2072" t="s">
        <v>13505</v>
      </c>
      <c r="N2072" s="75" t="s">
        <v>14685</v>
      </c>
      <c r="O2072" s="75" t="s">
        <v>4155</v>
      </c>
      <c r="P2072" t="s">
        <v>14841</v>
      </c>
    </row>
    <row r="2073" spans="11:16" x14ac:dyDescent="0.25">
      <c r="K2073" s="75" t="s">
        <v>13030</v>
      </c>
      <c r="L2073" s="75" t="s">
        <v>6954</v>
      </c>
      <c r="M2073" t="s">
        <v>13501</v>
      </c>
      <c r="N2073" s="376" t="s">
        <v>13533</v>
      </c>
      <c r="O2073" s="75" t="s">
        <v>340</v>
      </c>
      <c r="P2073" t="s">
        <v>14840</v>
      </c>
    </row>
    <row r="2074" spans="11:16" x14ac:dyDescent="0.25">
      <c r="K2074" s="74" t="s">
        <v>13476</v>
      </c>
      <c r="L2074" s="74" t="s">
        <v>367</v>
      </c>
      <c r="M2074" t="s">
        <v>13499</v>
      </c>
      <c r="N2074" s="74" t="s">
        <v>11805</v>
      </c>
      <c r="O2074" s="74" t="s">
        <v>14655</v>
      </c>
      <c r="P2074" t="s">
        <v>14889</v>
      </c>
    </row>
    <row r="2075" spans="11:16" x14ac:dyDescent="0.25">
      <c r="K2075" s="75" t="s">
        <v>12583</v>
      </c>
      <c r="L2075" s="216" t="s">
        <v>12070</v>
      </c>
      <c r="M2075" t="s">
        <v>13679</v>
      </c>
      <c r="N2075" s="75" t="s">
        <v>14831</v>
      </c>
      <c r="O2075" s="75" t="s">
        <v>6980</v>
      </c>
      <c r="P2075" t="s">
        <v>15022</v>
      </c>
    </row>
    <row r="2076" spans="11:16" x14ac:dyDescent="0.25">
      <c r="K2076" s="75" t="s">
        <v>13554</v>
      </c>
      <c r="L2076" s="75" t="s">
        <v>6954</v>
      </c>
      <c r="M2076" t="s">
        <v>13701</v>
      </c>
      <c r="N2076" s="75" t="s">
        <v>14542</v>
      </c>
      <c r="O2076" s="290" t="s">
        <v>4155</v>
      </c>
      <c r="P2076" t="s">
        <v>15015</v>
      </c>
    </row>
    <row r="2077" spans="11:16" x14ac:dyDescent="0.25">
      <c r="K2077" s="75" t="s">
        <v>13599</v>
      </c>
      <c r="L2077" s="75" t="s">
        <v>4068</v>
      </c>
      <c r="M2077" t="s">
        <v>13735</v>
      </c>
      <c r="N2077" s="75" t="s">
        <v>14727</v>
      </c>
      <c r="O2077" s="75" t="s">
        <v>6954</v>
      </c>
      <c r="P2077" t="s">
        <v>15075</v>
      </c>
    </row>
    <row r="2078" spans="11:16" x14ac:dyDescent="0.25">
      <c r="K2078" s="75" t="s">
        <v>13699</v>
      </c>
      <c r="L2078" s="75" t="s">
        <v>12071</v>
      </c>
      <c r="M2078" t="s">
        <v>13742</v>
      </c>
      <c r="N2078" s="75" t="s">
        <v>14890</v>
      </c>
      <c r="O2078" s="75" t="s">
        <v>14265</v>
      </c>
      <c r="P2078" t="s">
        <v>15319</v>
      </c>
    </row>
    <row r="2079" spans="11:16" x14ac:dyDescent="0.25">
      <c r="K2079" s="74" t="s">
        <v>13723</v>
      </c>
      <c r="L2079" s="74" t="s">
        <v>13403</v>
      </c>
      <c r="M2079" t="s">
        <v>13730</v>
      </c>
    </row>
    <row r="2080" spans="11:16" x14ac:dyDescent="0.25">
      <c r="K2080" s="74" t="s">
        <v>13029</v>
      </c>
      <c r="L2080" s="74" t="s">
        <v>6954</v>
      </c>
      <c r="M2080" t="s">
        <v>13139</v>
      </c>
    </row>
    <row r="2081" spans="11:15" x14ac:dyDescent="0.25">
      <c r="K2081" s="74" t="s">
        <v>13786</v>
      </c>
      <c r="L2081" s="290" t="s">
        <v>4068</v>
      </c>
      <c r="M2081" t="s">
        <v>13814</v>
      </c>
    </row>
    <row r="2082" spans="11:15" x14ac:dyDescent="0.25">
      <c r="K2082" s="75" t="s">
        <v>13571</v>
      </c>
      <c r="L2082" s="75" t="s">
        <v>4068</v>
      </c>
      <c r="M2082" t="s">
        <v>13853</v>
      </c>
    </row>
    <row r="2083" spans="11:15" x14ac:dyDescent="0.25">
      <c r="K2083" s="75" t="s">
        <v>12537</v>
      </c>
      <c r="L2083" s="75" t="s">
        <v>12070</v>
      </c>
      <c r="M2083" t="s">
        <v>13844</v>
      </c>
    </row>
    <row r="2084" spans="11:15" x14ac:dyDescent="0.25">
      <c r="K2084" s="74" t="s">
        <v>13115</v>
      </c>
      <c r="L2084" s="74" t="s">
        <v>11884</v>
      </c>
      <c r="M2084" t="s">
        <v>13414</v>
      </c>
    </row>
    <row r="2085" spans="11:15" x14ac:dyDescent="0.25">
      <c r="K2085" s="75" t="s">
        <v>13613</v>
      </c>
      <c r="L2085" s="75" t="s">
        <v>5</v>
      </c>
      <c r="M2085" t="s">
        <v>13841</v>
      </c>
    </row>
    <row r="2086" spans="11:15" x14ac:dyDescent="0.25">
      <c r="K2086" s="75" t="s">
        <v>13729</v>
      </c>
      <c r="L2086" s="75" t="s">
        <v>6954</v>
      </c>
      <c r="M2086" t="s">
        <v>13883</v>
      </c>
    </row>
    <row r="2087" spans="11:15" x14ac:dyDescent="0.25">
      <c r="K2087" s="75" t="s">
        <v>13779</v>
      </c>
      <c r="L2087" s="75" t="s">
        <v>6954</v>
      </c>
      <c r="M2087" t="s">
        <v>13879</v>
      </c>
    </row>
    <row r="2088" spans="11:15" x14ac:dyDescent="0.25">
      <c r="K2088" s="75" t="s">
        <v>13529</v>
      </c>
      <c r="L2088" s="75" t="s">
        <v>6954</v>
      </c>
      <c r="M2088" t="s">
        <v>13900</v>
      </c>
      <c r="O2088" s="217"/>
    </row>
    <row r="2089" spans="11:15" x14ac:dyDescent="0.25">
      <c r="K2089" s="75" t="s">
        <v>14666</v>
      </c>
      <c r="L2089" s="75" t="s">
        <v>6954</v>
      </c>
      <c r="M2089" t="s">
        <v>14726</v>
      </c>
    </row>
    <row r="2090" spans="11:15" x14ac:dyDescent="0.25">
      <c r="K2090" s="75" t="s">
        <v>13661</v>
      </c>
      <c r="L2090" t="s">
        <v>6954</v>
      </c>
      <c r="M2090" t="s">
        <v>13866</v>
      </c>
    </row>
    <row r="2091" spans="11:15" x14ac:dyDescent="0.25">
      <c r="K2091" s="75" t="s">
        <v>13910</v>
      </c>
      <c r="L2091" s="75" t="s">
        <v>12070</v>
      </c>
      <c r="M2091" t="s">
        <v>13928</v>
      </c>
    </row>
    <row r="2092" spans="11:15" x14ac:dyDescent="0.25">
      <c r="K2092" s="75" t="s">
        <v>13903</v>
      </c>
      <c r="L2092" s="75" t="s">
        <v>6954</v>
      </c>
      <c r="M2092" t="s">
        <v>13941</v>
      </c>
    </row>
    <row r="2093" spans="11:15" x14ac:dyDescent="0.25">
      <c r="K2093" s="75" t="s">
        <v>13852</v>
      </c>
      <c r="L2093" s="75" t="s">
        <v>4068</v>
      </c>
      <c r="M2093" t="s">
        <v>13920</v>
      </c>
    </row>
    <row r="2094" spans="11:15" x14ac:dyDescent="0.25">
      <c r="K2094" s="75" t="s">
        <v>13929</v>
      </c>
      <c r="L2094" s="75" t="s">
        <v>4068</v>
      </c>
      <c r="M2094" t="s">
        <v>13966</v>
      </c>
    </row>
    <row r="2095" spans="11:15" x14ac:dyDescent="0.25">
      <c r="K2095" s="75" t="s">
        <v>13815</v>
      </c>
      <c r="L2095" s="75" t="s">
        <v>13816</v>
      </c>
      <c r="M2095" t="s">
        <v>14007</v>
      </c>
    </row>
    <row r="2096" spans="11:15" x14ac:dyDescent="0.25">
      <c r="K2096" s="75" t="s">
        <v>13958</v>
      </c>
      <c r="L2096" s="75" t="s">
        <v>342</v>
      </c>
      <c r="M2096" t="s">
        <v>14020</v>
      </c>
    </row>
    <row r="2097" spans="8:13" x14ac:dyDescent="0.25">
      <c r="K2097" s="75" t="s">
        <v>13885</v>
      </c>
      <c r="L2097" s="75" t="s">
        <v>6980</v>
      </c>
      <c r="M2097" t="s">
        <v>14019</v>
      </c>
    </row>
    <row r="2098" spans="8:13" x14ac:dyDescent="0.25">
      <c r="K2098" s="75" t="s">
        <v>14008</v>
      </c>
      <c r="L2098" t="s">
        <v>4068</v>
      </c>
      <c r="M2098" t="s">
        <v>14074</v>
      </c>
    </row>
    <row r="2099" spans="8:13" x14ac:dyDescent="0.25">
      <c r="K2099" s="75" t="s">
        <v>14053</v>
      </c>
      <c r="L2099" s="75" t="s">
        <v>342</v>
      </c>
      <c r="M2099" t="s">
        <v>14073</v>
      </c>
    </row>
    <row r="2100" spans="8:13" x14ac:dyDescent="0.25">
      <c r="K2100" s="75" t="s">
        <v>14023</v>
      </c>
      <c r="L2100" s="75" t="s">
        <v>6954</v>
      </c>
      <c r="M2100" t="s">
        <v>14121</v>
      </c>
    </row>
    <row r="2101" spans="8:13" x14ac:dyDescent="0.25">
      <c r="K2101" s="75" t="s">
        <v>13870</v>
      </c>
      <c r="L2101" s="75" t="s">
        <v>6954</v>
      </c>
      <c r="M2101" t="s">
        <v>14175</v>
      </c>
    </row>
    <row r="2102" spans="8:13" x14ac:dyDescent="0.25">
      <c r="K2102" s="75" t="s">
        <v>14467</v>
      </c>
      <c r="L2102" s="290" t="s">
        <v>12070</v>
      </c>
      <c r="M2102" t="s">
        <v>14525</v>
      </c>
    </row>
    <row r="2103" spans="8:13" x14ac:dyDescent="0.25">
      <c r="K2103" s="75" t="s">
        <v>10477</v>
      </c>
      <c r="L2103" s="75" t="s">
        <v>6954</v>
      </c>
      <c r="M2103" t="s">
        <v>14181</v>
      </c>
    </row>
    <row r="2104" spans="8:13" x14ac:dyDescent="0.25">
      <c r="K2104" s="75" t="s">
        <v>13858</v>
      </c>
      <c r="L2104" s="75" t="s">
        <v>341</v>
      </c>
      <c r="M2104" t="s">
        <v>14234</v>
      </c>
    </row>
    <row r="2105" spans="8:13" x14ac:dyDescent="0.25">
      <c r="K2105" s="75" t="s">
        <v>14339</v>
      </c>
      <c r="L2105" s="75" t="s">
        <v>4155</v>
      </c>
      <c r="M2105" t="s">
        <v>14541</v>
      </c>
    </row>
    <row r="2106" spans="8:13" x14ac:dyDescent="0.25">
      <c r="K2106" s="75" t="s">
        <v>14071</v>
      </c>
      <c r="L2106" s="75" t="s">
        <v>4068</v>
      </c>
      <c r="M2106" t="s">
        <v>14170</v>
      </c>
    </row>
    <row r="2107" spans="8:13" x14ac:dyDescent="0.25">
      <c r="K2107" s="75" t="s">
        <v>13905</v>
      </c>
      <c r="L2107" s="75" t="s">
        <v>6954</v>
      </c>
      <c r="M2107" t="s">
        <v>14072</v>
      </c>
    </row>
    <row r="2108" spans="8:13" x14ac:dyDescent="0.25">
      <c r="H2108" s="312"/>
      <c r="I2108" s="312"/>
      <c r="K2108" s="75" t="s">
        <v>14468</v>
      </c>
      <c r="L2108" s="75" t="s">
        <v>4155</v>
      </c>
      <c r="M2108" t="s">
        <v>14792</v>
      </c>
    </row>
    <row r="2109" spans="8:13" x14ac:dyDescent="0.25">
      <c r="H2109" s="312"/>
      <c r="I2109" s="312"/>
      <c r="K2109" s="75" t="s">
        <v>13387</v>
      </c>
      <c r="L2109" s="75" t="s">
        <v>4068</v>
      </c>
      <c r="M2109" t="s">
        <v>14432</v>
      </c>
    </row>
    <row r="2110" spans="8:13" x14ac:dyDescent="0.25">
      <c r="H2110" s="312"/>
      <c r="I2110" s="312"/>
      <c r="K2110" s="74" t="s">
        <v>14240</v>
      </c>
      <c r="L2110" s="290" t="s">
        <v>341</v>
      </c>
      <c r="M2110" t="s">
        <v>14429</v>
      </c>
    </row>
    <row r="2111" spans="8:13" x14ac:dyDescent="0.25">
      <c r="H2111" s="312"/>
      <c r="I2111" s="312"/>
      <c r="K2111" s="75" t="s">
        <v>14176</v>
      </c>
      <c r="L2111" s="75" t="s">
        <v>12070</v>
      </c>
      <c r="M2111" t="s">
        <v>14463</v>
      </c>
    </row>
    <row r="2112" spans="8:13" x14ac:dyDescent="0.25">
      <c r="H2112" s="312"/>
      <c r="I2112" s="312"/>
      <c r="K2112" s="74" t="s">
        <v>14182</v>
      </c>
      <c r="L2112" s="74" t="s">
        <v>6954</v>
      </c>
      <c r="M2112" t="s">
        <v>14393</v>
      </c>
    </row>
    <row r="2113" spans="8:13" x14ac:dyDescent="0.25">
      <c r="H2113" s="312"/>
      <c r="I2113" s="312"/>
      <c r="K2113" s="75" t="s">
        <v>13967</v>
      </c>
      <c r="L2113" s="75" t="s">
        <v>401</v>
      </c>
      <c r="M2113" t="s">
        <v>14567</v>
      </c>
    </row>
    <row r="2114" spans="8:13" x14ac:dyDescent="0.25">
      <c r="H2114" s="312"/>
      <c r="I2114" s="312"/>
      <c r="K2114" s="75" t="s">
        <v>14267</v>
      </c>
      <c r="L2114" s="75" t="s">
        <v>14268</v>
      </c>
      <c r="M2114" t="s">
        <v>14618</v>
      </c>
    </row>
    <row r="2115" spans="8:13" x14ac:dyDescent="0.25">
      <c r="H2115" s="312"/>
      <c r="I2115" s="312"/>
      <c r="K2115" s="75" t="s">
        <v>14452</v>
      </c>
      <c r="L2115" s="290" t="s">
        <v>4155</v>
      </c>
      <c r="M2115" t="s">
        <v>14593</v>
      </c>
    </row>
    <row r="2116" spans="8:13" x14ac:dyDescent="0.25">
      <c r="H2116" s="312"/>
      <c r="I2116" s="312"/>
      <c r="K2116" s="74" t="s">
        <v>13869</v>
      </c>
      <c r="L2116" s="74" t="s">
        <v>341</v>
      </c>
      <c r="M2116" t="s">
        <v>14688</v>
      </c>
    </row>
    <row r="2117" spans="8:13" x14ac:dyDescent="0.25">
      <c r="H2117" s="312"/>
      <c r="I2117" s="312"/>
      <c r="K2117" s="75" t="s">
        <v>14654</v>
      </c>
      <c r="L2117" s="290" t="s">
        <v>14655</v>
      </c>
      <c r="M2117" t="s">
        <v>14693</v>
      </c>
    </row>
    <row r="2118" spans="8:13" x14ac:dyDescent="0.25">
      <c r="H2118" s="312"/>
      <c r="I2118" s="312"/>
      <c r="K2118" s="75" t="s">
        <v>14549</v>
      </c>
      <c r="L2118" s="75" t="s">
        <v>14265</v>
      </c>
      <c r="M2118" t="s">
        <v>14743</v>
      </c>
    </row>
    <row r="2119" spans="8:13" x14ac:dyDescent="0.25">
      <c r="H2119" s="312"/>
      <c r="I2119" s="312"/>
      <c r="K2119" s="75" t="s">
        <v>14736</v>
      </c>
      <c r="L2119" s="75" t="s">
        <v>12071</v>
      </c>
      <c r="M2119" t="s">
        <v>14797</v>
      </c>
    </row>
    <row r="2120" spans="8:13" x14ac:dyDescent="0.25">
      <c r="H2120" s="312"/>
      <c r="I2120" s="312"/>
      <c r="K2120" s="75" t="s">
        <v>14690</v>
      </c>
      <c r="L2120" s="75" t="s">
        <v>14655</v>
      </c>
      <c r="M2120" t="s">
        <v>14860</v>
      </c>
    </row>
    <row r="2121" spans="8:13" x14ac:dyDescent="0.25">
      <c r="H2121" s="312"/>
      <c r="I2121" s="312"/>
      <c r="K2121" s="75" t="s">
        <v>14800</v>
      </c>
      <c r="L2121" s="75" t="s">
        <v>6954</v>
      </c>
      <c r="M2121" t="s">
        <v>14895</v>
      </c>
    </row>
    <row r="2122" spans="8:13" x14ac:dyDescent="0.25">
      <c r="H2122" s="312"/>
      <c r="I2122" s="312"/>
      <c r="K2122" s="75" t="s">
        <v>14488</v>
      </c>
      <c r="L2122" s="75" t="s">
        <v>342</v>
      </c>
      <c r="M2122" t="s">
        <v>14853</v>
      </c>
    </row>
    <row r="2123" spans="8:13" x14ac:dyDescent="0.25">
      <c r="H2123" s="312"/>
      <c r="I2123" s="312"/>
      <c r="K2123" s="75" t="s">
        <v>14941</v>
      </c>
      <c r="L2123" s="75" t="s">
        <v>4068</v>
      </c>
      <c r="M2123" t="s">
        <v>15153</v>
      </c>
    </row>
    <row r="2124" spans="8:13" x14ac:dyDescent="0.25">
      <c r="H2124" s="312"/>
      <c r="I2124" s="312"/>
      <c r="K2124" s="75" t="s">
        <v>14892</v>
      </c>
      <c r="L2124" s="75" t="s">
        <v>12070</v>
      </c>
      <c r="M2124" t="s">
        <v>15188</v>
      </c>
    </row>
    <row r="2125" spans="8:13" x14ac:dyDescent="0.25">
      <c r="H2125" s="312"/>
      <c r="I2125" s="312"/>
      <c r="K2125" s="75" t="s">
        <v>15193</v>
      </c>
      <c r="L2125" s="290" t="s">
        <v>12070</v>
      </c>
      <c r="M2125" t="s">
        <v>15212</v>
      </c>
    </row>
    <row r="2126" spans="8:13" x14ac:dyDescent="0.25">
      <c r="H2126" s="312"/>
      <c r="I2126" s="312"/>
      <c r="K2126" s="75" t="s">
        <v>15175</v>
      </c>
      <c r="L2126" s="290" t="s">
        <v>4068</v>
      </c>
      <c r="M2126" t="s">
        <v>15273</v>
      </c>
    </row>
    <row r="2127" spans="8:13" x14ac:dyDescent="0.25">
      <c r="H2127" s="312"/>
      <c r="I2127" s="312"/>
      <c r="K2127" s="75" t="s">
        <v>13657</v>
      </c>
      <c r="L2127" s="75" t="s">
        <v>340</v>
      </c>
      <c r="M2127" t="s">
        <v>15116</v>
      </c>
    </row>
    <row r="2128" spans="8:13" x14ac:dyDescent="0.25">
      <c r="H2128" s="312"/>
      <c r="I2128" s="312"/>
      <c r="K2128" s="380" t="s">
        <v>14744</v>
      </c>
      <c r="L2128" s="74" t="s">
        <v>14265</v>
      </c>
      <c r="M2128" t="s">
        <v>15094</v>
      </c>
    </row>
    <row r="2129" spans="1:26" x14ac:dyDescent="0.25">
      <c r="H2129" s="312"/>
      <c r="I2129" s="312"/>
      <c r="K2129" s="75" t="s">
        <v>14585</v>
      </c>
      <c r="L2129" s="75" t="s">
        <v>14572</v>
      </c>
      <c r="M2129" t="s">
        <v>14839</v>
      </c>
    </row>
    <row r="2130" spans="1:26" x14ac:dyDescent="0.25">
      <c r="H2130" s="312"/>
      <c r="I2130" s="312"/>
    </row>
    <row r="2131" spans="1:26" x14ac:dyDescent="0.25">
      <c r="H2131" s="312"/>
      <c r="I2131" s="312"/>
    </row>
    <row r="2132" spans="1:26" x14ac:dyDescent="0.25">
      <c r="H2132" s="312"/>
      <c r="I2132" s="312"/>
    </row>
    <row r="2133" spans="1:26" x14ac:dyDescent="0.25">
      <c r="H2133" s="312"/>
      <c r="I2133" s="312"/>
    </row>
    <row r="2134" spans="1:26" x14ac:dyDescent="0.25">
      <c r="H2134" s="312"/>
      <c r="I2134" s="312"/>
    </row>
    <row r="2135" spans="1:26" x14ac:dyDescent="0.25">
      <c r="H2135" s="312"/>
      <c r="I2135" s="312"/>
    </row>
    <row r="2136" spans="1:26" x14ac:dyDescent="0.25">
      <c r="H2136" s="312"/>
      <c r="I2136" s="312"/>
    </row>
    <row r="2137" spans="1:26" x14ac:dyDescent="0.25">
      <c r="H2137" s="312"/>
      <c r="I2137" s="312"/>
    </row>
    <row r="2138" spans="1:26" x14ac:dyDescent="0.25">
      <c r="H2138" s="312"/>
      <c r="I2138" s="312"/>
    </row>
    <row r="2139" spans="1:26" x14ac:dyDescent="0.25">
      <c r="H2139" s="312"/>
      <c r="I2139" s="312"/>
    </row>
    <row r="2140" spans="1:26" x14ac:dyDescent="0.25">
      <c r="H2140" s="312"/>
      <c r="I2140" s="312"/>
      <c r="N2140" s="118"/>
      <c r="O2140" s="118"/>
      <c r="P2140" s="118"/>
    </row>
    <row r="2141" spans="1:26" s="218" customFormat="1" x14ac:dyDescent="0.25">
      <c r="A2141" s="218" t="s">
        <v>3</v>
      </c>
      <c r="B2141" s="218">
        <f>COUNTA(B1926:B2054)-30</f>
        <v>40</v>
      </c>
      <c r="E2141" s="218">
        <f>COUNTA(E1926:E2054)-18</f>
        <v>50</v>
      </c>
      <c r="H2141" s="218">
        <f>COUNTA(H1926:H2054)-36</f>
        <v>22</v>
      </c>
      <c r="K2141" s="218">
        <f>COUNTA(K1926:K2054)-54</f>
        <v>75</v>
      </c>
      <c r="N2141" s="218">
        <f>COUNTA(N1926:N2054)-47</f>
        <v>82</v>
      </c>
      <c r="Q2141" s="218">
        <f>COUNTA(Q1926:Q2054)-2</f>
        <v>14</v>
      </c>
      <c r="T2141" s="218">
        <f>COUNTA(T1926:T2054)-20</f>
        <v>28</v>
      </c>
      <c r="W2141" s="218">
        <f>COUNTA(W1928:W2054)-9</f>
        <v>41</v>
      </c>
      <c r="Z2141" s="218">
        <f>SUBTOTAL(9,B2141:Y2141)</f>
        <v>352</v>
      </c>
    </row>
    <row r="2142" spans="1:26" x14ac:dyDescent="0.25">
      <c r="A2142" t="s">
        <v>1153</v>
      </c>
      <c r="B2142" s="84" t="s">
        <v>15233</v>
      </c>
      <c r="C2142" s="84" t="s">
        <v>14130</v>
      </c>
      <c r="D2142" t="s">
        <v>15234</v>
      </c>
      <c r="E2142" s="118" t="s">
        <v>15176</v>
      </c>
      <c r="F2142" s="216" t="s">
        <v>14130</v>
      </c>
      <c r="G2142" t="s">
        <v>15177</v>
      </c>
      <c r="H2142" s="75" t="s">
        <v>15006</v>
      </c>
      <c r="I2142" s="75" t="s">
        <v>14132</v>
      </c>
      <c r="J2142" t="s">
        <v>15367</v>
      </c>
      <c r="K2142" s="290" t="s">
        <v>13860</v>
      </c>
      <c r="L2142" t="s">
        <v>13633</v>
      </c>
      <c r="M2142" t="s">
        <v>15123</v>
      </c>
      <c r="N2142" s="290" t="s">
        <v>15418</v>
      </c>
      <c r="O2142" t="s">
        <v>12548</v>
      </c>
      <c r="P2142" t="s">
        <v>15419</v>
      </c>
      <c r="Q2142" s="75" t="s">
        <v>14229</v>
      </c>
      <c r="R2142" s="75" t="s">
        <v>14130</v>
      </c>
      <c r="S2142" t="s">
        <v>14504</v>
      </c>
      <c r="T2142" s="290" t="s">
        <v>15302</v>
      </c>
      <c r="U2142" s="290" t="s">
        <v>13633</v>
      </c>
      <c r="V2142" t="s">
        <v>15303</v>
      </c>
      <c r="W2142" s="84" t="s">
        <v>15050</v>
      </c>
      <c r="X2142" t="s">
        <v>14725</v>
      </c>
      <c r="Y2142" t="s">
        <v>15048</v>
      </c>
    </row>
    <row r="2143" spans="1:26" x14ac:dyDescent="0.25">
      <c r="B2143" s="290" t="s">
        <v>15374</v>
      </c>
      <c r="C2143" t="s">
        <v>14126</v>
      </c>
      <c r="D2143" t="s">
        <v>15375</v>
      </c>
      <c r="E2143" s="84" t="s">
        <v>14783</v>
      </c>
      <c r="F2143" t="s">
        <v>13633</v>
      </c>
      <c r="G2143" t="s">
        <v>14784</v>
      </c>
      <c r="H2143" s="75" t="s">
        <v>11281</v>
      </c>
      <c r="I2143" s="75" t="s">
        <v>14126</v>
      </c>
      <c r="J2143" t="s">
        <v>15290</v>
      </c>
      <c r="K2143" s="290" t="s">
        <v>15332</v>
      </c>
      <c r="L2143" t="s">
        <v>14132</v>
      </c>
      <c r="M2143" t="s">
        <v>15333</v>
      </c>
      <c r="N2143" s="74" t="s">
        <v>15196</v>
      </c>
      <c r="O2143" s="74" t="s">
        <v>14130</v>
      </c>
      <c r="P2143" t="s">
        <v>15423</v>
      </c>
      <c r="Q2143" s="75" t="s">
        <v>12796</v>
      </c>
      <c r="R2143" s="75" t="s">
        <v>12797</v>
      </c>
      <c r="S2143" t="s">
        <v>13356</v>
      </c>
      <c r="T2143" s="74" t="s">
        <v>15157</v>
      </c>
      <c r="U2143" s="216" t="s">
        <v>14126</v>
      </c>
      <c r="V2143" t="s">
        <v>15320</v>
      </c>
      <c r="W2143" s="75" t="s">
        <v>14049</v>
      </c>
      <c r="X2143" s="75" t="s">
        <v>13633</v>
      </c>
      <c r="Y2143" t="s">
        <v>14196</v>
      </c>
    </row>
    <row r="2144" spans="1:26" ht="15.75" x14ac:dyDescent="0.25">
      <c r="B2144" s="290" t="s">
        <v>15388</v>
      </c>
      <c r="C2144" t="s">
        <v>75</v>
      </c>
      <c r="D2144" s="118" t="s">
        <v>15389</v>
      </c>
      <c r="E2144" s="290" t="s">
        <v>15160</v>
      </c>
      <c r="F2144" s="290" t="s">
        <v>14971</v>
      </c>
      <c r="G2144" t="s">
        <v>15163</v>
      </c>
      <c r="H2144" s="404" t="s">
        <v>15142</v>
      </c>
      <c r="I2144" s="405" t="s">
        <v>14126</v>
      </c>
      <c r="J2144" t="s">
        <v>15289</v>
      </c>
      <c r="K2144" s="290" t="s">
        <v>15317</v>
      </c>
      <c r="L2144" t="s">
        <v>14701</v>
      </c>
      <c r="M2144" t="s">
        <v>15318</v>
      </c>
      <c r="N2144" s="75" t="s">
        <v>14538</v>
      </c>
      <c r="O2144" s="75" t="s">
        <v>75</v>
      </c>
      <c r="P2144" t="s">
        <v>15387</v>
      </c>
      <c r="Q2144" s="74" t="s">
        <v>11421</v>
      </c>
      <c r="R2144" s="216" t="s">
        <v>6878</v>
      </c>
      <c r="S2144" t="s">
        <v>11871</v>
      </c>
      <c r="T2144" s="75" t="s">
        <v>13632</v>
      </c>
      <c r="U2144" s="75" t="s">
        <v>13633</v>
      </c>
      <c r="V2144" t="s">
        <v>14039</v>
      </c>
      <c r="W2144" s="75" t="s">
        <v>14000</v>
      </c>
      <c r="X2144" s="75" t="s">
        <v>1507</v>
      </c>
      <c r="Y2144" t="s">
        <v>14195</v>
      </c>
    </row>
    <row r="2145" spans="2:25" x14ac:dyDescent="0.25">
      <c r="B2145" s="75" t="s">
        <v>14972</v>
      </c>
      <c r="C2145" s="75" t="s">
        <v>14126</v>
      </c>
      <c r="D2145" t="s">
        <v>15141</v>
      </c>
      <c r="E2145" s="290" t="s">
        <v>15340</v>
      </c>
      <c r="F2145" t="s">
        <v>14133</v>
      </c>
      <c r="G2145" t="s">
        <v>15339</v>
      </c>
      <c r="H2145" s="75" t="s">
        <v>14421</v>
      </c>
      <c r="I2145" s="75" t="s">
        <v>6930</v>
      </c>
      <c r="J2145" t="s">
        <v>14844</v>
      </c>
      <c r="K2145" s="290" t="s">
        <v>15365</v>
      </c>
      <c r="L2145" t="s">
        <v>14126</v>
      </c>
      <c r="M2145" s="118" t="s">
        <v>15366</v>
      </c>
      <c r="N2145" s="74" t="s">
        <v>14866</v>
      </c>
      <c r="O2145" s="74" t="s">
        <v>9885</v>
      </c>
      <c r="P2145" t="s">
        <v>15054</v>
      </c>
      <c r="Q2145" s="75" t="s">
        <v>13135</v>
      </c>
      <c r="R2145" s="75" t="s">
        <v>12197</v>
      </c>
      <c r="S2145" t="s">
        <v>13667</v>
      </c>
      <c r="T2145" s="75" t="s">
        <v>13922</v>
      </c>
      <c r="U2145" s="75" t="s">
        <v>12067</v>
      </c>
      <c r="V2145" t="s">
        <v>13973</v>
      </c>
      <c r="W2145" s="74" t="s">
        <v>12551</v>
      </c>
      <c r="X2145" s="216" t="s">
        <v>389</v>
      </c>
      <c r="Y2145" t="s">
        <v>12835</v>
      </c>
    </row>
    <row r="2146" spans="2:25" ht="15.75" x14ac:dyDescent="0.25">
      <c r="B2146" s="75" t="s">
        <v>14357</v>
      </c>
      <c r="C2146" s="75" t="s">
        <v>14132</v>
      </c>
      <c r="D2146" t="s">
        <v>14410</v>
      </c>
      <c r="E2146" s="404" t="s">
        <v>15142</v>
      </c>
      <c r="F2146" s="405" t="s">
        <v>14126</v>
      </c>
      <c r="G2146" t="s">
        <v>15282</v>
      </c>
      <c r="H2146" s="315" t="s">
        <v>14480</v>
      </c>
      <c r="I2146" s="315" t="s">
        <v>14228</v>
      </c>
      <c r="J2146" t="s">
        <v>14819</v>
      </c>
      <c r="K2146" s="75" t="s">
        <v>15300</v>
      </c>
      <c r="L2146" s="290" t="s">
        <v>14126</v>
      </c>
      <c r="M2146" t="s">
        <v>15373</v>
      </c>
      <c r="N2146" s="75" t="s">
        <v>14621</v>
      </c>
      <c r="O2146" s="75" t="s">
        <v>14446</v>
      </c>
      <c r="P2146" t="s">
        <v>14969</v>
      </c>
      <c r="Q2146" s="75" t="s">
        <v>10755</v>
      </c>
      <c r="R2146" s="216" t="s">
        <v>364</v>
      </c>
      <c r="S2146" t="s">
        <v>11769</v>
      </c>
      <c r="T2146" s="75" t="s">
        <v>13670</v>
      </c>
      <c r="U2146" s="75" t="s">
        <v>6930</v>
      </c>
      <c r="V2146" t="s">
        <v>13757</v>
      </c>
      <c r="W2146" s="74" t="s">
        <v>12362</v>
      </c>
      <c r="X2146" s="74" t="s">
        <v>4068</v>
      </c>
      <c r="Y2146" t="s">
        <v>12391</v>
      </c>
    </row>
    <row r="2147" spans="2:25" x14ac:dyDescent="0.25">
      <c r="B2147" s="75" t="s">
        <v>12038</v>
      </c>
      <c r="C2147" s="75" t="s">
        <v>12199</v>
      </c>
      <c r="D2147" t="s">
        <v>12202</v>
      </c>
      <c r="E2147" s="75" t="s">
        <v>11281</v>
      </c>
      <c r="F2147" s="75" t="s">
        <v>14126</v>
      </c>
      <c r="G2147" t="s">
        <v>15221</v>
      </c>
      <c r="H2147" s="75" t="s">
        <v>12104</v>
      </c>
      <c r="I2147" s="216" t="s">
        <v>363</v>
      </c>
      <c r="J2147" t="s">
        <v>12717</v>
      </c>
      <c r="K2147" s="75" t="s">
        <v>12953</v>
      </c>
      <c r="L2147" s="75" t="s">
        <v>14130</v>
      </c>
      <c r="M2147" t="s">
        <v>14879</v>
      </c>
      <c r="N2147" s="75" t="s">
        <v>14855</v>
      </c>
      <c r="O2147" s="75" t="s">
        <v>13633</v>
      </c>
      <c r="P2147" t="s">
        <v>14955</v>
      </c>
      <c r="Q2147" s="75" t="s">
        <v>11372</v>
      </c>
      <c r="R2147" s="75" t="s">
        <v>4122</v>
      </c>
      <c r="S2147" t="s">
        <v>11817</v>
      </c>
      <c r="T2147" s="75" t="s">
        <v>13576</v>
      </c>
      <c r="U2147" s="290" t="s">
        <v>12066</v>
      </c>
      <c r="V2147" s="63" t="s">
        <v>13753</v>
      </c>
      <c r="W2147" s="75" t="s">
        <v>12237</v>
      </c>
      <c r="X2147" s="75" t="s">
        <v>6930</v>
      </c>
      <c r="Y2147" t="s">
        <v>12443</v>
      </c>
    </row>
    <row r="2148" spans="2:25" x14ac:dyDescent="0.25">
      <c r="B2148" s="75" t="s">
        <v>12014</v>
      </c>
      <c r="C2148" s="75" t="s">
        <v>6931</v>
      </c>
      <c r="D2148" t="s">
        <v>12189</v>
      </c>
      <c r="E2148" s="75" t="s">
        <v>13674</v>
      </c>
      <c r="F2148" s="75" t="s">
        <v>14127</v>
      </c>
      <c r="G2148" t="s">
        <v>14526</v>
      </c>
      <c r="H2148" s="75" t="s">
        <v>10739</v>
      </c>
      <c r="I2148" s="216" t="s">
        <v>6931</v>
      </c>
      <c r="J2148" t="s">
        <v>12470</v>
      </c>
      <c r="K2148" s="75" t="s">
        <v>14751</v>
      </c>
      <c r="L2148" s="75" t="s">
        <v>14132</v>
      </c>
      <c r="M2148" t="s">
        <v>14867</v>
      </c>
      <c r="N2148" s="315" t="s">
        <v>14281</v>
      </c>
      <c r="O2148" s="75" t="s">
        <v>75</v>
      </c>
      <c r="P2148" t="s">
        <v>14575</v>
      </c>
      <c r="T2148" s="75" t="s">
        <v>13647</v>
      </c>
      <c r="U2148" s="290" t="s">
        <v>12199</v>
      </c>
      <c r="V2148" t="s">
        <v>13752</v>
      </c>
      <c r="W2148" s="75" t="s">
        <v>5442</v>
      </c>
      <c r="X2148" s="216" t="s">
        <v>389</v>
      </c>
      <c r="Y2148" t="s">
        <v>12018</v>
      </c>
    </row>
    <row r="2149" spans="2:25" x14ac:dyDescent="0.25">
      <c r="B2149" s="75" t="s">
        <v>12013</v>
      </c>
      <c r="C2149" s="75" t="s">
        <v>6931</v>
      </c>
      <c r="D2149" t="s">
        <v>12174</v>
      </c>
      <c r="E2149" s="75" t="s">
        <v>12803</v>
      </c>
      <c r="F2149" s="75" t="s">
        <v>12565</v>
      </c>
      <c r="G2149" t="s">
        <v>13421</v>
      </c>
      <c r="H2149" s="75" t="s">
        <v>12175</v>
      </c>
      <c r="I2149" s="75" t="s">
        <v>337</v>
      </c>
      <c r="J2149" t="s">
        <v>12608</v>
      </c>
      <c r="K2149" s="75" t="s">
        <v>14768</v>
      </c>
      <c r="L2149" s="75" t="s">
        <v>13633</v>
      </c>
      <c r="M2149" t="s">
        <v>14847</v>
      </c>
      <c r="N2149" s="75" t="s">
        <v>14466</v>
      </c>
      <c r="O2149" s="75" t="s">
        <v>13633</v>
      </c>
      <c r="P2149" t="s">
        <v>14635</v>
      </c>
      <c r="T2149" s="75" t="s">
        <v>11510</v>
      </c>
      <c r="U2149" s="75" t="s">
        <v>6930</v>
      </c>
      <c r="V2149" t="s">
        <v>11549</v>
      </c>
      <c r="W2149" s="74" t="s">
        <v>10601</v>
      </c>
      <c r="X2149" s="74" t="s">
        <v>389</v>
      </c>
      <c r="Y2149" t="s">
        <v>10811</v>
      </c>
    </row>
    <row r="2150" spans="2:25" x14ac:dyDescent="0.25">
      <c r="B2150" s="75" t="s">
        <v>12021</v>
      </c>
      <c r="C2150" s="75" t="s">
        <v>337</v>
      </c>
      <c r="D2150" t="s">
        <v>12173</v>
      </c>
      <c r="E2150" s="75" t="s">
        <v>12272</v>
      </c>
      <c r="F2150" s="216" t="s">
        <v>12549</v>
      </c>
      <c r="G2150" t="s">
        <v>12723</v>
      </c>
      <c r="H2150" s="75" t="s">
        <v>11284</v>
      </c>
      <c r="I2150" s="75" t="s">
        <v>9885</v>
      </c>
      <c r="J2150" t="s">
        <v>12299</v>
      </c>
      <c r="K2150" s="75" t="s">
        <v>13758</v>
      </c>
      <c r="L2150" s="75" t="s">
        <v>12565</v>
      </c>
      <c r="M2150" t="s">
        <v>13995</v>
      </c>
      <c r="N2150" s="75" t="s">
        <v>13761</v>
      </c>
      <c r="O2150" s="75" t="s">
        <v>14133</v>
      </c>
      <c r="P2150" t="s">
        <v>14203</v>
      </c>
      <c r="T2150" s="75" t="s">
        <v>10724</v>
      </c>
      <c r="U2150" s="216" t="s">
        <v>6931</v>
      </c>
      <c r="V2150" t="s">
        <v>11331</v>
      </c>
      <c r="W2150" s="75" t="s">
        <v>10812</v>
      </c>
      <c r="X2150" s="75" t="s">
        <v>389</v>
      </c>
      <c r="Y2150" t="s">
        <v>11167</v>
      </c>
    </row>
    <row r="2151" spans="2:25" x14ac:dyDescent="0.25">
      <c r="B2151" s="75" t="s">
        <v>12024</v>
      </c>
      <c r="C2151" t="s">
        <v>12070</v>
      </c>
      <c r="D2151" t="s">
        <v>12136</v>
      </c>
      <c r="E2151" s="75" t="s">
        <v>12141</v>
      </c>
      <c r="F2151" s="216" t="s">
        <v>12063</v>
      </c>
      <c r="G2151" t="s">
        <v>12707</v>
      </c>
      <c r="H2151" s="75" t="s">
        <v>11281</v>
      </c>
      <c r="I2151" s="75" t="s">
        <v>9886</v>
      </c>
      <c r="J2151" t="s">
        <v>11807</v>
      </c>
      <c r="K2151" s="75" t="s">
        <v>13722</v>
      </c>
      <c r="L2151" s="75" t="s">
        <v>12280</v>
      </c>
      <c r="M2151" t="s">
        <v>13968</v>
      </c>
      <c r="N2151" s="75" t="s">
        <v>13703</v>
      </c>
      <c r="O2151" s="75" t="s">
        <v>12548</v>
      </c>
      <c r="P2151" t="s">
        <v>13817</v>
      </c>
      <c r="T2151" s="74" t="s">
        <v>10877</v>
      </c>
      <c r="U2151" s="74" t="s">
        <v>3020</v>
      </c>
      <c r="V2151" t="s">
        <v>10951</v>
      </c>
      <c r="W2151" s="75" t="s">
        <v>10231</v>
      </c>
      <c r="X2151" s="216" t="s">
        <v>315</v>
      </c>
      <c r="Y2151" t="s">
        <v>10798</v>
      </c>
    </row>
    <row r="2152" spans="2:25" x14ac:dyDescent="0.25">
      <c r="B2152" s="75" t="s">
        <v>9791</v>
      </c>
      <c r="C2152" s="75" t="s">
        <v>6934</v>
      </c>
      <c r="D2152" t="s">
        <v>10040</v>
      </c>
      <c r="E2152" s="75" t="s">
        <v>11284</v>
      </c>
      <c r="F2152" s="75" t="s">
        <v>9885</v>
      </c>
      <c r="G2152" t="s">
        <v>12210</v>
      </c>
      <c r="H2152" s="75" t="s">
        <v>10041</v>
      </c>
      <c r="I2152" s="75" t="s">
        <v>6934</v>
      </c>
      <c r="J2152" t="s">
        <v>11535</v>
      </c>
      <c r="K2152" s="74" t="s">
        <v>11841</v>
      </c>
      <c r="L2152" s="74" t="s">
        <v>4122</v>
      </c>
      <c r="M2152" t="s">
        <v>11931</v>
      </c>
      <c r="N2152" s="74" t="s">
        <v>13561</v>
      </c>
      <c r="O2152" s="74" t="s">
        <v>12549</v>
      </c>
      <c r="P2152" t="s">
        <v>13810</v>
      </c>
      <c r="T2152" s="75" t="s">
        <v>10514</v>
      </c>
      <c r="U2152" s="75" t="s">
        <v>6929</v>
      </c>
      <c r="V2152" t="s">
        <v>10814</v>
      </c>
      <c r="W2152" s="75" t="s">
        <v>9916</v>
      </c>
      <c r="X2152" s="75" t="s">
        <v>965</v>
      </c>
      <c r="Y2152" t="s">
        <v>10572</v>
      </c>
    </row>
    <row r="2153" spans="2:25" x14ac:dyDescent="0.25">
      <c r="B2153" s="75" t="s">
        <v>11231</v>
      </c>
      <c r="C2153" s="75" t="s">
        <v>9886</v>
      </c>
      <c r="D2153" t="s">
        <v>11250</v>
      </c>
      <c r="E2153" s="75" t="s">
        <v>10102</v>
      </c>
      <c r="F2153" s="216" t="s">
        <v>362</v>
      </c>
      <c r="G2153" t="s">
        <v>11781</v>
      </c>
      <c r="H2153" s="75" t="s">
        <v>11698</v>
      </c>
      <c r="I2153" s="75" t="s">
        <v>6929</v>
      </c>
      <c r="J2153" t="s">
        <v>11996</v>
      </c>
      <c r="K2153" s="74" t="s">
        <v>11810</v>
      </c>
      <c r="L2153" s="74" t="s">
        <v>6929</v>
      </c>
      <c r="M2153" t="s">
        <v>12773</v>
      </c>
      <c r="N2153" s="75" t="s">
        <v>10157</v>
      </c>
      <c r="O2153" s="75" t="s">
        <v>9440</v>
      </c>
      <c r="P2153" t="s">
        <v>10204</v>
      </c>
      <c r="T2153" s="74" t="s">
        <v>6022</v>
      </c>
      <c r="U2153" s="74" t="s">
        <v>9440</v>
      </c>
      <c r="V2153" t="s">
        <v>9715</v>
      </c>
      <c r="W2153" s="75" t="s">
        <v>9165</v>
      </c>
      <c r="X2153" s="75" t="s">
        <v>655</v>
      </c>
      <c r="Y2153" t="s">
        <v>9724</v>
      </c>
    </row>
    <row r="2154" spans="2:25" x14ac:dyDescent="0.25">
      <c r="B2154" s="75" t="s">
        <v>11578</v>
      </c>
      <c r="C2154" s="75" t="s">
        <v>6929</v>
      </c>
      <c r="D2154" t="s">
        <v>11702</v>
      </c>
      <c r="E2154" s="75" t="s">
        <v>11281</v>
      </c>
      <c r="F2154" s="75" t="s">
        <v>9886</v>
      </c>
      <c r="G2154" t="s">
        <v>11752</v>
      </c>
      <c r="H2154" s="75" t="s">
        <v>10102</v>
      </c>
      <c r="I2154" s="216" t="s">
        <v>362</v>
      </c>
      <c r="J2154" t="s">
        <v>12181</v>
      </c>
      <c r="K2154" s="74" t="s">
        <v>11473</v>
      </c>
      <c r="L2154" s="74" t="s">
        <v>6932</v>
      </c>
      <c r="M2154" t="s">
        <v>11761</v>
      </c>
      <c r="N2154" s="75" t="s">
        <v>7728</v>
      </c>
      <c r="O2154" s="75" t="s">
        <v>6934</v>
      </c>
      <c r="P2154" t="s">
        <v>8124</v>
      </c>
      <c r="T2154" s="75" t="s">
        <v>4092</v>
      </c>
      <c r="U2154" s="75" t="s">
        <v>965</v>
      </c>
      <c r="V2154" t="s">
        <v>5242</v>
      </c>
      <c r="W2154" s="75" t="s">
        <v>8315</v>
      </c>
      <c r="X2154" s="75" t="s">
        <v>274</v>
      </c>
      <c r="Y2154" t="s">
        <v>9445</v>
      </c>
    </row>
    <row r="2155" spans="2:25" x14ac:dyDescent="0.25">
      <c r="B2155" s="75" t="s">
        <v>11083</v>
      </c>
      <c r="C2155" s="75" t="s">
        <v>9885</v>
      </c>
      <c r="D2155" t="s">
        <v>11285</v>
      </c>
      <c r="E2155" s="290" t="s">
        <v>12104</v>
      </c>
      <c r="F2155" s="216" t="s">
        <v>5705</v>
      </c>
      <c r="G2155" t="s">
        <v>12355</v>
      </c>
      <c r="H2155" s="75" t="s">
        <v>12087</v>
      </c>
      <c r="I2155" s="75" t="s">
        <v>6931</v>
      </c>
      <c r="J2155" t="s">
        <v>12941</v>
      </c>
      <c r="K2155" s="74" t="s">
        <v>10925</v>
      </c>
      <c r="L2155" s="74" t="s">
        <v>6928</v>
      </c>
      <c r="M2155" t="s">
        <v>11182</v>
      </c>
      <c r="N2155" s="75" t="s">
        <v>10956</v>
      </c>
      <c r="O2155" s="75" t="s">
        <v>597</v>
      </c>
      <c r="P2155" t="s">
        <v>11078</v>
      </c>
      <c r="T2155" s="75" t="s">
        <v>8675</v>
      </c>
      <c r="U2155" s="75" t="s">
        <v>6928</v>
      </c>
      <c r="V2155" t="s">
        <v>9171</v>
      </c>
      <c r="W2155" s="75" t="s">
        <v>8158</v>
      </c>
      <c r="X2155" s="75" t="s">
        <v>274</v>
      </c>
      <c r="Y2155" t="s">
        <v>8378</v>
      </c>
    </row>
    <row r="2156" spans="2:25" x14ac:dyDescent="0.25">
      <c r="B2156" s="75" t="s">
        <v>10460</v>
      </c>
      <c r="C2156" s="216" t="s">
        <v>636</v>
      </c>
      <c r="D2156" t="s">
        <v>10740</v>
      </c>
      <c r="E2156" s="75" t="s">
        <v>10739</v>
      </c>
      <c r="F2156" s="216" t="s">
        <v>6931</v>
      </c>
      <c r="G2156" t="s">
        <v>12377</v>
      </c>
      <c r="H2156" s="75" t="s">
        <v>12205</v>
      </c>
      <c r="I2156" s="75" t="s">
        <v>12199</v>
      </c>
      <c r="J2156" t="s">
        <v>12903</v>
      </c>
      <c r="K2156" s="74" t="s">
        <v>11043</v>
      </c>
      <c r="L2156" s="74" t="s">
        <v>6930</v>
      </c>
      <c r="M2156" t="s">
        <v>11055</v>
      </c>
      <c r="N2156" s="74" t="s">
        <v>11097</v>
      </c>
      <c r="O2156" s="75" t="s">
        <v>1905</v>
      </c>
      <c r="P2156" t="s">
        <v>11172</v>
      </c>
      <c r="T2156" s="74" t="s">
        <v>11344</v>
      </c>
      <c r="U2156" s="74" t="s">
        <v>1577</v>
      </c>
      <c r="V2156" t="s">
        <v>11360</v>
      </c>
      <c r="W2156" s="75" t="s">
        <v>5225</v>
      </c>
      <c r="X2156" s="75" t="s">
        <v>481</v>
      </c>
      <c r="Y2156" t="s">
        <v>5782</v>
      </c>
    </row>
    <row r="2157" spans="2:25" x14ac:dyDescent="0.25">
      <c r="B2157" s="75" t="s">
        <v>9752</v>
      </c>
      <c r="C2157" s="75" t="s">
        <v>9354</v>
      </c>
      <c r="D2157" t="s">
        <v>10169</v>
      </c>
      <c r="E2157" s="75" t="s">
        <v>10041</v>
      </c>
      <c r="F2157" s="75" t="s">
        <v>6934</v>
      </c>
      <c r="G2157" t="s">
        <v>11313</v>
      </c>
      <c r="H2157" s="75" t="s">
        <v>12491</v>
      </c>
      <c r="I2157" s="216" t="s">
        <v>12546</v>
      </c>
      <c r="J2157" t="s">
        <v>12859</v>
      </c>
      <c r="K2157" s="75" t="s">
        <v>10366</v>
      </c>
      <c r="L2157" s="75" t="s">
        <v>6933</v>
      </c>
      <c r="M2157" t="s">
        <v>11058</v>
      </c>
      <c r="N2157" s="75" t="s">
        <v>10997</v>
      </c>
      <c r="O2157" s="75" t="s">
        <v>6932</v>
      </c>
      <c r="P2157" t="s">
        <v>11216</v>
      </c>
      <c r="T2157" s="75" t="s">
        <v>11127</v>
      </c>
      <c r="U2157" s="75" t="s">
        <v>965</v>
      </c>
      <c r="V2157" t="s">
        <v>12461</v>
      </c>
      <c r="W2157" s="75" t="s">
        <v>5230</v>
      </c>
      <c r="X2157" s="75" t="s">
        <v>481</v>
      </c>
      <c r="Y2157" t="s">
        <v>5654</v>
      </c>
    </row>
    <row r="2158" spans="2:25" x14ac:dyDescent="0.25">
      <c r="B2158" s="75" t="s">
        <v>12040</v>
      </c>
      <c r="C2158" s="75" t="s">
        <v>362</v>
      </c>
      <c r="D2158" t="s">
        <v>12105</v>
      </c>
      <c r="E2158" s="75" t="s">
        <v>12175</v>
      </c>
      <c r="F2158" s="75" t="s">
        <v>337</v>
      </c>
      <c r="G2158" t="s">
        <v>12493</v>
      </c>
      <c r="H2158" s="75" t="s">
        <v>12272</v>
      </c>
      <c r="I2158" s="216" t="s">
        <v>12549</v>
      </c>
      <c r="J2158" t="s">
        <v>12818</v>
      </c>
      <c r="K2158" s="75" t="s">
        <v>10305</v>
      </c>
      <c r="L2158" s="75" t="s">
        <v>6930</v>
      </c>
      <c r="M2158" t="s">
        <v>13075</v>
      </c>
      <c r="N2158" s="75" t="s">
        <v>11122</v>
      </c>
      <c r="O2158" s="75" t="s">
        <v>1577</v>
      </c>
      <c r="P2158" t="s">
        <v>11234</v>
      </c>
      <c r="T2158" s="74" t="s">
        <v>12456</v>
      </c>
      <c r="U2158" s="74" t="s">
        <v>12236</v>
      </c>
      <c r="V2158" t="s">
        <v>12467</v>
      </c>
      <c r="W2158" s="75" t="s">
        <v>5232</v>
      </c>
      <c r="X2158" s="75" t="s">
        <v>274</v>
      </c>
      <c r="Y2158" t="s">
        <v>5655</v>
      </c>
    </row>
    <row r="2159" spans="2:25" x14ac:dyDescent="0.25">
      <c r="B2159" s="75" t="s">
        <v>11982</v>
      </c>
      <c r="C2159" s="75" t="s">
        <v>6931</v>
      </c>
      <c r="D2159" t="s">
        <v>12088</v>
      </c>
      <c r="E2159" s="75" t="s">
        <v>11698</v>
      </c>
      <c r="F2159" s="75" t="s">
        <v>6929</v>
      </c>
      <c r="G2159" t="s">
        <v>11961</v>
      </c>
      <c r="H2159" s="75" t="s">
        <v>12866</v>
      </c>
      <c r="I2159" s="75" t="s">
        <v>12280</v>
      </c>
      <c r="J2159" t="s">
        <v>13177</v>
      </c>
      <c r="K2159" s="75" t="s">
        <v>10405</v>
      </c>
      <c r="L2159" s="75" t="s">
        <v>6929</v>
      </c>
      <c r="M2159" t="s">
        <v>10726</v>
      </c>
      <c r="N2159" s="75" t="s">
        <v>11249</v>
      </c>
      <c r="O2159" s="75" t="s">
        <v>8197</v>
      </c>
      <c r="P2159" t="s">
        <v>11309</v>
      </c>
      <c r="T2159" s="75" t="s">
        <v>11898</v>
      </c>
      <c r="U2159" s="75" t="s">
        <v>6930</v>
      </c>
      <c r="V2159" t="s">
        <v>12407</v>
      </c>
      <c r="W2159" s="75" t="s">
        <v>7486</v>
      </c>
      <c r="X2159" s="216" t="s">
        <v>389</v>
      </c>
      <c r="Y2159" t="s">
        <v>10490</v>
      </c>
    </row>
    <row r="2160" spans="2:25" x14ac:dyDescent="0.25">
      <c r="B2160" s="74" t="s">
        <v>12123</v>
      </c>
      <c r="C2160" s="74" t="s">
        <v>362</v>
      </c>
      <c r="D2160" t="s">
        <v>12207</v>
      </c>
      <c r="E2160" s="75" t="s">
        <v>12087</v>
      </c>
      <c r="F2160" s="75" t="s">
        <v>6931</v>
      </c>
      <c r="G2160" t="s">
        <v>12805</v>
      </c>
      <c r="H2160" s="75" t="s">
        <v>12141</v>
      </c>
      <c r="I2160" s="216" t="s">
        <v>12063</v>
      </c>
      <c r="J2160" t="s">
        <v>12754</v>
      </c>
      <c r="K2160" s="75" t="s">
        <v>4843</v>
      </c>
      <c r="L2160" s="75" t="s">
        <v>4068</v>
      </c>
      <c r="M2160" t="s">
        <v>4844</v>
      </c>
      <c r="N2160" s="75" t="s">
        <v>11194</v>
      </c>
      <c r="O2160" s="75" t="s">
        <v>10002</v>
      </c>
      <c r="P2160" t="s">
        <v>11324</v>
      </c>
      <c r="T2160" s="75" t="s">
        <v>12687</v>
      </c>
      <c r="U2160" s="75" t="s">
        <v>12547</v>
      </c>
      <c r="V2160" t="s">
        <v>12730</v>
      </c>
      <c r="W2160" s="75" t="s">
        <v>10316</v>
      </c>
      <c r="X2160" s="75" t="s">
        <v>6928</v>
      </c>
      <c r="Y2160" t="s">
        <v>10500</v>
      </c>
    </row>
    <row r="2161" spans="2:25" x14ac:dyDescent="0.25">
      <c r="B2161" s="75" t="s">
        <v>12441</v>
      </c>
      <c r="C2161" s="75" t="s">
        <v>10253</v>
      </c>
      <c r="D2161" t="s">
        <v>12525</v>
      </c>
      <c r="E2161" s="75" t="s">
        <v>12225</v>
      </c>
      <c r="F2161" s="216" t="s">
        <v>12548</v>
      </c>
      <c r="G2161" t="s">
        <v>12806</v>
      </c>
      <c r="H2161" s="75" t="s">
        <v>12274</v>
      </c>
      <c r="I2161" s="75" t="s">
        <v>362</v>
      </c>
      <c r="J2161" t="s">
        <v>13327</v>
      </c>
      <c r="K2161" s="75" t="s">
        <v>4660</v>
      </c>
      <c r="L2161" s="75" t="s">
        <v>401</v>
      </c>
      <c r="M2161" t="s">
        <v>4839</v>
      </c>
      <c r="N2161" s="75" t="s">
        <v>11472</v>
      </c>
      <c r="O2161" s="75" t="s">
        <v>6931</v>
      </c>
      <c r="P2161" t="s">
        <v>11772</v>
      </c>
      <c r="T2161" s="75" t="s">
        <v>12674</v>
      </c>
      <c r="U2161" s="75" t="s">
        <v>12236</v>
      </c>
      <c r="V2161" s="63" t="s">
        <v>12900</v>
      </c>
      <c r="W2161" s="75" t="s">
        <v>11639</v>
      </c>
      <c r="X2161" s="75" t="s">
        <v>75</v>
      </c>
      <c r="Y2161" t="s">
        <v>11911</v>
      </c>
    </row>
    <row r="2162" spans="2:25" x14ac:dyDescent="0.25">
      <c r="B2162" s="75" t="s">
        <v>12332</v>
      </c>
      <c r="C2162" s="75" t="s">
        <v>746</v>
      </c>
      <c r="D2162" t="s">
        <v>12492</v>
      </c>
      <c r="E2162" s="75" t="s">
        <v>12491</v>
      </c>
      <c r="F2162" s="216" t="s">
        <v>12546</v>
      </c>
      <c r="G2162" t="s">
        <v>12807</v>
      </c>
      <c r="H2162" s="75" t="s">
        <v>13023</v>
      </c>
      <c r="I2162" s="75" t="s">
        <v>9885</v>
      </c>
      <c r="J2162" t="s">
        <v>13425</v>
      </c>
      <c r="K2162" s="75" t="s">
        <v>5116</v>
      </c>
      <c r="L2162" s="75" t="s">
        <v>6932</v>
      </c>
      <c r="M2162" t="s">
        <v>8061</v>
      </c>
      <c r="N2162" s="75" t="s">
        <v>11776</v>
      </c>
      <c r="O2162" s="75" t="s">
        <v>6931</v>
      </c>
      <c r="P2162" t="s">
        <v>12469</v>
      </c>
      <c r="T2162" s="75" t="s">
        <v>12738</v>
      </c>
      <c r="U2162" s="75" t="s">
        <v>6930</v>
      </c>
      <c r="V2162" t="s">
        <v>12862</v>
      </c>
      <c r="W2162" s="75" t="s">
        <v>11766</v>
      </c>
      <c r="X2162" s="75" t="s">
        <v>9885</v>
      </c>
      <c r="Y2162" t="s">
        <v>11912</v>
      </c>
    </row>
    <row r="2163" spans="2:25" x14ac:dyDescent="0.25">
      <c r="B2163" s="75" t="s">
        <v>12734</v>
      </c>
      <c r="C2163" s="75" t="s">
        <v>12280</v>
      </c>
      <c r="D2163" t="s">
        <v>12865</v>
      </c>
      <c r="E2163" s="75" t="s">
        <v>12188</v>
      </c>
      <c r="F2163" s="75" t="s">
        <v>6931</v>
      </c>
      <c r="G2163" t="s">
        <v>12985</v>
      </c>
      <c r="H2163" s="75" t="s">
        <v>12803</v>
      </c>
      <c r="I2163" s="75" t="s">
        <v>12565</v>
      </c>
      <c r="J2163" t="s">
        <v>13469</v>
      </c>
      <c r="K2163" s="75" t="s">
        <v>8570</v>
      </c>
      <c r="L2163" s="75" t="s">
        <v>6928</v>
      </c>
      <c r="M2163" t="s">
        <v>10098</v>
      </c>
      <c r="N2163" s="74" t="s">
        <v>12889</v>
      </c>
      <c r="O2163" s="216" t="s">
        <v>337</v>
      </c>
      <c r="P2163" t="s">
        <v>12890</v>
      </c>
      <c r="T2163" s="75" t="s">
        <v>12372</v>
      </c>
      <c r="U2163" s="75" t="s">
        <v>9885</v>
      </c>
      <c r="V2163" t="s">
        <v>12787</v>
      </c>
      <c r="W2163" s="75" t="s">
        <v>11127</v>
      </c>
      <c r="X2163" s="75" t="s">
        <v>6878</v>
      </c>
      <c r="Y2163" t="s">
        <v>12530</v>
      </c>
    </row>
    <row r="2164" spans="2:25" x14ac:dyDescent="0.25">
      <c r="B2164" s="75" t="s">
        <v>12735</v>
      </c>
      <c r="C2164" s="75" t="s">
        <v>12067</v>
      </c>
      <c r="D2164" t="s">
        <v>12850</v>
      </c>
      <c r="E2164" s="75" t="s">
        <v>12205</v>
      </c>
      <c r="F2164" s="75" t="s">
        <v>12199</v>
      </c>
      <c r="G2164" t="s">
        <v>12741</v>
      </c>
      <c r="H2164" s="75" t="s">
        <v>12176</v>
      </c>
      <c r="I2164" s="75" t="s">
        <v>6931</v>
      </c>
      <c r="J2164" t="s">
        <v>13319</v>
      </c>
      <c r="K2164" s="74" t="s">
        <v>7420</v>
      </c>
      <c r="L2164" s="74" t="s">
        <v>6929</v>
      </c>
      <c r="M2164" t="s">
        <v>10406</v>
      </c>
      <c r="N2164" s="75" t="s">
        <v>12403</v>
      </c>
      <c r="O2164" s="216" t="s">
        <v>12312</v>
      </c>
      <c r="P2164" t="s">
        <v>12775</v>
      </c>
      <c r="T2164" s="75" t="s">
        <v>13092</v>
      </c>
      <c r="U2164" s="75" t="s">
        <v>12236</v>
      </c>
      <c r="V2164" t="s">
        <v>13254</v>
      </c>
      <c r="W2164" s="75" t="s">
        <v>12257</v>
      </c>
      <c r="X2164" s="75" t="s">
        <v>6878</v>
      </c>
      <c r="Y2164" t="s">
        <v>12328</v>
      </c>
    </row>
    <row r="2165" spans="2:25" x14ac:dyDescent="0.25">
      <c r="B2165" s="75" t="s">
        <v>12649</v>
      </c>
      <c r="C2165" s="75" t="s">
        <v>12565</v>
      </c>
      <c r="D2165" t="s">
        <v>12804</v>
      </c>
      <c r="E2165" s="75" t="s">
        <v>12824</v>
      </c>
      <c r="F2165" s="75" t="s">
        <v>12067</v>
      </c>
      <c r="G2165" t="s">
        <v>13191</v>
      </c>
      <c r="H2165" s="75" t="s">
        <v>13297</v>
      </c>
      <c r="I2165" s="75" t="s">
        <v>12549</v>
      </c>
      <c r="J2165" t="s">
        <v>13516</v>
      </c>
      <c r="K2165" s="75" t="s">
        <v>9938</v>
      </c>
      <c r="L2165" s="75" t="s">
        <v>676</v>
      </c>
      <c r="M2165" t="s">
        <v>10620</v>
      </c>
      <c r="N2165" s="75" t="s">
        <v>12412</v>
      </c>
      <c r="O2165" s="75" t="s">
        <v>12312</v>
      </c>
      <c r="P2165" t="s">
        <v>12774</v>
      </c>
      <c r="T2165" s="75" t="s">
        <v>13026</v>
      </c>
      <c r="U2165" s="216" t="s">
        <v>13074</v>
      </c>
      <c r="V2165" t="s">
        <v>13253</v>
      </c>
      <c r="W2165" s="75" t="s">
        <v>8158</v>
      </c>
      <c r="X2165" s="75" t="s">
        <v>12236</v>
      </c>
      <c r="Y2165" t="s">
        <v>12667</v>
      </c>
    </row>
    <row r="2166" spans="2:25" x14ac:dyDescent="0.25">
      <c r="B2166" s="75" t="s">
        <v>12998</v>
      </c>
      <c r="C2166" s="75" t="s">
        <v>9885</v>
      </c>
      <c r="D2166" t="s">
        <v>13024</v>
      </c>
      <c r="E2166" s="75" t="s">
        <v>13015</v>
      </c>
      <c r="F2166" s="75" t="s">
        <v>12549</v>
      </c>
      <c r="G2166" t="s">
        <v>13182</v>
      </c>
      <c r="H2166" s="75" t="s">
        <v>13355</v>
      </c>
      <c r="I2166" s="75" t="s">
        <v>12568</v>
      </c>
      <c r="J2166" t="s">
        <v>13517</v>
      </c>
      <c r="K2166" s="75" t="s">
        <v>10101</v>
      </c>
      <c r="L2166" s="216" t="s">
        <v>6928</v>
      </c>
      <c r="M2166" t="s">
        <v>10809</v>
      </c>
      <c r="N2166" s="75" t="s">
        <v>12125</v>
      </c>
      <c r="O2166" s="75" t="s">
        <v>6931</v>
      </c>
      <c r="P2166" t="s">
        <v>12235</v>
      </c>
      <c r="T2166" s="75" t="s">
        <v>13317</v>
      </c>
      <c r="U2166" s="75" t="s">
        <v>12199</v>
      </c>
      <c r="V2166" t="s">
        <v>13350</v>
      </c>
      <c r="W2166" s="75" t="s">
        <v>12595</v>
      </c>
      <c r="X2166" s="216" t="s">
        <v>12585</v>
      </c>
      <c r="Y2166" t="s">
        <v>12755</v>
      </c>
    </row>
    <row r="2167" spans="2:25" x14ac:dyDescent="0.25">
      <c r="B2167" s="75" t="s">
        <v>12967</v>
      </c>
      <c r="C2167" s="75" t="s">
        <v>6930</v>
      </c>
      <c r="D2167" t="s">
        <v>13018</v>
      </c>
      <c r="E2167" s="75" t="s">
        <v>12866</v>
      </c>
      <c r="F2167" s="75" t="s">
        <v>12280</v>
      </c>
      <c r="G2167" t="s">
        <v>13134</v>
      </c>
      <c r="H2167" s="75" t="s">
        <v>13017</v>
      </c>
      <c r="I2167" s="75" t="s">
        <v>6930</v>
      </c>
      <c r="J2167" t="s">
        <v>13573</v>
      </c>
      <c r="K2167" s="75" t="s">
        <v>6603</v>
      </c>
      <c r="L2167" s="75" t="s">
        <v>8197</v>
      </c>
      <c r="M2167" t="s">
        <v>10841</v>
      </c>
      <c r="N2167" s="75" t="s">
        <v>12535</v>
      </c>
      <c r="O2167" s="75" t="s">
        <v>5705</v>
      </c>
      <c r="P2167" t="s">
        <v>12634</v>
      </c>
      <c r="T2167" s="74" t="s">
        <v>13255</v>
      </c>
      <c r="U2167" s="74" t="s">
        <v>12199</v>
      </c>
      <c r="V2167" t="s">
        <v>13400</v>
      </c>
      <c r="W2167" s="74" t="s">
        <v>10514</v>
      </c>
      <c r="X2167" s="74" t="s">
        <v>7984</v>
      </c>
      <c r="Y2167" t="s">
        <v>12913</v>
      </c>
    </row>
    <row r="2168" spans="2:25" x14ac:dyDescent="0.25">
      <c r="B2168" s="75" t="s">
        <v>12999</v>
      </c>
      <c r="C2168" s="75" t="s">
        <v>12549</v>
      </c>
      <c r="D2168" t="s">
        <v>13016</v>
      </c>
      <c r="E2168" s="75" t="s">
        <v>12274</v>
      </c>
      <c r="F2168" s="75" t="s">
        <v>362</v>
      </c>
      <c r="G2168" t="s">
        <v>13129</v>
      </c>
      <c r="H2168" s="75" t="s">
        <v>13211</v>
      </c>
      <c r="I2168" s="216" t="s">
        <v>12548</v>
      </c>
      <c r="J2168" t="s">
        <v>13681</v>
      </c>
      <c r="K2168" s="75" t="s">
        <v>10810</v>
      </c>
      <c r="L2168" s="75" t="s">
        <v>6932</v>
      </c>
      <c r="M2168" t="s">
        <v>10988</v>
      </c>
      <c r="N2168" s="75" t="s">
        <v>11472</v>
      </c>
      <c r="O2168" s="216" t="s">
        <v>12312</v>
      </c>
      <c r="P2168" t="s">
        <v>12564</v>
      </c>
      <c r="T2168" s="74" t="s">
        <v>13125</v>
      </c>
      <c r="U2168" s="74" t="s">
        <v>12199</v>
      </c>
      <c r="V2168" t="s">
        <v>13155</v>
      </c>
      <c r="W2168" s="75" t="s">
        <v>12914</v>
      </c>
      <c r="X2168" s="75" t="s">
        <v>12236</v>
      </c>
      <c r="Y2168" t="s">
        <v>13068</v>
      </c>
    </row>
    <row r="2169" spans="2:25" x14ac:dyDescent="0.25">
      <c r="B2169" s="75" t="s">
        <v>12122</v>
      </c>
      <c r="C2169" s="75" t="s">
        <v>362</v>
      </c>
      <c r="D2169" t="s">
        <v>12273</v>
      </c>
      <c r="E2169" s="75" t="s">
        <v>12524</v>
      </c>
      <c r="F2169" s="216" t="s">
        <v>12568</v>
      </c>
      <c r="G2169" t="s">
        <v>13071</v>
      </c>
      <c r="H2169" s="75" t="s">
        <v>13222</v>
      </c>
      <c r="I2169" s="75" t="s">
        <v>9885</v>
      </c>
      <c r="J2169" t="s">
        <v>13673</v>
      </c>
      <c r="K2169" s="75" t="s">
        <v>8075</v>
      </c>
      <c r="L2169" s="75" t="s">
        <v>6928</v>
      </c>
      <c r="M2169" t="s">
        <v>11124</v>
      </c>
      <c r="N2169" s="75" t="s">
        <v>11097</v>
      </c>
      <c r="O2169" s="75" t="s">
        <v>12071</v>
      </c>
      <c r="P2169" t="s">
        <v>12025</v>
      </c>
      <c r="T2169" s="75" t="s">
        <v>13429</v>
      </c>
      <c r="U2169" s="75" t="s">
        <v>6930</v>
      </c>
      <c r="V2169" t="s">
        <v>13507</v>
      </c>
      <c r="W2169" s="75" t="s">
        <v>12674</v>
      </c>
      <c r="X2169" s="75" t="s">
        <v>13072</v>
      </c>
      <c r="Y2169" t="s">
        <v>13185</v>
      </c>
    </row>
    <row r="2170" spans="2:25" x14ac:dyDescent="0.25">
      <c r="B2170" s="75" t="s">
        <v>13176</v>
      </c>
      <c r="C2170" s="75" t="s">
        <v>12280</v>
      </c>
      <c r="D2170" t="s">
        <v>13261</v>
      </c>
      <c r="E2170" s="75" t="s">
        <v>12176</v>
      </c>
      <c r="F2170" s="75" t="s">
        <v>6931</v>
      </c>
      <c r="G2170" t="s">
        <v>13025</v>
      </c>
      <c r="H2170" s="315" t="s">
        <v>13262</v>
      </c>
      <c r="I2170" s="315" t="s">
        <v>12280</v>
      </c>
      <c r="J2170" t="s">
        <v>13838</v>
      </c>
      <c r="K2170" s="75" t="s">
        <v>11123</v>
      </c>
      <c r="L2170" s="75" t="s">
        <v>10002</v>
      </c>
      <c r="M2170" t="s">
        <v>11193</v>
      </c>
      <c r="N2170" s="75" t="s">
        <v>12522</v>
      </c>
      <c r="O2170" s="75" t="s">
        <v>12067</v>
      </c>
      <c r="P2170" t="s">
        <v>12724</v>
      </c>
      <c r="T2170" s="75" t="s">
        <v>12771</v>
      </c>
      <c r="U2170" s="75" t="s">
        <v>9885</v>
      </c>
      <c r="V2170" t="s">
        <v>13593</v>
      </c>
      <c r="W2170" s="75" t="s">
        <v>12771</v>
      </c>
      <c r="X2170" s="290" t="s">
        <v>12546</v>
      </c>
      <c r="Y2170" t="s">
        <v>12981</v>
      </c>
    </row>
    <row r="2171" spans="2:25" x14ac:dyDescent="0.25">
      <c r="B2171" s="75" t="s">
        <v>13147</v>
      </c>
      <c r="C2171" s="75" t="s">
        <v>9885</v>
      </c>
      <c r="D2171" t="s">
        <v>13223</v>
      </c>
      <c r="E2171" s="75" t="s">
        <v>13023</v>
      </c>
      <c r="F2171" s="75" t="s">
        <v>9885</v>
      </c>
      <c r="G2171" t="s">
        <v>13369</v>
      </c>
      <c r="H2171" s="75" t="s">
        <v>13398</v>
      </c>
      <c r="I2171" s="75" t="s">
        <v>75</v>
      </c>
      <c r="J2171" t="s">
        <v>13893</v>
      </c>
      <c r="K2171" s="75" t="s">
        <v>11151</v>
      </c>
      <c r="L2171" s="75" t="s">
        <v>6929</v>
      </c>
      <c r="M2171" t="s">
        <v>11247</v>
      </c>
      <c r="N2171" s="74" t="s">
        <v>11852</v>
      </c>
      <c r="O2171" s="74" t="s">
        <v>6931</v>
      </c>
      <c r="P2171" t="s">
        <v>11951</v>
      </c>
      <c r="T2171" s="75" t="s">
        <v>13351</v>
      </c>
      <c r="U2171" s="75" t="s">
        <v>12786</v>
      </c>
      <c r="V2171" t="s">
        <v>13484</v>
      </c>
      <c r="W2171" s="75" t="s">
        <v>13328</v>
      </c>
      <c r="X2171" s="75" t="s">
        <v>12585</v>
      </c>
      <c r="Y2171" t="s">
        <v>13471</v>
      </c>
    </row>
    <row r="2172" spans="2:25" x14ac:dyDescent="0.25">
      <c r="B2172" s="75" t="s">
        <v>13203</v>
      </c>
      <c r="C2172" s="75" t="s">
        <v>12549</v>
      </c>
      <c r="D2172" t="s">
        <v>13298</v>
      </c>
      <c r="E2172" s="75" t="s">
        <v>13222</v>
      </c>
      <c r="F2172" s="75" t="s">
        <v>9885</v>
      </c>
      <c r="G2172" t="s">
        <v>13552</v>
      </c>
      <c r="H2172" s="75" t="s">
        <v>12225</v>
      </c>
      <c r="I2172" s="216" t="s">
        <v>12548</v>
      </c>
      <c r="J2172" t="s">
        <v>13247</v>
      </c>
      <c r="K2172" s="74" t="s">
        <v>11195</v>
      </c>
      <c r="L2172" s="74" t="s">
        <v>1808</v>
      </c>
      <c r="M2172" t="s">
        <v>11282</v>
      </c>
      <c r="N2172" s="75" t="s">
        <v>11459</v>
      </c>
      <c r="O2172" s="216" t="s">
        <v>6934</v>
      </c>
      <c r="P2172" t="s">
        <v>11624</v>
      </c>
      <c r="T2172" s="75" t="s">
        <v>11085</v>
      </c>
      <c r="U2172" s="75" t="s">
        <v>636</v>
      </c>
      <c r="V2172" t="s">
        <v>11938</v>
      </c>
      <c r="W2172" s="75" t="s">
        <v>13721</v>
      </c>
      <c r="X2172" s="75" t="s">
        <v>6216</v>
      </c>
      <c r="Y2172" t="s">
        <v>13916</v>
      </c>
    </row>
    <row r="2173" spans="2:25" x14ac:dyDescent="0.25">
      <c r="B2173" s="75" t="s">
        <v>13266</v>
      </c>
      <c r="C2173" s="216" t="s">
        <v>75</v>
      </c>
      <c r="D2173" t="s">
        <v>13399</v>
      </c>
      <c r="E2173" s="74" t="s">
        <v>13594</v>
      </c>
      <c r="F2173" s="290" t="s">
        <v>6931</v>
      </c>
      <c r="G2173" t="s">
        <v>13621</v>
      </c>
      <c r="H2173" s="75" t="s">
        <v>13367</v>
      </c>
      <c r="I2173" s="75" t="s">
        <v>13633</v>
      </c>
      <c r="J2173" t="s">
        <v>14214</v>
      </c>
      <c r="K2173" s="74" t="s">
        <v>11264</v>
      </c>
      <c r="L2173" s="216" t="s">
        <v>1577</v>
      </c>
      <c r="M2173" t="s">
        <v>11330</v>
      </c>
      <c r="N2173" s="75" t="s">
        <v>12635</v>
      </c>
      <c r="O2173" s="75" t="s">
        <v>9885</v>
      </c>
      <c r="P2173" t="s">
        <v>12880</v>
      </c>
      <c r="T2173" s="75" t="s">
        <v>10514</v>
      </c>
      <c r="U2173" s="75" t="s">
        <v>75</v>
      </c>
      <c r="V2173" t="s">
        <v>11808</v>
      </c>
      <c r="W2173" s="75" t="s">
        <v>13186</v>
      </c>
      <c r="X2173" s="75" t="s">
        <v>13072</v>
      </c>
      <c r="Y2173" t="s">
        <v>13470</v>
      </c>
    </row>
    <row r="2174" spans="2:25" x14ac:dyDescent="0.25">
      <c r="B2174" s="75" t="s">
        <v>13302</v>
      </c>
      <c r="C2174" s="75" t="s">
        <v>12547</v>
      </c>
      <c r="D2174" t="s">
        <v>13368</v>
      </c>
      <c r="E2174" s="75" t="s">
        <v>13211</v>
      </c>
      <c r="F2174" s="216" t="s">
        <v>12548</v>
      </c>
      <c r="G2174" t="s">
        <v>13607</v>
      </c>
      <c r="H2174" s="75" t="s">
        <v>13674</v>
      </c>
      <c r="I2174" s="75" t="s">
        <v>14127</v>
      </c>
      <c r="J2174" t="s">
        <v>14715</v>
      </c>
      <c r="K2174" s="74" t="s">
        <v>11070</v>
      </c>
      <c r="L2174" s="74" t="s">
        <v>8197</v>
      </c>
      <c r="M2174" t="s">
        <v>11368</v>
      </c>
      <c r="N2174" s="75" t="s">
        <v>12656</v>
      </c>
      <c r="O2174" s="75" t="s">
        <v>337</v>
      </c>
      <c r="P2174" t="s">
        <v>12879</v>
      </c>
      <c r="T2174" s="75" t="s">
        <v>11632</v>
      </c>
      <c r="U2174" s="75" t="s">
        <v>3170</v>
      </c>
      <c r="V2174" t="s">
        <v>11770</v>
      </c>
      <c r="W2174" s="75" t="s">
        <v>11127</v>
      </c>
      <c r="X2174" s="216" t="s">
        <v>12063</v>
      </c>
      <c r="Y2174" t="s">
        <v>12904</v>
      </c>
    </row>
    <row r="2175" spans="2:25" x14ac:dyDescent="0.25">
      <c r="B2175" s="75" t="s">
        <v>13295</v>
      </c>
      <c r="C2175" s="75" t="s">
        <v>12568</v>
      </c>
      <c r="D2175" t="s">
        <v>13354</v>
      </c>
      <c r="E2175" s="75" t="s">
        <v>13367</v>
      </c>
      <c r="F2175" s="75" t="s">
        <v>13633</v>
      </c>
      <c r="G2175" t="s">
        <v>13902</v>
      </c>
      <c r="H2175" s="315" t="s">
        <v>13651</v>
      </c>
      <c r="I2175" s="315" t="s">
        <v>12549</v>
      </c>
      <c r="J2175" t="s">
        <v>13938</v>
      </c>
      <c r="K2175" s="75" t="s">
        <v>11333</v>
      </c>
      <c r="L2175" s="75" t="s">
        <v>6930</v>
      </c>
      <c r="M2175" t="s">
        <v>11475</v>
      </c>
      <c r="N2175" s="75" t="s">
        <v>12648</v>
      </c>
      <c r="O2175" s="75" t="s">
        <v>12236</v>
      </c>
      <c r="P2175" t="s">
        <v>12871</v>
      </c>
      <c r="T2175" s="74" t="s">
        <v>13648</v>
      </c>
      <c r="U2175" s="74" t="s">
        <v>6930</v>
      </c>
      <c r="V2175" t="s">
        <v>13842</v>
      </c>
      <c r="W2175" s="75" t="s">
        <v>13988</v>
      </c>
      <c r="X2175" s="75" t="s">
        <v>13989</v>
      </c>
      <c r="Y2175" t="s">
        <v>14338</v>
      </c>
    </row>
    <row r="2176" spans="2:25" x14ac:dyDescent="0.25">
      <c r="B2176" s="75" t="s">
        <v>13546</v>
      </c>
      <c r="C2176" s="75" t="s">
        <v>337</v>
      </c>
      <c r="D2176" t="s">
        <v>13675</v>
      </c>
      <c r="E2176" s="75" t="s">
        <v>13651</v>
      </c>
      <c r="F2176" s="75" t="s">
        <v>12549</v>
      </c>
      <c r="G2176" t="s">
        <v>13875</v>
      </c>
      <c r="H2176" s="75" t="s">
        <v>12824</v>
      </c>
      <c r="I2176" s="75" t="s">
        <v>12067</v>
      </c>
      <c r="J2176" t="s">
        <v>13244</v>
      </c>
      <c r="K2176" s="75" t="s">
        <v>10813</v>
      </c>
      <c r="L2176" s="75" t="s">
        <v>9354</v>
      </c>
      <c r="M2176" t="s">
        <v>11476</v>
      </c>
      <c r="N2176" s="75" t="s">
        <v>11084</v>
      </c>
      <c r="O2176" s="216" t="s">
        <v>364</v>
      </c>
      <c r="P2176" t="s">
        <v>11395</v>
      </c>
      <c r="T2176" s="75" t="s">
        <v>12372</v>
      </c>
      <c r="U2176" s="75" t="s">
        <v>12144</v>
      </c>
      <c r="V2176" t="s">
        <v>14042</v>
      </c>
      <c r="W2176" s="75" t="s">
        <v>14358</v>
      </c>
      <c r="X2176" s="75" t="s">
        <v>13633</v>
      </c>
      <c r="Y2176" t="s">
        <v>14627</v>
      </c>
    </row>
    <row r="2177" spans="2:25" x14ac:dyDescent="0.25">
      <c r="B2177" s="75" t="s">
        <v>13819</v>
      </c>
      <c r="C2177" s="75" t="s">
        <v>12568</v>
      </c>
      <c r="D2177" t="s">
        <v>13946</v>
      </c>
      <c r="E2177" s="75" t="s">
        <v>13398</v>
      </c>
      <c r="F2177" s="75" t="s">
        <v>75</v>
      </c>
      <c r="G2177" t="s">
        <v>13736</v>
      </c>
      <c r="H2177" s="75" t="s">
        <v>12524</v>
      </c>
      <c r="I2177" s="216" t="s">
        <v>12568</v>
      </c>
      <c r="J2177" t="s">
        <v>13225</v>
      </c>
      <c r="K2177" s="75" t="s">
        <v>11369</v>
      </c>
      <c r="L2177" s="75" t="s">
        <v>329</v>
      </c>
      <c r="M2177" t="s">
        <v>11498</v>
      </c>
      <c r="N2177" s="75" t="s">
        <v>10910</v>
      </c>
      <c r="O2177" s="75" t="s">
        <v>3020</v>
      </c>
      <c r="P2177" t="s">
        <v>11334</v>
      </c>
      <c r="T2177" s="75" t="s">
        <v>14188</v>
      </c>
      <c r="U2177" s="75" t="s">
        <v>10002</v>
      </c>
      <c r="V2177" t="s">
        <v>14455</v>
      </c>
      <c r="W2177" s="75" t="s">
        <v>12750</v>
      </c>
      <c r="X2177" s="75" t="s">
        <v>14725</v>
      </c>
      <c r="Y2177" t="s">
        <v>14904</v>
      </c>
    </row>
    <row r="2178" spans="2:25" x14ac:dyDescent="0.25">
      <c r="B2178" s="75" t="s">
        <v>13452</v>
      </c>
      <c r="C2178" s="216" t="s">
        <v>12549</v>
      </c>
      <c r="D2178" t="s">
        <v>13652</v>
      </c>
      <c r="E2178" s="75" t="s">
        <v>13262</v>
      </c>
      <c r="F2178" s="75" t="s">
        <v>12280</v>
      </c>
      <c r="G2178" t="s">
        <v>13717</v>
      </c>
      <c r="H2178" s="75" t="s">
        <v>13015</v>
      </c>
      <c r="I2178" s="75" t="s">
        <v>12549</v>
      </c>
      <c r="J2178" t="s">
        <v>13202</v>
      </c>
      <c r="K2178" s="75" t="s">
        <v>11555</v>
      </c>
      <c r="L2178" s="216" t="s">
        <v>3170</v>
      </c>
      <c r="M2178" t="s">
        <v>11556</v>
      </c>
      <c r="N2178" s="75" t="s">
        <v>12889</v>
      </c>
      <c r="O2178" s="75" t="s">
        <v>337</v>
      </c>
      <c r="P2178" t="s">
        <v>13088</v>
      </c>
      <c r="T2178" s="75" t="s">
        <v>12674</v>
      </c>
      <c r="U2178" s="75" t="s">
        <v>14047</v>
      </c>
      <c r="V2178" t="s">
        <v>14219</v>
      </c>
    </row>
    <row r="2179" spans="2:25" x14ac:dyDescent="0.25">
      <c r="B2179" s="75" t="s">
        <v>13437</v>
      </c>
      <c r="C2179" s="216" t="s">
        <v>6931</v>
      </c>
      <c r="D2179" t="s">
        <v>13595</v>
      </c>
      <c r="E2179" s="75" t="s">
        <v>13017</v>
      </c>
      <c r="F2179" s="75" t="s">
        <v>6930</v>
      </c>
      <c r="G2179" t="s">
        <v>13548</v>
      </c>
      <c r="H2179" s="75" t="s">
        <v>13947</v>
      </c>
      <c r="I2179" s="75" t="s">
        <v>14126</v>
      </c>
      <c r="J2179" t="s">
        <v>14992</v>
      </c>
      <c r="K2179" s="75" t="s">
        <v>11536</v>
      </c>
      <c r="L2179" s="75" t="s">
        <v>3170</v>
      </c>
      <c r="M2179" t="s">
        <v>11633</v>
      </c>
      <c r="N2179" s="75" t="s">
        <v>13091</v>
      </c>
      <c r="O2179" s="216" t="s">
        <v>12548</v>
      </c>
      <c r="P2179" t="s">
        <v>13426</v>
      </c>
      <c r="T2179" s="75" t="s">
        <v>14582</v>
      </c>
      <c r="U2179" s="75" t="s">
        <v>10002</v>
      </c>
      <c r="V2179" t="s">
        <v>14662</v>
      </c>
    </row>
    <row r="2180" spans="2:25" x14ac:dyDescent="0.25">
      <c r="B2180" s="75" t="s">
        <v>13107</v>
      </c>
      <c r="C2180" s="216" t="s">
        <v>12548</v>
      </c>
      <c r="D2180" t="s">
        <v>13212</v>
      </c>
      <c r="E2180" s="75" t="s">
        <v>13355</v>
      </c>
      <c r="F2180" s="75" t="s">
        <v>12568</v>
      </c>
      <c r="G2180" t="s">
        <v>13481</v>
      </c>
      <c r="H2180" s="75" t="s">
        <v>14520</v>
      </c>
      <c r="I2180" s="75" t="s">
        <v>14133</v>
      </c>
      <c r="J2180" t="s">
        <v>14908</v>
      </c>
      <c r="K2180" s="75" t="s">
        <v>10067</v>
      </c>
      <c r="L2180" s="75" t="s">
        <v>363</v>
      </c>
      <c r="M2180" t="s">
        <v>11673</v>
      </c>
      <c r="N2180" s="75" t="s">
        <v>12834</v>
      </c>
      <c r="O2180" s="75" t="s">
        <v>12549</v>
      </c>
      <c r="P2180" t="s">
        <v>12968</v>
      </c>
      <c r="T2180" s="75" t="s">
        <v>14579</v>
      </c>
      <c r="U2180" s="75" t="s">
        <v>14130</v>
      </c>
      <c r="V2180" t="s">
        <v>14631</v>
      </c>
    </row>
    <row r="2181" spans="2:25" x14ac:dyDescent="0.25">
      <c r="B2181" s="75" t="s">
        <v>14345</v>
      </c>
      <c r="C2181" s="75" t="s">
        <v>14208</v>
      </c>
      <c r="D2181" t="s">
        <v>14385</v>
      </c>
      <c r="E2181" s="75" t="s">
        <v>13297</v>
      </c>
      <c r="F2181" s="75" t="s">
        <v>12549</v>
      </c>
      <c r="G2181" t="s">
        <v>13480</v>
      </c>
      <c r="H2181" s="75" t="s">
        <v>14657</v>
      </c>
      <c r="I2181" s="75" t="s">
        <v>362</v>
      </c>
      <c r="J2181" t="s">
        <v>15181</v>
      </c>
      <c r="K2181" s="74" t="s">
        <v>11725</v>
      </c>
      <c r="L2181" s="74" t="s">
        <v>389</v>
      </c>
      <c r="M2181" t="s">
        <v>11840</v>
      </c>
      <c r="N2181" s="75" t="s">
        <v>12535</v>
      </c>
      <c r="O2181" s="216" t="s">
        <v>336</v>
      </c>
      <c r="P2181" t="s">
        <v>13151</v>
      </c>
      <c r="T2181" s="75" t="s">
        <v>15030</v>
      </c>
      <c r="U2181" s="75" t="s">
        <v>13633</v>
      </c>
      <c r="V2181" t="s">
        <v>15102</v>
      </c>
    </row>
    <row r="2182" spans="2:25" x14ac:dyDescent="0.25">
      <c r="B2182" s="75" t="s">
        <v>12101</v>
      </c>
      <c r="C2182" s="216" t="s">
        <v>10253</v>
      </c>
      <c r="D2182" t="s">
        <v>12226</v>
      </c>
      <c r="E2182" s="75" t="s">
        <v>14386</v>
      </c>
      <c r="F2182" s="75" t="s">
        <v>14208</v>
      </c>
      <c r="G2182" t="s">
        <v>14846</v>
      </c>
      <c r="H2182" s="75" t="s">
        <v>15028</v>
      </c>
      <c r="I2182" s="75" t="s">
        <v>14130</v>
      </c>
      <c r="J2182" t="s">
        <v>15147</v>
      </c>
      <c r="K2182" s="75" t="s">
        <v>11768</v>
      </c>
      <c r="L2182" s="75" t="s">
        <v>636</v>
      </c>
      <c r="M2182" t="s">
        <v>11889</v>
      </c>
      <c r="N2182" s="75" t="s">
        <v>12943</v>
      </c>
      <c r="O2182" s="75" t="s">
        <v>6931</v>
      </c>
      <c r="P2182" t="s">
        <v>13150</v>
      </c>
      <c r="T2182" s="75" t="s">
        <v>13351</v>
      </c>
      <c r="U2182" s="290" t="s">
        <v>13633</v>
      </c>
      <c r="V2182" t="s">
        <v>15164</v>
      </c>
    </row>
    <row r="2183" spans="2:25" x14ac:dyDescent="0.25">
      <c r="B2183" s="75" t="s">
        <v>14397</v>
      </c>
      <c r="C2183" s="75" t="s">
        <v>14133</v>
      </c>
      <c r="D2183" t="s">
        <v>14519</v>
      </c>
      <c r="E2183" s="75" t="s">
        <v>14520</v>
      </c>
      <c r="F2183" s="75" t="s">
        <v>14133</v>
      </c>
      <c r="G2183" t="s">
        <v>14801</v>
      </c>
      <c r="H2183" s="75" t="s">
        <v>14481</v>
      </c>
      <c r="I2183" s="75" t="s">
        <v>14126</v>
      </c>
      <c r="J2183" t="s">
        <v>14903</v>
      </c>
      <c r="K2183" s="75" t="s">
        <v>11059</v>
      </c>
      <c r="L2183" s="216" t="s">
        <v>316</v>
      </c>
      <c r="M2183" t="s">
        <v>11890</v>
      </c>
      <c r="N2183" s="75" t="s">
        <v>12886</v>
      </c>
      <c r="O2183" s="75" t="s">
        <v>12547</v>
      </c>
      <c r="P2183" t="s">
        <v>13156</v>
      </c>
    </row>
    <row r="2184" spans="2:25" x14ac:dyDescent="0.25">
      <c r="B2184" s="75" t="s">
        <v>14341</v>
      </c>
      <c r="C2184" s="75" t="s">
        <v>14126</v>
      </c>
      <c r="D2184" t="s">
        <v>14342</v>
      </c>
      <c r="E2184" s="75" t="s">
        <v>13947</v>
      </c>
      <c r="F2184" s="75" t="s">
        <v>14126</v>
      </c>
      <c r="G2184" t="s">
        <v>14780</v>
      </c>
      <c r="K2184" s="75" t="s">
        <v>11762</v>
      </c>
      <c r="L2184" s="75" t="s">
        <v>6929</v>
      </c>
      <c r="M2184" t="s">
        <v>12011</v>
      </c>
      <c r="N2184" s="75" t="s">
        <v>13294</v>
      </c>
      <c r="O2184" s="75" t="s">
        <v>6930</v>
      </c>
      <c r="P2184" t="s">
        <v>13412</v>
      </c>
    </row>
    <row r="2185" spans="2:25" x14ac:dyDescent="0.25">
      <c r="B2185" s="75" t="s">
        <v>14577</v>
      </c>
      <c r="C2185" s="75" t="s">
        <v>75</v>
      </c>
      <c r="D2185" t="s">
        <v>14656</v>
      </c>
      <c r="E2185" s="75" t="s">
        <v>14481</v>
      </c>
      <c r="F2185" s="75" t="s">
        <v>14126</v>
      </c>
      <c r="G2185" t="s">
        <v>14739</v>
      </c>
      <c r="K2185" s="74" t="s">
        <v>11971</v>
      </c>
      <c r="L2185" s="74" t="s">
        <v>6878</v>
      </c>
      <c r="M2185" t="s">
        <v>11953</v>
      </c>
      <c r="N2185" s="75" t="s">
        <v>12536</v>
      </c>
      <c r="O2185" s="75" t="s">
        <v>6930</v>
      </c>
      <c r="P2185" t="s">
        <v>12966</v>
      </c>
    </row>
    <row r="2186" spans="2:25" x14ac:dyDescent="0.25">
      <c r="B2186" s="75" t="s">
        <v>14395</v>
      </c>
      <c r="C2186" s="75" t="s">
        <v>14228</v>
      </c>
      <c r="D2186" t="s">
        <v>14479</v>
      </c>
      <c r="E2186" s="75" t="s">
        <v>14480</v>
      </c>
      <c r="F2186" s="75" t="s">
        <v>14228</v>
      </c>
      <c r="G2186" t="s">
        <v>14698</v>
      </c>
      <c r="K2186" s="75" t="s">
        <v>12298</v>
      </c>
      <c r="L2186" s="75" t="s">
        <v>10002</v>
      </c>
      <c r="M2186" t="s">
        <v>12375</v>
      </c>
      <c r="N2186" s="75" t="s">
        <v>12710</v>
      </c>
      <c r="O2186" s="75" t="s">
        <v>10758</v>
      </c>
      <c r="P2186" t="s">
        <v>12951</v>
      </c>
    </row>
    <row r="2187" spans="2:25" x14ac:dyDescent="0.25">
      <c r="B2187" s="75" t="s">
        <v>14763</v>
      </c>
      <c r="C2187" s="75" t="s">
        <v>14127</v>
      </c>
      <c r="D2187" t="s">
        <v>14868</v>
      </c>
      <c r="E2187" s="75" t="s">
        <v>15028</v>
      </c>
      <c r="F2187" s="75" t="s">
        <v>14130</v>
      </c>
      <c r="G2187" s="118" t="s">
        <v>15122</v>
      </c>
      <c r="K2187" s="75" t="s">
        <v>11474</v>
      </c>
      <c r="L2187" s="216" t="s">
        <v>12280</v>
      </c>
      <c r="M2187" t="s">
        <v>12350</v>
      </c>
      <c r="N2187" s="75" t="s">
        <v>13161</v>
      </c>
      <c r="O2187" s="75" t="s">
        <v>336</v>
      </c>
      <c r="P2187" t="s">
        <v>13290</v>
      </c>
    </row>
    <row r="2188" spans="2:25" x14ac:dyDescent="0.25">
      <c r="B2188" s="75" t="s">
        <v>14749</v>
      </c>
      <c r="C2188" s="75" t="s">
        <v>14126</v>
      </c>
      <c r="D2188" t="s">
        <v>14891</v>
      </c>
      <c r="E2188" s="75" t="s">
        <v>14869</v>
      </c>
      <c r="F2188" s="290" t="s">
        <v>14127</v>
      </c>
      <c r="G2188" t="s">
        <v>15024</v>
      </c>
      <c r="K2188" s="74" t="s">
        <v>11932</v>
      </c>
      <c r="L2188" s="74" t="s">
        <v>4122</v>
      </c>
      <c r="M2188" t="s">
        <v>11952</v>
      </c>
      <c r="N2188" s="75" t="s">
        <v>13154</v>
      </c>
      <c r="O2188" s="75" t="s">
        <v>12547</v>
      </c>
      <c r="P2188" t="s">
        <v>13301</v>
      </c>
    </row>
    <row r="2189" spans="2:25" x14ac:dyDescent="0.25">
      <c r="B2189" s="75" t="s">
        <v>14639</v>
      </c>
      <c r="C2189" s="75" t="s">
        <v>13633</v>
      </c>
      <c r="D2189" t="s">
        <v>14782</v>
      </c>
      <c r="E2189" s="75" t="s">
        <v>14657</v>
      </c>
      <c r="F2189" s="75" t="s">
        <v>362</v>
      </c>
      <c r="G2189" t="s">
        <v>15088</v>
      </c>
      <c r="K2189" s="75" t="s">
        <v>12099</v>
      </c>
      <c r="L2189" s="216" t="s">
        <v>10253</v>
      </c>
      <c r="M2189" t="s">
        <v>12434</v>
      </c>
      <c r="N2189" s="75" t="s">
        <v>13126</v>
      </c>
      <c r="O2189" s="75" t="s">
        <v>12568</v>
      </c>
      <c r="P2189" t="s">
        <v>13285</v>
      </c>
    </row>
    <row r="2190" spans="2:25" x14ac:dyDescent="0.25">
      <c r="B2190" s="75" t="s">
        <v>14278</v>
      </c>
      <c r="C2190" s="75" t="s">
        <v>6930</v>
      </c>
      <c r="D2190" t="s">
        <v>14420</v>
      </c>
      <c r="E2190" s="75" t="s">
        <v>14421</v>
      </c>
      <c r="F2190" s="75" t="s">
        <v>6930</v>
      </c>
      <c r="G2190" t="s">
        <v>14691</v>
      </c>
      <c r="K2190" s="75" t="s">
        <v>12420</v>
      </c>
      <c r="L2190" s="216" t="s">
        <v>12547</v>
      </c>
      <c r="M2190" t="s">
        <v>12681</v>
      </c>
      <c r="N2190" s="75" t="s">
        <v>12997</v>
      </c>
      <c r="O2190" s="75" t="s">
        <v>9885</v>
      </c>
      <c r="P2190" t="s">
        <v>13245</v>
      </c>
    </row>
    <row r="2191" spans="2:25" x14ac:dyDescent="0.25">
      <c r="B2191" s="75" t="s">
        <v>14888</v>
      </c>
      <c r="C2191" s="75" t="s">
        <v>14130</v>
      </c>
      <c r="D2191" t="s">
        <v>15027</v>
      </c>
      <c r="E2191" s="75" t="s">
        <v>15006</v>
      </c>
      <c r="F2191" s="75" t="s">
        <v>14132</v>
      </c>
      <c r="G2191" t="s">
        <v>15283</v>
      </c>
      <c r="K2191" s="75" t="s">
        <v>12539</v>
      </c>
      <c r="L2191" s="216" t="s">
        <v>6930</v>
      </c>
      <c r="M2191" t="s">
        <v>12731</v>
      </c>
      <c r="N2191" s="75" t="s">
        <v>13256</v>
      </c>
      <c r="O2191" s="75" t="s">
        <v>12236</v>
      </c>
      <c r="P2191" t="s">
        <v>13473</v>
      </c>
    </row>
    <row r="2192" spans="2:25" x14ac:dyDescent="0.25">
      <c r="B2192" s="75" t="s">
        <v>15005</v>
      </c>
      <c r="C2192" s="216" t="s">
        <v>14130</v>
      </c>
      <c r="D2192" t="s">
        <v>15179</v>
      </c>
      <c r="K2192" s="75" t="s">
        <v>12378</v>
      </c>
      <c r="L2192" s="216" t="s">
        <v>337</v>
      </c>
      <c r="M2192" t="s">
        <v>12729</v>
      </c>
      <c r="N2192" s="75" t="s">
        <v>13303</v>
      </c>
      <c r="O2192" s="75" t="s">
        <v>337</v>
      </c>
      <c r="P2192" t="s">
        <v>13510</v>
      </c>
    </row>
    <row r="2193" spans="2:16" x14ac:dyDescent="0.25">
      <c r="B2193" s="75" t="s">
        <v>15113</v>
      </c>
      <c r="C2193" s="75" t="s">
        <v>14133</v>
      </c>
      <c r="D2193" t="s">
        <v>15338</v>
      </c>
      <c r="K2193" s="75" t="s">
        <v>7420</v>
      </c>
      <c r="L2193" s="75" t="s">
        <v>12144</v>
      </c>
      <c r="M2193" t="s">
        <v>12776</v>
      </c>
      <c r="N2193" s="75" t="s">
        <v>13217</v>
      </c>
      <c r="O2193" s="216" t="s">
        <v>337</v>
      </c>
      <c r="P2193" t="s">
        <v>13545</v>
      </c>
    </row>
    <row r="2194" spans="2:16" x14ac:dyDescent="0.25">
      <c r="B2194" s="75" t="s">
        <v>15089</v>
      </c>
      <c r="C2194" s="75" t="s">
        <v>14971</v>
      </c>
      <c r="D2194" t="s">
        <v>15159</v>
      </c>
      <c r="K2194" s="75" t="s">
        <v>12419</v>
      </c>
      <c r="L2194" s="75" t="s">
        <v>9885</v>
      </c>
      <c r="M2194" t="s">
        <v>12789</v>
      </c>
      <c r="N2194" s="75" t="s">
        <v>13435</v>
      </c>
      <c r="O2194" s="216" t="s">
        <v>13434</v>
      </c>
      <c r="P2194" t="s">
        <v>13557</v>
      </c>
    </row>
    <row r="2195" spans="2:16" x14ac:dyDescent="0.25">
      <c r="K2195" s="75" t="s">
        <v>12788</v>
      </c>
      <c r="L2195" s="75" t="s">
        <v>9885</v>
      </c>
      <c r="M2195" t="s">
        <v>12848</v>
      </c>
      <c r="N2195" s="75" t="s">
        <v>13248</v>
      </c>
      <c r="O2195" s="75" t="s">
        <v>13249</v>
      </c>
      <c r="P2195" t="s">
        <v>13577</v>
      </c>
    </row>
    <row r="2196" spans="2:16" x14ac:dyDescent="0.25">
      <c r="K2196" s="75" t="s">
        <v>12496</v>
      </c>
      <c r="L2196" s="75" t="s">
        <v>12144</v>
      </c>
      <c r="M2196" t="s">
        <v>12719</v>
      </c>
      <c r="N2196" s="75" t="s">
        <v>13506</v>
      </c>
      <c r="O2196" s="75" t="s">
        <v>12568</v>
      </c>
      <c r="P2196" t="s">
        <v>13597</v>
      </c>
    </row>
    <row r="2197" spans="2:16" x14ac:dyDescent="0.25">
      <c r="K2197" s="75" t="s">
        <v>12495</v>
      </c>
      <c r="L2197" s="75" t="s">
        <v>10758</v>
      </c>
      <c r="M2197" t="s">
        <v>12711</v>
      </c>
      <c r="N2197" s="75" t="s">
        <v>13436</v>
      </c>
      <c r="O2197" s="216" t="s">
        <v>10002</v>
      </c>
      <c r="P2197" t="s">
        <v>13556</v>
      </c>
    </row>
    <row r="2198" spans="2:16" x14ac:dyDescent="0.25">
      <c r="K2198" s="74" t="s">
        <v>12455</v>
      </c>
      <c r="L2198" s="74" t="s">
        <v>12236</v>
      </c>
      <c r="M2198" t="s">
        <v>12647</v>
      </c>
      <c r="N2198" s="75" t="s">
        <v>13526</v>
      </c>
      <c r="O2198" s="75" t="s">
        <v>12786</v>
      </c>
      <c r="P2198" t="s">
        <v>13630</v>
      </c>
    </row>
    <row r="2199" spans="2:16" x14ac:dyDescent="0.25">
      <c r="K2199" s="74" t="s">
        <v>12098</v>
      </c>
      <c r="L2199" s="216" t="s">
        <v>337</v>
      </c>
      <c r="M2199" t="s">
        <v>12637</v>
      </c>
      <c r="N2199" s="75" t="s">
        <v>13609</v>
      </c>
      <c r="O2199" s="75" t="s">
        <v>12568</v>
      </c>
      <c r="P2199" t="s">
        <v>13662</v>
      </c>
    </row>
    <row r="2200" spans="2:16" x14ac:dyDescent="0.25">
      <c r="K2200" s="75" t="s">
        <v>12736</v>
      </c>
      <c r="L2200" s="75" t="s">
        <v>337</v>
      </c>
      <c r="M2200" t="s">
        <v>12956</v>
      </c>
      <c r="N2200" s="74" t="s">
        <v>13610</v>
      </c>
      <c r="O2200" s="74" t="s">
        <v>6929</v>
      </c>
      <c r="P2200" t="s">
        <v>13654</v>
      </c>
    </row>
    <row r="2201" spans="2:16" x14ac:dyDescent="0.25">
      <c r="K2201" s="75" t="s">
        <v>12957</v>
      </c>
      <c r="L2201" s="75" t="s">
        <v>337</v>
      </c>
      <c r="M2201" t="s">
        <v>12990</v>
      </c>
      <c r="N2201" s="74" t="s">
        <v>13566</v>
      </c>
      <c r="O2201" s="74" t="s">
        <v>6930</v>
      </c>
      <c r="P2201" t="s">
        <v>13620</v>
      </c>
    </row>
    <row r="2202" spans="2:16" x14ac:dyDescent="0.25">
      <c r="K2202" s="75" t="s">
        <v>12950</v>
      </c>
      <c r="L2202" s="75" t="s">
        <v>12548</v>
      </c>
      <c r="M2202" t="s">
        <v>13004</v>
      </c>
      <c r="N2202" s="75" t="s">
        <v>13305</v>
      </c>
      <c r="O2202" s="216" t="s">
        <v>12549</v>
      </c>
      <c r="P2202" t="s">
        <v>13614</v>
      </c>
    </row>
    <row r="2203" spans="2:16" x14ac:dyDescent="0.25">
      <c r="K2203" s="75" t="s">
        <v>12953</v>
      </c>
      <c r="L2203" s="75" t="s">
        <v>10758</v>
      </c>
      <c r="M2203" t="s">
        <v>13120</v>
      </c>
      <c r="N2203" s="75" t="s">
        <v>13586</v>
      </c>
      <c r="O2203" s="290" t="s">
        <v>9885</v>
      </c>
      <c r="P2203" t="s">
        <v>13727</v>
      </c>
    </row>
    <row r="2204" spans="2:16" x14ac:dyDescent="0.25">
      <c r="K2204" s="75" t="s">
        <v>12034</v>
      </c>
      <c r="L2204" s="216" t="s">
        <v>12236</v>
      </c>
      <c r="M2204" t="s">
        <v>13128</v>
      </c>
      <c r="N2204" s="75" t="s">
        <v>12823</v>
      </c>
      <c r="O2204" s="75" t="s">
        <v>12548</v>
      </c>
      <c r="P2204" t="s">
        <v>12949</v>
      </c>
    </row>
    <row r="2205" spans="2:16" x14ac:dyDescent="0.25">
      <c r="K2205" s="75" t="s">
        <v>12991</v>
      </c>
      <c r="L2205" s="290" t="s">
        <v>337</v>
      </c>
      <c r="M2205" t="s">
        <v>13089</v>
      </c>
      <c r="N2205" s="74" t="s">
        <v>12943</v>
      </c>
      <c r="O2205" s="74" t="s">
        <v>12280</v>
      </c>
      <c r="P2205" t="s">
        <v>13756</v>
      </c>
    </row>
    <row r="2206" spans="2:16" x14ac:dyDescent="0.25">
      <c r="K2206" s="75" t="s">
        <v>12867</v>
      </c>
      <c r="L2206" s="75" t="s">
        <v>6930</v>
      </c>
      <c r="M2206" t="s">
        <v>13133</v>
      </c>
      <c r="N2206" s="75" t="s">
        <v>13682</v>
      </c>
      <c r="O2206" s="75" t="s">
        <v>13678</v>
      </c>
      <c r="P2206" t="s">
        <v>13754</v>
      </c>
    </row>
    <row r="2207" spans="2:16" x14ac:dyDescent="0.25">
      <c r="K2207" s="75" t="s">
        <v>13096</v>
      </c>
      <c r="L2207" s="75" t="s">
        <v>13097</v>
      </c>
      <c r="M2207" t="s">
        <v>13213</v>
      </c>
      <c r="N2207" s="75" t="s">
        <v>13635</v>
      </c>
      <c r="O2207" s="75" t="s">
        <v>12548</v>
      </c>
      <c r="P2207" t="s">
        <v>13737</v>
      </c>
    </row>
    <row r="2208" spans="2:16" x14ac:dyDescent="0.25">
      <c r="K2208" s="75" t="s">
        <v>13218</v>
      </c>
      <c r="L2208" s="75" t="s">
        <v>12199</v>
      </c>
      <c r="M2208" t="s">
        <v>13246</v>
      </c>
      <c r="N2208" s="75" t="s">
        <v>13310</v>
      </c>
      <c r="O2208" s="75" t="s">
        <v>12786</v>
      </c>
      <c r="P2208" t="s">
        <v>15068</v>
      </c>
    </row>
    <row r="2209" spans="11:16" x14ac:dyDescent="0.25">
      <c r="K2209" s="74" t="s">
        <v>13149</v>
      </c>
      <c r="L2209" s="74" t="s">
        <v>6930</v>
      </c>
      <c r="M2209" t="s">
        <v>13293</v>
      </c>
      <c r="N2209" s="75" t="s">
        <v>13098</v>
      </c>
      <c r="O2209" s="75" t="s">
        <v>6929</v>
      </c>
      <c r="P2209" t="s">
        <v>13334</v>
      </c>
    </row>
    <row r="2210" spans="11:16" x14ac:dyDescent="0.25">
      <c r="K2210" s="75" t="s">
        <v>13420</v>
      </c>
      <c r="L2210" s="75" t="s">
        <v>6929</v>
      </c>
      <c r="M2210" t="s">
        <v>13454</v>
      </c>
      <c r="N2210" s="75" t="s">
        <v>13684</v>
      </c>
      <c r="O2210" s="75" t="s">
        <v>12568</v>
      </c>
      <c r="P2210" t="s">
        <v>13825</v>
      </c>
    </row>
    <row r="2211" spans="11:16" x14ac:dyDescent="0.25">
      <c r="K2211" s="75" t="s">
        <v>12785</v>
      </c>
      <c r="L2211" s="75" t="s">
        <v>12786</v>
      </c>
      <c r="M2211" t="s">
        <v>13291</v>
      </c>
      <c r="N2211" s="75" t="s">
        <v>13759</v>
      </c>
      <c r="O2211" s="75" t="s">
        <v>12548</v>
      </c>
      <c r="P2211" t="s">
        <v>13898</v>
      </c>
    </row>
    <row r="2212" spans="11:16" x14ac:dyDescent="0.25">
      <c r="K2212" s="74" t="s">
        <v>11332</v>
      </c>
      <c r="L2212" s="216" t="s">
        <v>12236</v>
      </c>
      <c r="M2212" t="s">
        <v>13432</v>
      </c>
      <c r="N2212" s="75" t="s">
        <v>13669</v>
      </c>
      <c r="O2212" s="75" t="s">
        <v>12549</v>
      </c>
      <c r="P2212" t="s">
        <v>13974</v>
      </c>
    </row>
    <row r="2213" spans="11:16" x14ac:dyDescent="0.25">
      <c r="K2213" s="75" t="s">
        <v>13333</v>
      </c>
      <c r="L2213" s="75" t="s">
        <v>6931</v>
      </c>
      <c r="M2213" t="s">
        <v>13430</v>
      </c>
      <c r="N2213" s="75" t="s">
        <v>13782</v>
      </c>
      <c r="O2213" s="290" t="s">
        <v>965</v>
      </c>
      <c r="P2213" t="s">
        <v>13919</v>
      </c>
    </row>
    <row r="2214" spans="11:16" x14ac:dyDescent="0.25">
      <c r="K2214" s="75" t="s">
        <v>13090</v>
      </c>
      <c r="L2214" s="75" t="s">
        <v>337</v>
      </c>
      <c r="M2214" t="s">
        <v>13364</v>
      </c>
      <c r="N2214" s="74" t="s">
        <v>13856</v>
      </c>
      <c r="O2214" s="74" t="s">
        <v>13633</v>
      </c>
      <c r="P2214" t="s">
        <v>13881</v>
      </c>
    </row>
    <row r="2215" spans="11:16" x14ac:dyDescent="0.25">
      <c r="K2215" s="75" t="s">
        <v>13487</v>
      </c>
      <c r="L2215" s="75" t="s">
        <v>12786</v>
      </c>
      <c r="M2215" t="s">
        <v>13525</v>
      </c>
      <c r="N2215" s="75" t="s">
        <v>13824</v>
      </c>
      <c r="O2215" s="75" t="s">
        <v>12568</v>
      </c>
      <c r="P2215" t="s">
        <v>14009</v>
      </c>
    </row>
    <row r="2216" spans="11:16" x14ac:dyDescent="0.25">
      <c r="K2216" s="75" t="s">
        <v>13085</v>
      </c>
      <c r="L2216" s="317" t="s">
        <v>75</v>
      </c>
      <c r="M2216" t="s">
        <v>13265</v>
      </c>
      <c r="N2216" s="75" t="s">
        <v>13847</v>
      </c>
      <c r="O2216" s="216" t="s">
        <v>12568</v>
      </c>
      <c r="P2216" t="s">
        <v>14036</v>
      </c>
    </row>
    <row r="2217" spans="11:16" x14ac:dyDescent="0.25">
      <c r="K2217" s="75" t="s">
        <v>13361</v>
      </c>
      <c r="L2217" s="216" t="s">
        <v>6929</v>
      </c>
      <c r="M2217" t="s">
        <v>13503</v>
      </c>
      <c r="N2217" s="75" t="s">
        <v>13993</v>
      </c>
      <c r="O2217" s="75" t="s">
        <v>12565</v>
      </c>
      <c r="P2217" t="s">
        <v>14011</v>
      </c>
    </row>
    <row r="2218" spans="11:16" x14ac:dyDescent="0.25">
      <c r="K2218" s="75" t="s">
        <v>13003</v>
      </c>
      <c r="L2218" s="75" t="s">
        <v>12199</v>
      </c>
      <c r="M2218" t="s">
        <v>13121</v>
      </c>
      <c r="N2218" s="315" t="s">
        <v>13978</v>
      </c>
      <c r="O2218" s="75" t="s">
        <v>6930</v>
      </c>
      <c r="P2218" t="s">
        <v>14117</v>
      </c>
    </row>
    <row r="2219" spans="11:16" x14ac:dyDescent="0.25">
      <c r="K2219" s="75" t="s">
        <v>13485</v>
      </c>
      <c r="L2219" s="75" t="s">
        <v>12565</v>
      </c>
      <c r="M2219" t="s">
        <v>13558</v>
      </c>
      <c r="N2219" s="75" t="s">
        <v>13830</v>
      </c>
      <c r="O2219" s="75" t="s">
        <v>12945</v>
      </c>
      <c r="P2219" t="s">
        <v>13994</v>
      </c>
    </row>
    <row r="2220" spans="11:16" x14ac:dyDescent="0.25">
      <c r="K2220" s="75" t="s">
        <v>13440</v>
      </c>
      <c r="L2220" s="75" t="s">
        <v>6931</v>
      </c>
      <c r="M2220" t="s">
        <v>13535</v>
      </c>
      <c r="N2220" s="75" t="s">
        <v>14010</v>
      </c>
      <c r="O2220" s="75" t="s">
        <v>14132</v>
      </c>
      <c r="P2220" t="s">
        <v>14233</v>
      </c>
    </row>
    <row r="2221" spans="11:16" x14ac:dyDescent="0.25">
      <c r="K2221" s="75" t="s">
        <v>13509</v>
      </c>
      <c r="L2221" s="216" t="s">
        <v>6929</v>
      </c>
      <c r="M2221" t="s">
        <v>13598</v>
      </c>
      <c r="N2221" s="75" t="s">
        <v>13932</v>
      </c>
      <c r="O2221" s="75" t="s">
        <v>337</v>
      </c>
      <c r="P2221" t="s">
        <v>14275</v>
      </c>
    </row>
    <row r="2222" spans="11:16" x14ac:dyDescent="0.25">
      <c r="K2222" s="75" t="s">
        <v>13508</v>
      </c>
      <c r="L2222" s="75" t="s">
        <v>6930</v>
      </c>
      <c r="M2222" t="s">
        <v>13659</v>
      </c>
      <c r="N2222" s="75" t="s">
        <v>14287</v>
      </c>
      <c r="O2222" s="75" t="s">
        <v>14128</v>
      </c>
      <c r="P2222" t="s">
        <v>14351</v>
      </c>
    </row>
    <row r="2223" spans="11:16" x14ac:dyDescent="0.25">
      <c r="K2223" s="75" t="s">
        <v>12737</v>
      </c>
      <c r="L2223" s="317" t="s">
        <v>12199</v>
      </c>
      <c r="M2223" t="s">
        <v>13634</v>
      </c>
      <c r="N2223" s="75" t="s">
        <v>14046</v>
      </c>
      <c r="O2223" s="75" t="s">
        <v>14126</v>
      </c>
      <c r="P2223" t="s">
        <v>14340</v>
      </c>
    </row>
    <row r="2224" spans="11:16" x14ac:dyDescent="0.25">
      <c r="K2224" s="75" t="s">
        <v>13658</v>
      </c>
      <c r="L2224" s="75" t="s">
        <v>9885</v>
      </c>
      <c r="M2224" t="s">
        <v>13702</v>
      </c>
      <c r="N2224" s="75" t="s">
        <v>13977</v>
      </c>
      <c r="O2224" s="75" t="s">
        <v>14131</v>
      </c>
      <c r="P2224" t="s">
        <v>14273</v>
      </c>
    </row>
    <row r="2225" spans="2:16" x14ac:dyDescent="0.25">
      <c r="K2225" s="75" t="s">
        <v>13439</v>
      </c>
      <c r="L2225" s="75" t="s">
        <v>12548</v>
      </c>
      <c r="M2225" t="s">
        <v>13696</v>
      </c>
      <c r="N2225" s="75" t="s">
        <v>14276</v>
      </c>
      <c r="O2225" s="75" t="s">
        <v>337</v>
      </c>
      <c r="P2225" t="s">
        <v>14414</v>
      </c>
    </row>
    <row r="2226" spans="2:16" x14ac:dyDescent="0.25">
      <c r="B2226" s="324"/>
      <c r="C2226" s="324"/>
      <c r="D2226" s="324"/>
      <c r="K2226" s="74" t="s">
        <v>13560</v>
      </c>
      <c r="L2226" s="74" t="s">
        <v>12565</v>
      </c>
      <c r="M2226" t="s">
        <v>13693</v>
      </c>
      <c r="N2226" s="75" t="s">
        <v>14281</v>
      </c>
      <c r="O2226" s="75" t="s">
        <v>75</v>
      </c>
      <c r="P2226" t="s">
        <v>14456</v>
      </c>
    </row>
    <row r="2227" spans="2:16" x14ac:dyDescent="0.25">
      <c r="B2227" s="324"/>
      <c r="C2227" s="324"/>
      <c r="D2227" s="324"/>
      <c r="K2227" s="75" t="s">
        <v>13700</v>
      </c>
      <c r="L2227" s="75" t="s">
        <v>9885</v>
      </c>
      <c r="M2227" t="s">
        <v>13751</v>
      </c>
      <c r="N2227" s="75" t="s">
        <v>14347</v>
      </c>
      <c r="O2227" s="290" t="s">
        <v>14127</v>
      </c>
      <c r="P2227" t="s">
        <v>14475</v>
      </c>
    </row>
    <row r="2228" spans="2:16" x14ac:dyDescent="0.25">
      <c r="B2228" s="324"/>
      <c r="C2228" s="324"/>
      <c r="D2228" s="324"/>
      <c r="K2228" s="75" t="s">
        <v>13504</v>
      </c>
      <c r="L2228" s="75" t="s">
        <v>12568</v>
      </c>
      <c r="M2228" t="s">
        <v>13795</v>
      </c>
      <c r="N2228" s="75" t="s">
        <v>14505</v>
      </c>
      <c r="O2228" s="75" t="s">
        <v>14130</v>
      </c>
      <c r="P2228" t="s">
        <v>14528</v>
      </c>
    </row>
    <row r="2229" spans="2:16" x14ac:dyDescent="0.25">
      <c r="K2229" s="75" t="s">
        <v>13631</v>
      </c>
      <c r="L2229" s="75" t="s">
        <v>12786</v>
      </c>
      <c r="M2229" t="s">
        <v>13710</v>
      </c>
      <c r="N2229" s="75" t="s">
        <v>14054</v>
      </c>
      <c r="O2229" s="75" t="s">
        <v>6930</v>
      </c>
      <c r="P2229" t="s">
        <v>14277</v>
      </c>
    </row>
    <row r="2230" spans="2:16" x14ac:dyDescent="0.25">
      <c r="K2230" s="75" t="s">
        <v>13677</v>
      </c>
      <c r="L2230" s="75" t="s">
        <v>10002</v>
      </c>
      <c r="M2230" t="s">
        <v>13836</v>
      </c>
      <c r="N2230" s="75" t="s">
        <v>14434</v>
      </c>
      <c r="O2230" s="75" t="s">
        <v>14446</v>
      </c>
      <c r="P2230" t="s">
        <v>14692</v>
      </c>
    </row>
    <row r="2231" spans="2:16" x14ac:dyDescent="0.25">
      <c r="G2231" t="s">
        <v>47</v>
      </c>
      <c r="K2231" s="75" t="s">
        <v>13704</v>
      </c>
      <c r="L2231" s="75" t="s">
        <v>6930</v>
      </c>
      <c r="M2231" t="s">
        <v>13843</v>
      </c>
      <c r="N2231" s="315" t="s">
        <v>14348</v>
      </c>
      <c r="O2231" s="75" t="s">
        <v>14349</v>
      </c>
      <c r="P2231" t="s">
        <v>14586</v>
      </c>
    </row>
    <row r="2232" spans="2:16" x14ac:dyDescent="0.25">
      <c r="K2232" s="75" t="s">
        <v>13639</v>
      </c>
      <c r="L2232" s="75" t="s">
        <v>6930</v>
      </c>
      <c r="M2232" t="s">
        <v>13690</v>
      </c>
      <c r="N2232" s="75" t="s">
        <v>14466</v>
      </c>
      <c r="O2232" s="75" t="s">
        <v>13633</v>
      </c>
      <c r="P2232" t="s">
        <v>14635</v>
      </c>
    </row>
    <row r="2233" spans="2:16" x14ac:dyDescent="0.25">
      <c r="K2233" s="74" t="s">
        <v>13218</v>
      </c>
      <c r="L2233" s="74" t="s">
        <v>12797</v>
      </c>
      <c r="M2233" t="s">
        <v>13882</v>
      </c>
      <c r="N2233" s="75" t="s">
        <v>14236</v>
      </c>
      <c r="O2233" s="75" t="s">
        <v>14127</v>
      </c>
      <c r="P2233" t="s">
        <v>14652</v>
      </c>
    </row>
    <row r="2234" spans="2:16" x14ac:dyDescent="0.25">
      <c r="K2234" s="74" t="s">
        <v>12737</v>
      </c>
      <c r="L2234" s="216" t="s">
        <v>9885</v>
      </c>
      <c r="M2234" t="s">
        <v>13064</v>
      </c>
      <c r="N2234" s="315" t="s">
        <v>14118</v>
      </c>
      <c r="O2234" s="75" t="s">
        <v>14132</v>
      </c>
      <c r="P2234" t="s">
        <v>14750</v>
      </c>
    </row>
    <row r="2235" spans="2:16" x14ac:dyDescent="0.25">
      <c r="K2235" s="75" t="s">
        <v>12849</v>
      </c>
      <c r="L2235" s="75" t="s">
        <v>9885</v>
      </c>
      <c r="M2235" t="s">
        <v>12948</v>
      </c>
      <c r="N2235" s="75" t="s">
        <v>14920</v>
      </c>
      <c r="O2235" s="75" t="s">
        <v>14130</v>
      </c>
      <c r="P2235" t="s">
        <v>15232</v>
      </c>
    </row>
    <row r="2236" spans="2:16" x14ac:dyDescent="0.25">
      <c r="K2236" s="75" t="s">
        <v>13837</v>
      </c>
      <c r="L2236" s="75" t="s">
        <v>10002</v>
      </c>
      <c r="M2236" t="s">
        <v>13992</v>
      </c>
      <c r="N2236" s="75" t="s">
        <v>14626</v>
      </c>
      <c r="O2236" s="75" t="s">
        <v>14129</v>
      </c>
      <c r="P2236" t="s">
        <v>14771</v>
      </c>
    </row>
    <row r="2237" spans="2:16" x14ac:dyDescent="0.25">
      <c r="K2237" s="75" t="s">
        <v>14967</v>
      </c>
      <c r="L2237" s="75" t="s">
        <v>14223</v>
      </c>
      <c r="M2237" t="s">
        <v>15121</v>
      </c>
      <c r="N2237" s="75" t="s">
        <v>14524</v>
      </c>
      <c r="O2237" s="75" t="s">
        <v>9885</v>
      </c>
      <c r="P2237" t="s">
        <v>14865</v>
      </c>
    </row>
    <row r="2238" spans="2:16" x14ac:dyDescent="0.25">
      <c r="K2238" s="75" t="s">
        <v>13940</v>
      </c>
      <c r="L2238" s="75" t="s">
        <v>13939</v>
      </c>
      <c r="M2238" t="s">
        <v>14041</v>
      </c>
      <c r="N2238" s="75" t="s">
        <v>14856</v>
      </c>
      <c r="O2238" s="290" t="s">
        <v>14132</v>
      </c>
      <c r="P2238" t="s">
        <v>14910</v>
      </c>
    </row>
    <row r="2239" spans="2:16" x14ac:dyDescent="0.25">
      <c r="K2239" s="75" t="s">
        <v>14038</v>
      </c>
      <c r="L2239" s="75" t="s">
        <v>9885</v>
      </c>
      <c r="M2239" t="s">
        <v>14125</v>
      </c>
      <c r="N2239" s="75" t="s">
        <v>14661</v>
      </c>
      <c r="O2239" s="75" t="s">
        <v>14130</v>
      </c>
      <c r="P2239" t="s">
        <v>14927</v>
      </c>
    </row>
    <row r="2240" spans="2:16" x14ac:dyDescent="0.25">
      <c r="K2240" s="75" t="s">
        <v>14013</v>
      </c>
      <c r="L2240" s="75" t="s">
        <v>13633</v>
      </c>
      <c r="M2240" t="s">
        <v>14014</v>
      </c>
      <c r="N2240" s="75" t="s">
        <v>14777</v>
      </c>
      <c r="O2240" s="290" t="s">
        <v>13633</v>
      </c>
      <c r="P2240" t="s">
        <v>14944</v>
      </c>
    </row>
    <row r="2241" spans="11:16" x14ac:dyDescent="0.25">
      <c r="K2241" s="75" t="s">
        <v>13005</v>
      </c>
      <c r="L2241" s="75" t="s">
        <v>12945</v>
      </c>
      <c r="M2241" t="s">
        <v>14116</v>
      </c>
      <c r="N2241" s="75" t="s">
        <v>14945</v>
      </c>
      <c r="O2241" s="75" t="s">
        <v>14130</v>
      </c>
      <c r="P2241" t="s">
        <v>15031</v>
      </c>
    </row>
    <row r="2242" spans="11:16" x14ac:dyDescent="0.25">
      <c r="K2242" s="74" t="s">
        <v>13949</v>
      </c>
      <c r="L2242" s="74" t="s">
        <v>12549</v>
      </c>
      <c r="M2242" t="s">
        <v>14090</v>
      </c>
      <c r="N2242" s="74" t="s">
        <v>15051</v>
      </c>
      <c r="O2242" s="74" t="s">
        <v>14130</v>
      </c>
      <c r="P2242" t="s">
        <v>15132</v>
      </c>
    </row>
    <row r="2243" spans="11:16" x14ac:dyDescent="0.25">
      <c r="K2243" s="75" t="s">
        <v>13855</v>
      </c>
      <c r="L2243" s="75" t="s">
        <v>6930</v>
      </c>
      <c r="M2243" t="s">
        <v>14040</v>
      </c>
      <c r="N2243" s="74" t="s">
        <v>14911</v>
      </c>
      <c r="O2243" s="74" t="s">
        <v>12548</v>
      </c>
      <c r="P2243" t="s">
        <v>15390</v>
      </c>
    </row>
    <row r="2244" spans="11:16" x14ac:dyDescent="0.25">
      <c r="K2244" s="74" t="s">
        <v>14048</v>
      </c>
      <c r="L2244" s="74" t="s">
        <v>14130</v>
      </c>
      <c r="M2244" t="s">
        <v>14274</v>
      </c>
    </row>
    <row r="2245" spans="11:16" x14ac:dyDescent="0.25">
      <c r="K2245" s="75" t="s">
        <v>14209</v>
      </c>
      <c r="L2245" s="75" t="s">
        <v>13633</v>
      </c>
      <c r="M2245" t="s">
        <v>14272</v>
      </c>
    </row>
    <row r="2246" spans="11:16" x14ac:dyDescent="0.25">
      <c r="K2246" s="75" t="s">
        <v>14222</v>
      </c>
      <c r="L2246" s="75" t="s">
        <v>14223</v>
      </c>
      <c r="M2246" t="s">
        <v>14327</v>
      </c>
    </row>
    <row r="2247" spans="11:16" x14ac:dyDescent="0.25">
      <c r="K2247" s="75" t="s">
        <v>14291</v>
      </c>
      <c r="L2247" s="75" t="s">
        <v>14131</v>
      </c>
      <c r="M2247" t="s">
        <v>14343</v>
      </c>
    </row>
    <row r="2248" spans="11:16" x14ac:dyDescent="0.25">
      <c r="K2248" s="74" t="s">
        <v>14279</v>
      </c>
      <c r="L2248" s="74" t="s">
        <v>14280</v>
      </c>
      <c r="M2248" t="s">
        <v>14376</v>
      </c>
    </row>
    <row r="2249" spans="11:16" x14ac:dyDescent="0.25">
      <c r="K2249" s="75" t="s">
        <v>14388</v>
      </c>
      <c r="L2249" s="75" t="s">
        <v>14130</v>
      </c>
      <c r="M2249" t="s">
        <v>14433</v>
      </c>
    </row>
    <row r="2250" spans="11:16" x14ac:dyDescent="0.25">
      <c r="K2250" s="74" t="s">
        <v>12495</v>
      </c>
      <c r="L2250" s="74" t="s">
        <v>9885</v>
      </c>
      <c r="M2250" t="s">
        <v>14522</v>
      </c>
    </row>
    <row r="2251" spans="11:16" x14ac:dyDescent="0.25">
      <c r="K2251" s="74" t="s">
        <v>14453</v>
      </c>
      <c r="L2251" t="s">
        <v>10002</v>
      </c>
      <c r="M2251" t="s">
        <v>14539</v>
      </c>
    </row>
    <row r="2252" spans="11:16" x14ac:dyDescent="0.25">
      <c r="K2252" s="75" t="s">
        <v>13915</v>
      </c>
      <c r="L2252" s="75" t="s">
        <v>75</v>
      </c>
      <c r="M2252" t="s">
        <v>14540</v>
      </c>
    </row>
    <row r="2253" spans="11:16" x14ac:dyDescent="0.25">
      <c r="K2253" s="75" t="s">
        <v>14537</v>
      </c>
      <c r="L2253" s="75" t="s">
        <v>10002</v>
      </c>
      <c r="M2253" t="s">
        <v>14581</v>
      </c>
    </row>
    <row r="2254" spans="11:16" x14ac:dyDescent="0.25">
      <c r="K2254" s="75" t="s">
        <v>14390</v>
      </c>
      <c r="L2254" s="75" t="s">
        <v>14129</v>
      </c>
      <c r="M2254" t="s">
        <v>14620</v>
      </c>
    </row>
    <row r="2255" spans="11:16" x14ac:dyDescent="0.25">
      <c r="K2255" s="75" t="s">
        <v>14529</v>
      </c>
      <c r="L2255" s="75" t="s">
        <v>14130</v>
      </c>
      <c r="M2255" t="s">
        <v>14531</v>
      </c>
    </row>
    <row r="2256" spans="11:16" x14ac:dyDescent="0.25">
      <c r="K2256" s="75" t="s">
        <v>14173</v>
      </c>
      <c r="L2256" s="75" t="s">
        <v>14133</v>
      </c>
      <c r="M2256" t="s">
        <v>14396</v>
      </c>
    </row>
    <row r="2257" spans="11:13" x14ac:dyDescent="0.25">
      <c r="K2257" s="75" t="s">
        <v>14312</v>
      </c>
      <c r="L2257" s="75" t="s">
        <v>13633</v>
      </c>
      <c r="M2257" t="s">
        <v>14465</v>
      </c>
    </row>
    <row r="2258" spans="11:13" x14ac:dyDescent="0.25">
      <c r="K2258" s="75" t="s">
        <v>14536</v>
      </c>
      <c r="L2258" s="75" t="s">
        <v>14223</v>
      </c>
      <c r="M2258" t="s">
        <v>14745</v>
      </c>
    </row>
    <row r="2259" spans="11:13" x14ac:dyDescent="0.25">
      <c r="K2259" s="74" t="s">
        <v>14632</v>
      </c>
      <c r="L2259" s="74" t="s">
        <v>14130</v>
      </c>
      <c r="M2259" t="s">
        <v>14718</v>
      </c>
    </row>
    <row r="2260" spans="11:13" x14ac:dyDescent="0.25">
      <c r="K2260" s="75" t="s">
        <v>14670</v>
      </c>
      <c r="L2260" s="290" t="s">
        <v>13633</v>
      </c>
      <c r="M2260" t="s">
        <v>14767</v>
      </c>
    </row>
    <row r="2261" spans="11:13" x14ac:dyDescent="0.25">
      <c r="K2261" s="75" t="s">
        <v>14613</v>
      </c>
      <c r="L2261" s="75" t="s">
        <v>14349</v>
      </c>
      <c r="M2261" t="s">
        <v>14773</v>
      </c>
    </row>
    <row r="2262" spans="11:13" x14ac:dyDescent="0.25">
      <c r="K2262" s="75" t="s">
        <v>14565</v>
      </c>
      <c r="L2262" s="75" t="s">
        <v>14130</v>
      </c>
      <c r="M2262" t="s">
        <v>14843</v>
      </c>
    </row>
    <row r="2263" spans="11:13" x14ac:dyDescent="0.25">
      <c r="K2263" s="75" t="s">
        <v>14628</v>
      </c>
      <c r="L2263" s="75" t="s">
        <v>13633</v>
      </c>
      <c r="M2263" t="s">
        <v>14769</v>
      </c>
    </row>
    <row r="2264" spans="11:13" x14ac:dyDescent="0.25">
      <c r="K2264" s="75" t="s">
        <v>14820</v>
      </c>
      <c r="L2264" s="75" t="s">
        <v>14228</v>
      </c>
      <c r="M2264" t="s">
        <v>14916</v>
      </c>
    </row>
    <row r="2265" spans="11:13" x14ac:dyDescent="0.25">
      <c r="K2265" s="75" t="s">
        <v>13485</v>
      </c>
      <c r="L2265" s="75" t="s">
        <v>14223</v>
      </c>
      <c r="M2265" t="s">
        <v>14966</v>
      </c>
    </row>
    <row r="2266" spans="11:13" x14ac:dyDescent="0.25">
      <c r="K2266" s="75" t="s">
        <v>14845</v>
      </c>
      <c r="L2266" s="75" t="s">
        <v>14130</v>
      </c>
      <c r="M2266" t="s">
        <v>14974</v>
      </c>
    </row>
    <row r="2267" spans="11:13" x14ac:dyDescent="0.25">
      <c r="K2267" s="75" t="s">
        <v>14954</v>
      </c>
      <c r="L2267" s="75" t="s">
        <v>13633</v>
      </c>
      <c r="M2267" t="s">
        <v>15029</v>
      </c>
    </row>
    <row r="2268" spans="11:13" x14ac:dyDescent="0.25">
      <c r="K2268" s="75" t="s">
        <v>14967</v>
      </c>
      <c r="L2268" s="75" t="s">
        <v>14223</v>
      </c>
      <c r="M2268" t="s">
        <v>15121</v>
      </c>
    </row>
    <row r="2269" spans="11:13" x14ac:dyDescent="0.25">
      <c r="K2269" s="75" t="s">
        <v>13776</v>
      </c>
      <c r="L2269" s="75" t="s">
        <v>12548</v>
      </c>
      <c r="M2269" t="s">
        <v>15156</v>
      </c>
    </row>
    <row r="2270" spans="11:13" x14ac:dyDescent="0.25">
      <c r="K2270" s="75" t="s">
        <v>11768</v>
      </c>
      <c r="L2270" s="75" t="s">
        <v>14130</v>
      </c>
      <c r="M2270" t="s">
        <v>15195</v>
      </c>
    </row>
    <row r="2271" spans="11:13" x14ac:dyDescent="0.25">
      <c r="K2271" s="75" t="s">
        <v>15110</v>
      </c>
      <c r="L2271" s="75" t="s">
        <v>14701</v>
      </c>
      <c r="M2271" t="s">
        <v>15315</v>
      </c>
    </row>
    <row r="2272" spans="11:13" x14ac:dyDescent="0.25">
      <c r="K2272" s="75" t="s">
        <v>15172</v>
      </c>
      <c r="L2272" s="75" t="s">
        <v>13633</v>
      </c>
      <c r="M2272" t="s">
        <v>15301</v>
      </c>
    </row>
    <row r="2273" spans="11:13" x14ac:dyDescent="0.25">
      <c r="K2273" s="75" t="s">
        <v>14942</v>
      </c>
      <c r="L2273" s="317" t="s">
        <v>14133</v>
      </c>
      <c r="M2273" t="s">
        <v>15004</v>
      </c>
    </row>
    <row r="2297" spans="1:26" x14ac:dyDescent="0.25">
      <c r="E2297" s="312"/>
      <c r="K2297" s="118"/>
      <c r="L2297" s="118"/>
      <c r="M2297" s="118"/>
    </row>
    <row r="2298" spans="1:26" x14ac:dyDescent="0.25">
      <c r="B2298" s="118"/>
      <c r="C2298" s="118"/>
      <c r="D2298" s="118"/>
      <c r="N2298" s="118"/>
      <c r="O2298" s="118"/>
      <c r="P2298" s="118"/>
    </row>
    <row r="2299" spans="1:26" s="218" customFormat="1" x14ac:dyDescent="0.25">
      <c r="A2299" s="218" t="s">
        <v>3</v>
      </c>
      <c r="B2299" s="218">
        <f>COUNTA(B2142:B2219)-5</f>
        <v>48</v>
      </c>
      <c r="E2299" s="218">
        <f>COUNTA(E2142:E2219)-2</f>
        <v>48</v>
      </c>
      <c r="H2299" s="218">
        <f>COUNTA(H2142:H2219)</f>
        <v>42</v>
      </c>
      <c r="K2299" s="218">
        <f>COUNTA(K2142:K2219)-23</f>
        <v>55</v>
      </c>
      <c r="N2299" s="218">
        <f>COUNTA(N2142:N2219)-9</f>
        <v>69</v>
      </c>
      <c r="Q2299" s="218">
        <f>COUNTA(Q2142:Q2219)-1</f>
        <v>5</v>
      </c>
      <c r="T2299" s="218">
        <f>COUNTA(T2143:T2219)-13</f>
        <v>27</v>
      </c>
      <c r="W2299" s="218">
        <f>COUNTA(W2142:W2219)-13</f>
        <v>23</v>
      </c>
      <c r="Z2299" s="218">
        <f>SUBTOTAL(9,B2299:Y2299)</f>
        <v>317</v>
      </c>
    </row>
    <row r="2300" spans="1:26" x14ac:dyDescent="0.25">
      <c r="A2300" t="s">
        <v>12394</v>
      </c>
      <c r="B2300" s="84" t="s">
        <v>15335</v>
      </c>
      <c r="C2300" t="s">
        <v>14897</v>
      </c>
      <c r="D2300" t="s">
        <v>15336</v>
      </c>
      <c r="E2300" t="s">
        <v>15036</v>
      </c>
      <c r="F2300" t="s">
        <v>14900</v>
      </c>
      <c r="G2300" t="s">
        <v>15037</v>
      </c>
      <c r="H2300" s="118" t="s">
        <v>14759</v>
      </c>
      <c r="I2300" s="118" t="s">
        <v>14897</v>
      </c>
      <c r="J2300" t="s">
        <v>15347</v>
      </c>
      <c r="K2300" t="s">
        <v>14731</v>
      </c>
      <c r="L2300" t="s">
        <v>747</v>
      </c>
      <c r="M2300" t="s">
        <v>14991</v>
      </c>
      <c r="N2300" s="290" t="s">
        <v>14964</v>
      </c>
      <c r="O2300" s="290" t="s">
        <v>15078</v>
      </c>
      <c r="P2300" t="s">
        <v>15404</v>
      </c>
      <c r="Q2300" s="290" t="s">
        <v>15271</v>
      </c>
      <c r="R2300" t="s">
        <v>15079</v>
      </c>
      <c r="S2300" t="s">
        <v>15272</v>
      </c>
      <c r="T2300" s="84" t="s">
        <v>14760</v>
      </c>
      <c r="U2300" t="s">
        <v>356</v>
      </c>
      <c r="V2300" t="s">
        <v>14761</v>
      </c>
      <c r="W2300" s="75" t="s">
        <v>13459</v>
      </c>
      <c r="X2300" s="75" t="s">
        <v>522</v>
      </c>
      <c r="Y2300" t="s">
        <v>14405</v>
      </c>
    </row>
    <row r="2301" spans="1:26" x14ac:dyDescent="0.25">
      <c r="B2301" s="290" t="s">
        <v>15413</v>
      </c>
      <c r="C2301" t="s">
        <v>4155</v>
      </c>
      <c r="D2301" t="s">
        <v>15414</v>
      </c>
      <c r="E2301" t="s">
        <v>14827</v>
      </c>
      <c r="F2301" t="s">
        <v>364</v>
      </c>
      <c r="G2301" t="s">
        <v>14828</v>
      </c>
      <c r="H2301" s="118" t="s">
        <v>14826</v>
      </c>
      <c r="I2301" s="118" t="s">
        <v>14762</v>
      </c>
      <c r="J2301" s="118" t="s">
        <v>15377</v>
      </c>
      <c r="K2301" s="290" t="s">
        <v>15202</v>
      </c>
      <c r="L2301" t="s">
        <v>1376</v>
      </c>
      <c r="M2301" t="s">
        <v>15203</v>
      </c>
      <c r="N2301" s="118" t="s">
        <v>15093</v>
      </c>
      <c r="O2301" s="118" t="s">
        <v>1260</v>
      </c>
      <c r="P2301" t="s">
        <v>15108</v>
      </c>
      <c r="Q2301" s="290" t="s">
        <v>15354</v>
      </c>
      <c r="R2301" t="s">
        <v>15078</v>
      </c>
      <c r="S2301" t="s">
        <v>15355</v>
      </c>
      <c r="T2301" s="84" t="s">
        <v>15128</v>
      </c>
      <c r="U2301" t="s">
        <v>4155</v>
      </c>
      <c r="V2301" t="s">
        <v>15346</v>
      </c>
      <c r="W2301" s="75" t="s">
        <v>13513</v>
      </c>
      <c r="X2301" s="75" t="s">
        <v>363</v>
      </c>
      <c r="Y2301" t="s">
        <v>13605</v>
      </c>
    </row>
    <row r="2302" spans="1:26" x14ac:dyDescent="0.25">
      <c r="B2302" s="315" t="s">
        <v>15228</v>
      </c>
      <c r="C2302" s="75" t="s">
        <v>7984</v>
      </c>
      <c r="D2302" t="s">
        <v>15348</v>
      </c>
      <c r="E2302" t="s">
        <v>15091</v>
      </c>
      <c r="F2302" t="s">
        <v>365</v>
      </c>
      <c r="G2302" t="s">
        <v>15092</v>
      </c>
      <c r="H2302" s="75" t="s">
        <v>14695</v>
      </c>
      <c r="I2302" s="75" t="s">
        <v>14898</v>
      </c>
      <c r="J2302" t="s">
        <v>15263</v>
      </c>
      <c r="K2302" t="s">
        <v>14350</v>
      </c>
      <c r="L2302" t="s">
        <v>7984</v>
      </c>
      <c r="M2302" t="s">
        <v>14815</v>
      </c>
      <c r="N2302" s="84" t="s">
        <v>15330</v>
      </c>
      <c r="O2302" t="s">
        <v>1376</v>
      </c>
      <c r="P2302" t="s">
        <v>15331</v>
      </c>
      <c r="Q2302" s="75" t="s">
        <v>14482</v>
      </c>
      <c r="R2302" s="75" t="s">
        <v>522</v>
      </c>
      <c r="S2302" t="s">
        <v>14483</v>
      </c>
      <c r="T2302" s="75" t="s">
        <v>14997</v>
      </c>
      <c r="U2302" s="75" t="s">
        <v>7984</v>
      </c>
      <c r="V2302" t="s">
        <v>15033</v>
      </c>
      <c r="W2302" s="75" t="s">
        <v>13389</v>
      </c>
      <c r="X2302" t="s">
        <v>1606</v>
      </c>
      <c r="Y2302" t="s">
        <v>14155</v>
      </c>
    </row>
    <row r="2303" spans="1:26" x14ac:dyDescent="0.25">
      <c r="B2303" s="315" t="s">
        <v>14588</v>
      </c>
      <c r="C2303" s="75" t="s">
        <v>14317</v>
      </c>
      <c r="D2303" t="s">
        <v>14694</v>
      </c>
      <c r="E2303" s="407" t="s">
        <v>15350</v>
      </c>
      <c r="F2303" s="290" t="s">
        <v>7984</v>
      </c>
      <c r="G2303" t="s">
        <v>15349</v>
      </c>
      <c r="H2303" s="75" t="s">
        <v>14461</v>
      </c>
      <c r="I2303" s="75" t="s">
        <v>353</v>
      </c>
      <c r="J2303" t="s">
        <v>15240</v>
      </c>
      <c r="K2303" s="84" t="s">
        <v>15130</v>
      </c>
      <c r="L2303" t="s">
        <v>7984</v>
      </c>
      <c r="M2303" t="s">
        <v>15131</v>
      </c>
      <c r="N2303" t="s">
        <v>13653</v>
      </c>
      <c r="O2303" t="s">
        <v>363</v>
      </c>
      <c r="P2303" t="s">
        <v>15378</v>
      </c>
      <c r="Q2303" s="74" t="s">
        <v>14154</v>
      </c>
      <c r="R2303" s="74" t="s">
        <v>14317</v>
      </c>
      <c r="S2303" t="s">
        <v>15381</v>
      </c>
      <c r="T2303" s="75" t="s">
        <v>13375</v>
      </c>
      <c r="U2303" s="75" t="s">
        <v>13376</v>
      </c>
      <c r="V2303" t="s">
        <v>13431</v>
      </c>
      <c r="W2303" s="75" t="s">
        <v>13447</v>
      </c>
      <c r="X2303" s="75" t="s">
        <v>389</v>
      </c>
      <c r="Y2303" t="s">
        <v>13913</v>
      </c>
    </row>
    <row r="2304" spans="1:26" x14ac:dyDescent="0.25">
      <c r="B2304" s="75" t="s">
        <v>14251</v>
      </c>
      <c r="C2304" s="75" t="s">
        <v>4155</v>
      </c>
      <c r="D2304" t="s">
        <v>14423</v>
      </c>
      <c r="E2304" s="290" t="s">
        <v>15280</v>
      </c>
      <c r="F2304" s="118" t="s">
        <v>13763</v>
      </c>
      <c r="G2304" t="s">
        <v>15281</v>
      </c>
      <c r="H2304" s="75" t="s">
        <v>13892</v>
      </c>
      <c r="I2304" s="75" t="s">
        <v>363</v>
      </c>
      <c r="J2304" t="s">
        <v>14293</v>
      </c>
      <c r="K2304" s="118" t="s">
        <v>15224</v>
      </c>
      <c r="L2304" s="216" t="s">
        <v>15078</v>
      </c>
      <c r="M2304" t="s">
        <v>15405</v>
      </c>
      <c r="N2304" s="118" t="s">
        <v>15204</v>
      </c>
      <c r="O2304" s="216" t="s">
        <v>7984</v>
      </c>
      <c r="P2304" t="s">
        <v>15407</v>
      </c>
      <c r="Q2304" s="75" t="s">
        <v>14207</v>
      </c>
      <c r="R2304" s="75" t="s">
        <v>15079</v>
      </c>
      <c r="S2304" t="s">
        <v>15199</v>
      </c>
      <c r="T2304" s="75" t="s">
        <v>12935</v>
      </c>
      <c r="U2304" s="216" t="s">
        <v>5704</v>
      </c>
      <c r="V2304" t="s">
        <v>13164</v>
      </c>
      <c r="W2304" s="75" t="s">
        <v>13377</v>
      </c>
      <c r="X2304" s="75" t="s">
        <v>75</v>
      </c>
      <c r="Y2304" t="s">
        <v>13604</v>
      </c>
    </row>
    <row r="2305" spans="2:25" x14ac:dyDescent="0.25">
      <c r="B2305" s="75" t="s">
        <v>14224</v>
      </c>
      <c r="C2305" s="75" t="s">
        <v>14317</v>
      </c>
      <c r="D2305" t="s">
        <v>14403</v>
      </c>
      <c r="E2305" t="s">
        <v>15010</v>
      </c>
      <c r="F2305" t="s">
        <v>455</v>
      </c>
      <c r="G2305" t="s">
        <v>15011</v>
      </c>
      <c r="H2305" s="75" t="s">
        <v>13320</v>
      </c>
      <c r="I2305" s="75" t="s">
        <v>356</v>
      </c>
      <c r="J2305" t="s">
        <v>13901</v>
      </c>
      <c r="K2305" t="s">
        <v>15421</v>
      </c>
      <c r="L2305" s="216" t="s">
        <v>1510</v>
      </c>
      <c r="M2305" t="s">
        <v>15422</v>
      </c>
      <c r="N2305" s="75" t="s">
        <v>14886</v>
      </c>
      <c r="O2305" s="216" t="s">
        <v>7984</v>
      </c>
      <c r="P2305" t="s">
        <v>15351</v>
      </c>
      <c r="Q2305" s="75" t="s">
        <v>14996</v>
      </c>
      <c r="R2305" s="75" t="s">
        <v>15078</v>
      </c>
      <c r="S2305" t="s">
        <v>15352</v>
      </c>
      <c r="T2305" s="75" t="s">
        <v>13392</v>
      </c>
      <c r="U2305" s="216" t="s">
        <v>364</v>
      </c>
      <c r="V2305" t="s">
        <v>13603</v>
      </c>
      <c r="W2305" s="75" t="s">
        <v>13190</v>
      </c>
      <c r="X2305" s="216" t="s">
        <v>12984</v>
      </c>
      <c r="Y2305" t="s">
        <v>13547</v>
      </c>
    </row>
    <row r="2306" spans="2:25" x14ac:dyDescent="0.25">
      <c r="B2306" s="75" t="s">
        <v>14250</v>
      </c>
      <c r="C2306" s="75" t="s">
        <v>7984</v>
      </c>
      <c r="D2306" t="s">
        <v>14401</v>
      </c>
      <c r="E2306" s="290" t="s">
        <v>15411</v>
      </c>
      <c r="F2306" s="290" t="s">
        <v>14898</v>
      </c>
      <c r="G2306" t="s">
        <v>15412</v>
      </c>
      <c r="H2306" s="75" t="s">
        <v>13748</v>
      </c>
      <c r="I2306" s="75" t="s">
        <v>12197</v>
      </c>
      <c r="J2306" t="s">
        <v>14270</v>
      </c>
      <c r="K2306" s="75" t="s">
        <v>15299</v>
      </c>
      <c r="L2306" s="290" t="s">
        <v>747</v>
      </c>
      <c r="M2306" t="s">
        <v>15420</v>
      </c>
      <c r="N2306" s="75" t="s">
        <v>15112</v>
      </c>
      <c r="O2306" s="75" t="s">
        <v>353</v>
      </c>
      <c r="P2306" t="s">
        <v>15376</v>
      </c>
      <c r="T2306" s="75" t="s">
        <v>13591</v>
      </c>
      <c r="U2306" s="75" t="s">
        <v>353</v>
      </c>
      <c r="V2306" t="s">
        <v>13797</v>
      </c>
      <c r="W2306" s="75" t="s">
        <v>12319</v>
      </c>
      <c r="X2306" s="216" t="s">
        <v>12580</v>
      </c>
      <c r="Y2306" t="s">
        <v>13300</v>
      </c>
    </row>
    <row r="2307" spans="2:25" x14ac:dyDescent="0.25">
      <c r="B2307" s="75" t="s">
        <v>14068</v>
      </c>
      <c r="C2307" s="75" t="s">
        <v>5697</v>
      </c>
      <c r="D2307" t="s">
        <v>14399</v>
      </c>
      <c r="E2307" s="315" t="s">
        <v>14400</v>
      </c>
      <c r="F2307" s="315" t="s">
        <v>14899</v>
      </c>
      <c r="G2307" t="s">
        <v>15162</v>
      </c>
      <c r="H2307" s="75" t="s">
        <v>13522</v>
      </c>
      <c r="I2307" s="75" t="s">
        <v>5703</v>
      </c>
      <c r="J2307" t="s">
        <v>14269</v>
      </c>
      <c r="K2307" s="75" t="s">
        <v>15201</v>
      </c>
      <c r="L2307" s="290" t="s">
        <v>15079</v>
      </c>
      <c r="M2307" t="s">
        <v>15238</v>
      </c>
      <c r="N2307" s="74" t="s">
        <v>15379</v>
      </c>
      <c r="O2307" s="290" t="s">
        <v>353</v>
      </c>
      <c r="P2307" t="s">
        <v>15406</v>
      </c>
      <c r="T2307" s="75" t="s">
        <v>13615</v>
      </c>
      <c r="U2307" s="75" t="s">
        <v>389</v>
      </c>
      <c r="V2307" t="s">
        <v>13793</v>
      </c>
      <c r="W2307" s="75" t="s">
        <v>12978</v>
      </c>
      <c r="X2307" s="75" t="s">
        <v>75</v>
      </c>
      <c r="Y2307" t="s">
        <v>13082</v>
      </c>
    </row>
    <row r="2308" spans="2:25" x14ac:dyDescent="0.25">
      <c r="B2308" s="75" t="s">
        <v>13378</v>
      </c>
      <c r="C2308" s="75" t="s">
        <v>356</v>
      </c>
      <c r="D2308" t="s">
        <v>13489</v>
      </c>
      <c r="E2308" s="75" t="s">
        <v>14206</v>
      </c>
      <c r="F2308" s="75" t="s">
        <v>1376</v>
      </c>
      <c r="G2308" t="s">
        <v>14939</v>
      </c>
      <c r="H2308" s="75" t="s">
        <v>13083</v>
      </c>
      <c r="I2308" s="75" t="s">
        <v>75</v>
      </c>
      <c r="J2308" t="s">
        <v>13479</v>
      </c>
      <c r="K2308" s="75" t="s">
        <v>13502</v>
      </c>
      <c r="L2308" s="75" t="s">
        <v>15149</v>
      </c>
      <c r="M2308" t="s">
        <v>15237</v>
      </c>
      <c r="N2308" s="74" t="s">
        <v>15098</v>
      </c>
      <c r="O2308" s="74" t="s">
        <v>1376</v>
      </c>
      <c r="P2308" t="s">
        <v>15210</v>
      </c>
      <c r="T2308" s="75" t="s">
        <v>13802</v>
      </c>
      <c r="U2308" s="75" t="s">
        <v>2459</v>
      </c>
      <c r="V2308" t="s">
        <v>13833</v>
      </c>
      <c r="W2308" s="75" t="s">
        <v>12600</v>
      </c>
      <c r="X2308" s="75" t="s">
        <v>389</v>
      </c>
      <c r="Y2308" t="s">
        <v>12758</v>
      </c>
    </row>
    <row r="2309" spans="2:25" x14ac:dyDescent="0.25">
      <c r="B2309" s="75" t="s">
        <v>13380</v>
      </c>
      <c r="C2309" s="75" t="s">
        <v>364</v>
      </c>
      <c r="D2309" t="s">
        <v>13804</v>
      </c>
      <c r="E2309" s="317" t="s">
        <v>14194</v>
      </c>
      <c r="F2309" s="75" t="s">
        <v>356</v>
      </c>
      <c r="G2309" t="s">
        <v>14500</v>
      </c>
      <c r="H2309" s="75" t="s">
        <v>14194</v>
      </c>
      <c r="I2309" s="75" t="s">
        <v>14501</v>
      </c>
      <c r="J2309" t="s">
        <v>14566</v>
      </c>
      <c r="K2309" s="75" t="s">
        <v>14794</v>
      </c>
      <c r="L2309" s="75" t="s">
        <v>14317</v>
      </c>
      <c r="M2309" t="s">
        <v>14882</v>
      </c>
      <c r="N2309" s="75" t="s">
        <v>14952</v>
      </c>
      <c r="O2309" s="75" t="s">
        <v>747</v>
      </c>
      <c r="P2309" t="s">
        <v>15146</v>
      </c>
      <c r="T2309" s="75" t="s">
        <v>12494</v>
      </c>
      <c r="U2309" s="75" t="s">
        <v>5697</v>
      </c>
      <c r="V2309" t="s">
        <v>13578</v>
      </c>
      <c r="W2309" s="75" t="s">
        <v>12500</v>
      </c>
      <c r="X2309" s="75" t="s">
        <v>7984</v>
      </c>
      <c r="Y2309" t="s">
        <v>12757</v>
      </c>
    </row>
    <row r="2310" spans="2:25" x14ac:dyDescent="0.25">
      <c r="B2310" s="317" t="s">
        <v>13781</v>
      </c>
      <c r="C2310" s="75" t="s">
        <v>75</v>
      </c>
      <c r="D2310" t="s">
        <v>13891</v>
      </c>
      <c r="E2310" s="75" t="s">
        <v>13572</v>
      </c>
      <c r="F2310" s="75" t="s">
        <v>364</v>
      </c>
      <c r="G2310" t="s">
        <v>14489</v>
      </c>
      <c r="H2310" s="75" t="s">
        <v>13572</v>
      </c>
      <c r="I2310" s="75" t="s">
        <v>364</v>
      </c>
      <c r="J2310" t="s">
        <v>14651</v>
      </c>
      <c r="K2310" s="75" t="s">
        <v>13890</v>
      </c>
      <c r="L2310" s="75" t="s">
        <v>5705</v>
      </c>
      <c r="M2310" t="s">
        <v>14818</v>
      </c>
      <c r="N2310" s="75" t="s">
        <v>14956</v>
      </c>
      <c r="O2310" s="75" t="s">
        <v>15078</v>
      </c>
      <c r="P2310" t="s">
        <v>15144</v>
      </c>
      <c r="T2310" s="75" t="s">
        <v>13887</v>
      </c>
      <c r="U2310" s="75" t="s">
        <v>1510</v>
      </c>
      <c r="V2310" t="s">
        <v>13921</v>
      </c>
      <c r="W2310" s="75" t="s">
        <v>13065</v>
      </c>
      <c r="X2310" s="75" t="s">
        <v>5703</v>
      </c>
      <c r="Y2310" t="s">
        <v>13189</v>
      </c>
    </row>
    <row r="2311" spans="2:25" x14ac:dyDescent="0.25">
      <c r="B2311" s="75" t="s">
        <v>13551</v>
      </c>
      <c r="C2311" s="75" t="s">
        <v>455</v>
      </c>
      <c r="D2311" t="s">
        <v>13788</v>
      </c>
      <c r="E2311" s="75" t="s">
        <v>13490</v>
      </c>
      <c r="F2311" s="75" t="s">
        <v>356</v>
      </c>
      <c r="G2311" t="s">
        <v>13861</v>
      </c>
      <c r="H2311" s="75" t="s">
        <v>14424</v>
      </c>
      <c r="I2311" s="75" t="s">
        <v>4155</v>
      </c>
      <c r="J2311" t="s">
        <v>14752</v>
      </c>
      <c r="K2311" s="75" t="s">
        <v>14674</v>
      </c>
      <c r="L2311" s="75" t="s">
        <v>14675</v>
      </c>
      <c r="M2311" t="s">
        <v>14817</v>
      </c>
      <c r="N2311" s="75" t="s">
        <v>13257</v>
      </c>
      <c r="O2311" s="216" t="s">
        <v>75</v>
      </c>
      <c r="P2311" t="s">
        <v>13616</v>
      </c>
      <c r="T2311" s="75" t="s">
        <v>13799</v>
      </c>
      <c r="U2311" s="75" t="s">
        <v>13763</v>
      </c>
      <c r="V2311" t="s">
        <v>14225</v>
      </c>
      <c r="W2311" s="75" t="s">
        <v>13330</v>
      </c>
      <c r="X2311" s="75" t="s">
        <v>1606</v>
      </c>
      <c r="Y2311" t="s">
        <v>13494</v>
      </c>
    </row>
    <row r="2312" spans="2:25" x14ac:dyDescent="0.25">
      <c r="B2312" s="75" t="s">
        <v>13642</v>
      </c>
      <c r="C2312" s="75" t="s">
        <v>12197</v>
      </c>
      <c r="D2312" t="s">
        <v>13749</v>
      </c>
      <c r="E2312" s="75" t="s">
        <v>13083</v>
      </c>
      <c r="F2312" s="75" t="s">
        <v>75</v>
      </c>
      <c r="G2312" t="s">
        <v>13428</v>
      </c>
      <c r="H2312" s="75" t="s">
        <v>13789</v>
      </c>
      <c r="I2312" s="75" t="s">
        <v>455</v>
      </c>
      <c r="J2312" t="s">
        <v>14729</v>
      </c>
      <c r="K2312" s="75" t="s">
        <v>13707</v>
      </c>
      <c r="L2312" s="75" t="s">
        <v>13708</v>
      </c>
      <c r="M2312" t="s">
        <v>13911</v>
      </c>
      <c r="N2312" s="75" t="s">
        <v>13950</v>
      </c>
      <c r="O2312" s="75" t="s">
        <v>747</v>
      </c>
      <c r="P2312" t="s">
        <v>14119</v>
      </c>
      <c r="T2312" s="75" t="s">
        <v>14232</v>
      </c>
      <c r="U2312" s="75" t="s">
        <v>747</v>
      </c>
      <c r="V2312" t="s">
        <v>14458</v>
      </c>
    </row>
    <row r="2313" spans="2:25" x14ac:dyDescent="0.25">
      <c r="B2313" s="75" t="s">
        <v>14080</v>
      </c>
      <c r="C2313" s="75" t="s">
        <v>1376</v>
      </c>
      <c r="D2313" t="s">
        <v>14211</v>
      </c>
      <c r="E2313" s="75" t="s">
        <v>13320</v>
      </c>
      <c r="F2313" s="75" t="s">
        <v>356</v>
      </c>
      <c r="G2313" t="s">
        <v>13741</v>
      </c>
      <c r="H2313" s="75" t="s">
        <v>14402</v>
      </c>
      <c r="I2313" s="75" t="s">
        <v>7984</v>
      </c>
      <c r="J2313" t="s">
        <v>14885</v>
      </c>
      <c r="K2313" s="75" t="s">
        <v>13619</v>
      </c>
      <c r="L2313" s="216" t="s">
        <v>474</v>
      </c>
      <c r="M2313" t="s">
        <v>13896</v>
      </c>
      <c r="N2313" s="75" t="s">
        <v>13335</v>
      </c>
      <c r="O2313" s="216" t="s">
        <v>742</v>
      </c>
      <c r="P2313" t="s">
        <v>13555</v>
      </c>
      <c r="T2313" s="74" t="s">
        <v>13912</v>
      </c>
      <c r="U2313" s="74" t="s">
        <v>7984</v>
      </c>
      <c r="V2313" t="s">
        <v>13917</v>
      </c>
    </row>
    <row r="2314" spans="2:25" x14ac:dyDescent="0.25">
      <c r="B2314" s="317" t="s">
        <v>14037</v>
      </c>
      <c r="C2314" s="75" t="s">
        <v>356</v>
      </c>
      <c r="D2314" t="s">
        <v>14377</v>
      </c>
      <c r="E2314" s="75" t="s">
        <v>13748</v>
      </c>
      <c r="F2314" s="75" t="s">
        <v>12797</v>
      </c>
      <c r="G2314" t="s">
        <v>14105</v>
      </c>
      <c r="H2314" s="75" t="s">
        <v>14206</v>
      </c>
      <c r="I2314" s="75" t="s">
        <v>1376</v>
      </c>
      <c r="J2314" t="s">
        <v>15074</v>
      </c>
      <c r="K2314" s="75" t="s">
        <v>15034</v>
      </c>
      <c r="L2314" s="75" t="s">
        <v>7984</v>
      </c>
      <c r="M2314" t="s">
        <v>15103</v>
      </c>
      <c r="N2314" s="74" t="s">
        <v>13344</v>
      </c>
      <c r="O2314" s="74" t="s">
        <v>5101</v>
      </c>
      <c r="P2314" t="s">
        <v>13457</v>
      </c>
      <c r="T2314" s="75" t="s">
        <v>14001</v>
      </c>
      <c r="U2314" s="290" t="s">
        <v>474</v>
      </c>
      <c r="V2314" t="s">
        <v>14149</v>
      </c>
    </row>
    <row r="2315" spans="2:25" x14ac:dyDescent="0.25">
      <c r="B2315" s="75" t="s">
        <v>12969</v>
      </c>
      <c r="C2315" s="75" t="s">
        <v>75</v>
      </c>
      <c r="D2315" t="s">
        <v>13084</v>
      </c>
      <c r="E2315" s="75" t="s">
        <v>13522</v>
      </c>
      <c r="F2315" s="75" t="s">
        <v>5703</v>
      </c>
      <c r="G2315" t="s">
        <v>14106</v>
      </c>
      <c r="H2315" s="75" t="s">
        <v>14443</v>
      </c>
      <c r="I2315" s="75" t="s">
        <v>7984</v>
      </c>
      <c r="J2315" t="s">
        <v>14946</v>
      </c>
      <c r="K2315" s="75" t="s">
        <v>13683</v>
      </c>
      <c r="L2315" s="75" t="s">
        <v>355</v>
      </c>
      <c r="M2315" t="s">
        <v>13732</v>
      </c>
      <c r="N2315" s="75" t="s">
        <v>13347</v>
      </c>
      <c r="O2315" s="290" t="s">
        <v>364</v>
      </c>
      <c r="P2315" t="s">
        <v>13379</v>
      </c>
      <c r="T2315" s="75" t="s">
        <v>14591</v>
      </c>
      <c r="U2315" s="290" t="s">
        <v>747</v>
      </c>
      <c r="V2315" t="s">
        <v>14753</v>
      </c>
    </row>
    <row r="2316" spans="2:25" x14ac:dyDescent="0.25">
      <c r="B2316" s="75" t="s">
        <v>13230</v>
      </c>
      <c r="C2316" s="75" t="s">
        <v>356</v>
      </c>
      <c r="D2316" t="s">
        <v>13321</v>
      </c>
      <c r="E2316" s="75" t="s">
        <v>13892</v>
      </c>
      <c r="F2316" s="75" t="s">
        <v>363</v>
      </c>
      <c r="G2316" t="s">
        <v>14078</v>
      </c>
      <c r="H2316" s="75" t="s">
        <v>14404</v>
      </c>
      <c r="I2316" s="75" t="s">
        <v>14317</v>
      </c>
      <c r="J2316" t="s">
        <v>14728</v>
      </c>
      <c r="K2316" s="74" t="s">
        <v>13346</v>
      </c>
      <c r="L2316" s="74" t="s">
        <v>389</v>
      </c>
      <c r="M2316" t="s">
        <v>13711</v>
      </c>
      <c r="N2316" s="75" t="s">
        <v>13231</v>
      </c>
      <c r="O2316" s="216" t="s">
        <v>356</v>
      </c>
      <c r="P2316" t="s">
        <v>13373</v>
      </c>
      <c r="T2316" s="75" t="s">
        <v>14543</v>
      </c>
      <c r="U2316" s="75" t="s">
        <v>1260</v>
      </c>
      <c r="V2316" t="s">
        <v>14962</v>
      </c>
    </row>
    <row r="2317" spans="2:25" x14ac:dyDescent="0.25">
      <c r="B2317" s="75" t="s">
        <v>13343</v>
      </c>
      <c r="C2317" s="75" t="s">
        <v>5703</v>
      </c>
      <c r="D2317" t="s">
        <v>13523</v>
      </c>
      <c r="E2317" s="75" t="s">
        <v>14424</v>
      </c>
      <c r="F2317" s="75" t="s">
        <v>4155</v>
      </c>
      <c r="G2317" t="s">
        <v>14684</v>
      </c>
      <c r="H2317" s="75" t="s">
        <v>13490</v>
      </c>
      <c r="I2317" s="75" t="s">
        <v>356</v>
      </c>
      <c r="J2317" t="s">
        <v>13985</v>
      </c>
      <c r="K2317" s="75" t="s">
        <v>13208</v>
      </c>
      <c r="L2317" s="75" t="s">
        <v>390</v>
      </c>
      <c r="M2317" t="s">
        <v>13362</v>
      </c>
      <c r="N2317" s="74" t="s">
        <v>12977</v>
      </c>
      <c r="O2317" s="216" t="s">
        <v>1510</v>
      </c>
      <c r="P2317" t="s">
        <v>13352</v>
      </c>
      <c r="T2317" s="75" t="s">
        <v>14515</v>
      </c>
      <c r="U2317" s="75" t="s">
        <v>364</v>
      </c>
      <c r="V2317" t="s">
        <v>14717</v>
      </c>
    </row>
    <row r="2318" spans="2:25" x14ac:dyDescent="0.25">
      <c r="B2318" s="315" t="s">
        <v>14299</v>
      </c>
      <c r="C2318" s="75" t="s">
        <v>14300</v>
      </c>
      <c r="D2318" t="s">
        <v>14477</v>
      </c>
      <c r="E2318" s="75" t="s">
        <v>14404</v>
      </c>
      <c r="F2318" s="75" t="s">
        <v>14317</v>
      </c>
      <c r="G2318" t="s">
        <v>15292</v>
      </c>
      <c r="H2318" s="75" t="s">
        <v>14697</v>
      </c>
      <c r="I2318" s="75" t="s">
        <v>4155</v>
      </c>
      <c r="J2318" t="s">
        <v>15184</v>
      </c>
      <c r="K2318" s="75" t="s">
        <v>12380</v>
      </c>
      <c r="L2318" s="216" t="s">
        <v>389</v>
      </c>
      <c r="M2318" t="s">
        <v>13272</v>
      </c>
      <c r="N2318" s="75" t="s">
        <v>12993</v>
      </c>
      <c r="O2318" s="216" t="s">
        <v>364</v>
      </c>
      <c r="P2318" t="s">
        <v>13270</v>
      </c>
      <c r="T2318" s="75" t="s">
        <v>14963</v>
      </c>
      <c r="U2318" s="75" t="s">
        <v>1260</v>
      </c>
      <c r="V2318" t="s">
        <v>15008</v>
      </c>
    </row>
    <row r="2319" spans="2:25" x14ac:dyDescent="0.25">
      <c r="B2319" s="75" t="s">
        <v>14252</v>
      </c>
      <c r="C2319" s="75" t="s">
        <v>747</v>
      </c>
      <c r="D2319" t="s">
        <v>14460</v>
      </c>
      <c r="E2319" s="75" t="s">
        <v>13789</v>
      </c>
      <c r="F2319" s="75" t="s">
        <v>455</v>
      </c>
      <c r="G2319" t="s">
        <v>14545</v>
      </c>
      <c r="H2319" s="315" t="s">
        <v>14400</v>
      </c>
      <c r="I2319" s="315" t="s">
        <v>14899</v>
      </c>
      <c r="J2319" s="118" t="s">
        <v>15291</v>
      </c>
      <c r="K2319" s="75" t="s">
        <v>13296</v>
      </c>
      <c r="L2319" s="216" t="s">
        <v>5705</v>
      </c>
      <c r="M2319" t="s">
        <v>13600</v>
      </c>
      <c r="N2319" s="75" t="s">
        <v>13653</v>
      </c>
      <c r="O2319" s="75" t="s">
        <v>5704</v>
      </c>
      <c r="P2319" t="s">
        <v>14552</v>
      </c>
      <c r="T2319" s="75" t="s">
        <v>15018</v>
      </c>
      <c r="U2319" s="75" t="s">
        <v>1376</v>
      </c>
      <c r="V2319" t="s">
        <v>15099</v>
      </c>
    </row>
    <row r="2320" spans="2:25" x14ac:dyDescent="0.25">
      <c r="B2320" s="315" t="s">
        <v>14490</v>
      </c>
      <c r="C2320" s="75" t="s">
        <v>14317</v>
      </c>
      <c r="D2320" t="s">
        <v>14758</v>
      </c>
      <c r="E2320" s="75" t="s">
        <v>14443</v>
      </c>
      <c r="F2320" s="75" t="s">
        <v>7984</v>
      </c>
      <c r="G2320" t="s">
        <v>14836</v>
      </c>
      <c r="H2320" s="75" t="s">
        <v>14474</v>
      </c>
      <c r="I2320" s="75" t="s">
        <v>15149</v>
      </c>
      <c r="J2320" t="s">
        <v>15369</v>
      </c>
      <c r="K2320" s="75" t="s">
        <v>12870</v>
      </c>
      <c r="L2320" s="75" t="s">
        <v>747</v>
      </c>
      <c r="M2320" t="s">
        <v>12899</v>
      </c>
      <c r="N2320" s="75" t="s">
        <v>14012</v>
      </c>
      <c r="O2320" s="75" t="s">
        <v>12797</v>
      </c>
      <c r="P2320" t="s">
        <v>14193</v>
      </c>
    </row>
    <row r="2321" spans="2:16" x14ac:dyDescent="0.25">
      <c r="B2321" s="75" t="s">
        <v>14249</v>
      </c>
      <c r="C2321" s="75" t="s">
        <v>7984</v>
      </c>
      <c r="D2321" t="s">
        <v>14442</v>
      </c>
      <c r="E2321" s="75" t="s">
        <v>14402</v>
      </c>
      <c r="F2321" s="75" t="s">
        <v>7984</v>
      </c>
      <c r="G2321" t="s">
        <v>15293</v>
      </c>
      <c r="K2321" s="75" t="s">
        <v>12744</v>
      </c>
      <c r="L2321" s="216" t="s">
        <v>389</v>
      </c>
      <c r="M2321" t="s">
        <v>13078</v>
      </c>
      <c r="N2321" s="75" t="s">
        <v>12964</v>
      </c>
      <c r="O2321" s="216" t="s">
        <v>364</v>
      </c>
      <c r="P2321" t="s">
        <v>13338</v>
      </c>
    </row>
    <row r="2322" spans="2:16" x14ac:dyDescent="0.25">
      <c r="B2322" s="75" t="s">
        <v>14589</v>
      </c>
      <c r="C2322" s="75" t="s">
        <v>4155</v>
      </c>
      <c r="D2322" t="s">
        <v>14696</v>
      </c>
      <c r="E2322" s="75" t="s">
        <v>14697</v>
      </c>
      <c r="F2322" s="75" t="s">
        <v>4155</v>
      </c>
      <c r="G2322" s="118" t="s">
        <v>15114</v>
      </c>
      <c r="K2322" s="75" t="s">
        <v>12601</v>
      </c>
      <c r="L2322" s="216" t="s">
        <v>356</v>
      </c>
      <c r="M2322" t="s">
        <v>13366</v>
      </c>
      <c r="N2322" s="75" t="s">
        <v>12965</v>
      </c>
      <c r="O2322" s="216" t="s">
        <v>356</v>
      </c>
      <c r="P2322" t="s">
        <v>13229</v>
      </c>
    </row>
    <row r="2323" spans="2:16" x14ac:dyDescent="0.25">
      <c r="B2323" s="75" t="s">
        <v>14716</v>
      </c>
      <c r="C2323" s="75" t="s">
        <v>364</v>
      </c>
      <c r="D2323" t="s">
        <v>14824</v>
      </c>
      <c r="E2323" s="75" t="s">
        <v>14695</v>
      </c>
      <c r="F2323" s="75" t="s">
        <v>14898</v>
      </c>
      <c r="G2323" t="s">
        <v>15239</v>
      </c>
      <c r="K2323" s="74" t="s">
        <v>13101</v>
      </c>
      <c r="L2323" s="216" t="s">
        <v>12963</v>
      </c>
      <c r="M2323" t="s">
        <v>13442</v>
      </c>
      <c r="N2323" s="74" t="s">
        <v>13897</v>
      </c>
      <c r="O2323" s="74" t="s">
        <v>474</v>
      </c>
      <c r="P2323" t="s">
        <v>13991</v>
      </c>
    </row>
    <row r="2324" spans="2:16" x14ac:dyDescent="0.25">
      <c r="B2324" s="75" t="s">
        <v>14521</v>
      </c>
      <c r="C2324" s="75" t="s">
        <v>14762</v>
      </c>
      <c r="D2324" t="s">
        <v>14825</v>
      </c>
      <c r="E2324" s="75" t="s">
        <v>14759</v>
      </c>
      <c r="F2324" s="75" t="s">
        <v>14897</v>
      </c>
      <c r="G2324" t="s">
        <v>15347</v>
      </c>
      <c r="K2324" s="74" t="s">
        <v>13370</v>
      </c>
      <c r="L2324" s="290" t="s">
        <v>356</v>
      </c>
      <c r="M2324" t="s">
        <v>13448</v>
      </c>
      <c r="N2324" s="75" t="s">
        <v>13960</v>
      </c>
      <c r="O2324" s="75" t="s">
        <v>12197</v>
      </c>
      <c r="P2324" t="s">
        <v>14187</v>
      </c>
    </row>
    <row r="2325" spans="2:16" x14ac:dyDescent="0.25">
      <c r="B2325" s="75" t="s">
        <v>14894</v>
      </c>
      <c r="C2325" s="75" t="s">
        <v>365</v>
      </c>
      <c r="D2325" t="s">
        <v>15090</v>
      </c>
      <c r="E2325" s="75" t="s">
        <v>14826</v>
      </c>
      <c r="F2325" s="75" t="s">
        <v>14762</v>
      </c>
      <c r="G2325" t="s">
        <v>15377</v>
      </c>
      <c r="K2325" s="75" t="s">
        <v>12934</v>
      </c>
      <c r="L2325" s="216" t="s">
        <v>742</v>
      </c>
      <c r="M2325" t="s">
        <v>13385</v>
      </c>
      <c r="N2325" s="74" t="s">
        <v>13937</v>
      </c>
      <c r="O2325" s="74" t="s">
        <v>5697</v>
      </c>
      <c r="P2325" t="s">
        <v>14067</v>
      </c>
    </row>
    <row r="2326" spans="2:16" x14ac:dyDescent="0.25">
      <c r="B2326" s="315" t="s">
        <v>14896</v>
      </c>
      <c r="C2326" s="75" t="s">
        <v>14900</v>
      </c>
      <c r="D2326" t="s">
        <v>15035</v>
      </c>
      <c r="K2326" s="75" t="s">
        <v>13441</v>
      </c>
      <c r="L2326" s="216" t="s">
        <v>5101</v>
      </c>
      <c r="M2326" t="s">
        <v>13488</v>
      </c>
      <c r="N2326" s="75" t="s">
        <v>13769</v>
      </c>
      <c r="O2326" s="75" t="s">
        <v>356</v>
      </c>
      <c r="P2326" t="s">
        <v>14060</v>
      </c>
    </row>
    <row r="2327" spans="2:16" x14ac:dyDescent="0.25">
      <c r="B2327" s="75" t="s">
        <v>14861</v>
      </c>
      <c r="C2327" s="75" t="s">
        <v>455</v>
      </c>
      <c r="D2327" t="s">
        <v>15009</v>
      </c>
      <c r="K2327" s="74" t="s">
        <v>13357</v>
      </c>
      <c r="L2327" s="216" t="s">
        <v>5705</v>
      </c>
      <c r="M2327" t="s">
        <v>13514</v>
      </c>
      <c r="N2327" s="75" t="s">
        <v>13762</v>
      </c>
      <c r="O2327" s="75" t="s">
        <v>1376</v>
      </c>
      <c r="P2327" t="s">
        <v>14044</v>
      </c>
    </row>
    <row r="2328" spans="2:16" x14ac:dyDescent="0.25">
      <c r="B2328" s="75" t="s">
        <v>15161</v>
      </c>
      <c r="C2328" s="216" t="s">
        <v>13763</v>
      </c>
      <c r="D2328" t="s">
        <v>15279</v>
      </c>
      <c r="K2328" s="75" t="s">
        <v>13515</v>
      </c>
      <c r="L2328" s="75" t="s">
        <v>1510</v>
      </c>
      <c r="M2328" t="s">
        <v>13733</v>
      </c>
      <c r="N2328" s="75" t="s">
        <v>13784</v>
      </c>
      <c r="O2328" s="75" t="s">
        <v>5705</v>
      </c>
      <c r="P2328" t="s">
        <v>14292</v>
      </c>
    </row>
    <row r="2329" spans="2:16" x14ac:dyDescent="0.25">
      <c r="B2329" s="75" t="s">
        <v>15236</v>
      </c>
      <c r="C2329" s="75" t="s">
        <v>14898</v>
      </c>
      <c r="D2329" t="s">
        <v>15410</v>
      </c>
      <c r="K2329" s="75" t="s">
        <v>12465</v>
      </c>
      <c r="L2329" s="290" t="s">
        <v>747</v>
      </c>
      <c r="M2329" t="s">
        <v>13568</v>
      </c>
      <c r="N2329" s="74" t="s">
        <v>14079</v>
      </c>
      <c r="O2329" s="74" t="s">
        <v>1510</v>
      </c>
      <c r="P2329" t="s">
        <v>14163</v>
      </c>
    </row>
    <row r="2330" spans="2:16" x14ac:dyDescent="0.25">
      <c r="K2330" s="75" t="s">
        <v>12843</v>
      </c>
      <c r="L2330" s="216" t="s">
        <v>1510</v>
      </c>
      <c r="M2330" t="s">
        <v>13406</v>
      </c>
      <c r="N2330" s="75" t="s">
        <v>13933</v>
      </c>
      <c r="O2330" s="75" t="s">
        <v>1510</v>
      </c>
      <c r="P2330" t="s">
        <v>14264</v>
      </c>
    </row>
    <row r="2331" spans="2:16" x14ac:dyDescent="0.25">
      <c r="K2331" s="75" t="s">
        <v>12442</v>
      </c>
      <c r="L2331" s="216" t="s">
        <v>747</v>
      </c>
      <c r="M2331" t="s">
        <v>12898</v>
      </c>
      <c r="N2331" s="75" t="s">
        <v>14081</v>
      </c>
      <c r="O2331" s="75" t="s">
        <v>12197</v>
      </c>
      <c r="P2331" t="s">
        <v>14305</v>
      </c>
    </row>
    <row r="2332" spans="2:16" x14ac:dyDescent="0.25">
      <c r="K2332" s="75" t="s">
        <v>12603</v>
      </c>
      <c r="L2332" s="216" t="s">
        <v>75</v>
      </c>
      <c r="M2332" t="s">
        <v>12802</v>
      </c>
      <c r="N2332" s="74" t="s">
        <v>14253</v>
      </c>
      <c r="O2332" s="74" t="s">
        <v>5705</v>
      </c>
      <c r="P2332" t="s">
        <v>14326</v>
      </c>
    </row>
    <row r="2333" spans="2:16" x14ac:dyDescent="0.25">
      <c r="K2333" s="75" t="s">
        <v>13455</v>
      </c>
      <c r="L2333" s="75" t="s">
        <v>356</v>
      </c>
      <c r="M2333" t="s">
        <v>13582</v>
      </c>
      <c r="N2333" s="75" t="s">
        <v>14271</v>
      </c>
      <c r="O2333" s="75" t="s">
        <v>13888</v>
      </c>
      <c r="P2333" t="s">
        <v>14359</v>
      </c>
    </row>
    <row r="2334" spans="2:16" x14ac:dyDescent="0.25">
      <c r="K2334" s="75" t="s">
        <v>12457</v>
      </c>
      <c r="L2334" s="75" t="s">
        <v>5697</v>
      </c>
      <c r="M2334" t="s">
        <v>12936</v>
      </c>
      <c r="N2334" s="75" t="s">
        <v>14220</v>
      </c>
      <c r="O2334" s="75" t="s">
        <v>4155</v>
      </c>
      <c r="P2334" t="s">
        <v>14378</v>
      </c>
    </row>
    <row r="2335" spans="2:16" x14ac:dyDescent="0.25">
      <c r="K2335" s="75" t="s">
        <v>13641</v>
      </c>
      <c r="L2335" s="75" t="s">
        <v>355</v>
      </c>
      <c r="M2335" t="s">
        <v>13767</v>
      </c>
      <c r="N2335" s="75" t="s">
        <v>14107</v>
      </c>
      <c r="O2335" s="290" t="s">
        <v>1510</v>
      </c>
      <c r="P2335" t="s">
        <v>14356</v>
      </c>
    </row>
    <row r="2336" spans="2:16" x14ac:dyDescent="0.25">
      <c r="K2336" s="74" t="s">
        <v>12602</v>
      </c>
      <c r="L2336" s="216" t="s">
        <v>5705</v>
      </c>
      <c r="M2336" t="s">
        <v>13102</v>
      </c>
      <c r="N2336" s="75" t="s">
        <v>13770</v>
      </c>
      <c r="O2336" s="75" t="s">
        <v>5697</v>
      </c>
      <c r="P2336" t="s">
        <v>14263</v>
      </c>
    </row>
    <row r="2337" spans="11:16" x14ac:dyDescent="0.25">
      <c r="K2337" s="74" t="s">
        <v>13136</v>
      </c>
      <c r="L2337" s="74" t="s">
        <v>742</v>
      </c>
      <c r="M2337" t="s">
        <v>13137</v>
      </c>
      <c r="N2337" s="75" t="s">
        <v>14202</v>
      </c>
      <c r="O2337" s="75" t="s">
        <v>747</v>
      </c>
      <c r="P2337" t="s">
        <v>14258</v>
      </c>
    </row>
    <row r="2338" spans="11:16" x14ac:dyDescent="0.25">
      <c r="K2338" s="75" t="s">
        <v>13527</v>
      </c>
      <c r="L2338" s="216" t="s">
        <v>747</v>
      </c>
      <c r="M2338" t="s">
        <v>13655</v>
      </c>
      <c r="N2338" s="75" t="s">
        <v>13790</v>
      </c>
      <c r="O2338" s="75" t="s">
        <v>13862</v>
      </c>
      <c r="P2338" t="s">
        <v>14024</v>
      </c>
    </row>
    <row r="2339" spans="11:16" x14ac:dyDescent="0.25">
      <c r="K2339" s="74" t="s">
        <v>13062</v>
      </c>
      <c r="L2339" s="74" t="s">
        <v>742</v>
      </c>
      <c r="M2339" t="s">
        <v>13157</v>
      </c>
      <c r="N2339" s="75" t="s">
        <v>12685</v>
      </c>
      <c r="O2339" s="75" t="s">
        <v>5697</v>
      </c>
      <c r="P2339" t="s">
        <v>12937</v>
      </c>
    </row>
    <row r="2340" spans="11:16" x14ac:dyDescent="0.25">
      <c r="K2340" s="75" t="s">
        <v>13596</v>
      </c>
      <c r="L2340" s="75" t="s">
        <v>5704</v>
      </c>
      <c r="M2340" t="s">
        <v>13766</v>
      </c>
      <c r="N2340" s="75" t="s">
        <v>14602</v>
      </c>
      <c r="O2340" s="290" t="s">
        <v>7984</v>
      </c>
      <c r="P2340" t="s">
        <v>14638</v>
      </c>
    </row>
    <row r="2341" spans="11:16" x14ac:dyDescent="0.25">
      <c r="K2341" s="75" t="s">
        <v>13581</v>
      </c>
      <c r="L2341" s="75" t="s">
        <v>13768</v>
      </c>
      <c r="M2341" t="s">
        <v>13798</v>
      </c>
      <c r="N2341" s="75" t="s">
        <v>14689</v>
      </c>
      <c r="O2341" s="75" t="s">
        <v>75</v>
      </c>
      <c r="P2341" t="s">
        <v>14850</v>
      </c>
    </row>
    <row r="2342" spans="11:16" x14ac:dyDescent="0.25">
      <c r="K2342" s="74" t="s">
        <v>13567</v>
      </c>
      <c r="L2342" s="74" t="s">
        <v>747</v>
      </c>
      <c r="M2342" t="s">
        <v>13831</v>
      </c>
      <c r="N2342" s="74" t="s">
        <v>14412</v>
      </c>
      <c r="O2342" s="290" t="s">
        <v>4155</v>
      </c>
      <c r="P2342" t="s">
        <v>14530</v>
      </c>
    </row>
    <row r="2343" spans="11:16" x14ac:dyDescent="0.25">
      <c r="K2343" s="75" t="s">
        <v>13458</v>
      </c>
      <c r="L2343" s="75" t="s">
        <v>1510</v>
      </c>
      <c r="M2343" t="s">
        <v>13886</v>
      </c>
      <c r="N2343" s="74" t="s">
        <v>14366</v>
      </c>
      <c r="O2343" s="74" t="s">
        <v>1510</v>
      </c>
      <c r="P2343" t="s">
        <v>14494</v>
      </c>
    </row>
    <row r="2344" spans="11:16" x14ac:dyDescent="0.25">
      <c r="K2344" s="74" t="s">
        <v>13580</v>
      </c>
      <c r="L2344" s="74" t="s">
        <v>5705</v>
      </c>
      <c r="M2344" t="s">
        <v>13889</v>
      </c>
      <c r="N2344" s="74" t="s">
        <v>14425</v>
      </c>
      <c r="O2344" s="74" t="s">
        <v>12745</v>
      </c>
      <c r="P2344" t="s">
        <v>14493</v>
      </c>
    </row>
    <row r="2345" spans="11:16" x14ac:dyDescent="0.25">
      <c r="K2345" s="74" t="s">
        <v>13273</v>
      </c>
      <c r="L2345" s="74" t="s">
        <v>11884</v>
      </c>
      <c r="M2345" t="s">
        <v>13871</v>
      </c>
      <c r="N2345" s="75" t="s">
        <v>14427</v>
      </c>
      <c r="O2345" s="75" t="s">
        <v>364</v>
      </c>
      <c r="P2345" t="s">
        <v>14645</v>
      </c>
    </row>
    <row r="2346" spans="11:16" x14ac:dyDescent="0.25">
      <c r="K2346" s="75" t="s">
        <v>12464</v>
      </c>
      <c r="L2346" s="75" t="s">
        <v>742</v>
      </c>
      <c r="M2346" t="s">
        <v>13984</v>
      </c>
      <c r="N2346" s="75" t="s">
        <v>14428</v>
      </c>
      <c r="O2346" s="75" t="s">
        <v>363</v>
      </c>
      <c r="P2346" t="s">
        <v>14672</v>
      </c>
    </row>
    <row r="2347" spans="11:16" x14ac:dyDescent="0.25">
      <c r="K2347" s="75" t="s">
        <v>13794</v>
      </c>
      <c r="L2347" s="75" t="s">
        <v>1510</v>
      </c>
      <c r="M2347" t="s">
        <v>14061</v>
      </c>
      <c r="N2347" s="74" t="s">
        <v>14346</v>
      </c>
      <c r="O2347" s="290" t="s">
        <v>4155</v>
      </c>
      <c r="P2347" t="s">
        <v>14650</v>
      </c>
    </row>
    <row r="2348" spans="11:16" x14ac:dyDescent="0.25">
      <c r="K2348" s="75" t="s">
        <v>13640</v>
      </c>
      <c r="L2348" s="75" t="s">
        <v>12198</v>
      </c>
      <c r="M2348" t="s">
        <v>14115</v>
      </c>
      <c r="N2348" s="75" t="s">
        <v>14555</v>
      </c>
      <c r="O2348" s="75" t="s">
        <v>356</v>
      </c>
      <c r="P2348" t="s">
        <v>14740</v>
      </c>
    </row>
    <row r="2349" spans="11:16" x14ac:dyDescent="0.25">
      <c r="K2349" s="75" t="s">
        <v>13771</v>
      </c>
      <c r="L2349" s="75" t="s">
        <v>2459</v>
      </c>
      <c r="M2349" t="s">
        <v>14113</v>
      </c>
      <c r="N2349" s="75" t="s">
        <v>14673</v>
      </c>
      <c r="O2349" s="75" t="s">
        <v>12745</v>
      </c>
      <c r="P2349" t="s">
        <v>14851</v>
      </c>
    </row>
    <row r="2350" spans="11:16" x14ac:dyDescent="0.25">
      <c r="K2350" s="74" t="s">
        <v>13801</v>
      </c>
      <c r="L2350" s="74" t="s">
        <v>7984</v>
      </c>
      <c r="M2350" s="382" t="s">
        <v>14146</v>
      </c>
      <c r="N2350" s="75" t="s">
        <v>14437</v>
      </c>
      <c r="O2350" s="75" t="s">
        <v>12745</v>
      </c>
      <c r="P2350" t="s">
        <v>14755</v>
      </c>
    </row>
    <row r="2351" spans="11:16" x14ac:dyDescent="0.25">
      <c r="K2351" s="74" t="s">
        <v>13588</v>
      </c>
      <c r="L2351" s="74" t="s">
        <v>364</v>
      </c>
      <c r="M2351" t="s">
        <v>14123</v>
      </c>
      <c r="N2351" s="75" t="s">
        <v>14629</v>
      </c>
      <c r="O2351" s="290" t="s">
        <v>364</v>
      </c>
      <c r="P2351" t="s">
        <v>14816</v>
      </c>
    </row>
    <row r="2352" spans="11:16" x14ac:dyDescent="0.25">
      <c r="K2352" s="75" t="s">
        <v>14050</v>
      </c>
      <c r="L2352" s="75" t="s">
        <v>389</v>
      </c>
      <c r="M2352" t="s">
        <v>14092</v>
      </c>
      <c r="N2352" s="75" t="s">
        <v>14553</v>
      </c>
      <c r="O2352" s="75" t="s">
        <v>455</v>
      </c>
      <c r="P2352" t="s">
        <v>14862</v>
      </c>
    </row>
    <row r="2353" spans="11:16" x14ac:dyDescent="0.25">
      <c r="K2353" s="75" t="s">
        <v>14114</v>
      </c>
      <c r="L2353" s="75" t="s">
        <v>2459</v>
      </c>
      <c r="M2353" t="s">
        <v>14164</v>
      </c>
      <c r="N2353" s="75" t="s">
        <v>14562</v>
      </c>
      <c r="O2353" s="75" t="s">
        <v>7984</v>
      </c>
      <c r="P2353" t="s">
        <v>14887</v>
      </c>
    </row>
    <row r="2354" spans="11:16" x14ac:dyDescent="0.25">
      <c r="K2354" s="75" t="s">
        <v>14052</v>
      </c>
      <c r="L2354" s="75" t="s">
        <v>13888</v>
      </c>
      <c r="M2354" t="s">
        <v>14212</v>
      </c>
      <c r="N2354" s="75" t="s">
        <v>14803</v>
      </c>
      <c r="O2354" s="75" t="s">
        <v>747</v>
      </c>
      <c r="P2354" t="s">
        <v>14928</v>
      </c>
    </row>
    <row r="2355" spans="11:16" x14ac:dyDescent="0.25">
      <c r="K2355" s="74" t="s">
        <v>14075</v>
      </c>
      <c r="L2355" s="74" t="s">
        <v>4155</v>
      </c>
      <c r="M2355" t="s">
        <v>14217</v>
      </c>
      <c r="N2355" s="75" t="s">
        <v>14313</v>
      </c>
      <c r="O2355" s="75" t="s">
        <v>14317</v>
      </c>
      <c r="P2355" t="s">
        <v>14587</v>
      </c>
    </row>
    <row r="2356" spans="11:16" x14ac:dyDescent="0.25">
      <c r="K2356" s="75" t="s">
        <v>14147</v>
      </c>
      <c r="L2356" s="290" t="s">
        <v>7984</v>
      </c>
      <c r="M2356" s="383" t="s">
        <v>14328</v>
      </c>
      <c r="N2356" s="75" t="s">
        <v>14491</v>
      </c>
      <c r="O2356" s="75" t="s">
        <v>390</v>
      </c>
      <c r="P2356" t="s">
        <v>14960</v>
      </c>
    </row>
    <row r="2357" spans="11:16" x14ac:dyDescent="0.25">
      <c r="K2357" s="75" t="s">
        <v>14221</v>
      </c>
      <c r="L2357" s="290" t="s">
        <v>4155</v>
      </c>
      <c r="M2357" t="s">
        <v>14335</v>
      </c>
      <c r="N2357" s="75" t="s">
        <v>15007</v>
      </c>
      <c r="O2357" s="75" t="s">
        <v>7984</v>
      </c>
      <c r="P2357" t="s">
        <v>15107</v>
      </c>
    </row>
    <row r="2358" spans="11:16" x14ac:dyDescent="0.25">
      <c r="K2358" s="75" t="s">
        <v>14307</v>
      </c>
      <c r="L2358" s="75" t="s">
        <v>1369</v>
      </c>
      <c r="M2358" t="s">
        <v>14406</v>
      </c>
      <c r="N2358" s="75" t="s">
        <v>14823</v>
      </c>
      <c r="O2358" s="75" t="s">
        <v>14762</v>
      </c>
      <c r="P2358" t="s">
        <v>15000</v>
      </c>
    </row>
    <row r="2359" spans="11:16" x14ac:dyDescent="0.25">
      <c r="K2359" s="75" t="s">
        <v>14165</v>
      </c>
      <c r="L2359" s="290" t="s">
        <v>364</v>
      </c>
      <c r="M2359" t="s">
        <v>14426</v>
      </c>
      <c r="N2359" s="75" t="s">
        <v>14806</v>
      </c>
      <c r="O2359" s="75" t="s">
        <v>7984</v>
      </c>
      <c r="P2359" t="s">
        <v>14987</v>
      </c>
    </row>
    <row r="2360" spans="11:16" x14ac:dyDescent="0.25">
      <c r="K2360" s="75" t="s">
        <v>14166</v>
      </c>
      <c r="L2360" s="75" t="s">
        <v>747</v>
      </c>
      <c r="M2360" t="s">
        <v>14306</v>
      </c>
      <c r="N2360" s="75" t="s">
        <v>13950</v>
      </c>
      <c r="O2360" s="75" t="s">
        <v>7984</v>
      </c>
      <c r="P2360" t="s">
        <v>15058</v>
      </c>
    </row>
    <row r="2361" spans="11:16" x14ac:dyDescent="0.25">
      <c r="K2361" s="75" t="s">
        <v>14459</v>
      </c>
      <c r="L2361" s="75" t="s">
        <v>747</v>
      </c>
      <c r="M2361" t="s">
        <v>14603</v>
      </c>
      <c r="N2361" s="75" t="s">
        <v>14764</v>
      </c>
      <c r="O2361" s="75" t="s">
        <v>363</v>
      </c>
      <c r="P2361" t="s">
        <v>15077</v>
      </c>
    </row>
    <row r="2362" spans="11:16" x14ac:dyDescent="0.25">
      <c r="K2362" s="75" t="s">
        <v>14472</v>
      </c>
      <c r="L2362" s="75" t="s">
        <v>12745</v>
      </c>
      <c r="M2362" t="s">
        <v>14607</v>
      </c>
      <c r="N2362" s="75" t="s">
        <v>14554</v>
      </c>
      <c r="O2362" s="75" t="s">
        <v>75</v>
      </c>
      <c r="P2362" t="s">
        <v>15065</v>
      </c>
    </row>
    <row r="2363" spans="11:16" x14ac:dyDescent="0.25">
      <c r="K2363" s="75" t="s">
        <v>14150</v>
      </c>
      <c r="L2363" s="75" t="s">
        <v>1369</v>
      </c>
      <c r="M2363" t="s">
        <v>14303</v>
      </c>
      <c r="N2363" s="75" t="s">
        <v>14104</v>
      </c>
      <c r="O2363" t="s">
        <v>363</v>
      </c>
      <c r="P2363" t="s">
        <v>14444</v>
      </c>
    </row>
    <row r="2364" spans="11:16" x14ac:dyDescent="0.25">
      <c r="K2364" s="75" t="s">
        <v>14409</v>
      </c>
      <c r="L2364" s="75" t="s">
        <v>4155</v>
      </c>
      <c r="M2364" t="s">
        <v>14643</v>
      </c>
      <c r="N2364" s="75" t="s">
        <v>13221</v>
      </c>
      <c r="O2364" s="75" t="s">
        <v>5705</v>
      </c>
      <c r="P2364" t="s">
        <v>13478</v>
      </c>
    </row>
    <row r="2365" spans="11:16" x14ac:dyDescent="0.25">
      <c r="K2365" s="75" t="s">
        <v>14093</v>
      </c>
      <c r="L2365" s="75" t="s">
        <v>4155</v>
      </c>
      <c r="M2365" t="s">
        <v>14216</v>
      </c>
      <c r="N2365" s="75" t="s">
        <v>15019</v>
      </c>
      <c r="O2365" s="75" t="s">
        <v>1376</v>
      </c>
      <c r="P2365" t="s">
        <v>15198</v>
      </c>
    </row>
    <row r="2366" spans="11:16" x14ac:dyDescent="0.25">
      <c r="K2366" s="75" t="s">
        <v>14307</v>
      </c>
      <c r="L2366" s="75" t="s">
        <v>4155</v>
      </c>
      <c r="M2366" t="s">
        <v>14671</v>
      </c>
      <c r="N2366" s="75" t="s">
        <v>14998</v>
      </c>
      <c r="O2366" s="75" t="s">
        <v>7984</v>
      </c>
      <c r="P2366" t="s">
        <v>15264</v>
      </c>
    </row>
    <row r="2367" spans="11:16" x14ac:dyDescent="0.25">
      <c r="K2367" s="315" t="s">
        <v>14051</v>
      </c>
      <c r="L2367" s="75" t="s">
        <v>1510</v>
      </c>
      <c r="M2367" t="s">
        <v>14192</v>
      </c>
      <c r="N2367" s="75" t="s">
        <v>15067</v>
      </c>
      <c r="O2367" s="75" t="s">
        <v>75</v>
      </c>
      <c r="P2367" t="s">
        <v>15353</v>
      </c>
    </row>
    <row r="2368" spans="11:16" x14ac:dyDescent="0.25">
      <c r="K2368" s="75" t="s">
        <v>14043</v>
      </c>
      <c r="L2368" s="75" t="s">
        <v>1376</v>
      </c>
      <c r="M2368" t="s">
        <v>14082</v>
      </c>
    </row>
    <row r="2369" spans="11:13" x14ac:dyDescent="0.25">
      <c r="K2369" s="75" t="s">
        <v>14616</v>
      </c>
      <c r="L2369" s="290" t="s">
        <v>12745</v>
      </c>
      <c r="M2369" t="s">
        <v>14711</v>
      </c>
    </row>
    <row r="2370" spans="11:13" x14ac:dyDescent="0.25">
      <c r="K2370" s="75" t="s">
        <v>13619</v>
      </c>
      <c r="L2370" s="75" t="s">
        <v>747</v>
      </c>
      <c r="M2370" t="s">
        <v>14704</v>
      </c>
    </row>
    <row r="2371" spans="11:13" x14ac:dyDescent="0.25">
      <c r="K2371" s="74" t="s">
        <v>14630</v>
      </c>
      <c r="L2371" s="74" t="s">
        <v>747</v>
      </c>
      <c r="M2371" t="s">
        <v>14787</v>
      </c>
    </row>
    <row r="2372" spans="11:13" x14ac:dyDescent="0.25">
      <c r="K2372" s="75" t="s">
        <v>14676</v>
      </c>
      <c r="L2372" s="75" t="s">
        <v>1376</v>
      </c>
      <c r="M2372" t="s">
        <v>14766</v>
      </c>
    </row>
    <row r="2373" spans="11:13" x14ac:dyDescent="0.25">
      <c r="K2373" s="75" t="s">
        <v>14093</v>
      </c>
      <c r="L2373" s="75" t="s">
        <v>1510</v>
      </c>
      <c r="M2373" t="s">
        <v>14793</v>
      </c>
    </row>
    <row r="2374" spans="11:13" x14ac:dyDescent="0.25">
      <c r="K2374" s="75" t="s">
        <v>13832</v>
      </c>
      <c r="L2374" s="75" t="s">
        <v>747</v>
      </c>
      <c r="M2374" t="s">
        <v>13953</v>
      </c>
    </row>
    <row r="2375" spans="11:13" x14ac:dyDescent="0.25">
      <c r="K2375" s="75" t="s">
        <v>13562</v>
      </c>
      <c r="L2375" s="75" t="s">
        <v>5697</v>
      </c>
      <c r="M2375" t="s">
        <v>13936</v>
      </c>
    </row>
    <row r="2376" spans="11:13" x14ac:dyDescent="0.25">
      <c r="K2376" s="75" t="s">
        <v>14788</v>
      </c>
      <c r="L2376" s="75" t="s">
        <v>14317</v>
      </c>
      <c r="M2376" t="s">
        <v>14893</v>
      </c>
    </row>
    <row r="2377" spans="11:13" x14ac:dyDescent="0.25">
      <c r="K2377" s="75" t="s">
        <v>14849</v>
      </c>
      <c r="L2377" s="75" t="s">
        <v>7984</v>
      </c>
      <c r="M2377" t="s">
        <v>14986</v>
      </c>
    </row>
    <row r="2378" spans="11:13" x14ac:dyDescent="0.25">
      <c r="K2378" s="75" t="s">
        <v>14790</v>
      </c>
      <c r="L2378" s="75" t="s">
        <v>1376</v>
      </c>
      <c r="M2378" t="s">
        <v>15017</v>
      </c>
    </row>
    <row r="2379" spans="11:13" x14ac:dyDescent="0.25">
      <c r="K2379" s="75" t="s">
        <v>14785</v>
      </c>
      <c r="L2379" s="75" t="s">
        <v>522</v>
      </c>
      <c r="M2379" t="s">
        <v>14953</v>
      </c>
    </row>
    <row r="2380" spans="11:13" x14ac:dyDescent="0.25">
      <c r="K2380" s="75" t="s">
        <v>15025</v>
      </c>
      <c r="L2380" s="75" t="s">
        <v>15026</v>
      </c>
      <c r="M2380" t="s">
        <v>15069</v>
      </c>
    </row>
    <row r="2381" spans="11:13" x14ac:dyDescent="0.25">
      <c r="K2381" s="75" t="s">
        <v>14968</v>
      </c>
      <c r="L2381" s="75" t="s">
        <v>1260</v>
      </c>
      <c r="M2381" t="s">
        <v>15059</v>
      </c>
    </row>
    <row r="2382" spans="11:13" x14ac:dyDescent="0.25">
      <c r="K2382" s="74" t="s">
        <v>14215</v>
      </c>
      <c r="L2382" s="74" t="s">
        <v>15055</v>
      </c>
      <c r="M2382" t="s">
        <v>15057</v>
      </c>
    </row>
    <row r="2383" spans="11:13" x14ac:dyDescent="0.25">
      <c r="K2383" s="75" t="s">
        <v>14108</v>
      </c>
      <c r="L2383" s="75" t="s">
        <v>1510</v>
      </c>
      <c r="M2383" t="s">
        <v>14884</v>
      </c>
    </row>
    <row r="2384" spans="11:13" x14ac:dyDescent="0.25">
      <c r="K2384" s="75" t="s">
        <v>14795</v>
      </c>
      <c r="L2384" s="75" t="s">
        <v>14317</v>
      </c>
      <c r="M2384" t="s">
        <v>14883</v>
      </c>
    </row>
    <row r="2385" spans="1:26" x14ac:dyDescent="0.25">
      <c r="K2385" s="75" t="s">
        <v>14052</v>
      </c>
      <c r="L2385" s="290" t="s">
        <v>13976</v>
      </c>
      <c r="M2385" t="s">
        <v>15213</v>
      </c>
    </row>
    <row r="2386" spans="1:26" x14ac:dyDescent="0.25">
      <c r="K2386" s="75" t="s">
        <v>15200</v>
      </c>
      <c r="L2386" s="290" t="s">
        <v>15079</v>
      </c>
      <c r="M2386" t="s">
        <v>15238</v>
      </c>
    </row>
    <row r="2392" spans="1:26" x14ac:dyDescent="0.25">
      <c r="K2392" s="118"/>
      <c r="L2392" s="118"/>
    </row>
    <row r="2393" spans="1:26" x14ac:dyDescent="0.25">
      <c r="K2393" s="118"/>
      <c r="L2393" s="118"/>
      <c r="T2393" s="118"/>
      <c r="U2393" s="118"/>
      <c r="V2393" s="118"/>
    </row>
    <row r="2394" spans="1:26" s="218" customFormat="1" x14ac:dyDescent="0.25">
      <c r="A2394" s="218" t="s">
        <v>3</v>
      </c>
      <c r="B2394" s="218">
        <f>COUNTA(B2300:B2393)-1</f>
        <v>29</v>
      </c>
      <c r="E2394" s="218">
        <f>COUNTA(E2300:E2393)</f>
        <v>26</v>
      </c>
      <c r="H2394" s="218">
        <f>COUNTA(H2300:H2393)</f>
        <v>21</v>
      </c>
      <c r="K2394" s="218">
        <f>COUNTA(K2300:K2393)-9</f>
        <v>78</v>
      </c>
      <c r="N2394" s="218">
        <f>COUNTA(N2300:N2393)-4</f>
        <v>64</v>
      </c>
      <c r="Q2394" s="218">
        <f>COUNTA(Q2300:Q2393)-0</f>
        <v>6</v>
      </c>
      <c r="T2394" s="218">
        <f>COUNTA(T2300:T2393)-0</f>
        <v>20</v>
      </c>
      <c r="W2394" s="218">
        <f>COUNTA(W2300:W2393)-4</f>
        <v>8</v>
      </c>
      <c r="Z2394" s="218">
        <f>SUBTOTAL(9,B2394:Y2394)</f>
        <v>252</v>
      </c>
    </row>
    <row r="2395" spans="1:26" x14ac:dyDescent="0.25">
      <c r="A2395" t="s">
        <v>14094</v>
      </c>
      <c r="B2395" s="217"/>
      <c r="K2395" s="84" t="s">
        <v>14812</v>
      </c>
      <c r="L2395" s="216" t="s">
        <v>6926</v>
      </c>
      <c r="M2395" t="s">
        <v>15197</v>
      </c>
      <c r="N2395" s="290" t="s">
        <v>15400</v>
      </c>
      <c r="O2395" t="s">
        <v>6932</v>
      </c>
      <c r="P2395" t="s">
        <v>15401</v>
      </c>
      <c r="T2395" s="84" t="s">
        <v>14624</v>
      </c>
      <c r="U2395" t="s">
        <v>7716</v>
      </c>
      <c r="V2395" t="s">
        <v>14663</v>
      </c>
      <c r="W2395" s="75" t="s">
        <v>14854</v>
      </c>
      <c r="X2395" s="75" t="s">
        <v>6929</v>
      </c>
      <c r="Y2395" t="s">
        <v>15043</v>
      </c>
    </row>
    <row r="2396" spans="1:26" x14ac:dyDescent="0.25">
      <c r="K2396" s="84" t="s">
        <v>14914</v>
      </c>
      <c r="L2396" t="s">
        <v>14901</v>
      </c>
      <c r="M2396" t="s">
        <v>14915</v>
      </c>
      <c r="T2396" s="290" t="s">
        <v>15371</v>
      </c>
      <c r="U2396" t="s">
        <v>6930</v>
      </c>
      <c r="V2396" t="s">
        <v>15370</v>
      </c>
      <c r="W2396" s="75" t="s">
        <v>14156</v>
      </c>
      <c r="X2396" s="75" t="s">
        <v>1606</v>
      </c>
      <c r="Y2396" t="s">
        <v>14932</v>
      </c>
    </row>
    <row r="2397" spans="1:26" x14ac:dyDescent="0.25">
      <c r="K2397" s="84" t="s">
        <v>15044</v>
      </c>
      <c r="L2397" t="s">
        <v>15055</v>
      </c>
      <c r="M2397" t="s">
        <v>15045</v>
      </c>
      <c r="T2397" s="75" t="s">
        <v>14660</v>
      </c>
      <c r="U2397" s="75" t="s">
        <v>12580</v>
      </c>
      <c r="V2397" t="s">
        <v>15148</v>
      </c>
      <c r="W2397" s="75" t="s">
        <v>14756</v>
      </c>
      <c r="X2397" s="75" t="s">
        <v>14047</v>
      </c>
      <c r="Y2397" t="s">
        <v>14842</v>
      </c>
    </row>
    <row r="2398" spans="1:26" x14ac:dyDescent="0.25">
      <c r="K2398" s="84" t="s">
        <v>15038</v>
      </c>
      <c r="L2398" t="s">
        <v>6932</v>
      </c>
      <c r="M2398" t="s">
        <v>15042</v>
      </c>
      <c r="T2398" s="75" t="s">
        <v>14658</v>
      </c>
      <c r="U2398" s="75" t="s">
        <v>6930</v>
      </c>
      <c r="V2398" t="s">
        <v>14781</v>
      </c>
      <c r="W2398" s="75" t="s">
        <v>14757</v>
      </c>
      <c r="X2398" s="75" t="s">
        <v>14701</v>
      </c>
      <c r="Y2398" t="s">
        <v>14811</v>
      </c>
    </row>
    <row r="2399" spans="1:26" x14ac:dyDescent="0.25">
      <c r="K2399" s="84" t="s">
        <v>15313</v>
      </c>
      <c r="L2399" s="118" t="s">
        <v>15055</v>
      </c>
      <c r="M2399" t="s">
        <v>15314</v>
      </c>
      <c r="T2399" s="75" t="s">
        <v>14775</v>
      </c>
      <c r="U2399" s="75" t="s">
        <v>7716</v>
      </c>
      <c r="V2399" t="s">
        <v>14984</v>
      </c>
    </row>
    <row r="2400" spans="1:26" x14ac:dyDescent="0.25">
      <c r="K2400" s="75" t="s">
        <v>15323</v>
      </c>
      <c r="L2400" s="75" t="s">
        <v>6930</v>
      </c>
      <c r="M2400" t="s">
        <v>15368</v>
      </c>
      <c r="T2400" s="75" t="s">
        <v>14985</v>
      </c>
      <c r="U2400" s="75" t="s">
        <v>7716</v>
      </c>
      <c r="V2400" t="s">
        <v>15307</v>
      </c>
    </row>
    <row r="2401" spans="2:13" x14ac:dyDescent="0.25">
      <c r="K2401" s="75" t="s">
        <v>15003</v>
      </c>
      <c r="L2401" s="75" t="s">
        <v>7716</v>
      </c>
      <c r="M2401" t="s">
        <v>15242</v>
      </c>
    </row>
    <row r="2402" spans="2:13" x14ac:dyDescent="0.25">
      <c r="K2402" s="75" t="s">
        <v>14874</v>
      </c>
      <c r="L2402" s="118" t="s">
        <v>14901</v>
      </c>
      <c r="M2402" t="s">
        <v>14913</v>
      </c>
    </row>
    <row r="2403" spans="2:13" x14ac:dyDescent="0.25">
      <c r="B2403" s="217"/>
      <c r="K2403" s="74" t="s">
        <v>15308</v>
      </c>
      <c r="L2403" s="290" t="s">
        <v>7716</v>
      </c>
      <c r="M2403" t="s">
        <v>15316</v>
      </c>
    </row>
    <row r="2462" spans="1:26" s="218" customFormat="1" x14ac:dyDescent="0.25">
      <c r="A2462" s="218" t="s">
        <v>3</v>
      </c>
      <c r="B2462" s="218">
        <f>COUNTA(B2395:B2461)-1</f>
        <v>-1</v>
      </c>
      <c r="E2462" s="218">
        <f>COUNTA(E2395:E2461)</f>
        <v>0</v>
      </c>
      <c r="H2462" s="218">
        <f>COUNTA(H2395:H2461)</f>
        <v>0</v>
      </c>
      <c r="K2462" s="218">
        <f>COUNTA(K2395:K2461)-9</f>
        <v>0</v>
      </c>
      <c r="N2462" s="218">
        <f>COUNTA(N2395:N2461)-4</f>
        <v>-3</v>
      </c>
      <c r="Q2462" s="218">
        <f>COUNTA(Q2395:Q2461)-0</f>
        <v>0</v>
      </c>
      <c r="T2462" s="218">
        <f>COUNTA(T2395:T2461)-0</f>
        <v>6</v>
      </c>
      <c r="W2462" s="218">
        <f>COUNTA(W2395:W2461)-4</f>
        <v>0</v>
      </c>
      <c r="Z2462" s="218">
        <f>SUBTOTAL(9,B2462:Y2462)</f>
        <v>2</v>
      </c>
    </row>
  </sheetData>
  <autoFilter ref="A1608:Z1901" xr:uid="{00000000-0009-0000-0000-000001000000}"/>
  <conditionalFormatting sqref="E1717">
    <cfRule type="duplicateValues" dxfId="24669" priority="50"/>
  </conditionalFormatting>
  <conditionalFormatting sqref="E1927">
    <cfRule type="duplicateValues" dxfId="24668" priority="18"/>
    <cfRule type="duplicateValues" dxfId="24667" priority="46"/>
    <cfRule type="duplicateValues" dxfId="24666" priority="47"/>
    <cfRule type="duplicateValues" dxfId="24665" priority="12"/>
    <cfRule type="duplicateValues" dxfId="24664" priority="13"/>
    <cfRule type="duplicateValues" dxfId="24663" priority="14"/>
    <cfRule type="duplicateValues" dxfId="24662" priority="15"/>
    <cfRule type="duplicateValues" dxfId="24661" priority="16"/>
    <cfRule type="duplicateValues" dxfId="24660" priority="17"/>
    <cfRule type="duplicateValues" dxfId="24659" priority="27"/>
    <cfRule type="duplicateValues" dxfId="24658" priority="19"/>
    <cfRule type="duplicateValues" dxfId="24657" priority="20"/>
    <cfRule type="duplicateValues" dxfId="24656" priority="21"/>
    <cfRule type="duplicateValues" dxfId="24655" priority="22"/>
    <cfRule type="duplicateValues" dxfId="24654" priority="23"/>
    <cfRule type="duplicateValues" dxfId="24653" priority="24"/>
    <cfRule type="duplicateValues" dxfId="24652" priority="25"/>
    <cfRule type="duplicateValues" dxfId="24651" priority="26"/>
    <cfRule type="duplicateValues" dxfId="24650" priority="28"/>
    <cfRule type="duplicateValues" dxfId="24649" priority="29"/>
    <cfRule type="duplicateValues" dxfId="24648" priority="30"/>
    <cfRule type="duplicateValues" dxfId="24647" priority="31"/>
    <cfRule type="duplicateValues" dxfId="24646" priority="32"/>
    <cfRule type="duplicateValues" dxfId="24645" priority="33"/>
    <cfRule type="duplicateValues" dxfId="24644" priority="34"/>
    <cfRule type="duplicateValues" dxfId="24643" priority="35"/>
    <cfRule type="duplicateValues" dxfId="24642" priority="36"/>
    <cfRule type="duplicateValues" dxfId="24641" priority="37"/>
    <cfRule type="duplicateValues" dxfId="24640" priority="38"/>
    <cfRule type="duplicateValues" dxfId="24639" priority="39"/>
    <cfRule type="duplicateValues" dxfId="24638" priority="40"/>
    <cfRule type="duplicateValues" dxfId="24637" priority="41"/>
    <cfRule type="duplicateValues" dxfId="24636" priority="42"/>
    <cfRule type="duplicateValues" dxfId="24635" priority="43"/>
    <cfRule type="duplicateValues" dxfId="24634" priority="44"/>
    <cfRule type="duplicateValues" dxfId="24633" priority="45"/>
  </conditionalFormatting>
  <conditionalFormatting sqref="E2146">
    <cfRule type="duplicateValues" dxfId="24632" priority="4"/>
  </conditionalFormatting>
  <conditionalFormatting sqref="H1609">
    <cfRule type="duplicateValues" dxfId="24631" priority="58"/>
  </conditionalFormatting>
  <conditionalFormatting sqref="H2144">
    <cfRule type="duplicateValues" dxfId="24630" priority="1"/>
  </conditionalFormatting>
  <conditionalFormatting sqref="N2244:N2293">
    <cfRule type="duplicateValues" dxfId="24629" priority="76"/>
  </conditionalFormatting>
  <conditionalFormatting sqref="N2308">
    <cfRule type="duplicateValues" dxfId="24628" priority="6"/>
  </conditionalFormatting>
  <conditionalFormatting sqref="N2313">
    <cfRule type="duplicateValues" dxfId="24627" priority="124"/>
  </conditionalFormatting>
  <conditionalFormatting sqref="N2315">
    <cfRule type="duplicateValues" dxfId="24626" priority="123"/>
  </conditionalFormatting>
  <conditionalFormatting sqref="N2319">
    <cfRule type="duplicateValues" dxfId="24625" priority="119"/>
  </conditionalFormatting>
  <conditionalFormatting sqref="N2320">
    <cfRule type="duplicateValues" dxfId="24624" priority="69"/>
  </conditionalFormatting>
  <conditionalFormatting sqref="N2323">
    <cfRule type="duplicateValues" dxfId="24623" priority="108"/>
  </conditionalFormatting>
  <conditionalFormatting sqref="N2326">
    <cfRule type="duplicateValues" dxfId="24622" priority="87"/>
  </conditionalFormatting>
  <conditionalFormatting sqref="N2327">
    <cfRule type="duplicateValues" dxfId="24621" priority="86"/>
  </conditionalFormatting>
  <conditionalFormatting sqref="N2335">
    <cfRule type="duplicateValues" dxfId="24620" priority="66"/>
  </conditionalFormatting>
  <conditionalFormatting sqref="N2336">
    <cfRule type="duplicateValues" dxfId="24619" priority="65"/>
  </conditionalFormatting>
  <conditionalFormatting sqref="N2337">
    <cfRule type="duplicateValues" dxfId="24618" priority="64"/>
  </conditionalFormatting>
  <conditionalFormatting sqref="N2342">
    <cfRule type="duplicateValues" dxfId="24617" priority="59"/>
  </conditionalFormatting>
  <conditionalFormatting sqref="N2345">
    <cfRule type="duplicateValues" dxfId="24616" priority="56"/>
  </conditionalFormatting>
  <conditionalFormatting sqref="N2363">
    <cfRule type="duplicateValues" dxfId="24615" priority="49"/>
  </conditionalFormatting>
  <conditionalFormatting sqref="N2396">
    <cfRule type="duplicateValues" dxfId="24614" priority="92"/>
  </conditionalFormatting>
  <conditionalFormatting sqref="N2397">
    <cfRule type="duplicateValues" dxfId="24613" priority="94"/>
  </conditionalFormatting>
  <conditionalFormatting sqref="N2401">
    <cfRule type="duplicateValues" dxfId="24612" priority="90"/>
  </conditionalFormatting>
  <conditionalFormatting sqref="N2402">
    <cfRule type="duplicateValues" dxfId="24611" priority="91"/>
  </conditionalFormatting>
  <conditionalFormatting sqref="N2407">
    <cfRule type="duplicateValues" dxfId="24610" priority="101"/>
  </conditionalFormatting>
  <conditionalFormatting sqref="N2408">
    <cfRule type="duplicateValues" dxfId="24609" priority="100"/>
  </conditionalFormatting>
  <conditionalFormatting sqref="N2410">
    <cfRule type="duplicateValues" dxfId="24608" priority="99"/>
  </conditionalFormatting>
  <conditionalFormatting sqref="N2414">
    <cfRule type="duplicateValues" dxfId="24607" priority="97"/>
  </conditionalFormatting>
  <conditionalFormatting sqref="N2418">
    <cfRule type="duplicateValues" dxfId="24606" priority="93"/>
  </conditionalFormatting>
  <conditionalFormatting sqref="W2085">
    <cfRule type="duplicateValues" dxfId="24605" priority="128"/>
  </conditionalFormatting>
  <conditionalFormatting sqref="W2217">
    <cfRule type="duplicateValues" dxfId="24604" priority="131"/>
  </conditionalFormatting>
  <conditionalFormatting sqref="W2240">
    <cfRule type="duplicateValues" dxfId="24603" priority="83"/>
  </conditionalFormatting>
  <conditionalFormatting sqref="W2300">
    <cfRule type="duplicateValues" dxfId="24602" priority="80"/>
  </conditionalFormatting>
  <conditionalFormatting sqref="W2301">
    <cfRule type="duplicateValues" dxfId="24601" priority="79"/>
  </conditionalFormatting>
  <conditionalFormatting sqref="W2302">
    <cfRule type="duplicateValues" dxfId="24600" priority="82"/>
  </conditionalFormatting>
  <conditionalFormatting sqref="W2303">
    <cfRule type="duplicateValues" dxfId="24599" priority="115"/>
  </conditionalFormatting>
  <conditionalFormatting sqref="W2304">
    <cfRule type="duplicateValues" dxfId="24598" priority="132"/>
  </conditionalFormatting>
  <conditionalFormatting sqref="W2312">
    <cfRule type="duplicateValues" dxfId="24597" priority="120"/>
  </conditionalFormatting>
  <conditionalFormatting sqref="W2391">
    <cfRule type="duplicateValues" dxfId="24596" priority="55"/>
  </conditionalFormatting>
  <conditionalFormatting sqref="W2396">
    <cfRule type="duplicateValues" dxfId="24595" priority="51"/>
  </conditionalFormatting>
  <conditionalFormatting sqref="W2397">
    <cfRule type="duplicateValues" dxfId="24594" priority="54"/>
  </conditionalFormatting>
  <conditionalFormatting sqref="W2398">
    <cfRule type="duplicateValues" dxfId="24593" priority="52"/>
  </conditionalFormatting>
  <conditionalFormatting sqref="W2399">
    <cfRule type="duplicateValues" dxfId="24592" priority="103"/>
  </conditionalFormatting>
  <conditionalFormatting sqref="W2407">
    <cfRule type="duplicateValues" dxfId="24591" priority="98"/>
  </conditionalFormatting>
  <pageMargins left="1.0899999999999999" right="0.7" top="0.75" bottom="0.75" header="0.3" footer="0.3"/>
  <pageSetup scale="9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C252"/>
  <sheetViews>
    <sheetView zoomScale="70" zoomScaleNormal="70" workbookViewId="0">
      <pane ySplit="3" topLeftCell="A172" activePane="bottomLeft" state="frozen"/>
      <selection activeCell="A3" sqref="A3"/>
      <selection pane="bottomLeft" activeCell="D199" sqref="D199"/>
    </sheetView>
  </sheetViews>
  <sheetFormatPr defaultColWidth="9.140625" defaultRowHeight="15.75" x14ac:dyDescent="0.25"/>
  <cols>
    <col min="1" max="1" width="17.28515625" style="100" bestFit="1" customWidth="1"/>
    <col min="2" max="2" width="45.5703125" style="100" customWidth="1"/>
    <col min="3" max="3" width="22.28515625" style="100" bestFit="1" customWidth="1"/>
    <col min="4" max="4" width="39.42578125" style="100" customWidth="1"/>
    <col min="5" max="5" width="23.5703125" style="100" customWidth="1"/>
    <col min="6" max="6" width="44.7109375" style="100" customWidth="1"/>
    <col min="7" max="7" width="17.5703125" style="100" customWidth="1"/>
    <col min="8" max="8" width="41" style="100" customWidth="1"/>
    <col min="9" max="9" width="25.5703125" style="100" customWidth="1"/>
    <col min="10" max="10" width="50.7109375" style="100" customWidth="1"/>
    <col min="11" max="11" width="19.5703125" style="100" customWidth="1"/>
    <col min="12" max="12" width="40.28515625" style="100" customWidth="1"/>
    <col min="13" max="13" width="18.5703125" style="100" customWidth="1"/>
    <col min="14" max="14" width="39.7109375" style="100" customWidth="1"/>
    <col min="15" max="15" width="29.85546875" style="100" customWidth="1"/>
    <col min="16" max="16" width="51.5703125" style="100" customWidth="1"/>
    <col min="17" max="17" width="27.85546875" style="100" customWidth="1"/>
    <col min="18" max="18" width="13.140625" style="100" customWidth="1"/>
    <col min="19" max="19" width="9" style="100" customWidth="1"/>
    <col min="20" max="20" width="11.5703125" style="100" customWidth="1"/>
    <col min="21" max="21" width="18.28515625" style="100" customWidth="1"/>
    <col min="22" max="22" width="14.140625" style="100" bestFit="1" customWidth="1"/>
    <col min="23" max="28" width="9.140625" style="100"/>
    <col min="29" max="29" width="19.140625" style="358" customWidth="1"/>
    <col min="30" max="30" width="13.85546875" style="100" bestFit="1" customWidth="1"/>
    <col min="31" max="16384" width="9.140625" style="100"/>
  </cols>
  <sheetData>
    <row r="1" spans="1:29" ht="48.75" thickTop="1" thickBot="1" x14ac:dyDescent="0.3">
      <c r="A1" s="296" t="str">
        <f ca="1">"ACTIVE WORKINGPLACES "&amp;UPPER(TEXT(TODAY(),"mmmm")&amp;" "&amp;TEXT(TODAY(),"yyyy"))</f>
        <v>ACTIVE WORKINGPLACES JUNE 2026</v>
      </c>
      <c r="B1" s="297"/>
      <c r="C1" s="297"/>
      <c r="D1" s="297"/>
      <c r="E1" s="297"/>
      <c r="F1" s="297"/>
      <c r="G1" s="297"/>
      <c r="H1" s="297"/>
      <c r="I1" s="297"/>
      <c r="J1" s="297"/>
      <c r="K1" s="297"/>
      <c r="L1" s="297" t="s">
        <v>15324</v>
      </c>
      <c r="M1" s="297"/>
      <c r="N1" s="297"/>
      <c r="O1" s="297"/>
      <c r="P1" s="297"/>
      <c r="Q1" s="298"/>
      <c r="V1" s="108" t="s">
        <v>287</v>
      </c>
      <c r="W1" s="108" t="s">
        <v>232</v>
      </c>
      <c r="X1" s="108" t="s">
        <v>233</v>
      </c>
      <c r="Y1" s="108" t="s">
        <v>234</v>
      </c>
      <c r="Z1" s="108" t="s">
        <v>235</v>
      </c>
      <c r="AC1" s="176" t="s">
        <v>6160</v>
      </c>
    </row>
    <row r="2" spans="1:29" ht="17.25" thickTop="1" thickBot="1" x14ac:dyDescent="0.3">
      <c r="A2" s="299" t="s">
        <v>0</v>
      </c>
      <c r="B2" s="300"/>
      <c r="C2" s="300"/>
      <c r="D2" s="300"/>
      <c r="E2" s="300"/>
      <c r="F2" s="300"/>
      <c r="G2" s="301"/>
      <c r="H2" s="302" t="s">
        <v>89</v>
      </c>
      <c r="I2" s="303"/>
      <c r="J2" s="303"/>
      <c r="K2" s="303"/>
      <c r="L2" s="303"/>
      <c r="M2" s="303"/>
      <c r="N2" s="303"/>
      <c r="O2" s="304"/>
      <c r="P2" s="305" t="s">
        <v>74</v>
      </c>
      <c r="Q2" s="306"/>
      <c r="R2" s="415" t="s">
        <v>8300</v>
      </c>
      <c r="S2" s="416"/>
      <c r="T2" s="416"/>
      <c r="U2" s="417"/>
      <c r="V2" s="101"/>
      <c r="W2" s="101"/>
      <c r="X2" s="101"/>
      <c r="Y2" s="101"/>
      <c r="Z2" s="101"/>
      <c r="AC2" s="258" t="s">
        <v>6161</v>
      </c>
    </row>
    <row r="3" spans="1:29" ht="16.5" thickTop="1" x14ac:dyDescent="0.25">
      <c r="A3" s="109"/>
      <c r="B3" s="112" t="s">
        <v>211</v>
      </c>
      <c r="C3" s="111" t="s">
        <v>428</v>
      </c>
      <c r="D3" s="110" t="s">
        <v>23</v>
      </c>
      <c r="E3" s="221" t="s">
        <v>428</v>
      </c>
      <c r="F3" s="222" t="s">
        <v>88</v>
      </c>
      <c r="G3" s="210" t="s">
        <v>428</v>
      </c>
      <c r="H3" s="211" t="s">
        <v>18</v>
      </c>
      <c r="I3" s="113" t="s">
        <v>428</v>
      </c>
      <c r="J3" s="183" t="s">
        <v>19</v>
      </c>
      <c r="K3" s="113" t="s">
        <v>428</v>
      </c>
      <c r="L3" s="183" t="s">
        <v>20</v>
      </c>
      <c r="M3" s="184" t="s">
        <v>428</v>
      </c>
      <c r="N3" s="185" t="s">
        <v>21</v>
      </c>
      <c r="O3" s="186" t="s">
        <v>428</v>
      </c>
      <c r="P3" s="187" t="s">
        <v>73</v>
      </c>
      <c r="Q3" s="188" t="s">
        <v>428</v>
      </c>
      <c r="V3" s="101"/>
      <c r="W3" s="101"/>
      <c r="X3" s="101"/>
      <c r="Y3" s="101"/>
      <c r="Z3" s="101"/>
      <c r="AC3" s="259" t="str">
        <f>IFERROR(INDEX(LIST2!$F:$F,MATCH(P3,LIST2!J:J,0),1),"")</f>
        <v/>
      </c>
    </row>
    <row r="4" spans="1:29" x14ac:dyDescent="0.25">
      <c r="A4" s="98" t="s">
        <v>8902</v>
      </c>
      <c r="B4" s="102"/>
      <c r="C4" s="99"/>
      <c r="D4" s="106"/>
      <c r="E4" s="105"/>
      <c r="F4" s="325"/>
      <c r="G4" s="105"/>
      <c r="H4" s="106"/>
      <c r="I4" s="107"/>
      <c r="J4" s="104"/>
      <c r="K4" s="107"/>
      <c r="L4" s="104"/>
      <c r="M4" s="105"/>
      <c r="N4" s="106"/>
      <c r="O4" s="107"/>
      <c r="P4" s="106" t="s">
        <v>14337</v>
      </c>
      <c r="Q4" s="107" t="s">
        <v>14242</v>
      </c>
      <c r="R4" s="268"/>
      <c r="S4" s="268"/>
      <c r="T4" s="100" t="s">
        <v>8297</v>
      </c>
      <c r="V4" s="101" t="str">
        <f t="shared" ref="V4:V11" si="0">IF((RIGHT(P4,7)="ROBBING"),"ROBBING","")</f>
        <v>ROBBING</v>
      </c>
      <c r="W4" s="101"/>
      <c r="X4" s="101"/>
      <c r="Y4" s="101"/>
      <c r="Z4" s="101"/>
      <c r="AC4" s="259" t="str">
        <f>IFERROR(INDEX(LIST2!$F:$F,MATCH(P4,LIST2!J:J,0),1),"")</f>
        <v>RobS 79</v>
      </c>
    </row>
    <row r="5" spans="1:29" x14ac:dyDescent="0.25">
      <c r="A5" s="98"/>
      <c r="B5" s="102"/>
      <c r="C5" s="99"/>
      <c r="D5" s="106"/>
      <c r="E5" s="105"/>
      <c r="F5" s="256"/>
      <c r="G5" s="105"/>
      <c r="H5" s="106"/>
      <c r="I5" s="107"/>
      <c r="J5" s="104"/>
      <c r="K5" s="107"/>
      <c r="L5" s="104"/>
      <c r="M5" s="105"/>
      <c r="N5" s="106"/>
      <c r="O5" s="107"/>
      <c r="P5" s="106" t="s">
        <v>15260</v>
      </c>
      <c r="Q5" s="107" t="s">
        <v>6216</v>
      </c>
      <c r="R5" s="269"/>
      <c r="S5" s="269"/>
      <c r="T5" s="100" t="s">
        <v>8314</v>
      </c>
      <c r="V5" s="101" t="str">
        <f t="shared" si="0"/>
        <v/>
      </c>
      <c r="W5" s="101"/>
      <c r="X5" s="101"/>
      <c r="Y5" s="101"/>
      <c r="Z5" s="101"/>
      <c r="AC5" s="259" t="str">
        <f>IFERROR(INDEX(LIST2!$F:$F,MATCH(P5,LIST2!J:J,0),1),"")</f>
        <v>Dhoz 71</v>
      </c>
    </row>
    <row r="6" spans="1:29" x14ac:dyDescent="0.25">
      <c r="A6" s="98"/>
      <c r="B6" s="102"/>
      <c r="C6" s="99"/>
      <c r="D6" s="106"/>
      <c r="E6" s="105"/>
      <c r="F6" s="256"/>
      <c r="G6" s="105"/>
      <c r="H6" s="106"/>
      <c r="I6" s="107"/>
      <c r="J6" s="104"/>
      <c r="K6" s="107"/>
      <c r="L6" s="104"/>
      <c r="M6" s="105"/>
      <c r="N6" s="106"/>
      <c r="O6" s="107"/>
      <c r="P6" s="106"/>
      <c r="Q6" s="107"/>
      <c r="R6" s="412"/>
      <c r="S6" s="412"/>
      <c r="T6" s="100" t="s">
        <v>8298</v>
      </c>
      <c r="V6" s="101" t="str">
        <f t="shared" si="0"/>
        <v/>
      </c>
      <c r="W6" s="101"/>
      <c r="X6" s="101"/>
      <c r="Y6" s="101"/>
      <c r="Z6" s="101"/>
      <c r="AC6" s="259" t="str">
        <f>IFERROR(INDEX(LIST2!$F:$F,MATCH(P6,LIST2!J:J,0),1),"")</f>
        <v/>
      </c>
    </row>
    <row r="7" spans="1:29" x14ac:dyDescent="0.25">
      <c r="A7" s="98"/>
      <c r="B7" s="102"/>
      <c r="C7" s="99"/>
      <c r="D7" s="106"/>
      <c r="E7" s="105"/>
      <c r="F7" s="256"/>
      <c r="G7" s="105"/>
      <c r="H7" s="106"/>
      <c r="I7" s="107"/>
      <c r="J7" s="104"/>
      <c r="K7" s="107"/>
      <c r="L7" s="104"/>
      <c r="M7" s="105"/>
      <c r="N7" s="106"/>
      <c r="O7" s="107"/>
      <c r="P7" s="106"/>
      <c r="Q7" s="107"/>
      <c r="R7" s="413"/>
      <c r="S7" s="413"/>
      <c r="T7" s="100" t="s">
        <v>8299</v>
      </c>
      <c r="U7" s="257"/>
      <c r="V7" s="101" t="str">
        <f>IF((RIGHT(P7,7)="ROBBING"),"ROBBING","")</f>
        <v/>
      </c>
      <c r="W7" s="101"/>
      <c r="X7" s="101"/>
      <c r="Y7" s="101"/>
      <c r="Z7" s="101"/>
      <c r="AC7" s="259" t="str">
        <f>IFERROR(INDEX(LIST2!$F:$F,MATCH(P7,LIST2!J:J,0),1),"")</f>
        <v/>
      </c>
    </row>
    <row r="8" spans="1:29" x14ac:dyDescent="0.25">
      <c r="A8" s="98"/>
      <c r="B8" s="102"/>
      <c r="C8" s="99"/>
      <c r="D8" s="106"/>
      <c r="E8" s="105"/>
      <c r="F8" s="256"/>
      <c r="G8" s="105"/>
      <c r="H8" s="106"/>
      <c r="I8" s="107"/>
      <c r="J8" s="104"/>
      <c r="K8" s="107"/>
      <c r="L8" s="104"/>
      <c r="M8" s="105"/>
      <c r="N8" s="106"/>
      <c r="O8" s="107"/>
      <c r="P8" s="106"/>
      <c r="Q8" s="107"/>
      <c r="R8" s="414"/>
      <c r="S8" s="414"/>
      <c r="T8" s="100" t="s">
        <v>802</v>
      </c>
      <c r="V8" s="101" t="str">
        <f t="shared" si="0"/>
        <v/>
      </c>
      <c r="W8" s="101"/>
      <c r="X8" s="101"/>
      <c r="Y8" s="101"/>
      <c r="Z8" s="101"/>
      <c r="AC8" s="259" t="str">
        <f>IFERROR(INDEX(LIST2!$F:$F,MATCH(P8,LIST2!J:J,0),1),"")</f>
        <v/>
      </c>
    </row>
    <row r="9" spans="1:29" x14ac:dyDescent="0.25">
      <c r="A9" s="98"/>
      <c r="B9" s="102"/>
      <c r="C9" s="99"/>
      <c r="D9" s="106"/>
      <c r="E9" s="105"/>
      <c r="F9" s="256"/>
      <c r="G9" s="105"/>
      <c r="H9" s="106"/>
      <c r="I9" s="107"/>
      <c r="J9" s="104"/>
      <c r="K9" s="107"/>
      <c r="L9" s="104"/>
      <c r="M9" s="105"/>
      <c r="N9" s="106"/>
      <c r="O9" s="107"/>
      <c r="P9" s="106"/>
      <c r="Q9" s="107"/>
      <c r="V9" s="101" t="str">
        <f t="shared" si="0"/>
        <v/>
      </c>
      <c r="W9" s="101"/>
      <c r="X9" s="101"/>
      <c r="Y9" s="101"/>
      <c r="Z9" s="101"/>
      <c r="AC9" s="259" t="str">
        <f>IFERROR(INDEX(LIST2!$F:$F,MATCH(P9,LIST2!J:J,0),1),"")</f>
        <v/>
      </c>
    </row>
    <row r="10" spans="1:29" x14ac:dyDescent="0.25">
      <c r="A10" s="98"/>
      <c r="B10" s="102"/>
      <c r="C10" s="99"/>
      <c r="D10" s="106"/>
      <c r="E10" s="105"/>
      <c r="F10" s="256"/>
      <c r="G10" s="105"/>
      <c r="H10" s="106"/>
      <c r="I10" s="107"/>
      <c r="J10" s="104"/>
      <c r="K10" s="107"/>
      <c r="L10" s="104"/>
      <c r="M10" s="105"/>
      <c r="N10" s="106"/>
      <c r="O10" s="107"/>
      <c r="P10" s="106"/>
      <c r="Q10" s="107"/>
      <c r="V10" s="101" t="str">
        <f t="shared" si="0"/>
        <v/>
      </c>
      <c r="W10" s="101"/>
      <c r="X10" s="101"/>
      <c r="Y10" s="101"/>
      <c r="Z10" s="101"/>
      <c r="AC10" s="259" t="str">
        <f>IFERROR(INDEX(LIST2!$F:$F,MATCH(P10,LIST2!J:J,0),1),"")</f>
        <v/>
      </c>
    </row>
    <row r="11" spans="1:29" x14ac:dyDescent="0.25">
      <c r="A11" s="98"/>
      <c r="B11" s="102"/>
      <c r="C11" s="99"/>
      <c r="D11" s="106"/>
      <c r="E11" s="105"/>
      <c r="F11" s="256"/>
      <c r="G11" s="105"/>
      <c r="H11" s="106"/>
      <c r="I11" s="107"/>
      <c r="J11" s="104"/>
      <c r="K11" s="107"/>
      <c r="L11" s="104"/>
      <c r="M11" s="105"/>
      <c r="N11" s="106"/>
      <c r="O11" s="107"/>
      <c r="P11" s="106"/>
      <c r="Q11" s="107"/>
      <c r="V11" s="101" t="str">
        <f t="shared" si="0"/>
        <v/>
      </c>
      <c r="W11" s="101"/>
      <c r="X11" s="101"/>
      <c r="Y11" s="101"/>
      <c r="Z11" s="101"/>
      <c r="AC11" s="259" t="str">
        <f>IFERROR(INDEX(LIST2!$F:$F,MATCH(P11,LIST2!J:J,0),1),"")</f>
        <v/>
      </c>
    </row>
    <row r="12" spans="1:29" x14ac:dyDescent="0.25">
      <c r="A12" s="98"/>
      <c r="B12" s="102"/>
      <c r="C12" s="99"/>
      <c r="D12" s="106"/>
      <c r="E12" s="105"/>
      <c r="F12" s="256"/>
      <c r="G12" s="105"/>
      <c r="H12" s="106"/>
      <c r="I12" s="107"/>
      <c r="J12" s="104"/>
      <c r="K12" s="107"/>
      <c r="L12" s="104"/>
      <c r="M12" s="105"/>
      <c r="N12" s="106"/>
      <c r="O12" s="107"/>
      <c r="P12" s="106"/>
      <c r="Q12" s="107"/>
      <c r="V12" s="101"/>
      <c r="W12" s="101"/>
      <c r="X12" s="101"/>
      <c r="Y12" s="101"/>
      <c r="Z12" s="101"/>
      <c r="AC12" s="259"/>
    </row>
    <row r="13" spans="1:29" x14ac:dyDescent="0.25">
      <c r="A13" s="89" t="s">
        <v>3</v>
      </c>
      <c r="B13" s="95">
        <f>COUNTA(B4:B10)</f>
        <v>0</v>
      </c>
      <c r="C13" s="93"/>
      <c r="D13" s="95">
        <f>COUNTA(D4:D10)</f>
        <v>0</v>
      </c>
      <c r="E13" s="91"/>
      <c r="F13" s="95">
        <f>COUNTA(F4:F10)</f>
        <v>0</v>
      </c>
      <c r="G13" s="94"/>
      <c r="H13" s="90">
        <f>COUNTA(H4:H10)</f>
        <v>0</v>
      </c>
      <c r="I13" s="91"/>
      <c r="J13" s="92">
        <f>COUNTA(J4:J10)</f>
        <v>0</v>
      </c>
      <c r="K13" s="94"/>
      <c r="L13" s="95">
        <f>COUNTA(L4:L10)</f>
        <v>0</v>
      </c>
      <c r="M13" s="91"/>
      <c r="N13" s="95">
        <f>COUNTA(N4:N10)</f>
        <v>0</v>
      </c>
      <c r="O13" s="94"/>
      <c r="P13" s="95">
        <f>COUNTA(P4:P11)</f>
        <v>2</v>
      </c>
      <c r="Q13" s="91"/>
      <c r="R13" s="96">
        <f>COUNTIF(V4:V10,"ROBBING")</f>
        <v>1</v>
      </c>
      <c r="S13" s="96">
        <f>'FINAL LIST WITH REMARKS'!Z186</f>
        <v>15</v>
      </c>
      <c r="T13" s="96">
        <f>SUM(B13:Q13)</f>
        <v>2</v>
      </c>
      <c r="U13" s="96">
        <f>'For Explo'!J26</f>
        <v>2</v>
      </c>
      <c r="V13" s="97">
        <f>COUNTIF(V4:V11,"ROBBING")</f>
        <v>1</v>
      </c>
      <c r="W13" s="97">
        <f>COUNTA(W4:W10)</f>
        <v>0</v>
      </c>
      <c r="X13" s="97">
        <f>COUNTA(X4:X10)</f>
        <v>0</v>
      </c>
      <c r="Y13" s="97">
        <f>COUNTA(Y4:Y10)</f>
        <v>0</v>
      </c>
      <c r="Z13" s="97">
        <f>COUNTA(Z4:Z10)</f>
        <v>0</v>
      </c>
      <c r="AC13" s="259" t="str">
        <f>IFERROR(INDEX(LIST2!$F:$F,MATCH(P13,LIST2!J:J,0),1),"")</f>
        <v/>
      </c>
    </row>
    <row r="14" spans="1:29" x14ac:dyDescent="0.25">
      <c r="A14" s="98" t="s">
        <v>6</v>
      </c>
      <c r="B14" s="102"/>
      <c r="C14" s="99"/>
      <c r="D14" s="106"/>
      <c r="E14" s="105"/>
      <c r="F14" s="106"/>
      <c r="G14" s="107"/>
      <c r="H14" s="104"/>
      <c r="I14" s="105"/>
      <c r="J14" s="106"/>
      <c r="K14" s="107"/>
      <c r="L14" s="104"/>
      <c r="M14" s="105"/>
      <c r="N14" s="106"/>
      <c r="O14" s="107"/>
      <c r="P14" s="104"/>
      <c r="Q14" s="263"/>
      <c r="V14" s="101" t="str">
        <f t="shared" ref="V14:V30" si="1">IF((RIGHT(P14,7)="ROBBING"),"ROBBING","")</f>
        <v/>
      </c>
      <c r="W14" s="101" t="s">
        <v>236</v>
      </c>
      <c r="X14" s="101" t="s">
        <v>236</v>
      </c>
      <c r="Y14" s="101" t="s">
        <v>236</v>
      </c>
      <c r="Z14" s="101" t="s">
        <v>236</v>
      </c>
      <c r="AC14" s="259" t="str">
        <f>IFERROR(INDEX(LIST2!$F:$F,MATCH(P14,LIST2!J:J,0),1),"")</f>
        <v/>
      </c>
    </row>
    <row r="15" spans="1:29" x14ac:dyDescent="0.25">
      <c r="A15" s="98"/>
      <c r="B15" s="102"/>
      <c r="C15" s="99"/>
      <c r="D15" s="106"/>
      <c r="E15" s="105"/>
      <c r="F15" s="106"/>
      <c r="G15" s="107"/>
      <c r="H15" s="104"/>
      <c r="I15" s="105"/>
      <c r="J15" s="106"/>
      <c r="K15" s="107"/>
      <c r="L15" s="104"/>
      <c r="M15" s="105"/>
      <c r="N15" s="106"/>
      <c r="O15" s="107"/>
      <c r="P15" s="104"/>
      <c r="Q15" s="263"/>
      <c r="V15" s="101" t="str">
        <f t="shared" si="1"/>
        <v/>
      </c>
      <c r="W15" s="101" t="s">
        <v>236</v>
      </c>
      <c r="X15" s="101" t="s">
        <v>236</v>
      </c>
      <c r="Y15" s="101" t="s">
        <v>236</v>
      </c>
      <c r="Z15" s="101"/>
      <c r="AC15" s="259" t="str">
        <f>IFERROR(INDEX(LIST2!$F:$F,MATCH(P15,LIST2!J:J,0),1),"")</f>
        <v/>
      </c>
    </row>
    <row r="16" spans="1:29" x14ac:dyDescent="0.25">
      <c r="A16" s="98"/>
      <c r="B16" s="102"/>
      <c r="C16" s="99"/>
      <c r="D16" s="106"/>
      <c r="E16" s="105"/>
      <c r="F16" s="106"/>
      <c r="G16" s="107"/>
      <c r="H16" s="104"/>
      <c r="I16" s="105"/>
      <c r="J16" s="106"/>
      <c r="K16" s="107"/>
      <c r="L16" s="104"/>
      <c r="M16" s="105"/>
      <c r="N16" s="106"/>
      <c r="O16" s="107"/>
      <c r="P16" s="104"/>
      <c r="Q16" s="105"/>
      <c r="V16" s="101" t="str">
        <f t="shared" si="1"/>
        <v/>
      </c>
      <c r="W16" s="101"/>
      <c r="X16" s="101"/>
      <c r="Y16" s="101"/>
      <c r="Z16" s="101"/>
      <c r="AC16" s="259" t="str">
        <f>IFERROR(INDEX(LIST2!$F:$F,MATCH(P16,LIST2!J:J,0),1),"")</f>
        <v/>
      </c>
    </row>
    <row r="17" spans="1:29" x14ac:dyDescent="0.25">
      <c r="A17" s="98"/>
      <c r="B17" s="102"/>
      <c r="C17" s="99"/>
      <c r="D17" s="106"/>
      <c r="E17" s="105"/>
      <c r="F17" s="106"/>
      <c r="G17" s="107"/>
      <c r="H17" s="104"/>
      <c r="I17" s="105"/>
      <c r="J17" s="106"/>
      <c r="K17" s="107"/>
      <c r="L17" s="104"/>
      <c r="M17" s="105"/>
      <c r="N17" s="106"/>
      <c r="O17" s="107"/>
      <c r="P17" s="104"/>
      <c r="Q17" s="105"/>
      <c r="V17" s="101" t="str">
        <f t="shared" si="1"/>
        <v/>
      </c>
      <c r="W17" s="101"/>
      <c r="X17" s="101"/>
      <c r="Y17" s="101"/>
      <c r="Z17" s="101"/>
      <c r="AC17" s="259" t="str">
        <f>IFERROR(INDEX(LIST2!$F:$F,MATCH(P17,LIST2!J:J,0),1),"")</f>
        <v/>
      </c>
    </row>
    <row r="18" spans="1:29" x14ac:dyDescent="0.25">
      <c r="A18" s="98"/>
      <c r="B18" s="102"/>
      <c r="C18" s="99"/>
      <c r="D18" s="106"/>
      <c r="E18" s="105"/>
      <c r="F18" s="106"/>
      <c r="G18" s="107"/>
      <c r="H18" s="104"/>
      <c r="I18" s="105"/>
      <c r="J18" s="106"/>
      <c r="K18" s="107"/>
      <c r="L18" s="104"/>
      <c r="M18" s="105"/>
      <c r="N18" s="106"/>
      <c r="O18" s="107"/>
      <c r="P18" s="104"/>
      <c r="Q18" s="105"/>
      <c r="V18" s="101" t="str">
        <f t="shared" si="1"/>
        <v/>
      </c>
      <c r="W18" s="101"/>
      <c r="X18" s="101"/>
      <c r="Y18" s="101"/>
      <c r="Z18" s="101"/>
      <c r="AC18" s="259" t="str">
        <f>IFERROR(INDEX(LIST2!$F:$F,MATCH(P18,LIST2!J:J,0),1),"")</f>
        <v/>
      </c>
    </row>
    <row r="19" spans="1:29" ht="16.5" customHeight="1" x14ac:dyDescent="0.25">
      <c r="A19" s="98"/>
      <c r="B19" s="102"/>
      <c r="C19" s="99"/>
      <c r="D19" s="106"/>
      <c r="E19" s="105"/>
      <c r="F19" s="106"/>
      <c r="G19" s="107"/>
      <c r="H19" s="104"/>
      <c r="I19" s="105"/>
      <c r="J19" s="106"/>
      <c r="K19" s="107"/>
      <c r="L19" s="104"/>
      <c r="M19" s="105"/>
      <c r="N19" s="106"/>
      <c r="O19" s="107"/>
      <c r="P19" s="104"/>
      <c r="Q19" s="263"/>
      <c r="V19" s="101" t="str">
        <f t="shared" si="1"/>
        <v/>
      </c>
      <c r="W19" s="101"/>
      <c r="X19" s="101"/>
      <c r="Y19" s="101"/>
      <c r="Z19" s="101"/>
      <c r="AC19" s="259" t="str">
        <f>IFERROR(INDEX(LIST2!$F:$F,MATCH(P19,LIST2!J:J,0),1),"")</f>
        <v/>
      </c>
    </row>
    <row r="20" spans="1:29" x14ac:dyDescent="0.25">
      <c r="A20" s="98"/>
      <c r="B20" s="102"/>
      <c r="C20" s="99"/>
      <c r="D20" s="106"/>
      <c r="E20" s="105"/>
      <c r="F20" s="106"/>
      <c r="G20" s="107"/>
      <c r="H20" s="104"/>
      <c r="I20" s="105"/>
      <c r="J20" s="106"/>
      <c r="K20" s="107"/>
      <c r="L20" s="104"/>
      <c r="M20" s="105"/>
      <c r="N20" s="106"/>
      <c r="O20" s="107"/>
      <c r="P20" s="104"/>
      <c r="Q20" s="105"/>
      <c r="V20" s="101" t="str">
        <f t="shared" si="1"/>
        <v/>
      </c>
      <c r="W20" s="101"/>
      <c r="X20" s="101"/>
      <c r="Y20" s="101"/>
      <c r="Z20" s="101"/>
      <c r="AC20" s="259" t="str">
        <f>IFERROR(INDEX(LIST2!$F:$F,MATCH(P20,LIST2!J:J,0),1),"")</f>
        <v/>
      </c>
    </row>
    <row r="21" spans="1:29" x14ac:dyDescent="0.25">
      <c r="A21" s="98"/>
      <c r="B21" s="102"/>
      <c r="C21" s="99"/>
      <c r="D21" s="106"/>
      <c r="E21" s="105"/>
      <c r="F21" s="106"/>
      <c r="G21" s="107"/>
      <c r="H21" s="104"/>
      <c r="I21" s="105" t="s">
        <v>47</v>
      </c>
      <c r="J21" s="106"/>
      <c r="K21" s="107"/>
      <c r="L21" s="104"/>
      <c r="M21" s="105"/>
      <c r="N21" s="106"/>
      <c r="O21" s="107"/>
      <c r="P21" s="104"/>
      <c r="Q21" s="105"/>
      <c r="V21" s="101" t="str">
        <f t="shared" si="1"/>
        <v/>
      </c>
      <c r="W21" s="101"/>
      <c r="X21" s="101"/>
      <c r="Y21" s="101"/>
      <c r="Z21" s="101"/>
      <c r="AC21" s="259" t="str">
        <f>IFERROR(INDEX(LIST2!$F:$F,MATCH(P21,LIST2!J:J,0),1),"")</f>
        <v/>
      </c>
    </row>
    <row r="22" spans="1:29" x14ac:dyDescent="0.25">
      <c r="A22" s="98"/>
      <c r="B22" s="102"/>
      <c r="C22" s="99"/>
      <c r="D22" s="106"/>
      <c r="E22" s="105"/>
      <c r="F22" s="256"/>
      <c r="G22" s="107"/>
      <c r="H22" s="104"/>
      <c r="I22" s="105"/>
      <c r="J22" s="106"/>
      <c r="K22" s="107"/>
      <c r="L22" s="104"/>
      <c r="M22" s="105"/>
      <c r="N22" s="106"/>
      <c r="O22" s="107"/>
      <c r="P22" s="104"/>
      <c r="Q22" s="105"/>
      <c r="V22" s="101" t="str">
        <f t="shared" si="1"/>
        <v/>
      </c>
      <c r="W22" s="101"/>
      <c r="X22" s="101"/>
      <c r="Y22" s="101"/>
      <c r="Z22" s="101"/>
      <c r="AC22" s="259" t="str">
        <f>IFERROR(INDEX(LIST2!$F:$F,MATCH(P22,LIST2!J:J,0),1),"")</f>
        <v/>
      </c>
    </row>
    <row r="23" spans="1:29" x14ac:dyDescent="0.25">
      <c r="A23" s="98"/>
      <c r="B23" s="102"/>
      <c r="C23" s="99"/>
      <c r="D23" s="106"/>
      <c r="E23" s="105"/>
      <c r="F23" s="256"/>
      <c r="G23" s="107"/>
      <c r="H23" s="104"/>
      <c r="I23" s="105"/>
      <c r="J23" s="106"/>
      <c r="K23" s="107"/>
      <c r="L23" s="104"/>
      <c r="M23" s="105"/>
      <c r="N23" s="106"/>
      <c r="O23" s="107"/>
      <c r="P23" s="104"/>
      <c r="Q23" s="105"/>
      <c r="V23" s="101" t="str">
        <f t="shared" si="1"/>
        <v/>
      </c>
      <c r="W23" s="101"/>
      <c r="X23" s="101"/>
      <c r="Y23" s="101"/>
      <c r="Z23" s="101"/>
      <c r="AC23" s="259" t="str">
        <f>IFERROR(INDEX(LIST2!$F:$F,MATCH(P23,LIST2!J:J,0),1),"")</f>
        <v/>
      </c>
    </row>
    <row r="24" spans="1:29" x14ac:dyDescent="0.25">
      <c r="A24" s="98"/>
      <c r="B24" s="102"/>
      <c r="C24" s="99"/>
      <c r="D24" s="106"/>
      <c r="E24" s="105"/>
      <c r="F24" s="256"/>
      <c r="G24" s="107"/>
      <c r="H24" s="104"/>
      <c r="I24" s="105"/>
      <c r="J24" s="106"/>
      <c r="K24" s="107"/>
      <c r="L24" s="104"/>
      <c r="M24" s="105"/>
      <c r="N24" s="106"/>
      <c r="O24" s="107"/>
      <c r="P24" s="104"/>
      <c r="Q24" s="105"/>
      <c r="V24" s="101" t="str">
        <f t="shared" si="1"/>
        <v/>
      </c>
      <c r="W24" s="101"/>
      <c r="X24" s="101"/>
      <c r="Y24" s="101"/>
      <c r="Z24" s="101"/>
      <c r="AC24" s="259" t="str">
        <f>IFERROR(INDEX(LIST2!$F:$F,MATCH(P24,LIST2!J:J,0),1),"")</f>
        <v/>
      </c>
    </row>
    <row r="25" spans="1:29" x14ac:dyDescent="0.25">
      <c r="A25" s="98"/>
      <c r="B25" s="102"/>
      <c r="C25" s="99"/>
      <c r="D25" s="106"/>
      <c r="E25" s="263"/>
      <c r="F25" s="256"/>
      <c r="G25" s="107"/>
      <c r="H25" s="104"/>
      <c r="I25" s="105"/>
      <c r="J25" s="106"/>
      <c r="K25" s="107"/>
      <c r="L25" s="104"/>
      <c r="M25" s="105"/>
      <c r="N25" s="106"/>
      <c r="O25" s="107"/>
      <c r="P25" s="104"/>
      <c r="Q25" s="105"/>
      <c r="V25" s="101" t="str">
        <f t="shared" si="1"/>
        <v/>
      </c>
      <c r="W25" s="101"/>
      <c r="X25" s="101"/>
      <c r="Y25" s="101"/>
      <c r="Z25" s="101"/>
      <c r="AC25" s="259" t="str">
        <f>IFERROR(INDEX(LIST2!$F:$F,MATCH(P25,LIST2!J:J,0),1),"")</f>
        <v/>
      </c>
    </row>
    <row r="26" spans="1:29" x14ac:dyDescent="0.25">
      <c r="A26" s="98"/>
      <c r="B26" s="102"/>
      <c r="C26" s="99"/>
      <c r="D26" s="106"/>
      <c r="E26" s="105"/>
      <c r="F26" s="256"/>
      <c r="G26" s="107"/>
      <c r="H26" s="104"/>
      <c r="I26" s="105"/>
      <c r="J26" s="106"/>
      <c r="K26" s="107"/>
      <c r="L26" s="104"/>
      <c r="M26" s="105"/>
      <c r="N26" s="106"/>
      <c r="O26" s="107"/>
      <c r="P26" s="104"/>
      <c r="Q26" s="105"/>
      <c r="V26" s="101" t="str">
        <f t="shared" si="1"/>
        <v/>
      </c>
      <c r="W26" s="101"/>
      <c r="X26" s="101"/>
      <c r="Y26" s="101"/>
      <c r="Z26" s="101"/>
      <c r="AC26" s="259" t="str">
        <f>IFERROR(INDEX(LIST2!$F:$F,MATCH(P26,LIST2!J:J,0),1),"")</f>
        <v/>
      </c>
    </row>
    <row r="27" spans="1:29" x14ac:dyDescent="0.25">
      <c r="A27" s="98"/>
      <c r="B27" s="102"/>
      <c r="C27" s="99"/>
      <c r="D27" s="106"/>
      <c r="E27" s="105"/>
      <c r="F27" s="256"/>
      <c r="G27" s="107"/>
      <c r="H27" s="104"/>
      <c r="I27" s="105"/>
      <c r="J27" s="213"/>
      <c r="K27" s="107"/>
      <c r="L27" s="104"/>
      <c r="M27" s="105"/>
      <c r="N27" s="106"/>
      <c r="O27" s="107"/>
      <c r="P27" s="104"/>
      <c r="Q27" s="105"/>
      <c r="V27" s="101" t="str">
        <f t="shared" si="1"/>
        <v/>
      </c>
      <c r="W27" s="101"/>
      <c r="X27" s="101"/>
      <c r="Y27" s="101"/>
      <c r="Z27" s="101"/>
      <c r="AC27" s="259" t="str">
        <f>IFERROR(INDEX(LIST2!$F:$F,MATCH(P27,LIST2!J:J,0),1),"")</f>
        <v/>
      </c>
    </row>
    <row r="28" spans="1:29" x14ac:dyDescent="0.25">
      <c r="A28" s="98"/>
      <c r="B28" s="102"/>
      <c r="C28" s="99"/>
      <c r="D28" s="106"/>
      <c r="E28" s="105"/>
      <c r="F28" s="256"/>
      <c r="G28" s="107"/>
      <c r="H28" s="104"/>
      <c r="I28" s="105"/>
      <c r="J28" s="106"/>
      <c r="K28" s="107"/>
      <c r="L28" s="104"/>
      <c r="M28" s="105"/>
      <c r="N28" s="106"/>
      <c r="O28" s="107"/>
      <c r="P28" s="104"/>
      <c r="Q28" s="105"/>
      <c r="V28" s="101" t="str">
        <f t="shared" si="1"/>
        <v/>
      </c>
      <c r="W28" s="101"/>
      <c r="X28" s="101"/>
      <c r="Y28" s="101"/>
      <c r="Z28" s="101"/>
      <c r="AC28" s="259" t="str">
        <f>IFERROR(INDEX(LIST2!$F:$F,MATCH(P28,LIST2!J:J,0),1),"")</f>
        <v/>
      </c>
    </row>
    <row r="29" spans="1:29" x14ac:dyDescent="0.25">
      <c r="A29" s="98"/>
      <c r="B29" s="102"/>
      <c r="C29" s="99"/>
      <c r="D29" s="106"/>
      <c r="E29" s="105"/>
      <c r="F29" s="256"/>
      <c r="G29" s="107"/>
      <c r="H29" s="104"/>
      <c r="I29" s="105"/>
      <c r="J29" s="106"/>
      <c r="K29" s="107"/>
      <c r="L29" s="104"/>
      <c r="M29" s="105"/>
      <c r="N29" s="106"/>
      <c r="O29" s="107"/>
      <c r="P29" s="104"/>
      <c r="Q29" s="105"/>
      <c r="V29" s="101" t="str">
        <f t="shared" si="1"/>
        <v/>
      </c>
      <c r="W29" s="101"/>
      <c r="X29" s="101"/>
      <c r="Y29" s="101"/>
      <c r="Z29" s="114"/>
      <c r="AC29" s="259" t="str">
        <f>IFERROR(INDEX(LIST2!$F:$F,MATCH(P29,LIST2!J:J,0),1),"")</f>
        <v/>
      </c>
    </row>
    <row r="30" spans="1:29" x14ac:dyDescent="0.25">
      <c r="A30" s="98" t="s">
        <v>40</v>
      </c>
      <c r="B30" s="102"/>
      <c r="C30" s="99"/>
      <c r="D30" s="106"/>
      <c r="E30" s="105"/>
      <c r="F30" s="256"/>
      <c r="G30" s="107"/>
      <c r="H30" s="104"/>
      <c r="I30" s="105"/>
      <c r="J30" s="106"/>
      <c r="K30" s="107"/>
      <c r="L30" s="104"/>
      <c r="M30" s="105"/>
      <c r="N30" s="106"/>
      <c r="O30" s="107"/>
      <c r="P30" s="104"/>
      <c r="Q30" s="105"/>
      <c r="V30" s="101" t="str">
        <f t="shared" si="1"/>
        <v/>
      </c>
      <c r="W30" s="101"/>
      <c r="X30" s="101"/>
      <c r="Y30" s="101"/>
      <c r="Z30" s="114"/>
      <c r="AC30" s="259" t="str">
        <f>IFERROR(INDEX(LIST2!$F:$F,MATCH(P30,LIST2!J:J,0),1),"")</f>
        <v/>
      </c>
    </row>
    <row r="31" spans="1:29" x14ac:dyDescent="0.25">
      <c r="A31" s="89" t="s">
        <v>3</v>
      </c>
      <c r="B31" s="95">
        <f>COUNTA(B14:B30)</f>
        <v>0</v>
      </c>
      <c r="C31" s="93"/>
      <c r="D31" s="92">
        <f>COUNTA(D14:D30)</f>
        <v>0</v>
      </c>
      <c r="E31" s="91"/>
      <c r="F31" s="92">
        <f>COUNTA(F14:F30)</f>
        <v>0</v>
      </c>
      <c r="G31" s="91"/>
      <c r="H31" s="92">
        <f>COUNTA(H14:H30)</f>
        <v>0</v>
      </c>
      <c r="I31" s="94"/>
      <c r="J31" s="90">
        <f>COUNTA(J14:J30)</f>
        <v>0</v>
      </c>
      <c r="K31" s="94"/>
      <c r="L31" s="90">
        <f>COUNTA(L14:L30)</f>
        <v>0</v>
      </c>
      <c r="M31" s="91"/>
      <c r="N31" s="92">
        <f>COUNTA(N14:N30)</f>
        <v>0</v>
      </c>
      <c r="O31" s="94"/>
      <c r="P31" s="90">
        <f>COUNTA(P14:P30)</f>
        <v>0</v>
      </c>
      <c r="Q31" s="91"/>
      <c r="R31" s="96">
        <f>COUNTIF(V14:V30,"ROBBING")</f>
        <v>0</v>
      </c>
      <c r="S31" s="96">
        <f>'FINAL LIST WITH REMARKS'!Z186</f>
        <v>15</v>
      </c>
      <c r="T31" s="96">
        <f>SUM(B31:Q31)</f>
        <v>0</v>
      </c>
      <c r="U31" s="96">
        <f>'For Explo'!J72</f>
        <v>0</v>
      </c>
      <c r="V31" s="97">
        <f>COUNTIF(V14:V30,"ROBBING")</f>
        <v>0</v>
      </c>
      <c r="W31" s="97">
        <f>COUNTA(W14:W30)</f>
        <v>2</v>
      </c>
      <c r="X31" s="97">
        <f>COUNTA(X14:X30)</f>
        <v>2</v>
      </c>
      <c r="Y31" s="97">
        <f>COUNTA(Y14:Y30)</f>
        <v>2</v>
      </c>
      <c r="Z31" s="115">
        <f>COUNTA(Z14:Z30)</f>
        <v>1</v>
      </c>
      <c r="AC31" s="259" t="str">
        <f>IFERROR(INDEX(LIST2!$F:$F,MATCH(P31,LIST2!J:J,0),1),"")</f>
        <v/>
      </c>
    </row>
    <row r="32" spans="1:29" x14ac:dyDescent="0.25">
      <c r="A32" s="98" t="s">
        <v>8</v>
      </c>
      <c r="B32" s="102"/>
      <c r="C32" s="99"/>
      <c r="D32" s="106"/>
      <c r="E32" s="105"/>
      <c r="F32" s="106"/>
      <c r="G32" s="105"/>
      <c r="H32" s="106"/>
      <c r="I32" s="107"/>
      <c r="J32" s="104"/>
      <c r="K32" s="107"/>
      <c r="L32" s="104"/>
      <c r="M32" s="105"/>
      <c r="N32" s="106"/>
      <c r="O32" s="107"/>
      <c r="P32" s="104"/>
      <c r="Q32" s="105"/>
      <c r="V32" s="101" t="str">
        <f t="shared" ref="V32:V49" si="2">IF((RIGHT(P32,7)="ROBBING"),"ROBBING","")</f>
        <v/>
      </c>
      <c r="W32" s="101" t="s">
        <v>236</v>
      </c>
      <c r="X32" s="101" t="s">
        <v>236</v>
      </c>
      <c r="Y32" s="101" t="s">
        <v>236</v>
      </c>
      <c r="Z32" s="114"/>
      <c r="AC32" s="259" t="str">
        <f>IFERROR(INDEX(LIST2!$F:$F,MATCH(P32,LIST2!J:J,0),1),"")</f>
        <v/>
      </c>
    </row>
    <row r="33" spans="1:29" x14ac:dyDescent="0.25">
      <c r="A33" s="98"/>
      <c r="B33" s="102"/>
      <c r="C33" s="99"/>
      <c r="D33" s="106"/>
      <c r="E33" s="105"/>
      <c r="F33" s="106"/>
      <c r="G33" s="105"/>
      <c r="H33" s="106"/>
      <c r="I33" s="107"/>
      <c r="J33" s="104"/>
      <c r="K33" s="107"/>
      <c r="L33" s="104"/>
      <c r="M33" s="105"/>
      <c r="N33" s="106"/>
      <c r="O33" s="107"/>
      <c r="P33" s="104"/>
      <c r="Q33" s="105"/>
      <c r="V33" s="101" t="str">
        <f t="shared" si="2"/>
        <v/>
      </c>
      <c r="W33" s="101"/>
      <c r="X33" s="101"/>
      <c r="Y33" s="101"/>
      <c r="Z33" s="98"/>
      <c r="AC33" s="259" t="str">
        <f>IFERROR(INDEX(LIST2!$F:$F,MATCH(P33,LIST2!J:J,0),1),"")</f>
        <v/>
      </c>
    </row>
    <row r="34" spans="1:29" x14ac:dyDescent="0.25">
      <c r="A34" s="98"/>
      <c r="B34" s="102"/>
      <c r="C34" s="99"/>
      <c r="D34" s="106"/>
      <c r="E34" s="105"/>
      <c r="F34" s="106"/>
      <c r="G34" s="105"/>
      <c r="H34" s="106"/>
      <c r="I34" s="107"/>
      <c r="J34" s="104"/>
      <c r="K34" s="107"/>
      <c r="L34" s="104"/>
      <c r="M34" s="105"/>
      <c r="N34" s="106"/>
      <c r="O34" s="107"/>
      <c r="P34" s="104"/>
      <c r="Q34" s="105"/>
      <c r="V34" s="101" t="str">
        <f t="shared" si="2"/>
        <v/>
      </c>
      <c r="W34" s="101"/>
      <c r="X34" s="101"/>
      <c r="Y34" s="101"/>
      <c r="Z34" s="98"/>
      <c r="AC34" s="259" t="str">
        <f>IFERROR(INDEX(LIST2!$F:$F,MATCH(P34,LIST2!J:J,0),1),"")</f>
        <v/>
      </c>
    </row>
    <row r="35" spans="1:29" x14ac:dyDescent="0.25">
      <c r="A35" s="98"/>
      <c r="B35" s="102"/>
      <c r="C35" s="99"/>
      <c r="D35" s="106"/>
      <c r="E35" s="105"/>
      <c r="F35" s="106"/>
      <c r="G35" s="105"/>
      <c r="H35" s="106"/>
      <c r="I35" s="107"/>
      <c r="J35" s="104"/>
      <c r="K35" s="107"/>
      <c r="L35" s="104"/>
      <c r="M35" s="105"/>
      <c r="N35" s="106"/>
      <c r="O35" s="107"/>
      <c r="P35" s="104"/>
      <c r="Q35" s="105"/>
      <c r="V35" s="101" t="str">
        <f t="shared" si="2"/>
        <v/>
      </c>
      <c r="W35" s="101"/>
      <c r="X35" s="101"/>
      <c r="Y35" s="101"/>
      <c r="Z35" s="98"/>
      <c r="AC35" s="259" t="str">
        <f>IFERROR(INDEX(LIST2!$F:$F,MATCH(P35,LIST2!J:J,0),1),"")</f>
        <v/>
      </c>
    </row>
    <row r="36" spans="1:29" x14ac:dyDescent="0.25">
      <c r="A36" s="98"/>
      <c r="B36" s="102"/>
      <c r="C36" s="99"/>
      <c r="D36" s="106"/>
      <c r="E36" s="105"/>
      <c r="F36" s="106"/>
      <c r="G36" s="105"/>
      <c r="H36" s="106"/>
      <c r="I36" s="107"/>
      <c r="J36" s="104"/>
      <c r="K36" s="107"/>
      <c r="L36" s="104"/>
      <c r="M36" s="105"/>
      <c r="N36" s="106"/>
      <c r="O36" s="107"/>
      <c r="P36" s="104"/>
      <c r="Q36" s="105"/>
      <c r="V36" s="101" t="str">
        <f t="shared" si="2"/>
        <v/>
      </c>
      <c r="W36" s="101"/>
      <c r="X36" s="101"/>
      <c r="Y36" s="101"/>
      <c r="Z36" s="98"/>
      <c r="AC36" s="259" t="str">
        <f>IFERROR(INDEX(LIST2!$F:$F,MATCH(P36,LIST2!J:J,0),1),"")</f>
        <v/>
      </c>
    </row>
    <row r="37" spans="1:29" x14ac:dyDescent="0.25">
      <c r="A37" s="98"/>
      <c r="B37" s="102"/>
      <c r="C37" s="99"/>
      <c r="D37" s="106"/>
      <c r="E37" s="105"/>
      <c r="F37" s="106"/>
      <c r="G37" s="105"/>
      <c r="H37" s="106"/>
      <c r="I37" s="107"/>
      <c r="J37" s="104"/>
      <c r="K37" s="107"/>
      <c r="L37" s="104"/>
      <c r="M37" s="105"/>
      <c r="N37" s="106"/>
      <c r="O37" s="107"/>
      <c r="P37" s="104"/>
      <c r="Q37" s="105"/>
      <c r="V37" s="101" t="str">
        <f t="shared" si="2"/>
        <v/>
      </c>
      <c r="W37" s="101"/>
      <c r="X37" s="101"/>
      <c r="Y37" s="101"/>
      <c r="Z37" s="98"/>
      <c r="AC37" s="259" t="str">
        <f>IFERROR(INDEX(LIST2!$F:$F,MATCH(P37,LIST2!J:J,0),1),"")</f>
        <v/>
      </c>
    </row>
    <row r="38" spans="1:29" x14ac:dyDescent="0.25">
      <c r="A38" s="98"/>
      <c r="B38" s="102"/>
      <c r="C38" s="99"/>
      <c r="D38" s="106"/>
      <c r="E38" s="105"/>
      <c r="F38" s="106"/>
      <c r="G38" s="105"/>
      <c r="H38" s="106"/>
      <c r="I38" s="107"/>
      <c r="J38" s="104"/>
      <c r="K38" s="107"/>
      <c r="L38" s="104"/>
      <c r="M38" s="105"/>
      <c r="N38" s="106"/>
      <c r="O38" s="107"/>
      <c r="P38" s="104"/>
      <c r="Q38" s="105"/>
      <c r="V38" s="101" t="str">
        <f t="shared" si="2"/>
        <v/>
      </c>
      <c r="W38" s="101"/>
      <c r="X38" s="101"/>
      <c r="Y38" s="101"/>
      <c r="Z38" s="98"/>
      <c r="AC38" s="259" t="str">
        <f>IFERROR(INDEX(LIST2!$F:$F,MATCH(P38,LIST2!J:J,0),1),"")</f>
        <v/>
      </c>
    </row>
    <row r="39" spans="1:29" x14ac:dyDescent="0.25">
      <c r="A39" s="98"/>
      <c r="B39" s="102"/>
      <c r="C39" s="99"/>
      <c r="D39" s="106"/>
      <c r="E39" s="105"/>
      <c r="F39" s="106"/>
      <c r="G39" s="105"/>
      <c r="H39" s="106"/>
      <c r="I39" s="107"/>
      <c r="J39" s="104"/>
      <c r="K39" s="107"/>
      <c r="L39" s="104"/>
      <c r="M39" s="105"/>
      <c r="N39" s="106"/>
      <c r="O39" s="107"/>
      <c r="P39" s="104"/>
      <c r="Q39" s="105"/>
      <c r="V39" s="101" t="str">
        <f t="shared" si="2"/>
        <v/>
      </c>
      <c r="W39" s="101"/>
      <c r="X39" s="101"/>
      <c r="Y39" s="101"/>
      <c r="Z39" s="98"/>
      <c r="AC39" s="259" t="str">
        <f>IFERROR(INDEX(LIST2!$F:$F,MATCH(P39,LIST2!J:J,0),1),"")</f>
        <v/>
      </c>
    </row>
    <row r="40" spans="1:29" x14ac:dyDescent="0.25">
      <c r="A40" s="98"/>
      <c r="B40" s="102"/>
      <c r="C40" s="99"/>
      <c r="D40" s="106"/>
      <c r="E40" s="105"/>
      <c r="F40" s="106"/>
      <c r="G40" s="105"/>
      <c r="H40" s="106"/>
      <c r="I40" s="107"/>
      <c r="J40" s="104"/>
      <c r="K40" s="107"/>
      <c r="L40" s="104"/>
      <c r="M40" s="105"/>
      <c r="N40" s="106"/>
      <c r="O40" s="107"/>
      <c r="P40" s="104"/>
      <c r="Q40" s="105"/>
      <c r="V40" s="101" t="str">
        <f t="shared" si="2"/>
        <v/>
      </c>
      <c r="W40" s="101"/>
      <c r="X40" s="101"/>
      <c r="Y40" s="101"/>
      <c r="Z40" s="98"/>
      <c r="AC40" s="259" t="str">
        <f>IFERROR(INDEX(LIST2!$F:$F,MATCH(P40,LIST2!J:J,0),1),"")</f>
        <v/>
      </c>
    </row>
    <row r="41" spans="1:29" x14ac:dyDescent="0.25">
      <c r="A41" s="98"/>
      <c r="B41" s="102"/>
      <c r="C41" s="99"/>
      <c r="D41" s="106"/>
      <c r="E41" s="105"/>
      <c r="F41" s="106"/>
      <c r="G41" s="105"/>
      <c r="H41" s="106"/>
      <c r="I41" s="107"/>
      <c r="J41" s="104"/>
      <c r="K41" s="107"/>
      <c r="L41" s="104"/>
      <c r="M41" s="105"/>
      <c r="N41" s="106"/>
      <c r="O41" s="107"/>
      <c r="P41" s="104"/>
      <c r="Q41" s="105"/>
      <c r="V41" s="101" t="str">
        <f t="shared" si="2"/>
        <v/>
      </c>
      <c r="W41" s="101"/>
      <c r="X41" s="101"/>
      <c r="Y41" s="101"/>
      <c r="Z41" s="98"/>
      <c r="AC41" s="259" t="str">
        <f>IFERROR(INDEX(LIST2!$F:$F,MATCH(P41,LIST2!J:J,0),1),"")</f>
        <v/>
      </c>
    </row>
    <row r="42" spans="1:29" x14ac:dyDescent="0.25">
      <c r="A42" s="98"/>
      <c r="B42" s="262"/>
      <c r="C42" s="99"/>
      <c r="D42" s="106"/>
      <c r="E42" s="105"/>
      <c r="F42" s="106"/>
      <c r="G42" s="105"/>
      <c r="H42" s="106"/>
      <c r="I42" s="107"/>
      <c r="J42" s="104"/>
      <c r="K42" s="107"/>
      <c r="L42" s="104"/>
      <c r="M42" s="105"/>
      <c r="N42" s="106"/>
      <c r="O42" s="107"/>
      <c r="P42" s="213"/>
      <c r="Q42" s="105"/>
      <c r="V42" s="101" t="str">
        <f t="shared" si="2"/>
        <v/>
      </c>
      <c r="W42" s="101"/>
      <c r="X42" s="101"/>
      <c r="Y42" s="101"/>
      <c r="Z42" s="114"/>
      <c r="AC42" s="259" t="str">
        <f>IFERROR(INDEX(LIST2!$F:$F,MATCH(P42,LIST2!J:J,0),1),"")</f>
        <v/>
      </c>
    </row>
    <row r="43" spans="1:29" x14ac:dyDescent="0.25">
      <c r="A43" s="98"/>
      <c r="B43" s="102"/>
      <c r="C43" s="99"/>
      <c r="D43" s="106"/>
      <c r="E43" s="105"/>
      <c r="F43" s="106"/>
      <c r="G43" s="105"/>
      <c r="H43" s="106"/>
      <c r="I43" s="107"/>
      <c r="J43" s="104"/>
      <c r="K43" s="107"/>
      <c r="L43" s="104"/>
      <c r="M43" s="105"/>
      <c r="N43" s="106"/>
      <c r="O43" s="107"/>
      <c r="P43" s="104"/>
      <c r="Q43" s="105"/>
      <c r="V43" s="101" t="str">
        <f t="shared" si="2"/>
        <v/>
      </c>
      <c r="W43" s="101"/>
      <c r="X43" s="101"/>
      <c r="Y43" s="101"/>
      <c r="Z43" s="114"/>
      <c r="AC43" s="259" t="str">
        <f>IFERROR(INDEX(LIST2!$F:$F,MATCH(P43,LIST2!J:J,0),1),"")</f>
        <v/>
      </c>
    </row>
    <row r="44" spans="1:29" x14ac:dyDescent="0.25">
      <c r="A44" s="98"/>
      <c r="B44" s="102"/>
      <c r="C44" s="99"/>
      <c r="D44" s="106"/>
      <c r="E44" s="105"/>
      <c r="F44" s="106"/>
      <c r="G44" s="105"/>
      <c r="H44" s="106"/>
      <c r="I44" s="107"/>
      <c r="J44" s="104"/>
      <c r="K44" s="107"/>
      <c r="L44" s="104"/>
      <c r="M44" s="105"/>
      <c r="N44" s="106"/>
      <c r="O44" s="107"/>
      <c r="P44" s="104"/>
      <c r="Q44" s="105"/>
      <c r="V44" s="101" t="str">
        <f t="shared" si="2"/>
        <v/>
      </c>
      <c r="W44" s="101"/>
      <c r="X44" s="101"/>
      <c r="Y44" s="101"/>
      <c r="Z44" s="114"/>
      <c r="AC44" s="259" t="str">
        <f>IFERROR(INDEX(LIST2!$F:$F,MATCH(P44,LIST2!J:J,0),1),"")</f>
        <v/>
      </c>
    </row>
    <row r="45" spans="1:29" x14ac:dyDescent="0.25">
      <c r="A45" s="98"/>
      <c r="B45" s="102"/>
      <c r="C45" s="99"/>
      <c r="D45" s="106"/>
      <c r="E45" s="105"/>
      <c r="F45" s="106"/>
      <c r="G45" s="105" t="s">
        <v>47</v>
      </c>
      <c r="H45" s="106"/>
      <c r="I45" s="107"/>
      <c r="J45" s="104"/>
      <c r="K45" s="107"/>
      <c r="L45" s="104"/>
      <c r="M45" s="105"/>
      <c r="N45" s="106"/>
      <c r="O45" s="107"/>
      <c r="P45" s="104"/>
      <c r="Q45" s="105"/>
      <c r="V45" s="101" t="str">
        <f t="shared" si="2"/>
        <v/>
      </c>
      <c r="W45" s="101"/>
      <c r="X45" s="101"/>
      <c r="Y45" s="101"/>
      <c r="Z45" s="114"/>
      <c r="AC45" s="259" t="str">
        <f>IFERROR(INDEX(LIST2!$F:$F,MATCH(P45,LIST2!J:J,0),1),"")</f>
        <v/>
      </c>
    </row>
    <row r="46" spans="1:29" x14ac:dyDescent="0.25">
      <c r="A46" s="98"/>
      <c r="B46" s="102"/>
      <c r="C46" s="99"/>
      <c r="D46" s="106"/>
      <c r="E46" s="105"/>
      <c r="F46" s="106"/>
      <c r="G46" s="105"/>
      <c r="H46" s="106"/>
      <c r="I46" s="107"/>
      <c r="J46" s="104"/>
      <c r="K46" s="107"/>
      <c r="L46" s="104"/>
      <c r="M46" s="105"/>
      <c r="N46" s="106"/>
      <c r="O46" s="107"/>
      <c r="P46" s="104"/>
      <c r="Q46" s="105"/>
      <c r="V46" s="101" t="str">
        <f t="shared" si="2"/>
        <v/>
      </c>
      <c r="W46" s="101"/>
      <c r="X46" s="101"/>
      <c r="Y46" s="101"/>
      <c r="Z46" s="114"/>
      <c r="AC46" s="259" t="str">
        <f>IFERROR(INDEX(LIST2!$F:$F,MATCH(P46,LIST2!J:J,0),1),"")</f>
        <v/>
      </c>
    </row>
    <row r="47" spans="1:29" x14ac:dyDescent="0.25">
      <c r="A47" s="98"/>
      <c r="B47" s="102"/>
      <c r="C47" s="99"/>
      <c r="D47" s="106"/>
      <c r="E47" s="105"/>
      <c r="F47" s="106"/>
      <c r="G47" s="105"/>
      <c r="H47" s="106"/>
      <c r="I47" s="107"/>
      <c r="J47" s="104"/>
      <c r="K47" s="107"/>
      <c r="L47" s="104"/>
      <c r="M47" s="105"/>
      <c r="N47" s="106"/>
      <c r="O47" s="107"/>
      <c r="P47" s="104"/>
      <c r="Q47" s="105"/>
      <c r="V47" s="101" t="str">
        <f t="shared" si="2"/>
        <v/>
      </c>
      <c r="W47" s="101"/>
      <c r="X47" s="101"/>
      <c r="Y47" s="101"/>
      <c r="Z47" s="114"/>
      <c r="AC47" s="259" t="str">
        <f>IFERROR(INDEX(LIST2!$F:$F,MATCH(P47,LIST2!J:J,0),1),"")</f>
        <v/>
      </c>
    </row>
    <row r="48" spans="1:29" x14ac:dyDescent="0.25">
      <c r="A48" s="98"/>
      <c r="B48" s="102"/>
      <c r="C48" s="99"/>
      <c r="D48" s="106"/>
      <c r="E48" s="105"/>
      <c r="F48" s="106"/>
      <c r="G48" s="105"/>
      <c r="H48" s="106"/>
      <c r="I48" s="107"/>
      <c r="J48" s="104"/>
      <c r="K48" s="107"/>
      <c r="L48" s="182"/>
      <c r="M48" s="105"/>
      <c r="N48" s="106"/>
      <c r="O48" s="107"/>
      <c r="P48" s="104"/>
      <c r="Q48" s="105"/>
      <c r="V48" s="101" t="str">
        <f t="shared" si="2"/>
        <v/>
      </c>
      <c r="W48" s="101"/>
      <c r="X48" s="101"/>
      <c r="Y48" s="101"/>
      <c r="Z48" s="101"/>
      <c r="AC48" s="259" t="str">
        <f>IFERROR(INDEX(LIST2!$F:$F,MATCH(P48,LIST2!J:J,0),1),"")</f>
        <v/>
      </c>
    </row>
    <row r="49" spans="1:29" x14ac:dyDescent="0.25">
      <c r="A49" s="98"/>
      <c r="B49" s="102"/>
      <c r="C49" s="99"/>
      <c r="D49" s="106"/>
      <c r="E49" s="105"/>
      <c r="F49" s="106"/>
      <c r="G49" s="105"/>
      <c r="H49" s="106"/>
      <c r="I49" s="107"/>
      <c r="J49" s="104"/>
      <c r="K49" s="107"/>
      <c r="L49" s="182"/>
      <c r="M49" s="105"/>
      <c r="N49" s="106"/>
      <c r="O49" s="107"/>
      <c r="P49" s="104"/>
      <c r="Q49" s="105"/>
      <c r="V49" s="101" t="str">
        <f t="shared" si="2"/>
        <v/>
      </c>
      <c r="W49" s="101"/>
      <c r="X49" s="101"/>
      <c r="Y49" s="101"/>
      <c r="Z49" s="101"/>
      <c r="AC49" s="259" t="str">
        <f>IFERROR(INDEX(LIST2!$F:$F,MATCH(P49,LIST2!J:J,0),1),"")</f>
        <v/>
      </c>
    </row>
    <row r="50" spans="1:29" x14ac:dyDescent="0.25">
      <c r="A50" s="89" t="s">
        <v>3</v>
      </c>
      <c r="B50" s="95">
        <f>COUNTA(B32:B49)</f>
        <v>0</v>
      </c>
      <c r="C50" s="93"/>
      <c r="D50" s="92">
        <f>COUNTA(D32:D49)</f>
        <v>0</v>
      </c>
      <c r="E50" s="234"/>
      <c r="F50" s="92">
        <f>COUNTA(F32:F49)</f>
        <v>0</v>
      </c>
      <c r="G50" s="91"/>
      <c r="H50" s="92">
        <f>COUNTA(H32:H49)</f>
        <v>0</v>
      </c>
      <c r="I50" s="94"/>
      <c r="J50" s="90">
        <f>COUNTA(J32:J49)</f>
        <v>0</v>
      </c>
      <c r="K50" s="94"/>
      <c r="L50" s="90">
        <f>COUNTA(L32:L49)</f>
        <v>0</v>
      </c>
      <c r="M50" s="91"/>
      <c r="N50" s="92">
        <f>COUNTA(N32:N49)</f>
        <v>0</v>
      </c>
      <c r="O50" s="94"/>
      <c r="P50" s="264">
        <f>COUNTA(P32:P49)</f>
        <v>0</v>
      </c>
      <c r="Q50" s="265"/>
      <c r="R50" s="96">
        <f>COUNTIF(V32:V49,"ROBBING")</f>
        <v>0</v>
      </c>
      <c r="S50" s="96">
        <f>'FINAL LIST WITH REMARKS'!Z402</f>
        <v>3</v>
      </c>
      <c r="T50" s="96">
        <f>SUM(B50:Q50)</f>
        <v>0</v>
      </c>
      <c r="U50" s="96">
        <f>'For Explo'!J115</f>
        <v>0</v>
      </c>
      <c r="V50" s="97">
        <f>COUNTIF(V32:V49,"ROBBING")</f>
        <v>0</v>
      </c>
      <c r="W50" s="97">
        <f>COUNTA(W32:W49)</f>
        <v>1</v>
      </c>
      <c r="X50" s="97">
        <f>COUNTA(X32:X49)</f>
        <v>1</v>
      </c>
      <c r="Y50" s="97">
        <f>COUNTA(Y32:Y49)</f>
        <v>1</v>
      </c>
      <c r="Z50" s="97">
        <f>COUNTA(Z32:Z49)</f>
        <v>0</v>
      </c>
      <c r="AC50" s="259" t="str">
        <f>IFERROR(INDEX(LIST2!$F:$F,MATCH(P50,LIST2!J:J,0),1),"")</f>
        <v/>
      </c>
    </row>
    <row r="51" spans="1:29" x14ac:dyDescent="0.25">
      <c r="A51" s="235" t="s">
        <v>10</v>
      </c>
      <c r="B51" s="238"/>
      <c r="C51" s="260"/>
      <c r="D51" s="106"/>
      <c r="E51" s="105"/>
      <c r="F51" s="106"/>
      <c r="G51" s="105"/>
      <c r="H51" s="212"/>
      <c r="I51" s="152"/>
      <c r="J51" s="104"/>
      <c r="K51" s="107"/>
      <c r="L51" s="237"/>
      <c r="M51" s="240"/>
      <c r="N51" s="212"/>
      <c r="O51" s="152"/>
      <c r="P51" s="104"/>
      <c r="Q51" s="105"/>
      <c r="V51" s="101" t="str">
        <f t="shared" ref="V51:V65" si="3">IF((RIGHT(P51,7)="ROBBING"),"ROBBING","")</f>
        <v/>
      </c>
      <c r="W51" s="101" t="s">
        <v>236</v>
      </c>
      <c r="X51" s="101" t="s">
        <v>236</v>
      </c>
      <c r="Y51" s="101" t="s">
        <v>236</v>
      </c>
      <c r="Z51" s="101"/>
      <c r="AC51" s="259" t="str">
        <f>IFERROR(INDEX(LIST2!$F:$F,MATCH(P51,LIST2!J:J,0),1),"")</f>
        <v/>
      </c>
    </row>
    <row r="52" spans="1:29" x14ac:dyDescent="0.25">
      <c r="A52" s="235"/>
      <c r="B52" s="238"/>
      <c r="C52" s="260"/>
      <c r="D52" s="106"/>
      <c r="E52" s="105" t="s">
        <v>47</v>
      </c>
      <c r="F52" s="106"/>
      <c r="G52" s="105"/>
      <c r="H52" s="212"/>
      <c r="I52" s="152"/>
      <c r="J52" s="104"/>
      <c r="K52" s="107"/>
      <c r="L52" s="237"/>
      <c r="M52" s="240"/>
      <c r="N52" s="212"/>
      <c r="O52" s="152"/>
      <c r="P52" s="104"/>
      <c r="Q52" s="105"/>
      <c r="V52" s="101" t="str">
        <f t="shared" si="3"/>
        <v/>
      </c>
      <c r="W52" s="101" t="s">
        <v>2707</v>
      </c>
      <c r="X52" s="101" t="s">
        <v>2707</v>
      </c>
      <c r="Y52" s="101"/>
      <c r="Z52" s="101"/>
      <c r="AC52" s="259" t="str">
        <f>IFERROR(INDEX(LIST2!$F:$F,MATCH(P52,LIST2!J:J,0),1),"")</f>
        <v/>
      </c>
    </row>
    <row r="53" spans="1:29" x14ac:dyDescent="0.25">
      <c r="A53" s="235"/>
      <c r="B53" s="238"/>
      <c r="C53" s="260"/>
      <c r="D53" s="106"/>
      <c r="E53" s="105" t="s">
        <v>47</v>
      </c>
      <c r="F53" s="106"/>
      <c r="G53" s="105"/>
      <c r="H53" s="212"/>
      <c r="I53" s="152"/>
      <c r="J53" s="104"/>
      <c r="K53" s="107"/>
      <c r="L53" s="237"/>
      <c r="M53" s="240"/>
      <c r="N53" s="212"/>
      <c r="O53" s="152"/>
      <c r="P53" s="104"/>
      <c r="Q53" s="105"/>
      <c r="V53" s="101" t="str">
        <f t="shared" si="3"/>
        <v/>
      </c>
      <c r="W53" s="101" t="s">
        <v>236</v>
      </c>
      <c r="X53" s="101" t="s">
        <v>236</v>
      </c>
      <c r="Y53" s="101"/>
      <c r="Z53" s="101"/>
      <c r="AC53" s="259" t="str">
        <f>IFERROR(INDEX(LIST2!$F:$F,MATCH(P53,LIST2!J:J,0),1),"")</f>
        <v/>
      </c>
    </row>
    <row r="54" spans="1:29" x14ac:dyDescent="0.25">
      <c r="A54" s="235"/>
      <c r="B54" s="238"/>
      <c r="C54" s="260"/>
      <c r="D54" s="106"/>
      <c r="E54" s="105" t="s">
        <v>47</v>
      </c>
      <c r="F54" s="106"/>
      <c r="G54" s="105"/>
      <c r="H54" s="212"/>
      <c r="I54" s="152"/>
      <c r="J54" s="104"/>
      <c r="K54" s="107"/>
      <c r="L54" s="237"/>
      <c r="M54" s="240"/>
      <c r="N54" s="212"/>
      <c r="O54" s="152"/>
      <c r="P54" s="104"/>
      <c r="Q54" s="105"/>
      <c r="V54" s="101" t="str">
        <f t="shared" si="3"/>
        <v/>
      </c>
      <c r="W54" s="101" t="s">
        <v>2707</v>
      </c>
      <c r="X54" s="101" t="s">
        <v>2707</v>
      </c>
      <c r="Y54" s="101"/>
      <c r="Z54" s="101"/>
      <c r="AC54" s="259" t="str">
        <f>IFERROR(INDEX(LIST2!$F:$F,MATCH(P54,LIST2!J:J,0),1),"")</f>
        <v/>
      </c>
    </row>
    <row r="55" spans="1:29" x14ac:dyDescent="0.25">
      <c r="A55" s="235"/>
      <c r="B55" s="238"/>
      <c r="C55" s="260"/>
      <c r="D55" s="106"/>
      <c r="E55" s="105" t="s">
        <v>47</v>
      </c>
      <c r="F55" s="106"/>
      <c r="G55" s="105"/>
      <c r="H55" s="212"/>
      <c r="I55" s="152"/>
      <c r="J55" s="104"/>
      <c r="K55" s="107"/>
      <c r="L55" s="237"/>
      <c r="M55" s="240"/>
      <c r="N55" s="212"/>
      <c r="O55" s="152"/>
      <c r="P55" s="104"/>
      <c r="Q55" s="105"/>
      <c r="V55" s="101" t="str">
        <f t="shared" si="3"/>
        <v/>
      </c>
      <c r="W55" s="101" t="s">
        <v>236</v>
      </c>
      <c r="X55" s="101" t="s">
        <v>236</v>
      </c>
      <c r="Y55" s="101"/>
      <c r="Z55" s="101"/>
      <c r="AC55" s="259" t="str">
        <f>IFERROR(INDEX(LIST2!$F:$F,MATCH(P55,LIST2!J:J,0),1),"")</f>
        <v/>
      </c>
    </row>
    <row r="56" spans="1:29" x14ac:dyDescent="0.25">
      <c r="A56" s="235"/>
      <c r="B56" s="238"/>
      <c r="C56" s="239"/>
      <c r="D56" s="106"/>
      <c r="E56" s="105" t="s">
        <v>47</v>
      </c>
      <c r="F56" s="106"/>
      <c r="G56" s="105"/>
      <c r="H56" s="212"/>
      <c r="I56" s="152"/>
      <c r="J56" s="104"/>
      <c r="K56" s="107"/>
      <c r="L56" s="237"/>
      <c r="M56" s="240"/>
      <c r="N56" s="212"/>
      <c r="O56" s="152"/>
      <c r="P56" s="104"/>
      <c r="Q56" s="105"/>
      <c r="V56" s="101" t="str">
        <f t="shared" si="3"/>
        <v/>
      </c>
      <c r="W56" s="101"/>
      <c r="X56" s="101"/>
      <c r="Y56" s="101"/>
      <c r="Z56" s="101"/>
      <c r="AC56" s="259" t="str">
        <f>IFERROR(INDEX(LIST2!$F:$F,MATCH(P56,LIST2!J:J,0),1),"")</f>
        <v/>
      </c>
    </row>
    <row r="57" spans="1:29" x14ac:dyDescent="0.25">
      <c r="A57" s="235"/>
      <c r="B57" s="238"/>
      <c r="C57" s="239"/>
      <c r="D57" s="106"/>
      <c r="E57" s="105" t="s">
        <v>47</v>
      </c>
      <c r="F57" s="106"/>
      <c r="G57" s="105"/>
      <c r="H57" s="212"/>
      <c r="I57" s="152"/>
      <c r="J57" s="104"/>
      <c r="K57" s="107"/>
      <c r="L57" s="237"/>
      <c r="M57" s="240"/>
      <c r="N57" s="212"/>
      <c r="O57" s="152"/>
      <c r="P57" s="104"/>
      <c r="Q57" s="105"/>
      <c r="V57" s="101" t="str">
        <f t="shared" si="3"/>
        <v/>
      </c>
      <c r="W57" s="101"/>
      <c r="X57" s="101"/>
      <c r="Y57" s="101"/>
      <c r="Z57" s="101"/>
      <c r="AC57" s="259" t="str">
        <f>IFERROR(INDEX(LIST2!$F:$F,MATCH(P57,LIST2!J:J,0),1),"")</f>
        <v/>
      </c>
    </row>
    <row r="58" spans="1:29" x14ac:dyDescent="0.25">
      <c r="A58" s="235"/>
      <c r="B58" s="238"/>
      <c r="C58" s="239"/>
      <c r="D58" s="106"/>
      <c r="E58" s="105" t="s">
        <v>47</v>
      </c>
      <c r="F58" s="106"/>
      <c r="G58" s="105"/>
      <c r="H58" s="212"/>
      <c r="I58" s="152"/>
      <c r="J58" s="104"/>
      <c r="K58" s="107"/>
      <c r="L58" s="237"/>
      <c r="M58" s="240"/>
      <c r="N58" s="212"/>
      <c r="O58" s="152"/>
      <c r="P58" s="104"/>
      <c r="Q58" s="105"/>
      <c r="V58" s="101" t="str">
        <f t="shared" si="3"/>
        <v/>
      </c>
      <c r="W58" s="101"/>
      <c r="X58" s="101"/>
      <c r="Y58" s="101"/>
      <c r="Z58" s="101"/>
      <c r="AC58" s="259" t="str">
        <f>IFERROR(INDEX(LIST2!$F:$F,MATCH(P58,LIST2!J:J,0),1),"")</f>
        <v/>
      </c>
    </row>
    <row r="59" spans="1:29" x14ac:dyDescent="0.25">
      <c r="A59" s="235"/>
      <c r="B59" s="238"/>
      <c r="C59" s="239"/>
      <c r="D59" s="106"/>
      <c r="E59" s="105" t="s">
        <v>47</v>
      </c>
      <c r="F59" s="106"/>
      <c r="G59" s="105"/>
      <c r="H59" s="212"/>
      <c r="I59" s="152"/>
      <c r="J59" s="104"/>
      <c r="K59" s="107"/>
      <c r="L59" s="237"/>
      <c r="M59" s="240"/>
      <c r="N59" s="212"/>
      <c r="O59" s="152"/>
      <c r="P59" s="104"/>
      <c r="Q59" s="105"/>
      <c r="V59" s="101" t="str">
        <f t="shared" si="3"/>
        <v/>
      </c>
      <c r="W59" s="101"/>
      <c r="X59" s="101"/>
      <c r="Y59" s="101"/>
      <c r="Z59" s="101"/>
      <c r="AC59" s="259" t="str">
        <f>IFERROR(INDEX(LIST2!$F:$F,MATCH(P59,LIST2!J:J,0),1),"")</f>
        <v/>
      </c>
    </row>
    <row r="60" spans="1:29" x14ac:dyDescent="0.25">
      <c r="A60" s="235"/>
      <c r="B60" s="238"/>
      <c r="C60" s="239"/>
      <c r="D60" s="106"/>
      <c r="E60" s="105" t="s">
        <v>47</v>
      </c>
      <c r="F60" s="106"/>
      <c r="G60" s="105"/>
      <c r="H60" s="212"/>
      <c r="I60" s="152"/>
      <c r="J60" s="104"/>
      <c r="K60" s="107"/>
      <c r="L60" s="237"/>
      <c r="M60" s="240"/>
      <c r="N60" s="212"/>
      <c r="O60" s="152"/>
      <c r="P60" s="104"/>
      <c r="Q60" s="105"/>
      <c r="V60" s="101" t="str">
        <f t="shared" si="3"/>
        <v/>
      </c>
      <c r="W60" s="101"/>
      <c r="X60" s="101"/>
      <c r="Y60" s="101"/>
      <c r="Z60" s="101"/>
      <c r="AC60" s="259" t="str">
        <f>IFERROR(INDEX(LIST2!$F:$F,MATCH(P60,LIST2!J:J,0),1),"")</f>
        <v/>
      </c>
    </row>
    <row r="61" spans="1:29" x14ac:dyDescent="0.25">
      <c r="A61" s="237"/>
      <c r="B61" s="238"/>
      <c r="C61" s="239"/>
      <c r="D61" s="106"/>
      <c r="E61" s="105" t="s">
        <v>47</v>
      </c>
      <c r="F61" s="106"/>
      <c r="G61" s="105"/>
      <c r="H61" s="212"/>
      <c r="I61" s="152"/>
      <c r="J61" s="104"/>
      <c r="K61" s="107"/>
      <c r="L61" s="213"/>
      <c r="M61" s="240"/>
      <c r="N61" s="212"/>
      <c r="O61" s="152"/>
      <c r="P61" s="104"/>
      <c r="Q61" s="105"/>
      <c r="V61" s="101" t="str">
        <f t="shared" si="3"/>
        <v/>
      </c>
      <c r="W61" s="101"/>
      <c r="X61" s="101"/>
      <c r="Y61" s="101"/>
      <c r="Z61" s="101"/>
      <c r="AC61" s="259" t="str">
        <f>IFERROR(INDEX(LIST2!$F:$F,MATCH(P61,LIST2!J:J,0),1),"")</f>
        <v/>
      </c>
    </row>
    <row r="62" spans="1:29" x14ac:dyDescent="0.25">
      <c r="A62" s="235"/>
      <c r="B62" s="238"/>
      <c r="C62" s="239"/>
      <c r="D62" s="106"/>
      <c r="E62" s="105" t="s">
        <v>47</v>
      </c>
      <c r="F62" s="106"/>
      <c r="G62" s="105"/>
      <c r="H62" s="212"/>
      <c r="I62" s="152"/>
      <c r="J62" s="104"/>
      <c r="K62" s="107"/>
      <c r="L62" s="237"/>
      <c r="M62" s="240"/>
      <c r="N62" s="212"/>
      <c r="O62" s="152"/>
      <c r="P62" s="104"/>
      <c r="Q62" s="105"/>
      <c r="V62" s="101" t="str">
        <f t="shared" si="3"/>
        <v/>
      </c>
      <c r="W62" s="101"/>
      <c r="X62" s="101"/>
      <c r="Y62" s="101"/>
      <c r="Z62" s="101"/>
      <c r="AC62" s="259" t="str">
        <f>IFERROR(INDEX(LIST2!$F:$F,MATCH(P62,LIST2!J:J,0),1),"")</f>
        <v/>
      </c>
    </row>
    <row r="63" spans="1:29" x14ac:dyDescent="0.25">
      <c r="A63" s="235"/>
      <c r="B63" s="238"/>
      <c r="C63" s="239"/>
      <c r="D63" s="106"/>
      <c r="E63" s="105" t="s">
        <v>47</v>
      </c>
      <c r="F63" s="106"/>
      <c r="G63" s="105"/>
      <c r="H63" s="212"/>
      <c r="I63" s="152"/>
      <c r="J63" s="104"/>
      <c r="K63" s="107"/>
      <c r="L63" s="237"/>
      <c r="M63" s="240"/>
      <c r="N63" s="212"/>
      <c r="O63" s="152"/>
      <c r="P63" s="104"/>
      <c r="Q63" s="105"/>
      <c r="V63" s="101" t="str">
        <f t="shared" si="3"/>
        <v/>
      </c>
      <c r="W63" s="101"/>
      <c r="X63" s="101"/>
      <c r="Y63" s="101"/>
      <c r="Z63" s="101"/>
      <c r="AC63" s="259" t="str">
        <f>IFERROR(INDEX(LIST2!$F:$F,MATCH(P63,LIST2!J:J,0),1),"")</f>
        <v/>
      </c>
    </row>
    <row r="64" spans="1:29" x14ac:dyDescent="0.25">
      <c r="A64" s="98"/>
      <c r="B64" s="102"/>
      <c r="C64" s="99"/>
      <c r="D64" s="106"/>
      <c r="E64" s="105" t="s">
        <v>47</v>
      </c>
      <c r="F64" s="106"/>
      <c r="G64" s="105"/>
      <c r="H64" s="212"/>
      <c r="I64" s="152"/>
      <c r="J64" s="104"/>
      <c r="K64" s="107"/>
      <c r="L64" s="104"/>
      <c r="M64" s="105"/>
      <c r="N64" s="106"/>
      <c r="O64" s="152"/>
      <c r="P64" s="104"/>
      <c r="Q64" s="105"/>
      <c r="V64" s="101" t="str">
        <f t="shared" si="3"/>
        <v/>
      </c>
      <c r="W64" s="101"/>
      <c r="X64" s="101"/>
      <c r="Y64" s="101"/>
      <c r="Z64" s="101"/>
      <c r="AC64" s="259" t="str">
        <f>IFERROR(INDEX(LIST2!$F:$F,MATCH(P64,LIST2!J:J,0),1),"")</f>
        <v/>
      </c>
    </row>
    <row r="65" spans="1:29" x14ac:dyDescent="0.25">
      <c r="A65" s="98"/>
      <c r="B65" s="102"/>
      <c r="C65" s="99"/>
      <c r="D65" s="106"/>
      <c r="E65" s="105" t="s">
        <v>47</v>
      </c>
      <c r="F65" s="106"/>
      <c r="G65" s="105"/>
      <c r="H65" s="106"/>
      <c r="I65" s="107"/>
      <c r="J65" s="104"/>
      <c r="K65" s="107"/>
      <c r="L65" s="104"/>
      <c r="M65" s="105"/>
      <c r="N65" s="106"/>
      <c r="O65" s="107"/>
      <c r="P65" s="104"/>
      <c r="Q65" s="105"/>
      <c r="V65" s="101" t="str">
        <f t="shared" si="3"/>
        <v/>
      </c>
      <c r="W65" s="101"/>
      <c r="X65" s="101"/>
      <c r="Y65" s="101"/>
      <c r="Z65" s="101"/>
      <c r="AC65" s="259" t="str">
        <f>IFERROR(INDEX(LIST2!$F:$F,MATCH(P65,LIST2!J:J,0),1),"")</f>
        <v/>
      </c>
    </row>
    <row r="66" spans="1:29" x14ac:dyDescent="0.25">
      <c r="A66" s="98"/>
      <c r="B66" s="102"/>
      <c r="C66" s="99"/>
      <c r="D66" s="106"/>
      <c r="E66" s="105" t="s">
        <v>47</v>
      </c>
      <c r="F66" s="106"/>
      <c r="G66" s="105"/>
      <c r="H66" s="106"/>
      <c r="I66" s="107"/>
      <c r="J66" s="104"/>
      <c r="K66" s="107"/>
      <c r="L66" s="104"/>
      <c r="M66" s="105"/>
      <c r="N66" s="106"/>
      <c r="O66" s="107"/>
      <c r="P66" s="104"/>
      <c r="Q66" s="105"/>
      <c r="V66" s="101" t="str">
        <f>IF((RIGHT(P66,7)="ROBBING"),"ROBBING","")</f>
        <v/>
      </c>
      <c r="W66" s="101"/>
      <c r="X66" s="101"/>
      <c r="Y66" s="101"/>
      <c r="Z66" s="101"/>
      <c r="AC66" s="259" t="str">
        <f>IFERROR(INDEX(LIST2!$F:$F,MATCH(P66,LIST2!J:J,0),1),"")</f>
        <v/>
      </c>
    </row>
    <row r="67" spans="1:29" x14ac:dyDescent="0.25">
      <c r="A67" s="98"/>
      <c r="B67" s="102"/>
      <c r="C67" s="99"/>
      <c r="D67" s="106"/>
      <c r="E67" s="105" t="s">
        <v>47</v>
      </c>
      <c r="F67" s="106"/>
      <c r="G67" s="105"/>
      <c r="H67" s="106"/>
      <c r="I67" s="107"/>
      <c r="J67" s="104"/>
      <c r="K67" s="107"/>
      <c r="L67" s="104"/>
      <c r="M67" s="105"/>
      <c r="N67" s="106"/>
      <c r="O67" s="107"/>
      <c r="P67" s="104"/>
      <c r="Q67" s="105"/>
      <c r="V67" s="101" t="str">
        <f>IF((RIGHT(P67,7)="ROBBING"),"ROBBING","")</f>
        <v/>
      </c>
      <c r="W67" s="101"/>
      <c r="X67" s="101"/>
      <c r="Y67" s="101"/>
      <c r="Z67" s="101"/>
      <c r="AC67" s="259" t="str">
        <f>IFERROR(INDEX(LIST2!$F:$F,MATCH(P67,LIST2!J:J,0),1),"")</f>
        <v/>
      </c>
    </row>
    <row r="68" spans="1:29" x14ac:dyDescent="0.25">
      <c r="A68" s="98"/>
      <c r="B68" s="102"/>
      <c r="C68" s="99"/>
      <c r="D68" s="106"/>
      <c r="E68" s="105" t="s">
        <v>47</v>
      </c>
      <c r="F68" s="106"/>
      <c r="G68" s="105"/>
      <c r="H68" s="106"/>
      <c r="I68" s="107"/>
      <c r="J68" s="104"/>
      <c r="K68" s="107"/>
      <c r="L68" s="104"/>
      <c r="M68" s="105"/>
      <c r="N68" s="106"/>
      <c r="O68" s="107"/>
      <c r="P68" s="104"/>
      <c r="Q68" s="105"/>
      <c r="V68" s="101" t="str">
        <f>IF((RIGHT(P68,7)="ROBBING"),"ROBBING","")</f>
        <v/>
      </c>
      <c r="W68" s="101"/>
      <c r="X68" s="101"/>
      <c r="Y68" s="101"/>
      <c r="Z68" s="101"/>
      <c r="AC68" s="259" t="str">
        <f>IFERROR(INDEX(LIST2!$F:$F,MATCH(P68,LIST2!J:J,0),1),"")</f>
        <v/>
      </c>
    </row>
    <row r="69" spans="1:29" x14ac:dyDescent="0.25">
      <c r="A69" s="89" t="s">
        <v>3</v>
      </c>
      <c r="B69" s="95">
        <f>COUNTA(B51:B68)</f>
        <v>0</v>
      </c>
      <c r="C69" s="93"/>
      <c r="D69" s="92">
        <f>COUNTA(D51:D55)</f>
        <v>0</v>
      </c>
      <c r="E69" s="91"/>
      <c r="F69" s="92">
        <f>COUNTA(F51:F68)</f>
        <v>0</v>
      </c>
      <c r="G69" s="91"/>
      <c r="H69" s="92">
        <f>COUNTA(H51:H68)</f>
        <v>0</v>
      </c>
      <c r="I69" s="94"/>
      <c r="J69" s="90">
        <f>COUNTA(J51:J68)</f>
        <v>0</v>
      </c>
      <c r="K69" s="94"/>
      <c r="L69" s="90">
        <f>COUNTA(L51:L68)</f>
        <v>0</v>
      </c>
      <c r="M69" s="91"/>
      <c r="N69" s="92">
        <f>COUNTA(N51:N68)</f>
        <v>0</v>
      </c>
      <c r="O69" s="94"/>
      <c r="P69" s="264">
        <f>COUNTA(P51:P68)</f>
        <v>0</v>
      </c>
      <c r="Q69" s="265"/>
      <c r="R69" s="96">
        <f>COUNTIF(V51:V68,"ROBBING")</f>
        <v>0</v>
      </c>
      <c r="S69" s="96">
        <f>'FINAL LIST WITH REMARKS'!Z676</f>
        <v>0</v>
      </c>
      <c r="T69" s="96">
        <f>SUM(B69:Q69)</f>
        <v>0</v>
      </c>
      <c r="U69" s="96">
        <f>'For Explo'!J158</f>
        <v>0</v>
      </c>
      <c r="V69" s="97">
        <f>COUNTIF(V51:V68,"ROBBING")</f>
        <v>0</v>
      </c>
      <c r="W69" s="97">
        <f>COUNTA(W51:W68)</f>
        <v>5</v>
      </c>
      <c r="X69" s="97">
        <f>COUNTA(X51:X68)</f>
        <v>5</v>
      </c>
      <c r="Y69" s="97">
        <f>COUNTA(Y51:Y68)</f>
        <v>1</v>
      </c>
      <c r="Z69" s="97">
        <f>COUNTA(Z51:Z68)</f>
        <v>0</v>
      </c>
      <c r="AC69" s="259" t="str">
        <f>IFERROR(INDEX(LIST2!$F:$F,MATCH(P69,LIST2!J:J,0),1),"")</f>
        <v/>
      </c>
    </row>
    <row r="70" spans="1:29" x14ac:dyDescent="0.25">
      <c r="A70" s="98" t="s">
        <v>12</v>
      </c>
      <c r="B70" s="106"/>
      <c r="C70" s="105"/>
      <c r="D70" s="106"/>
      <c r="E70" s="105"/>
      <c r="F70" s="106"/>
      <c r="G70" s="107"/>
      <c r="H70" s="104"/>
      <c r="I70" s="107"/>
      <c r="J70" s="104"/>
      <c r="K70" s="105"/>
      <c r="L70" s="104"/>
      <c r="M70" s="105"/>
      <c r="N70" s="106"/>
      <c r="O70" s="107"/>
      <c r="P70" s="220" t="s">
        <v>10554</v>
      </c>
      <c r="Q70" s="105" t="s">
        <v>1606</v>
      </c>
      <c r="V70" s="101" t="str">
        <f t="shared" ref="V70:V87" si="4">IF((RIGHT(P70,7)="ROBBING"),"ROBBING","")</f>
        <v/>
      </c>
      <c r="W70" s="101" t="s">
        <v>236</v>
      </c>
      <c r="X70" s="101" t="s">
        <v>236</v>
      </c>
      <c r="Y70" s="101" t="s">
        <v>236</v>
      </c>
      <c r="Z70" s="101"/>
      <c r="AC70" s="259" t="str">
        <f>IFERROR(INDEX(LIST2!$F:$F,MATCH(P70,LIST2!J:J,0),1),"")</f>
        <v>Dhoz 71</v>
      </c>
    </row>
    <row r="71" spans="1:29" x14ac:dyDescent="0.25">
      <c r="A71" s="98"/>
      <c r="B71" s="106"/>
      <c r="C71" s="105"/>
      <c r="D71" s="106"/>
      <c r="E71" s="105"/>
      <c r="F71" s="106"/>
      <c r="G71" s="107"/>
      <c r="H71" s="104"/>
      <c r="I71" s="107"/>
      <c r="J71" s="104"/>
      <c r="K71" s="105"/>
      <c r="L71" s="104"/>
      <c r="M71" s="105"/>
      <c r="N71" s="106"/>
      <c r="O71" s="107"/>
      <c r="P71" s="182"/>
      <c r="Q71" s="396"/>
      <c r="V71" s="101" t="str">
        <f t="shared" si="4"/>
        <v/>
      </c>
      <c r="W71" s="101" t="s">
        <v>236</v>
      </c>
      <c r="X71" s="101" t="s">
        <v>236</v>
      </c>
      <c r="Y71" s="101" t="s">
        <v>236</v>
      </c>
      <c r="Z71" s="101"/>
      <c r="AC71" s="259" t="str">
        <f>IFERROR(INDEX(LIST2!$F:$F,MATCH(P71,LIST2!J:J,0),1),"")</f>
        <v/>
      </c>
    </row>
    <row r="72" spans="1:29" x14ac:dyDescent="0.25">
      <c r="A72" s="98"/>
      <c r="B72" s="106"/>
      <c r="C72" s="105"/>
      <c r="D72" s="106"/>
      <c r="E72" s="105"/>
      <c r="F72" s="106"/>
      <c r="G72" s="107"/>
      <c r="H72" s="104"/>
      <c r="I72" s="107"/>
      <c r="J72" s="104"/>
      <c r="K72" s="105"/>
      <c r="L72" s="104"/>
      <c r="M72" s="105"/>
      <c r="N72" s="106"/>
      <c r="O72" s="107"/>
      <c r="P72" s="104"/>
      <c r="Q72" s="105"/>
      <c r="V72" s="101" t="str">
        <f t="shared" si="4"/>
        <v/>
      </c>
      <c r="W72" s="101" t="s">
        <v>236</v>
      </c>
      <c r="X72" s="101" t="s">
        <v>236</v>
      </c>
      <c r="Y72" s="101"/>
      <c r="Z72" s="101"/>
      <c r="AC72" s="259" t="str">
        <f>IFERROR(INDEX(LIST2!$F:$F,MATCH(P72,LIST2!J:J,0),1),"")</f>
        <v/>
      </c>
    </row>
    <row r="73" spans="1:29" x14ac:dyDescent="0.25">
      <c r="A73" s="98"/>
      <c r="B73" s="106"/>
      <c r="C73" s="105"/>
      <c r="D73" s="106"/>
      <c r="E73" s="105"/>
      <c r="F73" s="106"/>
      <c r="G73" s="107"/>
      <c r="H73" s="104"/>
      <c r="I73" s="107"/>
      <c r="J73" s="104"/>
      <c r="K73" s="105"/>
      <c r="L73" s="104"/>
      <c r="M73" s="105"/>
      <c r="N73" s="106"/>
      <c r="O73" s="107"/>
      <c r="P73" s="104"/>
      <c r="Q73" s="105"/>
      <c r="V73" s="101" t="str">
        <f t="shared" si="4"/>
        <v/>
      </c>
      <c r="W73" s="101"/>
      <c r="X73" s="101"/>
      <c r="Y73" s="101"/>
      <c r="Z73" s="101"/>
      <c r="AC73" s="259" t="str">
        <f>IFERROR(INDEX(LIST2!$F:$F,MATCH(P73,LIST2!J:J,0),1),"")</f>
        <v/>
      </c>
    </row>
    <row r="74" spans="1:29" x14ac:dyDescent="0.25">
      <c r="A74" s="98"/>
      <c r="B74" s="106"/>
      <c r="C74" s="105"/>
      <c r="D74" s="106"/>
      <c r="E74" s="105"/>
      <c r="F74" s="106"/>
      <c r="G74" s="107"/>
      <c r="H74" s="104"/>
      <c r="I74" s="107"/>
      <c r="J74" s="104"/>
      <c r="K74" s="105"/>
      <c r="L74" s="104"/>
      <c r="M74" s="105"/>
      <c r="N74" s="106"/>
      <c r="O74" s="107"/>
      <c r="P74" s="104"/>
      <c r="Q74" s="105"/>
      <c r="V74" s="101" t="str">
        <f t="shared" si="4"/>
        <v/>
      </c>
      <c r="W74" s="101"/>
      <c r="X74" s="101"/>
      <c r="Y74" s="101"/>
      <c r="Z74" s="101"/>
      <c r="AC74" s="259" t="str">
        <f>IFERROR(INDEX(LIST2!$F:$F,MATCH(P74,LIST2!J:J,0),1),"")</f>
        <v/>
      </c>
    </row>
    <row r="75" spans="1:29" x14ac:dyDescent="0.25">
      <c r="A75" s="99"/>
      <c r="B75" s="106"/>
      <c r="C75" s="105"/>
      <c r="D75" s="106"/>
      <c r="E75" s="105"/>
      <c r="F75" s="106"/>
      <c r="G75" s="105"/>
      <c r="H75" s="104"/>
      <c r="I75" s="107"/>
      <c r="J75" s="104"/>
      <c r="K75" s="105"/>
      <c r="L75" s="104"/>
      <c r="M75" s="105"/>
      <c r="N75" s="106"/>
      <c r="O75" s="107"/>
      <c r="P75" s="104"/>
      <c r="Q75" s="105"/>
      <c r="V75" s="101" t="str">
        <f t="shared" si="4"/>
        <v/>
      </c>
      <c r="W75" s="101"/>
      <c r="X75" s="101"/>
      <c r="Y75" s="101"/>
      <c r="Z75" s="101"/>
      <c r="AC75" s="259" t="str">
        <f>IFERROR(INDEX(LIST2!$F:$F,MATCH(P75,LIST2!J:J,0),1),"")</f>
        <v/>
      </c>
    </row>
    <row r="76" spans="1:29" x14ac:dyDescent="0.25">
      <c r="A76" s="99"/>
      <c r="B76" s="98"/>
      <c r="C76" s="261"/>
      <c r="D76" s="106"/>
      <c r="E76" s="105"/>
      <c r="F76" s="106"/>
      <c r="G76" s="105"/>
      <c r="H76" s="104"/>
      <c r="I76" s="107" t="s">
        <v>47</v>
      </c>
      <c r="J76" s="104"/>
      <c r="K76" s="105"/>
      <c r="L76" s="107"/>
      <c r="M76" s="105"/>
      <c r="N76" s="106"/>
      <c r="O76" s="107"/>
      <c r="P76" s="104"/>
      <c r="Q76" s="105"/>
      <c r="V76" s="101" t="str">
        <f t="shared" si="4"/>
        <v/>
      </c>
      <c r="W76" s="101"/>
      <c r="X76" s="101"/>
      <c r="Y76" s="101"/>
      <c r="Z76" s="101"/>
      <c r="AC76" s="259" t="str">
        <f>IFERROR(INDEX(LIST2!$F:$F,MATCH(P76,LIST2!J:J,0),1),"")</f>
        <v/>
      </c>
    </row>
    <row r="77" spans="1:29" x14ac:dyDescent="0.25">
      <c r="A77" s="99"/>
      <c r="B77" s="98"/>
      <c r="C77" s="261"/>
      <c r="D77" s="106"/>
      <c r="E77" s="105"/>
      <c r="F77" s="106"/>
      <c r="G77" s="105"/>
      <c r="H77" s="104"/>
      <c r="I77" s="107"/>
      <c r="J77" s="104"/>
      <c r="K77" s="105"/>
      <c r="L77" s="104"/>
      <c r="M77" s="105"/>
      <c r="N77" s="106"/>
      <c r="O77" s="107"/>
      <c r="P77" s="104"/>
      <c r="Q77" s="105"/>
      <c r="V77" s="101" t="str">
        <f t="shared" si="4"/>
        <v/>
      </c>
      <c r="W77" s="101"/>
      <c r="X77" s="101"/>
      <c r="Y77" s="101"/>
      <c r="Z77" s="101"/>
      <c r="AC77" s="259" t="str">
        <f>IFERROR(INDEX(LIST2!$F:$F,MATCH(P77,LIST2!J:J,0),1),"")</f>
        <v/>
      </c>
    </row>
    <row r="78" spans="1:29" x14ac:dyDescent="0.25">
      <c r="A78" s="98"/>
      <c r="B78" s="98"/>
      <c r="C78" s="261"/>
      <c r="D78" s="106"/>
      <c r="E78" s="105"/>
      <c r="F78" s="106"/>
      <c r="G78" s="105"/>
      <c r="H78" s="104"/>
      <c r="I78" s="107"/>
      <c r="J78" s="104"/>
      <c r="K78" s="105"/>
      <c r="L78" s="104"/>
      <c r="M78" s="105"/>
      <c r="N78" s="106"/>
      <c r="P78" s="104"/>
      <c r="Q78" s="105"/>
      <c r="V78" s="101" t="str">
        <f t="shared" si="4"/>
        <v/>
      </c>
      <c r="W78" s="101"/>
      <c r="X78" s="101"/>
      <c r="Y78" s="101"/>
      <c r="Z78" s="101"/>
      <c r="AC78" s="259" t="str">
        <f>IFERROR(INDEX(LIST2!$F:$F,MATCH(P78,LIST2!J:J,0),1),"")</f>
        <v/>
      </c>
    </row>
    <row r="79" spans="1:29" x14ac:dyDescent="0.25">
      <c r="A79" s="98"/>
      <c r="B79" s="102"/>
      <c r="C79" s="99"/>
      <c r="D79" s="106"/>
      <c r="E79" s="105"/>
      <c r="F79" s="106"/>
      <c r="G79" s="105"/>
      <c r="H79" s="104"/>
      <c r="I79" s="107"/>
      <c r="J79" s="104"/>
      <c r="K79" s="105"/>
      <c r="L79" s="104"/>
      <c r="M79" s="105"/>
      <c r="N79" s="106"/>
      <c r="O79" s="107"/>
      <c r="P79" s="104"/>
      <c r="Q79" s="105"/>
      <c r="V79" s="101" t="str">
        <f t="shared" si="4"/>
        <v/>
      </c>
      <c r="W79" s="101"/>
      <c r="X79" s="101"/>
      <c r="Y79" s="101"/>
      <c r="Z79" s="101"/>
      <c r="AC79" s="259" t="str">
        <f>IFERROR(INDEX(LIST2!$F:$F,MATCH(P79,LIST2!J:J,0),1),"")</f>
        <v/>
      </c>
    </row>
    <row r="80" spans="1:29" x14ac:dyDescent="0.25">
      <c r="A80" s="98"/>
      <c r="B80" s="102"/>
      <c r="C80" s="99"/>
      <c r="D80" s="106"/>
      <c r="E80" s="105"/>
      <c r="F80" s="106"/>
      <c r="G80" s="105"/>
      <c r="H80" s="104"/>
      <c r="I80" s="107"/>
      <c r="J80" s="104"/>
      <c r="K80" s="105"/>
      <c r="L80" s="104"/>
      <c r="M80" s="105"/>
      <c r="N80" s="106"/>
      <c r="O80" s="107"/>
      <c r="P80" s="104"/>
      <c r="Q80" s="105"/>
      <c r="V80" s="101" t="str">
        <f t="shared" si="4"/>
        <v/>
      </c>
      <c r="W80" s="101"/>
      <c r="X80" s="101"/>
      <c r="Y80" s="101"/>
      <c r="Z80" s="101"/>
      <c r="AC80" s="259" t="str">
        <f>IFERROR(INDEX(LIST2!$F:$F,MATCH(P80,LIST2!J:J,0),1),"")</f>
        <v/>
      </c>
    </row>
    <row r="81" spans="1:29" x14ac:dyDescent="0.25">
      <c r="A81" s="98"/>
      <c r="B81" s="102"/>
      <c r="C81" s="99"/>
      <c r="D81" s="106"/>
      <c r="E81" s="105"/>
      <c r="F81" s="106"/>
      <c r="G81" s="105"/>
      <c r="H81" s="104"/>
      <c r="I81" s="107"/>
      <c r="J81" s="104"/>
      <c r="K81" s="105"/>
      <c r="L81" s="104"/>
      <c r="M81" s="105"/>
      <c r="N81" s="106"/>
      <c r="O81" s="107"/>
      <c r="P81" s="104"/>
      <c r="Q81" s="105"/>
      <c r="V81" s="101" t="str">
        <f t="shared" si="4"/>
        <v/>
      </c>
      <c r="W81" s="101"/>
      <c r="X81" s="101"/>
      <c r="Y81" s="101"/>
      <c r="Z81" s="101"/>
      <c r="AC81" s="259" t="str">
        <f>IFERROR(INDEX(LIST2!$F:$F,MATCH(P81,LIST2!J:J,0),1),"")</f>
        <v/>
      </c>
    </row>
    <row r="82" spans="1:29" x14ac:dyDescent="0.25">
      <c r="A82" s="98"/>
      <c r="B82" s="102"/>
      <c r="C82" s="99"/>
      <c r="D82" s="106"/>
      <c r="E82" s="105"/>
      <c r="F82" s="106"/>
      <c r="G82" s="105"/>
      <c r="H82" s="104"/>
      <c r="I82" s="107"/>
      <c r="J82" s="104"/>
      <c r="K82" s="105"/>
      <c r="L82" s="104"/>
      <c r="M82" s="105"/>
      <c r="N82" s="106"/>
      <c r="O82" s="107"/>
      <c r="P82" s="104"/>
      <c r="Q82" s="105"/>
      <c r="V82" s="101" t="str">
        <f t="shared" si="4"/>
        <v/>
      </c>
      <c r="W82" s="101"/>
      <c r="X82" s="99"/>
      <c r="Y82" s="101"/>
      <c r="Z82" s="101"/>
      <c r="AC82" s="259" t="str">
        <f>IFERROR(INDEX(LIST2!$F:$F,MATCH(P82,LIST2!J:J,0),1),"")</f>
        <v/>
      </c>
    </row>
    <row r="83" spans="1:29" x14ac:dyDescent="0.25">
      <c r="A83" s="98"/>
      <c r="B83" s="102"/>
      <c r="C83" s="99"/>
      <c r="D83" s="106"/>
      <c r="E83" s="105"/>
      <c r="F83" s="106"/>
      <c r="G83" s="105"/>
      <c r="H83" s="104"/>
      <c r="I83" s="107"/>
      <c r="J83" s="104"/>
      <c r="K83" s="105"/>
      <c r="L83" s="104"/>
      <c r="M83" s="105"/>
      <c r="N83" s="106"/>
      <c r="O83" s="107"/>
      <c r="P83" s="104"/>
      <c r="Q83" s="105"/>
      <c r="V83" s="101" t="str">
        <f t="shared" si="4"/>
        <v/>
      </c>
      <c r="W83" s="101"/>
      <c r="X83" s="101"/>
      <c r="Y83" s="101"/>
      <c r="Z83" s="101"/>
      <c r="AC83" s="259" t="str">
        <f>IFERROR(INDEX(LIST2!$F:$F,MATCH(P83,LIST2!J:J,0),1),"")</f>
        <v/>
      </c>
    </row>
    <row r="84" spans="1:29" x14ac:dyDescent="0.25">
      <c r="A84" s="98"/>
      <c r="B84" s="102"/>
      <c r="C84" s="99"/>
      <c r="D84" s="106"/>
      <c r="E84" s="105"/>
      <c r="F84" s="106"/>
      <c r="G84" s="105"/>
      <c r="H84" s="104"/>
      <c r="I84" s="107"/>
      <c r="J84" s="104"/>
      <c r="K84" s="105"/>
      <c r="L84" s="104"/>
      <c r="M84" s="105"/>
      <c r="N84" s="106"/>
      <c r="O84" s="107"/>
      <c r="P84" s="104"/>
      <c r="Q84" s="105"/>
      <c r="V84" s="101" t="str">
        <f t="shared" si="4"/>
        <v/>
      </c>
      <c r="W84" s="101"/>
      <c r="X84" s="101"/>
      <c r="Y84" s="101"/>
      <c r="Z84" s="101"/>
      <c r="AC84" s="259" t="str">
        <f>IFERROR(INDEX(LIST2!$F:$F,MATCH(P84,LIST2!J:J,0),1),"")</f>
        <v/>
      </c>
    </row>
    <row r="85" spans="1:29" x14ac:dyDescent="0.25">
      <c r="A85" s="98"/>
      <c r="B85" s="102"/>
      <c r="C85" s="99"/>
      <c r="D85" s="106"/>
      <c r="E85" s="105"/>
      <c r="F85" s="106"/>
      <c r="H85" s="104"/>
      <c r="I85" s="107"/>
      <c r="J85" s="104"/>
      <c r="K85" s="105"/>
      <c r="L85" s="104"/>
      <c r="M85" s="105"/>
      <c r="N85" s="106"/>
      <c r="O85" s="107"/>
      <c r="P85" s="104"/>
      <c r="Q85" s="105"/>
      <c r="V85" s="101" t="str">
        <f t="shared" si="4"/>
        <v/>
      </c>
      <c r="W85" s="101"/>
      <c r="X85" s="101"/>
      <c r="Y85" s="101"/>
      <c r="Z85" s="101"/>
      <c r="AC85" s="259" t="str">
        <f>IFERROR(INDEX(LIST2!$F:$F,MATCH(P85,LIST2!J:J,0),1),"")</f>
        <v/>
      </c>
    </row>
    <row r="86" spans="1:29" x14ac:dyDescent="0.25">
      <c r="A86" s="98"/>
      <c r="B86" s="102"/>
      <c r="C86" s="99"/>
      <c r="D86" s="106"/>
      <c r="E86" s="105"/>
      <c r="F86" s="106"/>
      <c r="G86" s="105"/>
      <c r="H86" s="104"/>
      <c r="I86" s="107"/>
      <c r="J86" s="104"/>
      <c r="K86" s="105"/>
      <c r="L86" s="104"/>
      <c r="M86" s="105"/>
      <c r="N86" s="106"/>
      <c r="O86" s="107"/>
      <c r="P86" s="104"/>
      <c r="Q86" s="105"/>
      <c r="V86" s="101" t="str">
        <f t="shared" si="4"/>
        <v/>
      </c>
      <c r="W86" s="101"/>
      <c r="X86" s="101"/>
      <c r="Y86" s="101"/>
      <c r="Z86" s="101"/>
      <c r="AC86" s="259" t="str">
        <f>IFERROR(INDEX(LIST2!$F:$F,MATCH(P86,LIST2!J:J,0),1),"")</f>
        <v/>
      </c>
    </row>
    <row r="87" spans="1:29" x14ac:dyDescent="0.25">
      <c r="A87" s="98"/>
      <c r="B87" s="102"/>
      <c r="C87" s="99"/>
      <c r="D87" s="106"/>
      <c r="E87" s="105"/>
      <c r="F87" s="106"/>
      <c r="G87" s="105"/>
      <c r="H87" s="104"/>
      <c r="I87" s="107"/>
      <c r="J87" s="104"/>
      <c r="K87" s="107"/>
      <c r="L87" s="104"/>
      <c r="M87" s="105"/>
      <c r="N87" s="106"/>
      <c r="O87" s="107"/>
      <c r="P87" s="104"/>
      <c r="Q87" s="105"/>
      <c r="V87" s="101" t="str">
        <f t="shared" si="4"/>
        <v/>
      </c>
      <c r="W87" s="101"/>
      <c r="X87" s="101"/>
      <c r="Y87" s="101"/>
      <c r="Z87" s="101"/>
      <c r="AC87" s="259" t="str">
        <f>IFERROR(INDEX(LIST2!$F:$F,MATCH(P87,LIST2!J:J,0),1),"")</f>
        <v/>
      </c>
    </row>
    <row r="88" spans="1:29" x14ac:dyDescent="0.25">
      <c r="A88" s="89" t="s">
        <v>3</v>
      </c>
      <c r="B88" s="95">
        <f>COUNTA(B70:B87)</f>
        <v>0</v>
      </c>
      <c r="C88" s="93"/>
      <c r="D88" s="92">
        <f>COUNTA(D70:D87)</f>
        <v>0</v>
      </c>
      <c r="E88" s="91"/>
      <c r="F88" s="92">
        <f>COUNTA(F70:F87)</f>
        <v>0</v>
      </c>
      <c r="G88" s="91"/>
      <c r="H88" s="92">
        <f>COUNTA(H70:H87)</f>
        <v>0</v>
      </c>
      <c r="I88" s="94"/>
      <c r="J88" s="90">
        <f>COUNTA(J70:J87)</f>
        <v>0</v>
      </c>
      <c r="K88" s="94"/>
      <c r="L88" s="90">
        <f>COUNTA(L70:L87)</f>
        <v>0</v>
      </c>
      <c r="M88" s="91"/>
      <c r="N88" s="92">
        <f>COUNTA(N70:N87)</f>
        <v>0</v>
      </c>
      <c r="O88" s="94"/>
      <c r="P88" s="90">
        <f>COUNTA(P70:P87)</f>
        <v>1</v>
      </c>
      <c r="Q88" s="91"/>
      <c r="R88" s="96">
        <f>COUNTIF(V70:V87,"ROBBING")</f>
        <v>0</v>
      </c>
      <c r="S88" s="96">
        <f>'FINAL LIST WITH REMARKS'!Z936</f>
        <v>5</v>
      </c>
      <c r="T88" s="96">
        <f>SUM(B88:Q88)</f>
        <v>1</v>
      </c>
      <c r="U88" s="96">
        <f>'For Explo'!J201</f>
        <v>1</v>
      </c>
      <c r="V88" s="97">
        <f>COUNTIF(V70:V87,"ROBBING")</f>
        <v>0</v>
      </c>
      <c r="W88" s="97">
        <f>COUNTA(W70:W87)</f>
        <v>3</v>
      </c>
      <c r="X88" s="97">
        <f>COUNTA(X70:X87)</f>
        <v>3</v>
      </c>
      <c r="Y88" s="97">
        <f>COUNTA(Y70:Y87)</f>
        <v>2</v>
      </c>
      <c r="Z88" s="97">
        <f>COUNTA(Z70:Z87)</f>
        <v>0</v>
      </c>
      <c r="AC88" s="259" t="str">
        <f>IFERROR(INDEX(LIST2!$F:$F,MATCH(P88,LIST2!J:J,0),1),"")</f>
        <v/>
      </c>
    </row>
    <row r="89" spans="1:29" s="241" customFormat="1" x14ac:dyDescent="0.25">
      <c r="A89" s="235" t="s">
        <v>13</v>
      </c>
      <c r="B89" s="379" t="s">
        <v>15245</v>
      </c>
      <c r="C89" s="402" t="s">
        <v>8045</v>
      </c>
      <c r="D89" s="311" t="s">
        <v>15226</v>
      </c>
      <c r="E89" s="105" t="s">
        <v>8045</v>
      </c>
      <c r="F89" s="106"/>
      <c r="G89" s="105"/>
      <c r="H89" s="236" t="s">
        <v>15295</v>
      </c>
      <c r="I89" s="396" t="s">
        <v>6216</v>
      </c>
      <c r="J89" s="182"/>
      <c r="K89" s="398"/>
      <c r="L89" s="220" t="s">
        <v>14748</v>
      </c>
      <c r="M89" s="105" t="s">
        <v>14949</v>
      </c>
      <c r="N89" s="403" t="s">
        <v>15394</v>
      </c>
      <c r="O89" s="152" t="s">
        <v>8045</v>
      </c>
      <c r="P89" s="362" t="s">
        <v>15363</v>
      </c>
      <c r="Q89" s="105" t="s">
        <v>6216</v>
      </c>
      <c r="V89" s="242" t="str">
        <f t="shared" ref="V89:V109" si="5">IF((RIGHT(P89,7)="ROBBING"),"ROBBING","")</f>
        <v>ROBBING</v>
      </c>
      <c r="W89" s="242" t="s">
        <v>236</v>
      </c>
      <c r="X89" s="242" t="s">
        <v>236</v>
      </c>
      <c r="Y89" s="242"/>
      <c r="Z89" s="242" t="s">
        <v>2707</v>
      </c>
      <c r="AC89" s="259" t="str">
        <f>IFERROR(INDEX(LIST2!$F:$F,MATCH(P89,LIST2!J:J,0),1),"")</f>
        <v>RobS 79</v>
      </c>
    </row>
    <row r="90" spans="1:29" s="241" customFormat="1" x14ac:dyDescent="0.25">
      <c r="A90" s="235"/>
      <c r="B90" s="379" t="s">
        <v>15186</v>
      </c>
      <c r="C90" s="105" t="s">
        <v>13989</v>
      </c>
      <c r="D90" s="401" t="s">
        <v>15285</v>
      </c>
      <c r="E90" s="396" t="s">
        <v>14285</v>
      </c>
      <c r="F90" s="238"/>
      <c r="G90" s="105"/>
      <c r="H90" s="393"/>
      <c r="I90" s="398"/>
      <c r="J90" s="393"/>
      <c r="K90" s="396"/>
      <c r="L90" s="220" t="s">
        <v>14989</v>
      </c>
      <c r="M90" s="105" t="s">
        <v>14139</v>
      </c>
      <c r="N90" s="212"/>
      <c r="O90" s="152"/>
      <c r="P90" s="236" t="s">
        <v>4564</v>
      </c>
      <c r="Q90" s="240" t="s">
        <v>15076</v>
      </c>
      <c r="V90" s="242" t="str">
        <f>IF((RIGHT(P90,7)="ROBBING"),"ROBBING","")</f>
        <v>ROBBING</v>
      </c>
      <c r="W90" s="242" t="s">
        <v>236</v>
      </c>
      <c r="X90" s="242" t="s">
        <v>236</v>
      </c>
      <c r="Y90" s="242"/>
      <c r="Z90" s="242" t="s">
        <v>2707</v>
      </c>
      <c r="AC90" s="259" t="str">
        <f>IFERROR(INDEX(LIST2!$F:$F,MATCH(P90,LIST2!J:J,0),1),"")</f>
        <v>RobS 79</v>
      </c>
    </row>
    <row r="91" spans="1:29" s="241" customFormat="1" x14ac:dyDescent="0.25">
      <c r="A91" s="235"/>
      <c r="B91" s="379" t="s">
        <v>15247</v>
      </c>
      <c r="C91" s="105" t="s">
        <v>14947</v>
      </c>
      <c r="D91" s="401" t="s">
        <v>15342</v>
      </c>
      <c r="E91" s="105" t="s">
        <v>14138</v>
      </c>
      <c r="F91" s="238"/>
      <c r="G91" s="105"/>
      <c r="H91" s="393"/>
      <c r="I91" s="398"/>
      <c r="J91" s="104"/>
      <c r="K91" s="152"/>
      <c r="L91" s="104"/>
      <c r="M91" s="105"/>
      <c r="N91" s="212"/>
      <c r="O91" s="152"/>
      <c r="P91" s="236" t="s">
        <v>2741</v>
      </c>
      <c r="Q91" s="240" t="s">
        <v>15076</v>
      </c>
      <c r="V91" s="242" t="str">
        <f>IF((RIGHT(P91,7)="ROBBING"),"ROBBING","")</f>
        <v>ROBBING</v>
      </c>
      <c r="W91" s="242" t="s">
        <v>236</v>
      </c>
      <c r="X91" s="242" t="s">
        <v>236</v>
      </c>
      <c r="Y91" s="242"/>
      <c r="Z91" s="242" t="s">
        <v>2707</v>
      </c>
      <c r="AC91" s="259" t="str">
        <f>IFERROR(INDEX(LIST2!$F:$F,MATCH(P91,LIST2!J:J,0),1),"")</f>
        <v>RobS 79</v>
      </c>
    </row>
    <row r="92" spans="1:29" s="241" customFormat="1" x14ac:dyDescent="0.25">
      <c r="A92" s="235"/>
      <c r="B92" s="102"/>
      <c r="C92" s="261"/>
      <c r="D92" s="106"/>
      <c r="E92" s="105"/>
      <c r="F92" s="212"/>
      <c r="G92" s="105"/>
      <c r="H92" s="393"/>
      <c r="I92" s="398"/>
      <c r="J92" s="104"/>
      <c r="K92" s="152"/>
      <c r="L92" s="104"/>
      <c r="M92" s="105"/>
      <c r="N92" s="212"/>
      <c r="O92" s="152"/>
      <c r="P92" s="236" t="s">
        <v>14304</v>
      </c>
      <c r="Q92" s="240" t="s">
        <v>6925</v>
      </c>
      <c r="V92" s="242" t="str">
        <f>IF((RIGHT(P92,7)="ROBBING"),"ROBBING","")</f>
        <v/>
      </c>
      <c r="W92" s="242" t="s">
        <v>236</v>
      </c>
      <c r="X92" s="242" t="s">
        <v>236</v>
      </c>
      <c r="Y92" s="242"/>
      <c r="Z92" s="242"/>
      <c r="AC92" s="259" t="s">
        <v>14362</v>
      </c>
    </row>
    <row r="93" spans="1:29" s="241" customFormat="1" x14ac:dyDescent="0.25">
      <c r="A93" s="235"/>
      <c r="B93" s="397"/>
      <c r="C93" s="402"/>
      <c r="D93" s="212"/>
      <c r="E93" s="105"/>
      <c r="F93" s="212"/>
      <c r="G93" s="105"/>
      <c r="H93" s="237"/>
      <c r="I93" s="105"/>
      <c r="J93" s="104"/>
      <c r="K93" s="152"/>
      <c r="L93" s="104"/>
      <c r="M93" s="105"/>
      <c r="N93" s="212"/>
      <c r="O93" s="152"/>
      <c r="P93" s="104" t="s">
        <v>14648</v>
      </c>
      <c r="Q93" s="105" t="s">
        <v>13952</v>
      </c>
      <c r="V93" s="242" t="str">
        <f t="shared" si="5"/>
        <v>ROBBING</v>
      </c>
      <c r="W93" s="242"/>
      <c r="X93" s="242" t="s">
        <v>236</v>
      </c>
      <c r="Y93" s="242"/>
      <c r="Z93" s="242" t="s">
        <v>2707</v>
      </c>
      <c r="AC93" s="259" t="str">
        <f>IFERROR(INDEX(LIST2!$F:$F,MATCH(P93,LIST2!J:J,0),1),"")</f>
        <v>RobS 79</v>
      </c>
    </row>
    <row r="94" spans="1:29" s="241" customFormat="1" x14ac:dyDescent="0.25">
      <c r="A94" s="235"/>
      <c r="B94" s="102"/>
      <c r="C94" s="261"/>
      <c r="D94" s="212"/>
      <c r="E94" s="105"/>
      <c r="F94" s="212"/>
      <c r="G94" s="105"/>
      <c r="H94" s="237"/>
      <c r="I94" s="152"/>
      <c r="J94" s="237"/>
      <c r="K94" s="152"/>
      <c r="L94" s="104"/>
      <c r="M94" s="105"/>
      <c r="N94" s="212"/>
      <c r="O94" s="152"/>
      <c r="P94" s="377" t="s">
        <v>14614</v>
      </c>
      <c r="Q94" s="240" t="s">
        <v>8045</v>
      </c>
      <c r="V94" s="242" t="str">
        <f t="shared" si="5"/>
        <v/>
      </c>
      <c r="W94" s="242"/>
      <c r="X94" s="242" t="s">
        <v>236</v>
      </c>
      <c r="Y94" s="242"/>
      <c r="Z94" s="242"/>
      <c r="AC94" s="259" t="s">
        <v>12992</v>
      </c>
    </row>
    <row r="95" spans="1:29" s="241" customFormat="1" x14ac:dyDescent="0.25">
      <c r="A95" s="235"/>
      <c r="B95" s="102"/>
      <c r="C95" s="99"/>
      <c r="D95" s="212"/>
      <c r="E95" s="105"/>
      <c r="F95" s="212"/>
      <c r="G95" s="105"/>
      <c r="H95" s="237"/>
      <c r="I95" s="152"/>
      <c r="J95" s="237"/>
      <c r="K95" s="152"/>
      <c r="L95" s="104"/>
      <c r="M95" s="105"/>
      <c r="N95" s="212"/>
      <c r="O95" s="152"/>
      <c r="P95" s="236" t="s">
        <v>14498</v>
      </c>
      <c r="Q95" s="240" t="s">
        <v>1606</v>
      </c>
      <c r="V95" s="242" t="str">
        <f t="shared" si="5"/>
        <v/>
      </c>
      <c r="W95" s="242"/>
      <c r="X95" s="242" t="s">
        <v>236</v>
      </c>
      <c r="Y95" s="242"/>
      <c r="Z95" s="242"/>
      <c r="AC95" s="259" t="s">
        <v>14362</v>
      </c>
    </row>
    <row r="96" spans="1:29" s="241" customFormat="1" x14ac:dyDescent="0.25">
      <c r="A96" s="235"/>
      <c r="B96" s="102"/>
      <c r="C96" s="99"/>
      <c r="D96" s="212"/>
      <c r="E96" s="105"/>
      <c r="F96" s="212"/>
      <c r="G96" s="105"/>
      <c r="H96" s="212"/>
      <c r="I96" s="152"/>
      <c r="J96" s="237"/>
      <c r="K96" s="152"/>
      <c r="L96" s="104"/>
      <c r="M96" s="105"/>
      <c r="N96" s="212"/>
      <c r="O96" s="152"/>
      <c r="P96" s="104" t="s">
        <v>15087</v>
      </c>
      <c r="Q96" s="105" t="s">
        <v>8045</v>
      </c>
      <c r="V96" s="242" t="str">
        <f>IF((RIGHT(P96,7)="ROBBING"),"ROBBING","")</f>
        <v>ROBBING</v>
      </c>
      <c r="W96" s="242"/>
      <c r="X96" s="242"/>
      <c r="Y96" s="242"/>
      <c r="Z96" s="242" t="s">
        <v>236</v>
      </c>
      <c r="AC96" s="259" t="s">
        <v>15343</v>
      </c>
    </row>
    <row r="97" spans="1:29" s="241" customFormat="1" x14ac:dyDescent="0.25">
      <c r="A97" s="235"/>
      <c r="B97" s="102"/>
      <c r="C97" s="99"/>
      <c r="D97" s="212"/>
      <c r="E97" s="105"/>
      <c r="F97" s="212"/>
      <c r="G97" s="105"/>
      <c r="H97" s="212"/>
      <c r="I97" s="152"/>
      <c r="J97" s="237"/>
      <c r="K97" s="152"/>
      <c r="L97" s="104"/>
      <c r="M97" s="105"/>
      <c r="N97" s="212"/>
      <c r="O97" s="152"/>
      <c r="P97" s="393"/>
      <c r="Q97" s="394"/>
      <c r="V97" s="242" t="str">
        <f t="shared" si="5"/>
        <v/>
      </c>
      <c r="W97" s="242"/>
      <c r="X97" s="242"/>
      <c r="Y97" s="242"/>
      <c r="Z97" s="242" t="s">
        <v>2707</v>
      </c>
      <c r="AC97" s="259"/>
    </row>
    <row r="98" spans="1:29" s="241" customFormat="1" x14ac:dyDescent="0.25">
      <c r="A98" s="235"/>
      <c r="B98" s="102"/>
      <c r="C98" s="99"/>
      <c r="D98" s="212"/>
      <c r="E98" s="105"/>
      <c r="F98" s="212"/>
      <c r="G98" s="105"/>
      <c r="H98" s="212"/>
      <c r="I98" s="152"/>
      <c r="J98" s="237"/>
      <c r="K98" s="152"/>
      <c r="L98" s="104"/>
      <c r="M98" s="105"/>
      <c r="N98" s="212"/>
      <c r="O98" s="152"/>
      <c r="P98" s="237"/>
      <c r="Q98" s="240"/>
      <c r="V98" s="242" t="str">
        <f t="shared" si="5"/>
        <v/>
      </c>
      <c r="W98" s="242"/>
      <c r="X98" s="242"/>
      <c r="Y98" s="242"/>
      <c r="Z98" s="242"/>
      <c r="AC98" s="259"/>
    </row>
    <row r="99" spans="1:29" s="241" customFormat="1" x14ac:dyDescent="0.25">
      <c r="A99" s="235"/>
      <c r="B99" s="102"/>
      <c r="C99" s="99"/>
      <c r="D99" s="212"/>
      <c r="E99" s="105"/>
      <c r="F99" s="212"/>
      <c r="G99" s="105"/>
      <c r="H99" s="212"/>
      <c r="I99" s="152"/>
      <c r="J99" s="237"/>
      <c r="K99" s="152"/>
      <c r="L99" s="104"/>
      <c r="M99" s="105"/>
      <c r="N99" s="212"/>
      <c r="O99" s="152"/>
      <c r="P99" s="237"/>
      <c r="Q99" s="240"/>
      <c r="V99" s="242" t="str">
        <f t="shared" si="5"/>
        <v/>
      </c>
      <c r="W99" s="242"/>
      <c r="X99" s="242"/>
      <c r="Y99" s="242"/>
      <c r="Z99" s="242"/>
      <c r="AC99" s="259"/>
    </row>
    <row r="100" spans="1:29" s="241" customFormat="1" x14ac:dyDescent="0.25">
      <c r="A100" s="235"/>
      <c r="B100" s="102"/>
      <c r="C100" s="99"/>
      <c r="D100" s="212"/>
      <c r="E100" s="105"/>
      <c r="G100" s="105"/>
      <c r="H100" s="212"/>
      <c r="I100" s="152"/>
      <c r="J100" s="237"/>
      <c r="K100" s="152"/>
      <c r="L100" s="104"/>
      <c r="M100" s="105"/>
      <c r="N100" s="212"/>
      <c r="O100" s="152"/>
      <c r="P100" s="393"/>
      <c r="Q100" s="394"/>
      <c r="V100" s="242" t="str">
        <f t="shared" si="5"/>
        <v/>
      </c>
      <c r="W100" s="242"/>
      <c r="X100" s="242"/>
      <c r="Y100" s="242"/>
      <c r="Z100" s="242"/>
      <c r="AC100" s="259"/>
    </row>
    <row r="101" spans="1:29" s="241" customFormat="1" x14ac:dyDescent="0.25">
      <c r="A101" s="235"/>
      <c r="B101" s="102"/>
      <c r="C101" s="99"/>
      <c r="D101" s="212"/>
      <c r="E101" s="105"/>
      <c r="F101" s="212"/>
      <c r="G101" s="105"/>
      <c r="H101" s="212"/>
      <c r="I101" s="152"/>
      <c r="J101" s="237"/>
      <c r="K101" s="152"/>
      <c r="L101" s="104"/>
      <c r="M101" s="105"/>
      <c r="N101" s="212"/>
      <c r="O101" s="152"/>
      <c r="P101" s="237"/>
      <c r="Q101" s="240"/>
      <c r="V101" s="242" t="str">
        <f t="shared" si="5"/>
        <v/>
      </c>
      <c r="W101" s="242"/>
      <c r="X101" s="242"/>
      <c r="Y101" s="242"/>
      <c r="Z101" s="242"/>
      <c r="AC101" s="259"/>
    </row>
    <row r="102" spans="1:29" s="241" customFormat="1" x14ac:dyDescent="0.25">
      <c r="A102" s="235"/>
      <c r="B102" s="102"/>
      <c r="C102" s="99"/>
      <c r="D102" s="212"/>
      <c r="E102" s="105"/>
      <c r="G102" s="105"/>
      <c r="H102" s="212"/>
      <c r="J102" s="237"/>
      <c r="K102" s="152"/>
      <c r="L102" s="104"/>
      <c r="M102" s="105"/>
      <c r="N102" s="212"/>
      <c r="O102" s="152"/>
      <c r="P102" s="237"/>
      <c r="Q102" s="240"/>
      <c r="V102" s="242" t="str">
        <f t="shared" si="5"/>
        <v/>
      </c>
      <c r="W102" s="242"/>
      <c r="X102" s="242"/>
      <c r="Y102" s="242"/>
      <c r="Z102" s="242"/>
      <c r="AC102" s="259"/>
    </row>
    <row r="103" spans="1:29" s="241" customFormat="1" x14ac:dyDescent="0.25">
      <c r="A103" s="235"/>
      <c r="B103" s="102"/>
      <c r="C103" s="99"/>
      <c r="D103" s="212"/>
      <c r="E103" s="105"/>
      <c r="F103" s="212"/>
      <c r="G103" s="105"/>
      <c r="H103" s="291"/>
      <c r="I103" s="152"/>
      <c r="J103" s="237"/>
      <c r="K103" s="152"/>
      <c r="L103" s="104"/>
      <c r="M103" s="105"/>
      <c r="N103" s="212"/>
      <c r="O103" s="152"/>
      <c r="P103" s="237"/>
      <c r="Q103" s="240"/>
      <c r="V103" s="242" t="str">
        <f t="shared" si="5"/>
        <v/>
      </c>
      <c r="W103" s="242"/>
      <c r="X103" s="242"/>
      <c r="Y103" s="242"/>
      <c r="Z103" s="242"/>
      <c r="AC103" s="259" t="str">
        <f>IFERROR(INDEX(LIST2!$F:$F,MATCH(P103,LIST2!J:J,0),1),"")</f>
        <v/>
      </c>
    </row>
    <row r="104" spans="1:29" x14ac:dyDescent="0.25">
      <c r="A104" s="98"/>
      <c r="B104" s="102"/>
      <c r="C104" s="99"/>
      <c r="D104" s="212"/>
      <c r="E104" s="105"/>
      <c r="F104" s="106"/>
      <c r="G104" s="105"/>
      <c r="H104" s="106"/>
      <c r="I104" s="107"/>
      <c r="J104" s="237"/>
      <c r="K104" s="107"/>
      <c r="L104" s="104"/>
      <c r="M104" s="105"/>
      <c r="N104" s="106"/>
      <c r="O104" s="107"/>
      <c r="P104" s="237"/>
      <c r="Q104" s="240"/>
      <c r="V104" s="101" t="str">
        <f t="shared" si="5"/>
        <v/>
      </c>
      <c r="W104" s="101"/>
      <c r="X104" s="101"/>
      <c r="Y104" s="101"/>
      <c r="Z104" s="101"/>
      <c r="AC104" s="259" t="str">
        <f>IFERROR(INDEX(LIST2!$F:$F,MATCH(P104,LIST2!J:J,0),1),"")</f>
        <v/>
      </c>
    </row>
    <row r="105" spans="1:29" x14ac:dyDescent="0.25">
      <c r="A105" s="98"/>
      <c r="B105" s="102"/>
      <c r="C105" s="99"/>
      <c r="D105" s="212"/>
      <c r="E105" s="105"/>
      <c r="F105" s="106"/>
      <c r="G105" s="105"/>
      <c r="H105" s="106"/>
      <c r="I105" s="107"/>
      <c r="J105" s="237"/>
      <c r="L105" s="104"/>
      <c r="M105" s="105"/>
      <c r="N105" s="106"/>
      <c r="O105" s="107"/>
      <c r="P105" s="237"/>
      <c r="Q105" s="240"/>
      <c r="V105" s="101" t="str">
        <f t="shared" si="5"/>
        <v/>
      </c>
      <c r="W105" s="101"/>
      <c r="X105" s="101"/>
      <c r="Y105" s="101"/>
      <c r="Z105" s="101"/>
      <c r="AC105" s="259" t="str">
        <f>IFERROR(INDEX(LIST2!$F:$F,MATCH(P105,LIST2!J:J,0),1),"")</f>
        <v/>
      </c>
    </row>
    <row r="106" spans="1:29" x14ac:dyDescent="0.25">
      <c r="A106" s="98"/>
      <c r="B106" s="102"/>
      <c r="C106" s="99"/>
      <c r="D106" s="212"/>
      <c r="E106" s="105"/>
      <c r="F106" s="106"/>
      <c r="G106" s="105"/>
      <c r="H106" s="106"/>
      <c r="I106" s="107" t="s">
        <v>47</v>
      </c>
      <c r="J106" s="237"/>
      <c r="K106" s="107"/>
      <c r="L106" s="104"/>
      <c r="M106" s="105"/>
      <c r="N106" s="106"/>
      <c r="O106" s="107"/>
      <c r="P106" s="237"/>
      <c r="Q106" s="240"/>
      <c r="V106" s="101" t="str">
        <f t="shared" si="5"/>
        <v/>
      </c>
      <c r="W106" s="101"/>
      <c r="X106" s="101"/>
      <c r="Y106" s="101"/>
      <c r="Z106" s="101"/>
      <c r="AC106" s="259" t="str">
        <f>IFERROR(INDEX(LIST2!$F:$F,MATCH(P106,LIST2!J:J,0),1),"")</f>
        <v/>
      </c>
    </row>
    <row r="107" spans="1:29" x14ac:dyDescent="0.25">
      <c r="A107" s="98"/>
      <c r="B107" s="102"/>
      <c r="C107" s="99"/>
      <c r="D107" s="212"/>
      <c r="E107" s="105"/>
      <c r="G107" s="105"/>
      <c r="H107" s="106"/>
      <c r="I107" s="107"/>
      <c r="J107" s="237"/>
      <c r="K107" s="107"/>
      <c r="L107" s="104"/>
      <c r="M107" s="105"/>
      <c r="N107" s="106"/>
      <c r="O107" s="107"/>
      <c r="P107" s="237"/>
      <c r="Q107" s="240"/>
      <c r="V107" s="101" t="str">
        <f t="shared" si="5"/>
        <v/>
      </c>
      <c r="W107" s="101"/>
      <c r="X107" s="101"/>
      <c r="Y107" s="101"/>
      <c r="Z107" s="101"/>
      <c r="AC107" s="259" t="str">
        <f>IFERROR(INDEX(LIST2!$F:$F,MATCH(P107,LIST2!J:J,0),1),"")</f>
        <v/>
      </c>
    </row>
    <row r="108" spans="1:29" x14ac:dyDescent="0.25">
      <c r="A108" s="98"/>
      <c r="B108" s="102"/>
      <c r="C108" s="99"/>
      <c r="D108" s="212"/>
      <c r="E108" s="105"/>
      <c r="F108" s="106"/>
      <c r="G108" s="105"/>
      <c r="H108" s="106"/>
      <c r="I108" s="107"/>
      <c r="J108" s="237"/>
      <c r="K108" s="107"/>
      <c r="L108" s="104"/>
      <c r="M108" s="105"/>
      <c r="N108" s="106"/>
      <c r="O108" s="107"/>
      <c r="P108" s="104"/>
      <c r="Q108" s="105"/>
      <c r="V108" s="101" t="str">
        <f t="shared" si="5"/>
        <v/>
      </c>
      <c r="W108" s="101"/>
      <c r="X108" s="101"/>
      <c r="Y108" s="101"/>
      <c r="Z108" s="101"/>
      <c r="AC108" s="259" t="str">
        <f>IFERROR(INDEX(LIST2!$F:$F,MATCH(P108,LIST2!J:J,0),1),"")</f>
        <v/>
      </c>
    </row>
    <row r="109" spans="1:29" x14ac:dyDescent="0.25">
      <c r="A109" s="98"/>
      <c r="B109" s="102"/>
      <c r="C109" s="99"/>
      <c r="D109" s="106"/>
      <c r="E109" s="105"/>
      <c r="F109" s="106"/>
      <c r="G109" s="105"/>
      <c r="H109" s="106"/>
      <c r="I109" s="107"/>
      <c r="J109" s="237"/>
      <c r="K109" s="107"/>
      <c r="L109" s="104"/>
      <c r="M109" s="105"/>
      <c r="N109" s="106"/>
      <c r="O109" s="107"/>
      <c r="P109" s="104"/>
      <c r="Q109" s="105"/>
      <c r="V109" s="101" t="str">
        <f t="shared" si="5"/>
        <v/>
      </c>
      <c r="W109" s="101"/>
      <c r="X109" s="101"/>
      <c r="Y109" s="101"/>
      <c r="Z109" s="101"/>
      <c r="AC109" s="259" t="str">
        <f>IFERROR(INDEX(LIST2!$F:$F,MATCH(P109,LIST2!J:J,0),1),"")</f>
        <v/>
      </c>
    </row>
    <row r="110" spans="1:29" x14ac:dyDescent="0.25">
      <c r="A110" s="89" t="s">
        <v>3</v>
      </c>
      <c r="B110" s="283">
        <f>COUNTA(B89:B109)</f>
        <v>3</v>
      </c>
      <c r="C110" s="93"/>
      <c r="D110" s="92">
        <f>COUNTA(D89:D109)</f>
        <v>3</v>
      </c>
      <c r="E110" s="91"/>
      <c r="F110" s="92">
        <f>COUNTA(F89:F109)</f>
        <v>0</v>
      </c>
      <c r="G110" s="91"/>
      <c r="H110" s="92">
        <f>COUNTA(H89:H109)</f>
        <v>1</v>
      </c>
      <c r="I110" s="94"/>
      <c r="J110" s="90">
        <f>COUNTA(J89:J109)</f>
        <v>0</v>
      </c>
      <c r="K110" s="94"/>
      <c r="L110" s="90">
        <f>COUNTA(L89:L109)</f>
        <v>2</v>
      </c>
      <c r="M110" s="91"/>
      <c r="N110" s="92">
        <f>COUNTA(N89:N109)</f>
        <v>1</v>
      </c>
      <c r="O110" s="94"/>
      <c r="P110" s="90">
        <f>COUNTA(P89:P109)</f>
        <v>8</v>
      </c>
      <c r="Q110" s="91"/>
      <c r="R110" s="96">
        <f>COUNTIF(V89:V109,"ROBBING")</f>
        <v>5</v>
      </c>
      <c r="S110" s="96">
        <f>'FINAL LIST WITH REMARKS'!Z1215</f>
        <v>290</v>
      </c>
      <c r="T110" s="96">
        <f>SUM(B110:Q110)</f>
        <v>18</v>
      </c>
      <c r="U110" s="96">
        <f>'For Explo'!J245</f>
        <v>19</v>
      </c>
      <c r="V110" s="97">
        <f>COUNTIF(V89:V109,"ROBBING")</f>
        <v>5</v>
      </c>
      <c r="W110" s="97">
        <f>COUNTA(W89:W109)</f>
        <v>4</v>
      </c>
      <c r="X110" s="97">
        <f>COUNTA(X89:X109)</f>
        <v>7</v>
      </c>
      <c r="Y110" s="97">
        <f>COUNTA(Y89:Y109)</f>
        <v>0</v>
      </c>
      <c r="Z110" s="97">
        <f>COUNTA(Z89:Z109)</f>
        <v>6</v>
      </c>
      <c r="AC110" s="259" t="str">
        <f>IFERROR(INDEX(LIST2!$F:$F,MATCH(P110,LIST2!J:J,0),1),"")</f>
        <v/>
      </c>
    </row>
    <row r="111" spans="1:29" s="241" customFormat="1" x14ac:dyDescent="0.25">
      <c r="A111" s="235" t="s">
        <v>65</v>
      </c>
      <c r="B111" s="397"/>
      <c r="C111" s="395"/>
      <c r="D111" s="103" t="s">
        <v>15229</v>
      </c>
      <c r="E111" s="105" t="s">
        <v>14450</v>
      </c>
      <c r="F111" s="392"/>
      <c r="G111" s="396"/>
      <c r="H111" s="103" t="s">
        <v>15328</v>
      </c>
      <c r="I111" s="107" t="s">
        <v>6216</v>
      </c>
      <c r="J111" s="182"/>
      <c r="K111" s="396"/>
      <c r="L111" s="104"/>
      <c r="M111" s="105"/>
      <c r="N111" s="106"/>
      <c r="O111" s="107"/>
      <c r="P111" s="220" t="s">
        <v>15105</v>
      </c>
      <c r="Q111" s="105" t="s">
        <v>6216</v>
      </c>
      <c r="V111" s="242" t="str">
        <f t="shared" ref="V111:V135" si="6">IF((RIGHT(P111,7)="ROBBING"),"ROBBING","")</f>
        <v/>
      </c>
      <c r="W111" s="242" t="s">
        <v>236</v>
      </c>
      <c r="X111" s="242" t="s">
        <v>236</v>
      </c>
      <c r="Y111" s="242"/>
      <c r="Z111" s="242"/>
      <c r="AC111" s="259" t="str">
        <f>IFERROR(INDEX(LIST2!$F:$F,MATCH(P111,LIST2!J:J,0),1),"")</f>
        <v>Dhoz 71</v>
      </c>
    </row>
    <row r="112" spans="1:29" s="241" customFormat="1" x14ac:dyDescent="0.25">
      <c r="A112" s="235"/>
      <c r="B112" s="102"/>
      <c r="C112" s="99"/>
      <c r="D112" s="392"/>
      <c r="E112" s="392"/>
      <c r="F112" s="106"/>
      <c r="G112" s="105"/>
      <c r="H112" s="106" t="s">
        <v>15096</v>
      </c>
      <c r="I112" s="107" t="s">
        <v>11</v>
      </c>
      <c r="J112" s="182"/>
      <c r="K112" s="396"/>
      <c r="L112" s="104"/>
      <c r="M112" s="105"/>
      <c r="N112" s="106"/>
      <c r="O112" s="107"/>
      <c r="P112" s="182" t="s">
        <v>9611</v>
      </c>
      <c r="Q112" s="396" t="s">
        <v>349</v>
      </c>
      <c r="V112" s="242" t="str">
        <f>IF((RIGHT(P112,7)="ROBBING"),"ROBBING","")</f>
        <v>ROBBING</v>
      </c>
      <c r="W112" s="242" t="s">
        <v>236</v>
      </c>
      <c r="X112" s="242" t="s">
        <v>236</v>
      </c>
      <c r="Y112" s="242"/>
      <c r="Z112" s="242"/>
      <c r="AC112" s="259" t="s">
        <v>13719</v>
      </c>
    </row>
    <row r="113" spans="1:29" s="241" customFormat="1" x14ac:dyDescent="0.25">
      <c r="A113" s="235"/>
      <c r="B113" s="102"/>
      <c r="C113" s="99"/>
      <c r="D113" s="392"/>
      <c r="E113" s="106"/>
      <c r="F113" s="106"/>
      <c r="G113" s="105"/>
      <c r="H113" s="392"/>
      <c r="I113" s="107"/>
      <c r="J113" s="104"/>
      <c r="K113" s="100"/>
      <c r="L113" s="104"/>
      <c r="M113" s="105"/>
      <c r="N113" s="106"/>
      <c r="O113" s="107"/>
      <c r="P113" s="220" t="s">
        <v>12432</v>
      </c>
      <c r="Q113" s="105" t="s">
        <v>14902</v>
      </c>
      <c r="V113" s="242" t="str">
        <f t="shared" si="6"/>
        <v>ROBBING</v>
      </c>
      <c r="W113" s="242" t="s">
        <v>236</v>
      </c>
      <c r="X113" s="242" t="s">
        <v>236</v>
      </c>
      <c r="Y113" s="242"/>
      <c r="Z113" s="242"/>
      <c r="AC113" s="259" t="s">
        <v>13719</v>
      </c>
    </row>
    <row r="114" spans="1:29" x14ac:dyDescent="0.25">
      <c r="A114" s="98"/>
      <c r="B114" s="102"/>
      <c r="C114" s="99"/>
      <c r="D114" s="106"/>
      <c r="E114" s="106"/>
      <c r="F114" s="106"/>
      <c r="G114" s="105"/>
      <c r="H114" s="106"/>
      <c r="I114" s="107"/>
      <c r="J114" s="104"/>
      <c r="K114" s="105"/>
      <c r="L114" s="104"/>
      <c r="M114" s="105"/>
      <c r="N114" s="106"/>
      <c r="O114" s="107"/>
      <c r="P114" s="220" t="s">
        <v>15304</v>
      </c>
      <c r="Q114" s="105" t="s">
        <v>6216</v>
      </c>
      <c r="V114" s="242" t="str">
        <f t="shared" si="6"/>
        <v>ROBBING</v>
      </c>
      <c r="W114" s="101" t="s">
        <v>236</v>
      </c>
      <c r="X114" s="101" t="s">
        <v>236</v>
      </c>
      <c r="Y114" s="101"/>
      <c r="Z114" s="101"/>
      <c r="AC114" s="259" t="s">
        <v>13719</v>
      </c>
    </row>
    <row r="115" spans="1:29" x14ac:dyDescent="0.25">
      <c r="A115" s="98"/>
      <c r="B115" s="102"/>
      <c r="C115" s="99"/>
      <c r="D115" s="106"/>
      <c r="E115" s="106"/>
      <c r="F115" s="106"/>
      <c r="G115" s="105"/>
      <c r="H115" s="106"/>
      <c r="I115" s="107"/>
      <c r="J115" s="104"/>
      <c r="K115" s="105"/>
      <c r="L115" s="104"/>
      <c r="M115" s="105"/>
      <c r="N115" s="106"/>
      <c r="O115" s="107"/>
      <c r="P115" s="103" t="s">
        <v>15250</v>
      </c>
      <c r="Q115" s="391" t="s">
        <v>6216</v>
      </c>
      <c r="V115" s="242" t="str">
        <f t="shared" si="6"/>
        <v>ROBBING</v>
      </c>
      <c r="W115" s="101" t="s">
        <v>236</v>
      </c>
      <c r="X115" s="101" t="s">
        <v>236</v>
      </c>
      <c r="Y115" s="101"/>
      <c r="Z115" s="101"/>
      <c r="AC115" s="259" t="str">
        <f>IFERROR(INDEX(LIST2!$F:$F,MATCH(P115,LIST2!J:J,0),1),"")</f>
        <v>RobS 79</v>
      </c>
    </row>
    <row r="116" spans="1:29" x14ac:dyDescent="0.25">
      <c r="A116" s="98"/>
      <c r="B116" s="102"/>
      <c r="C116" s="99"/>
      <c r="D116" s="106"/>
      <c r="E116" s="106"/>
      <c r="F116" s="106"/>
      <c r="G116" s="105"/>
      <c r="H116" s="106"/>
      <c r="I116" s="107"/>
      <c r="J116" s="104"/>
      <c r="K116" s="105"/>
      <c r="L116" s="104"/>
      <c r="M116" s="105"/>
      <c r="N116" s="106"/>
      <c r="O116" s="107"/>
      <c r="P116" s="104" t="s">
        <v>14369</v>
      </c>
      <c r="Q116" s="105" t="s">
        <v>6216</v>
      </c>
      <c r="V116" s="242" t="str">
        <f t="shared" si="6"/>
        <v>ROBBING</v>
      </c>
      <c r="W116" s="101" t="s">
        <v>236</v>
      </c>
      <c r="X116" s="101" t="s">
        <v>236</v>
      </c>
      <c r="Y116" s="101"/>
      <c r="Z116" s="101"/>
      <c r="AC116" s="259" t="s">
        <v>13719</v>
      </c>
    </row>
    <row r="117" spans="1:29" x14ac:dyDescent="0.25">
      <c r="A117" s="98"/>
      <c r="B117" s="102"/>
      <c r="C117" s="99"/>
      <c r="D117" s="106"/>
      <c r="E117" s="106"/>
      <c r="F117" s="106"/>
      <c r="G117" s="105"/>
      <c r="H117" s="106"/>
      <c r="I117" s="107"/>
      <c r="J117" s="104"/>
      <c r="K117" s="105"/>
      <c r="L117" s="104"/>
      <c r="M117" s="105"/>
      <c r="N117" s="106"/>
      <c r="O117" s="348"/>
      <c r="P117" s="220" t="s">
        <v>15266</v>
      </c>
      <c r="Q117" s="105" t="s">
        <v>1510</v>
      </c>
      <c r="V117" s="242" t="str">
        <f>IF((RIGHT(P117,7)="ROBBING"),"ROBBING","")</f>
        <v>ROBBING</v>
      </c>
      <c r="W117" s="101" t="s">
        <v>236</v>
      </c>
      <c r="X117" s="101" t="s">
        <v>236</v>
      </c>
      <c r="Y117" s="101"/>
      <c r="Z117" s="101"/>
      <c r="AC117" s="259" t="str">
        <f>IFERROR(INDEX(LIST2!$F:$F,MATCH(P117,LIST2!J:J,0),1),"")</f>
        <v>RobS 79</v>
      </c>
    </row>
    <row r="118" spans="1:29" x14ac:dyDescent="0.25">
      <c r="A118" s="98"/>
      <c r="B118" s="102"/>
      <c r="C118" s="99"/>
      <c r="D118" s="106"/>
      <c r="E118" s="106"/>
      <c r="F118" s="106"/>
      <c r="G118" s="105"/>
      <c r="H118" s="106"/>
      <c r="I118" s="107"/>
      <c r="J118" s="104"/>
      <c r="K118" s="105"/>
      <c r="L118" s="104"/>
      <c r="M118" s="105"/>
      <c r="N118" s="106"/>
      <c r="O118" s="107"/>
      <c r="P118" s="362" t="s">
        <v>11979</v>
      </c>
      <c r="Q118" s="396" t="s">
        <v>11</v>
      </c>
      <c r="V118" s="242" t="str">
        <f t="shared" si="6"/>
        <v>ROBBING</v>
      </c>
      <c r="W118" s="101"/>
      <c r="X118" s="101" t="s">
        <v>236</v>
      </c>
      <c r="Y118" s="101"/>
      <c r="Z118" s="101"/>
      <c r="AC118" s="259" t="s">
        <v>15343</v>
      </c>
    </row>
    <row r="119" spans="1:29" x14ac:dyDescent="0.25">
      <c r="A119" s="98"/>
      <c r="B119" s="102"/>
      <c r="C119" s="99"/>
      <c r="D119" s="106"/>
      <c r="E119" s="106"/>
      <c r="F119" s="106"/>
      <c r="G119" s="105"/>
      <c r="H119" s="106"/>
      <c r="I119" s="107"/>
      <c r="J119" s="104"/>
      <c r="K119" s="105"/>
      <c r="L119" s="104"/>
      <c r="M119" s="105"/>
      <c r="N119" s="106"/>
      <c r="O119" s="107"/>
      <c r="P119" s="104"/>
      <c r="Q119" s="105"/>
      <c r="V119" s="101" t="str">
        <f t="shared" si="6"/>
        <v/>
      </c>
      <c r="W119" s="101"/>
      <c r="X119" s="101"/>
      <c r="Y119" s="101"/>
      <c r="Z119" s="101"/>
      <c r="AC119" s="259" t="str">
        <f>IFERROR(INDEX(LIST2!$F:$F,MATCH(P119,LIST2!J:J,0),1),"")</f>
        <v/>
      </c>
    </row>
    <row r="120" spans="1:29" x14ac:dyDescent="0.25">
      <c r="A120" s="98"/>
      <c r="B120" s="102"/>
      <c r="C120" s="99"/>
      <c r="D120" s="106"/>
      <c r="E120" s="106"/>
      <c r="F120" s="106"/>
      <c r="G120" s="105" t="s">
        <v>40</v>
      </c>
      <c r="H120" s="106"/>
      <c r="I120" s="107"/>
      <c r="J120" s="104"/>
      <c r="K120" s="105"/>
      <c r="L120" s="104"/>
      <c r="M120" s="105"/>
      <c r="N120" s="106"/>
      <c r="O120" s="107"/>
      <c r="P120" s="104"/>
      <c r="Q120" s="105"/>
      <c r="V120" s="101" t="str">
        <f t="shared" si="6"/>
        <v/>
      </c>
      <c r="W120" s="101"/>
      <c r="X120" s="101"/>
      <c r="Y120" s="101"/>
      <c r="Z120" s="101"/>
      <c r="AC120" s="259" t="str">
        <f>IFERROR(INDEX(LIST2!$F:$F,MATCH(P120,LIST2!J:J,0),1),"")</f>
        <v/>
      </c>
    </row>
    <row r="121" spans="1:29" x14ac:dyDescent="0.25">
      <c r="A121" s="98"/>
      <c r="B121" s="102"/>
      <c r="C121" s="99"/>
      <c r="D121" s="106"/>
      <c r="E121" s="106"/>
      <c r="F121" s="106"/>
      <c r="G121" s="105"/>
      <c r="H121" s="106"/>
      <c r="I121" s="107"/>
      <c r="J121" s="104"/>
      <c r="K121" s="105"/>
      <c r="L121" s="104"/>
      <c r="M121" s="105"/>
      <c r="N121" s="106"/>
      <c r="O121" s="107"/>
      <c r="P121" s="104"/>
      <c r="Q121" s="105"/>
      <c r="V121" s="101" t="str">
        <f t="shared" si="6"/>
        <v/>
      </c>
      <c r="W121" s="101"/>
      <c r="X121" s="101"/>
      <c r="Y121" s="101"/>
      <c r="Z121" s="101"/>
      <c r="AC121" s="259" t="str">
        <f>IFERROR(INDEX(LIST2!$F:$F,MATCH(P121,LIST2!J:J,0),1),"")</f>
        <v/>
      </c>
    </row>
    <row r="122" spans="1:29" x14ac:dyDescent="0.25">
      <c r="A122" s="98"/>
      <c r="B122" s="102"/>
      <c r="C122" s="99"/>
      <c r="D122" s="106"/>
      <c r="E122" s="106"/>
      <c r="F122" s="106"/>
      <c r="G122" s="105"/>
      <c r="H122" s="106"/>
      <c r="I122" s="107"/>
      <c r="J122" s="104"/>
      <c r="K122" s="105"/>
      <c r="L122" s="104"/>
      <c r="M122" s="105"/>
      <c r="N122" s="106"/>
      <c r="O122" s="107"/>
      <c r="P122" s="104"/>
      <c r="Q122" s="105"/>
      <c r="V122" s="101" t="str">
        <f t="shared" si="6"/>
        <v/>
      </c>
      <c r="W122" s="101"/>
      <c r="X122" s="101"/>
      <c r="Y122" s="101"/>
      <c r="Z122" s="101"/>
      <c r="AC122" s="259" t="str">
        <f>IFERROR(INDEX(LIST2!$F:$F,MATCH(P122,LIST2!J:J,0),1),"")</f>
        <v/>
      </c>
    </row>
    <row r="123" spans="1:29" x14ac:dyDescent="0.25">
      <c r="A123" s="98"/>
      <c r="B123" s="102"/>
      <c r="C123" s="99"/>
      <c r="D123" s="106"/>
      <c r="E123" s="106"/>
      <c r="F123" s="106"/>
      <c r="G123" s="105"/>
      <c r="H123" s="106"/>
      <c r="I123" s="107"/>
      <c r="J123" s="104"/>
      <c r="K123" s="105"/>
      <c r="L123" s="104"/>
      <c r="M123" s="105"/>
      <c r="N123" s="106"/>
      <c r="O123" s="107"/>
      <c r="P123" s="104"/>
      <c r="Q123" s="105"/>
      <c r="V123" s="101" t="str">
        <f t="shared" si="6"/>
        <v/>
      </c>
      <c r="W123" s="101"/>
      <c r="X123" s="101"/>
      <c r="Y123" s="101"/>
      <c r="Z123" s="101"/>
      <c r="AC123" s="259" t="str">
        <f>IFERROR(INDEX(LIST2!$F:$F,MATCH(P123,LIST2!J:J,0),1),"")</f>
        <v/>
      </c>
    </row>
    <row r="124" spans="1:29" x14ac:dyDescent="0.25">
      <c r="A124" s="98"/>
      <c r="B124" s="102"/>
      <c r="C124" s="99"/>
      <c r="D124" s="106"/>
      <c r="E124" s="106"/>
      <c r="F124" s="106"/>
      <c r="G124" s="105"/>
      <c r="H124" s="106"/>
      <c r="I124" s="107"/>
      <c r="J124" s="104"/>
      <c r="K124" s="105"/>
      <c r="L124" s="104"/>
      <c r="M124" s="105"/>
      <c r="N124" s="106"/>
      <c r="O124" s="107"/>
      <c r="P124" s="104"/>
      <c r="Q124" s="105"/>
      <c r="V124" s="101" t="str">
        <f t="shared" si="6"/>
        <v/>
      </c>
      <c r="W124" s="101"/>
      <c r="X124" s="101"/>
      <c r="Y124" s="101"/>
      <c r="Z124" s="101"/>
      <c r="AC124" s="259" t="str">
        <f>IFERROR(INDEX(LIST2!$F:$F,MATCH(P124,LIST2!J:J,0),1),"")</f>
        <v/>
      </c>
    </row>
    <row r="125" spans="1:29" x14ac:dyDescent="0.25">
      <c r="A125" s="98"/>
      <c r="B125" s="102"/>
      <c r="C125" s="99"/>
      <c r="D125" s="106"/>
      <c r="E125" s="106"/>
      <c r="F125" s="106"/>
      <c r="G125" s="105"/>
      <c r="H125" s="106"/>
      <c r="I125" s="107"/>
      <c r="J125" s="104"/>
      <c r="K125" s="105"/>
      <c r="L125" s="104"/>
      <c r="M125" s="105"/>
      <c r="N125" s="106"/>
      <c r="O125" s="107"/>
      <c r="P125" s="104"/>
      <c r="Q125" s="105"/>
      <c r="V125" s="101" t="str">
        <f t="shared" si="6"/>
        <v/>
      </c>
      <c r="W125" s="101"/>
      <c r="X125" s="101"/>
      <c r="Y125" s="101"/>
      <c r="Z125" s="101"/>
      <c r="AC125" s="259" t="str">
        <f>IFERROR(INDEX(LIST2!$F:$F,MATCH(P125,LIST2!J:J,0),1),"")</f>
        <v/>
      </c>
    </row>
    <row r="126" spans="1:29" x14ac:dyDescent="0.25">
      <c r="A126" s="98"/>
      <c r="B126" s="102"/>
      <c r="C126" s="99"/>
      <c r="D126" s="106"/>
      <c r="E126" s="106"/>
      <c r="F126" s="106"/>
      <c r="G126" s="105"/>
      <c r="H126" s="106"/>
      <c r="I126" s="107"/>
      <c r="J126" s="104"/>
      <c r="K126" s="105"/>
      <c r="L126" s="104"/>
      <c r="M126" s="105"/>
      <c r="N126" s="106"/>
      <c r="O126" s="107"/>
      <c r="P126" s="104"/>
      <c r="Q126" s="105"/>
      <c r="V126" s="101" t="str">
        <f t="shared" si="6"/>
        <v/>
      </c>
      <c r="W126" s="101"/>
      <c r="X126" s="101"/>
      <c r="Y126" s="101"/>
      <c r="Z126" s="101"/>
      <c r="AC126" s="259" t="str">
        <f>IFERROR(INDEX(LIST2!$F:$F,MATCH(P126,LIST2!J:J,0),1),"")</f>
        <v/>
      </c>
    </row>
    <row r="127" spans="1:29" x14ac:dyDescent="0.25">
      <c r="A127" s="98"/>
      <c r="B127" s="102"/>
      <c r="C127" s="99"/>
      <c r="D127" s="106"/>
      <c r="E127" s="106"/>
      <c r="F127" s="106"/>
      <c r="G127" s="105"/>
      <c r="H127" s="106"/>
      <c r="I127" s="107"/>
      <c r="J127" s="104"/>
      <c r="K127" s="105"/>
      <c r="L127" s="104"/>
      <c r="M127" s="105"/>
      <c r="N127" s="106"/>
      <c r="O127" s="107"/>
      <c r="P127" s="104"/>
      <c r="Q127" s="105"/>
      <c r="V127" s="101" t="str">
        <f t="shared" si="6"/>
        <v/>
      </c>
      <c r="W127" s="101"/>
      <c r="X127" s="101"/>
      <c r="Y127" s="101"/>
      <c r="Z127" s="101"/>
      <c r="AC127" s="259" t="str">
        <f>IFERROR(INDEX(LIST2!$F:$F,MATCH(P127,LIST2!J:J,0),1),"")</f>
        <v/>
      </c>
    </row>
    <row r="128" spans="1:29" x14ac:dyDescent="0.25">
      <c r="A128" s="98"/>
      <c r="B128" s="102"/>
      <c r="C128" s="99"/>
      <c r="D128" s="106"/>
      <c r="E128" s="106"/>
      <c r="F128" s="106"/>
      <c r="G128" s="105"/>
      <c r="I128" s="107"/>
      <c r="J128" s="104"/>
      <c r="K128" s="105"/>
      <c r="L128" s="104"/>
      <c r="M128" s="105"/>
      <c r="N128" s="106"/>
      <c r="O128" s="107"/>
      <c r="P128" s="104"/>
      <c r="Q128" s="105"/>
      <c r="V128" s="101" t="str">
        <f t="shared" si="6"/>
        <v/>
      </c>
      <c r="W128" s="101"/>
      <c r="X128" s="101"/>
      <c r="Y128" s="101"/>
      <c r="Z128" s="101"/>
      <c r="AC128" s="259" t="str">
        <f>IFERROR(INDEX(LIST2!$F:$F,MATCH(P128,LIST2!J:J,0),1),"")</f>
        <v/>
      </c>
    </row>
    <row r="129" spans="1:29" x14ac:dyDescent="0.25">
      <c r="A129" s="98"/>
      <c r="B129" s="102"/>
      <c r="C129" s="99"/>
      <c r="D129" s="106"/>
      <c r="E129" s="106"/>
      <c r="F129" s="106"/>
      <c r="G129" s="105"/>
      <c r="H129" s="106"/>
      <c r="I129" s="107"/>
      <c r="J129" s="104"/>
      <c r="K129" s="105"/>
      <c r="L129" s="104"/>
      <c r="M129" s="105"/>
      <c r="N129" s="106"/>
      <c r="O129" s="107"/>
      <c r="P129" s="104"/>
      <c r="Q129" s="105"/>
      <c r="V129" s="101" t="str">
        <f t="shared" si="6"/>
        <v/>
      </c>
      <c r="W129" s="101"/>
      <c r="X129" s="101"/>
      <c r="Y129" s="101"/>
      <c r="Z129" s="101"/>
      <c r="AC129" s="259" t="str">
        <f>IFERROR(INDEX(LIST2!$F:$F,MATCH(P129,LIST2!J:J,0),1),"")</f>
        <v/>
      </c>
    </row>
    <row r="130" spans="1:29" x14ac:dyDescent="0.25">
      <c r="A130" s="98"/>
      <c r="B130" s="102"/>
      <c r="C130" s="99"/>
      <c r="D130" s="106"/>
      <c r="E130" s="106"/>
      <c r="F130" s="106"/>
      <c r="G130" s="105"/>
      <c r="I130" s="107"/>
      <c r="J130" s="104"/>
      <c r="L130" s="104"/>
      <c r="M130" s="105"/>
      <c r="N130" s="106"/>
      <c r="O130" s="107"/>
      <c r="P130" s="104"/>
      <c r="Q130" s="105"/>
      <c r="V130" s="101" t="str">
        <f t="shared" si="6"/>
        <v/>
      </c>
      <c r="W130" s="101"/>
      <c r="X130" s="101"/>
      <c r="Y130" s="101"/>
      <c r="Z130" s="101"/>
      <c r="AC130" s="259" t="str">
        <f>IFERROR(INDEX(LIST2!$F:$F,MATCH(P130,LIST2!J:J,0),1),"")</f>
        <v/>
      </c>
    </row>
    <row r="131" spans="1:29" x14ac:dyDescent="0.25">
      <c r="A131" s="98"/>
      <c r="B131" s="102"/>
      <c r="C131" s="99"/>
      <c r="D131" s="106"/>
      <c r="E131" s="106"/>
      <c r="F131" s="106"/>
      <c r="G131" s="105"/>
      <c r="H131" s="106"/>
      <c r="I131" s="107"/>
      <c r="J131" s="104"/>
      <c r="K131" s="107"/>
      <c r="L131" s="104"/>
      <c r="M131" s="105"/>
      <c r="N131" s="106"/>
      <c r="O131" s="107"/>
      <c r="P131" s="104"/>
      <c r="Q131" s="105"/>
      <c r="V131" s="101" t="str">
        <f t="shared" si="6"/>
        <v/>
      </c>
      <c r="W131" s="101"/>
      <c r="X131" s="101"/>
      <c r="Y131" s="101"/>
      <c r="Z131" s="101"/>
      <c r="AC131" s="259" t="str">
        <f>IFERROR(INDEX(LIST2!$F:$F,MATCH(P131,LIST2!J:J,0),1),"")</f>
        <v/>
      </c>
    </row>
    <row r="132" spans="1:29" x14ac:dyDescent="0.25">
      <c r="A132" s="98"/>
      <c r="B132" s="102"/>
      <c r="C132" s="99"/>
      <c r="D132" s="106"/>
      <c r="E132" s="106"/>
      <c r="F132" s="106"/>
      <c r="G132" s="105"/>
      <c r="H132" s="106"/>
      <c r="I132" s="107"/>
      <c r="J132" s="213"/>
      <c r="K132" s="107"/>
      <c r="L132" s="104"/>
      <c r="M132" s="105"/>
      <c r="N132" s="106"/>
      <c r="O132" s="107"/>
      <c r="P132" s="104"/>
      <c r="Q132" s="105"/>
      <c r="V132" s="101" t="str">
        <f t="shared" si="6"/>
        <v/>
      </c>
      <c r="W132" s="101"/>
      <c r="X132" s="101"/>
      <c r="Y132" s="101"/>
      <c r="Z132" s="101"/>
      <c r="AC132" s="259" t="str">
        <f>IFERROR(INDEX(LIST2!$F:$F,MATCH(P132,LIST2!J:J,0),1),"")</f>
        <v/>
      </c>
    </row>
    <row r="133" spans="1:29" x14ac:dyDescent="0.25">
      <c r="A133" s="98"/>
      <c r="B133" s="102"/>
      <c r="C133" s="99"/>
      <c r="D133" s="106"/>
      <c r="E133" s="106"/>
      <c r="F133" s="106"/>
      <c r="G133" s="105"/>
      <c r="H133" s="106"/>
      <c r="I133" s="107"/>
      <c r="J133" s="104"/>
      <c r="K133" s="107"/>
      <c r="L133" s="104"/>
      <c r="M133" s="105"/>
      <c r="N133" s="106"/>
      <c r="O133" s="107"/>
      <c r="P133" s="104"/>
      <c r="Q133" s="105"/>
      <c r="V133" s="101" t="str">
        <f t="shared" si="6"/>
        <v/>
      </c>
      <c r="W133" s="101"/>
      <c r="X133" s="101"/>
      <c r="Y133" s="101"/>
      <c r="Z133" s="101"/>
      <c r="AC133" s="259" t="str">
        <f>IFERROR(INDEX(LIST2!$F:$F,MATCH(P133,LIST2!J:J,0),1),"")</f>
        <v/>
      </c>
    </row>
    <row r="134" spans="1:29" x14ac:dyDescent="0.25">
      <c r="A134" s="98"/>
      <c r="B134" s="102"/>
      <c r="C134" s="99"/>
      <c r="D134" s="106"/>
      <c r="E134" s="106"/>
      <c r="F134" s="106"/>
      <c r="G134" s="105"/>
      <c r="H134" s="106"/>
      <c r="I134" s="107"/>
      <c r="J134" s="104"/>
      <c r="K134" s="107"/>
      <c r="L134" s="104"/>
      <c r="M134" s="105"/>
      <c r="N134" s="106"/>
      <c r="O134" s="107"/>
      <c r="P134" s="104"/>
      <c r="Q134" s="105"/>
      <c r="V134" s="101" t="str">
        <f t="shared" si="6"/>
        <v/>
      </c>
      <c r="W134" s="101"/>
      <c r="X134" s="101"/>
      <c r="Y134" s="101"/>
      <c r="Z134" s="101"/>
      <c r="AC134" s="259" t="str">
        <f>IFERROR(INDEX(LIST2!$F:$F,MATCH(P134,LIST2!J:J,0),1),"")</f>
        <v/>
      </c>
    </row>
    <row r="135" spans="1:29" x14ac:dyDescent="0.25">
      <c r="A135" s="98"/>
      <c r="B135" s="102"/>
      <c r="C135" s="99"/>
      <c r="D135" s="106"/>
      <c r="E135" s="106"/>
      <c r="F135" s="106"/>
      <c r="G135" s="105"/>
      <c r="H135" s="106"/>
      <c r="I135" s="107"/>
      <c r="J135" s="104"/>
      <c r="K135" s="107"/>
      <c r="L135" s="104"/>
      <c r="M135" s="105"/>
      <c r="N135" s="106"/>
      <c r="O135" s="107"/>
      <c r="P135" s="104"/>
      <c r="Q135" s="105"/>
      <c r="V135" s="101" t="str">
        <f t="shared" si="6"/>
        <v/>
      </c>
      <c r="W135" s="101"/>
      <c r="X135" s="101"/>
      <c r="Y135" s="101"/>
      <c r="Z135" s="101"/>
      <c r="AC135" s="259" t="str">
        <f>IFERROR(INDEX(LIST2!$F:$F,MATCH(P135,LIST2!J:J,0),1),"")</f>
        <v/>
      </c>
    </row>
    <row r="136" spans="1:29" x14ac:dyDescent="0.25">
      <c r="A136" s="89" t="s">
        <v>3</v>
      </c>
      <c r="B136" s="95">
        <f>COUNTA(B111:B135)</f>
        <v>0</v>
      </c>
      <c r="C136" s="93"/>
      <c r="D136" s="92">
        <f>COUNTA(D111:D135)</f>
        <v>1</v>
      </c>
      <c r="E136" s="91"/>
      <c r="F136" s="92">
        <f>COUNTA(F111:F135)</f>
        <v>0</v>
      </c>
      <c r="G136" s="91"/>
      <c r="H136" s="92">
        <f>COUNTA(H111:H135)</f>
        <v>2</v>
      </c>
      <c r="I136" s="94"/>
      <c r="J136" s="90">
        <f>COUNTA(J111:J135)</f>
        <v>0</v>
      </c>
      <c r="K136" s="94"/>
      <c r="L136" s="90">
        <f>COUNTA(L111:L135)</f>
        <v>0</v>
      </c>
      <c r="M136" s="91"/>
      <c r="N136" s="92">
        <f>COUNTA(N111:N135)</f>
        <v>0</v>
      </c>
      <c r="O136" s="248"/>
      <c r="P136" s="90">
        <f>COUNTA(P111:P135)</f>
        <v>8</v>
      </c>
      <c r="Q136" s="91"/>
      <c r="R136" s="96">
        <f>COUNTIF(V111:V135,"ROBBING")</f>
        <v>7</v>
      </c>
      <c r="S136" s="96">
        <f>'FINAL LIST WITH REMARKS'!Z1608</f>
        <v>244</v>
      </c>
      <c r="T136" s="96">
        <f>SUM(B136:Q136)</f>
        <v>11</v>
      </c>
      <c r="U136" s="96">
        <f>'For Explo'!J292</f>
        <v>11</v>
      </c>
      <c r="V136" s="97">
        <f>COUNTIF(V111:V135,"ROBBING")</f>
        <v>7</v>
      </c>
      <c r="W136" s="97">
        <f>COUNTA(W111:W135)</f>
        <v>7</v>
      </c>
      <c r="X136" s="97">
        <f>COUNTA(X111:X135)</f>
        <v>8</v>
      </c>
      <c r="Y136" s="97">
        <f>COUNTA(Y111:Y135)</f>
        <v>0</v>
      </c>
      <c r="Z136" s="97">
        <f>COUNTA(Z111:Z135)</f>
        <v>0</v>
      </c>
      <c r="AC136" s="259" t="str">
        <f>IFERROR(INDEX(LIST2!$F:$F,MATCH(P136,LIST2!J:J,0),1),"")</f>
        <v/>
      </c>
    </row>
    <row r="137" spans="1:29" x14ac:dyDescent="0.25">
      <c r="A137" s="235" t="s">
        <v>257</v>
      </c>
      <c r="B137" s="408"/>
      <c r="C137" s="409"/>
      <c r="D137" s="238" t="s">
        <v>15085</v>
      </c>
      <c r="E137" s="239" t="s">
        <v>5702</v>
      </c>
      <c r="F137" s="106"/>
      <c r="G137" s="105"/>
      <c r="H137" s="392" t="s">
        <v>656</v>
      </c>
      <c r="I137" s="391" t="s">
        <v>14949</v>
      </c>
      <c r="J137" s="393"/>
      <c r="K137" s="398"/>
      <c r="L137" s="104"/>
      <c r="M137" s="105"/>
      <c r="N137" s="392" t="s">
        <v>13168</v>
      </c>
      <c r="O137" s="391" t="s">
        <v>1510</v>
      </c>
      <c r="P137" s="236" t="s">
        <v>15257</v>
      </c>
      <c r="Q137" s="394" t="s">
        <v>12888</v>
      </c>
      <c r="V137" s="101" t="str">
        <f t="shared" ref="V137:V144" si="7">IF((RIGHT(P137,7)="ROBBING"),"ROBBING","")</f>
        <v/>
      </c>
      <c r="W137" s="101" t="s">
        <v>236</v>
      </c>
      <c r="X137" s="101" t="s">
        <v>236</v>
      </c>
      <c r="Y137" s="101" t="s">
        <v>236</v>
      </c>
      <c r="Z137" s="101" t="s">
        <v>236</v>
      </c>
      <c r="AC137" s="259" t="s">
        <v>12992</v>
      </c>
    </row>
    <row r="138" spans="1:29" x14ac:dyDescent="0.25">
      <c r="A138" s="235"/>
      <c r="B138" s="238"/>
      <c r="C138" s="239"/>
      <c r="D138" s="400" t="s">
        <v>15135</v>
      </c>
      <c r="E138" s="239" t="s">
        <v>5701</v>
      </c>
      <c r="F138" s="106"/>
      <c r="G138" s="105"/>
      <c r="H138" s="106"/>
      <c r="I138" s="107"/>
      <c r="J138" s="237"/>
      <c r="K138" s="152"/>
      <c r="L138" s="104"/>
      <c r="M138" s="105"/>
      <c r="N138" s="106"/>
      <c r="O138" s="107"/>
      <c r="P138" s="236" t="s">
        <v>12814</v>
      </c>
      <c r="Q138" s="394" t="s">
        <v>6216</v>
      </c>
      <c r="V138" s="101" t="str">
        <f t="shared" si="7"/>
        <v>ROBBING</v>
      </c>
      <c r="W138" s="101" t="s">
        <v>236</v>
      </c>
      <c r="X138" s="101" t="s">
        <v>236</v>
      </c>
      <c r="Y138" s="101"/>
      <c r="Z138" s="101" t="s">
        <v>236</v>
      </c>
      <c r="AC138" s="259" t="s">
        <v>13719</v>
      </c>
    </row>
    <row r="139" spans="1:29" x14ac:dyDescent="0.25">
      <c r="A139" s="235"/>
      <c r="B139" s="238"/>
      <c r="C139" s="239"/>
      <c r="D139" s="403" t="s">
        <v>15408</v>
      </c>
      <c r="E139" s="105" t="s">
        <v>5701</v>
      </c>
      <c r="F139" s="106"/>
      <c r="G139" s="105"/>
      <c r="H139" s="106"/>
      <c r="I139" s="107"/>
      <c r="J139" s="237"/>
      <c r="K139" s="152"/>
      <c r="L139" s="104"/>
      <c r="M139" s="105"/>
      <c r="N139" s="212"/>
      <c r="O139" s="152"/>
      <c r="P139" s="237"/>
      <c r="Q139" s="240"/>
      <c r="V139" s="101" t="str">
        <f t="shared" si="7"/>
        <v/>
      </c>
      <c r="W139" s="101" t="s">
        <v>236</v>
      </c>
      <c r="X139" s="101" t="s">
        <v>236</v>
      </c>
      <c r="Y139" s="101"/>
      <c r="Z139" s="101" t="s">
        <v>236</v>
      </c>
      <c r="AC139" s="259"/>
    </row>
    <row r="140" spans="1:29" x14ac:dyDescent="0.25">
      <c r="A140" s="235"/>
      <c r="B140" s="238"/>
      <c r="C140" s="239"/>
      <c r="D140" s="212"/>
      <c r="E140" s="105"/>
      <c r="F140" s="106"/>
      <c r="G140" s="105"/>
      <c r="H140" s="106"/>
      <c r="I140" s="107"/>
      <c r="J140" s="237"/>
      <c r="K140" s="152"/>
      <c r="L140" s="104"/>
      <c r="M140" s="105"/>
      <c r="N140" s="212"/>
      <c r="O140" s="152"/>
      <c r="P140" s="237"/>
      <c r="Q140" s="240"/>
      <c r="V140" s="101" t="str">
        <f t="shared" si="7"/>
        <v/>
      </c>
      <c r="W140" s="101" t="s">
        <v>236</v>
      </c>
      <c r="X140" s="101" t="s">
        <v>236</v>
      </c>
      <c r="Y140" s="101"/>
      <c r="Z140" s="101" t="s">
        <v>236</v>
      </c>
      <c r="AC140" s="259" t="str">
        <f>IFERROR(INDEX(LIST2!$F:$F,MATCH(P140,LIST2!J:J,0),1),"")</f>
        <v/>
      </c>
    </row>
    <row r="141" spans="1:29" x14ac:dyDescent="0.25">
      <c r="A141" s="235"/>
      <c r="B141" s="238"/>
      <c r="C141" s="239"/>
      <c r="D141" s="212"/>
      <c r="E141" s="105"/>
      <c r="F141" s="106"/>
      <c r="G141" s="105"/>
      <c r="H141" s="106"/>
      <c r="I141" s="107"/>
      <c r="J141" s="237"/>
      <c r="K141" s="152"/>
      <c r="L141" s="104"/>
      <c r="M141" s="105"/>
      <c r="N141" s="212"/>
      <c r="O141" s="152"/>
      <c r="P141" s="237"/>
      <c r="Q141" s="240"/>
      <c r="V141" s="101" t="str">
        <f t="shared" si="7"/>
        <v/>
      </c>
      <c r="W141" s="101" t="s">
        <v>236</v>
      </c>
      <c r="X141" s="101" t="s">
        <v>236</v>
      </c>
      <c r="Y141" s="101"/>
      <c r="Z141" s="101" t="s">
        <v>236</v>
      </c>
      <c r="AC141" s="259" t="str">
        <f>IFERROR(INDEX(LIST2!$F:$F,MATCH(P141,LIST2!J:J,0),1),"")</f>
        <v/>
      </c>
    </row>
    <row r="142" spans="1:29" x14ac:dyDescent="0.25">
      <c r="A142" s="235"/>
      <c r="B142" s="238"/>
      <c r="C142" s="239"/>
      <c r="D142" s="212"/>
      <c r="E142" s="105"/>
      <c r="F142" s="106"/>
      <c r="G142" s="105"/>
      <c r="H142" s="106"/>
      <c r="I142" s="107"/>
      <c r="J142" s="237"/>
      <c r="K142" s="152"/>
      <c r="L142" s="104"/>
      <c r="M142" s="105"/>
      <c r="N142" s="212"/>
      <c r="O142" s="152"/>
      <c r="P142" s="237"/>
      <c r="Q142" s="240"/>
      <c r="V142" s="101" t="str">
        <f t="shared" si="7"/>
        <v/>
      </c>
      <c r="W142" s="101" t="s">
        <v>236</v>
      </c>
      <c r="X142" s="101"/>
      <c r="Y142" s="101"/>
      <c r="Z142" s="101"/>
      <c r="AC142" s="259" t="str">
        <f>IFERROR(INDEX(LIST2!$F:$F,MATCH(P142,LIST2!J:J,0),1),"")</f>
        <v/>
      </c>
    </row>
    <row r="143" spans="1:29" x14ac:dyDescent="0.25">
      <c r="A143" s="235"/>
      <c r="B143" s="238"/>
      <c r="C143" s="239"/>
      <c r="D143" s="212"/>
      <c r="E143" s="105"/>
      <c r="F143" s="106"/>
      <c r="G143" s="105"/>
      <c r="H143" s="106"/>
      <c r="I143" s="107"/>
      <c r="J143" s="237"/>
      <c r="K143" s="152"/>
      <c r="L143" s="104"/>
      <c r="M143" s="105"/>
      <c r="N143" s="212"/>
      <c r="O143" s="152" t="s">
        <v>12839</v>
      </c>
      <c r="P143" s="237"/>
      <c r="Q143" s="240"/>
      <c r="V143" s="101" t="str">
        <f t="shared" si="7"/>
        <v/>
      </c>
      <c r="W143" s="101" t="s">
        <v>236</v>
      </c>
      <c r="X143" s="101"/>
      <c r="Y143" s="101"/>
      <c r="Z143" s="101"/>
      <c r="AC143" s="259" t="str">
        <f>IFERROR(INDEX(LIST2!$F:$F,MATCH(P143,LIST2!J:J,0),1),"")</f>
        <v/>
      </c>
    </row>
    <row r="144" spans="1:29" x14ac:dyDescent="0.25">
      <c r="A144" s="235"/>
      <c r="B144" s="238"/>
      <c r="C144" s="239"/>
      <c r="D144" s="212"/>
      <c r="E144" s="105"/>
      <c r="F144" s="212"/>
      <c r="G144" s="240"/>
      <c r="H144" s="106"/>
      <c r="I144" s="107"/>
      <c r="J144" s="237"/>
      <c r="K144" s="152"/>
      <c r="L144" s="104"/>
      <c r="M144" s="105"/>
      <c r="N144" s="212"/>
      <c r="O144" s="152"/>
      <c r="P144" s="237"/>
      <c r="Q144" s="240"/>
      <c r="V144" s="101" t="str">
        <f t="shared" si="7"/>
        <v/>
      </c>
      <c r="W144" s="101" t="s">
        <v>236</v>
      </c>
      <c r="X144" s="101"/>
      <c r="Y144" s="101"/>
      <c r="Z144" s="101"/>
      <c r="AC144" s="259" t="str">
        <f>IFERROR(INDEX(LIST2!$F:$F,MATCH(P144,LIST2!J:J,0),1),"")</f>
        <v/>
      </c>
    </row>
    <row r="145" spans="1:29" x14ac:dyDescent="0.25">
      <c r="A145" s="235"/>
      <c r="B145" s="238"/>
      <c r="C145" s="239"/>
      <c r="D145" s="212"/>
      <c r="E145" s="105"/>
      <c r="F145" s="212"/>
      <c r="G145" s="240"/>
      <c r="H145" s="106"/>
      <c r="I145" s="107"/>
      <c r="J145" s="237"/>
      <c r="K145" s="152"/>
      <c r="L145" s="104"/>
      <c r="M145" s="105"/>
      <c r="N145" s="212"/>
      <c r="O145" s="152"/>
      <c r="P145" s="237"/>
      <c r="Q145" s="240"/>
      <c r="V145" s="101" t="str">
        <f t="shared" ref="V145:V157" si="8">IF((RIGHT(P145,7)="ROBBING"),"ROBBING","")</f>
        <v/>
      </c>
      <c r="W145" s="101"/>
      <c r="X145" s="101"/>
      <c r="Y145" s="101"/>
      <c r="Z145" s="101"/>
      <c r="AC145" s="259" t="str">
        <f>IFERROR(INDEX(LIST2!$F:$F,MATCH(P145,LIST2!J:J,0),1),"")</f>
        <v/>
      </c>
    </row>
    <row r="146" spans="1:29" x14ac:dyDescent="0.25">
      <c r="A146" s="235"/>
      <c r="B146" s="238"/>
      <c r="C146" s="239"/>
      <c r="D146" s="212"/>
      <c r="E146" s="105"/>
      <c r="F146" s="212"/>
      <c r="G146" s="240"/>
      <c r="H146" s="106"/>
      <c r="I146" s="107"/>
      <c r="J146" s="237"/>
      <c r="K146" s="152"/>
      <c r="L146" s="104"/>
      <c r="M146" s="105"/>
      <c r="N146" s="212"/>
      <c r="O146" s="152"/>
      <c r="P146" s="237"/>
      <c r="Q146" s="240"/>
      <c r="V146" s="101" t="str">
        <f t="shared" si="8"/>
        <v/>
      </c>
      <c r="W146" s="101"/>
      <c r="X146" s="101"/>
      <c r="Y146" s="101"/>
      <c r="Z146" s="101"/>
      <c r="AC146" s="259" t="str">
        <f>IFERROR(INDEX(LIST2!$F:$F,MATCH(P146,LIST2!J:J,0),1),"")</f>
        <v/>
      </c>
    </row>
    <row r="147" spans="1:29" ht="13.5" customHeight="1" x14ac:dyDescent="0.25">
      <c r="A147" s="235"/>
      <c r="B147" s="238"/>
      <c r="C147" s="239"/>
      <c r="E147" s="105"/>
      <c r="F147" s="212"/>
      <c r="G147" s="240"/>
      <c r="H147" s="106"/>
      <c r="I147" s="107"/>
      <c r="J147" s="237"/>
      <c r="K147" s="152"/>
      <c r="L147" s="104"/>
      <c r="M147" s="105"/>
      <c r="N147" s="212"/>
      <c r="O147" s="152"/>
      <c r="P147" s="237"/>
      <c r="Q147" s="240"/>
      <c r="V147" s="101" t="str">
        <f t="shared" si="8"/>
        <v/>
      </c>
      <c r="W147" s="101"/>
      <c r="X147" s="101"/>
      <c r="Y147" s="101"/>
      <c r="Z147" s="101"/>
      <c r="AC147" s="259" t="str">
        <f>IFERROR(INDEX(LIST2!$F:$F,MATCH(P147,LIST2!J:J,0),1),"")</f>
        <v/>
      </c>
    </row>
    <row r="148" spans="1:29" x14ac:dyDescent="0.25">
      <c r="A148" s="235"/>
      <c r="B148" s="238"/>
      <c r="C148" s="239"/>
      <c r="E148" s="105"/>
      <c r="G148" s="240"/>
      <c r="H148" s="106"/>
      <c r="I148" s="107"/>
      <c r="J148" s="237"/>
      <c r="K148" s="152"/>
      <c r="L148" s="104"/>
      <c r="M148" s="105"/>
      <c r="N148" s="212"/>
      <c r="O148" s="152"/>
      <c r="P148" s="237"/>
      <c r="Q148" s="240"/>
      <c r="V148" s="101" t="str">
        <f t="shared" si="8"/>
        <v/>
      </c>
      <c r="W148" s="101"/>
      <c r="X148" s="101"/>
      <c r="Y148" s="101"/>
      <c r="Z148" s="101"/>
      <c r="AC148" s="259" t="str">
        <f>IFERROR(INDEX(LIST2!$F:$F,MATCH(P148,LIST2!J:J,0),1),"")</f>
        <v/>
      </c>
    </row>
    <row r="149" spans="1:29" x14ac:dyDescent="0.25">
      <c r="A149" s="235"/>
      <c r="B149" s="238"/>
      <c r="C149" s="239"/>
      <c r="D149" s="106"/>
      <c r="E149" s="240"/>
      <c r="F149" s="212"/>
      <c r="G149" s="240"/>
      <c r="H149" s="106"/>
      <c r="I149" s="107"/>
      <c r="J149" s="237"/>
      <c r="K149" s="152"/>
      <c r="L149" s="104"/>
      <c r="M149" s="105"/>
      <c r="N149" s="212"/>
      <c r="O149" s="152"/>
      <c r="P149" s="237"/>
      <c r="Q149" s="240"/>
      <c r="V149" s="101" t="str">
        <f t="shared" si="8"/>
        <v/>
      </c>
      <c r="W149" s="101"/>
      <c r="X149" s="101"/>
      <c r="Y149" s="101"/>
      <c r="Z149" s="101"/>
      <c r="AC149" s="259" t="str">
        <f>IFERROR(INDEX(LIST2!$F:$F,MATCH(P149,LIST2!J:J,0),1),"")</f>
        <v/>
      </c>
    </row>
    <row r="150" spans="1:29" x14ac:dyDescent="0.25">
      <c r="A150" s="241"/>
      <c r="B150" s="238"/>
      <c r="C150" s="239"/>
      <c r="D150" s="212"/>
      <c r="E150" s="240"/>
      <c r="F150" s="212"/>
      <c r="G150" s="240"/>
      <c r="H150" s="106"/>
      <c r="I150" s="107"/>
      <c r="J150" s="237"/>
      <c r="K150" s="152"/>
      <c r="L150" s="104"/>
      <c r="M150" s="105"/>
      <c r="N150" s="212"/>
      <c r="O150" s="152"/>
      <c r="P150" s="237"/>
      <c r="Q150" s="240"/>
      <c r="V150" s="101" t="str">
        <f t="shared" si="8"/>
        <v/>
      </c>
      <c r="W150" s="101"/>
      <c r="X150" s="101"/>
      <c r="Y150" s="101"/>
      <c r="Z150" s="101"/>
      <c r="AC150" s="259" t="str">
        <f>IFERROR(INDEX(LIST2!$F:$F,MATCH(P150,LIST2!J:J,0),1),"")</f>
        <v/>
      </c>
    </row>
    <row r="151" spans="1:29" x14ac:dyDescent="0.25">
      <c r="A151" s="235"/>
      <c r="B151" s="238"/>
      <c r="C151" s="239"/>
      <c r="D151" s="212"/>
      <c r="E151" s="240"/>
      <c r="F151" s="212"/>
      <c r="G151" s="240"/>
      <c r="H151" s="106"/>
      <c r="I151" s="107"/>
      <c r="J151" s="237"/>
      <c r="K151" s="152"/>
      <c r="L151" s="104"/>
      <c r="M151" s="105"/>
      <c r="N151" s="212"/>
      <c r="O151" s="152"/>
      <c r="P151" s="237"/>
      <c r="Q151" s="240"/>
      <c r="V151" s="101" t="str">
        <f t="shared" si="8"/>
        <v/>
      </c>
      <c r="W151" s="101"/>
      <c r="X151" s="101"/>
      <c r="Y151" s="101"/>
      <c r="Z151" s="101"/>
      <c r="AC151" s="259" t="str">
        <f>IFERROR(INDEX(LIST2!$F:$F,MATCH(P151,LIST2!J:J,0),1),"")</f>
        <v/>
      </c>
    </row>
    <row r="152" spans="1:29" x14ac:dyDescent="0.25">
      <c r="A152" s="235"/>
      <c r="B152" s="238"/>
      <c r="C152" s="239"/>
      <c r="D152" s="212"/>
      <c r="E152" s="240"/>
      <c r="F152" s="212"/>
      <c r="G152" s="240"/>
      <c r="H152" s="106"/>
      <c r="I152" s="107"/>
      <c r="J152" s="237"/>
      <c r="K152" s="152"/>
      <c r="L152" s="237"/>
      <c r="M152" s="240"/>
      <c r="N152" s="212"/>
      <c r="O152" s="152"/>
      <c r="P152" s="237"/>
      <c r="Q152" s="240"/>
      <c r="V152" s="101" t="str">
        <f t="shared" si="8"/>
        <v/>
      </c>
      <c r="W152" s="101"/>
      <c r="X152" s="101"/>
      <c r="Y152" s="101"/>
      <c r="Z152" s="101"/>
      <c r="AC152" s="259" t="str">
        <f>IFERROR(INDEX(LIST2!$F:$F,MATCH(P152,LIST2!J:J,0),1),"")</f>
        <v/>
      </c>
    </row>
    <row r="153" spans="1:29" ht="16.5" customHeight="1" x14ac:dyDescent="0.25">
      <c r="A153" s="98"/>
      <c r="B153" s="102"/>
      <c r="C153" s="239"/>
      <c r="E153" s="105"/>
      <c r="F153" s="106"/>
      <c r="G153" s="105"/>
      <c r="H153" s="106"/>
      <c r="I153" s="107"/>
      <c r="J153" s="104"/>
      <c r="K153" s="107"/>
      <c r="L153" s="104"/>
      <c r="M153" s="105"/>
      <c r="N153" s="106"/>
      <c r="O153" s="107"/>
      <c r="P153" s="104"/>
      <c r="Q153" s="105"/>
      <c r="V153" s="101" t="str">
        <f t="shared" si="8"/>
        <v/>
      </c>
      <c r="W153" s="101"/>
      <c r="X153" s="101"/>
      <c r="Y153" s="101"/>
      <c r="Z153" s="101"/>
      <c r="AC153" s="259" t="str">
        <f>IFERROR(INDEX(LIST2!$F:$F,MATCH(P153,LIST2!J:J,0),1),"")</f>
        <v/>
      </c>
    </row>
    <row r="154" spans="1:29" x14ac:dyDescent="0.25">
      <c r="A154" s="107"/>
      <c r="B154" s="102"/>
      <c r="C154" s="239"/>
      <c r="D154" s="106"/>
      <c r="E154" s="105"/>
      <c r="G154" s="105"/>
      <c r="H154" s="106"/>
      <c r="I154" s="107"/>
      <c r="J154" s="104"/>
      <c r="K154" s="107"/>
      <c r="L154" s="213"/>
      <c r="M154" s="240"/>
      <c r="N154" s="106"/>
      <c r="O154" s="107"/>
      <c r="P154" s="104"/>
      <c r="Q154" s="105"/>
      <c r="V154" s="101" t="str">
        <f t="shared" si="8"/>
        <v/>
      </c>
      <c r="W154" s="101"/>
      <c r="X154" s="101"/>
      <c r="Y154" s="101"/>
      <c r="Z154" s="101"/>
      <c r="AC154" s="259" t="str">
        <f>IFERROR(INDEX(LIST2!$F:$F,MATCH(P154,LIST2!J:J,0),1),"")</f>
        <v/>
      </c>
    </row>
    <row r="155" spans="1:29" x14ac:dyDescent="0.25">
      <c r="A155" s="107"/>
      <c r="B155" s="102"/>
      <c r="C155" s="239"/>
      <c r="D155" s="106"/>
      <c r="E155" s="105"/>
      <c r="F155" s="106"/>
      <c r="G155" s="105"/>
      <c r="H155" s="106"/>
      <c r="I155" s="107"/>
      <c r="J155" s="104"/>
      <c r="K155" s="107"/>
      <c r="L155" s="104"/>
      <c r="M155" s="105"/>
      <c r="N155" s="106"/>
      <c r="O155" s="107"/>
      <c r="P155" s="104"/>
      <c r="Q155" s="105"/>
      <c r="V155" s="101" t="str">
        <f t="shared" si="8"/>
        <v/>
      </c>
      <c r="W155" s="101"/>
      <c r="X155" s="101"/>
      <c r="Y155" s="101"/>
      <c r="Z155" s="101"/>
      <c r="AC155" s="259" t="str">
        <f>IFERROR(INDEX(LIST2!$F:$F,MATCH(P155,LIST2!J:J,0),1),"")</f>
        <v/>
      </c>
    </row>
    <row r="156" spans="1:29" x14ac:dyDescent="0.25">
      <c r="A156" s="98"/>
      <c r="B156" s="102"/>
      <c r="C156" s="99"/>
      <c r="D156" s="106"/>
      <c r="E156" s="105" t="s">
        <v>12294</v>
      </c>
      <c r="F156" s="106"/>
      <c r="G156" s="105"/>
      <c r="H156" s="106"/>
      <c r="I156" s="107"/>
      <c r="J156" s="104"/>
      <c r="K156" s="107"/>
      <c r="L156" s="104"/>
      <c r="M156" s="105"/>
      <c r="N156" s="106"/>
      <c r="O156" s="107"/>
      <c r="P156" s="104"/>
      <c r="Q156" s="105"/>
      <c r="V156" s="101" t="str">
        <f t="shared" si="8"/>
        <v/>
      </c>
      <c r="W156" s="101"/>
      <c r="X156" s="101"/>
      <c r="Y156" s="101"/>
      <c r="Z156" s="101"/>
      <c r="AC156" s="259" t="str">
        <f>IFERROR(INDEX(LIST2!$F:$F,MATCH(P156,LIST2!J:J,0),1),"")</f>
        <v/>
      </c>
    </row>
    <row r="157" spans="1:29" x14ac:dyDescent="0.25">
      <c r="A157" s="98"/>
      <c r="B157" s="102"/>
      <c r="C157" s="99"/>
      <c r="D157" s="106"/>
      <c r="E157" s="105"/>
      <c r="F157" s="106"/>
      <c r="G157" s="105"/>
      <c r="H157" s="106"/>
      <c r="I157" s="107"/>
      <c r="J157" s="213"/>
      <c r="K157" s="107"/>
      <c r="L157" s="104"/>
      <c r="M157" s="105"/>
      <c r="N157" s="106"/>
      <c r="O157" s="107"/>
      <c r="P157" s="104"/>
      <c r="Q157" s="105"/>
      <c r="V157" s="101" t="str">
        <f t="shared" si="8"/>
        <v/>
      </c>
      <c r="W157" s="101"/>
      <c r="X157" s="101"/>
      <c r="Y157" s="101"/>
      <c r="Z157" s="101"/>
      <c r="AC157" s="259" t="str">
        <f>IFERROR(INDEX(LIST2!$F:$F,MATCH(P157,LIST2!J:J,0),1),"")</f>
        <v/>
      </c>
    </row>
    <row r="158" spans="1:29" x14ac:dyDescent="0.25">
      <c r="A158" s="89" t="s">
        <v>3</v>
      </c>
      <c r="B158" s="95">
        <f>COUNTA(B137:B157)</f>
        <v>0</v>
      </c>
      <c r="C158" s="93"/>
      <c r="D158" s="92">
        <f>COUNTA(D137:D157)</f>
        <v>3</v>
      </c>
      <c r="E158" s="91"/>
      <c r="F158" s="92">
        <f>COUNTA(F137:F157)</f>
        <v>0</v>
      </c>
      <c r="G158" s="91"/>
      <c r="H158" s="92">
        <f>COUNTA(H137:H157)</f>
        <v>1</v>
      </c>
      <c r="I158" s="94"/>
      <c r="J158" s="90">
        <f>COUNTA(J137:J157)</f>
        <v>0</v>
      </c>
      <c r="K158" s="94"/>
      <c r="L158" s="310">
        <f>COUNTA(L137:L157)</f>
        <v>0</v>
      </c>
      <c r="M158" s="91"/>
      <c r="N158" s="92">
        <f>COUNTA(N137:N157)</f>
        <v>1</v>
      </c>
      <c r="O158" s="94"/>
      <c r="P158" s="90">
        <f>COUNTA(P137:P157)</f>
        <v>2</v>
      </c>
      <c r="Q158" s="91"/>
      <c r="R158" s="96">
        <f>COUNTIF(V137:V157,"ROBBING")</f>
        <v>1</v>
      </c>
      <c r="S158" s="96">
        <f>'FINAL LIST WITH REMARKS'!Z1925</f>
        <v>217</v>
      </c>
      <c r="T158" s="96">
        <f>SUM(B158:Q158)</f>
        <v>7</v>
      </c>
      <c r="U158" s="96">
        <f>'For Explo'!J336</f>
        <v>7</v>
      </c>
      <c r="V158" s="97">
        <f>COUNTIF(V137:V157,"ROBBING")</f>
        <v>1</v>
      </c>
      <c r="W158" s="97">
        <f>COUNTA(W137:W157)</f>
        <v>8</v>
      </c>
      <c r="X158" s="97">
        <f>COUNTA(X137:X157)</f>
        <v>5</v>
      </c>
      <c r="Y158" s="97">
        <f>COUNTA(Y137:Y157)</f>
        <v>1</v>
      </c>
      <c r="Z158" s="97">
        <f>COUNTA(Z137:Z157)</f>
        <v>5</v>
      </c>
      <c r="AC158" s="259" t="str">
        <f>IFERROR(INDEX(LIST2!$F:$F,MATCH(P158,LIST2!J:J,0),1),"")</f>
        <v/>
      </c>
    </row>
    <row r="159" spans="1:29" x14ac:dyDescent="0.25">
      <c r="A159" s="235" t="s">
        <v>1152</v>
      </c>
      <c r="B159" s="397"/>
      <c r="C159" s="395"/>
      <c r="D159" s="399" t="s">
        <v>15023</v>
      </c>
      <c r="E159" s="105" t="s">
        <v>340</v>
      </c>
      <c r="F159" s="238"/>
      <c r="G159" s="239"/>
      <c r="H159" s="103" t="s">
        <v>15218</v>
      </c>
      <c r="I159" s="391" t="s">
        <v>15219</v>
      </c>
      <c r="J159" s="393" t="s">
        <v>15139</v>
      </c>
      <c r="K159" s="240" t="s">
        <v>12070</v>
      </c>
      <c r="L159" s="236" t="s">
        <v>14979</v>
      </c>
      <c r="M159" s="240" t="s">
        <v>5072</v>
      </c>
      <c r="N159" s="399"/>
      <c r="O159" s="398"/>
      <c r="P159" s="237"/>
      <c r="Q159" s="105"/>
      <c r="V159" s="101" t="str">
        <f t="shared" ref="V159:V173" si="9">IF((RIGHT(P159,7)="ROBBING"),"ROBBING","")</f>
        <v/>
      </c>
      <c r="W159" s="101"/>
      <c r="X159" s="101" t="s">
        <v>236</v>
      </c>
      <c r="Y159" s="101"/>
      <c r="Z159" s="101" t="s">
        <v>236</v>
      </c>
      <c r="AC159" s="259"/>
    </row>
    <row r="160" spans="1:29" x14ac:dyDescent="0.25">
      <c r="A160" s="235"/>
      <c r="B160" s="397"/>
      <c r="C160" s="395"/>
      <c r="D160" s="106" t="s">
        <v>15101</v>
      </c>
      <c r="E160" s="105" t="s">
        <v>15171</v>
      </c>
      <c r="F160" s="392"/>
      <c r="G160" s="396"/>
      <c r="H160" s="103" t="s">
        <v>15274</v>
      </c>
      <c r="I160" s="391" t="s">
        <v>4068</v>
      </c>
      <c r="J160" s="377" t="s">
        <v>15329</v>
      </c>
      <c r="K160" s="240" t="s">
        <v>12070</v>
      </c>
      <c r="L160" s="236" t="s">
        <v>15013</v>
      </c>
      <c r="M160" s="240" t="s">
        <v>401</v>
      </c>
      <c r="N160" s="212"/>
      <c r="O160" s="152"/>
      <c r="P160" s="237"/>
      <c r="Q160" s="105"/>
      <c r="V160" s="101" t="str">
        <f t="shared" si="9"/>
        <v/>
      </c>
      <c r="W160" s="101"/>
      <c r="X160" s="101"/>
      <c r="Y160" s="101"/>
      <c r="Z160" s="101"/>
      <c r="AC160" s="259"/>
    </row>
    <row r="161" spans="1:29" x14ac:dyDescent="0.25">
      <c r="A161" s="235"/>
      <c r="B161" s="102"/>
      <c r="C161" s="99"/>
      <c r="D161" s="106" t="s">
        <v>15016</v>
      </c>
      <c r="E161" s="105" t="s">
        <v>4155</v>
      </c>
      <c r="F161" s="212"/>
      <c r="G161" s="240"/>
      <c r="H161" s="103" t="s">
        <v>15277</v>
      </c>
      <c r="I161" s="107" t="s">
        <v>14655</v>
      </c>
      <c r="J161" s="237"/>
      <c r="K161" s="240"/>
      <c r="L161" s="236" t="s">
        <v>15072</v>
      </c>
      <c r="M161" s="240" t="s">
        <v>4068</v>
      </c>
      <c r="N161" s="212"/>
      <c r="O161" s="152"/>
      <c r="P161" s="237"/>
      <c r="Q161" s="105"/>
      <c r="V161" s="101" t="str">
        <f t="shared" si="9"/>
        <v/>
      </c>
      <c r="W161" s="101"/>
      <c r="X161" s="101"/>
      <c r="Y161" s="101"/>
      <c r="Z161" s="101"/>
      <c r="AC161" s="259"/>
    </row>
    <row r="162" spans="1:29" x14ac:dyDescent="0.25">
      <c r="A162" s="235"/>
      <c r="B162" s="102"/>
      <c r="C162" s="99"/>
      <c r="D162" s="403" t="s">
        <v>15254</v>
      </c>
      <c r="E162" s="105" t="s">
        <v>5</v>
      </c>
      <c r="F162" s="212"/>
      <c r="G162" s="240"/>
      <c r="H162" s="311" t="s">
        <v>15321</v>
      </c>
      <c r="I162" s="107" t="s">
        <v>14265</v>
      </c>
      <c r="J162" s="393"/>
      <c r="K162" s="240"/>
      <c r="L162" s="237"/>
      <c r="M162" s="240"/>
      <c r="N162" s="212"/>
      <c r="O162" s="152"/>
      <c r="P162" s="237"/>
      <c r="Q162" s="105"/>
      <c r="V162" s="101" t="str">
        <f t="shared" si="9"/>
        <v/>
      </c>
      <c r="W162" s="101"/>
      <c r="X162" s="101"/>
      <c r="Y162" s="101"/>
      <c r="Z162" s="101"/>
      <c r="AC162" s="259"/>
    </row>
    <row r="163" spans="1:29" x14ac:dyDescent="0.25">
      <c r="A163" s="235"/>
      <c r="B163" s="102"/>
      <c r="C163" s="99"/>
      <c r="D163" s="311" t="s">
        <v>15383</v>
      </c>
      <c r="E163" s="105" t="s">
        <v>340</v>
      </c>
      <c r="F163" s="212"/>
      <c r="G163" s="240"/>
      <c r="H163" s="311" t="s">
        <v>15391</v>
      </c>
      <c r="I163" s="107" t="s">
        <v>15392</v>
      </c>
      <c r="J163" s="237"/>
      <c r="K163" s="240"/>
      <c r="L163" s="237"/>
      <c r="M163" s="240"/>
      <c r="N163" s="212"/>
      <c r="O163" s="152"/>
      <c r="P163" s="237"/>
      <c r="Q163" s="105"/>
      <c r="V163" s="101" t="str">
        <f t="shared" si="9"/>
        <v/>
      </c>
      <c r="W163" s="101"/>
      <c r="X163" s="101"/>
      <c r="Y163" s="101"/>
      <c r="Z163" s="101"/>
      <c r="AC163" s="259" t="str">
        <f>IFERROR(INDEX(LIST2!$F:$F,MATCH(P163,LIST2!J:J,0),1),"")</f>
        <v/>
      </c>
    </row>
    <row r="164" spans="1:29" x14ac:dyDescent="0.25">
      <c r="A164" s="235"/>
      <c r="B164" s="102"/>
      <c r="C164" s="99"/>
      <c r="D164" s="311" t="s">
        <v>10309</v>
      </c>
      <c r="E164" s="105" t="s">
        <v>4155</v>
      </c>
      <c r="F164" s="212"/>
      <c r="G164" s="240"/>
      <c r="H164" s="106"/>
      <c r="I164" s="107"/>
      <c r="J164" s="237"/>
      <c r="K164" s="240"/>
      <c r="L164" s="237"/>
      <c r="M164" s="240"/>
      <c r="N164" s="212"/>
      <c r="O164" s="152"/>
      <c r="P164" s="237"/>
      <c r="Q164" s="105"/>
      <c r="V164" s="101" t="str">
        <f t="shared" si="9"/>
        <v/>
      </c>
      <c r="W164" s="101"/>
      <c r="X164" s="101"/>
      <c r="Y164" s="101"/>
      <c r="Z164" s="101"/>
      <c r="AC164" s="259" t="str">
        <f>IFERROR(INDEX(LIST2!$F:$F,MATCH(P164,LIST2!J:J,0),1),"")</f>
        <v/>
      </c>
    </row>
    <row r="165" spans="1:29" x14ac:dyDescent="0.25">
      <c r="A165" s="235"/>
      <c r="B165" s="102"/>
      <c r="C165" s="99"/>
      <c r="D165" s="106"/>
      <c r="E165" s="105"/>
      <c r="F165" s="212"/>
      <c r="G165" s="240"/>
      <c r="H165" s="106"/>
      <c r="I165" s="107"/>
      <c r="J165" s="237"/>
      <c r="K165" s="240"/>
      <c r="L165" s="237"/>
      <c r="M165" s="240"/>
      <c r="N165" s="212"/>
      <c r="O165" s="152"/>
      <c r="P165" s="237"/>
      <c r="Q165" s="105"/>
      <c r="V165" s="101" t="str">
        <f t="shared" si="9"/>
        <v/>
      </c>
      <c r="W165" s="101"/>
      <c r="X165" s="101"/>
      <c r="Y165" s="101"/>
      <c r="Z165" s="101"/>
      <c r="AC165" s="259" t="str">
        <f>IFERROR(INDEX(LIST2!$F:$F,MATCH(P165,LIST2!J:J,0),1),"")</f>
        <v/>
      </c>
    </row>
    <row r="166" spans="1:29" x14ac:dyDescent="0.25">
      <c r="A166" s="212"/>
      <c r="B166" s="102"/>
      <c r="C166" s="99"/>
      <c r="D166" s="106"/>
      <c r="E166" s="105"/>
      <c r="F166" s="212"/>
      <c r="G166" s="240"/>
      <c r="H166" s="106"/>
      <c r="I166" s="240"/>
      <c r="J166" s="237"/>
      <c r="K166" s="240"/>
      <c r="L166" s="255"/>
      <c r="M166" s="240"/>
      <c r="N166" s="212"/>
      <c r="O166" s="152"/>
      <c r="P166" s="104"/>
      <c r="Q166" s="105"/>
      <c r="V166" s="101" t="str">
        <f t="shared" si="9"/>
        <v/>
      </c>
      <c r="W166" s="101"/>
      <c r="X166" s="101"/>
      <c r="Y166" s="101"/>
      <c r="Z166" s="101"/>
      <c r="AC166" s="259" t="str">
        <f>IFERROR(INDEX(LIST2!$F:$F,MATCH(P166,LIST2!J:J,0),1),"")</f>
        <v/>
      </c>
    </row>
    <row r="167" spans="1:29" x14ac:dyDescent="0.25">
      <c r="A167" s="235"/>
      <c r="B167" s="102"/>
      <c r="C167" s="99"/>
      <c r="D167" s="106"/>
      <c r="E167" s="105"/>
      <c r="F167" s="212"/>
      <c r="G167" s="240"/>
      <c r="H167" s="106"/>
      <c r="I167" s="240"/>
      <c r="J167" s="237"/>
      <c r="K167" s="240"/>
      <c r="L167" s="237"/>
      <c r="M167" s="240"/>
      <c r="N167" s="212"/>
      <c r="O167" s="152"/>
      <c r="P167" s="104"/>
      <c r="Q167" s="105"/>
      <c r="V167" s="101" t="str">
        <f t="shared" si="9"/>
        <v/>
      </c>
      <c r="W167" s="101"/>
      <c r="X167" s="101"/>
      <c r="Y167" s="101"/>
      <c r="Z167" s="101"/>
      <c r="AC167" s="259" t="str">
        <f>IFERROR(INDEX(LIST2!$F:$F,MATCH(P167,LIST2!J:J,0),1),"")</f>
        <v/>
      </c>
    </row>
    <row r="168" spans="1:29" x14ac:dyDescent="0.25">
      <c r="A168" s="98"/>
      <c r="B168" s="102"/>
      <c r="C168" s="99"/>
      <c r="D168" s="106"/>
      <c r="E168" s="105"/>
      <c r="F168" s="106"/>
      <c r="G168" s="105"/>
      <c r="H168" s="106"/>
      <c r="I168" s="107"/>
      <c r="J168" s="237"/>
      <c r="K168" s="240"/>
      <c r="L168" s="104"/>
      <c r="M168" s="105"/>
      <c r="N168" s="106"/>
      <c r="O168" s="107"/>
      <c r="P168" s="104"/>
      <c r="Q168" s="105"/>
      <c r="V168" s="101" t="str">
        <f t="shared" si="9"/>
        <v/>
      </c>
      <c r="W168" s="101"/>
      <c r="X168" s="101"/>
      <c r="Y168" s="101"/>
      <c r="Z168" s="101"/>
      <c r="AC168" s="259" t="str">
        <f>IFERROR(INDEX(LIST2!$F:$F,MATCH(P168,LIST2!J:J,0),1),"")</f>
        <v/>
      </c>
    </row>
    <row r="169" spans="1:29" x14ac:dyDescent="0.25">
      <c r="A169" s="98"/>
      <c r="B169" s="102"/>
      <c r="C169" s="99"/>
      <c r="D169" s="106"/>
      <c r="E169" s="105"/>
      <c r="F169" s="106"/>
      <c r="G169" s="105"/>
      <c r="H169" s="106"/>
      <c r="I169" s="107"/>
      <c r="J169" s="237"/>
      <c r="K169" s="240"/>
      <c r="L169" s="213"/>
      <c r="M169" s="105"/>
      <c r="N169" s="106"/>
      <c r="O169" s="107"/>
      <c r="P169" s="104"/>
      <c r="Q169" s="105"/>
      <c r="V169" s="101" t="str">
        <f t="shared" si="9"/>
        <v/>
      </c>
      <c r="W169" s="101"/>
      <c r="X169" s="101"/>
      <c r="Y169" s="101"/>
      <c r="Z169" s="101"/>
      <c r="AC169" s="259" t="str">
        <f>IFERROR(INDEX(LIST2!$F:$F,MATCH(P169,LIST2!J:J,0),1),"")</f>
        <v/>
      </c>
    </row>
    <row r="170" spans="1:29" x14ac:dyDescent="0.25">
      <c r="A170" s="98"/>
      <c r="B170" s="102"/>
      <c r="C170" s="99"/>
      <c r="D170" s="106"/>
      <c r="E170" s="105" t="s">
        <v>47</v>
      </c>
      <c r="F170" s="106"/>
      <c r="G170" s="105"/>
      <c r="H170" s="106"/>
      <c r="I170" s="107"/>
      <c r="J170" s="237"/>
      <c r="K170" s="240"/>
      <c r="L170" s="104"/>
      <c r="M170" s="105"/>
      <c r="N170" s="106"/>
      <c r="O170" s="107"/>
      <c r="P170" s="104"/>
      <c r="Q170" s="105"/>
      <c r="V170" s="101" t="str">
        <f t="shared" si="9"/>
        <v/>
      </c>
      <c r="W170" s="101"/>
      <c r="X170" s="101"/>
      <c r="Y170" s="101"/>
      <c r="Z170" s="101"/>
      <c r="AC170" s="259" t="str">
        <f>IFERROR(INDEX(LIST2!$F:$F,MATCH(P170,LIST2!J:J,0),1),"")</f>
        <v/>
      </c>
    </row>
    <row r="171" spans="1:29" x14ac:dyDescent="0.25">
      <c r="A171" s="98"/>
      <c r="B171" s="102"/>
      <c r="C171" s="99"/>
      <c r="E171" s="105" t="s">
        <v>47</v>
      </c>
      <c r="F171" s="314"/>
      <c r="G171" s="105"/>
      <c r="H171" s="106"/>
      <c r="I171" s="107" t="s">
        <v>14361</v>
      </c>
      <c r="J171" s="237"/>
      <c r="K171" s="240"/>
      <c r="L171" s="104"/>
      <c r="M171" s="105"/>
      <c r="N171" s="106"/>
      <c r="O171" s="107"/>
      <c r="P171" s="104"/>
      <c r="Q171" s="105"/>
      <c r="V171" s="101" t="str">
        <f t="shared" si="9"/>
        <v/>
      </c>
      <c r="W171" s="101"/>
      <c r="X171" s="101"/>
      <c r="Y171" s="101"/>
      <c r="Z171" s="101"/>
      <c r="AC171" s="259" t="str">
        <f>IFERROR(INDEX(LIST2!$F:$F,MATCH(P171,LIST2!J:J,0),1),"")</f>
        <v/>
      </c>
    </row>
    <row r="172" spans="1:29" x14ac:dyDescent="0.25">
      <c r="A172" s="98"/>
      <c r="B172" s="102"/>
      <c r="C172" s="99"/>
      <c r="D172" s="106"/>
      <c r="E172" s="105"/>
      <c r="F172" s="106"/>
      <c r="G172" s="105"/>
      <c r="H172" s="106"/>
      <c r="I172" s="107"/>
      <c r="J172" s="237"/>
      <c r="K172" s="240"/>
      <c r="L172" s="104"/>
      <c r="M172" s="105"/>
      <c r="N172" s="106"/>
      <c r="O172" s="107"/>
      <c r="P172" s="104"/>
      <c r="Q172" s="105"/>
      <c r="V172" s="101" t="str">
        <f t="shared" si="9"/>
        <v/>
      </c>
      <c r="W172" s="101"/>
      <c r="X172" s="101"/>
      <c r="Y172" s="101"/>
      <c r="Z172" s="101"/>
      <c r="AC172" s="259" t="str">
        <f>IFERROR(INDEX(LIST2!$F:$F,MATCH(P172,LIST2!J:J,0),1),"")</f>
        <v/>
      </c>
    </row>
    <row r="173" spans="1:29" ht="16.5" customHeight="1" x14ac:dyDescent="0.25">
      <c r="A173" s="98"/>
      <c r="B173" s="102"/>
      <c r="C173" s="99"/>
      <c r="D173" s="106"/>
      <c r="E173" s="105"/>
      <c r="F173" s="106"/>
      <c r="G173" s="105"/>
      <c r="H173" s="106"/>
      <c r="I173" s="107"/>
      <c r="J173" s="237"/>
      <c r="K173" s="240"/>
      <c r="L173" s="104"/>
      <c r="M173" s="105"/>
      <c r="N173" s="106"/>
      <c r="O173" s="107"/>
      <c r="P173" s="104"/>
      <c r="Q173" s="105"/>
      <c r="V173" s="101" t="str">
        <f t="shared" si="9"/>
        <v/>
      </c>
      <c r="W173" s="101"/>
      <c r="X173" s="101"/>
      <c r="Y173" s="101"/>
      <c r="Z173" s="101"/>
      <c r="AC173" s="259" t="str">
        <f>IFERROR(INDEX(LIST2!$F:$F,MATCH(P173,LIST2!J:J,0),1),"")</f>
        <v/>
      </c>
    </row>
    <row r="174" spans="1:29" x14ac:dyDescent="0.25">
      <c r="A174" s="89" t="s">
        <v>3</v>
      </c>
      <c r="B174" s="95">
        <f>COUNTA(B159:B173)</f>
        <v>0</v>
      </c>
      <c r="C174" s="93"/>
      <c r="D174" s="92">
        <f>COUNTA(D159:D173)</f>
        <v>6</v>
      </c>
      <c r="E174" s="91"/>
      <c r="F174" s="92">
        <f>COUNTA(F159:F173)</f>
        <v>0</v>
      </c>
      <c r="G174" s="91"/>
      <c r="H174" s="92">
        <f>COUNTA(H159:H173)</f>
        <v>5</v>
      </c>
      <c r="I174" s="94"/>
      <c r="J174" s="90">
        <f>COUNTA(J159:J173)</f>
        <v>2</v>
      </c>
      <c r="K174" s="94"/>
      <c r="L174" s="90">
        <f>COUNTA(L159:L173)</f>
        <v>3</v>
      </c>
      <c r="M174" s="91"/>
      <c r="N174" s="92">
        <f>COUNTA(N159:N173)</f>
        <v>0</v>
      </c>
      <c r="O174" s="94"/>
      <c r="P174" s="90">
        <f>COUNTA(P159:P173)</f>
        <v>0</v>
      </c>
      <c r="Q174" s="91"/>
      <c r="R174" s="96">
        <f>COUNTIF(V159:V173,"ROBBING")</f>
        <v>0</v>
      </c>
      <c r="S174" s="96">
        <f>'FINAL LIST WITH REMARKS'!Z2141</f>
        <v>352</v>
      </c>
      <c r="T174" s="96">
        <f>SUM(B174:Q174)</f>
        <v>16</v>
      </c>
      <c r="U174" s="96">
        <f>'For Explo'!J378</f>
        <v>16</v>
      </c>
      <c r="V174" s="97">
        <f>COUNTIF(V159:V173,"ROBBING")</f>
        <v>0</v>
      </c>
      <c r="W174" s="97">
        <f>COUNTA(W159:W173)</f>
        <v>0</v>
      </c>
      <c r="X174" s="97">
        <f>COUNTA(X159:X173)</f>
        <v>1</v>
      </c>
      <c r="Y174" s="97">
        <f>COUNTA(Y159:Y173)</f>
        <v>0</v>
      </c>
      <c r="Z174" s="97">
        <f>COUNTA(Z159:Z173)</f>
        <v>1</v>
      </c>
      <c r="AC174" s="259" t="str">
        <f>IFERROR(INDEX(LIST2!$F:$F,MATCH(P174,LIST2!J:J,0),1),"")</f>
        <v/>
      </c>
    </row>
    <row r="175" spans="1:29" x14ac:dyDescent="0.25">
      <c r="A175" s="98" t="s">
        <v>1153</v>
      </c>
      <c r="B175" s="379" t="s">
        <v>15233</v>
      </c>
      <c r="C175" s="395" t="s">
        <v>14130</v>
      </c>
      <c r="D175" s="392" t="s">
        <v>15176</v>
      </c>
      <c r="E175" s="396" t="s">
        <v>14130</v>
      </c>
      <c r="F175" s="106"/>
      <c r="G175" s="105"/>
      <c r="H175" s="311" t="s">
        <v>15332</v>
      </c>
      <c r="I175" s="106" t="s">
        <v>14132</v>
      </c>
      <c r="J175" s="220" t="s">
        <v>15418</v>
      </c>
      <c r="K175" s="391" t="s">
        <v>12548</v>
      </c>
      <c r="L175" s="104"/>
      <c r="M175" s="105"/>
      <c r="N175" s="311" t="s">
        <v>15302</v>
      </c>
      <c r="O175" s="391" t="s">
        <v>13633</v>
      </c>
      <c r="P175" s="103" t="s">
        <v>15050</v>
      </c>
      <c r="Q175" s="107" t="s">
        <v>14725</v>
      </c>
      <c r="V175" s="101" t="str">
        <f>IF((RIGHT(P175,7)="ROBBING"),"ROBBING","")</f>
        <v/>
      </c>
      <c r="W175" s="101"/>
      <c r="X175" s="101"/>
      <c r="Y175" s="101"/>
      <c r="Z175" s="101"/>
      <c r="AC175" s="259" t="s">
        <v>14362</v>
      </c>
    </row>
    <row r="176" spans="1:29" x14ac:dyDescent="0.25">
      <c r="A176" s="98"/>
      <c r="B176" s="401" t="s">
        <v>15374</v>
      </c>
      <c r="C176" s="99" t="s">
        <v>14126</v>
      </c>
      <c r="D176" s="103" t="s">
        <v>14783</v>
      </c>
      <c r="E176" s="105" t="s">
        <v>13633</v>
      </c>
      <c r="F176" s="106"/>
      <c r="G176" s="105"/>
      <c r="H176" s="311" t="s">
        <v>13860</v>
      </c>
      <c r="I176" s="106" t="s">
        <v>13633</v>
      </c>
      <c r="J176" s="182"/>
      <c r="K176" s="391"/>
      <c r="L176" s="104"/>
      <c r="M176" s="105"/>
      <c r="N176" s="392"/>
      <c r="O176" s="391"/>
      <c r="P176" s="104"/>
      <c r="Q176" s="105"/>
      <c r="V176" s="101" t="str">
        <f t="shared" ref="V176:V191" si="10">IF((RIGHT(P176,7)="ROBBING"),"ROBBING","")</f>
        <v/>
      </c>
      <c r="W176" s="101"/>
      <c r="X176" s="101"/>
      <c r="Y176" s="101"/>
      <c r="Z176" s="101"/>
      <c r="AC176" s="259"/>
    </row>
    <row r="177" spans="1:29" x14ac:dyDescent="0.25">
      <c r="A177" s="98"/>
      <c r="B177" s="401" t="s">
        <v>15388</v>
      </c>
      <c r="C177" s="99" t="s">
        <v>75</v>
      </c>
      <c r="D177" s="311" t="s">
        <v>15160</v>
      </c>
      <c r="E177" s="105" t="s">
        <v>14971</v>
      </c>
      <c r="F177" s="106"/>
      <c r="G177" s="105"/>
      <c r="H177" s="311" t="s">
        <v>15317</v>
      </c>
      <c r="I177" s="392" t="s">
        <v>14701</v>
      </c>
      <c r="J177" s="182"/>
      <c r="K177" s="391"/>
      <c r="L177" s="104"/>
      <c r="M177" s="105"/>
      <c r="N177" s="106"/>
      <c r="O177" s="107"/>
      <c r="P177" s="104"/>
      <c r="Q177" s="105"/>
      <c r="V177" s="101" t="str">
        <f t="shared" si="10"/>
        <v/>
      </c>
      <c r="W177" s="101"/>
      <c r="X177" s="101"/>
      <c r="Y177" s="101"/>
      <c r="Z177" s="101"/>
      <c r="AC177" s="259"/>
    </row>
    <row r="178" spans="1:29" x14ac:dyDescent="0.25">
      <c r="A178" s="98"/>
      <c r="B178" s="397"/>
      <c r="C178" s="99"/>
      <c r="D178" s="311" t="s">
        <v>15340</v>
      </c>
      <c r="E178" s="396" t="s">
        <v>14133</v>
      </c>
      <c r="F178" s="106"/>
      <c r="G178" s="105"/>
      <c r="H178" s="311" t="s">
        <v>15365</v>
      </c>
      <c r="I178" s="392" t="s">
        <v>14126</v>
      </c>
      <c r="J178" s="104"/>
      <c r="K178" s="107"/>
      <c r="L178" s="104"/>
      <c r="M178" s="105"/>
      <c r="N178" s="106"/>
      <c r="O178" s="107"/>
      <c r="P178" s="104"/>
      <c r="Q178" s="105"/>
      <c r="V178" s="101" t="str">
        <f t="shared" si="10"/>
        <v/>
      </c>
      <c r="W178" s="101"/>
      <c r="X178" s="101"/>
      <c r="Y178" s="101"/>
      <c r="Z178" s="101"/>
      <c r="AC178" s="259" t="str">
        <f>IFERROR(INDEX(LIST2!$F:$F,MATCH(P178,LIST2!J:J,0),1),"")</f>
        <v/>
      </c>
    </row>
    <row r="179" spans="1:29" x14ac:dyDescent="0.25">
      <c r="A179" s="98"/>
      <c r="B179" s="102"/>
      <c r="C179" s="99"/>
      <c r="D179" s="392"/>
      <c r="E179" s="396"/>
      <c r="F179" s="106"/>
      <c r="G179" s="105"/>
      <c r="H179" s="106"/>
      <c r="I179" s="106"/>
      <c r="J179" s="104"/>
      <c r="K179" s="107"/>
      <c r="L179" s="104"/>
      <c r="M179" s="105"/>
      <c r="N179" s="106"/>
      <c r="O179" s="107"/>
      <c r="P179" s="104"/>
      <c r="Q179" s="105"/>
      <c r="V179" s="101" t="str">
        <f t="shared" si="10"/>
        <v/>
      </c>
      <c r="W179" s="101"/>
      <c r="X179" s="101"/>
      <c r="Y179" s="101"/>
      <c r="Z179" s="101"/>
      <c r="AC179" s="259" t="str">
        <f>IFERROR(INDEX(LIST2!$F:$F,MATCH(P179,LIST2!J:J,0),1),"")</f>
        <v/>
      </c>
    </row>
    <row r="180" spans="1:29" x14ac:dyDescent="0.25">
      <c r="A180" s="98"/>
      <c r="B180" s="102"/>
      <c r="C180" s="99"/>
      <c r="D180" s="106"/>
      <c r="E180" s="105"/>
      <c r="F180" s="106"/>
      <c r="G180" s="105"/>
      <c r="H180" s="106"/>
      <c r="I180" s="106"/>
      <c r="J180" s="104"/>
      <c r="K180" s="107"/>
      <c r="L180" s="104"/>
      <c r="M180" s="105"/>
      <c r="N180" s="106"/>
      <c r="O180" s="107"/>
      <c r="P180" s="104"/>
      <c r="Q180" s="105"/>
      <c r="V180" s="101" t="str">
        <f t="shared" si="10"/>
        <v/>
      </c>
      <c r="W180" s="101"/>
      <c r="X180" s="101"/>
      <c r="Y180" s="101"/>
      <c r="Z180" s="101"/>
      <c r="AC180" s="259" t="str">
        <f>IFERROR(INDEX(LIST2!$F:$F,MATCH(P180,LIST2!J:J,0),1),"")</f>
        <v/>
      </c>
    </row>
    <row r="181" spans="1:29" x14ac:dyDescent="0.25">
      <c r="A181" s="98"/>
      <c r="B181" s="102"/>
      <c r="C181" s="99"/>
      <c r="D181" s="106"/>
      <c r="E181" s="105"/>
      <c r="F181" s="106"/>
      <c r="G181" s="105"/>
      <c r="H181" s="106"/>
      <c r="I181" s="106"/>
      <c r="J181" s="104"/>
      <c r="K181" s="107"/>
      <c r="L181" s="104"/>
      <c r="M181" s="105"/>
      <c r="N181" s="106"/>
      <c r="O181" s="107"/>
      <c r="P181" s="104"/>
      <c r="Q181" s="105"/>
      <c r="V181" s="101" t="str">
        <f t="shared" si="10"/>
        <v/>
      </c>
      <c r="W181" s="101"/>
      <c r="X181" s="101"/>
      <c r="Y181" s="101"/>
      <c r="Z181" s="101"/>
      <c r="AC181" s="259" t="str">
        <f>IFERROR(INDEX(LIST2!$F:$F,MATCH(P181,LIST2!J:J,0),1),"")</f>
        <v/>
      </c>
    </row>
    <row r="182" spans="1:29" x14ac:dyDescent="0.25">
      <c r="A182" s="98"/>
      <c r="B182" s="102"/>
      <c r="C182" s="99"/>
      <c r="D182" s="106"/>
      <c r="E182" s="105"/>
      <c r="F182" s="106"/>
      <c r="G182" s="105"/>
      <c r="H182" s="106"/>
      <c r="I182" s="106"/>
      <c r="J182" s="237"/>
      <c r="K182" s="107"/>
      <c r="L182" s="104"/>
      <c r="M182" s="105"/>
      <c r="N182" s="106"/>
      <c r="O182" s="107"/>
      <c r="P182" s="104"/>
      <c r="Q182" s="105"/>
      <c r="V182" s="101" t="str">
        <f t="shared" si="10"/>
        <v/>
      </c>
      <c r="W182" s="101"/>
      <c r="X182" s="101"/>
      <c r="Y182" s="101"/>
      <c r="Z182" s="101"/>
      <c r="AC182" s="259" t="str">
        <f>IFERROR(INDEX(LIST2!$F:$F,MATCH(P182,LIST2!J:J,0),1),"")</f>
        <v/>
      </c>
    </row>
    <row r="183" spans="1:29" x14ac:dyDescent="0.25">
      <c r="A183" s="98"/>
      <c r="B183" s="102"/>
      <c r="C183" s="99"/>
      <c r="D183" s="106"/>
      <c r="E183" s="105"/>
      <c r="F183" s="106"/>
      <c r="G183" s="105"/>
      <c r="H183" s="106"/>
      <c r="I183" s="106"/>
      <c r="J183" s="104"/>
      <c r="K183" s="107"/>
      <c r="L183" s="104"/>
      <c r="M183" s="105"/>
      <c r="N183" s="106"/>
      <c r="O183" s="107"/>
      <c r="P183" s="104"/>
      <c r="Q183" s="105"/>
      <c r="V183" s="101" t="str">
        <f t="shared" si="10"/>
        <v/>
      </c>
      <c r="W183" s="101"/>
      <c r="X183" s="101"/>
      <c r="Y183" s="101"/>
      <c r="Z183" s="101"/>
      <c r="AC183" s="259" t="str">
        <f>IFERROR(INDEX(LIST2!$F:$F,MATCH(P183,LIST2!J:J,0),1),"")</f>
        <v/>
      </c>
    </row>
    <row r="184" spans="1:29" x14ac:dyDescent="0.25">
      <c r="A184" s="98"/>
      <c r="B184" s="102"/>
      <c r="C184" s="99"/>
      <c r="D184" s="106"/>
      <c r="E184" s="105"/>
      <c r="F184" s="106"/>
      <c r="G184" s="105"/>
      <c r="H184" s="106"/>
      <c r="I184" s="107"/>
      <c r="J184" s="104"/>
      <c r="K184" s="107"/>
      <c r="L184" s="104"/>
      <c r="M184" s="105"/>
      <c r="N184" s="106"/>
      <c r="O184" s="107"/>
      <c r="P184" s="104"/>
      <c r="Q184" s="105"/>
      <c r="V184" s="101" t="str">
        <f t="shared" si="10"/>
        <v/>
      </c>
      <c r="W184" s="101"/>
      <c r="X184" s="101"/>
      <c r="Y184" s="101"/>
      <c r="Z184" s="101"/>
      <c r="AC184" s="259" t="str">
        <f>IFERROR(INDEX(LIST2!$F:$F,MATCH(P184,LIST2!J:J,0),1),"")</f>
        <v/>
      </c>
    </row>
    <row r="185" spans="1:29" x14ac:dyDescent="0.25">
      <c r="A185" s="98"/>
      <c r="B185" s="102"/>
      <c r="C185" s="99"/>
      <c r="D185" s="106"/>
      <c r="E185" s="105"/>
      <c r="F185" s="106"/>
      <c r="G185" s="105"/>
      <c r="H185" s="106"/>
      <c r="I185" s="106"/>
      <c r="J185" s="104"/>
      <c r="K185" s="107"/>
      <c r="L185" s="104"/>
      <c r="M185" s="105"/>
      <c r="N185" s="106"/>
      <c r="O185" s="107"/>
      <c r="P185" s="104"/>
      <c r="Q185" s="105"/>
      <c r="V185" s="101" t="str">
        <f t="shared" si="10"/>
        <v/>
      </c>
      <c r="W185" s="101"/>
      <c r="X185" s="101"/>
      <c r="Y185" s="101"/>
      <c r="Z185" s="101"/>
      <c r="AC185" s="259" t="str">
        <f>IFERROR(INDEX(LIST2!$F:$F,MATCH(P185,LIST2!J:J,0),1),"")</f>
        <v/>
      </c>
    </row>
    <row r="186" spans="1:29" x14ac:dyDescent="0.25">
      <c r="A186" s="98"/>
      <c r="B186" s="102"/>
      <c r="C186" s="99"/>
      <c r="D186" s="106"/>
      <c r="E186" s="105"/>
      <c r="F186" s="106"/>
      <c r="G186" s="105"/>
      <c r="H186" s="106"/>
      <c r="I186" s="106"/>
      <c r="J186" s="104"/>
      <c r="K186" s="107"/>
      <c r="L186" s="104"/>
      <c r="M186" s="105"/>
      <c r="N186" s="106"/>
      <c r="O186" s="107"/>
      <c r="P186" s="104"/>
      <c r="Q186" s="105"/>
      <c r="S186" s="100" t="s">
        <v>40</v>
      </c>
      <c r="V186" s="101" t="str">
        <f t="shared" si="10"/>
        <v/>
      </c>
      <c r="W186" s="101"/>
      <c r="X186" s="101"/>
      <c r="Y186" s="101"/>
      <c r="Z186" s="101"/>
      <c r="AC186" s="259" t="str">
        <f>IFERROR(INDEX(LIST2!$F:$F,MATCH(P186,LIST2!J:J,0),1),"")</f>
        <v/>
      </c>
    </row>
    <row r="187" spans="1:29" x14ac:dyDescent="0.25">
      <c r="A187" s="98"/>
      <c r="B187" s="102"/>
      <c r="C187" s="99"/>
      <c r="D187" s="106"/>
      <c r="E187" s="105"/>
      <c r="F187" s="106"/>
      <c r="G187" s="105"/>
      <c r="H187" s="106"/>
      <c r="I187" s="106"/>
      <c r="J187" s="104"/>
      <c r="K187" s="107"/>
      <c r="L187" s="104"/>
      <c r="M187" s="105"/>
      <c r="N187" s="106"/>
      <c r="O187" s="107"/>
      <c r="P187" s="104"/>
      <c r="Q187" s="105"/>
      <c r="V187" s="101" t="str">
        <f t="shared" si="10"/>
        <v/>
      </c>
      <c r="W187" s="101"/>
      <c r="X187" s="101"/>
      <c r="Y187" s="101"/>
      <c r="Z187" s="101"/>
      <c r="AC187" s="259" t="str">
        <f>IFERROR(INDEX(LIST2!$F:$F,MATCH(P187,LIST2!J:J,0),1),"")</f>
        <v/>
      </c>
    </row>
    <row r="188" spans="1:29" x14ac:dyDescent="0.25">
      <c r="A188" s="98"/>
      <c r="B188" s="102"/>
      <c r="C188" s="99"/>
      <c r="D188" s="106"/>
      <c r="E188" s="105"/>
      <c r="F188" s="106"/>
      <c r="G188" s="105"/>
      <c r="H188" s="106"/>
      <c r="I188" s="106"/>
      <c r="J188" s="104"/>
      <c r="K188" s="107"/>
      <c r="L188" s="104"/>
      <c r="M188" s="105"/>
      <c r="N188" s="106"/>
      <c r="O188" s="107"/>
      <c r="P188" s="104"/>
      <c r="Q188" s="105"/>
      <c r="V188" s="101" t="str">
        <f t="shared" si="10"/>
        <v/>
      </c>
      <c r="W188" s="101"/>
      <c r="X188" s="101"/>
      <c r="Y188" s="101"/>
      <c r="Z188" s="101"/>
      <c r="AC188" s="259" t="str">
        <f>IFERROR(INDEX(LIST2!$F:$F,MATCH(P188,LIST2!J:J,0),1),"")</f>
        <v/>
      </c>
    </row>
    <row r="189" spans="1:29" x14ac:dyDescent="0.25">
      <c r="A189" s="98"/>
      <c r="B189" s="102"/>
      <c r="C189" s="99"/>
      <c r="D189" s="106"/>
      <c r="E189" s="105"/>
      <c r="F189" s="106"/>
      <c r="G189" s="105"/>
      <c r="H189" s="106"/>
      <c r="I189" s="106"/>
      <c r="J189" s="104"/>
      <c r="K189" s="107"/>
      <c r="L189" s="104"/>
      <c r="M189" s="105"/>
      <c r="N189" s="106"/>
      <c r="O189" s="107"/>
      <c r="P189" s="104"/>
      <c r="Q189" s="105"/>
      <c r="V189" s="101" t="str">
        <f t="shared" si="10"/>
        <v/>
      </c>
      <c r="W189" s="101"/>
      <c r="X189" s="101"/>
      <c r="Y189" s="101"/>
      <c r="Z189" s="101"/>
      <c r="AC189" s="259" t="str">
        <f>IFERROR(INDEX(LIST2!$F:$F,MATCH(P189,LIST2!J:J,0),1),"")</f>
        <v/>
      </c>
    </row>
    <row r="190" spans="1:29" x14ac:dyDescent="0.25">
      <c r="A190" s="98"/>
      <c r="B190" s="102"/>
      <c r="C190" s="99"/>
      <c r="D190" s="106"/>
      <c r="E190" s="105"/>
      <c r="F190" s="106"/>
      <c r="G190" s="105"/>
      <c r="H190" s="106"/>
      <c r="I190" s="106"/>
      <c r="J190" s="104"/>
      <c r="K190" s="107"/>
      <c r="L190" s="104"/>
      <c r="M190" s="105"/>
      <c r="N190" s="106"/>
      <c r="O190" s="107"/>
      <c r="P190" s="104"/>
      <c r="Q190" s="105"/>
      <c r="V190" s="101" t="str">
        <f t="shared" si="10"/>
        <v/>
      </c>
      <c r="W190" s="101"/>
      <c r="X190" s="101"/>
      <c r="Y190" s="101"/>
      <c r="Z190" s="101"/>
      <c r="AC190" s="259" t="str">
        <f>IFERROR(INDEX(LIST2!$F:$F,MATCH(P190,LIST2!J:J,0),1),"")</f>
        <v/>
      </c>
    </row>
    <row r="191" spans="1:29" x14ac:dyDescent="0.25">
      <c r="A191" s="98"/>
      <c r="B191" s="102"/>
      <c r="C191" s="99"/>
      <c r="D191" s="106"/>
      <c r="E191" s="105"/>
      <c r="F191" s="106"/>
      <c r="G191" s="105"/>
      <c r="H191" s="106"/>
      <c r="I191" s="107"/>
      <c r="J191" s="104"/>
      <c r="K191" s="107"/>
      <c r="L191" s="104"/>
      <c r="M191" s="105"/>
      <c r="N191" s="106"/>
      <c r="O191" s="107"/>
      <c r="P191" s="104"/>
      <c r="Q191" s="105"/>
      <c r="V191" s="101" t="str">
        <f t="shared" si="10"/>
        <v/>
      </c>
      <c r="W191" s="101"/>
      <c r="X191" s="101"/>
      <c r="Y191" s="101"/>
      <c r="Z191" s="101"/>
      <c r="AC191" s="259" t="str">
        <f>IFERROR(INDEX(LIST2!$F:$F,MATCH(P191,LIST2!J:J,0),1),"")</f>
        <v/>
      </c>
    </row>
    <row r="192" spans="1:29" x14ac:dyDescent="0.25">
      <c r="A192" s="89" t="s">
        <v>3</v>
      </c>
      <c r="B192" s="95">
        <f>COUNTA(B175:B191)</f>
        <v>3</v>
      </c>
      <c r="C192" s="93"/>
      <c r="D192" s="95">
        <f>COUNTA(D175:D191)</f>
        <v>4</v>
      </c>
      <c r="E192" s="91"/>
      <c r="F192" s="95">
        <f>COUNTA(F175:F191)</f>
        <v>0</v>
      </c>
      <c r="G192" s="91"/>
      <c r="H192" s="95">
        <f>COUNTA(H175:H191)</f>
        <v>4</v>
      </c>
      <c r="I192" s="94"/>
      <c r="J192" s="95">
        <f>COUNTA(J175:J191)</f>
        <v>1</v>
      </c>
      <c r="K192" s="94"/>
      <c r="L192" s="90">
        <f>COUNTA(L175:L191)</f>
        <v>0</v>
      </c>
      <c r="M192" s="91"/>
      <c r="N192" s="95">
        <f>COUNTA(N175:N191)</f>
        <v>1</v>
      </c>
      <c r="O192" s="94"/>
      <c r="P192" s="95">
        <f>COUNTA(P175:P191)</f>
        <v>1</v>
      </c>
      <c r="Q192" s="91"/>
      <c r="R192" s="96">
        <f>COUNTIF(V175:V191,"ROBBING")</f>
        <v>0</v>
      </c>
      <c r="S192" s="96">
        <f>'FINAL LIST WITH REMARKS'!Z2299</f>
        <v>317</v>
      </c>
      <c r="T192" s="96">
        <f>SUM(B192:Q192)</f>
        <v>14</v>
      </c>
      <c r="U192" s="96">
        <f>'For Explo'!J420</f>
        <v>14</v>
      </c>
      <c r="V192" s="97">
        <f>COUNTIF(V175:V191,"ROBBING")</f>
        <v>0</v>
      </c>
      <c r="W192" s="97">
        <f>COUNTA(W175:W191)</f>
        <v>0</v>
      </c>
      <c r="X192" s="97">
        <f>COUNTA(X175:X191)</f>
        <v>0</v>
      </c>
      <c r="Y192" s="97">
        <f>COUNTA(Y175:Y191)</f>
        <v>0</v>
      </c>
      <c r="Z192" s="97">
        <f>COUNTA(Z175:Z191)</f>
        <v>0</v>
      </c>
      <c r="AC192" s="259" t="str">
        <f>IFERROR(INDEX(LIST2!$F:$F,MATCH(P192,LIST2!J:J,0),1),"")</f>
        <v/>
      </c>
    </row>
    <row r="193" spans="1:29" x14ac:dyDescent="0.25">
      <c r="A193" s="98" t="s">
        <v>12394</v>
      </c>
      <c r="B193" s="379" t="s">
        <v>15335</v>
      </c>
      <c r="C193" s="99" t="s">
        <v>14897</v>
      </c>
      <c r="D193" s="392" t="s">
        <v>15036</v>
      </c>
      <c r="E193" s="105" t="s">
        <v>14900</v>
      </c>
      <c r="F193" s="392" t="s">
        <v>14759</v>
      </c>
      <c r="G193" s="105" t="s">
        <v>14897</v>
      </c>
      <c r="H193" s="106" t="s">
        <v>14350</v>
      </c>
      <c r="I193" s="107" t="s">
        <v>7984</v>
      </c>
      <c r="J193" s="362" t="s">
        <v>14964</v>
      </c>
      <c r="K193" s="107" t="s">
        <v>15078</v>
      </c>
      <c r="L193" s="362" t="s">
        <v>15271</v>
      </c>
      <c r="M193" s="105" t="s">
        <v>15079</v>
      </c>
      <c r="N193" s="103" t="s">
        <v>14760</v>
      </c>
      <c r="O193" s="107" t="s">
        <v>356</v>
      </c>
      <c r="P193" s="104"/>
      <c r="Q193" s="105"/>
      <c r="V193" s="101" t="str">
        <f t="shared" ref="V193:V220" si="11">IF((RIGHT(P193,7)="ROBBING"),"ROBBING","")</f>
        <v/>
      </c>
      <c r="W193" s="101" t="s">
        <v>236</v>
      </c>
      <c r="X193" s="101"/>
      <c r="Y193" s="101"/>
      <c r="Z193" s="101"/>
      <c r="AC193" s="259" t="str">
        <f>IFERROR(INDEX(LIST2!$F:$F,MATCH(P193,LIST2!J:J,0),1),"")</f>
        <v/>
      </c>
    </row>
    <row r="194" spans="1:29" x14ac:dyDescent="0.25">
      <c r="A194" s="98"/>
      <c r="B194" s="401" t="s">
        <v>15413</v>
      </c>
      <c r="C194" s="395" t="s">
        <v>4155</v>
      </c>
      <c r="D194" s="106" t="s">
        <v>14827</v>
      </c>
      <c r="E194" s="105" t="s">
        <v>364</v>
      </c>
      <c r="F194" s="392" t="s">
        <v>14826</v>
      </c>
      <c r="G194" s="396" t="s">
        <v>14762</v>
      </c>
      <c r="H194" s="311" t="s">
        <v>15202</v>
      </c>
      <c r="I194" s="106" t="s">
        <v>1376</v>
      </c>
      <c r="J194" s="182" t="s">
        <v>15093</v>
      </c>
      <c r="K194" s="391" t="s">
        <v>1260</v>
      </c>
      <c r="L194" s="362" t="s">
        <v>15354</v>
      </c>
      <c r="M194" s="396" t="s">
        <v>15078</v>
      </c>
      <c r="N194" s="103" t="s">
        <v>15128</v>
      </c>
      <c r="O194" s="107" t="s">
        <v>4155</v>
      </c>
      <c r="P194" s="104"/>
      <c r="Q194" s="105"/>
      <c r="V194" s="101" t="str">
        <f t="shared" si="11"/>
        <v/>
      </c>
      <c r="W194" s="101" t="s">
        <v>236</v>
      </c>
      <c r="X194" s="101"/>
      <c r="Y194" s="101"/>
      <c r="Z194" s="101"/>
      <c r="AC194" s="259"/>
    </row>
    <row r="195" spans="1:29" x14ac:dyDescent="0.25">
      <c r="A195" s="98"/>
      <c r="B195" s="397"/>
      <c r="C195" s="395"/>
      <c r="D195" s="106" t="s">
        <v>15091</v>
      </c>
      <c r="E195" s="105" t="s">
        <v>365</v>
      </c>
      <c r="F195" s="106"/>
      <c r="G195" s="105"/>
      <c r="H195" s="392" t="s">
        <v>14731</v>
      </c>
      <c r="I195" s="391" t="s">
        <v>747</v>
      </c>
      <c r="J195" s="220" t="s">
        <v>15330</v>
      </c>
      <c r="K195" s="107" t="s">
        <v>1376</v>
      </c>
      <c r="L195" s="104"/>
      <c r="M195" s="105"/>
      <c r="N195" s="106"/>
      <c r="O195" s="107"/>
      <c r="P195" s="104"/>
      <c r="Q195" s="105"/>
      <c r="V195" s="101" t="str">
        <f t="shared" si="11"/>
        <v/>
      </c>
      <c r="W195" s="101"/>
      <c r="X195" s="101"/>
      <c r="Y195" s="101"/>
      <c r="Z195" s="101"/>
      <c r="AC195" s="259" t="str">
        <f>IFERROR(INDEX(LIST2!$F:$F,MATCH(P195,LIST2!J:J,0),1),"")</f>
        <v/>
      </c>
    </row>
    <row r="196" spans="1:29" x14ac:dyDescent="0.25">
      <c r="A196" s="98"/>
      <c r="B196" s="102"/>
      <c r="C196" s="99"/>
      <c r="D196" s="106" t="s">
        <v>15350</v>
      </c>
      <c r="E196" s="105" t="s">
        <v>7984</v>
      </c>
      <c r="F196" s="106"/>
      <c r="G196" s="105"/>
      <c r="H196" s="103" t="s">
        <v>15130</v>
      </c>
      <c r="I196" s="391" t="s">
        <v>7984</v>
      </c>
      <c r="J196" s="182" t="s">
        <v>13653</v>
      </c>
      <c r="K196" s="107" t="s">
        <v>363</v>
      </c>
      <c r="L196" s="104"/>
      <c r="M196" s="105"/>
      <c r="N196" s="106"/>
      <c r="O196" s="107"/>
      <c r="P196" s="104"/>
      <c r="Q196" s="105"/>
      <c r="V196" s="101" t="str">
        <f t="shared" si="11"/>
        <v/>
      </c>
      <c r="W196" s="101"/>
      <c r="X196" s="101"/>
      <c r="Y196" s="101"/>
      <c r="Z196" s="101"/>
      <c r="AC196" s="259"/>
    </row>
    <row r="197" spans="1:29" x14ac:dyDescent="0.25">
      <c r="A197" s="98"/>
      <c r="B197" s="102"/>
      <c r="C197" s="99"/>
      <c r="D197" s="311" t="s">
        <v>15280</v>
      </c>
      <c r="E197" s="105" t="s">
        <v>14762</v>
      </c>
      <c r="F197" s="106"/>
      <c r="G197" s="105"/>
      <c r="H197" s="392" t="s">
        <v>15224</v>
      </c>
      <c r="I197" s="392" t="s">
        <v>15078</v>
      </c>
      <c r="J197" s="182" t="s">
        <v>15204</v>
      </c>
      <c r="K197" s="391" t="s">
        <v>7984</v>
      </c>
      <c r="L197" s="104"/>
      <c r="M197" s="105"/>
      <c r="N197" s="106"/>
      <c r="O197" s="107"/>
      <c r="P197" s="104"/>
      <c r="Q197" s="105"/>
      <c r="V197" s="101" t="str">
        <f t="shared" si="11"/>
        <v/>
      </c>
      <c r="W197" s="101"/>
      <c r="X197" s="101"/>
      <c r="Y197" s="101"/>
      <c r="Z197" s="101"/>
      <c r="AC197" s="259" t="str">
        <f>IFERROR(INDEX(LIST2!$F:$F,MATCH(P197,LIST2!J:J,0),1),"")</f>
        <v/>
      </c>
    </row>
    <row r="198" spans="1:29" x14ac:dyDescent="0.25">
      <c r="A198" s="98"/>
      <c r="B198" s="102"/>
      <c r="C198" s="99"/>
      <c r="D198" s="106" t="s">
        <v>15010</v>
      </c>
      <c r="E198" s="105" t="s">
        <v>455</v>
      </c>
      <c r="F198" s="106"/>
      <c r="G198" s="105"/>
      <c r="H198" s="392" t="s">
        <v>15421</v>
      </c>
      <c r="I198" s="391" t="s">
        <v>1510</v>
      </c>
      <c r="J198" s="182"/>
      <c r="K198" s="391"/>
      <c r="L198" s="104"/>
      <c r="M198" s="105"/>
      <c r="N198" s="106"/>
      <c r="O198" s="107"/>
      <c r="P198" s="104"/>
      <c r="Q198" s="105"/>
      <c r="V198" s="101" t="str">
        <f t="shared" si="11"/>
        <v/>
      </c>
      <c r="W198" s="101"/>
      <c r="X198" s="101"/>
      <c r="Y198" s="101"/>
      <c r="Z198" s="101"/>
      <c r="AC198" s="259" t="str">
        <f>IFERROR(INDEX(LIST2!$F:$F,MATCH(P198,LIST2!J:J,0),1),"")</f>
        <v/>
      </c>
    </row>
    <row r="199" spans="1:29" x14ac:dyDescent="0.25">
      <c r="A199" s="98"/>
      <c r="B199" s="102"/>
      <c r="C199" s="99"/>
      <c r="D199" s="311" t="s">
        <v>15411</v>
      </c>
      <c r="E199" s="105" t="s">
        <v>14898</v>
      </c>
      <c r="F199" s="106"/>
      <c r="G199" s="105"/>
      <c r="H199" s="392"/>
      <c r="I199" s="392"/>
      <c r="J199" s="182"/>
      <c r="K199" s="391"/>
      <c r="L199" s="104"/>
      <c r="M199" s="105"/>
      <c r="N199" s="106"/>
      <c r="O199" s="107"/>
      <c r="P199" s="104"/>
      <c r="Q199" s="105"/>
      <c r="V199" s="101" t="str">
        <f t="shared" si="11"/>
        <v/>
      </c>
      <c r="W199" s="101"/>
      <c r="X199" s="101"/>
      <c r="Y199" s="101"/>
      <c r="Z199" s="101"/>
      <c r="AC199" s="259" t="str">
        <f>IFERROR(INDEX(LIST2!$F:$F,MATCH(P199,LIST2!J:J,0),1),"")</f>
        <v/>
      </c>
    </row>
    <row r="200" spans="1:29" x14ac:dyDescent="0.25">
      <c r="A200" s="98"/>
      <c r="B200" s="102"/>
      <c r="C200" s="99"/>
      <c r="D200" s="106"/>
      <c r="E200" s="105"/>
      <c r="F200" s="106"/>
      <c r="G200" s="105"/>
      <c r="H200" s="106"/>
      <c r="I200" s="106"/>
      <c r="J200" s="182"/>
      <c r="K200" s="391"/>
      <c r="L200" s="104"/>
      <c r="M200" s="105"/>
      <c r="N200" s="106"/>
      <c r="O200" s="107"/>
      <c r="P200" s="104"/>
      <c r="Q200" s="105"/>
      <c r="V200" s="101" t="str">
        <f t="shared" si="11"/>
        <v/>
      </c>
      <c r="W200" s="101"/>
      <c r="X200" s="101"/>
      <c r="Y200" s="101"/>
      <c r="Z200" s="101"/>
      <c r="AC200" s="259" t="str">
        <f>IFERROR(INDEX(LIST2!$F:$F,MATCH(P200,LIST2!J:J,0),1),"")</f>
        <v/>
      </c>
    </row>
    <row r="201" spans="1:29" x14ac:dyDescent="0.25">
      <c r="A201" s="98"/>
      <c r="B201" s="102"/>
      <c r="C201" s="99"/>
      <c r="D201" s="106"/>
      <c r="E201" s="105"/>
      <c r="F201" s="106"/>
      <c r="G201" s="105"/>
      <c r="H201" s="106"/>
      <c r="I201" s="106"/>
      <c r="J201" s="104"/>
      <c r="K201" s="107"/>
      <c r="L201" s="104"/>
      <c r="M201" s="105"/>
      <c r="N201" s="106"/>
      <c r="O201" s="107"/>
      <c r="P201" s="104"/>
      <c r="Q201" s="105"/>
      <c r="V201" s="101" t="str">
        <f t="shared" si="11"/>
        <v/>
      </c>
      <c r="W201" s="101"/>
      <c r="X201" s="101"/>
      <c r="Y201" s="101"/>
      <c r="Z201" s="101"/>
      <c r="AC201" s="259" t="str">
        <f>IFERROR(INDEX(LIST2!$F:$F,MATCH(P201,LIST2!J:J,0),1),"")</f>
        <v/>
      </c>
    </row>
    <row r="202" spans="1:29" x14ac:dyDescent="0.25">
      <c r="A202" s="98"/>
      <c r="B202" s="102"/>
      <c r="C202" s="99"/>
      <c r="D202" s="106"/>
      <c r="E202" s="105"/>
      <c r="F202" s="106"/>
      <c r="G202" s="105"/>
      <c r="H202" s="106"/>
      <c r="I202" s="106"/>
      <c r="J202" s="182"/>
      <c r="K202" s="107"/>
      <c r="L202" s="104"/>
      <c r="M202" s="105"/>
      <c r="N202" s="106"/>
      <c r="O202" s="107"/>
      <c r="P202" s="104"/>
      <c r="Q202" s="105"/>
      <c r="V202" s="101" t="str">
        <f t="shared" si="11"/>
        <v/>
      </c>
      <c r="W202" s="101"/>
      <c r="X202" s="101"/>
      <c r="Y202" s="101"/>
      <c r="Z202" s="101"/>
      <c r="AC202" s="259" t="str">
        <f>IFERROR(INDEX(LIST2!$F:$F,MATCH(P202,LIST2!J:J,0),1),"")</f>
        <v/>
      </c>
    </row>
    <row r="203" spans="1:29" x14ac:dyDescent="0.25">
      <c r="A203" s="98"/>
      <c r="B203" s="102"/>
      <c r="C203" s="99"/>
      <c r="D203" s="106"/>
      <c r="E203" s="105"/>
      <c r="F203" s="106"/>
      <c r="G203" s="105"/>
      <c r="H203" s="106"/>
      <c r="I203" s="106"/>
      <c r="J203" s="182"/>
      <c r="K203" s="391"/>
      <c r="L203" s="104"/>
      <c r="M203" s="105"/>
      <c r="N203" s="106"/>
      <c r="O203" s="107"/>
      <c r="P203" s="104"/>
      <c r="Q203" s="105"/>
      <c r="V203" s="101" t="str">
        <f t="shared" si="11"/>
        <v/>
      </c>
      <c r="W203" s="101"/>
      <c r="X203" s="101"/>
      <c r="Y203" s="101"/>
      <c r="Z203" s="101"/>
      <c r="AC203" s="259" t="str">
        <f>IFERROR(INDEX(LIST2!$F:$F,MATCH(P203,LIST2!J:J,0),1),"")</f>
        <v/>
      </c>
    </row>
    <row r="204" spans="1:29" x14ac:dyDescent="0.25">
      <c r="A204" s="98"/>
      <c r="B204" s="102"/>
      <c r="C204" s="99"/>
      <c r="D204" s="106"/>
      <c r="E204" s="105"/>
      <c r="F204" s="106"/>
      <c r="G204" s="105"/>
      <c r="H204" s="106"/>
      <c r="I204" s="107"/>
      <c r="J204" s="104"/>
      <c r="K204" s="107"/>
      <c r="L204" s="104"/>
      <c r="M204" s="105"/>
      <c r="N204" s="106"/>
      <c r="O204" s="107"/>
      <c r="P204" s="104"/>
      <c r="Q204" s="105"/>
      <c r="V204" s="101" t="str">
        <f t="shared" si="11"/>
        <v/>
      </c>
      <c r="W204" s="101"/>
      <c r="X204" s="101"/>
      <c r="Y204" s="101"/>
      <c r="Z204" s="101"/>
      <c r="AC204" s="259" t="str">
        <f>IFERROR(INDEX(LIST2!$F:$F,MATCH(P204,LIST2!J:J,0),1),"")</f>
        <v/>
      </c>
    </row>
    <row r="205" spans="1:29" x14ac:dyDescent="0.25">
      <c r="A205" s="98"/>
      <c r="B205" s="102"/>
      <c r="C205" s="99"/>
      <c r="D205" s="106"/>
      <c r="E205" s="105"/>
      <c r="F205" s="106"/>
      <c r="G205" s="105"/>
      <c r="H205" s="106"/>
      <c r="I205" s="107"/>
      <c r="J205" s="213"/>
      <c r="K205" s="107"/>
      <c r="L205" s="104"/>
      <c r="M205" s="105"/>
      <c r="N205" s="106"/>
      <c r="O205" s="107"/>
      <c r="P205" s="104"/>
      <c r="Q205" s="105"/>
      <c r="V205" s="101" t="str">
        <f t="shared" si="11"/>
        <v/>
      </c>
      <c r="W205" s="101"/>
      <c r="X205" s="101"/>
      <c r="Y205" s="101"/>
      <c r="Z205" s="101"/>
      <c r="AC205" s="259" t="str">
        <f>IFERROR(INDEX(LIST2!$F:$F,MATCH(P205,LIST2!J:J,0),1),"")</f>
        <v/>
      </c>
    </row>
    <row r="206" spans="1:29" x14ac:dyDescent="0.25">
      <c r="A206" s="98"/>
      <c r="B206" s="102"/>
      <c r="C206" s="99"/>
      <c r="D206" s="106"/>
      <c r="E206" s="105"/>
      <c r="F206" s="106"/>
      <c r="G206" s="105"/>
      <c r="H206" s="106"/>
      <c r="I206" s="107"/>
      <c r="J206" s="104"/>
      <c r="K206" s="107"/>
      <c r="L206" s="104"/>
      <c r="M206" s="105"/>
      <c r="N206" s="106"/>
      <c r="O206" s="107"/>
      <c r="P206" s="104"/>
      <c r="Q206" s="105"/>
      <c r="V206" s="101" t="str">
        <f t="shared" si="11"/>
        <v/>
      </c>
      <c r="W206" s="101"/>
      <c r="X206" s="101"/>
      <c r="Y206" s="101"/>
      <c r="Z206" s="101"/>
      <c r="AC206" s="259" t="str">
        <f>IFERROR(INDEX(LIST2!$F:$F,MATCH(P206,LIST2!J:J,0),1),"")</f>
        <v/>
      </c>
    </row>
    <row r="207" spans="1:29" x14ac:dyDescent="0.25">
      <c r="A207" s="98"/>
      <c r="B207" s="102"/>
      <c r="C207" s="99"/>
      <c r="D207" s="106"/>
      <c r="E207" s="105"/>
      <c r="F207" s="106"/>
      <c r="G207" s="105"/>
      <c r="H207" s="106"/>
      <c r="I207" s="107"/>
      <c r="J207" s="104"/>
      <c r="K207" s="107"/>
      <c r="L207" s="104"/>
      <c r="M207" s="105"/>
      <c r="N207" s="106"/>
      <c r="O207" s="107"/>
      <c r="P207" s="104"/>
      <c r="Q207" s="105"/>
      <c r="V207" s="101" t="str">
        <f t="shared" si="11"/>
        <v/>
      </c>
      <c r="W207" s="101"/>
      <c r="X207" s="101"/>
      <c r="Y207" s="101"/>
      <c r="Z207" s="101"/>
      <c r="AC207" s="259" t="str">
        <f>IFERROR(INDEX(LIST2!$F:$F,MATCH(P207,LIST2!J:J,0),1),"")</f>
        <v/>
      </c>
    </row>
    <row r="208" spans="1:29" x14ac:dyDescent="0.25">
      <c r="A208" s="98"/>
      <c r="B208" s="102"/>
      <c r="C208" s="99"/>
      <c r="D208" s="106"/>
      <c r="E208" s="105"/>
      <c r="F208" s="106"/>
      <c r="G208" s="105"/>
      <c r="J208" s="104"/>
      <c r="K208" s="107"/>
      <c r="L208" s="104"/>
      <c r="M208" s="105"/>
      <c r="N208" s="106"/>
      <c r="O208" s="107"/>
      <c r="P208" s="104"/>
      <c r="Q208" s="105"/>
      <c r="V208" s="101" t="str">
        <f t="shared" si="11"/>
        <v/>
      </c>
      <c r="W208" s="101"/>
      <c r="X208" s="101"/>
      <c r="Y208" s="101"/>
      <c r="Z208" s="101"/>
      <c r="AC208" s="259" t="str">
        <f>IFERROR(INDEX(LIST2!$F:$F,MATCH(P208,LIST2!J:J,0),1),"")</f>
        <v/>
      </c>
    </row>
    <row r="209" spans="1:29" x14ac:dyDescent="0.25">
      <c r="A209" s="98"/>
      <c r="B209" s="102"/>
      <c r="C209" s="99"/>
      <c r="D209" s="106"/>
      <c r="E209" s="105"/>
      <c r="F209" s="106"/>
      <c r="G209" s="105"/>
      <c r="H209" s="106"/>
      <c r="I209" s="107"/>
      <c r="J209" s="104"/>
      <c r="K209" s="107"/>
      <c r="L209" s="104"/>
      <c r="M209" s="105"/>
      <c r="N209" s="106"/>
      <c r="O209" s="107"/>
      <c r="P209" s="104"/>
      <c r="Q209" s="105"/>
      <c r="V209" s="101"/>
      <c r="W209" s="101"/>
      <c r="X209" s="101"/>
      <c r="Y209" s="101"/>
      <c r="Z209" s="101"/>
      <c r="AC209" s="259"/>
    </row>
    <row r="210" spans="1:29" x14ac:dyDescent="0.25">
      <c r="A210" s="98"/>
      <c r="B210" s="102"/>
      <c r="C210" s="99"/>
      <c r="D210" s="106"/>
      <c r="E210" s="105"/>
      <c r="F210" s="106"/>
      <c r="G210" s="105"/>
      <c r="H210" s="106"/>
      <c r="I210" s="107"/>
      <c r="J210" s="104"/>
      <c r="K210" s="107"/>
      <c r="L210" s="104"/>
      <c r="M210" s="105"/>
      <c r="N210" s="106"/>
      <c r="O210" s="107"/>
      <c r="P210" s="104"/>
      <c r="Q210" s="105"/>
      <c r="V210" s="101"/>
      <c r="W210" s="101"/>
      <c r="X210" s="101"/>
      <c r="Y210" s="101"/>
      <c r="Z210" s="101"/>
      <c r="AC210" s="259"/>
    </row>
    <row r="211" spans="1:29" x14ac:dyDescent="0.25">
      <c r="A211" s="98"/>
      <c r="B211" s="102"/>
      <c r="C211" s="99"/>
      <c r="D211" s="106"/>
      <c r="E211" s="105"/>
      <c r="F211" s="106"/>
      <c r="G211" s="105"/>
      <c r="H211" s="106"/>
      <c r="I211" s="107"/>
      <c r="J211" s="104"/>
      <c r="K211" s="107"/>
      <c r="L211" s="104"/>
      <c r="M211" s="105"/>
      <c r="N211" s="106"/>
      <c r="O211" s="107"/>
      <c r="P211" s="104"/>
      <c r="Q211" s="105"/>
      <c r="V211" s="101"/>
      <c r="W211" s="101"/>
      <c r="X211" s="101"/>
      <c r="Y211" s="101"/>
      <c r="Z211" s="101"/>
      <c r="AC211" s="259"/>
    </row>
    <row r="212" spans="1:29" x14ac:dyDescent="0.25">
      <c r="A212" s="98"/>
      <c r="B212" s="102"/>
      <c r="C212" s="99"/>
      <c r="D212" s="106"/>
      <c r="E212" s="105"/>
      <c r="F212" s="106"/>
      <c r="G212" s="105"/>
      <c r="H212" s="106"/>
      <c r="I212" s="107"/>
      <c r="J212" s="104"/>
      <c r="K212" s="107"/>
      <c r="L212" s="104"/>
      <c r="M212" s="105"/>
      <c r="N212" s="106"/>
      <c r="O212" s="107"/>
      <c r="P212" s="104"/>
      <c r="Q212" s="105"/>
      <c r="V212" s="101"/>
      <c r="W212" s="101"/>
      <c r="X212" s="101"/>
      <c r="Y212" s="101"/>
      <c r="Z212" s="101"/>
      <c r="AC212" s="259"/>
    </row>
    <row r="213" spans="1:29" x14ac:dyDescent="0.25">
      <c r="A213" s="98"/>
      <c r="B213" s="102"/>
      <c r="C213" s="99"/>
      <c r="D213" s="106"/>
      <c r="E213" s="105"/>
      <c r="F213" s="106"/>
      <c r="G213" s="105"/>
      <c r="H213" s="106"/>
      <c r="I213" s="107"/>
      <c r="J213" s="104"/>
      <c r="K213" s="107"/>
      <c r="L213" s="104"/>
      <c r="M213" s="105"/>
      <c r="N213" s="106"/>
      <c r="O213" s="107"/>
      <c r="P213" s="104"/>
      <c r="Q213" s="105"/>
      <c r="V213" s="101"/>
      <c r="W213" s="101"/>
      <c r="X213" s="101"/>
      <c r="Y213" s="101"/>
      <c r="Z213" s="101"/>
      <c r="AC213" s="259"/>
    </row>
    <row r="214" spans="1:29" x14ac:dyDescent="0.25">
      <c r="A214" s="98"/>
      <c r="B214" s="102"/>
      <c r="C214" s="99"/>
      <c r="D214" s="106"/>
      <c r="E214" s="105"/>
      <c r="F214" s="106"/>
      <c r="G214" s="105"/>
      <c r="H214" s="106"/>
      <c r="I214" s="107"/>
      <c r="J214" s="104"/>
      <c r="K214" s="107"/>
      <c r="L214" s="104"/>
      <c r="M214" s="105"/>
      <c r="N214" s="106"/>
      <c r="O214" s="107"/>
      <c r="P214" s="104"/>
      <c r="Q214" s="105"/>
      <c r="V214" s="101"/>
      <c r="W214" s="101"/>
      <c r="X214" s="101"/>
      <c r="Y214" s="101"/>
      <c r="Z214" s="101"/>
      <c r="AC214" s="259"/>
    </row>
    <row r="215" spans="1:29" x14ac:dyDescent="0.25">
      <c r="A215" s="98"/>
      <c r="B215" s="102"/>
      <c r="C215" s="99"/>
      <c r="D215" s="106"/>
      <c r="E215" s="105"/>
      <c r="F215" s="106"/>
      <c r="G215" s="105"/>
      <c r="H215" s="106"/>
      <c r="I215" s="107"/>
      <c r="J215" s="104"/>
      <c r="K215" s="107"/>
      <c r="L215" s="104"/>
      <c r="M215" s="105"/>
      <c r="N215" s="106"/>
      <c r="O215" s="107"/>
      <c r="P215" s="104"/>
      <c r="Q215" s="105"/>
      <c r="V215" s="101"/>
      <c r="W215" s="101"/>
      <c r="X215" s="101"/>
      <c r="Y215" s="101"/>
      <c r="Z215" s="101"/>
      <c r="AC215" s="259"/>
    </row>
    <row r="216" spans="1:29" x14ac:dyDescent="0.25">
      <c r="A216" s="98"/>
      <c r="B216" s="102"/>
      <c r="C216" s="99"/>
      <c r="D216" s="106"/>
      <c r="E216" s="105"/>
      <c r="F216" s="106"/>
      <c r="G216" s="105"/>
      <c r="H216" s="106"/>
      <c r="I216" s="107"/>
      <c r="J216" s="104"/>
      <c r="K216" s="107"/>
      <c r="L216" s="104"/>
      <c r="M216" s="105"/>
      <c r="N216" s="106"/>
      <c r="O216" s="107"/>
      <c r="P216" s="104"/>
      <c r="Q216" s="105"/>
      <c r="V216" s="101"/>
      <c r="W216" s="101"/>
      <c r="X216" s="101"/>
      <c r="Y216" s="101"/>
      <c r="Z216" s="101"/>
      <c r="AC216" s="259"/>
    </row>
    <row r="217" spans="1:29" x14ac:dyDescent="0.25">
      <c r="A217" s="98"/>
      <c r="B217" s="102"/>
      <c r="C217" s="99"/>
      <c r="D217" s="106"/>
      <c r="E217" s="105"/>
      <c r="F217" s="106"/>
      <c r="G217" s="105"/>
      <c r="H217" s="106"/>
      <c r="I217" s="107"/>
      <c r="J217" s="104"/>
      <c r="K217" s="107"/>
      <c r="L217" s="104"/>
      <c r="M217" s="105"/>
      <c r="N217" s="106"/>
      <c r="O217" s="107"/>
      <c r="P217" s="104"/>
      <c r="Q217" s="105"/>
      <c r="V217" s="101"/>
      <c r="W217" s="101"/>
      <c r="X217" s="101"/>
      <c r="Y217" s="101"/>
      <c r="Z217" s="101"/>
      <c r="AC217" s="259"/>
    </row>
    <row r="218" spans="1:29" x14ac:dyDescent="0.25">
      <c r="A218" s="98"/>
      <c r="B218" s="102"/>
      <c r="C218" s="99"/>
      <c r="D218" s="106"/>
      <c r="E218" s="105"/>
      <c r="F218" s="106"/>
      <c r="G218" s="105"/>
      <c r="H218" s="106"/>
      <c r="I218" s="107"/>
      <c r="J218" s="104"/>
      <c r="K218" s="107"/>
      <c r="L218" s="104"/>
      <c r="M218" s="105"/>
      <c r="N218" s="106"/>
      <c r="O218" s="107"/>
      <c r="P218" s="104"/>
      <c r="Q218" s="105"/>
      <c r="V218" s="101"/>
      <c r="W218" s="101"/>
      <c r="X218" s="101"/>
      <c r="Y218" s="101"/>
      <c r="Z218" s="101"/>
      <c r="AC218" s="259"/>
    </row>
    <row r="219" spans="1:29" x14ac:dyDescent="0.25">
      <c r="A219" s="98"/>
      <c r="B219" s="102"/>
      <c r="C219" s="99"/>
      <c r="D219" s="106"/>
      <c r="E219" s="105"/>
      <c r="F219" s="106"/>
      <c r="G219" s="105"/>
      <c r="H219" s="106"/>
      <c r="I219" s="107"/>
      <c r="J219" s="104"/>
      <c r="K219" s="107"/>
      <c r="L219" s="104"/>
      <c r="M219" s="105"/>
      <c r="N219" s="106"/>
      <c r="O219" s="107"/>
      <c r="P219" s="104"/>
      <c r="Q219" s="105"/>
      <c r="V219" s="101"/>
      <c r="W219" s="101"/>
      <c r="X219" s="101"/>
      <c r="Y219" s="101"/>
      <c r="Z219" s="101"/>
      <c r="AC219" s="259"/>
    </row>
    <row r="220" spans="1:29" x14ac:dyDescent="0.25">
      <c r="A220" s="98"/>
      <c r="B220" s="102"/>
      <c r="C220" s="99"/>
      <c r="D220" s="106"/>
      <c r="E220" s="105"/>
      <c r="F220" s="106"/>
      <c r="G220" s="105"/>
      <c r="H220" s="106"/>
      <c r="I220" s="107"/>
      <c r="J220" s="104"/>
      <c r="K220" s="107"/>
      <c r="L220" s="104"/>
      <c r="M220" s="105"/>
      <c r="N220" s="106"/>
      <c r="O220" s="107"/>
      <c r="P220" s="104"/>
      <c r="Q220" s="105"/>
      <c r="V220" s="101" t="str">
        <f t="shared" si="11"/>
        <v/>
      </c>
      <c r="W220" s="101"/>
      <c r="X220" s="101"/>
      <c r="Y220" s="101"/>
      <c r="Z220" s="101"/>
      <c r="AC220" s="259" t="str">
        <f>IFERROR(INDEX(LIST2!$F:$F,MATCH(P220,LIST2!J:J,0),1),"")</f>
        <v/>
      </c>
    </row>
    <row r="221" spans="1:29" ht="16.5" thickBot="1" x14ac:dyDescent="0.3">
      <c r="A221" s="89" t="s">
        <v>3</v>
      </c>
      <c r="B221" s="95">
        <f>COUNTA(B193:B220)</f>
        <v>2</v>
      </c>
      <c r="C221" s="93"/>
      <c r="D221" s="92">
        <f>COUNTA(D193:D220)</f>
        <v>7</v>
      </c>
      <c r="E221" s="91"/>
      <c r="F221" s="92">
        <f>COUNTA(F193:F220)</f>
        <v>2</v>
      </c>
      <c r="G221" s="91"/>
      <c r="H221" s="92">
        <f>COUNTA(H193:H220)</f>
        <v>6</v>
      </c>
      <c r="I221" s="94"/>
      <c r="J221" s="90">
        <f>COUNTA(J193:J220)</f>
        <v>5</v>
      </c>
      <c r="K221" s="94"/>
      <c r="L221" s="90">
        <f>COUNTA(L193:L220)</f>
        <v>2</v>
      </c>
      <c r="M221" s="91"/>
      <c r="N221" s="92">
        <f>COUNTA(N193:N220)</f>
        <v>2</v>
      </c>
      <c r="O221" s="94"/>
      <c r="P221" s="266">
        <f>COUNTA(P193:P220)</f>
        <v>0</v>
      </c>
      <c r="Q221" s="267"/>
      <c r="R221" s="96">
        <f>COUNTIF(V193:V220,"ROBBING")</f>
        <v>0</v>
      </c>
      <c r="S221" s="96">
        <f>'FINAL LIST WITH REMARKS'!Z2394</f>
        <v>252</v>
      </c>
      <c r="T221" s="96">
        <f>SUM(B221:Q221)</f>
        <v>26</v>
      </c>
      <c r="U221" s="96">
        <f>'For Explo'!J460</f>
        <v>26</v>
      </c>
      <c r="V221" s="97">
        <f>COUNTIF(V193:V220,"ROBBING")</f>
        <v>0</v>
      </c>
      <c r="W221" s="97">
        <f>COUNTA(W193:W220)</f>
        <v>2</v>
      </c>
      <c r="X221" s="97">
        <f>COUNTA(X193:X220)</f>
        <v>0</v>
      </c>
      <c r="Y221" s="97">
        <f>COUNTA(Y193:Y220)</f>
        <v>0</v>
      </c>
      <c r="Z221" s="97">
        <f>COUNTA(Z193:Z220)</f>
        <v>0</v>
      </c>
      <c r="AC221" s="259" t="str">
        <f>IFERROR(INDEX(LIST2!$F:$F,MATCH(P221,LIST2!J:J,0),1),"")</f>
        <v/>
      </c>
    </row>
    <row r="222" spans="1:29" ht="16.5" thickTop="1" x14ac:dyDescent="0.25">
      <c r="A222" s="98" t="s">
        <v>14094</v>
      </c>
      <c r="B222" s="102"/>
      <c r="C222" s="99"/>
      <c r="D222" s="106"/>
      <c r="E222" s="105"/>
      <c r="F222" s="106"/>
      <c r="G222" s="105"/>
      <c r="H222" s="103" t="s">
        <v>14812</v>
      </c>
      <c r="I222" s="106" t="s">
        <v>6926</v>
      </c>
      <c r="J222" s="362" t="s">
        <v>15400</v>
      </c>
      <c r="K222" s="107" t="s">
        <v>6932</v>
      </c>
      <c r="L222" s="104"/>
      <c r="M222" s="105"/>
      <c r="N222" s="103" t="s">
        <v>14624</v>
      </c>
      <c r="O222" s="107" t="s">
        <v>7716</v>
      </c>
      <c r="P222" s="104"/>
      <c r="Q222" s="105"/>
      <c r="V222" s="101" t="str">
        <f t="shared" ref="V222:V237" si="12">IF((RIGHT(P222,7)="ROBBING"),"ROBBING","")</f>
        <v/>
      </c>
      <c r="W222" s="101" t="s">
        <v>236</v>
      </c>
      <c r="X222" s="101"/>
      <c r="Y222" s="101"/>
      <c r="Z222" s="101"/>
      <c r="AC222" s="259"/>
    </row>
    <row r="223" spans="1:29" x14ac:dyDescent="0.25">
      <c r="A223" s="98"/>
      <c r="B223" s="102"/>
      <c r="C223" s="99"/>
      <c r="D223" s="106"/>
      <c r="E223" s="105"/>
      <c r="F223" s="106"/>
      <c r="G223" s="105"/>
      <c r="H223" s="103" t="s">
        <v>14914</v>
      </c>
      <c r="I223" s="106" t="s">
        <v>14901</v>
      </c>
      <c r="J223" s="104"/>
      <c r="K223" s="107"/>
      <c r="L223" s="104"/>
      <c r="M223" s="105"/>
      <c r="N223" s="311" t="s">
        <v>15371</v>
      </c>
      <c r="O223" s="107" t="s">
        <v>8682</v>
      </c>
      <c r="P223" s="104"/>
      <c r="Q223" s="105"/>
      <c r="V223" s="101" t="str">
        <f t="shared" si="12"/>
        <v/>
      </c>
      <c r="W223" s="101"/>
      <c r="X223" s="101"/>
      <c r="Y223" s="101"/>
      <c r="Z223" s="101"/>
      <c r="AC223" s="259"/>
    </row>
    <row r="224" spans="1:29" x14ac:dyDescent="0.25">
      <c r="A224" s="98"/>
      <c r="B224" s="102"/>
      <c r="C224" s="99"/>
      <c r="D224" s="106"/>
      <c r="E224" s="105"/>
      <c r="F224" s="106"/>
      <c r="G224" s="105"/>
      <c r="H224" s="103" t="s">
        <v>15044</v>
      </c>
      <c r="I224" s="106" t="s">
        <v>15055</v>
      </c>
      <c r="J224" s="104"/>
      <c r="K224" s="107"/>
      <c r="L224" s="104"/>
      <c r="M224" s="105"/>
      <c r="N224" s="106"/>
      <c r="O224" s="107"/>
      <c r="P224" s="104"/>
      <c r="Q224" s="105"/>
      <c r="V224" s="101" t="str">
        <f t="shared" si="12"/>
        <v/>
      </c>
      <c r="W224" s="101"/>
      <c r="X224" s="101"/>
      <c r="Y224" s="101"/>
      <c r="Z224" s="101"/>
      <c r="AC224" s="259"/>
    </row>
    <row r="225" spans="1:29" x14ac:dyDescent="0.25">
      <c r="A225" s="98"/>
      <c r="B225" s="102"/>
      <c r="C225" s="99"/>
      <c r="D225" s="106"/>
      <c r="E225" s="105"/>
      <c r="F225" s="106"/>
      <c r="G225" s="105"/>
      <c r="H225" s="103" t="s">
        <v>15038</v>
      </c>
      <c r="I225" s="106" t="s">
        <v>6932</v>
      </c>
      <c r="J225" s="104"/>
      <c r="K225" s="107"/>
      <c r="L225" s="104"/>
      <c r="M225" s="105"/>
      <c r="N225" s="106"/>
      <c r="O225" s="107"/>
      <c r="P225" s="104"/>
      <c r="Q225" s="105"/>
      <c r="V225" s="101" t="str">
        <f t="shared" si="12"/>
        <v/>
      </c>
      <c r="W225" s="101"/>
      <c r="X225" s="101"/>
      <c r="Y225" s="101"/>
      <c r="Z225" s="101"/>
      <c r="AC225" s="259"/>
    </row>
    <row r="226" spans="1:29" x14ac:dyDescent="0.25">
      <c r="A226" s="98"/>
      <c r="B226" s="102"/>
      <c r="C226" s="99"/>
      <c r="D226" s="106"/>
      <c r="E226" s="105"/>
      <c r="F226" s="106"/>
      <c r="G226" s="105"/>
      <c r="H226" s="103" t="s">
        <v>15313</v>
      </c>
      <c r="I226" s="106" t="s">
        <v>15055</v>
      </c>
      <c r="J226" s="104"/>
      <c r="K226" s="107"/>
      <c r="L226" s="104"/>
      <c r="M226" s="105"/>
      <c r="N226" s="106"/>
      <c r="O226" s="107"/>
      <c r="P226" s="104"/>
      <c r="Q226" s="105"/>
      <c r="V226" s="101" t="str">
        <f t="shared" si="12"/>
        <v/>
      </c>
      <c r="W226" s="101"/>
      <c r="X226" s="101"/>
      <c r="Y226" s="101"/>
      <c r="Z226" s="101"/>
      <c r="AC226" s="259"/>
    </row>
    <row r="227" spans="1:29" x14ac:dyDescent="0.25">
      <c r="A227" s="98"/>
      <c r="B227" s="102"/>
      <c r="C227" s="99"/>
      <c r="D227" s="106"/>
      <c r="E227" s="105"/>
      <c r="F227" s="106"/>
      <c r="G227" s="105"/>
      <c r="H227" s="392"/>
      <c r="I227" s="392"/>
      <c r="J227" s="104"/>
      <c r="K227" s="107"/>
      <c r="L227" s="104"/>
      <c r="M227" s="105"/>
      <c r="N227" s="106"/>
      <c r="O227" s="107"/>
      <c r="P227" s="104"/>
      <c r="Q227" s="105"/>
      <c r="V227" s="101" t="str">
        <f t="shared" si="12"/>
        <v/>
      </c>
      <c r="W227" s="101"/>
      <c r="X227" s="101"/>
      <c r="Y227" s="101"/>
      <c r="Z227" s="101"/>
      <c r="AC227" s="259"/>
    </row>
    <row r="228" spans="1:29" x14ac:dyDescent="0.25">
      <c r="A228" s="98"/>
      <c r="B228" s="102"/>
      <c r="C228" s="99"/>
      <c r="D228" s="106"/>
      <c r="E228" s="105"/>
      <c r="F228" s="106"/>
      <c r="G228" s="105"/>
      <c r="H228" s="106"/>
      <c r="I228" s="106"/>
      <c r="J228" s="104"/>
      <c r="K228" s="107"/>
      <c r="L228" s="104"/>
      <c r="M228" s="105"/>
      <c r="N228" s="106"/>
      <c r="O228" s="107"/>
      <c r="P228" s="104"/>
      <c r="Q228" s="105"/>
      <c r="V228" s="101" t="str">
        <f t="shared" si="12"/>
        <v/>
      </c>
      <c r="W228" s="101"/>
      <c r="X228" s="101"/>
      <c r="Y228" s="101"/>
      <c r="Z228" s="101"/>
      <c r="AC228" s="259"/>
    </row>
    <row r="229" spans="1:29" x14ac:dyDescent="0.25">
      <c r="A229" s="98"/>
      <c r="B229" s="102"/>
      <c r="C229" s="99"/>
      <c r="D229" s="106"/>
      <c r="E229" s="105"/>
      <c r="F229" s="106"/>
      <c r="G229" s="105"/>
      <c r="H229" s="106"/>
      <c r="I229" s="106"/>
      <c r="J229" s="104"/>
      <c r="K229" s="107"/>
      <c r="L229" s="104"/>
      <c r="M229" s="105"/>
      <c r="N229" s="106"/>
      <c r="O229" s="107"/>
      <c r="P229" s="104"/>
      <c r="Q229" s="105"/>
      <c r="V229" s="101" t="str">
        <f t="shared" si="12"/>
        <v/>
      </c>
      <c r="W229" s="101"/>
      <c r="X229" s="101"/>
      <c r="Y229" s="101"/>
      <c r="Z229" s="101"/>
      <c r="AC229" s="259"/>
    </row>
    <row r="230" spans="1:29" x14ac:dyDescent="0.25">
      <c r="A230" s="98"/>
      <c r="B230" s="102"/>
      <c r="C230" s="99"/>
      <c r="D230" s="106"/>
      <c r="E230" s="105"/>
      <c r="F230" s="106"/>
      <c r="G230" s="105"/>
      <c r="H230" s="106"/>
      <c r="I230" s="106"/>
      <c r="J230" s="104"/>
      <c r="K230" s="107"/>
      <c r="L230" s="104"/>
      <c r="M230" s="105"/>
      <c r="N230" s="106"/>
      <c r="O230" s="107"/>
      <c r="P230" s="104"/>
      <c r="Q230" s="105"/>
      <c r="V230" s="101" t="str">
        <f t="shared" si="12"/>
        <v/>
      </c>
      <c r="W230" s="101"/>
      <c r="X230" s="101"/>
      <c r="Y230" s="101"/>
      <c r="Z230" s="101"/>
      <c r="AC230" s="259"/>
    </row>
    <row r="231" spans="1:29" x14ac:dyDescent="0.25">
      <c r="A231" s="98"/>
      <c r="B231" s="102"/>
      <c r="C231" s="99"/>
      <c r="D231" s="106"/>
      <c r="E231" s="105"/>
      <c r="F231" s="106"/>
      <c r="G231" s="105"/>
      <c r="H231" s="106"/>
      <c r="I231" s="106"/>
      <c r="J231" s="104"/>
      <c r="K231" s="107"/>
      <c r="L231" s="104"/>
      <c r="M231" s="105"/>
      <c r="N231" s="106"/>
      <c r="O231" s="107"/>
      <c r="P231" s="104"/>
      <c r="Q231" s="105"/>
      <c r="V231" s="101" t="str">
        <f t="shared" si="12"/>
        <v/>
      </c>
      <c r="W231" s="101"/>
      <c r="X231" s="101"/>
      <c r="Y231" s="101"/>
      <c r="Z231" s="101"/>
      <c r="AC231" s="259"/>
    </row>
    <row r="232" spans="1:29" x14ac:dyDescent="0.25">
      <c r="A232" s="98"/>
      <c r="B232" s="102"/>
      <c r="C232" s="99"/>
      <c r="D232" s="106"/>
      <c r="E232" s="105"/>
      <c r="F232" s="106"/>
      <c r="G232" s="105"/>
      <c r="H232" s="106"/>
      <c r="I232" s="106"/>
      <c r="J232" s="104"/>
      <c r="K232" s="107"/>
      <c r="L232" s="104"/>
      <c r="M232" s="105"/>
      <c r="N232" s="106"/>
      <c r="O232" s="107"/>
      <c r="P232" s="104"/>
      <c r="Q232" s="105"/>
      <c r="V232" s="101" t="str">
        <f t="shared" si="12"/>
        <v/>
      </c>
      <c r="W232" s="101"/>
      <c r="X232" s="101"/>
      <c r="Y232" s="101"/>
      <c r="Z232" s="101"/>
      <c r="AC232" s="259" t="str">
        <f>IFERROR(INDEX(LIST2!$F:$F,MATCH(P232,LIST2!J:J,0),1),"")</f>
        <v/>
      </c>
    </row>
    <row r="233" spans="1:29" x14ac:dyDescent="0.25">
      <c r="A233" s="98"/>
      <c r="B233" s="102"/>
      <c r="C233" s="99"/>
      <c r="D233" s="106"/>
      <c r="E233" s="105"/>
      <c r="F233" s="106"/>
      <c r="G233" s="105"/>
      <c r="H233" s="106"/>
      <c r="I233" s="107"/>
      <c r="J233" s="104"/>
      <c r="K233" s="107"/>
      <c r="L233" s="104"/>
      <c r="M233" s="105"/>
      <c r="N233" s="106"/>
      <c r="O233" s="107"/>
      <c r="P233" s="104"/>
      <c r="Q233" s="105"/>
      <c r="V233" s="101" t="str">
        <f t="shared" si="12"/>
        <v/>
      </c>
      <c r="W233" s="101"/>
      <c r="X233" s="101"/>
      <c r="Y233" s="101"/>
      <c r="Z233" s="101"/>
      <c r="AC233" s="259" t="str">
        <f>IFERROR(INDEX(LIST2!$F:$F,MATCH(P233,LIST2!J:J,0),1),"")</f>
        <v/>
      </c>
    </row>
    <row r="234" spans="1:29" x14ac:dyDescent="0.25">
      <c r="A234" s="98"/>
      <c r="B234" s="102"/>
      <c r="C234" s="99"/>
      <c r="D234" s="106"/>
      <c r="E234" s="105"/>
      <c r="F234" s="106"/>
      <c r="G234" s="105"/>
      <c r="H234" s="106"/>
      <c r="I234" s="107"/>
      <c r="J234" s="213"/>
      <c r="K234" s="107"/>
      <c r="L234" s="104"/>
      <c r="M234" s="105"/>
      <c r="N234" s="106"/>
      <c r="O234" s="107"/>
      <c r="P234" s="104"/>
      <c r="Q234" s="105"/>
      <c r="V234" s="101" t="str">
        <f t="shared" si="12"/>
        <v/>
      </c>
      <c r="W234" s="101"/>
      <c r="X234" s="101"/>
      <c r="Y234" s="101"/>
      <c r="Z234" s="101"/>
      <c r="AC234" s="259" t="str">
        <f>IFERROR(INDEX(LIST2!$F:$F,MATCH(P234,LIST2!J:J,0),1),"")</f>
        <v/>
      </c>
    </row>
    <row r="235" spans="1:29" x14ac:dyDescent="0.25">
      <c r="A235" s="98"/>
      <c r="B235" s="102"/>
      <c r="C235" s="99"/>
      <c r="D235" s="106"/>
      <c r="E235" s="105"/>
      <c r="F235" s="106"/>
      <c r="G235" s="105"/>
      <c r="H235" s="106"/>
      <c r="I235" s="107"/>
      <c r="J235" s="104"/>
      <c r="K235" s="107"/>
      <c r="L235" s="104"/>
      <c r="M235" s="105"/>
      <c r="N235" s="106"/>
      <c r="O235" s="107"/>
      <c r="P235" s="104"/>
      <c r="Q235" s="105"/>
      <c r="V235" s="101" t="str">
        <f t="shared" si="12"/>
        <v/>
      </c>
      <c r="W235" s="101"/>
      <c r="X235" s="101"/>
      <c r="Y235" s="101"/>
      <c r="Z235" s="101"/>
      <c r="AC235" s="259" t="str">
        <f>IFERROR(INDEX(LIST2!$F:$F,MATCH(P235,LIST2!J:J,0),1),"")</f>
        <v/>
      </c>
    </row>
    <row r="236" spans="1:29" x14ac:dyDescent="0.25">
      <c r="A236" s="98"/>
      <c r="B236" s="102"/>
      <c r="C236" s="99"/>
      <c r="D236" s="106"/>
      <c r="E236" s="105"/>
      <c r="F236" s="106"/>
      <c r="G236" s="105"/>
      <c r="H236" s="106"/>
      <c r="I236" s="107"/>
      <c r="J236" s="104"/>
      <c r="K236" s="107"/>
      <c r="L236" s="104"/>
      <c r="M236" s="105"/>
      <c r="N236" s="106"/>
      <c r="O236" s="107"/>
      <c r="P236" s="104"/>
      <c r="Q236" s="105"/>
      <c r="V236" s="101" t="str">
        <f t="shared" si="12"/>
        <v/>
      </c>
      <c r="W236" s="101"/>
      <c r="X236" s="101"/>
      <c r="Y236" s="101"/>
      <c r="Z236" s="101"/>
      <c r="AC236" s="259" t="str">
        <f>IFERROR(INDEX(LIST2!$F:$F,MATCH(P236,LIST2!J:J,0),1),"")</f>
        <v/>
      </c>
    </row>
    <row r="237" spans="1:29" x14ac:dyDescent="0.25">
      <c r="A237" s="98"/>
      <c r="B237" s="102"/>
      <c r="C237" s="99"/>
      <c r="D237" s="106"/>
      <c r="E237" s="105"/>
      <c r="F237" s="106"/>
      <c r="G237" s="105"/>
      <c r="J237" s="104"/>
      <c r="K237" s="107"/>
      <c r="L237" s="104"/>
      <c r="M237" s="105"/>
      <c r="N237" s="106"/>
      <c r="O237" s="107"/>
      <c r="P237" s="104"/>
      <c r="Q237" s="105"/>
      <c r="V237" s="101" t="str">
        <f t="shared" si="12"/>
        <v/>
      </c>
      <c r="W237" s="101"/>
      <c r="X237" s="101"/>
      <c r="Y237" s="101"/>
      <c r="Z237" s="101"/>
      <c r="AC237" s="259" t="str">
        <f>IFERROR(INDEX(LIST2!$F:$F,MATCH(P237,LIST2!J:J,0),1),"")</f>
        <v/>
      </c>
    </row>
    <row r="238" spans="1:29" x14ac:dyDescent="0.25">
      <c r="A238" s="98"/>
      <c r="B238" s="102"/>
      <c r="C238" s="99"/>
      <c r="D238" s="106"/>
      <c r="E238" s="105"/>
      <c r="F238" s="106"/>
      <c r="G238" s="105"/>
      <c r="H238" s="106"/>
      <c r="I238" s="107"/>
      <c r="J238" s="104"/>
      <c r="K238" s="107"/>
      <c r="L238" s="104"/>
      <c r="M238" s="105"/>
      <c r="N238" s="106"/>
      <c r="O238" s="107"/>
      <c r="P238" s="104"/>
      <c r="Q238" s="105"/>
      <c r="V238" s="101"/>
      <c r="W238" s="101"/>
      <c r="X238" s="101"/>
      <c r="Y238" s="101"/>
      <c r="Z238" s="101"/>
      <c r="AC238" s="259"/>
    </row>
    <row r="239" spans="1:29" x14ac:dyDescent="0.25">
      <c r="A239" s="98"/>
      <c r="B239" s="102"/>
      <c r="C239" s="99"/>
      <c r="D239" s="106"/>
      <c r="E239" s="105"/>
      <c r="F239" s="106"/>
      <c r="G239" s="105"/>
      <c r="H239" s="106"/>
      <c r="I239" s="107"/>
      <c r="J239" s="104"/>
      <c r="K239" s="107"/>
      <c r="L239" s="104"/>
      <c r="M239" s="105"/>
      <c r="N239" s="106"/>
      <c r="O239" s="107"/>
      <c r="P239" s="104"/>
      <c r="Q239" s="105"/>
      <c r="V239" s="101"/>
      <c r="W239" s="101"/>
      <c r="X239" s="101"/>
      <c r="Y239" s="101"/>
      <c r="Z239" s="101"/>
      <c r="AC239" s="259"/>
    </row>
    <row r="240" spans="1:29" x14ac:dyDescent="0.25">
      <c r="A240" s="98"/>
      <c r="B240" s="102"/>
      <c r="C240" s="99"/>
      <c r="D240" s="106"/>
      <c r="E240" s="105"/>
      <c r="F240" s="106"/>
      <c r="G240" s="105"/>
      <c r="H240" s="106"/>
      <c r="I240" s="107"/>
      <c r="J240" s="104"/>
      <c r="K240" s="107"/>
      <c r="L240" s="104"/>
      <c r="M240" s="105"/>
      <c r="N240" s="106"/>
      <c r="O240" s="107"/>
      <c r="P240" s="104"/>
      <c r="Q240" s="105"/>
      <c r="V240" s="101"/>
      <c r="W240" s="101"/>
      <c r="X240" s="101"/>
      <c r="Y240" s="101"/>
      <c r="Z240" s="101"/>
      <c r="AC240" s="259"/>
    </row>
    <row r="241" spans="1:29" x14ac:dyDescent="0.25">
      <c r="A241" s="98"/>
      <c r="B241" s="102"/>
      <c r="C241" s="99"/>
      <c r="D241" s="106"/>
      <c r="E241" s="105"/>
      <c r="F241" s="106"/>
      <c r="G241" s="105"/>
      <c r="H241" s="106"/>
      <c r="I241" s="107"/>
      <c r="J241" s="104"/>
      <c r="K241" s="107"/>
      <c r="L241" s="104"/>
      <c r="M241" s="105"/>
      <c r="N241" s="106"/>
      <c r="O241" s="107"/>
      <c r="P241" s="104"/>
      <c r="Q241" s="105"/>
      <c r="V241" s="101"/>
      <c r="W241" s="101"/>
      <c r="X241" s="101"/>
      <c r="Y241" s="101"/>
      <c r="Z241" s="101"/>
      <c r="AC241" s="259"/>
    </row>
    <row r="242" spans="1:29" x14ac:dyDescent="0.25">
      <c r="A242" s="98"/>
      <c r="B242" s="102"/>
      <c r="C242" s="99"/>
      <c r="D242" s="106"/>
      <c r="E242" s="105"/>
      <c r="F242" s="106"/>
      <c r="G242" s="105"/>
      <c r="H242" s="106"/>
      <c r="I242" s="107"/>
      <c r="J242" s="104"/>
      <c r="K242" s="107"/>
      <c r="L242" s="104"/>
      <c r="M242" s="105"/>
      <c r="N242" s="106"/>
      <c r="O242" s="107"/>
      <c r="P242" s="104"/>
      <c r="Q242" s="105"/>
      <c r="V242" s="101"/>
      <c r="W242" s="101"/>
      <c r="X242" s="101"/>
      <c r="Y242" s="101"/>
      <c r="Z242" s="101"/>
      <c r="AC242" s="259"/>
    </row>
    <row r="243" spans="1:29" x14ac:dyDescent="0.25">
      <c r="A243" s="98"/>
      <c r="B243" s="102"/>
      <c r="C243" s="99"/>
      <c r="D243" s="106"/>
      <c r="E243" s="105"/>
      <c r="F243" s="106"/>
      <c r="G243" s="105"/>
      <c r="H243" s="106"/>
      <c r="I243" s="107"/>
      <c r="J243" s="104"/>
      <c r="K243" s="107"/>
      <c r="L243" s="104"/>
      <c r="M243" s="105"/>
      <c r="N243" s="106"/>
      <c r="O243" s="107"/>
      <c r="P243" s="104"/>
      <c r="Q243" s="105"/>
      <c r="V243" s="101"/>
      <c r="W243" s="101"/>
      <c r="X243" s="101"/>
      <c r="Y243" s="101"/>
      <c r="Z243" s="101"/>
      <c r="AC243" s="259"/>
    </row>
    <row r="244" spans="1:29" x14ac:dyDescent="0.25">
      <c r="A244" s="98"/>
      <c r="B244" s="102"/>
      <c r="C244" s="99"/>
      <c r="D244" s="106"/>
      <c r="E244" s="105"/>
      <c r="F244" s="106"/>
      <c r="G244" s="105"/>
      <c r="H244" s="106"/>
      <c r="I244" s="107"/>
      <c r="J244" s="104"/>
      <c r="K244" s="107"/>
      <c r="L244" s="104"/>
      <c r="M244" s="105"/>
      <c r="N244" s="106"/>
      <c r="O244" s="107"/>
      <c r="P244" s="104"/>
      <c r="Q244" s="105"/>
      <c r="V244" s="101"/>
      <c r="W244" s="101"/>
      <c r="X244" s="101"/>
      <c r="Y244" s="101"/>
      <c r="Z244" s="101"/>
      <c r="AC244" s="259"/>
    </row>
    <row r="245" spans="1:29" x14ac:dyDescent="0.25">
      <c r="A245" s="98"/>
      <c r="B245" s="102"/>
      <c r="C245" s="99"/>
      <c r="D245" s="106"/>
      <c r="E245" s="105"/>
      <c r="F245" s="106"/>
      <c r="G245" s="105"/>
      <c r="H245" s="106"/>
      <c r="I245" s="107"/>
      <c r="J245" s="104"/>
      <c r="K245" s="107"/>
      <c r="L245" s="104"/>
      <c r="M245" s="105"/>
      <c r="N245" s="106"/>
      <c r="O245" s="107"/>
      <c r="P245" s="104"/>
      <c r="Q245" s="105"/>
      <c r="V245" s="101"/>
      <c r="W245" s="101"/>
      <c r="X245" s="101"/>
      <c r="Y245" s="101"/>
      <c r="Z245" s="101"/>
      <c r="AC245" s="259"/>
    </row>
    <row r="246" spans="1:29" x14ac:dyDescent="0.25">
      <c r="A246" s="98"/>
      <c r="B246" s="102"/>
      <c r="C246" s="99"/>
      <c r="D246" s="106"/>
      <c r="E246" s="105"/>
      <c r="F246" s="106"/>
      <c r="G246" s="105"/>
      <c r="H246" s="106"/>
      <c r="I246" s="107"/>
      <c r="J246" s="104"/>
      <c r="K246" s="107"/>
      <c r="L246" s="104"/>
      <c r="M246" s="105"/>
      <c r="N246" s="106"/>
      <c r="O246" s="107"/>
      <c r="P246" s="104"/>
      <c r="Q246" s="105"/>
      <c r="V246" s="101"/>
      <c r="W246" s="101"/>
      <c r="X246" s="101"/>
      <c r="Y246" s="101"/>
      <c r="Z246" s="101"/>
      <c r="AC246" s="259"/>
    </row>
    <row r="247" spans="1:29" x14ac:dyDescent="0.25">
      <c r="A247" s="98"/>
      <c r="B247" s="102"/>
      <c r="C247" s="99"/>
      <c r="D247" s="106"/>
      <c r="E247" s="105"/>
      <c r="F247" s="106"/>
      <c r="G247" s="105"/>
      <c r="H247" s="106"/>
      <c r="I247" s="107"/>
      <c r="J247" s="104"/>
      <c r="K247" s="107"/>
      <c r="L247" s="104"/>
      <c r="M247" s="105"/>
      <c r="N247" s="106"/>
      <c r="O247" s="107"/>
      <c r="P247" s="104"/>
      <c r="Q247" s="105"/>
      <c r="V247" s="101"/>
      <c r="W247" s="101"/>
      <c r="X247" s="101"/>
      <c r="Y247" s="101"/>
      <c r="Z247" s="101"/>
      <c r="AC247" s="259"/>
    </row>
    <row r="248" spans="1:29" x14ac:dyDescent="0.25">
      <c r="A248" s="98"/>
      <c r="B248" s="102"/>
      <c r="C248" s="99"/>
      <c r="D248" s="106"/>
      <c r="E248" s="105"/>
      <c r="F248" s="106"/>
      <c r="G248" s="105"/>
      <c r="H248" s="106"/>
      <c r="I248" s="107"/>
      <c r="J248" s="104"/>
      <c r="K248" s="107"/>
      <c r="L248" s="104"/>
      <c r="M248" s="105"/>
      <c r="N248" s="106"/>
      <c r="O248" s="107"/>
      <c r="P248" s="104"/>
      <c r="Q248" s="105"/>
      <c r="V248" s="101"/>
      <c r="W248" s="101"/>
      <c r="X248" s="101"/>
      <c r="Y248" s="101"/>
      <c r="Z248" s="101"/>
      <c r="AC248" s="259"/>
    </row>
    <row r="249" spans="1:29" x14ac:dyDescent="0.25">
      <c r="A249" s="98"/>
      <c r="B249" s="102"/>
      <c r="C249" s="99"/>
      <c r="D249" s="106"/>
      <c r="E249" s="105"/>
      <c r="F249" s="106"/>
      <c r="G249" s="105"/>
      <c r="H249" s="106"/>
      <c r="I249" s="107"/>
      <c r="J249" s="104"/>
      <c r="K249" s="107"/>
      <c r="L249" s="104"/>
      <c r="M249" s="105"/>
      <c r="N249" s="106"/>
      <c r="O249" s="107"/>
      <c r="P249" s="104"/>
      <c r="Q249" s="105"/>
      <c r="V249" s="101" t="str">
        <f>IF((RIGHT(P249,7)="ROBBING"),"ROBBING","")</f>
        <v/>
      </c>
      <c r="W249" s="101"/>
      <c r="X249" s="101"/>
      <c r="Y249" s="101"/>
      <c r="Z249" s="101"/>
      <c r="AC249" s="259" t="str">
        <f>IFERROR(INDEX(LIST2!$F:$F,MATCH(P249,LIST2!J:J,0),1),"")</f>
        <v/>
      </c>
    </row>
    <row r="250" spans="1:29" ht="16.5" thickBot="1" x14ac:dyDescent="0.3">
      <c r="A250" s="89" t="s">
        <v>3</v>
      </c>
      <c r="B250" s="95">
        <f>COUNTA(B222:B249)</f>
        <v>0</v>
      </c>
      <c r="C250" s="93"/>
      <c r="D250" s="92">
        <f>COUNTA(D222:D249)</f>
        <v>0</v>
      </c>
      <c r="E250" s="91"/>
      <c r="F250" s="92">
        <f>COUNTA(F222:F249)</f>
        <v>0</v>
      </c>
      <c r="G250" s="91"/>
      <c r="H250" s="92">
        <f>COUNTA(H222:H249)</f>
        <v>5</v>
      </c>
      <c r="I250" s="94"/>
      <c r="J250" s="90">
        <f>COUNTA(J222:J249)</f>
        <v>1</v>
      </c>
      <c r="K250" s="94"/>
      <c r="L250" s="90">
        <f>COUNTA(L222:L249)</f>
        <v>0</v>
      </c>
      <c r="M250" s="91"/>
      <c r="N250" s="92">
        <f>COUNTA(N222:N249)</f>
        <v>2</v>
      </c>
      <c r="O250" s="94"/>
      <c r="P250" s="266">
        <f>COUNTA(P222:P249)</f>
        <v>0</v>
      </c>
      <c r="Q250" s="267"/>
      <c r="R250" s="96">
        <f>COUNTIF(V222:V249,"ROBBING")</f>
        <v>0</v>
      </c>
      <c r="S250" s="96">
        <f>'FINAL LIST WITH REMARKS'!Z2423</f>
        <v>0</v>
      </c>
      <c r="T250" s="96">
        <f>SUM(B250:Q250)</f>
        <v>8</v>
      </c>
      <c r="U250" s="96">
        <f>'For Explo'!J505</f>
        <v>8</v>
      </c>
      <c r="V250" s="97">
        <f>COUNTIF(V222:V249,"ROBBING")</f>
        <v>0</v>
      </c>
      <c r="W250" s="97">
        <f>COUNTA(W222:W249)</f>
        <v>1</v>
      </c>
      <c r="X250" s="97">
        <f>COUNTA(X222:X249)</f>
        <v>0</v>
      </c>
      <c r="Y250" s="97">
        <f>COUNTA(Y222:Y249)</f>
        <v>0</v>
      </c>
      <c r="Z250" s="97">
        <f>COUNTA(Z222:Z249)</f>
        <v>0</v>
      </c>
      <c r="AC250" s="259" t="str">
        <f>IFERROR(INDEX(LIST2!$F:$F,MATCH(P250,LIST2!J:J,0),1),"")</f>
        <v/>
      </c>
    </row>
    <row r="251" spans="1:29" ht="17.25" thickTop="1" thickBot="1" x14ac:dyDescent="0.3">
      <c r="B251" s="262"/>
      <c r="C251" s="261"/>
      <c r="E251" s="263"/>
      <c r="F251"/>
      <c r="G251" s="105"/>
      <c r="J251" s="213"/>
      <c r="L251" s="213"/>
      <c r="M251" s="263"/>
      <c r="P251" s="213"/>
      <c r="Q251" s="263"/>
      <c r="AC251" s="259" t="str">
        <f>IFERROR(INDEX(LIST2!$F:$F,MATCH(P251,LIST2!J:J,0),1),"")</f>
        <v/>
      </c>
    </row>
    <row r="252" spans="1:29" s="351" customFormat="1" ht="23.25" x14ac:dyDescent="0.35">
      <c r="A252" s="353" t="s">
        <v>14</v>
      </c>
      <c r="B252" s="354">
        <f>B192+B174+B158+B136+B110+B88+B69+B50+B31+B13+B221+B250</f>
        <v>8</v>
      </c>
      <c r="C252" s="355"/>
      <c r="D252" s="354">
        <f>D192+D174+D158+D136+D110+D88+D69+D50+D31+D13+D221+D250</f>
        <v>24</v>
      </c>
      <c r="E252" s="356"/>
      <c r="F252" s="354">
        <f>F192+F174+F158+F136+F110+F88+F69+F50+F31+F13+F221+F250</f>
        <v>2</v>
      </c>
      <c r="G252" s="356"/>
      <c r="H252" s="354">
        <f>H192+H174+H158+H136+H110+H88+H69+H50+H31+H13+H221+H250</f>
        <v>24</v>
      </c>
      <c r="I252" s="357"/>
      <c r="J252" s="354">
        <f>J192+J174+J158+J136+J110+J88+J69+J50+J31+J13+J221+J250</f>
        <v>9</v>
      </c>
      <c r="K252" s="357"/>
      <c r="L252" s="354">
        <f>L192+L174+L158+L136+L110+L88+L69+L50+L31+L13+L221+L250</f>
        <v>7</v>
      </c>
      <c r="M252" s="356"/>
      <c r="N252" s="354">
        <f>N192+N174+N158+N136+N110+N88+N69+N50+N31+N13+N221+N250</f>
        <v>7</v>
      </c>
      <c r="O252" s="357"/>
      <c r="P252" s="354">
        <f>P192+P174+P158+P136+P110+P88+P69+P50+P31+P13+P221+P250</f>
        <v>22</v>
      </c>
      <c r="Q252" s="356"/>
      <c r="S252" s="351">
        <f>SUM(S14:S250)</f>
        <v>1695</v>
      </c>
      <c r="T252" s="351">
        <f>SUM(T13:T250)</f>
        <v>103</v>
      </c>
      <c r="U252" s="351">
        <f>SUM(U13:U250)</f>
        <v>104</v>
      </c>
      <c r="AC252" s="352" t="str">
        <f>IFERROR(INDEX(LIST2!$F:$F,MATCH(P252,LIST2!J:J,0),1),"")</f>
        <v/>
      </c>
    </row>
  </sheetData>
  <autoFilter ref="Q1:Q252" xr:uid="{00000000-0009-0000-0000-000002000000}"/>
  <mergeCells count="4">
    <mergeCell ref="R6:S6"/>
    <mergeCell ref="R7:S7"/>
    <mergeCell ref="R8:S8"/>
    <mergeCell ref="R2:U2"/>
  </mergeCells>
  <phoneticPr fontId="23" type="noConversion"/>
  <conditionalFormatting sqref="A61 A166 P1:P3 F1:F13 L167:L168 D149:D152 H129 F144:F147 J158 F99:F101 H1:H14 J1:J26 F22:F88 F103:F106 L1:L60 P16:P45 L155:L158 F108:F136 P6:P13 N1:N88 H96:H110 E112:E135 F149:F158 H131:H136 N136 D162:D174 L62:L75 P47:P88 B1:B41 J174 P162:P174 B43:B88 J181 J139:J156 B178:B192 N178 L77:L88 D1:D88 H170:H174 L160:L165 H158 J28:J88 H22:H88 F161:F174 H203:I203 H209:H221 H207 H205:I206 H185:I190 J93:J110 AE1:AE251 H232:I232 H238:H251 H236 H234:I235 B196:B251 F178:F192 H191:H192 J183:J192 N180:N192 P176:P192 P194:P221 N91:N110 D154:D158 N138:N158 P92 L91:L110 B90:B110 P138:P158 J112:J136 N160:N174 D112:D136 B112:B136 D92:D110 B160:B174 F196:F250 D138:D147 F90:F96 L114:L153 P114 P101:P110 D179:D192 L170:L192 H116:H127 P224:P251 L194:L251 H177:I183 D200:D251 J199:J251 B138:B158 P116:P136 P94 N196:N251">
    <cfRule type="duplicateValues" dxfId="24590" priority="250772"/>
  </conditionalFormatting>
  <conditionalFormatting sqref="B89">
    <cfRule type="duplicateValues" dxfId="24589" priority="20"/>
  </conditionalFormatting>
  <conditionalFormatting sqref="B111">
    <cfRule type="duplicateValues" dxfId="24588" priority="55"/>
  </conditionalFormatting>
  <conditionalFormatting sqref="B137">
    <cfRule type="duplicateValues" dxfId="24587" priority="5191"/>
  </conditionalFormatting>
  <conditionalFormatting sqref="B159">
    <cfRule type="duplicateValues" dxfId="24586" priority="20083"/>
    <cfRule type="duplicateValues" dxfId="24585" priority="20082"/>
  </conditionalFormatting>
  <conditionalFormatting sqref="B160">
    <cfRule type="duplicateValues" dxfId="24584" priority="122286"/>
  </conditionalFormatting>
  <conditionalFormatting sqref="B175">
    <cfRule type="duplicateValues" dxfId="24583" priority="32"/>
  </conditionalFormatting>
  <conditionalFormatting sqref="B176">
    <cfRule type="duplicateValues" dxfId="24582" priority="20163"/>
  </conditionalFormatting>
  <conditionalFormatting sqref="B177">
    <cfRule type="duplicateValues" dxfId="24581" priority="2531"/>
  </conditionalFormatting>
  <conditionalFormatting sqref="B193">
    <cfRule type="duplicateValues" dxfId="24580" priority="5367"/>
  </conditionalFormatting>
  <conditionalFormatting sqref="B194">
    <cfRule type="duplicateValues" dxfId="24579" priority="15"/>
  </conditionalFormatting>
  <conditionalFormatting sqref="B195">
    <cfRule type="duplicateValues" dxfId="24578" priority="20175"/>
  </conditionalFormatting>
  <conditionalFormatting sqref="D89">
    <cfRule type="duplicateValues" dxfId="24577" priority="8762"/>
  </conditionalFormatting>
  <conditionalFormatting sqref="D90">
    <cfRule type="duplicateValues" dxfId="24576" priority="8750"/>
  </conditionalFormatting>
  <conditionalFormatting sqref="D91">
    <cfRule type="duplicateValues" dxfId="24575" priority="16256"/>
  </conditionalFormatting>
  <conditionalFormatting sqref="D111">
    <cfRule type="duplicateValues" dxfId="24574" priority="64607"/>
    <cfRule type="duplicateValues" dxfId="24573" priority="64614"/>
    <cfRule type="duplicateValues" dxfId="24572" priority="64615"/>
    <cfRule type="duplicateValues" dxfId="24571" priority="64609"/>
    <cfRule type="duplicateValues" dxfId="24570" priority="64610"/>
    <cfRule type="duplicateValues" dxfId="24569" priority="64611"/>
    <cfRule type="duplicateValues" dxfId="24568" priority="64612"/>
    <cfRule type="duplicateValues" dxfId="24567" priority="64616"/>
    <cfRule type="duplicateValues" dxfId="24566" priority="64608"/>
    <cfRule type="duplicateValues" dxfId="24565" priority="64613"/>
  </conditionalFormatting>
  <conditionalFormatting sqref="D137">
    <cfRule type="duplicateValues" dxfId="24564" priority="20067"/>
  </conditionalFormatting>
  <conditionalFormatting sqref="D139">
    <cfRule type="duplicateValues" dxfId="24563" priority="131880"/>
    <cfRule type="duplicateValues" dxfId="24562" priority="132988"/>
    <cfRule type="duplicateValues" dxfId="24561" priority="132942"/>
    <cfRule type="duplicateValues" dxfId="24560" priority="132531"/>
    <cfRule type="duplicateValues" dxfId="24559" priority="131568"/>
    <cfRule type="duplicateValues" dxfId="24558" priority="131569"/>
    <cfRule type="duplicateValues" dxfId="24557" priority="131570"/>
    <cfRule type="duplicateValues" dxfId="24556" priority="131575"/>
    <cfRule type="duplicateValues" dxfId="24555" priority="132532"/>
    <cfRule type="duplicateValues" dxfId="24554" priority="132533"/>
    <cfRule type="duplicateValues" dxfId="24553" priority="132534"/>
    <cfRule type="duplicateValues" dxfId="24552" priority="132941"/>
    <cfRule type="duplicateValues" dxfId="24551" priority="132940"/>
    <cfRule type="duplicateValues" dxfId="24550" priority="132980"/>
    <cfRule type="duplicateValues" dxfId="24549" priority="135463"/>
    <cfRule type="duplicateValues" dxfId="24548" priority="135462"/>
    <cfRule type="duplicateValues" dxfId="24547" priority="131331"/>
    <cfRule type="duplicateValues" dxfId="24546" priority="131330"/>
    <cfRule type="duplicateValues" dxfId="24545" priority="135461"/>
    <cfRule type="duplicateValues" dxfId="24544" priority="132979"/>
    <cfRule type="duplicateValues" dxfId="24543" priority="131289"/>
    <cfRule type="duplicateValues" dxfId="24542" priority="131288"/>
    <cfRule type="duplicateValues" dxfId="24541" priority="131287"/>
    <cfRule type="duplicateValues" dxfId="24540" priority="131286"/>
    <cfRule type="duplicateValues" dxfId="24539" priority="131285"/>
    <cfRule type="duplicateValues" dxfId="24538" priority="131284"/>
    <cfRule type="duplicateValues" dxfId="24537" priority="131283"/>
    <cfRule type="duplicateValues" dxfId="24536" priority="131282"/>
    <cfRule type="duplicateValues" dxfId="24535" priority="131281"/>
    <cfRule type="duplicateValues" dxfId="24534" priority="131705"/>
    <cfRule type="duplicateValues" dxfId="24533" priority="131706"/>
    <cfRule type="duplicateValues" dxfId="24532" priority="131707"/>
    <cfRule type="duplicateValues" dxfId="24531" priority="131708"/>
    <cfRule type="duplicateValues" dxfId="24530" priority="131709"/>
    <cfRule type="duplicateValues" dxfId="24529" priority="131710"/>
    <cfRule type="duplicateValues" dxfId="24528" priority="131329"/>
    <cfRule type="duplicateValues" dxfId="24527" priority="131711"/>
    <cfRule type="duplicateValues" dxfId="24526" priority="131712"/>
    <cfRule type="duplicateValues" dxfId="24525" priority="131713"/>
    <cfRule type="duplicateValues" dxfId="24524" priority="131714"/>
    <cfRule type="duplicateValues" dxfId="24523" priority="131715"/>
    <cfRule type="duplicateValues" dxfId="24522" priority="131328"/>
    <cfRule type="duplicateValues" dxfId="24521" priority="131327"/>
    <cfRule type="duplicateValues" dxfId="24520" priority="131326"/>
    <cfRule type="duplicateValues" dxfId="24519" priority="131325"/>
    <cfRule type="duplicateValues" dxfId="24518" priority="131324"/>
    <cfRule type="duplicateValues" dxfId="24517" priority="131323"/>
    <cfRule type="duplicateValues" dxfId="24516" priority="131322"/>
    <cfRule type="duplicateValues" dxfId="24515" priority="131321"/>
    <cfRule type="duplicateValues" dxfId="24514" priority="131320"/>
    <cfRule type="duplicateValues" dxfId="24513" priority="131319"/>
    <cfRule type="duplicateValues" dxfId="24512" priority="131318"/>
    <cfRule type="duplicateValues" dxfId="24511" priority="131317"/>
    <cfRule type="duplicateValues" dxfId="24510" priority="131316"/>
    <cfRule type="duplicateValues" dxfId="24509" priority="131315"/>
    <cfRule type="duplicateValues" dxfId="24508" priority="131314"/>
    <cfRule type="duplicateValues" dxfId="24507" priority="131313"/>
    <cfRule type="duplicateValues" dxfId="24506" priority="131312"/>
    <cfRule type="duplicateValues" dxfId="24505" priority="131311"/>
    <cfRule type="duplicateValues" dxfId="24504" priority="131716"/>
    <cfRule type="duplicateValues" dxfId="24503" priority="131717"/>
    <cfRule type="duplicateValues" dxfId="24502" priority="131718"/>
    <cfRule type="duplicateValues" dxfId="24501" priority="131719"/>
    <cfRule type="duplicateValues" dxfId="24500" priority="131720"/>
    <cfRule type="duplicateValues" dxfId="24499" priority="131721"/>
    <cfRule type="duplicateValues" dxfId="24498" priority="131722"/>
    <cfRule type="duplicateValues" dxfId="24497" priority="131723"/>
    <cfRule type="duplicateValues" dxfId="24496" priority="131724"/>
    <cfRule type="duplicateValues" dxfId="24495" priority="131725"/>
    <cfRule type="duplicateValues" dxfId="24494" priority="131726"/>
    <cfRule type="duplicateValues" dxfId="24493" priority="131727"/>
    <cfRule type="duplicateValues" dxfId="24492" priority="131728"/>
    <cfRule type="duplicateValues" dxfId="24491" priority="131729"/>
    <cfRule type="duplicateValues" dxfId="24490" priority="131730"/>
    <cfRule type="duplicateValues" dxfId="24489" priority="131731"/>
    <cfRule type="duplicateValues" dxfId="24488" priority="131732"/>
    <cfRule type="duplicateValues" dxfId="24487" priority="131733"/>
    <cfRule type="duplicateValues" dxfId="24486" priority="131280"/>
    <cfRule type="duplicateValues" dxfId="24485" priority="131279"/>
    <cfRule type="duplicateValues" dxfId="24484" priority="131278"/>
    <cfRule type="duplicateValues" dxfId="24483" priority="131277"/>
    <cfRule type="duplicateValues" dxfId="24482" priority="131738"/>
    <cfRule type="duplicateValues" dxfId="24481" priority="131739"/>
    <cfRule type="duplicateValues" dxfId="24480" priority="131740"/>
    <cfRule type="duplicateValues" dxfId="24479" priority="131276"/>
    <cfRule type="duplicateValues" dxfId="24478" priority="131275"/>
    <cfRule type="duplicateValues" dxfId="24477" priority="131274"/>
    <cfRule type="duplicateValues" dxfId="24476" priority="131273"/>
    <cfRule type="duplicateValues" dxfId="24475" priority="131272"/>
    <cfRule type="duplicateValues" dxfId="24474" priority="131271"/>
    <cfRule type="duplicateValues" dxfId="24473" priority="131270"/>
    <cfRule type="duplicateValues" dxfId="24472" priority="131748"/>
    <cfRule type="duplicateValues" dxfId="24471" priority="131749"/>
    <cfRule type="duplicateValues" dxfId="24470" priority="131750"/>
    <cfRule type="duplicateValues" dxfId="24469" priority="131751"/>
    <cfRule type="duplicateValues" dxfId="24468" priority="131752"/>
    <cfRule type="duplicateValues" dxfId="24467" priority="131753"/>
    <cfRule type="duplicateValues" dxfId="24466" priority="131754"/>
    <cfRule type="duplicateValues" dxfId="24465" priority="131755"/>
    <cfRule type="duplicateValues" dxfId="24464" priority="131756"/>
    <cfRule type="duplicateValues" dxfId="24463" priority="131757"/>
    <cfRule type="duplicateValues" dxfId="24462" priority="131758"/>
    <cfRule type="duplicateValues" dxfId="24461" priority="131759"/>
    <cfRule type="duplicateValues" dxfId="24460" priority="131760"/>
    <cfRule type="duplicateValues" dxfId="24459" priority="131761"/>
    <cfRule type="duplicateValues" dxfId="24458" priority="131762"/>
    <cfRule type="duplicateValues" dxfId="24457" priority="131763"/>
    <cfRule type="duplicateValues" dxfId="24456" priority="131764"/>
    <cfRule type="duplicateValues" dxfId="24455" priority="131765"/>
    <cfRule type="duplicateValues" dxfId="24454" priority="131269"/>
    <cfRule type="duplicateValues" dxfId="24453" priority="131268"/>
    <cfRule type="duplicateValues" dxfId="24452" priority="131267"/>
    <cfRule type="duplicateValues" dxfId="24451" priority="131266"/>
    <cfRule type="duplicateValues" dxfId="24450" priority="131770"/>
    <cfRule type="duplicateValues" dxfId="24449" priority="131771"/>
    <cfRule type="duplicateValues" dxfId="24448" priority="131772"/>
    <cfRule type="duplicateValues" dxfId="24447" priority="131265"/>
    <cfRule type="duplicateValues" dxfId="24446" priority="131264"/>
    <cfRule type="duplicateValues" dxfId="24445" priority="131263"/>
    <cfRule type="duplicateValues" dxfId="24444" priority="131262"/>
    <cfRule type="duplicateValues" dxfId="24443" priority="131261"/>
    <cfRule type="duplicateValues" dxfId="24442" priority="131260"/>
    <cfRule type="duplicateValues" dxfId="24441" priority="131780"/>
    <cfRule type="duplicateValues" dxfId="24440" priority="131781"/>
    <cfRule type="duplicateValues" dxfId="24439" priority="131782"/>
    <cfRule type="duplicateValues" dxfId="24438" priority="131783"/>
    <cfRule type="duplicateValues" dxfId="24437" priority="131784"/>
    <cfRule type="duplicateValues" dxfId="24436" priority="131785"/>
    <cfRule type="duplicateValues" dxfId="24435" priority="131786"/>
    <cfRule type="duplicateValues" dxfId="24434" priority="131259"/>
    <cfRule type="duplicateValues" dxfId="24433" priority="131258"/>
    <cfRule type="duplicateValues" dxfId="24432" priority="131257"/>
    <cfRule type="duplicateValues" dxfId="24431" priority="131256"/>
    <cfRule type="duplicateValues" dxfId="24430" priority="131791"/>
    <cfRule type="duplicateValues" dxfId="24429" priority="131792"/>
    <cfRule type="duplicateValues" dxfId="24428" priority="131793"/>
    <cfRule type="duplicateValues" dxfId="24427" priority="131255"/>
    <cfRule type="duplicateValues" dxfId="24426" priority="131254"/>
    <cfRule type="duplicateValues" dxfId="24425" priority="131253"/>
    <cfRule type="duplicateValues" dxfId="24424" priority="131252"/>
    <cfRule type="duplicateValues" dxfId="24423" priority="131251"/>
    <cfRule type="duplicateValues" dxfId="24422" priority="131250"/>
    <cfRule type="duplicateValues" dxfId="24421" priority="131249"/>
    <cfRule type="duplicateValues" dxfId="24420" priority="131801"/>
    <cfRule type="duplicateValues" dxfId="24419" priority="131802"/>
    <cfRule type="duplicateValues" dxfId="24418" priority="131803"/>
    <cfRule type="duplicateValues" dxfId="24417" priority="131248"/>
    <cfRule type="duplicateValues" dxfId="24416" priority="131247"/>
    <cfRule type="duplicateValues" dxfId="24415" priority="131246"/>
    <cfRule type="duplicateValues" dxfId="24414" priority="131245"/>
    <cfRule type="duplicateValues" dxfId="24413" priority="131244"/>
    <cfRule type="duplicateValues" dxfId="24412" priority="131243"/>
    <cfRule type="duplicateValues" dxfId="24411" priority="131242"/>
    <cfRule type="duplicateValues" dxfId="24410" priority="131241"/>
    <cfRule type="duplicateValues" dxfId="24409" priority="131240"/>
    <cfRule type="duplicateValues" dxfId="24408" priority="131239"/>
    <cfRule type="duplicateValues" dxfId="24407" priority="131814"/>
    <cfRule type="duplicateValues" dxfId="24406" priority="131815"/>
    <cfRule type="duplicateValues" dxfId="24405" priority="131816"/>
    <cfRule type="duplicateValues" dxfId="24404" priority="131817"/>
    <cfRule type="duplicateValues" dxfId="24403" priority="131818"/>
    <cfRule type="duplicateValues" dxfId="24402" priority="131819"/>
    <cfRule type="duplicateValues" dxfId="24401" priority="131820"/>
    <cfRule type="duplicateValues" dxfId="24400" priority="131821"/>
    <cfRule type="duplicateValues" dxfId="24399" priority="131822"/>
    <cfRule type="duplicateValues" dxfId="24398" priority="131823"/>
    <cfRule type="duplicateValues" dxfId="24397" priority="131824"/>
    <cfRule type="duplicateValues" dxfId="24396" priority="131825"/>
    <cfRule type="duplicateValues" dxfId="24395" priority="131826"/>
    <cfRule type="duplicateValues" dxfId="24394" priority="131827"/>
    <cfRule type="duplicateValues" dxfId="24393" priority="131828"/>
    <cfRule type="duplicateValues" dxfId="24392" priority="131829"/>
    <cfRule type="duplicateValues" dxfId="24391" priority="131830"/>
    <cfRule type="duplicateValues" dxfId="24390" priority="131831"/>
    <cfRule type="duplicateValues" dxfId="24389" priority="131238"/>
    <cfRule type="duplicateValues" dxfId="24388" priority="131237"/>
    <cfRule type="duplicateValues" dxfId="24387" priority="131236"/>
    <cfRule type="duplicateValues" dxfId="24386" priority="131235"/>
    <cfRule type="duplicateValues" dxfId="24385" priority="131836"/>
    <cfRule type="duplicateValues" dxfId="24384" priority="131837"/>
    <cfRule type="duplicateValues" dxfId="24383" priority="131838"/>
    <cfRule type="duplicateValues" dxfId="24382" priority="131234"/>
    <cfRule type="duplicateValues" dxfId="24381" priority="131233"/>
    <cfRule type="duplicateValues" dxfId="24380" priority="131576"/>
    <cfRule type="duplicateValues" dxfId="24379" priority="131232"/>
    <cfRule type="duplicateValues" dxfId="24378" priority="131231"/>
    <cfRule type="duplicateValues" dxfId="24377" priority="131230"/>
    <cfRule type="duplicateValues" dxfId="24376" priority="131229"/>
    <cfRule type="duplicateValues" dxfId="24375" priority="131310"/>
    <cfRule type="duplicateValues" dxfId="24374" priority="131309"/>
    <cfRule type="duplicateValues" dxfId="24373" priority="131308"/>
    <cfRule type="duplicateValues" dxfId="24372" priority="131846"/>
    <cfRule type="duplicateValues" dxfId="24371" priority="131577"/>
    <cfRule type="duplicateValues" dxfId="24370" priority="131585"/>
    <cfRule type="duplicateValues" dxfId="24369" priority="131586"/>
    <cfRule type="duplicateValues" dxfId="24368" priority="131587"/>
    <cfRule type="duplicateValues" dxfId="24367" priority="131847"/>
    <cfRule type="duplicateValues" dxfId="24366" priority="131848"/>
    <cfRule type="duplicateValues" dxfId="24365" priority="131849"/>
    <cfRule type="duplicateValues" dxfId="24364" priority="131850"/>
    <cfRule type="duplicateValues" dxfId="24363" priority="131851"/>
    <cfRule type="duplicateValues" dxfId="24362" priority="131852"/>
    <cfRule type="duplicateValues" dxfId="24361" priority="131228"/>
    <cfRule type="duplicateValues" dxfId="24360" priority="131227"/>
    <cfRule type="duplicateValues" dxfId="24359" priority="132978"/>
    <cfRule type="duplicateValues" dxfId="24358" priority="131307"/>
    <cfRule type="duplicateValues" dxfId="24357" priority="131306"/>
    <cfRule type="duplicateValues" dxfId="24356" priority="131305"/>
    <cfRule type="duplicateValues" dxfId="24355" priority="131304"/>
    <cfRule type="duplicateValues" dxfId="24354" priority="131303"/>
    <cfRule type="duplicateValues" dxfId="24353" priority="131588"/>
    <cfRule type="duplicateValues" dxfId="24352" priority="131589"/>
    <cfRule type="duplicateValues" dxfId="24351" priority="131590"/>
    <cfRule type="duplicateValues" dxfId="24350" priority="131591"/>
    <cfRule type="duplicateValues" dxfId="24349" priority="131592"/>
    <cfRule type="duplicateValues" dxfId="24348" priority="131593"/>
    <cfRule type="duplicateValues" dxfId="24347" priority="131594"/>
    <cfRule type="duplicateValues" dxfId="24346" priority="131595"/>
    <cfRule type="duplicateValues" dxfId="24345" priority="131857"/>
    <cfRule type="duplicateValues" dxfId="24344" priority="131858"/>
    <cfRule type="duplicateValues" dxfId="24343" priority="131859"/>
    <cfRule type="duplicateValues" dxfId="24342" priority="132932"/>
    <cfRule type="duplicateValues" dxfId="24341" priority="132973"/>
    <cfRule type="duplicateValues" dxfId="24340" priority="135453"/>
    <cfRule type="duplicateValues" dxfId="24339" priority="131596"/>
    <cfRule type="duplicateValues" dxfId="24338" priority="131597"/>
    <cfRule type="duplicateValues" dxfId="24337" priority="131598"/>
    <cfRule type="duplicateValues" dxfId="24336" priority="131599"/>
    <cfRule type="duplicateValues" dxfId="24335" priority="131600"/>
    <cfRule type="duplicateValues" dxfId="24334" priority="131601"/>
    <cfRule type="duplicateValues" dxfId="24333" priority="131602"/>
    <cfRule type="duplicateValues" dxfId="24332" priority="131607"/>
    <cfRule type="duplicateValues" dxfId="24331" priority="131608"/>
    <cfRule type="duplicateValues" dxfId="24330" priority="131609"/>
    <cfRule type="duplicateValues" dxfId="24329" priority="131617"/>
    <cfRule type="duplicateValues" dxfId="24328" priority="131618"/>
    <cfRule type="duplicateValues" dxfId="24327" priority="150070"/>
    <cfRule type="duplicateValues" dxfId="24326" priority="150069"/>
    <cfRule type="duplicateValues" dxfId="24325" priority="150068"/>
    <cfRule type="duplicateValues" dxfId="24324" priority="150067"/>
    <cfRule type="duplicateValues" dxfId="24323" priority="131619"/>
    <cfRule type="duplicateValues" dxfId="24322" priority="131620"/>
    <cfRule type="duplicateValues" dxfId="24321" priority="131621"/>
    <cfRule type="duplicateValues" dxfId="24320" priority="131622"/>
    <cfRule type="duplicateValues" dxfId="24319" priority="131623"/>
    <cfRule type="duplicateValues" dxfId="24318" priority="131628"/>
    <cfRule type="duplicateValues" dxfId="24317" priority="131629"/>
    <cfRule type="duplicateValues" dxfId="24316" priority="131630"/>
    <cfRule type="duplicateValues" dxfId="24315" priority="131638"/>
    <cfRule type="duplicateValues" dxfId="24314" priority="131639"/>
    <cfRule type="duplicateValues" dxfId="24313" priority="131640"/>
    <cfRule type="duplicateValues" dxfId="24312" priority="148735"/>
    <cfRule type="duplicateValues" dxfId="24311" priority="148734"/>
    <cfRule type="duplicateValues" dxfId="24310" priority="148733"/>
    <cfRule type="duplicateValues" dxfId="24309" priority="148732"/>
    <cfRule type="duplicateValues" dxfId="24308" priority="148727"/>
    <cfRule type="duplicateValues" dxfId="24307" priority="148726"/>
    <cfRule type="duplicateValues" dxfId="24306" priority="148725"/>
    <cfRule type="duplicateValues" dxfId="24305" priority="148724"/>
    <cfRule type="duplicateValues" dxfId="24304" priority="148723"/>
    <cfRule type="duplicateValues" dxfId="24303" priority="148722"/>
    <cfRule type="duplicateValues" dxfId="24302" priority="148721"/>
    <cfRule type="duplicateValues" dxfId="24301" priority="148720"/>
    <cfRule type="duplicateValues" dxfId="24300" priority="131302"/>
    <cfRule type="duplicateValues" dxfId="24299" priority="131301"/>
    <cfRule type="duplicateValues" dxfId="24298" priority="131300"/>
    <cfRule type="duplicateValues" dxfId="24297" priority="131299"/>
    <cfRule type="duplicateValues" dxfId="24296" priority="131298"/>
    <cfRule type="duplicateValues" dxfId="24295" priority="131297"/>
    <cfRule type="duplicateValues" dxfId="24294" priority="131296"/>
    <cfRule type="duplicateValues" dxfId="24293" priority="131295"/>
    <cfRule type="duplicateValues" dxfId="24292" priority="131294"/>
    <cfRule type="duplicateValues" dxfId="24291" priority="131293"/>
    <cfRule type="duplicateValues" dxfId="24290" priority="135452"/>
    <cfRule type="duplicateValues" dxfId="24289" priority="131226"/>
    <cfRule type="duplicateValues" dxfId="24288" priority="131867"/>
    <cfRule type="duplicateValues" dxfId="24287" priority="131868"/>
    <cfRule type="duplicateValues" dxfId="24286" priority="131869"/>
    <cfRule type="duplicateValues" dxfId="24285" priority="131225"/>
    <cfRule type="duplicateValues" dxfId="24284" priority="131224"/>
    <cfRule type="duplicateValues" dxfId="24283" priority="135451"/>
    <cfRule type="duplicateValues" dxfId="24282" priority="132972"/>
    <cfRule type="duplicateValues" dxfId="24281" priority="132971"/>
    <cfRule type="duplicateValues" dxfId="24280" priority="132970"/>
    <cfRule type="duplicateValues" dxfId="24279" priority="131223"/>
    <cfRule type="duplicateValues" dxfId="24278" priority="131222"/>
    <cfRule type="duplicateValues" dxfId="24277" priority="131221"/>
    <cfRule type="duplicateValues" dxfId="24276" priority="132398"/>
    <cfRule type="duplicateValues" dxfId="24275" priority="131881"/>
    <cfRule type="duplicateValues" dxfId="24274" priority="131882"/>
    <cfRule type="duplicateValues" dxfId="24273" priority="131883"/>
    <cfRule type="duplicateValues" dxfId="24272" priority="131884"/>
    <cfRule type="duplicateValues" dxfId="24271" priority="131885"/>
    <cfRule type="duplicateValues" dxfId="24270" priority="131886"/>
    <cfRule type="duplicateValues" dxfId="24269" priority="132969"/>
    <cfRule type="duplicateValues" dxfId="24268" priority="135446"/>
    <cfRule type="duplicateValues" dxfId="24267" priority="135445"/>
    <cfRule type="duplicateValues" dxfId="24266" priority="135444"/>
    <cfRule type="duplicateValues" dxfId="24265" priority="131891"/>
    <cfRule type="duplicateValues" dxfId="24264" priority="131892"/>
    <cfRule type="duplicateValues" dxfId="24263" priority="131893"/>
    <cfRule type="duplicateValues" dxfId="24262" priority="132399"/>
    <cfRule type="duplicateValues" dxfId="24261" priority="132400"/>
    <cfRule type="duplicateValues" dxfId="24260" priority="132401"/>
    <cfRule type="duplicateValues" dxfId="24259" priority="132402"/>
    <cfRule type="duplicateValues" dxfId="24258" priority="132403"/>
    <cfRule type="duplicateValues" dxfId="24257" priority="132404"/>
    <cfRule type="duplicateValues" dxfId="24256" priority="132405"/>
    <cfRule type="duplicateValues" dxfId="24255" priority="131901"/>
    <cfRule type="duplicateValues" dxfId="24254" priority="131902"/>
    <cfRule type="duplicateValues" dxfId="24253" priority="131903"/>
    <cfRule type="duplicateValues" dxfId="24252" priority="132406"/>
    <cfRule type="duplicateValues" dxfId="24251" priority="135443"/>
    <cfRule type="duplicateValues" dxfId="24250" priority="135442"/>
    <cfRule type="duplicateValues" dxfId="24249" priority="135441"/>
    <cfRule type="duplicateValues" dxfId="24248" priority="135440"/>
    <cfRule type="duplicateValues" dxfId="24247" priority="132407"/>
    <cfRule type="duplicateValues" dxfId="24246" priority="132408"/>
    <cfRule type="duplicateValues" dxfId="24245" priority="132409"/>
    <cfRule type="duplicateValues" dxfId="24244" priority="132410"/>
    <cfRule type="duplicateValues" dxfId="24243" priority="132536"/>
    <cfRule type="duplicateValues" dxfId="24242" priority="131914"/>
    <cfRule type="duplicateValues" dxfId="24241" priority="131915"/>
    <cfRule type="duplicateValues" dxfId="24240" priority="131916"/>
    <cfRule type="duplicateValues" dxfId="24239" priority="132537"/>
    <cfRule type="duplicateValues" dxfId="24238" priority="132538"/>
    <cfRule type="duplicateValues" dxfId="24237" priority="132539"/>
    <cfRule type="duplicateValues" dxfId="24236" priority="132411"/>
    <cfRule type="duplicateValues" dxfId="24235" priority="132412"/>
    <cfRule type="duplicateValues" dxfId="24234" priority="132413"/>
    <cfRule type="duplicateValues" dxfId="24233" priority="132414"/>
    <cfRule type="duplicateValues" dxfId="24232" priority="132415"/>
    <cfRule type="duplicateValues" dxfId="24231" priority="132416"/>
    <cfRule type="duplicateValues" dxfId="24230" priority="132417"/>
    <cfRule type="duplicateValues" dxfId="24229" priority="132418"/>
    <cfRule type="duplicateValues" dxfId="24228" priority="132419"/>
    <cfRule type="duplicateValues" dxfId="24227" priority="132420"/>
    <cfRule type="duplicateValues" dxfId="24226" priority="131292"/>
    <cfRule type="duplicateValues" dxfId="24225" priority="132421"/>
    <cfRule type="duplicateValues" dxfId="24224" priority="131291"/>
    <cfRule type="duplicateValues" dxfId="24223" priority="132422"/>
    <cfRule type="duplicateValues" dxfId="24222" priority="132423"/>
    <cfRule type="duplicateValues" dxfId="24221" priority="132424"/>
    <cfRule type="duplicateValues" dxfId="24220" priority="132425"/>
    <cfRule type="duplicateValues" dxfId="24219" priority="132426"/>
    <cfRule type="duplicateValues" dxfId="24218" priority="131377"/>
    <cfRule type="duplicateValues" dxfId="24217" priority="132431"/>
    <cfRule type="duplicateValues" dxfId="24216" priority="132432"/>
    <cfRule type="duplicateValues" dxfId="24215" priority="132433"/>
    <cfRule type="duplicateValues" dxfId="24214" priority="132441"/>
    <cfRule type="duplicateValues" dxfId="24213" priority="132442"/>
    <cfRule type="duplicateValues" dxfId="24212" priority="132443"/>
    <cfRule type="duplicateValues" dxfId="24211" priority="132544"/>
    <cfRule type="duplicateValues" dxfId="24210" priority="132545"/>
    <cfRule type="duplicateValues" dxfId="24209" priority="132546"/>
    <cfRule type="duplicateValues" dxfId="24208" priority="132554"/>
    <cfRule type="duplicateValues" dxfId="24207" priority="132555"/>
    <cfRule type="duplicateValues" dxfId="24206" priority="132556"/>
    <cfRule type="duplicateValues" dxfId="24205" priority="132557"/>
    <cfRule type="duplicateValues" dxfId="24204" priority="132558"/>
    <cfRule type="duplicateValues" dxfId="24203" priority="132559"/>
    <cfRule type="duplicateValues" dxfId="24202" priority="132560"/>
    <cfRule type="duplicateValues" dxfId="24201" priority="132565"/>
    <cfRule type="duplicateValues" dxfId="24200" priority="132566"/>
    <cfRule type="duplicateValues" dxfId="24199" priority="132567"/>
    <cfRule type="duplicateValues" dxfId="24198" priority="132575"/>
    <cfRule type="duplicateValues" dxfId="24197" priority="132576"/>
    <cfRule type="duplicateValues" dxfId="24196" priority="132577"/>
    <cfRule type="duplicateValues" dxfId="24195" priority="132599"/>
    <cfRule type="duplicateValues" dxfId="24194" priority="132600"/>
    <cfRule type="duplicateValues" dxfId="24193" priority="132601"/>
    <cfRule type="duplicateValues" dxfId="24192" priority="132602"/>
    <cfRule type="duplicateValues" dxfId="24191" priority="132603"/>
    <cfRule type="duplicateValues" dxfId="24190" priority="132604"/>
    <cfRule type="duplicateValues" dxfId="24189" priority="132968"/>
    <cfRule type="duplicateValues" dxfId="24188" priority="132967"/>
    <cfRule type="duplicateValues" dxfId="24187" priority="132896"/>
    <cfRule type="duplicateValues" dxfId="24186" priority="132605"/>
    <cfRule type="duplicateValues" dxfId="24185" priority="132610"/>
    <cfRule type="duplicateValues" dxfId="24184" priority="132611"/>
    <cfRule type="duplicateValues" dxfId="24183" priority="132535"/>
    <cfRule type="duplicateValues" dxfId="24182" priority="132612"/>
    <cfRule type="duplicateValues" dxfId="24181" priority="132620"/>
    <cfRule type="duplicateValues" dxfId="24180" priority="132621"/>
    <cfRule type="duplicateValues" dxfId="24179" priority="132622"/>
    <cfRule type="duplicateValues" dxfId="24178" priority="132897"/>
    <cfRule type="duplicateValues" dxfId="24177" priority="132898"/>
    <cfRule type="duplicateValues" dxfId="24176" priority="132899"/>
    <cfRule type="duplicateValues" dxfId="24175" priority="132644"/>
    <cfRule type="duplicateValues" dxfId="24174" priority="132645"/>
    <cfRule type="duplicateValues" dxfId="24173" priority="132646"/>
    <cfRule type="duplicateValues" dxfId="24172" priority="132878"/>
    <cfRule type="duplicateValues" dxfId="24171" priority="132900"/>
    <cfRule type="duplicateValues" dxfId="24170" priority="132901"/>
    <cfRule type="duplicateValues" dxfId="24169" priority="132906"/>
    <cfRule type="duplicateValues" dxfId="24168" priority="132464"/>
    <cfRule type="duplicateValues" dxfId="24167" priority="132465"/>
    <cfRule type="duplicateValues" dxfId="24166" priority="132473"/>
    <cfRule type="duplicateValues" dxfId="24165" priority="132474"/>
    <cfRule type="duplicateValues" dxfId="24164" priority="132475"/>
    <cfRule type="duplicateValues" dxfId="24163" priority="132476"/>
    <cfRule type="duplicateValues" dxfId="24162" priority="132477"/>
    <cfRule type="duplicateValues" dxfId="24161" priority="132478"/>
    <cfRule type="duplicateValues" dxfId="24160" priority="132479"/>
    <cfRule type="duplicateValues" dxfId="24159" priority="131220"/>
    <cfRule type="duplicateValues" dxfId="24158" priority="131219"/>
    <cfRule type="duplicateValues" dxfId="24157" priority="131218"/>
    <cfRule type="duplicateValues" dxfId="24156" priority="131217"/>
    <cfRule type="duplicateValues" dxfId="24155" priority="131216"/>
    <cfRule type="duplicateValues" dxfId="24154" priority="131215"/>
    <cfRule type="duplicateValues" dxfId="24153" priority="131214"/>
    <cfRule type="duplicateValues" dxfId="24152" priority="131213"/>
    <cfRule type="duplicateValues" dxfId="24151" priority="131212"/>
    <cfRule type="duplicateValues" dxfId="24150" priority="131211"/>
    <cfRule type="duplicateValues" dxfId="24149" priority="131210"/>
    <cfRule type="duplicateValues" dxfId="24148" priority="131209"/>
    <cfRule type="duplicateValues" dxfId="24147" priority="131208"/>
    <cfRule type="duplicateValues" dxfId="24146" priority="131207"/>
    <cfRule type="duplicateValues" dxfId="24145" priority="132931"/>
    <cfRule type="duplicateValues" dxfId="24144" priority="132930"/>
    <cfRule type="duplicateValues" dxfId="24143" priority="131206"/>
    <cfRule type="duplicateValues" dxfId="24142" priority="131205"/>
    <cfRule type="duplicateValues" dxfId="24141" priority="131204"/>
    <cfRule type="duplicateValues" dxfId="24140" priority="131203"/>
    <cfRule type="duplicateValues" dxfId="24139" priority="131202"/>
    <cfRule type="duplicateValues" dxfId="24138" priority="131201"/>
    <cfRule type="duplicateValues" dxfId="24137" priority="131200"/>
    <cfRule type="duplicateValues" dxfId="24136" priority="131199"/>
    <cfRule type="duplicateValues" dxfId="24135" priority="131198"/>
    <cfRule type="duplicateValues" dxfId="24134" priority="131197"/>
    <cfRule type="duplicateValues" dxfId="24133" priority="132907"/>
    <cfRule type="duplicateValues" dxfId="24132" priority="133014"/>
    <cfRule type="duplicateValues" dxfId="24131" priority="133013"/>
    <cfRule type="duplicateValues" dxfId="24130" priority="131196"/>
    <cfRule type="duplicateValues" dxfId="24129" priority="131195"/>
    <cfRule type="duplicateValues" dxfId="24128" priority="131194"/>
    <cfRule type="duplicateValues" dxfId="24127" priority="131193"/>
    <cfRule type="duplicateValues" dxfId="24126" priority="131192"/>
    <cfRule type="duplicateValues" dxfId="24125" priority="131191"/>
    <cfRule type="duplicateValues" dxfId="24124" priority="131190"/>
    <cfRule type="duplicateValues" dxfId="24123" priority="133012"/>
    <cfRule type="duplicateValues" dxfId="24122" priority="132879"/>
    <cfRule type="duplicateValues" dxfId="24121" priority="132880"/>
    <cfRule type="duplicateValues" dxfId="24120" priority="131189"/>
    <cfRule type="duplicateValues" dxfId="24119" priority="131188"/>
    <cfRule type="duplicateValues" dxfId="24118" priority="131187"/>
    <cfRule type="duplicateValues" dxfId="24117" priority="131186"/>
    <cfRule type="duplicateValues" dxfId="24116" priority="132881"/>
    <cfRule type="duplicateValues" dxfId="24115" priority="132885"/>
    <cfRule type="duplicateValues" dxfId="24114" priority="132886"/>
    <cfRule type="duplicateValues" dxfId="24113" priority="132887"/>
    <cfRule type="duplicateValues" dxfId="24112" priority="132888"/>
    <cfRule type="duplicateValues" dxfId="24111" priority="132908"/>
    <cfRule type="duplicateValues" dxfId="24110" priority="132919"/>
    <cfRule type="duplicateValues" dxfId="24109" priority="135535"/>
    <cfRule type="duplicateValues" dxfId="24108" priority="135534"/>
    <cfRule type="duplicateValues" dxfId="24107" priority="135533"/>
    <cfRule type="duplicateValues" dxfId="24106" priority="131185"/>
    <cfRule type="duplicateValues" dxfId="24105" priority="131184"/>
    <cfRule type="duplicateValues" dxfId="24104" priority="131183"/>
    <cfRule type="duplicateValues" dxfId="24103" priority="131182"/>
    <cfRule type="duplicateValues" dxfId="24102" priority="131181"/>
    <cfRule type="duplicateValues" dxfId="24101" priority="131180"/>
    <cfRule type="duplicateValues" dxfId="24100" priority="131179"/>
    <cfRule type="duplicateValues" dxfId="24099" priority="132444"/>
    <cfRule type="duplicateValues" dxfId="24098" priority="132445"/>
    <cfRule type="duplicateValues" dxfId="24097" priority="132446"/>
    <cfRule type="duplicateValues" dxfId="24096" priority="132447"/>
    <cfRule type="duplicateValues" dxfId="24095" priority="132448"/>
    <cfRule type="duplicateValues" dxfId="24094" priority="131290"/>
    <cfRule type="duplicateValues" dxfId="24093" priority="131178"/>
    <cfRule type="duplicateValues" dxfId="24092" priority="132449"/>
    <cfRule type="duplicateValues" dxfId="24091" priority="132450"/>
    <cfRule type="duplicateValues" dxfId="24090" priority="132451"/>
    <cfRule type="duplicateValues" dxfId="24089" priority="132452"/>
    <cfRule type="duplicateValues" dxfId="24088" priority="132453"/>
    <cfRule type="duplicateValues" dxfId="24087" priority="132454"/>
    <cfRule type="duplicateValues" dxfId="24086" priority="132455"/>
    <cfRule type="duplicateValues" dxfId="24085" priority="132456"/>
    <cfRule type="duplicateValues" dxfId="24084" priority="132457"/>
    <cfRule type="duplicateValues" dxfId="24083" priority="132458"/>
    <cfRule type="duplicateValues" dxfId="24082" priority="132463"/>
    <cfRule type="duplicateValues" dxfId="24081" priority="131177"/>
    <cfRule type="duplicateValues" dxfId="24080" priority="131176"/>
    <cfRule type="duplicateValues" dxfId="24079" priority="132920"/>
    <cfRule type="duplicateValues" dxfId="24078" priority="132889"/>
    <cfRule type="duplicateValues" dxfId="24077" priority="132890"/>
    <cfRule type="duplicateValues" dxfId="24076" priority="131175"/>
    <cfRule type="duplicateValues" dxfId="24075" priority="132484"/>
    <cfRule type="duplicateValues" dxfId="24074" priority="132485"/>
    <cfRule type="duplicateValues" dxfId="24073" priority="132486"/>
    <cfRule type="duplicateValues" dxfId="24072" priority="132494"/>
    <cfRule type="duplicateValues" dxfId="24071" priority="132891"/>
    <cfRule type="duplicateValues" dxfId="24070" priority="132895"/>
    <cfRule type="duplicateValues" dxfId="24069" priority="132923"/>
    <cfRule type="duplicateValues" dxfId="24068" priority="132495"/>
    <cfRule type="duplicateValues" dxfId="24067" priority="132496"/>
    <cfRule type="duplicateValues" dxfId="24066" priority="132522"/>
    <cfRule type="duplicateValues" dxfId="24065" priority="132523"/>
    <cfRule type="duplicateValues" dxfId="24064" priority="132921"/>
    <cfRule type="duplicateValues" dxfId="24063" priority="132922"/>
    <cfRule type="duplicateValues" dxfId="24062" priority="132925"/>
    <cfRule type="duplicateValues" dxfId="24061" priority="132924"/>
    <cfRule type="duplicateValues" dxfId="24060" priority="132990"/>
    <cfRule type="duplicateValues" dxfId="24059" priority="135487"/>
    <cfRule type="duplicateValues" dxfId="24058" priority="135486"/>
    <cfRule type="duplicateValues" dxfId="24057" priority="135485"/>
    <cfRule type="duplicateValues" dxfId="24056" priority="132524"/>
    <cfRule type="duplicateValues" dxfId="24055" priority="132525"/>
    <cfRule type="duplicateValues" dxfId="24054" priority="132526"/>
    <cfRule type="duplicateValues" dxfId="24053" priority="132527"/>
    <cfRule type="duplicateValues" dxfId="24052" priority="132528"/>
    <cfRule type="duplicateValues" dxfId="24051" priority="132529"/>
    <cfRule type="duplicateValues" dxfId="24050" priority="132530"/>
    <cfRule type="duplicateValues" dxfId="24049" priority="132989"/>
    <cfRule type="duplicateValues" dxfId="24048" priority="131332"/>
    <cfRule type="duplicateValues" dxfId="24047" priority="131333"/>
    <cfRule type="duplicateValues" dxfId="24046" priority="131334"/>
    <cfRule type="duplicateValues" dxfId="24045" priority="131335"/>
    <cfRule type="duplicateValues" dxfId="24044" priority="131336"/>
    <cfRule type="duplicateValues" dxfId="24043" priority="131337"/>
    <cfRule type="duplicateValues" dxfId="24042" priority="131338"/>
    <cfRule type="duplicateValues" dxfId="24041" priority="131339"/>
    <cfRule type="duplicateValues" dxfId="24040" priority="131340"/>
    <cfRule type="duplicateValues" dxfId="24039" priority="131341"/>
    <cfRule type="duplicateValues" dxfId="24038" priority="131342"/>
    <cfRule type="duplicateValues" dxfId="24037" priority="131343"/>
    <cfRule type="duplicateValues" dxfId="24036" priority="131344"/>
    <cfRule type="duplicateValues" dxfId="24035" priority="131345"/>
    <cfRule type="duplicateValues" dxfId="24034" priority="131346"/>
    <cfRule type="duplicateValues" dxfId="24033" priority="131347"/>
    <cfRule type="duplicateValues" dxfId="24032" priority="131348"/>
    <cfRule type="duplicateValues" dxfId="24031" priority="131349"/>
    <cfRule type="duplicateValues" dxfId="24030" priority="131350"/>
    <cfRule type="duplicateValues" dxfId="24029" priority="131351"/>
    <cfRule type="duplicateValues" dxfId="24028" priority="131352"/>
    <cfRule type="duplicateValues" dxfId="24027" priority="131353"/>
    <cfRule type="duplicateValues" dxfId="24026" priority="131354"/>
    <cfRule type="duplicateValues" dxfId="24025" priority="131355"/>
    <cfRule type="duplicateValues" dxfId="24024" priority="131356"/>
    <cfRule type="duplicateValues" dxfId="24023" priority="131357"/>
    <cfRule type="duplicateValues" dxfId="24022" priority="131358"/>
    <cfRule type="duplicateValues" dxfId="24021" priority="131359"/>
    <cfRule type="duplicateValues" dxfId="24020" priority="131360"/>
    <cfRule type="duplicateValues" dxfId="24019" priority="131361"/>
    <cfRule type="duplicateValues" dxfId="24018" priority="131362"/>
    <cfRule type="duplicateValues" dxfId="24017" priority="131363"/>
    <cfRule type="duplicateValues" dxfId="24016" priority="131364"/>
    <cfRule type="duplicateValues" dxfId="24015" priority="131365"/>
    <cfRule type="duplicateValues" dxfId="24014" priority="131366"/>
    <cfRule type="duplicateValues" dxfId="24013" priority="131367"/>
    <cfRule type="duplicateValues" dxfId="24012" priority="131368"/>
    <cfRule type="duplicateValues" dxfId="24011" priority="131369"/>
    <cfRule type="duplicateValues" dxfId="24010" priority="131370"/>
    <cfRule type="duplicateValues" dxfId="24009" priority="131371"/>
    <cfRule type="duplicateValues" dxfId="24008" priority="131372"/>
    <cfRule type="duplicateValues" dxfId="24007" priority="131373"/>
    <cfRule type="duplicateValues" dxfId="24006" priority="131374"/>
    <cfRule type="duplicateValues" dxfId="24005" priority="131375"/>
    <cfRule type="duplicateValues" dxfId="24004" priority="131376"/>
    <cfRule type="duplicateValues" dxfId="24003" priority="131378"/>
    <cfRule type="duplicateValues" dxfId="24002" priority="131379"/>
    <cfRule type="duplicateValues" dxfId="24001" priority="131380"/>
    <cfRule type="duplicateValues" dxfId="24000" priority="131381"/>
    <cfRule type="duplicateValues" dxfId="23999" priority="131382"/>
    <cfRule type="duplicateValues" dxfId="23998" priority="131383"/>
    <cfRule type="duplicateValues" dxfId="23997" priority="131384"/>
    <cfRule type="duplicateValues" dxfId="23996" priority="131385"/>
    <cfRule type="duplicateValues" dxfId="23995" priority="131386"/>
    <cfRule type="duplicateValues" dxfId="23994" priority="131387"/>
    <cfRule type="duplicateValues" dxfId="23993" priority="131388"/>
    <cfRule type="duplicateValues" dxfId="23992" priority="131389"/>
    <cfRule type="duplicateValues" dxfId="23991" priority="131390"/>
    <cfRule type="duplicateValues" dxfId="23990" priority="131391"/>
    <cfRule type="duplicateValues" dxfId="23989" priority="131392"/>
    <cfRule type="duplicateValues" dxfId="23988" priority="131393"/>
    <cfRule type="duplicateValues" dxfId="23987" priority="131394"/>
    <cfRule type="duplicateValues" dxfId="23986" priority="131395"/>
    <cfRule type="duplicateValues" dxfId="23985" priority="131396"/>
    <cfRule type="duplicateValues" dxfId="23984" priority="131397"/>
    <cfRule type="duplicateValues" dxfId="23983" priority="131398"/>
    <cfRule type="duplicateValues" dxfId="23982" priority="131399"/>
    <cfRule type="duplicateValues" dxfId="23981" priority="131400"/>
    <cfRule type="duplicateValues" dxfId="23980" priority="131401"/>
    <cfRule type="duplicateValues" dxfId="23979" priority="131402"/>
    <cfRule type="duplicateValues" dxfId="23978" priority="131403"/>
    <cfRule type="duplicateValues" dxfId="23977" priority="131404"/>
    <cfRule type="duplicateValues" dxfId="23976" priority="131405"/>
    <cfRule type="duplicateValues" dxfId="23975" priority="131406"/>
    <cfRule type="duplicateValues" dxfId="23974" priority="131407"/>
    <cfRule type="duplicateValues" dxfId="23973" priority="131408"/>
    <cfRule type="duplicateValues" dxfId="23972" priority="131409"/>
    <cfRule type="duplicateValues" dxfId="23971" priority="131410"/>
    <cfRule type="duplicateValues" dxfId="23970" priority="131419"/>
    <cfRule type="duplicateValues" dxfId="23969" priority="131420"/>
    <cfRule type="duplicateValues" dxfId="23968" priority="131421"/>
    <cfRule type="duplicateValues" dxfId="23967" priority="131422"/>
    <cfRule type="duplicateValues" dxfId="23966" priority="131423"/>
    <cfRule type="duplicateValues" dxfId="23965" priority="131424"/>
    <cfRule type="duplicateValues" dxfId="23964" priority="131425"/>
    <cfRule type="duplicateValues" dxfId="23963" priority="131426"/>
    <cfRule type="duplicateValues" dxfId="23962" priority="131427"/>
    <cfRule type="duplicateValues" dxfId="23961" priority="131428"/>
    <cfRule type="duplicateValues" dxfId="23960" priority="131429"/>
    <cfRule type="duplicateValues" dxfId="23959" priority="131434"/>
    <cfRule type="duplicateValues" dxfId="23958" priority="131435"/>
    <cfRule type="duplicateValues" dxfId="23957" priority="131436"/>
    <cfRule type="duplicateValues" dxfId="23956" priority="131437"/>
    <cfRule type="duplicateValues" dxfId="23955" priority="131438"/>
    <cfRule type="duplicateValues" dxfId="23954" priority="131439"/>
    <cfRule type="duplicateValues" dxfId="23953" priority="131440"/>
    <cfRule type="duplicateValues" dxfId="23952" priority="131441"/>
    <cfRule type="duplicateValues" dxfId="23951" priority="131442"/>
    <cfRule type="duplicateValues" dxfId="23950" priority="131443"/>
    <cfRule type="duplicateValues" dxfId="23949" priority="131444"/>
    <cfRule type="duplicateValues" dxfId="23948" priority="131445"/>
    <cfRule type="duplicateValues" dxfId="23947" priority="131446"/>
    <cfRule type="duplicateValues" dxfId="23946" priority="131447"/>
    <cfRule type="duplicateValues" dxfId="23945" priority="131448"/>
    <cfRule type="duplicateValues" dxfId="23944" priority="131449"/>
    <cfRule type="duplicateValues" dxfId="23943" priority="131450"/>
    <cfRule type="duplicateValues" dxfId="23942" priority="131451"/>
    <cfRule type="duplicateValues" dxfId="23941" priority="131452"/>
    <cfRule type="duplicateValues" dxfId="23940" priority="131453"/>
    <cfRule type="duplicateValues" dxfId="23939" priority="131454"/>
    <cfRule type="duplicateValues" dxfId="23938" priority="131455"/>
    <cfRule type="duplicateValues" dxfId="23937" priority="131456"/>
    <cfRule type="duplicateValues" dxfId="23936" priority="131457"/>
    <cfRule type="duplicateValues" dxfId="23935" priority="131458"/>
    <cfRule type="duplicateValues" dxfId="23934" priority="131459"/>
    <cfRule type="duplicateValues" dxfId="23933" priority="131460"/>
    <cfRule type="duplicateValues" dxfId="23932" priority="131461"/>
    <cfRule type="duplicateValues" dxfId="23931" priority="131462"/>
    <cfRule type="duplicateValues" dxfId="23930" priority="131463"/>
    <cfRule type="duplicateValues" dxfId="23929" priority="131464"/>
    <cfRule type="duplicateValues" dxfId="23928" priority="131465"/>
    <cfRule type="duplicateValues" dxfId="23927" priority="131466"/>
    <cfRule type="duplicateValues" dxfId="23926" priority="131467"/>
    <cfRule type="duplicateValues" dxfId="23925" priority="131468"/>
    <cfRule type="duplicateValues" dxfId="23924" priority="131469"/>
    <cfRule type="duplicateValues" dxfId="23923" priority="131470"/>
    <cfRule type="duplicateValues" dxfId="23922" priority="131471"/>
    <cfRule type="duplicateValues" dxfId="23921" priority="131472"/>
    <cfRule type="duplicateValues" dxfId="23920" priority="131473"/>
    <cfRule type="duplicateValues" dxfId="23919" priority="131478"/>
    <cfRule type="duplicateValues" dxfId="23918" priority="131479"/>
    <cfRule type="duplicateValues" dxfId="23917" priority="131480"/>
    <cfRule type="duplicateValues" dxfId="23916" priority="131488"/>
    <cfRule type="duplicateValues" dxfId="23915" priority="131489"/>
    <cfRule type="duplicateValues" dxfId="23914" priority="131490"/>
    <cfRule type="duplicateValues" dxfId="23913" priority="131491"/>
    <cfRule type="duplicateValues" dxfId="23912" priority="131492"/>
    <cfRule type="duplicateValues" dxfId="23911" priority="131493"/>
    <cfRule type="duplicateValues" dxfId="23910" priority="131494"/>
    <cfRule type="duplicateValues" dxfId="23909" priority="131495"/>
    <cfRule type="duplicateValues" dxfId="23908" priority="131496"/>
    <cfRule type="duplicateValues" dxfId="23907" priority="131497"/>
    <cfRule type="duplicateValues" dxfId="23906" priority="131498"/>
    <cfRule type="duplicateValues" dxfId="23905" priority="131499"/>
    <cfRule type="duplicateValues" dxfId="23904" priority="131500"/>
    <cfRule type="duplicateValues" dxfId="23903" priority="131501"/>
    <cfRule type="duplicateValues" dxfId="23902" priority="131502"/>
    <cfRule type="duplicateValues" dxfId="23901" priority="131503"/>
    <cfRule type="duplicateValues" dxfId="23900" priority="131504"/>
    <cfRule type="duplicateValues" dxfId="23899" priority="131505"/>
    <cfRule type="duplicateValues" dxfId="23898" priority="131506"/>
    <cfRule type="duplicateValues" dxfId="23897" priority="131507"/>
    <cfRule type="duplicateValues" dxfId="23896" priority="131508"/>
    <cfRule type="duplicateValues" dxfId="23895" priority="131509"/>
    <cfRule type="duplicateValues" dxfId="23894" priority="131510"/>
    <cfRule type="duplicateValues" dxfId="23893" priority="131511"/>
    <cfRule type="duplicateValues" dxfId="23892" priority="131512"/>
    <cfRule type="duplicateValues" dxfId="23891" priority="131513"/>
    <cfRule type="duplicateValues" dxfId="23890" priority="131514"/>
    <cfRule type="duplicateValues" dxfId="23889" priority="131515"/>
    <cfRule type="duplicateValues" dxfId="23888" priority="131516"/>
    <cfRule type="duplicateValues" dxfId="23887" priority="131517"/>
    <cfRule type="duplicateValues" dxfId="23886" priority="131518"/>
    <cfRule type="duplicateValues" dxfId="23885" priority="131519"/>
    <cfRule type="duplicateValues" dxfId="23884" priority="131520"/>
    <cfRule type="duplicateValues" dxfId="23883" priority="131521"/>
    <cfRule type="duplicateValues" dxfId="23882" priority="131522"/>
    <cfRule type="duplicateValues" dxfId="23881" priority="131523"/>
    <cfRule type="duplicateValues" dxfId="23880" priority="131524"/>
    <cfRule type="duplicateValues" dxfId="23879" priority="131525"/>
    <cfRule type="duplicateValues" dxfId="23878" priority="131526"/>
    <cfRule type="duplicateValues" dxfId="23877" priority="131527"/>
    <cfRule type="duplicateValues" dxfId="23876" priority="131532"/>
    <cfRule type="duplicateValues" dxfId="23875" priority="131533"/>
    <cfRule type="duplicateValues" dxfId="23874" priority="131534"/>
    <cfRule type="duplicateValues" dxfId="23873" priority="131542"/>
    <cfRule type="duplicateValues" dxfId="23872" priority="131543"/>
    <cfRule type="duplicateValues" dxfId="23871" priority="131544"/>
    <cfRule type="duplicateValues" dxfId="23870" priority="131545"/>
    <cfRule type="duplicateValues" dxfId="23869" priority="131546"/>
    <cfRule type="duplicateValues" dxfId="23868" priority="131547"/>
    <cfRule type="duplicateValues" dxfId="23867" priority="131548"/>
    <cfRule type="duplicateValues" dxfId="23866" priority="131549"/>
    <cfRule type="duplicateValues" dxfId="23865" priority="131550"/>
    <cfRule type="duplicateValues" dxfId="23864" priority="131551"/>
    <cfRule type="duplicateValues" dxfId="23863" priority="131552"/>
    <cfRule type="duplicateValues" dxfId="23862" priority="131553"/>
    <cfRule type="duplicateValues" dxfId="23861" priority="131554"/>
    <cfRule type="duplicateValues" dxfId="23860" priority="131555"/>
    <cfRule type="duplicateValues" dxfId="23859" priority="131556"/>
    <cfRule type="duplicateValues" dxfId="23858" priority="131557"/>
    <cfRule type="duplicateValues" dxfId="23857" priority="131558"/>
    <cfRule type="duplicateValues" dxfId="23856" priority="131559"/>
    <cfRule type="duplicateValues" dxfId="23855" priority="131560"/>
    <cfRule type="duplicateValues" dxfId="23854" priority="131561"/>
    <cfRule type="duplicateValues" dxfId="23853" priority="131562"/>
    <cfRule type="duplicateValues" dxfId="23852" priority="131563"/>
    <cfRule type="duplicateValues" dxfId="23851" priority="131564"/>
    <cfRule type="duplicateValues" dxfId="23850" priority="131565"/>
    <cfRule type="duplicateValues" dxfId="23849" priority="131566"/>
    <cfRule type="duplicateValues" dxfId="23848" priority="131567"/>
  </conditionalFormatting>
  <conditionalFormatting sqref="D139:D140">
    <cfRule type="duplicateValues" dxfId="23847" priority="150075"/>
    <cfRule type="duplicateValues" dxfId="23846" priority="150074"/>
    <cfRule type="duplicateValues" dxfId="23845" priority="150073"/>
    <cfRule type="duplicateValues" dxfId="23844" priority="150072"/>
    <cfRule type="duplicateValues" dxfId="23843" priority="148743"/>
    <cfRule type="duplicateValues" dxfId="23842" priority="150071"/>
    <cfRule type="duplicateValues" dxfId="23841" priority="148742"/>
    <cfRule type="duplicateValues" dxfId="23840" priority="148741"/>
    <cfRule type="duplicateValues" dxfId="23839" priority="148740"/>
    <cfRule type="duplicateValues" dxfId="23838" priority="148739"/>
    <cfRule type="duplicateValues" dxfId="23837" priority="148738"/>
    <cfRule type="duplicateValues" dxfId="23836" priority="148737"/>
    <cfRule type="duplicateValues" dxfId="23835" priority="148728"/>
    <cfRule type="duplicateValues" dxfId="23834" priority="150094"/>
    <cfRule type="duplicateValues" dxfId="23833" priority="150093"/>
    <cfRule type="duplicateValues" dxfId="23832" priority="150092"/>
    <cfRule type="duplicateValues" dxfId="23831" priority="150091"/>
    <cfRule type="duplicateValues" dxfId="23830" priority="148729"/>
    <cfRule type="duplicateValues" dxfId="23829" priority="150076"/>
    <cfRule type="duplicateValues" dxfId="23828" priority="148731"/>
    <cfRule type="duplicateValues" dxfId="23827" priority="148736"/>
    <cfRule type="duplicateValues" dxfId="23826" priority="150078"/>
    <cfRule type="duplicateValues" dxfId="23825" priority="150077"/>
    <cfRule type="duplicateValues" dxfId="23824" priority="148730"/>
  </conditionalFormatting>
  <conditionalFormatting sqref="D139:D141">
    <cfRule type="duplicateValues" dxfId="23823" priority="153601"/>
    <cfRule type="duplicateValues" dxfId="23822" priority="153600"/>
    <cfRule type="duplicateValues" dxfId="23821" priority="153599"/>
    <cfRule type="duplicateValues" dxfId="23820" priority="153598"/>
    <cfRule type="duplicateValues" dxfId="23819" priority="150202"/>
    <cfRule type="duplicateValues" dxfId="23818" priority="150201"/>
    <cfRule type="duplicateValues" dxfId="23817" priority="150200"/>
    <cfRule type="duplicateValues" dxfId="23816" priority="150098"/>
    <cfRule type="duplicateValues" dxfId="23815" priority="150097"/>
    <cfRule type="duplicateValues" dxfId="23814" priority="150096"/>
    <cfRule type="duplicateValues" dxfId="23813" priority="150095"/>
    <cfRule type="duplicateValues" dxfId="23812" priority="150082"/>
    <cfRule type="duplicateValues" dxfId="23811" priority="150080"/>
    <cfRule type="duplicateValues" dxfId="23810" priority="150079"/>
    <cfRule type="duplicateValues" dxfId="23809" priority="148747"/>
    <cfRule type="duplicateValues" dxfId="23808" priority="150203"/>
    <cfRule type="duplicateValues" dxfId="23807" priority="148746"/>
    <cfRule type="duplicateValues" dxfId="23806" priority="148745"/>
    <cfRule type="duplicateValues" dxfId="23805" priority="148744"/>
    <cfRule type="duplicateValues" dxfId="23804" priority="150081"/>
  </conditionalFormatting>
  <conditionalFormatting sqref="D139:D143">
    <cfRule type="duplicateValues" dxfId="23803" priority="148714"/>
  </conditionalFormatting>
  <conditionalFormatting sqref="D139:D148">
    <cfRule type="duplicateValues" dxfId="23802" priority="141144"/>
  </conditionalFormatting>
  <conditionalFormatting sqref="D140">
    <cfRule type="duplicateValues" dxfId="23801" priority="132141"/>
    <cfRule type="duplicateValues" dxfId="23800" priority="132142"/>
    <cfRule type="duplicateValues" dxfId="23799" priority="132143"/>
    <cfRule type="duplicateValues" dxfId="23798" priority="132144"/>
    <cfRule type="duplicateValues" dxfId="23797" priority="132145"/>
    <cfRule type="duplicateValues" dxfId="23796" priority="132146"/>
    <cfRule type="duplicateValues" dxfId="23795" priority="132147"/>
    <cfRule type="duplicateValues" dxfId="23794" priority="132148"/>
    <cfRule type="duplicateValues" dxfId="23793" priority="132149"/>
    <cfRule type="duplicateValues" dxfId="23792" priority="132150"/>
    <cfRule type="duplicateValues" dxfId="23791" priority="132151"/>
    <cfRule type="duplicateValues" dxfId="23790" priority="132152"/>
    <cfRule type="duplicateValues" dxfId="23789" priority="132153"/>
    <cfRule type="duplicateValues" dxfId="23788" priority="132154"/>
    <cfRule type="duplicateValues" dxfId="23787" priority="132155"/>
    <cfRule type="duplicateValues" dxfId="23786" priority="132156"/>
    <cfRule type="duplicateValues" dxfId="23785" priority="132157"/>
    <cfRule type="duplicateValues" dxfId="23784" priority="132158"/>
    <cfRule type="duplicateValues" dxfId="23783" priority="132159"/>
    <cfRule type="duplicateValues" dxfId="23782" priority="132160"/>
    <cfRule type="duplicateValues" dxfId="23781" priority="132161"/>
    <cfRule type="duplicateValues" dxfId="23780" priority="132162"/>
    <cfRule type="duplicateValues" dxfId="23779" priority="132163"/>
    <cfRule type="duplicateValues" dxfId="23778" priority="132164"/>
    <cfRule type="duplicateValues" dxfId="23777" priority="132165"/>
    <cfRule type="duplicateValues" dxfId="23776" priority="132166"/>
    <cfRule type="duplicateValues" dxfId="23775" priority="132167"/>
    <cfRule type="duplicateValues" dxfId="23774" priority="132168"/>
    <cfRule type="duplicateValues" dxfId="23773" priority="132169"/>
    <cfRule type="duplicateValues" dxfId="23772" priority="132170"/>
    <cfRule type="duplicateValues" dxfId="23771" priority="132171"/>
    <cfRule type="duplicateValues" dxfId="23770" priority="132172"/>
    <cfRule type="duplicateValues" dxfId="23769" priority="132173"/>
    <cfRule type="duplicateValues" dxfId="23768" priority="132174"/>
    <cfRule type="duplicateValues" dxfId="23767" priority="132175"/>
    <cfRule type="duplicateValues" dxfId="23766" priority="132176"/>
    <cfRule type="duplicateValues" dxfId="23765" priority="132177"/>
    <cfRule type="duplicateValues" dxfId="23764" priority="132178"/>
    <cfRule type="duplicateValues" dxfId="23763" priority="132179"/>
    <cfRule type="duplicateValues" dxfId="23762" priority="132180"/>
    <cfRule type="duplicateValues" dxfId="23761" priority="132181"/>
    <cfRule type="duplicateValues" dxfId="23760" priority="132182"/>
    <cfRule type="duplicateValues" dxfId="23759" priority="132183"/>
    <cfRule type="duplicateValues" dxfId="23758" priority="132184"/>
    <cfRule type="duplicateValues" dxfId="23757" priority="132185"/>
    <cfRule type="duplicateValues" dxfId="23756" priority="132186"/>
    <cfRule type="duplicateValues" dxfId="23755" priority="132187"/>
    <cfRule type="duplicateValues" dxfId="23754" priority="132188"/>
    <cfRule type="duplicateValues" dxfId="23753" priority="132189"/>
    <cfRule type="duplicateValues" dxfId="23752" priority="132190"/>
    <cfRule type="duplicateValues" dxfId="23751" priority="132191"/>
    <cfRule type="duplicateValues" dxfId="23750" priority="132192"/>
    <cfRule type="duplicateValues" dxfId="23749" priority="132193"/>
    <cfRule type="duplicateValues" dxfId="23748" priority="132194"/>
    <cfRule type="duplicateValues" dxfId="23747" priority="132195"/>
    <cfRule type="duplicateValues" dxfId="23746" priority="132196"/>
    <cfRule type="duplicateValues" dxfId="23745" priority="132197"/>
    <cfRule type="duplicateValues" dxfId="23744" priority="132198"/>
    <cfRule type="duplicateValues" dxfId="23743" priority="132199"/>
    <cfRule type="duplicateValues" dxfId="23742" priority="132200"/>
    <cfRule type="duplicateValues" dxfId="23741" priority="132201"/>
    <cfRule type="duplicateValues" dxfId="23740" priority="132202"/>
    <cfRule type="duplicateValues" dxfId="23739" priority="132203"/>
    <cfRule type="duplicateValues" dxfId="23738" priority="132204"/>
    <cfRule type="duplicateValues" dxfId="23737" priority="132205"/>
    <cfRule type="duplicateValues" dxfId="23736" priority="132206"/>
    <cfRule type="duplicateValues" dxfId="23735" priority="132207"/>
    <cfRule type="duplicateValues" dxfId="23734" priority="132208"/>
    <cfRule type="duplicateValues" dxfId="23733" priority="132209"/>
    <cfRule type="duplicateValues" dxfId="23732" priority="132210"/>
    <cfRule type="duplicateValues" dxfId="23731" priority="132211"/>
    <cfRule type="duplicateValues" dxfId="23730" priority="132212"/>
    <cfRule type="duplicateValues" dxfId="23729" priority="132213"/>
    <cfRule type="duplicateValues" dxfId="23728" priority="132214"/>
    <cfRule type="duplicateValues" dxfId="23727" priority="132215"/>
    <cfRule type="duplicateValues" dxfId="23726" priority="132216"/>
    <cfRule type="duplicateValues" dxfId="23725" priority="132217"/>
    <cfRule type="duplicateValues" dxfId="23724" priority="132218"/>
    <cfRule type="duplicateValues" dxfId="23723" priority="132219"/>
    <cfRule type="duplicateValues" dxfId="23722" priority="132220"/>
    <cfRule type="duplicateValues" dxfId="23721" priority="132221"/>
    <cfRule type="duplicateValues" dxfId="23720" priority="132222"/>
    <cfRule type="duplicateValues" dxfId="23719" priority="132223"/>
    <cfRule type="duplicateValues" dxfId="23718" priority="132224"/>
    <cfRule type="duplicateValues" dxfId="23717" priority="132225"/>
    <cfRule type="duplicateValues" dxfId="23716" priority="132226"/>
    <cfRule type="duplicateValues" dxfId="23715" priority="132227"/>
    <cfRule type="duplicateValues" dxfId="23714" priority="132228"/>
    <cfRule type="duplicateValues" dxfId="23713" priority="132229"/>
    <cfRule type="duplicateValues" dxfId="23712" priority="132230"/>
    <cfRule type="duplicateValues" dxfId="23711" priority="132231"/>
    <cfRule type="duplicateValues" dxfId="23710" priority="132232"/>
    <cfRule type="duplicateValues" dxfId="23709" priority="132233"/>
    <cfRule type="duplicateValues" dxfId="23708" priority="132234"/>
    <cfRule type="duplicateValues" dxfId="23707" priority="132235"/>
    <cfRule type="duplicateValues" dxfId="23706" priority="132236"/>
    <cfRule type="duplicateValues" dxfId="23705" priority="132237"/>
    <cfRule type="duplicateValues" dxfId="23704" priority="132238"/>
    <cfRule type="duplicateValues" dxfId="23703" priority="129477"/>
    <cfRule type="duplicateValues" dxfId="23702" priority="129478"/>
    <cfRule type="duplicateValues" dxfId="23701" priority="129479"/>
    <cfRule type="duplicateValues" dxfId="23700" priority="129480"/>
    <cfRule type="duplicateValues" dxfId="23699" priority="129481"/>
    <cfRule type="duplicateValues" dxfId="23698" priority="129482"/>
    <cfRule type="duplicateValues" dxfId="23697" priority="129483"/>
    <cfRule type="duplicateValues" dxfId="23696" priority="129484"/>
    <cfRule type="duplicateValues" dxfId="23695" priority="129489"/>
    <cfRule type="duplicateValues" dxfId="23694" priority="129490"/>
    <cfRule type="duplicateValues" dxfId="23693" priority="129491"/>
    <cfRule type="duplicateValues" dxfId="23692" priority="129492"/>
    <cfRule type="duplicateValues" dxfId="23691" priority="129497"/>
    <cfRule type="duplicateValues" dxfId="23690" priority="129498"/>
    <cfRule type="duplicateValues" dxfId="23689" priority="129499"/>
    <cfRule type="duplicateValues" dxfId="23688" priority="129500"/>
    <cfRule type="duplicateValues" dxfId="23687" priority="129509"/>
    <cfRule type="duplicateValues" dxfId="23686" priority="129510"/>
    <cfRule type="duplicateValues" dxfId="23685" priority="129511"/>
    <cfRule type="duplicateValues" dxfId="23684" priority="129512"/>
    <cfRule type="duplicateValues" dxfId="23683" priority="129517"/>
    <cfRule type="duplicateValues" dxfId="23682" priority="129518"/>
    <cfRule type="duplicateValues" dxfId="23681" priority="129519"/>
    <cfRule type="duplicateValues" dxfId="23680" priority="129520"/>
    <cfRule type="duplicateValues" dxfId="23679" priority="129545"/>
    <cfRule type="duplicateValues" dxfId="23678" priority="129546"/>
    <cfRule type="duplicateValues" dxfId="23677" priority="129547"/>
    <cfRule type="duplicateValues" dxfId="23676" priority="129548"/>
    <cfRule type="duplicateValues" dxfId="23675" priority="129549"/>
    <cfRule type="duplicateValues" dxfId="23674" priority="129550"/>
    <cfRule type="duplicateValues" dxfId="23673" priority="129551"/>
    <cfRule type="duplicateValues" dxfId="23672" priority="129552"/>
    <cfRule type="duplicateValues" dxfId="23671" priority="129553"/>
    <cfRule type="duplicateValues" dxfId="23670" priority="129554"/>
    <cfRule type="duplicateValues" dxfId="23669" priority="129555"/>
    <cfRule type="duplicateValues" dxfId="23668" priority="129556"/>
    <cfRule type="duplicateValues" dxfId="23667" priority="129557"/>
    <cfRule type="duplicateValues" dxfId="23666" priority="129558"/>
    <cfRule type="duplicateValues" dxfId="23665" priority="129559"/>
    <cfRule type="duplicateValues" dxfId="23664" priority="129560"/>
    <cfRule type="duplicateValues" dxfId="23663" priority="129561"/>
    <cfRule type="duplicateValues" dxfId="23662" priority="129562"/>
    <cfRule type="duplicateValues" dxfId="23661" priority="129563"/>
    <cfRule type="duplicateValues" dxfId="23660" priority="129564"/>
    <cfRule type="duplicateValues" dxfId="23659" priority="129565"/>
    <cfRule type="duplicateValues" dxfId="23658" priority="129566"/>
    <cfRule type="duplicateValues" dxfId="23657" priority="129567"/>
    <cfRule type="duplicateValues" dxfId="23656" priority="129568"/>
    <cfRule type="duplicateValues" dxfId="23655" priority="129569"/>
    <cfRule type="duplicateValues" dxfId="23654" priority="129570"/>
    <cfRule type="duplicateValues" dxfId="23653" priority="129571"/>
    <cfRule type="duplicateValues" dxfId="23652" priority="129572"/>
    <cfRule type="duplicateValues" dxfId="23651" priority="129573"/>
    <cfRule type="duplicateValues" dxfId="23650" priority="129574"/>
    <cfRule type="duplicateValues" dxfId="23649" priority="129575"/>
    <cfRule type="duplicateValues" dxfId="23648" priority="129576"/>
    <cfRule type="duplicateValues" dxfId="23647" priority="129577"/>
    <cfRule type="duplicateValues" dxfId="23646" priority="129578"/>
    <cfRule type="duplicateValues" dxfId="23645" priority="129579"/>
    <cfRule type="duplicateValues" dxfId="23644" priority="129580"/>
    <cfRule type="duplicateValues" dxfId="23643" priority="129581"/>
    <cfRule type="duplicateValues" dxfId="23642" priority="129582"/>
    <cfRule type="duplicateValues" dxfId="23641" priority="129583"/>
    <cfRule type="duplicateValues" dxfId="23640" priority="129584"/>
    <cfRule type="duplicateValues" dxfId="23639" priority="129585"/>
    <cfRule type="duplicateValues" dxfId="23638" priority="129586"/>
    <cfRule type="duplicateValues" dxfId="23637" priority="129587"/>
    <cfRule type="duplicateValues" dxfId="23636" priority="129588"/>
    <cfRule type="duplicateValues" dxfId="23635" priority="129589"/>
    <cfRule type="duplicateValues" dxfId="23634" priority="129590"/>
    <cfRule type="duplicateValues" dxfId="23633" priority="129591"/>
    <cfRule type="duplicateValues" dxfId="23632" priority="129592"/>
    <cfRule type="duplicateValues" dxfId="23631" priority="129593"/>
    <cfRule type="duplicateValues" dxfId="23630" priority="129594"/>
    <cfRule type="duplicateValues" dxfId="23629" priority="129595"/>
    <cfRule type="duplicateValues" dxfId="23628" priority="129596"/>
    <cfRule type="duplicateValues" dxfId="23627" priority="129597"/>
    <cfRule type="duplicateValues" dxfId="23626" priority="129598"/>
    <cfRule type="duplicateValues" dxfId="23625" priority="129599"/>
    <cfRule type="duplicateValues" dxfId="23624" priority="129600"/>
    <cfRule type="duplicateValues" dxfId="23623" priority="129601"/>
    <cfRule type="duplicateValues" dxfId="23622" priority="129602"/>
    <cfRule type="duplicateValues" dxfId="23621" priority="129603"/>
    <cfRule type="duplicateValues" dxfId="23620" priority="129604"/>
    <cfRule type="duplicateValues" dxfId="23619" priority="129605"/>
    <cfRule type="duplicateValues" dxfId="23618" priority="129606"/>
    <cfRule type="duplicateValues" dxfId="23617" priority="129607"/>
    <cfRule type="duplicateValues" dxfId="23616" priority="129608"/>
    <cfRule type="duplicateValues" dxfId="23615" priority="129609"/>
    <cfRule type="duplicateValues" dxfId="23614" priority="129610"/>
    <cfRule type="duplicateValues" dxfId="23613" priority="129611"/>
    <cfRule type="duplicateValues" dxfId="23612" priority="129612"/>
    <cfRule type="duplicateValues" dxfId="23611" priority="129613"/>
    <cfRule type="duplicateValues" dxfId="23610" priority="129614"/>
    <cfRule type="duplicateValues" dxfId="23609" priority="129615"/>
    <cfRule type="duplicateValues" dxfId="23608" priority="129616"/>
    <cfRule type="duplicateValues" dxfId="23607" priority="129617"/>
    <cfRule type="duplicateValues" dxfId="23606" priority="129618"/>
    <cfRule type="duplicateValues" dxfId="23605" priority="129619"/>
    <cfRule type="duplicateValues" dxfId="23604" priority="129620"/>
    <cfRule type="duplicateValues" dxfId="23603" priority="129621"/>
    <cfRule type="duplicateValues" dxfId="23602" priority="129622"/>
    <cfRule type="duplicateValues" dxfId="23601" priority="129623"/>
    <cfRule type="duplicateValues" dxfId="23600" priority="129624"/>
    <cfRule type="duplicateValues" dxfId="23599" priority="129625"/>
    <cfRule type="duplicateValues" dxfId="23598" priority="129626"/>
    <cfRule type="duplicateValues" dxfId="23597" priority="129627"/>
    <cfRule type="duplicateValues" dxfId="23596" priority="129628"/>
    <cfRule type="duplicateValues" dxfId="23595" priority="129629"/>
    <cfRule type="duplicateValues" dxfId="23594" priority="129630"/>
    <cfRule type="duplicateValues" dxfId="23593" priority="129631"/>
    <cfRule type="duplicateValues" dxfId="23592" priority="129632"/>
    <cfRule type="duplicateValues" dxfId="23591" priority="129633"/>
    <cfRule type="duplicateValues" dxfId="23590" priority="129634"/>
    <cfRule type="duplicateValues" dxfId="23589" priority="129635"/>
    <cfRule type="duplicateValues" dxfId="23588" priority="129636"/>
    <cfRule type="duplicateValues" dxfId="23587" priority="129637"/>
    <cfRule type="duplicateValues" dxfId="23586" priority="129638"/>
    <cfRule type="duplicateValues" dxfId="23585" priority="129639"/>
    <cfRule type="duplicateValues" dxfId="23584" priority="129640"/>
    <cfRule type="duplicateValues" dxfId="23583" priority="129641"/>
    <cfRule type="duplicateValues" dxfId="23582" priority="129642"/>
    <cfRule type="duplicateValues" dxfId="23581" priority="129643"/>
    <cfRule type="duplicateValues" dxfId="23580" priority="129644"/>
    <cfRule type="duplicateValues" dxfId="23579" priority="129645"/>
    <cfRule type="duplicateValues" dxfId="23578" priority="129646"/>
    <cfRule type="duplicateValues" dxfId="23577" priority="129647"/>
    <cfRule type="duplicateValues" dxfId="23576" priority="129648"/>
    <cfRule type="duplicateValues" dxfId="23575" priority="129649"/>
    <cfRule type="duplicateValues" dxfId="23574" priority="129650"/>
    <cfRule type="duplicateValues" dxfId="23573" priority="129651"/>
    <cfRule type="duplicateValues" dxfId="23572" priority="129652"/>
    <cfRule type="duplicateValues" dxfId="23571" priority="129653"/>
    <cfRule type="duplicateValues" dxfId="23570" priority="129654"/>
    <cfRule type="duplicateValues" dxfId="23569" priority="129655"/>
    <cfRule type="duplicateValues" dxfId="23568" priority="129656"/>
    <cfRule type="duplicateValues" dxfId="23567" priority="129657"/>
    <cfRule type="duplicateValues" dxfId="23566" priority="129658"/>
    <cfRule type="duplicateValues" dxfId="23565" priority="129659"/>
    <cfRule type="duplicateValues" dxfId="23564" priority="129660"/>
    <cfRule type="duplicateValues" dxfId="23563" priority="129661"/>
    <cfRule type="duplicateValues" dxfId="23562" priority="129662"/>
    <cfRule type="duplicateValues" dxfId="23561" priority="129663"/>
    <cfRule type="duplicateValues" dxfId="23560" priority="129664"/>
    <cfRule type="duplicateValues" dxfId="23559" priority="129665"/>
    <cfRule type="duplicateValues" dxfId="23558" priority="129666"/>
    <cfRule type="duplicateValues" dxfId="23557" priority="129667"/>
    <cfRule type="duplicateValues" dxfId="23556" priority="129668"/>
    <cfRule type="duplicateValues" dxfId="23555" priority="129669"/>
    <cfRule type="duplicateValues" dxfId="23554" priority="129670"/>
    <cfRule type="duplicateValues" dxfId="23553" priority="129671"/>
    <cfRule type="duplicateValues" dxfId="23552" priority="129672"/>
    <cfRule type="duplicateValues" dxfId="23551" priority="129673"/>
    <cfRule type="duplicateValues" dxfId="23550" priority="129674"/>
    <cfRule type="duplicateValues" dxfId="23549" priority="129675"/>
    <cfRule type="duplicateValues" dxfId="23548" priority="129676"/>
    <cfRule type="duplicateValues" dxfId="23547" priority="129677"/>
    <cfRule type="duplicateValues" dxfId="23546" priority="129678"/>
    <cfRule type="duplicateValues" dxfId="23545" priority="129679"/>
    <cfRule type="duplicateValues" dxfId="23544" priority="129680"/>
    <cfRule type="duplicateValues" dxfId="23543" priority="129681"/>
    <cfRule type="duplicateValues" dxfId="23542" priority="129682"/>
    <cfRule type="duplicateValues" dxfId="23541" priority="129683"/>
    <cfRule type="duplicateValues" dxfId="23540" priority="129684"/>
    <cfRule type="duplicateValues" dxfId="23539" priority="129685"/>
    <cfRule type="duplicateValues" dxfId="23538" priority="129686"/>
    <cfRule type="duplicateValues" dxfId="23537" priority="129687"/>
    <cfRule type="duplicateValues" dxfId="23536" priority="129688"/>
    <cfRule type="duplicateValues" dxfId="23535" priority="129689"/>
    <cfRule type="duplicateValues" dxfId="23534" priority="129690"/>
    <cfRule type="duplicateValues" dxfId="23533" priority="129691"/>
    <cfRule type="duplicateValues" dxfId="23532" priority="129692"/>
    <cfRule type="duplicateValues" dxfId="23531" priority="129693"/>
    <cfRule type="duplicateValues" dxfId="23530" priority="129694"/>
    <cfRule type="duplicateValues" dxfId="23529" priority="129695"/>
    <cfRule type="duplicateValues" dxfId="23528" priority="129696"/>
    <cfRule type="duplicateValues" dxfId="23527" priority="129697"/>
    <cfRule type="duplicateValues" dxfId="23526" priority="129698"/>
    <cfRule type="duplicateValues" dxfId="23525" priority="129699"/>
    <cfRule type="duplicateValues" dxfId="23524" priority="129700"/>
    <cfRule type="duplicateValues" dxfId="23523" priority="129701"/>
    <cfRule type="duplicateValues" dxfId="23522" priority="129702"/>
    <cfRule type="duplicateValues" dxfId="23521" priority="129703"/>
    <cfRule type="duplicateValues" dxfId="23520" priority="129704"/>
    <cfRule type="duplicateValues" dxfId="23519" priority="129705"/>
    <cfRule type="duplicateValues" dxfId="23518" priority="129706"/>
    <cfRule type="duplicateValues" dxfId="23517" priority="129707"/>
    <cfRule type="duplicateValues" dxfId="23516" priority="129708"/>
    <cfRule type="duplicateValues" dxfId="23515" priority="129709"/>
    <cfRule type="duplicateValues" dxfId="23514" priority="129710"/>
    <cfRule type="duplicateValues" dxfId="23513" priority="129711"/>
    <cfRule type="duplicateValues" dxfId="23512" priority="129712"/>
    <cfRule type="duplicateValues" dxfId="23511" priority="129713"/>
    <cfRule type="duplicateValues" dxfId="23510" priority="129714"/>
    <cfRule type="duplicateValues" dxfId="23509" priority="129715"/>
    <cfRule type="duplicateValues" dxfId="23508" priority="129716"/>
    <cfRule type="duplicateValues" dxfId="23507" priority="129717"/>
    <cfRule type="duplicateValues" dxfId="23506" priority="129718"/>
    <cfRule type="duplicateValues" dxfId="23505" priority="129719"/>
    <cfRule type="duplicateValues" dxfId="23504" priority="129720"/>
    <cfRule type="duplicateValues" dxfId="23503" priority="129721"/>
    <cfRule type="duplicateValues" dxfId="23502" priority="129722"/>
    <cfRule type="duplicateValues" dxfId="23501" priority="129723"/>
    <cfRule type="duplicateValues" dxfId="23500" priority="129724"/>
    <cfRule type="duplicateValues" dxfId="23499" priority="129725"/>
    <cfRule type="duplicateValues" dxfId="23498" priority="129726"/>
    <cfRule type="duplicateValues" dxfId="23497" priority="129727"/>
    <cfRule type="duplicateValues" dxfId="23496" priority="129728"/>
    <cfRule type="duplicateValues" dxfId="23495" priority="129729"/>
    <cfRule type="duplicateValues" dxfId="23494" priority="129730"/>
    <cfRule type="duplicateValues" dxfId="23493" priority="129731"/>
    <cfRule type="duplicateValues" dxfId="23492" priority="129732"/>
    <cfRule type="duplicateValues" dxfId="23491" priority="129733"/>
    <cfRule type="duplicateValues" dxfId="23490" priority="129734"/>
    <cfRule type="duplicateValues" dxfId="23489" priority="129735"/>
    <cfRule type="duplicateValues" dxfId="23488" priority="129736"/>
    <cfRule type="duplicateValues" dxfId="23487" priority="129737"/>
    <cfRule type="duplicateValues" dxfId="23486" priority="129738"/>
    <cfRule type="duplicateValues" dxfId="23485" priority="129739"/>
    <cfRule type="duplicateValues" dxfId="23484" priority="129740"/>
    <cfRule type="duplicateValues" dxfId="23483" priority="129741"/>
    <cfRule type="duplicateValues" dxfId="23482" priority="129742"/>
    <cfRule type="duplicateValues" dxfId="23481" priority="129743"/>
    <cfRule type="duplicateValues" dxfId="23480" priority="129744"/>
    <cfRule type="duplicateValues" dxfId="23479" priority="129745"/>
    <cfRule type="duplicateValues" dxfId="23478" priority="129746"/>
    <cfRule type="duplicateValues" dxfId="23477" priority="129747"/>
    <cfRule type="duplicateValues" dxfId="23476" priority="129748"/>
    <cfRule type="duplicateValues" dxfId="23475" priority="129749"/>
    <cfRule type="duplicateValues" dxfId="23474" priority="129750"/>
    <cfRule type="duplicateValues" dxfId="23473" priority="129751"/>
    <cfRule type="duplicateValues" dxfId="23472" priority="129752"/>
    <cfRule type="duplicateValues" dxfId="23471" priority="129753"/>
    <cfRule type="duplicateValues" dxfId="23470" priority="129754"/>
    <cfRule type="duplicateValues" dxfId="23469" priority="129755"/>
    <cfRule type="duplicateValues" dxfId="23468" priority="129756"/>
    <cfRule type="duplicateValues" dxfId="23467" priority="129757"/>
    <cfRule type="duplicateValues" dxfId="23466" priority="129758"/>
    <cfRule type="duplicateValues" dxfId="23465" priority="129759"/>
    <cfRule type="duplicateValues" dxfId="23464" priority="129760"/>
    <cfRule type="duplicateValues" dxfId="23463" priority="129761"/>
    <cfRule type="duplicateValues" dxfId="23462" priority="129762"/>
    <cfRule type="duplicateValues" dxfId="23461" priority="129763"/>
    <cfRule type="duplicateValues" dxfId="23460" priority="129764"/>
    <cfRule type="duplicateValues" dxfId="23459" priority="129765"/>
    <cfRule type="duplicateValues" dxfId="23458" priority="129767"/>
    <cfRule type="duplicateValues" dxfId="23457" priority="129768"/>
    <cfRule type="duplicateValues" dxfId="23456" priority="129769"/>
    <cfRule type="duplicateValues" dxfId="23455" priority="129770"/>
    <cfRule type="duplicateValues" dxfId="23454" priority="129771"/>
    <cfRule type="duplicateValues" dxfId="23453" priority="129772"/>
    <cfRule type="duplicateValues" dxfId="23452" priority="129773"/>
    <cfRule type="duplicateValues" dxfId="23451" priority="129774"/>
    <cfRule type="duplicateValues" dxfId="23450" priority="129775"/>
    <cfRule type="duplicateValues" dxfId="23449" priority="129776"/>
    <cfRule type="duplicateValues" dxfId="23448" priority="129777"/>
    <cfRule type="duplicateValues" dxfId="23447" priority="129778"/>
    <cfRule type="duplicateValues" dxfId="23446" priority="129779"/>
    <cfRule type="duplicateValues" dxfId="23445" priority="129780"/>
    <cfRule type="duplicateValues" dxfId="23444" priority="136562"/>
    <cfRule type="duplicateValues" dxfId="23443" priority="136561"/>
    <cfRule type="duplicateValues" dxfId="23442" priority="136560"/>
    <cfRule type="duplicateValues" dxfId="23441" priority="135559"/>
    <cfRule type="duplicateValues" dxfId="23440" priority="135558"/>
    <cfRule type="duplicateValues" dxfId="23439" priority="135557"/>
    <cfRule type="duplicateValues" dxfId="23438" priority="135549"/>
    <cfRule type="duplicateValues" dxfId="23437" priority="135548"/>
    <cfRule type="duplicateValues" dxfId="23436" priority="135547"/>
    <cfRule type="duplicateValues" dxfId="23435" priority="135542"/>
    <cfRule type="duplicateValues" dxfId="23434" priority="135541"/>
    <cfRule type="duplicateValues" dxfId="23433" priority="135540"/>
    <cfRule type="duplicateValues" dxfId="23432" priority="135539"/>
    <cfRule type="duplicateValues" dxfId="23431" priority="135538"/>
    <cfRule type="duplicateValues" dxfId="23430" priority="135537"/>
    <cfRule type="duplicateValues" dxfId="23429" priority="135536"/>
    <cfRule type="duplicateValues" dxfId="23428" priority="135511"/>
    <cfRule type="duplicateValues" dxfId="23427" priority="135510"/>
    <cfRule type="duplicateValues" dxfId="23426" priority="135509"/>
    <cfRule type="duplicateValues" dxfId="23425" priority="135501"/>
    <cfRule type="duplicateValues" dxfId="23424" priority="135500"/>
    <cfRule type="duplicateValues" dxfId="23423" priority="135499"/>
    <cfRule type="duplicateValues" dxfId="23422" priority="135494"/>
    <cfRule type="duplicateValues" dxfId="23421" priority="135493"/>
    <cfRule type="duplicateValues" dxfId="23420" priority="135492"/>
    <cfRule type="duplicateValues" dxfId="23419" priority="135491"/>
    <cfRule type="duplicateValues" dxfId="23418" priority="135490"/>
    <cfRule type="duplicateValues" dxfId="23417" priority="135489"/>
    <cfRule type="duplicateValues" dxfId="23416" priority="135488"/>
    <cfRule type="duplicateValues" dxfId="23415" priority="135477"/>
    <cfRule type="duplicateValues" dxfId="23414" priority="135476"/>
    <cfRule type="duplicateValues" dxfId="23413" priority="135475"/>
    <cfRule type="duplicateValues" dxfId="23412" priority="135470"/>
    <cfRule type="duplicateValues" dxfId="23411" priority="135469"/>
    <cfRule type="duplicateValues" dxfId="23410" priority="135468"/>
    <cfRule type="duplicateValues" dxfId="23409" priority="135467"/>
    <cfRule type="duplicateValues" dxfId="23408" priority="135466"/>
    <cfRule type="duplicateValues" dxfId="23407" priority="135465"/>
    <cfRule type="duplicateValues" dxfId="23406" priority="135464"/>
    <cfRule type="duplicateValues" dxfId="23405" priority="135460"/>
    <cfRule type="duplicateValues" dxfId="23404" priority="135459"/>
    <cfRule type="duplicateValues" dxfId="23403" priority="135458"/>
    <cfRule type="duplicateValues" dxfId="23402" priority="135457"/>
    <cfRule type="duplicateValues" dxfId="23401" priority="135456"/>
    <cfRule type="duplicateValues" dxfId="23400" priority="135455"/>
    <cfRule type="duplicateValues" dxfId="23399" priority="135454"/>
    <cfRule type="duplicateValues" dxfId="23398" priority="135450"/>
    <cfRule type="duplicateValues" dxfId="23397" priority="135449"/>
    <cfRule type="duplicateValues" dxfId="23396" priority="135448"/>
    <cfRule type="duplicateValues" dxfId="23395" priority="135447"/>
    <cfRule type="duplicateValues" dxfId="23394" priority="133038"/>
    <cfRule type="duplicateValues" dxfId="23393" priority="133037"/>
    <cfRule type="duplicateValues" dxfId="23392" priority="133036"/>
    <cfRule type="duplicateValues" dxfId="23391" priority="133028"/>
    <cfRule type="duplicateValues" dxfId="23390" priority="133027"/>
    <cfRule type="duplicateValues" dxfId="23389" priority="133026"/>
    <cfRule type="duplicateValues" dxfId="23388" priority="133021"/>
    <cfRule type="duplicateValues" dxfId="23387" priority="133020"/>
    <cfRule type="duplicateValues" dxfId="23386" priority="133019"/>
    <cfRule type="duplicateValues" dxfId="23385" priority="133018"/>
    <cfRule type="duplicateValues" dxfId="23384" priority="133017"/>
    <cfRule type="duplicateValues" dxfId="23383" priority="133016"/>
    <cfRule type="duplicateValues" dxfId="23382" priority="133015"/>
    <cfRule type="duplicateValues" dxfId="23381" priority="133004"/>
    <cfRule type="duplicateValues" dxfId="23380" priority="133003"/>
    <cfRule type="duplicateValues" dxfId="23379" priority="133002"/>
    <cfRule type="duplicateValues" dxfId="23378" priority="132997"/>
    <cfRule type="duplicateValues" dxfId="23377" priority="132996"/>
    <cfRule type="duplicateValues" dxfId="23376" priority="132995"/>
    <cfRule type="duplicateValues" dxfId="23375" priority="132994"/>
    <cfRule type="duplicateValues" dxfId="23374" priority="132993"/>
    <cfRule type="duplicateValues" dxfId="23373" priority="132992"/>
    <cfRule type="duplicateValues" dxfId="23372" priority="132991"/>
    <cfRule type="duplicateValues" dxfId="23371" priority="132987"/>
    <cfRule type="duplicateValues" dxfId="23370" priority="132986"/>
    <cfRule type="duplicateValues" dxfId="23369" priority="132985"/>
    <cfRule type="duplicateValues" dxfId="23368" priority="132984"/>
    <cfRule type="duplicateValues" dxfId="23367" priority="132983"/>
    <cfRule type="duplicateValues" dxfId="23366" priority="132982"/>
    <cfRule type="duplicateValues" dxfId="23365" priority="132981"/>
    <cfRule type="duplicateValues" dxfId="23364" priority="132977"/>
    <cfRule type="duplicateValues" dxfId="23363" priority="132976"/>
    <cfRule type="duplicateValues" dxfId="23362" priority="132975"/>
    <cfRule type="duplicateValues" dxfId="23361" priority="132974"/>
    <cfRule type="duplicateValues" dxfId="23360" priority="132956"/>
    <cfRule type="duplicateValues" dxfId="23359" priority="132955"/>
    <cfRule type="duplicateValues" dxfId="23358" priority="132954"/>
    <cfRule type="duplicateValues" dxfId="23357" priority="132949"/>
    <cfRule type="duplicateValues" dxfId="23356" priority="132948"/>
    <cfRule type="duplicateValues" dxfId="23355" priority="132947"/>
    <cfRule type="duplicateValues" dxfId="23354" priority="132946"/>
    <cfRule type="duplicateValues" dxfId="23353" priority="132945"/>
    <cfRule type="duplicateValues" dxfId="23352" priority="132944"/>
    <cfRule type="duplicateValues" dxfId="23351" priority="132943"/>
    <cfRule type="duplicateValues" dxfId="23350" priority="132939"/>
    <cfRule type="duplicateValues" dxfId="23349" priority="132938"/>
    <cfRule type="duplicateValues" dxfId="23348" priority="132937"/>
    <cfRule type="duplicateValues" dxfId="23347" priority="132936"/>
    <cfRule type="duplicateValues" dxfId="23346" priority="132935"/>
    <cfRule type="duplicateValues" dxfId="23345" priority="132934"/>
    <cfRule type="duplicateValues" dxfId="23344" priority="132933"/>
    <cfRule type="duplicateValues" dxfId="23343" priority="132929"/>
    <cfRule type="duplicateValues" dxfId="23342" priority="132928"/>
    <cfRule type="duplicateValues" dxfId="23341" priority="132927"/>
    <cfRule type="duplicateValues" dxfId="23340" priority="132926"/>
    <cfRule type="duplicateValues" dxfId="23339" priority="129766"/>
    <cfRule type="duplicateValues" dxfId="23338" priority="132915"/>
    <cfRule type="duplicateValues" dxfId="23337" priority="132914"/>
    <cfRule type="duplicateValues" dxfId="23336" priority="132913"/>
    <cfRule type="duplicateValues" dxfId="23335" priority="132912"/>
    <cfRule type="duplicateValues" dxfId="23334" priority="132911"/>
    <cfRule type="duplicateValues" dxfId="23333" priority="132910"/>
    <cfRule type="duplicateValues" dxfId="23332" priority="132909"/>
    <cfRule type="duplicateValues" dxfId="23331" priority="132905"/>
    <cfRule type="duplicateValues" dxfId="23330" priority="132904"/>
    <cfRule type="duplicateValues" dxfId="23329" priority="132903"/>
    <cfRule type="duplicateValues" dxfId="23328" priority="132902"/>
    <cfRule type="duplicateValues" dxfId="23327" priority="131702"/>
    <cfRule type="duplicateValues" dxfId="23326" priority="132670"/>
    <cfRule type="duplicateValues" dxfId="23325" priority="132669"/>
    <cfRule type="duplicateValues" dxfId="23324" priority="132668"/>
    <cfRule type="duplicateValues" dxfId="23323" priority="132660"/>
    <cfRule type="duplicateValues" dxfId="23322" priority="132659"/>
    <cfRule type="duplicateValues" dxfId="23321" priority="132658"/>
    <cfRule type="duplicateValues" dxfId="23320" priority="132653"/>
    <cfRule type="duplicateValues" dxfId="23319" priority="132652"/>
    <cfRule type="duplicateValues" dxfId="23318" priority="132651"/>
    <cfRule type="duplicateValues" dxfId="23317" priority="132650"/>
    <cfRule type="duplicateValues" dxfId="23316" priority="132649"/>
    <cfRule type="duplicateValues" dxfId="23315" priority="132648"/>
    <cfRule type="duplicateValues" dxfId="23314" priority="132647"/>
    <cfRule type="duplicateValues" dxfId="23313" priority="132636"/>
    <cfRule type="duplicateValues" dxfId="23312" priority="132635"/>
    <cfRule type="duplicateValues" dxfId="23311" priority="132634"/>
    <cfRule type="duplicateValues" dxfId="23310" priority="132629"/>
    <cfRule type="duplicateValues" dxfId="23309" priority="132628"/>
    <cfRule type="duplicateValues" dxfId="23308" priority="132627"/>
    <cfRule type="duplicateValues" dxfId="23307" priority="132626"/>
    <cfRule type="duplicateValues" dxfId="23306" priority="132625"/>
    <cfRule type="duplicateValues" dxfId="23305" priority="132624"/>
    <cfRule type="duplicateValues" dxfId="23304" priority="132623"/>
    <cfRule type="duplicateValues" dxfId="23303" priority="132619"/>
    <cfRule type="duplicateValues" dxfId="23302" priority="132618"/>
    <cfRule type="duplicateValues" dxfId="23301" priority="132617"/>
    <cfRule type="duplicateValues" dxfId="23300" priority="132616"/>
    <cfRule type="duplicateValues" dxfId="23299" priority="132615"/>
    <cfRule type="duplicateValues" dxfId="23298" priority="132614"/>
    <cfRule type="duplicateValues" dxfId="23297" priority="132613"/>
    <cfRule type="duplicateValues" dxfId="23296" priority="132609"/>
    <cfRule type="duplicateValues" dxfId="23295" priority="132608"/>
    <cfRule type="duplicateValues" dxfId="23294" priority="132607"/>
    <cfRule type="duplicateValues" dxfId="23293" priority="132606"/>
    <cfRule type="duplicateValues" dxfId="23292" priority="132591"/>
    <cfRule type="duplicateValues" dxfId="23291" priority="132590"/>
    <cfRule type="duplicateValues" dxfId="23290" priority="132589"/>
    <cfRule type="duplicateValues" dxfId="23289" priority="132584"/>
    <cfRule type="duplicateValues" dxfId="23288" priority="132583"/>
    <cfRule type="duplicateValues" dxfId="23287" priority="132582"/>
    <cfRule type="duplicateValues" dxfId="23286" priority="132581"/>
    <cfRule type="duplicateValues" dxfId="23285" priority="132580"/>
    <cfRule type="duplicateValues" dxfId="23284" priority="132579"/>
    <cfRule type="duplicateValues" dxfId="23283" priority="132578"/>
    <cfRule type="duplicateValues" dxfId="23282" priority="132574"/>
    <cfRule type="duplicateValues" dxfId="23281" priority="132573"/>
    <cfRule type="duplicateValues" dxfId="23280" priority="132572"/>
    <cfRule type="duplicateValues" dxfId="23279" priority="132571"/>
    <cfRule type="duplicateValues" dxfId="23278" priority="132570"/>
    <cfRule type="duplicateValues" dxfId="23277" priority="132569"/>
    <cfRule type="duplicateValues" dxfId="23276" priority="132568"/>
    <cfRule type="duplicateValues" dxfId="23275" priority="132564"/>
    <cfRule type="duplicateValues" dxfId="23274" priority="132563"/>
    <cfRule type="duplicateValues" dxfId="23273" priority="132562"/>
    <cfRule type="duplicateValues" dxfId="23272" priority="132561"/>
    <cfRule type="duplicateValues" dxfId="23271" priority="132553"/>
    <cfRule type="duplicateValues" dxfId="23270" priority="132552"/>
    <cfRule type="duplicateValues" dxfId="23269" priority="132551"/>
    <cfRule type="duplicateValues" dxfId="23268" priority="132550"/>
    <cfRule type="duplicateValues" dxfId="23267" priority="132549"/>
    <cfRule type="duplicateValues" dxfId="23266" priority="132548"/>
    <cfRule type="duplicateValues" dxfId="23265" priority="132547"/>
    <cfRule type="duplicateValues" dxfId="23264" priority="132543"/>
    <cfRule type="duplicateValues" dxfId="23263" priority="132542"/>
    <cfRule type="duplicateValues" dxfId="23262" priority="132541"/>
    <cfRule type="duplicateValues" dxfId="23261" priority="132540"/>
    <cfRule type="duplicateValues" dxfId="23260" priority="132510"/>
    <cfRule type="duplicateValues" dxfId="23259" priority="132509"/>
    <cfRule type="duplicateValues" dxfId="23258" priority="132508"/>
    <cfRule type="duplicateValues" dxfId="23257" priority="132503"/>
    <cfRule type="duplicateValues" dxfId="23256" priority="132502"/>
    <cfRule type="duplicateValues" dxfId="23255" priority="132501"/>
    <cfRule type="duplicateValues" dxfId="23254" priority="132500"/>
    <cfRule type="duplicateValues" dxfId="23253" priority="132499"/>
    <cfRule type="duplicateValues" dxfId="23252" priority="132498"/>
    <cfRule type="duplicateValues" dxfId="23251" priority="132497"/>
    <cfRule type="duplicateValues" dxfId="23250" priority="132493"/>
    <cfRule type="duplicateValues" dxfId="23249" priority="132492"/>
    <cfRule type="duplicateValues" dxfId="23248" priority="132491"/>
    <cfRule type="duplicateValues" dxfId="23247" priority="132490"/>
    <cfRule type="duplicateValues" dxfId="23246" priority="132489"/>
    <cfRule type="duplicateValues" dxfId="23245" priority="132488"/>
    <cfRule type="duplicateValues" dxfId="23244" priority="132487"/>
    <cfRule type="duplicateValues" dxfId="23243" priority="132483"/>
    <cfRule type="duplicateValues" dxfId="23242" priority="132482"/>
    <cfRule type="duplicateValues" dxfId="23241" priority="132481"/>
    <cfRule type="duplicateValues" dxfId="23240" priority="132480"/>
    <cfRule type="duplicateValues" dxfId="23239" priority="132472"/>
    <cfRule type="duplicateValues" dxfId="23238" priority="132471"/>
    <cfRule type="duplicateValues" dxfId="23237" priority="132470"/>
    <cfRule type="duplicateValues" dxfId="23236" priority="132469"/>
    <cfRule type="duplicateValues" dxfId="23235" priority="132468"/>
    <cfRule type="duplicateValues" dxfId="23234" priority="132467"/>
    <cfRule type="duplicateValues" dxfId="23233" priority="132466"/>
    <cfRule type="duplicateValues" dxfId="23232" priority="132462"/>
    <cfRule type="duplicateValues" dxfId="23231" priority="132461"/>
    <cfRule type="duplicateValues" dxfId="23230" priority="132460"/>
    <cfRule type="duplicateValues" dxfId="23229" priority="132459"/>
    <cfRule type="duplicateValues" dxfId="23228" priority="132440"/>
    <cfRule type="duplicateValues" dxfId="23227" priority="132439"/>
    <cfRule type="duplicateValues" dxfId="23226" priority="132438"/>
    <cfRule type="duplicateValues" dxfId="23225" priority="132437"/>
    <cfRule type="duplicateValues" dxfId="23224" priority="132436"/>
    <cfRule type="duplicateValues" dxfId="23223" priority="132435"/>
    <cfRule type="duplicateValues" dxfId="23222" priority="132434"/>
    <cfRule type="duplicateValues" dxfId="23221" priority="132429"/>
    <cfRule type="duplicateValues" dxfId="23220" priority="132428"/>
    <cfRule type="duplicateValues" dxfId="23219" priority="132427"/>
    <cfRule type="duplicateValues" dxfId="23218" priority="132382"/>
    <cfRule type="duplicateValues" dxfId="23217" priority="132381"/>
    <cfRule type="duplicateValues" dxfId="23216" priority="132380"/>
    <cfRule type="duplicateValues" dxfId="23215" priority="132375"/>
    <cfRule type="duplicateValues" dxfId="23214" priority="132374"/>
    <cfRule type="duplicateValues" dxfId="23213" priority="132373"/>
    <cfRule type="duplicateValues" dxfId="23212" priority="132372"/>
    <cfRule type="duplicateValues" dxfId="23211" priority="132371"/>
    <cfRule type="duplicateValues" dxfId="23210" priority="132370"/>
    <cfRule type="duplicateValues" dxfId="23209" priority="132369"/>
    <cfRule type="duplicateValues" dxfId="23208" priority="132368"/>
    <cfRule type="duplicateValues" dxfId="23207" priority="132367"/>
    <cfRule type="duplicateValues" dxfId="23206" priority="132366"/>
    <cfRule type="duplicateValues" dxfId="23205" priority="132365"/>
    <cfRule type="duplicateValues" dxfId="23204" priority="132364"/>
    <cfRule type="duplicateValues" dxfId="23203" priority="132363"/>
    <cfRule type="duplicateValues" dxfId="23202" priority="132362"/>
    <cfRule type="duplicateValues" dxfId="23201" priority="132361"/>
    <cfRule type="duplicateValues" dxfId="23200" priority="132360"/>
    <cfRule type="duplicateValues" dxfId="23199" priority="132359"/>
    <cfRule type="duplicateValues" dxfId="23198" priority="132358"/>
    <cfRule type="duplicateValues" dxfId="23197" priority="132357"/>
    <cfRule type="duplicateValues" dxfId="23196" priority="132356"/>
    <cfRule type="duplicateValues" dxfId="23195" priority="132355"/>
    <cfRule type="duplicateValues" dxfId="23194" priority="132354"/>
    <cfRule type="duplicateValues" dxfId="23193" priority="132353"/>
    <cfRule type="duplicateValues" dxfId="23192" priority="132352"/>
    <cfRule type="duplicateValues" dxfId="23191" priority="132351"/>
    <cfRule type="duplicateValues" dxfId="23190" priority="132350"/>
    <cfRule type="duplicateValues" dxfId="23189" priority="132349"/>
    <cfRule type="duplicateValues" dxfId="23188" priority="132348"/>
    <cfRule type="duplicateValues" dxfId="23187" priority="132347"/>
    <cfRule type="duplicateValues" dxfId="23186" priority="132346"/>
    <cfRule type="duplicateValues" dxfId="23185" priority="132345"/>
    <cfRule type="duplicateValues" dxfId="23184" priority="132344"/>
    <cfRule type="duplicateValues" dxfId="23183" priority="132343"/>
    <cfRule type="duplicateValues" dxfId="23182" priority="132342"/>
    <cfRule type="duplicateValues" dxfId="23181" priority="132341"/>
    <cfRule type="duplicateValues" dxfId="23180" priority="132340"/>
    <cfRule type="duplicateValues" dxfId="23179" priority="132339"/>
    <cfRule type="duplicateValues" dxfId="23178" priority="132338"/>
    <cfRule type="duplicateValues" dxfId="23177" priority="132337"/>
    <cfRule type="duplicateValues" dxfId="23176" priority="132336"/>
    <cfRule type="duplicateValues" dxfId="23175" priority="132331"/>
    <cfRule type="duplicateValues" dxfId="23174" priority="132330"/>
    <cfRule type="duplicateValues" dxfId="23173" priority="132329"/>
    <cfRule type="duplicateValues" dxfId="23172" priority="132328"/>
    <cfRule type="duplicateValues" dxfId="23171" priority="132327"/>
    <cfRule type="duplicateValues" dxfId="23170" priority="132326"/>
    <cfRule type="duplicateValues" dxfId="23169" priority="132325"/>
    <cfRule type="duplicateValues" dxfId="23168" priority="132324"/>
    <cfRule type="duplicateValues" dxfId="23167" priority="132323"/>
    <cfRule type="duplicateValues" dxfId="23166" priority="132322"/>
    <cfRule type="duplicateValues" dxfId="23165" priority="132321"/>
    <cfRule type="duplicateValues" dxfId="23164" priority="132276"/>
    <cfRule type="duplicateValues" dxfId="23163" priority="132275"/>
    <cfRule type="duplicateValues" dxfId="23162" priority="132274"/>
    <cfRule type="duplicateValues" dxfId="23161" priority="132273"/>
    <cfRule type="duplicateValues" dxfId="23160" priority="132272"/>
    <cfRule type="duplicateValues" dxfId="23159" priority="132271"/>
    <cfRule type="duplicateValues" dxfId="23158" priority="132270"/>
    <cfRule type="duplicateValues" dxfId="23157" priority="132269"/>
    <cfRule type="duplicateValues" dxfId="23156" priority="132268"/>
    <cfRule type="duplicateValues" dxfId="23155" priority="132267"/>
    <cfRule type="duplicateValues" dxfId="23154" priority="132266"/>
    <cfRule type="duplicateValues" dxfId="23153" priority="132265"/>
    <cfRule type="duplicateValues" dxfId="23152" priority="132264"/>
    <cfRule type="duplicateValues" dxfId="23151" priority="132263"/>
    <cfRule type="duplicateValues" dxfId="23150" priority="132262"/>
    <cfRule type="duplicateValues" dxfId="23149" priority="132261"/>
    <cfRule type="duplicateValues" dxfId="23148" priority="132260"/>
    <cfRule type="duplicateValues" dxfId="23147" priority="132259"/>
    <cfRule type="duplicateValues" dxfId="23146" priority="132258"/>
    <cfRule type="duplicateValues" dxfId="23145" priority="132257"/>
    <cfRule type="duplicateValues" dxfId="23144" priority="132256"/>
    <cfRule type="duplicateValues" dxfId="23143" priority="132255"/>
    <cfRule type="duplicateValues" dxfId="23142" priority="132254"/>
    <cfRule type="duplicateValues" dxfId="23141" priority="132253"/>
    <cfRule type="duplicateValues" dxfId="23140" priority="132252"/>
    <cfRule type="duplicateValues" dxfId="23139" priority="132251"/>
    <cfRule type="duplicateValues" dxfId="23138" priority="132250"/>
    <cfRule type="duplicateValues" dxfId="23137" priority="132249"/>
    <cfRule type="duplicateValues" dxfId="23136" priority="132248"/>
    <cfRule type="duplicateValues" dxfId="23135" priority="132247"/>
    <cfRule type="duplicateValues" dxfId="23134" priority="132246"/>
    <cfRule type="duplicateValues" dxfId="23133" priority="132245"/>
    <cfRule type="duplicateValues" dxfId="23132" priority="132244"/>
    <cfRule type="duplicateValues" dxfId="23131" priority="132243"/>
    <cfRule type="duplicateValues" dxfId="23130" priority="132242"/>
    <cfRule type="duplicateValues" dxfId="23129" priority="132241"/>
    <cfRule type="duplicateValues" dxfId="23128" priority="132240"/>
    <cfRule type="duplicateValues" dxfId="23127" priority="132239"/>
    <cfRule type="duplicateValues" dxfId="23126" priority="131673"/>
    <cfRule type="duplicateValues" dxfId="23125" priority="131674"/>
    <cfRule type="duplicateValues" dxfId="23124" priority="131675"/>
    <cfRule type="duplicateValues" dxfId="23123" priority="131676"/>
    <cfRule type="duplicateValues" dxfId="23122" priority="131677"/>
    <cfRule type="duplicateValues" dxfId="23121" priority="131678"/>
    <cfRule type="duplicateValues" dxfId="23120" priority="131679"/>
    <cfRule type="duplicateValues" dxfId="23119" priority="131680"/>
    <cfRule type="duplicateValues" dxfId="23118" priority="131681"/>
    <cfRule type="duplicateValues" dxfId="23117" priority="131682"/>
    <cfRule type="duplicateValues" dxfId="23116" priority="131683"/>
    <cfRule type="duplicateValues" dxfId="23115" priority="131684"/>
    <cfRule type="duplicateValues" dxfId="23114" priority="131685"/>
    <cfRule type="duplicateValues" dxfId="23113" priority="131686"/>
    <cfRule type="duplicateValues" dxfId="23112" priority="131687"/>
    <cfRule type="duplicateValues" dxfId="23111" priority="131688"/>
    <cfRule type="duplicateValues" dxfId="23110" priority="131689"/>
    <cfRule type="duplicateValues" dxfId="23109" priority="131690"/>
    <cfRule type="duplicateValues" dxfId="23108" priority="131691"/>
    <cfRule type="duplicateValues" dxfId="23107" priority="131692"/>
    <cfRule type="duplicateValues" dxfId="23106" priority="131693"/>
    <cfRule type="duplicateValues" dxfId="23105" priority="131694"/>
    <cfRule type="duplicateValues" dxfId="23104" priority="131695"/>
    <cfRule type="duplicateValues" dxfId="23103" priority="131696"/>
    <cfRule type="duplicateValues" dxfId="23102" priority="131697"/>
    <cfRule type="duplicateValues" dxfId="23101" priority="131698"/>
    <cfRule type="duplicateValues" dxfId="23100" priority="131699"/>
    <cfRule type="duplicateValues" dxfId="23099" priority="131700"/>
    <cfRule type="duplicateValues" dxfId="23098" priority="131701"/>
    <cfRule type="duplicateValues" dxfId="23097" priority="131703"/>
    <cfRule type="duplicateValues" dxfId="23096" priority="131704"/>
    <cfRule type="duplicateValues" dxfId="23095" priority="131734"/>
    <cfRule type="duplicateValues" dxfId="23094" priority="131735"/>
    <cfRule type="duplicateValues" dxfId="23093" priority="131736"/>
    <cfRule type="duplicateValues" dxfId="23092" priority="131737"/>
    <cfRule type="duplicateValues" dxfId="23091" priority="131741"/>
    <cfRule type="duplicateValues" dxfId="23090" priority="131742"/>
    <cfRule type="duplicateValues" dxfId="23089" priority="131743"/>
    <cfRule type="duplicateValues" dxfId="23088" priority="131744"/>
    <cfRule type="duplicateValues" dxfId="23087" priority="131745"/>
    <cfRule type="duplicateValues" dxfId="23086" priority="131746"/>
    <cfRule type="duplicateValues" dxfId="23085" priority="131747"/>
    <cfRule type="duplicateValues" dxfId="23084" priority="131766"/>
    <cfRule type="duplicateValues" dxfId="23083" priority="131767"/>
    <cfRule type="duplicateValues" dxfId="23082" priority="131768"/>
    <cfRule type="duplicateValues" dxfId="23081" priority="132430"/>
    <cfRule type="duplicateValues" dxfId="23080" priority="131769"/>
    <cfRule type="duplicateValues" dxfId="23079" priority="131773"/>
    <cfRule type="duplicateValues" dxfId="23078" priority="131774"/>
    <cfRule type="duplicateValues" dxfId="23077" priority="131775"/>
    <cfRule type="duplicateValues" dxfId="23076" priority="131776"/>
    <cfRule type="duplicateValues" dxfId="23075" priority="131777"/>
    <cfRule type="duplicateValues" dxfId="23074" priority="131778"/>
    <cfRule type="duplicateValues" dxfId="23073" priority="131779"/>
    <cfRule type="duplicateValues" dxfId="23072" priority="131787"/>
    <cfRule type="duplicateValues" dxfId="23071" priority="131788"/>
    <cfRule type="duplicateValues" dxfId="23070" priority="131789"/>
    <cfRule type="duplicateValues" dxfId="23069" priority="131790"/>
    <cfRule type="duplicateValues" dxfId="23068" priority="131794"/>
    <cfRule type="duplicateValues" dxfId="23067" priority="131795"/>
    <cfRule type="duplicateValues" dxfId="23066" priority="131796"/>
    <cfRule type="duplicateValues" dxfId="23065" priority="131797"/>
    <cfRule type="duplicateValues" dxfId="23064" priority="131798"/>
    <cfRule type="duplicateValues" dxfId="23063" priority="131799"/>
    <cfRule type="duplicateValues" dxfId="23062" priority="131800"/>
    <cfRule type="duplicateValues" dxfId="23061" priority="131804"/>
    <cfRule type="duplicateValues" dxfId="23060" priority="131805"/>
    <cfRule type="duplicateValues" dxfId="23059" priority="131806"/>
    <cfRule type="duplicateValues" dxfId="23058" priority="131807"/>
    <cfRule type="duplicateValues" dxfId="23057" priority="131808"/>
    <cfRule type="duplicateValues" dxfId="23056" priority="131809"/>
    <cfRule type="duplicateValues" dxfId="23055" priority="131810"/>
    <cfRule type="duplicateValues" dxfId="23054" priority="131811"/>
    <cfRule type="duplicateValues" dxfId="23053" priority="131812"/>
    <cfRule type="duplicateValues" dxfId="23052" priority="131813"/>
    <cfRule type="duplicateValues" dxfId="23051" priority="131832"/>
    <cfRule type="duplicateValues" dxfId="23050" priority="131833"/>
    <cfRule type="duplicateValues" dxfId="23049" priority="131834"/>
    <cfRule type="duplicateValues" dxfId="23048" priority="131835"/>
    <cfRule type="duplicateValues" dxfId="23047" priority="131415"/>
    <cfRule type="duplicateValues" dxfId="23046" priority="131416"/>
    <cfRule type="duplicateValues" dxfId="23045" priority="131417"/>
    <cfRule type="duplicateValues" dxfId="23044" priority="131418"/>
    <cfRule type="duplicateValues" dxfId="23043" priority="131839"/>
    <cfRule type="duplicateValues" dxfId="23042" priority="131840"/>
    <cfRule type="duplicateValues" dxfId="23041" priority="131841"/>
    <cfRule type="duplicateValues" dxfId="23040" priority="131842"/>
    <cfRule type="duplicateValues" dxfId="23039" priority="131843"/>
    <cfRule type="duplicateValues" dxfId="23038" priority="131844"/>
    <cfRule type="duplicateValues" dxfId="23037" priority="131845"/>
    <cfRule type="duplicateValues" dxfId="23036" priority="131853"/>
    <cfRule type="duplicateValues" dxfId="23035" priority="131854"/>
    <cfRule type="duplicateValues" dxfId="23034" priority="131855"/>
    <cfRule type="duplicateValues" dxfId="23033" priority="131856"/>
    <cfRule type="duplicateValues" dxfId="23032" priority="131430"/>
    <cfRule type="duplicateValues" dxfId="23031" priority="131431"/>
    <cfRule type="duplicateValues" dxfId="23030" priority="131432"/>
    <cfRule type="duplicateValues" dxfId="23029" priority="131433"/>
    <cfRule type="duplicateValues" dxfId="23028" priority="131860"/>
    <cfRule type="duplicateValues" dxfId="23027" priority="131861"/>
    <cfRule type="duplicateValues" dxfId="23026" priority="131862"/>
    <cfRule type="duplicateValues" dxfId="23025" priority="131863"/>
    <cfRule type="duplicateValues" dxfId="23024" priority="131864"/>
    <cfRule type="duplicateValues" dxfId="23023" priority="131865"/>
    <cfRule type="duplicateValues" dxfId="23022" priority="131866"/>
    <cfRule type="duplicateValues" dxfId="23021" priority="131870"/>
    <cfRule type="duplicateValues" dxfId="23020" priority="131871"/>
    <cfRule type="duplicateValues" dxfId="23019" priority="131872"/>
    <cfRule type="duplicateValues" dxfId="23018" priority="131873"/>
    <cfRule type="duplicateValues" dxfId="23017" priority="131874"/>
    <cfRule type="duplicateValues" dxfId="23016" priority="131875"/>
    <cfRule type="duplicateValues" dxfId="23015" priority="131876"/>
    <cfRule type="duplicateValues" dxfId="23014" priority="131877"/>
    <cfRule type="duplicateValues" dxfId="23013" priority="131878"/>
    <cfRule type="duplicateValues" dxfId="23012" priority="131879"/>
    <cfRule type="duplicateValues" dxfId="23011" priority="131672"/>
    <cfRule type="duplicateValues" dxfId="23010" priority="131887"/>
    <cfRule type="duplicateValues" dxfId="23009" priority="131888"/>
    <cfRule type="duplicateValues" dxfId="23008" priority="131889"/>
    <cfRule type="duplicateValues" dxfId="23007" priority="131890"/>
    <cfRule type="duplicateValues" dxfId="23006" priority="131894"/>
    <cfRule type="duplicateValues" dxfId="23005" priority="131895"/>
    <cfRule type="duplicateValues" dxfId="23004" priority="131896"/>
    <cfRule type="duplicateValues" dxfId="23003" priority="131897"/>
    <cfRule type="duplicateValues" dxfId="23002" priority="131898"/>
    <cfRule type="duplicateValues" dxfId="23001" priority="131899"/>
    <cfRule type="duplicateValues" dxfId="23000" priority="131900"/>
    <cfRule type="duplicateValues" dxfId="22999" priority="131904"/>
    <cfRule type="duplicateValues" dxfId="22998" priority="131905"/>
    <cfRule type="duplicateValues" dxfId="22997" priority="131906"/>
    <cfRule type="duplicateValues" dxfId="22996" priority="131907"/>
    <cfRule type="duplicateValues" dxfId="22995" priority="131908"/>
    <cfRule type="duplicateValues" dxfId="22994" priority="131909"/>
    <cfRule type="duplicateValues" dxfId="22993" priority="131910"/>
    <cfRule type="duplicateValues" dxfId="22992" priority="131911"/>
    <cfRule type="duplicateValues" dxfId="22991" priority="131912"/>
    <cfRule type="duplicateValues" dxfId="22990" priority="131913"/>
    <cfRule type="duplicateValues" dxfId="22989" priority="131917"/>
    <cfRule type="duplicateValues" dxfId="22988" priority="131474"/>
    <cfRule type="duplicateValues" dxfId="22987" priority="131475"/>
    <cfRule type="duplicateValues" dxfId="22986" priority="131476"/>
    <cfRule type="duplicateValues" dxfId="22985" priority="131477"/>
    <cfRule type="duplicateValues" dxfId="22984" priority="131918"/>
    <cfRule type="duplicateValues" dxfId="22983" priority="131919"/>
    <cfRule type="duplicateValues" dxfId="22982" priority="131920"/>
    <cfRule type="duplicateValues" dxfId="22981" priority="131481"/>
    <cfRule type="duplicateValues" dxfId="22980" priority="131482"/>
    <cfRule type="duplicateValues" dxfId="22979" priority="131483"/>
    <cfRule type="duplicateValues" dxfId="22978" priority="131484"/>
    <cfRule type="duplicateValues" dxfId="22977" priority="131485"/>
    <cfRule type="duplicateValues" dxfId="22976" priority="131486"/>
    <cfRule type="duplicateValues" dxfId="22975" priority="131487"/>
    <cfRule type="duplicateValues" dxfId="22974" priority="131921"/>
    <cfRule type="duplicateValues" dxfId="22973" priority="131922"/>
    <cfRule type="duplicateValues" dxfId="22972" priority="131923"/>
    <cfRule type="duplicateValues" dxfId="22971" priority="131924"/>
    <cfRule type="duplicateValues" dxfId="22970" priority="131925"/>
    <cfRule type="duplicateValues" dxfId="22969" priority="131926"/>
    <cfRule type="duplicateValues" dxfId="22968" priority="131927"/>
    <cfRule type="duplicateValues" dxfId="22967" priority="131928"/>
    <cfRule type="duplicateValues" dxfId="22966" priority="131929"/>
    <cfRule type="duplicateValues" dxfId="22965" priority="132041"/>
    <cfRule type="duplicateValues" dxfId="22964" priority="132042"/>
    <cfRule type="duplicateValues" dxfId="22963" priority="132043"/>
    <cfRule type="duplicateValues" dxfId="22962" priority="132044"/>
    <cfRule type="duplicateValues" dxfId="22961" priority="132045"/>
    <cfRule type="duplicateValues" dxfId="22960" priority="132046"/>
    <cfRule type="duplicateValues" dxfId="22959" priority="132047"/>
    <cfRule type="duplicateValues" dxfId="22958" priority="132048"/>
    <cfRule type="duplicateValues" dxfId="22957" priority="132049"/>
    <cfRule type="duplicateValues" dxfId="22956" priority="132050"/>
    <cfRule type="duplicateValues" dxfId="22955" priority="132051"/>
    <cfRule type="duplicateValues" dxfId="22954" priority="132052"/>
    <cfRule type="duplicateValues" dxfId="22953" priority="132053"/>
    <cfRule type="duplicateValues" dxfId="22952" priority="132054"/>
    <cfRule type="duplicateValues" dxfId="22951" priority="132055"/>
    <cfRule type="duplicateValues" dxfId="22950" priority="132056"/>
    <cfRule type="duplicateValues" dxfId="22949" priority="132057"/>
    <cfRule type="duplicateValues" dxfId="22948" priority="132058"/>
    <cfRule type="duplicateValues" dxfId="22947" priority="132059"/>
    <cfRule type="duplicateValues" dxfId="22946" priority="132060"/>
    <cfRule type="duplicateValues" dxfId="22945" priority="132061"/>
    <cfRule type="duplicateValues" dxfId="22944" priority="132062"/>
    <cfRule type="duplicateValues" dxfId="22943" priority="132063"/>
    <cfRule type="duplicateValues" dxfId="22942" priority="132064"/>
    <cfRule type="duplicateValues" dxfId="22941" priority="132065"/>
    <cfRule type="duplicateValues" dxfId="22940" priority="132066"/>
    <cfRule type="duplicateValues" dxfId="22939" priority="132067"/>
    <cfRule type="duplicateValues" dxfId="22938" priority="132068"/>
    <cfRule type="duplicateValues" dxfId="22937" priority="132069"/>
    <cfRule type="duplicateValues" dxfId="22936" priority="132070"/>
    <cfRule type="duplicateValues" dxfId="22935" priority="132071"/>
    <cfRule type="duplicateValues" dxfId="22934" priority="131528"/>
    <cfRule type="duplicateValues" dxfId="22933" priority="131529"/>
    <cfRule type="duplicateValues" dxfId="22932" priority="131530"/>
    <cfRule type="duplicateValues" dxfId="22931" priority="131531"/>
    <cfRule type="duplicateValues" dxfId="22930" priority="132072"/>
    <cfRule type="duplicateValues" dxfId="22929" priority="132073"/>
    <cfRule type="duplicateValues" dxfId="22928" priority="132074"/>
    <cfRule type="duplicateValues" dxfId="22927" priority="131535"/>
    <cfRule type="duplicateValues" dxfId="22926" priority="131536"/>
    <cfRule type="duplicateValues" dxfId="22925" priority="131537"/>
    <cfRule type="duplicateValues" dxfId="22924" priority="131538"/>
    <cfRule type="duplicateValues" dxfId="22923" priority="131539"/>
    <cfRule type="duplicateValues" dxfId="22922" priority="131540"/>
    <cfRule type="duplicateValues" dxfId="22921" priority="131541"/>
    <cfRule type="duplicateValues" dxfId="22920" priority="132075"/>
    <cfRule type="duplicateValues" dxfId="22919" priority="132076"/>
    <cfRule type="duplicateValues" dxfId="22918" priority="132077"/>
    <cfRule type="duplicateValues" dxfId="22917" priority="132078"/>
    <cfRule type="duplicateValues" dxfId="22916" priority="132079"/>
    <cfRule type="duplicateValues" dxfId="22915" priority="132080"/>
    <cfRule type="duplicateValues" dxfId="22914" priority="132081"/>
    <cfRule type="duplicateValues" dxfId="22913" priority="132082"/>
    <cfRule type="duplicateValues" dxfId="22912" priority="132083"/>
    <cfRule type="duplicateValues" dxfId="22911" priority="132084"/>
    <cfRule type="duplicateValues" dxfId="22910" priority="132085"/>
    <cfRule type="duplicateValues" dxfId="22909" priority="132086"/>
    <cfRule type="duplicateValues" dxfId="22908" priority="132087"/>
    <cfRule type="duplicateValues" dxfId="22907" priority="132088"/>
    <cfRule type="duplicateValues" dxfId="22906" priority="132089"/>
    <cfRule type="duplicateValues" dxfId="22905" priority="132090"/>
    <cfRule type="duplicateValues" dxfId="22904" priority="132091"/>
    <cfRule type="duplicateValues" dxfId="22903" priority="132092"/>
    <cfRule type="duplicateValues" dxfId="22902" priority="132093"/>
    <cfRule type="duplicateValues" dxfId="22901" priority="132094"/>
    <cfRule type="duplicateValues" dxfId="22900" priority="132095"/>
    <cfRule type="duplicateValues" dxfId="22899" priority="132096"/>
    <cfRule type="duplicateValues" dxfId="22898" priority="132097"/>
    <cfRule type="duplicateValues" dxfId="22897" priority="132098"/>
    <cfRule type="duplicateValues" dxfId="22896" priority="132099"/>
    <cfRule type="duplicateValues" dxfId="22895" priority="132100"/>
    <cfRule type="duplicateValues" dxfId="22894" priority="132101"/>
    <cfRule type="duplicateValues" dxfId="22893" priority="132102"/>
    <cfRule type="duplicateValues" dxfId="22892" priority="132103"/>
    <cfRule type="duplicateValues" dxfId="22891" priority="131571"/>
    <cfRule type="duplicateValues" dxfId="22890" priority="131572"/>
    <cfRule type="duplicateValues" dxfId="22889" priority="131573"/>
    <cfRule type="duplicateValues" dxfId="22888" priority="131574"/>
    <cfRule type="duplicateValues" dxfId="22887" priority="132104"/>
    <cfRule type="duplicateValues" dxfId="22886" priority="132105"/>
    <cfRule type="duplicateValues" dxfId="22885" priority="132106"/>
    <cfRule type="duplicateValues" dxfId="22884" priority="131578"/>
    <cfRule type="duplicateValues" dxfId="22883" priority="131579"/>
    <cfRule type="duplicateValues" dxfId="22882" priority="131580"/>
    <cfRule type="duplicateValues" dxfId="22881" priority="131581"/>
    <cfRule type="duplicateValues" dxfId="22880" priority="131582"/>
    <cfRule type="duplicateValues" dxfId="22879" priority="131583"/>
    <cfRule type="duplicateValues" dxfId="22878" priority="131584"/>
    <cfRule type="duplicateValues" dxfId="22877" priority="132107"/>
    <cfRule type="duplicateValues" dxfId="22876" priority="132108"/>
    <cfRule type="duplicateValues" dxfId="22875" priority="132109"/>
    <cfRule type="duplicateValues" dxfId="22874" priority="132110"/>
    <cfRule type="duplicateValues" dxfId="22873" priority="132111"/>
    <cfRule type="duplicateValues" dxfId="22872" priority="132112"/>
    <cfRule type="duplicateValues" dxfId="22871" priority="132113"/>
    <cfRule type="duplicateValues" dxfId="22870" priority="132114"/>
    <cfRule type="duplicateValues" dxfId="22869" priority="132115"/>
    <cfRule type="duplicateValues" dxfId="22868" priority="132116"/>
    <cfRule type="duplicateValues" dxfId="22867" priority="132117"/>
    <cfRule type="duplicateValues" dxfId="22866" priority="132118"/>
    <cfRule type="duplicateValues" dxfId="22865" priority="132119"/>
    <cfRule type="duplicateValues" dxfId="22864" priority="132120"/>
    <cfRule type="duplicateValues" dxfId="22863" priority="132121"/>
    <cfRule type="duplicateValues" dxfId="22862" priority="132122"/>
    <cfRule type="duplicateValues" dxfId="22861" priority="132123"/>
    <cfRule type="duplicateValues" dxfId="22860" priority="132124"/>
    <cfRule type="duplicateValues" dxfId="22859" priority="131603"/>
    <cfRule type="duplicateValues" dxfId="22858" priority="131604"/>
    <cfRule type="duplicateValues" dxfId="22857" priority="131605"/>
    <cfRule type="duplicateValues" dxfId="22856" priority="131606"/>
    <cfRule type="duplicateValues" dxfId="22855" priority="132125"/>
    <cfRule type="duplicateValues" dxfId="22854" priority="132126"/>
    <cfRule type="duplicateValues" dxfId="22853" priority="132127"/>
    <cfRule type="duplicateValues" dxfId="22852" priority="131610"/>
    <cfRule type="duplicateValues" dxfId="22851" priority="131611"/>
    <cfRule type="duplicateValues" dxfId="22850" priority="131612"/>
    <cfRule type="duplicateValues" dxfId="22849" priority="131613"/>
    <cfRule type="duplicateValues" dxfId="22848" priority="131614"/>
    <cfRule type="duplicateValues" dxfId="22847" priority="131615"/>
    <cfRule type="duplicateValues" dxfId="22846" priority="131616"/>
    <cfRule type="duplicateValues" dxfId="22845" priority="132128"/>
    <cfRule type="duplicateValues" dxfId="22844" priority="132129"/>
    <cfRule type="duplicateValues" dxfId="22843" priority="132130"/>
    <cfRule type="duplicateValues" dxfId="22842" priority="132131"/>
    <cfRule type="duplicateValues" dxfId="22841" priority="132132"/>
    <cfRule type="duplicateValues" dxfId="22840" priority="132133"/>
    <cfRule type="duplicateValues" dxfId="22839" priority="132134"/>
    <cfRule type="duplicateValues" dxfId="22838" priority="131624"/>
    <cfRule type="duplicateValues" dxfId="22837" priority="131625"/>
    <cfRule type="duplicateValues" dxfId="22836" priority="131626"/>
    <cfRule type="duplicateValues" dxfId="22835" priority="131627"/>
    <cfRule type="duplicateValues" dxfId="22834" priority="132135"/>
    <cfRule type="duplicateValues" dxfId="22833" priority="132136"/>
    <cfRule type="duplicateValues" dxfId="22832" priority="132137"/>
    <cfRule type="duplicateValues" dxfId="22831" priority="131631"/>
    <cfRule type="duplicateValues" dxfId="22830" priority="131632"/>
    <cfRule type="duplicateValues" dxfId="22829" priority="131633"/>
    <cfRule type="duplicateValues" dxfId="22828" priority="131634"/>
    <cfRule type="duplicateValues" dxfId="22827" priority="131635"/>
    <cfRule type="duplicateValues" dxfId="22826" priority="131636"/>
    <cfRule type="duplicateValues" dxfId="22825" priority="131637"/>
    <cfRule type="duplicateValues" dxfId="22824" priority="132138"/>
    <cfRule type="duplicateValues" dxfId="22823" priority="132139"/>
    <cfRule type="duplicateValues" dxfId="22822" priority="132140"/>
    <cfRule type="duplicateValues" dxfId="22821" priority="131641"/>
    <cfRule type="duplicateValues" dxfId="22820" priority="131642"/>
    <cfRule type="duplicateValues" dxfId="22819" priority="131643"/>
    <cfRule type="duplicateValues" dxfId="22818" priority="131644"/>
    <cfRule type="duplicateValues" dxfId="22817" priority="131645"/>
    <cfRule type="duplicateValues" dxfId="22816" priority="131646"/>
    <cfRule type="duplicateValues" dxfId="22815" priority="131647"/>
    <cfRule type="duplicateValues" dxfId="22814" priority="131648"/>
    <cfRule type="duplicateValues" dxfId="22813" priority="131649"/>
    <cfRule type="duplicateValues" dxfId="22812" priority="131650"/>
    <cfRule type="duplicateValues" dxfId="22811" priority="131651"/>
    <cfRule type="duplicateValues" dxfId="22810" priority="131652"/>
    <cfRule type="duplicateValues" dxfId="22809" priority="131653"/>
    <cfRule type="duplicateValues" dxfId="22808" priority="131654"/>
    <cfRule type="duplicateValues" dxfId="22807" priority="131655"/>
    <cfRule type="duplicateValues" dxfId="22806" priority="131656"/>
    <cfRule type="duplicateValues" dxfId="22805" priority="131657"/>
    <cfRule type="duplicateValues" dxfId="22804" priority="131658"/>
    <cfRule type="duplicateValues" dxfId="22803" priority="131659"/>
    <cfRule type="duplicateValues" dxfId="22802" priority="131660"/>
    <cfRule type="duplicateValues" dxfId="22801" priority="131661"/>
    <cfRule type="duplicateValues" dxfId="22800" priority="131662"/>
    <cfRule type="duplicateValues" dxfId="22799" priority="131663"/>
    <cfRule type="duplicateValues" dxfId="22798" priority="131664"/>
    <cfRule type="duplicateValues" dxfId="22797" priority="131665"/>
    <cfRule type="duplicateValues" dxfId="22796" priority="131666"/>
    <cfRule type="duplicateValues" dxfId="22795" priority="131667"/>
    <cfRule type="duplicateValues" dxfId="22794" priority="131668"/>
    <cfRule type="duplicateValues" dxfId="22793" priority="131669"/>
    <cfRule type="duplicateValues" dxfId="22792" priority="131670"/>
    <cfRule type="duplicateValues" dxfId="22791" priority="131671"/>
  </conditionalFormatting>
  <conditionalFormatting sqref="D140:D143">
    <cfRule type="duplicateValues" dxfId="22790" priority="137297"/>
    <cfRule type="duplicateValues" dxfId="22789" priority="137301"/>
    <cfRule type="duplicateValues" dxfId="22788" priority="137302"/>
    <cfRule type="duplicateValues" dxfId="22787" priority="137303"/>
    <cfRule type="duplicateValues" dxfId="22786" priority="137304"/>
    <cfRule type="duplicateValues" dxfId="22785" priority="139485"/>
    <cfRule type="duplicateValues" dxfId="22784" priority="139486"/>
    <cfRule type="duplicateValues" dxfId="22783" priority="139487"/>
    <cfRule type="duplicateValues" dxfId="22782" priority="133061"/>
    <cfRule type="duplicateValues" dxfId="22781" priority="133062"/>
    <cfRule type="duplicateValues" dxfId="22780" priority="132823"/>
    <cfRule type="duplicateValues" dxfId="22779" priority="132824"/>
    <cfRule type="duplicateValues" dxfId="22778" priority="132825"/>
    <cfRule type="duplicateValues" dxfId="22777" priority="132695"/>
    <cfRule type="duplicateValues" dxfId="22776" priority="132826"/>
    <cfRule type="duplicateValues" dxfId="22775" priority="132835"/>
    <cfRule type="duplicateValues" dxfId="22774" priority="132836"/>
    <cfRule type="duplicateValues" dxfId="22773" priority="132837"/>
    <cfRule type="duplicateValues" dxfId="22772" priority="132694"/>
    <cfRule type="duplicateValues" dxfId="22771" priority="132693"/>
    <cfRule type="duplicateValues" dxfId="22770" priority="132692"/>
    <cfRule type="duplicateValues" dxfId="22769" priority="132838"/>
    <cfRule type="duplicateValues" dxfId="22768" priority="133063"/>
    <cfRule type="duplicateValues" dxfId="22767" priority="133060"/>
    <cfRule type="duplicateValues" dxfId="22766" priority="137294"/>
    <cfRule type="duplicateValues" dxfId="22765" priority="137295"/>
    <cfRule type="duplicateValues" dxfId="22764" priority="137296"/>
  </conditionalFormatting>
  <conditionalFormatting sqref="D141">
    <cfRule type="duplicateValues" dxfId="22763" priority="135560"/>
    <cfRule type="duplicateValues" dxfId="22762" priority="135561"/>
    <cfRule type="duplicateValues" dxfId="22761" priority="135562"/>
    <cfRule type="duplicateValues" dxfId="22760" priority="135563"/>
    <cfRule type="duplicateValues" dxfId="22759" priority="135564"/>
    <cfRule type="duplicateValues" dxfId="22758" priority="135565"/>
    <cfRule type="duplicateValues" dxfId="22757" priority="135566"/>
    <cfRule type="duplicateValues" dxfId="22756" priority="135571"/>
    <cfRule type="duplicateValues" dxfId="22755" priority="135572"/>
    <cfRule type="duplicateValues" dxfId="22754" priority="135573"/>
    <cfRule type="duplicateValues" dxfId="22753" priority="136563"/>
    <cfRule type="duplicateValues" dxfId="22752" priority="136564"/>
    <cfRule type="duplicateValues" dxfId="22751" priority="136565"/>
    <cfRule type="duplicateValues" dxfId="22750" priority="136566"/>
    <cfRule type="duplicateValues" dxfId="22749" priority="136567"/>
    <cfRule type="duplicateValues" dxfId="22748" priority="136568"/>
    <cfRule type="duplicateValues" dxfId="22747" priority="136569"/>
    <cfRule type="duplicateValues" dxfId="22746" priority="125914"/>
    <cfRule type="duplicateValues" dxfId="22745" priority="136574"/>
    <cfRule type="duplicateValues" dxfId="22744" priority="136575"/>
    <cfRule type="duplicateValues" dxfId="22743" priority="136576"/>
    <cfRule type="duplicateValues" dxfId="22742" priority="129799"/>
    <cfRule type="duplicateValues" dxfId="22741" priority="129798"/>
    <cfRule type="duplicateValues" dxfId="22740" priority="125935"/>
    <cfRule type="duplicateValues" dxfId="22739" priority="132950"/>
    <cfRule type="duplicateValues" dxfId="22738" priority="132951"/>
    <cfRule type="duplicateValues" dxfId="22737" priority="133032"/>
    <cfRule type="duplicateValues" dxfId="22736" priority="129793"/>
    <cfRule type="duplicateValues" dxfId="22735" priority="129792"/>
    <cfRule type="duplicateValues" dxfId="22734" priority="129791"/>
    <cfRule type="duplicateValues" dxfId="22733" priority="129790"/>
    <cfRule type="duplicateValues" dxfId="22732" priority="129789"/>
    <cfRule type="duplicateValues" dxfId="22731" priority="129788"/>
    <cfRule type="duplicateValues" dxfId="22730" priority="132794"/>
    <cfRule type="duplicateValues" dxfId="22729" priority="132793"/>
    <cfRule type="duplicateValues" dxfId="22728" priority="132792"/>
    <cfRule type="duplicateValues" dxfId="22727" priority="132791"/>
    <cfRule type="duplicateValues" dxfId="22726" priority="132790"/>
    <cfRule type="duplicateValues" dxfId="22725" priority="132789"/>
    <cfRule type="duplicateValues" dxfId="22724" priority="132788"/>
    <cfRule type="duplicateValues" dxfId="22723" priority="129787"/>
    <cfRule type="duplicateValues" dxfId="22722" priority="129786"/>
    <cfRule type="duplicateValues" dxfId="22721" priority="137284"/>
    <cfRule type="duplicateValues" dxfId="22720" priority="133033"/>
    <cfRule type="duplicateValues" dxfId="22719" priority="133034"/>
    <cfRule type="duplicateValues" dxfId="22718" priority="132787"/>
    <cfRule type="duplicateValues" dxfId="22717" priority="132786"/>
    <cfRule type="duplicateValues" dxfId="22716" priority="132785"/>
    <cfRule type="duplicateValues" dxfId="22715" priority="132784"/>
    <cfRule type="duplicateValues" dxfId="22714" priority="137285"/>
    <cfRule type="duplicateValues" dxfId="22713" priority="137286"/>
    <cfRule type="duplicateValues" dxfId="22712" priority="133035"/>
    <cfRule type="duplicateValues" dxfId="22711" priority="133039"/>
    <cfRule type="duplicateValues" dxfId="22710" priority="133040"/>
    <cfRule type="duplicateValues" dxfId="22709" priority="133041"/>
    <cfRule type="duplicateValues" dxfId="22708" priority="133042"/>
    <cfRule type="duplicateValues" dxfId="22707" priority="132783"/>
    <cfRule type="duplicateValues" dxfId="22706" priority="132782"/>
    <cfRule type="duplicateValues" dxfId="22705" priority="132781"/>
    <cfRule type="duplicateValues" dxfId="22704" priority="132780"/>
    <cfRule type="duplicateValues" dxfId="22703" priority="132779"/>
    <cfRule type="duplicateValues" dxfId="22702" priority="132778"/>
    <cfRule type="duplicateValues" dxfId="22701" priority="132777"/>
    <cfRule type="duplicateValues" dxfId="22700" priority="133043"/>
    <cfRule type="duplicateValues" dxfId="22699" priority="129540"/>
    <cfRule type="duplicateValues" dxfId="22698" priority="129539"/>
    <cfRule type="duplicateValues" dxfId="22697" priority="129538"/>
    <cfRule type="duplicateValues" dxfId="22696" priority="132776"/>
    <cfRule type="duplicateValues" dxfId="22695" priority="125913"/>
    <cfRule type="duplicateValues" dxfId="22694" priority="125912"/>
    <cfRule type="duplicateValues" dxfId="22693" priority="129537"/>
    <cfRule type="duplicateValues" dxfId="22692" priority="133044"/>
    <cfRule type="duplicateValues" dxfId="22691" priority="132598"/>
    <cfRule type="duplicateValues" dxfId="22690" priority="132597"/>
    <cfRule type="duplicateValues" dxfId="22689" priority="132596"/>
    <cfRule type="duplicateValues" dxfId="22688" priority="129532"/>
    <cfRule type="duplicateValues" dxfId="22687" priority="129531"/>
    <cfRule type="duplicateValues" dxfId="22686" priority="129530"/>
    <cfRule type="duplicateValues" dxfId="22685" priority="129529"/>
    <cfRule type="duplicateValues" dxfId="22684" priority="132595"/>
    <cfRule type="duplicateValues" dxfId="22683" priority="132594"/>
    <cfRule type="duplicateValues" dxfId="22682" priority="132593"/>
    <cfRule type="duplicateValues" dxfId="22681" priority="132592"/>
    <cfRule type="duplicateValues" dxfId="22680" priority="129523"/>
    <cfRule type="duplicateValues" dxfId="22679" priority="129522"/>
    <cfRule type="duplicateValues" dxfId="22678" priority="129521"/>
    <cfRule type="duplicateValues" dxfId="22677" priority="129516"/>
    <cfRule type="duplicateValues" dxfId="22676" priority="129515"/>
    <cfRule type="duplicateValues" dxfId="22675" priority="129514"/>
    <cfRule type="duplicateValues" dxfId="22674" priority="129513"/>
    <cfRule type="duplicateValues" dxfId="22673" priority="132952"/>
    <cfRule type="duplicateValues" dxfId="22672" priority="132588"/>
    <cfRule type="duplicateValues" dxfId="22671" priority="132587"/>
    <cfRule type="duplicateValues" dxfId="22670" priority="132586"/>
    <cfRule type="duplicateValues" dxfId="22669" priority="129504"/>
    <cfRule type="duplicateValues" dxfId="22668" priority="129503"/>
    <cfRule type="duplicateValues" dxfId="22667" priority="129502"/>
    <cfRule type="duplicateValues" dxfId="22666" priority="129501"/>
    <cfRule type="duplicateValues" dxfId="22665" priority="129496"/>
    <cfRule type="duplicateValues" dxfId="22664" priority="132389"/>
    <cfRule type="duplicateValues" dxfId="22663" priority="132388"/>
    <cfRule type="duplicateValues" dxfId="22662" priority="132387"/>
    <cfRule type="duplicateValues" dxfId="22661" priority="132386"/>
    <cfRule type="duplicateValues" dxfId="22660" priority="132385"/>
    <cfRule type="duplicateValues" dxfId="22659" priority="132384"/>
    <cfRule type="duplicateValues" dxfId="22658" priority="132383"/>
    <cfRule type="duplicateValues" dxfId="22657" priority="125911"/>
    <cfRule type="duplicateValues" dxfId="22656" priority="125910"/>
    <cfRule type="duplicateValues" dxfId="22655" priority="125909"/>
    <cfRule type="duplicateValues" dxfId="22654" priority="132379"/>
    <cfRule type="duplicateValues" dxfId="22653" priority="132378"/>
    <cfRule type="duplicateValues" dxfId="22652" priority="132377"/>
    <cfRule type="duplicateValues" dxfId="22651" priority="132376"/>
    <cfRule type="duplicateValues" dxfId="22650" priority="125908"/>
    <cfRule type="duplicateValues" dxfId="22649" priority="125907"/>
    <cfRule type="duplicateValues" dxfId="22648" priority="125906"/>
    <cfRule type="duplicateValues" dxfId="22647" priority="125905"/>
    <cfRule type="duplicateValues" dxfId="22646" priority="125904"/>
    <cfRule type="duplicateValues" dxfId="22645" priority="125903"/>
    <cfRule type="duplicateValues" dxfId="22644" priority="125902"/>
    <cfRule type="duplicateValues" dxfId="22643" priority="125901"/>
    <cfRule type="duplicateValues" dxfId="22642" priority="125900"/>
    <cfRule type="duplicateValues" dxfId="22641" priority="125899"/>
    <cfRule type="duplicateValues" dxfId="22640" priority="125898"/>
    <cfRule type="duplicateValues" dxfId="22639" priority="125897"/>
    <cfRule type="duplicateValues" dxfId="22638" priority="125896"/>
    <cfRule type="duplicateValues" dxfId="22637" priority="132775"/>
    <cfRule type="duplicateValues" dxfId="22636" priority="132774"/>
    <cfRule type="duplicateValues" dxfId="22635" priority="132773"/>
    <cfRule type="duplicateValues" dxfId="22634" priority="132772"/>
    <cfRule type="duplicateValues" dxfId="22633" priority="132771"/>
    <cfRule type="duplicateValues" dxfId="22632" priority="132770"/>
    <cfRule type="duplicateValues" dxfId="22631" priority="132769"/>
    <cfRule type="duplicateValues" dxfId="22630" priority="132764"/>
    <cfRule type="duplicateValues" dxfId="22629" priority="132763"/>
    <cfRule type="duplicateValues" dxfId="22628" priority="132762"/>
    <cfRule type="duplicateValues" dxfId="22627" priority="132761"/>
    <cfRule type="duplicateValues" dxfId="22626" priority="132760"/>
    <cfRule type="duplicateValues" dxfId="22625" priority="132759"/>
    <cfRule type="duplicateValues" dxfId="22624" priority="132758"/>
    <cfRule type="duplicateValues" dxfId="22623" priority="132757"/>
    <cfRule type="duplicateValues" dxfId="22622" priority="132756"/>
    <cfRule type="duplicateValues" dxfId="22621" priority="132755"/>
    <cfRule type="duplicateValues" dxfId="22620" priority="132754"/>
    <cfRule type="duplicateValues" dxfId="22619" priority="132585"/>
    <cfRule type="duplicateValues" dxfId="22618" priority="132953"/>
    <cfRule type="duplicateValues" dxfId="22617" priority="132957"/>
    <cfRule type="duplicateValues" dxfId="22616" priority="132958"/>
    <cfRule type="duplicateValues" dxfId="22615" priority="125895"/>
    <cfRule type="duplicateValues" dxfId="22614" priority="125894"/>
    <cfRule type="duplicateValues" dxfId="22613" priority="133045"/>
    <cfRule type="duplicateValues" dxfId="22612" priority="133050"/>
    <cfRule type="duplicateValues" dxfId="22611" priority="132335"/>
    <cfRule type="duplicateValues" dxfId="22610" priority="132334"/>
    <cfRule type="duplicateValues" dxfId="22609" priority="132333"/>
    <cfRule type="duplicateValues" dxfId="22608" priority="132332"/>
    <cfRule type="duplicateValues" dxfId="22607" priority="132684"/>
    <cfRule type="duplicateValues" dxfId="22606" priority="132683"/>
    <cfRule type="duplicateValues" dxfId="22605" priority="132682"/>
    <cfRule type="duplicateValues" dxfId="22604" priority="132677"/>
    <cfRule type="duplicateValues" dxfId="22603" priority="132676"/>
    <cfRule type="duplicateValues" dxfId="22602" priority="132675"/>
    <cfRule type="duplicateValues" dxfId="22601" priority="132674"/>
    <cfRule type="duplicateValues" dxfId="22600" priority="132673"/>
    <cfRule type="duplicateValues" dxfId="22599" priority="132320"/>
    <cfRule type="duplicateValues" dxfId="22598" priority="132319"/>
    <cfRule type="duplicateValues" dxfId="22597" priority="132318"/>
    <cfRule type="duplicateValues" dxfId="22596" priority="132317"/>
    <cfRule type="duplicateValues" dxfId="22595" priority="129495"/>
    <cfRule type="duplicateValues" dxfId="22594" priority="129494"/>
    <cfRule type="duplicateValues" dxfId="22593" priority="129493"/>
    <cfRule type="duplicateValues" dxfId="22592" priority="129488"/>
    <cfRule type="duplicateValues" dxfId="22591" priority="133051"/>
    <cfRule type="duplicateValues" dxfId="22590" priority="132959"/>
    <cfRule type="duplicateValues" dxfId="22589" priority="132960"/>
    <cfRule type="duplicateValues" dxfId="22588" priority="132961"/>
    <cfRule type="duplicateValues" dxfId="22587" priority="132672"/>
    <cfRule type="duplicateValues" dxfId="22586" priority="132671"/>
    <cfRule type="duplicateValues" dxfId="22585" priority="132962"/>
    <cfRule type="duplicateValues" dxfId="22584" priority="132963"/>
    <cfRule type="duplicateValues" dxfId="22583" priority="132998"/>
    <cfRule type="duplicateValues" dxfId="22582" priority="132667"/>
    <cfRule type="duplicateValues" dxfId="22581" priority="132666"/>
    <cfRule type="duplicateValues" dxfId="22580" priority="132665"/>
    <cfRule type="duplicateValues" dxfId="22579" priority="132664"/>
    <cfRule type="duplicateValues" dxfId="22578" priority="132663"/>
    <cfRule type="duplicateValues" dxfId="22577" priority="132662"/>
    <cfRule type="duplicateValues" dxfId="22576" priority="132661"/>
    <cfRule type="duplicateValues" dxfId="22575" priority="132999"/>
    <cfRule type="duplicateValues" dxfId="22574" priority="133052"/>
    <cfRule type="duplicateValues" dxfId="22573" priority="133000"/>
    <cfRule type="duplicateValues" dxfId="22572" priority="132657"/>
    <cfRule type="duplicateValues" dxfId="22571" priority="132656"/>
    <cfRule type="duplicateValues" dxfId="22570" priority="132655"/>
    <cfRule type="duplicateValues" dxfId="22569" priority="132654"/>
    <cfRule type="duplicateValues" dxfId="22568" priority="133001"/>
    <cfRule type="duplicateValues" dxfId="22567" priority="133005"/>
    <cfRule type="duplicateValues" dxfId="22566" priority="125930"/>
    <cfRule type="duplicateValues" dxfId="22565" priority="125929"/>
    <cfRule type="duplicateValues" dxfId="22564" priority="125928"/>
    <cfRule type="duplicateValues" dxfId="22563" priority="125927"/>
    <cfRule type="duplicateValues" dxfId="22562" priority="125926"/>
    <cfRule type="duplicateValues" dxfId="22561" priority="133023"/>
    <cfRule type="duplicateValues" dxfId="22560" priority="133024"/>
    <cfRule type="duplicateValues" dxfId="22559" priority="133025"/>
    <cfRule type="duplicateValues" dxfId="22558" priority="132643"/>
    <cfRule type="duplicateValues" dxfId="22557" priority="132642"/>
    <cfRule type="duplicateValues" dxfId="22556" priority="129809"/>
    <cfRule type="duplicateValues" dxfId="22555" priority="129808"/>
    <cfRule type="duplicateValues" dxfId="22554" priority="132641"/>
    <cfRule type="duplicateValues" dxfId="22553" priority="132640"/>
    <cfRule type="duplicateValues" dxfId="22552" priority="129487"/>
    <cfRule type="duplicateValues" dxfId="22551" priority="129807"/>
    <cfRule type="duplicateValues" dxfId="22550" priority="132639"/>
    <cfRule type="duplicateValues" dxfId="22549" priority="132638"/>
    <cfRule type="duplicateValues" dxfId="22548" priority="132637"/>
    <cfRule type="duplicateValues" dxfId="22547" priority="125925"/>
    <cfRule type="duplicateValues" dxfId="22546" priority="125924"/>
    <cfRule type="duplicateValues" dxfId="22545" priority="129486"/>
    <cfRule type="duplicateValues" dxfId="22544" priority="129485"/>
    <cfRule type="duplicateValues" dxfId="22543" priority="129806"/>
    <cfRule type="duplicateValues" dxfId="22542" priority="133006"/>
    <cfRule type="duplicateValues" dxfId="22541" priority="133007"/>
    <cfRule type="duplicateValues" dxfId="22540" priority="133008"/>
    <cfRule type="duplicateValues" dxfId="22539" priority="133009"/>
    <cfRule type="duplicateValues" dxfId="22538" priority="133010"/>
    <cfRule type="duplicateValues" dxfId="22537" priority="133011"/>
    <cfRule type="duplicateValues" dxfId="22536" priority="133022"/>
    <cfRule type="duplicateValues" dxfId="22535" priority="129801"/>
    <cfRule type="duplicateValues" dxfId="22534" priority="129800"/>
    <cfRule type="duplicateValues" dxfId="22533" priority="135471"/>
    <cfRule type="duplicateValues" dxfId="22532" priority="135472"/>
    <cfRule type="duplicateValues" dxfId="22531" priority="135473"/>
    <cfRule type="duplicateValues" dxfId="22530" priority="135474"/>
    <cfRule type="duplicateValues" dxfId="22529" priority="135478"/>
    <cfRule type="duplicateValues" dxfId="22528" priority="135479"/>
    <cfRule type="duplicateValues" dxfId="22527" priority="135480"/>
    <cfRule type="duplicateValues" dxfId="22526" priority="135481"/>
    <cfRule type="duplicateValues" dxfId="22525" priority="135482"/>
    <cfRule type="duplicateValues" dxfId="22524" priority="135483"/>
    <cfRule type="duplicateValues" dxfId="22523" priority="135484"/>
    <cfRule type="duplicateValues" dxfId="22522" priority="135495"/>
    <cfRule type="duplicateValues" dxfId="22521" priority="135496"/>
    <cfRule type="duplicateValues" dxfId="22520" priority="132517"/>
    <cfRule type="duplicateValues" dxfId="22519" priority="132516"/>
    <cfRule type="duplicateValues" dxfId="22518" priority="132515"/>
    <cfRule type="duplicateValues" dxfId="22517" priority="132514"/>
    <cfRule type="duplicateValues" dxfId="22516" priority="132513"/>
    <cfRule type="duplicateValues" dxfId="22515" priority="132512"/>
    <cfRule type="duplicateValues" dxfId="22514" priority="132511"/>
    <cfRule type="duplicateValues" dxfId="22513" priority="132507"/>
    <cfRule type="duplicateValues" dxfId="22512" priority="132506"/>
    <cfRule type="duplicateValues" dxfId="22511" priority="132505"/>
    <cfRule type="duplicateValues" dxfId="22510" priority="132504"/>
    <cfRule type="duplicateValues" dxfId="22509" priority="132815"/>
    <cfRule type="duplicateValues" dxfId="22508" priority="132814"/>
    <cfRule type="duplicateValues" dxfId="22507" priority="132813"/>
    <cfRule type="duplicateValues" dxfId="22506" priority="132808"/>
    <cfRule type="duplicateValues" dxfId="22505" priority="132807"/>
    <cfRule type="duplicateValues" dxfId="22504" priority="132806"/>
    <cfRule type="duplicateValues" dxfId="22503" priority="135497"/>
    <cfRule type="duplicateValues" dxfId="22502" priority="135498"/>
    <cfRule type="duplicateValues" dxfId="22501" priority="135502"/>
    <cfRule type="duplicateValues" dxfId="22500" priority="132805"/>
    <cfRule type="duplicateValues" dxfId="22499" priority="129524"/>
    <cfRule type="duplicateValues" dxfId="22498" priority="132804"/>
    <cfRule type="duplicateValues" dxfId="22497" priority="132803"/>
    <cfRule type="duplicateValues" dxfId="22496" priority="132802"/>
    <cfRule type="duplicateValues" dxfId="22495" priority="132801"/>
    <cfRule type="duplicateValues" dxfId="22494" priority="132800"/>
    <cfRule type="duplicateValues" dxfId="22493" priority="132799"/>
    <cfRule type="duplicateValues" dxfId="22492" priority="135503"/>
    <cfRule type="duplicateValues" dxfId="22491" priority="135504"/>
    <cfRule type="duplicateValues" dxfId="22490" priority="135505"/>
    <cfRule type="duplicateValues" dxfId="22489" priority="132798"/>
    <cfRule type="duplicateValues" dxfId="22488" priority="125946"/>
    <cfRule type="duplicateValues" dxfId="22487" priority="125945"/>
    <cfRule type="duplicateValues" dxfId="22486" priority="132797"/>
    <cfRule type="duplicateValues" dxfId="22485" priority="125944"/>
    <cfRule type="duplicateValues" dxfId="22484" priority="125943"/>
    <cfRule type="duplicateValues" dxfId="22483" priority="125893"/>
    <cfRule type="duplicateValues" dxfId="22482" priority="125892"/>
    <cfRule type="duplicateValues" dxfId="22481" priority="125891"/>
    <cfRule type="duplicateValues" dxfId="22480" priority="132796"/>
    <cfRule type="duplicateValues" dxfId="22479" priority="125938"/>
    <cfRule type="duplicateValues" dxfId="22478" priority="132795"/>
    <cfRule type="duplicateValues" dxfId="22477" priority="135506"/>
    <cfRule type="duplicateValues" dxfId="22476" priority="135507"/>
    <cfRule type="duplicateValues" dxfId="22475" priority="130073"/>
    <cfRule type="duplicateValues" dxfId="22474" priority="130074"/>
    <cfRule type="duplicateValues" dxfId="22473" priority="130075"/>
    <cfRule type="duplicateValues" dxfId="22472" priority="130076"/>
    <cfRule type="duplicateValues" dxfId="22471" priority="135544"/>
    <cfRule type="duplicateValues" dxfId="22470" priority="130081"/>
    <cfRule type="duplicateValues" dxfId="22469" priority="130082"/>
    <cfRule type="duplicateValues" dxfId="22468" priority="130083"/>
    <cfRule type="duplicateValues" dxfId="22467" priority="130084"/>
    <cfRule type="duplicateValues" dxfId="22466" priority="135508"/>
    <cfRule type="duplicateValues" dxfId="22465" priority="135512"/>
    <cfRule type="duplicateValues" dxfId="22464" priority="135513"/>
    <cfRule type="duplicateValues" dxfId="22463" priority="135514"/>
    <cfRule type="duplicateValues" dxfId="22462" priority="135515"/>
    <cfRule type="duplicateValues" dxfId="22461" priority="135516"/>
    <cfRule type="duplicateValues" dxfId="22460" priority="135517"/>
    <cfRule type="duplicateValues" dxfId="22459" priority="135518"/>
    <cfRule type="duplicateValues" dxfId="22458" priority="135523"/>
    <cfRule type="duplicateValues" dxfId="22457" priority="135524"/>
    <cfRule type="duplicateValues" dxfId="22456" priority="135525"/>
    <cfRule type="duplicateValues" dxfId="22455" priority="135543"/>
    <cfRule type="duplicateValues" dxfId="22454" priority="135545"/>
    <cfRule type="duplicateValues" dxfId="22453" priority="135546"/>
    <cfRule type="duplicateValues" dxfId="22452" priority="135550"/>
    <cfRule type="duplicateValues" dxfId="22451" priority="135551"/>
    <cfRule type="duplicateValues" dxfId="22450" priority="135552"/>
    <cfRule type="duplicateValues" dxfId="22449" priority="135553"/>
    <cfRule type="duplicateValues" dxfId="22448" priority="135554"/>
    <cfRule type="duplicateValues" dxfId="22447" priority="135555"/>
    <cfRule type="duplicateValues" dxfId="22446" priority="125936"/>
    <cfRule type="duplicateValues" dxfId="22445" priority="125937"/>
    <cfRule type="duplicateValues" dxfId="22444" priority="125923"/>
    <cfRule type="duplicateValues" dxfId="22443" priority="132633"/>
    <cfRule type="duplicateValues" dxfId="22442" priority="132632"/>
    <cfRule type="duplicateValues" dxfId="22441" priority="132631"/>
    <cfRule type="duplicateValues" dxfId="22440" priority="132630"/>
    <cfRule type="duplicateValues" dxfId="22439" priority="135556"/>
    <cfRule type="duplicateValues" dxfId="22438" priority="125918"/>
    <cfRule type="duplicateValues" dxfId="22437" priority="125917"/>
    <cfRule type="duplicateValues" dxfId="22436" priority="125916"/>
    <cfRule type="duplicateValues" dxfId="22435" priority="133029"/>
    <cfRule type="duplicateValues" dxfId="22434" priority="133030"/>
    <cfRule type="duplicateValues" dxfId="22433" priority="133031"/>
    <cfRule type="duplicateValues" dxfId="22432" priority="125915"/>
  </conditionalFormatting>
  <conditionalFormatting sqref="D142">
    <cfRule type="duplicateValues" dxfId="22431" priority="125931"/>
    <cfRule type="duplicateValues" dxfId="22430" priority="129797"/>
    <cfRule type="duplicateValues" dxfId="22429" priority="129796"/>
    <cfRule type="duplicateValues" dxfId="22428" priority="129795"/>
    <cfRule type="duplicateValues" dxfId="22427" priority="129794"/>
    <cfRule type="duplicateValues" dxfId="22426" priority="131414"/>
    <cfRule type="duplicateValues" dxfId="22425" priority="125932"/>
    <cfRule type="duplicateValues" dxfId="22424" priority="125919"/>
    <cfRule type="duplicateValues" dxfId="22423" priority="129805"/>
    <cfRule type="duplicateValues" dxfId="22422" priority="129544"/>
    <cfRule type="duplicateValues" dxfId="22421" priority="129543"/>
    <cfRule type="duplicateValues" dxfId="22420" priority="129542"/>
    <cfRule type="duplicateValues" dxfId="22419" priority="129541"/>
    <cfRule type="duplicateValues" dxfId="22418" priority="129536"/>
    <cfRule type="duplicateValues" dxfId="22417" priority="129535"/>
    <cfRule type="duplicateValues" dxfId="22416" priority="129534"/>
    <cfRule type="duplicateValues" dxfId="22415" priority="129533"/>
    <cfRule type="duplicateValues" dxfId="22414" priority="129528"/>
    <cfRule type="duplicateValues" dxfId="22413" priority="129527"/>
    <cfRule type="duplicateValues" dxfId="22412" priority="129526"/>
    <cfRule type="duplicateValues" dxfId="22411" priority="129525"/>
    <cfRule type="duplicateValues" dxfId="22410" priority="129508"/>
    <cfRule type="duplicateValues" dxfId="22409" priority="129507"/>
    <cfRule type="duplicateValues" dxfId="22408" priority="129506"/>
    <cfRule type="duplicateValues" dxfId="22407" priority="129505"/>
    <cfRule type="duplicateValues" dxfId="22406" priority="129810"/>
    <cfRule type="duplicateValues" dxfId="22405" priority="129811"/>
    <cfRule type="duplicateValues" dxfId="22404" priority="129812"/>
    <cfRule type="duplicateValues" dxfId="22403" priority="129813"/>
    <cfRule type="duplicateValues" dxfId="22402" priority="125920"/>
    <cfRule type="duplicateValues" dxfId="22401" priority="130078"/>
    <cfRule type="duplicateValues" dxfId="22400" priority="130088"/>
    <cfRule type="duplicateValues" dxfId="22399" priority="129804"/>
    <cfRule type="duplicateValues" dxfId="22398" priority="125949"/>
    <cfRule type="duplicateValues" dxfId="22397" priority="130087"/>
    <cfRule type="duplicateValues" dxfId="22396" priority="130086"/>
    <cfRule type="duplicateValues" dxfId="22395" priority="125934"/>
    <cfRule type="duplicateValues" dxfId="22394" priority="125921"/>
    <cfRule type="duplicateValues" dxfId="22393" priority="130080"/>
    <cfRule type="duplicateValues" dxfId="22392" priority="130085"/>
    <cfRule type="duplicateValues" dxfId="22391" priority="130077"/>
    <cfRule type="duplicateValues" dxfId="22390" priority="125950"/>
    <cfRule type="duplicateValues" dxfId="22389" priority="130079"/>
    <cfRule type="duplicateValues" dxfId="22388" priority="125939"/>
    <cfRule type="duplicateValues" dxfId="22387" priority="125948"/>
    <cfRule type="duplicateValues" dxfId="22386" priority="125947"/>
    <cfRule type="duplicateValues" dxfId="22385" priority="129803"/>
    <cfRule type="duplicateValues" dxfId="22384" priority="125942"/>
    <cfRule type="duplicateValues" dxfId="22383" priority="125941"/>
    <cfRule type="duplicateValues" dxfId="22382" priority="125940"/>
    <cfRule type="duplicateValues" dxfId="22381" priority="125933"/>
    <cfRule type="duplicateValues" dxfId="22380" priority="125922"/>
    <cfRule type="duplicateValues" dxfId="22379" priority="129802"/>
    <cfRule type="duplicateValues" dxfId="22378" priority="130271"/>
    <cfRule type="duplicateValues" dxfId="22377" priority="130270"/>
    <cfRule type="duplicateValues" dxfId="22376" priority="130269"/>
    <cfRule type="duplicateValues" dxfId="22375" priority="130268"/>
    <cfRule type="duplicateValues" dxfId="22374" priority="131413"/>
    <cfRule type="duplicateValues" dxfId="22373" priority="131412"/>
    <cfRule type="duplicateValues" dxfId="22372" priority="131411"/>
  </conditionalFormatting>
  <conditionalFormatting sqref="D143">
    <cfRule type="duplicateValues" dxfId="22371" priority="129814"/>
    <cfRule type="duplicateValues" dxfId="22370" priority="129815"/>
    <cfRule type="duplicateValues" dxfId="22369" priority="132280"/>
    <cfRule type="duplicateValues" dxfId="22368" priority="132279"/>
    <cfRule type="duplicateValues" dxfId="22367" priority="132277"/>
    <cfRule type="duplicateValues" dxfId="22366" priority="125954"/>
    <cfRule type="duplicateValues" dxfId="22365" priority="125953"/>
    <cfRule type="duplicateValues" dxfId="22364" priority="125952"/>
    <cfRule type="duplicateValues" dxfId="22363" priority="125951"/>
    <cfRule type="duplicateValues" dxfId="22362" priority="130275"/>
    <cfRule type="duplicateValues" dxfId="22361" priority="130274"/>
    <cfRule type="duplicateValues" dxfId="22360" priority="130273"/>
    <cfRule type="duplicateValues" dxfId="22359" priority="130272"/>
    <cfRule type="duplicateValues" dxfId="22358" priority="132278"/>
    <cfRule type="duplicateValues" dxfId="22357" priority="130089"/>
    <cfRule type="duplicateValues" dxfId="22356" priority="129816"/>
    <cfRule type="duplicateValues" dxfId="22355" priority="130092"/>
    <cfRule type="duplicateValues" dxfId="22354" priority="130091"/>
    <cfRule type="duplicateValues" dxfId="22353" priority="130090"/>
    <cfRule type="duplicateValues" dxfId="22352" priority="129817"/>
  </conditionalFormatting>
  <conditionalFormatting sqref="D144">
    <cfRule type="duplicateValues" dxfId="22351" priority="139488"/>
    <cfRule type="duplicateValues" dxfId="22350" priority="141141"/>
    <cfRule type="duplicateValues" dxfId="22349" priority="141142"/>
    <cfRule type="duplicateValues" dxfId="22348" priority="141143"/>
  </conditionalFormatting>
  <conditionalFormatting sqref="D149 D139:D143">
    <cfRule type="duplicateValues" dxfId="22347" priority="154278"/>
  </conditionalFormatting>
  <conditionalFormatting sqref="D149">
    <cfRule type="duplicateValues" dxfId="22346" priority="154279"/>
    <cfRule type="duplicateValues" dxfId="22345" priority="154277"/>
  </conditionalFormatting>
  <conditionalFormatting sqref="D159">
    <cfRule type="duplicateValues" dxfId="22344" priority="77"/>
    <cfRule type="duplicateValues" dxfId="22343" priority="76"/>
    <cfRule type="duplicateValues" dxfId="22342" priority="74"/>
    <cfRule type="duplicateValues" dxfId="22341" priority="73"/>
    <cfRule type="duplicateValues" dxfId="22340" priority="72"/>
    <cfRule type="duplicateValues" dxfId="22339" priority="71"/>
    <cfRule type="duplicateValues" dxfId="22338" priority="70"/>
    <cfRule type="duplicateValues" dxfId="22337" priority="69"/>
    <cfRule type="duplicateValues" dxfId="22336" priority="68"/>
    <cfRule type="duplicateValues" dxfId="22335" priority="64"/>
    <cfRule type="duplicateValues" dxfId="22334" priority="65"/>
    <cfRule type="duplicateValues" dxfId="22333" priority="66"/>
    <cfRule type="duplicateValues" dxfId="22332" priority="75"/>
    <cfRule type="duplicateValues" dxfId="22331" priority="67"/>
    <cfRule type="duplicateValues" dxfId="22330" priority="60"/>
    <cfRule type="duplicateValues" dxfId="22329" priority="61"/>
    <cfRule type="duplicateValues" dxfId="22328" priority="62"/>
    <cfRule type="duplicateValues" dxfId="22327" priority="63"/>
  </conditionalFormatting>
  <conditionalFormatting sqref="D160">
    <cfRule type="duplicateValues" dxfId="22326" priority="5271"/>
    <cfRule type="duplicateValues" dxfId="22325" priority="5266"/>
    <cfRule type="duplicateValues" dxfId="22324" priority="5270"/>
    <cfRule type="duplicateValues" dxfId="22323" priority="5265"/>
    <cfRule type="duplicateValues" dxfId="22322" priority="5264"/>
    <cfRule type="duplicateValues" dxfId="22321" priority="5297"/>
    <cfRule type="duplicateValues" dxfId="22320" priority="5263"/>
    <cfRule type="duplicateValues" dxfId="22319" priority="5262"/>
    <cfRule type="duplicateValues" dxfId="22318" priority="5296"/>
    <cfRule type="duplicateValues" dxfId="22317" priority="5291"/>
    <cfRule type="duplicateValues" dxfId="22316" priority="5269"/>
    <cfRule type="duplicateValues" dxfId="22315" priority="5268"/>
    <cfRule type="duplicateValues" dxfId="22314" priority="5267"/>
    <cfRule type="duplicateValues" dxfId="22313" priority="5295"/>
    <cfRule type="duplicateValues" dxfId="22312" priority="5294"/>
    <cfRule type="duplicateValues" dxfId="22311" priority="5293"/>
    <cfRule type="duplicateValues" dxfId="22310" priority="5292"/>
    <cfRule type="duplicateValues" dxfId="22309" priority="5290"/>
    <cfRule type="duplicateValues" dxfId="22308" priority="5289"/>
    <cfRule type="duplicateValues" dxfId="22307" priority="5288"/>
    <cfRule type="duplicateValues" dxfId="22306" priority="5287"/>
    <cfRule type="duplicateValues" dxfId="22305" priority="5286"/>
    <cfRule type="duplicateValues" dxfId="22304" priority="5285"/>
    <cfRule type="duplicateValues" dxfId="22303" priority="5284"/>
    <cfRule type="duplicateValues" dxfId="22302" priority="5283"/>
    <cfRule type="duplicateValues" dxfId="22301" priority="5282"/>
    <cfRule type="duplicateValues" dxfId="22300" priority="5281"/>
    <cfRule type="duplicateValues" dxfId="22299" priority="5280"/>
    <cfRule type="duplicateValues" dxfId="22298" priority="5279"/>
    <cfRule type="duplicateValues" dxfId="22297" priority="5278"/>
    <cfRule type="duplicateValues" dxfId="22296" priority="5277"/>
    <cfRule type="duplicateValues" dxfId="22295" priority="5276"/>
    <cfRule type="duplicateValues" dxfId="22294" priority="5275"/>
    <cfRule type="duplicateValues" dxfId="22293" priority="5274"/>
    <cfRule type="duplicateValues" dxfId="22292" priority="5273"/>
    <cfRule type="duplicateValues" dxfId="22291" priority="5272"/>
  </conditionalFormatting>
  <conditionalFormatting sqref="D161">
    <cfRule type="duplicateValues" dxfId="22290" priority="5311"/>
    <cfRule type="duplicateValues" dxfId="22289" priority="5310"/>
    <cfRule type="duplicateValues" dxfId="22288" priority="5309"/>
    <cfRule type="duplicateValues" dxfId="22287" priority="5308"/>
    <cfRule type="duplicateValues" dxfId="22286" priority="5307"/>
    <cfRule type="duplicateValues" dxfId="22285" priority="5306"/>
    <cfRule type="duplicateValues" dxfId="22284" priority="5305"/>
    <cfRule type="duplicateValues" dxfId="22283" priority="5304"/>
    <cfRule type="duplicateValues" dxfId="22282" priority="5314"/>
    <cfRule type="duplicateValues" dxfId="22281" priority="70195"/>
    <cfRule type="duplicateValues" dxfId="22280" priority="70190"/>
    <cfRule type="duplicateValues" dxfId="22279" priority="70191"/>
    <cfRule type="duplicateValues" dxfId="22278" priority="70201"/>
    <cfRule type="duplicateValues" dxfId="22277" priority="70202"/>
    <cfRule type="duplicateValues" dxfId="22276" priority="70203"/>
    <cfRule type="duplicateValues" dxfId="22275" priority="5303"/>
    <cfRule type="duplicateValues" dxfId="22274" priority="70204"/>
    <cfRule type="duplicateValues" dxfId="22273" priority="70205"/>
    <cfRule type="duplicateValues" dxfId="22272" priority="70206"/>
    <cfRule type="duplicateValues" dxfId="22271" priority="70207"/>
    <cfRule type="duplicateValues" dxfId="22270" priority="70198"/>
    <cfRule type="duplicateValues" dxfId="22269" priority="70192"/>
    <cfRule type="duplicateValues" dxfId="22268" priority="70193"/>
    <cfRule type="duplicateValues" dxfId="22267" priority="70200"/>
    <cfRule type="duplicateValues" dxfId="22266" priority="70194"/>
    <cfRule type="duplicateValues" dxfId="22265" priority="70199"/>
    <cfRule type="duplicateValues" dxfId="22264" priority="70196"/>
    <cfRule type="duplicateValues" dxfId="22263" priority="5343"/>
    <cfRule type="duplicateValues" dxfId="22262" priority="5319"/>
    <cfRule type="duplicateValues" dxfId="22261" priority="5318"/>
    <cfRule type="duplicateValues" dxfId="22260" priority="5317"/>
    <cfRule type="duplicateValues" dxfId="22259" priority="5316"/>
    <cfRule type="duplicateValues" dxfId="22258" priority="70197"/>
    <cfRule type="duplicateValues" dxfId="22257" priority="5315"/>
    <cfRule type="duplicateValues" dxfId="22256" priority="5313"/>
    <cfRule type="duplicateValues" dxfId="22255" priority="5312"/>
  </conditionalFormatting>
  <conditionalFormatting sqref="D162">
    <cfRule type="duplicateValues" dxfId="22254" priority="99099"/>
    <cfRule type="duplicateValues" dxfId="22253" priority="99100"/>
    <cfRule type="duplicateValues" dxfId="22252" priority="102425"/>
    <cfRule type="duplicateValues" dxfId="22251" priority="99103"/>
    <cfRule type="duplicateValues" dxfId="22250" priority="102435"/>
    <cfRule type="duplicateValues" dxfId="22249" priority="115514"/>
    <cfRule type="duplicateValues" dxfId="22248" priority="99108"/>
    <cfRule type="duplicateValues" dxfId="22247" priority="99109"/>
    <cfRule type="duplicateValues" dxfId="22246" priority="102418"/>
    <cfRule type="duplicateValues" dxfId="22245" priority="102427"/>
    <cfRule type="duplicateValues" dxfId="22244" priority="115513"/>
    <cfRule type="duplicateValues" dxfId="22243" priority="99115"/>
    <cfRule type="duplicateValues" dxfId="22242" priority="102437"/>
    <cfRule type="duplicateValues" dxfId="22241" priority="102412"/>
    <cfRule type="duplicateValues" dxfId="22240" priority="99121"/>
    <cfRule type="duplicateValues" dxfId="22239" priority="115515"/>
    <cfRule type="duplicateValues" dxfId="22238" priority="99123"/>
  </conditionalFormatting>
  <conditionalFormatting sqref="D163">
    <cfRule type="duplicateValues" dxfId="22237" priority="102433"/>
    <cfRule type="duplicateValues" dxfId="22236" priority="119511"/>
    <cfRule type="duplicateValues" dxfId="22235" priority="99125"/>
    <cfRule type="duplicateValues" dxfId="22234" priority="102439"/>
    <cfRule type="duplicateValues" dxfId="22233" priority="119297"/>
    <cfRule type="duplicateValues" dxfId="22232" priority="99101"/>
    <cfRule type="duplicateValues" dxfId="22231" priority="99104"/>
    <cfRule type="duplicateValues" dxfId="22230" priority="99106"/>
    <cfRule type="duplicateValues" dxfId="22229" priority="99110"/>
    <cfRule type="duplicateValues" dxfId="22228" priority="99112"/>
    <cfRule type="duplicateValues" dxfId="22227" priority="99119"/>
    <cfRule type="duplicateValues" dxfId="22226" priority="102413"/>
    <cfRule type="duplicateValues" dxfId="22225" priority="102415"/>
    <cfRule type="duplicateValues" dxfId="22224" priority="102423"/>
    <cfRule type="duplicateValues" dxfId="22223" priority="102428"/>
  </conditionalFormatting>
  <conditionalFormatting sqref="D164">
    <cfRule type="duplicateValues" dxfId="22222" priority="122212"/>
    <cfRule type="duplicateValues" dxfId="22221" priority="102417"/>
    <cfRule type="duplicateValues" dxfId="22220" priority="99114"/>
    <cfRule type="duplicateValues" dxfId="22219" priority="102436"/>
    <cfRule type="duplicateValues" dxfId="22218" priority="119294"/>
    <cfRule type="duplicateValues" dxfId="22217" priority="102424"/>
    <cfRule type="duplicateValues" dxfId="22216" priority="102426"/>
    <cfRule type="duplicateValues" dxfId="22215" priority="102434"/>
    <cfRule type="duplicateValues" dxfId="22214" priority="99122"/>
    <cfRule type="duplicateValues" dxfId="22213" priority="99120"/>
  </conditionalFormatting>
  <conditionalFormatting sqref="D165">
    <cfRule type="duplicateValues" dxfId="22212" priority="119510"/>
    <cfRule type="duplicateValues" dxfId="22211" priority="119296"/>
    <cfRule type="duplicateValues" dxfId="22210" priority="102438"/>
    <cfRule type="duplicateValues" dxfId="22209" priority="99124"/>
  </conditionalFormatting>
  <conditionalFormatting sqref="D166">
    <cfRule type="duplicateValues" dxfId="22208" priority="120546"/>
  </conditionalFormatting>
  <conditionalFormatting sqref="D175">
    <cfRule type="duplicateValues" dxfId="22207" priority="6804"/>
  </conditionalFormatting>
  <conditionalFormatting sqref="D176">
    <cfRule type="duplicateValues" dxfId="22206" priority="13752"/>
  </conditionalFormatting>
  <conditionalFormatting sqref="D177">
    <cfRule type="duplicateValues" dxfId="22205" priority="16266"/>
  </conditionalFormatting>
  <conditionalFormatting sqref="D178">
    <cfRule type="duplicateValues" dxfId="22204" priority="5189"/>
  </conditionalFormatting>
  <conditionalFormatting sqref="D193">
    <cfRule type="duplicateValues" dxfId="22203" priority="20159"/>
  </conditionalFormatting>
  <conditionalFormatting sqref="D194">
    <cfRule type="duplicateValues" dxfId="22202" priority="12575"/>
  </conditionalFormatting>
  <conditionalFormatting sqref="D195">
    <cfRule type="duplicateValues" dxfId="22201" priority="13764"/>
  </conditionalFormatting>
  <conditionalFormatting sqref="D196">
    <cfRule type="duplicateValues" dxfId="22200" priority="8761"/>
  </conditionalFormatting>
  <conditionalFormatting sqref="D197">
    <cfRule type="duplicateValues" dxfId="22199" priority="13751"/>
  </conditionalFormatting>
  <conditionalFormatting sqref="D198">
    <cfRule type="duplicateValues" dxfId="22198" priority="52"/>
  </conditionalFormatting>
  <conditionalFormatting sqref="D199">
    <cfRule type="duplicateValues" dxfId="22197" priority="5370"/>
  </conditionalFormatting>
  <conditionalFormatting sqref="D112:E135">
    <cfRule type="duplicateValues" dxfId="22196" priority="140297"/>
    <cfRule type="duplicateValues" dxfId="22195" priority="122234"/>
    <cfRule type="duplicateValues" dxfId="22194" priority="122288"/>
    <cfRule type="duplicateValues" dxfId="22193" priority="129444"/>
    <cfRule type="duplicateValues" dxfId="22192" priority="130618"/>
    <cfRule type="duplicateValues" dxfId="22191" priority="124944"/>
    <cfRule type="duplicateValues" dxfId="22190" priority="129379"/>
    <cfRule type="duplicateValues" dxfId="22189" priority="141989"/>
    <cfRule type="duplicateValues" dxfId="22188" priority="127445"/>
    <cfRule type="duplicateValues" dxfId="22187" priority="131098"/>
    <cfRule type="duplicateValues" dxfId="22186" priority="122797"/>
    <cfRule type="duplicateValues" dxfId="22185" priority="123515"/>
    <cfRule type="duplicateValues" dxfId="22184" priority="154538"/>
    <cfRule type="duplicateValues" dxfId="22183" priority="133085"/>
    <cfRule type="duplicateValues" dxfId="22182" priority="130690"/>
    <cfRule type="duplicateValues" dxfId="22181" priority="154285"/>
    <cfRule type="duplicateValues" dxfId="22180" priority="102459"/>
    <cfRule type="duplicateValues" dxfId="22179" priority="130110"/>
    <cfRule type="duplicateValues" dxfId="22178" priority="128107"/>
    <cfRule type="duplicateValues" dxfId="22177" priority="141450"/>
    <cfRule type="duplicateValues" dxfId="22176" priority="134448"/>
    <cfRule type="duplicateValues" dxfId="22175" priority="154664"/>
  </conditionalFormatting>
  <conditionalFormatting sqref="F14">
    <cfRule type="duplicateValues" dxfId="22174" priority="129440"/>
  </conditionalFormatting>
  <conditionalFormatting sqref="F14:F22">
    <cfRule type="duplicateValues" dxfId="22173" priority="150187"/>
  </conditionalFormatting>
  <conditionalFormatting sqref="F19">
    <cfRule type="duplicateValues" dxfId="22172" priority="128747"/>
    <cfRule type="duplicateValues" dxfId="22171" priority="128746"/>
    <cfRule type="duplicateValues" dxfId="22170" priority="128745"/>
    <cfRule type="duplicateValues" dxfId="22169" priority="128744"/>
    <cfRule type="duplicateValues" dxfId="22168" priority="128743"/>
    <cfRule type="duplicateValues" dxfId="22167" priority="128741"/>
    <cfRule type="duplicateValues" dxfId="22166" priority="128732"/>
    <cfRule type="duplicateValues" dxfId="22165" priority="128730"/>
    <cfRule type="duplicateValues" dxfId="22164" priority="128731"/>
    <cfRule type="duplicateValues" dxfId="22163" priority="128738"/>
    <cfRule type="duplicateValues" dxfId="22162" priority="128729"/>
    <cfRule type="duplicateValues" dxfId="22161" priority="128742"/>
    <cfRule type="duplicateValues" dxfId="22160" priority="128727"/>
    <cfRule type="duplicateValues" dxfId="22159" priority="128728"/>
    <cfRule type="duplicateValues" dxfId="22158" priority="128726"/>
    <cfRule type="duplicateValues" dxfId="22157" priority="128725"/>
    <cfRule type="duplicateValues" dxfId="22156" priority="128724"/>
    <cfRule type="duplicateValues" dxfId="22155" priority="128723"/>
    <cfRule type="duplicateValues" dxfId="22154" priority="128722"/>
    <cfRule type="duplicateValues" dxfId="22153" priority="128737"/>
    <cfRule type="duplicateValues" dxfId="22152" priority="128721"/>
    <cfRule type="duplicateValues" dxfId="22151" priority="128740"/>
    <cfRule type="duplicateValues" dxfId="22150" priority="128739"/>
    <cfRule type="duplicateValues" dxfId="22149" priority="128736"/>
    <cfRule type="duplicateValues" dxfId="22148" priority="128735"/>
    <cfRule type="duplicateValues" dxfId="22147" priority="128734"/>
    <cfRule type="duplicateValues" dxfId="22146" priority="128733"/>
  </conditionalFormatting>
  <conditionalFormatting sqref="F32">
    <cfRule type="duplicateValues" dxfId="22145" priority="143601"/>
  </conditionalFormatting>
  <conditionalFormatting sqref="F89">
    <cfRule type="duplicateValues" dxfId="22144" priority="13869"/>
  </conditionalFormatting>
  <conditionalFormatting sqref="F90">
    <cfRule type="duplicateValues" dxfId="22143" priority="125044"/>
    <cfRule type="duplicateValues" dxfId="22142" priority="130637"/>
  </conditionalFormatting>
  <conditionalFormatting sqref="F91">
    <cfRule type="duplicateValues" dxfId="22141" priority="125047"/>
    <cfRule type="duplicateValues" dxfId="22140" priority="125315"/>
    <cfRule type="duplicateValues" dxfId="22139" priority="125052"/>
  </conditionalFormatting>
  <conditionalFormatting sqref="F92">
    <cfRule type="duplicateValues" dxfId="22138" priority="125046"/>
    <cfRule type="duplicateValues" dxfId="22137" priority="125045"/>
    <cfRule type="duplicateValues" dxfId="22136" priority="125048"/>
    <cfRule type="duplicateValues" dxfId="22135" priority="125049"/>
    <cfRule type="duplicateValues" dxfId="22134" priority="125050"/>
    <cfRule type="duplicateValues" dxfId="22133" priority="125051"/>
    <cfRule type="duplicateValues" dxfId="22132" priority="125053"/>
    <cfRule type="duplicateValues" dxfId="22131" priority="127447"/>
    <cfRule type="duplicateValues" dxfId="22130" priority="125318"/>
  </conditionalFormatting>
  <conditionalFormatting sqref="F93">
    <cfRule type="duplicateValues" dxfId="22129" priority="125316"/>
    <cfRule type="duplicateValues" dxfId="22128" priority="125320"/>
    <cfRule type="duplicateValues" dxfId="22127" priority="127989"/>
    <cfRule type="duplicateValues" dxfId="22126" priority="125323"/>
    <cfRule type="duplicateValues" dxfId="22125" priority="125321"/>
    <cfRule type="duplicateValues" dxfId="22124" priority="125317"/>
    <cfRule type="duplicateValues" dxfId="22123" priority="125319"/>
  </conditionalFormatting>
  <conditionalFormatting sqref="F94">
    <cfRule type="duplicateValues" dxfId="22122" priority="127988"/>
    <cfRule type="duplicateValues" dxfId="22121" priority="127990"/>
    <cfRule type="duplicateValues" dxfId="22120" priority="127991"/>
    <cfRule type="duplicateValues" dxfId="22119" priority="127992"/>
    <cfRule type="duplicateValues" dxfId="22118" priority="127987"/>
    <cfRule type="duplicateValues" dxfId="22117" priority="148706"/>
  </conditionalFormatting>
  <conditionalFormatting sqref="F95">
    <cfRule type="duplicateValues" dxfId="22116" priority="148707"/>
    <cfRule type="duplicateValues" dxfId="22115" priority="148704"/>
    <cfRule type="duplicateValues" dxfId="22114" priority="148710"/>
    <cfRule type="duplicateValues" dxfId="22113" priority="148705"/>
    <cfRule type="duplicateValues" dxfId="22112" priority="150106"/>
  </conditionalFormatting>
  <conditionalFormatting sqref="F96">
    <cfRule type="duplicateValues" dxfId="22111" priority="148713"/>
    <cfRule type="duplicateValues" dxfId="22110" priority="152705"/>
    <cfRule type="duplicateValues" dxfId="22109" priority="150105"/>
    <cfRule type="duplicateValues" dxfId="22108" priority="148708"/>
    <cfRule type="duplicateValues" dxfId="22107" priority="148709"/>
    <cfRule type="duplicateValues" dxfId="22106" priority="150107"/>
    <cfRule type="duplicateValues" dxfId="22105" priority="150104"/>
  </conditionalFormatting>
  <conditionalFormatting sqref="F97">
    <cfRule type="duplicateValues" dxfId="22104" priority="154289"/>
    <cfRule type="duplicateValues" dxfId="22103" priority="152704"/>
    <cfRule type="duplicateValues" dxfId="22102" priority="148711"/>
    <cfRule type="duplicateValues" dxfId="22101" priority="152703"/>
    <cfRule type="duplicateValues" dxfId="22100" priority="148712"/>
  </conditionalFormatting>
  <conditionalFormatting sqref="F98">
    <cfRule type="duplicateValues" dxfId="22099" priority="154287"/>
    <cfRule type="duplicateValues" dxfId="22098" priority="154288"/>
  </conditionalFormatting>
  <conditionalFormatting sqref="F111">
    <cfRule type="duplicateValues" dxfId="22097" priority="154283"/>
    <cfRule type="duplicateValues" dxfId="22096" priority="154282"/>
    <cfRule type="duplicateValues" dxfId="22095" priority="154222"/>
    <cfRule type="duplicateValues" dxfId="22094" priority="154223"/>
    <cfRule type="duplicateValues" dxfId="22093" priority="154280"/>
    <cfRule type="duplicateValues" dxfId="22092" priority="154113"/>
    <cfRule type="duplicateValues" dxfId="22091" priority="154112"/>
    <cfRule type="duplicateValues" dxfId="22090" priority="154221"/>
    <cfRule type="duplicateValues" dxfId="22089" priority="154281"/>
  </conditionalFormatting>
  <conditionalFormatting sqref="F137">
    <cfRule type="duplicateValues" dxfId="22088" priority="128575"/>
    <cfRule type="duplicateValues" dxfId="22087" priority="128574"/>
    <cfRule type="duplicateValues" dxfId="22086" priority="128573"/>
    <cfRule type="duplicateValues" dxfId="22085" priority="128572"/>
    <cfRule type="duplicateValues" dxfId="22084" priority="128571"/>
    <cfRule type="duplicateValues" dxfId="22083" priority="128570"/>
    <cfRule type="duplicateValues" dxfId="22082" priority="128569"/>
    <cfRule type="duplicateValues" dxfId="22081" priority="128568"/>
    <cfRule type="duplicateValues" dxfId="22080" priority="128567"/>
    <cfRule type="duplicateValues" dxfId="22079" priority="128566"/>
    <cfRule type="duplicateValues" dxfId="22078" priority="128565"/>
    <cfRule type="duplicateValues" dxfId="22077" priority="128564"/>
    <cfRule type="duplicateValues" dxfId="22076" priority="128563"/>
    <cfRule type="duplicateValues" dxfId="22075" priority="128562"/>
    <cfRule type="duplicateValues" dxfId="22074" priority="128561"/>
    <cfRule type="duplicateValues" dxfId="22073" priority="128560"/>
    <cfRule type="duplicateValues" dxfId="22072" priority="128559"/>
    <cfRule type="duplicateValues" dxfId="22071" priority="128558"/>
    <cfRule type="duplicateValues" dxfId="22070" priority="128557"/>
    <cfRule type="duplicateValues" dxfId="22069" priority="128556"/>
    <cfRule type="duplicateValues" dxfId="22068" priority="128555"/>
    <cfRule type="duplicateValues" dxfId="22067" priority="128554"/>
    <cfRule type="duplicateValues" dxfId="22066" priority="128553"/>
    <cfRule type="duplicateValues" dxfId="22065" priority="128552"/>
    <cfRule type="duplicateValues" dxfId="22064" priority="128551"/>
    <cfRule type="duplicateValues" dxfId="22063" priority="128550"/>
    <cfRule type="duplicateValues" dxfId="22062" priority="128549"/>
    <cfRule type="duplicateValues" dxfId="22061" priority="128548"/>
    <cfRule type="duplicateValues" dxfId="22060" priority="128547"/>
    <cfRule type="duplicateValues" dxfId="22059" priority="128546"/>
    <cfRule type="duplicateValues" dxfId="22058" priority="128545"/>
    <cfRule type="duplicateValues" dxfId="22057" priority="128544"/>
    <cfRule type="duplicateValues" dxfId="22056" priority="128543"/>
    <cfRule type="duplicateValues" dxfId="22055" priority="128542"/>
    <cfRule type="duplicateValues" dxfId="22054" priority="128541"/>
    <cfRule type="duplicateValues" dxfId="22053" priority="128540"/>
    <cfRule type="duplicateValues" dxfId="22052" priority="128539"/>
    <cfRule type="duplicateValues" dxfId="22051" priority="128538"/>
    <cfRule type="duplicateValues" dxfId="22050" priority="128537"/>
    <cfRule type="duplicateValues" dxfId="22049" priority="128536"/>
    <cfRule type="duplicateValues" dxfId="22048" priority="128535"/>
    <cfRule type="duplicateValues" dxfId="22047" priority="128534"/>
    <cfRule type="duplicateValues" dxfId="22046" priority="128533"/>
    <cfRule type="duplicateValues" dxfId="22045" priority="128532"/>
    <cfRule type="duplicateValues" dxfId="22044" priority="128531"/>
    <cfRule type="duplicateValues" dxfId="22043" priority="128530"/>
    <cfRule type="duplicateValues" dxfId="22042" priority="128529"/>
    <cfRule type="duplicateValues" dxfId="22041" priority="128528"/>
    <cfRule type="duplicateValues" dxfId="22040" priority="128527"/>
    <cfRule type="duplicateValues" dxfId="22039" priority="128526"/>
    <cfRule type="duplicateValues" dxfId="22038" priority="128525"/>
    <cfRule type="duplicateValues" dxfId="22037" priority="128524"/>
    <cfRule type="duplicateValues" dxfId="22036" priority="128523"/>
    <cfRule type="duplicateValues" dxfId="22035" priority="128522"/>
    <cfRule type="duplicateValues" dxfId="22034" priority="128521"/>
    <cfRule type="duplicateValues" dxfId="22033" priority="128520"/>
    <cfRule type="duplicateValues" dxfId="22032" priority="128519"/>
    <cfRule type="duplicateValues" dxfId="22031" priority="128518"/>
    <cfRule type="duplicateValues" dxfId="22030" priority="128517"/>
    <cfRule type="duplicateValues" dxfId="22029" priority="128516"/>
    <cfRule type="duplicateValues" dxfId="22028" priority="128515"/>
    <cfRule type="duplicateValues" dxfId="22027" priority="128514"/>
    <cfRule type="duplicateValues" dxfId="22026" priority="128513"/>
    <cfRule type="duplicateValues" dxfId="22025" priority="128512"/>
    <cfRule type="duplicateValues" dxfId="22024" priority="128511"/>
    <cfRule type="duplicateValues" dxfId="22023" priority="128510"/>
    <cfRule type="duplicateValues" dxfId="22022" priority="128509"/>
    <cfRule type="duplicateValues" dxfId="22021" priority="128508"/>
    <cfRule type="duplicateValues" dxfId="22020" priority="128507"/>
    <cfRule type="duplicateValues" dxfId="22019" priority="128506"/>
    <cfRule type="duplicateValues" dxfId="22018" priority="128505"/>
    <cfRule type="duplicateValues" dxfId="22017" priority="128504"/>
    <cfRule type="duplicateValues" dxfId="22016" priority="128503"/>
    <cfRule type="duplicateValues" dxfId="22015" priority="128502"/>
    <cfRule type="duplicateValues" dxfId="22014" priority="128501"/>
    <cfRule type="duplicateValues" dxfId="22013" priority="128500"/>
    <cfRule type="duplicateValues" dxfId="22012" priority="128499"/>
    <cfRule type="duplicateValues" dxfId="22011" priority="128498"/>
    <cfRule type="duplicateValues" dxfId="22010" priority="128497"/>
    <cfRule type="duplicateValues" dxfId="22009" priority="128496"/>
    <cfRule type="duplicateValues" dxfId="22008" priority="128495"/>
    <cfRule type="duplicateValues" dxfId="22007" priority="128494"/>
    <cfRule type="duplicateValues" dxfId="22006" priority="128493"/>
    <cfRule type="duplicateValues" dxfId="22005" priority="128492"/>
    <cfRule type="duplicateValues" dxfId="22004" priority="128491"/>
    <cfRule type="duplicateValues" dxfId="22003" priority="128490"/>
    <cfRule type="duplicateValues" dxfId="22002" priority="128489"/>
    <cfRule type="duplicateValues" dxfId="22001" priority="128488"/>
    <cfRule type="duplicateValues" dxfId="22000" priority="128487"/>
    <cfRule type="duplicateValues" dxfId="21999" priority="128486"/>
    <cfRule type="duplicateValues" dxfId="21998" priority="128485"/>
    <cfRule type="duplicateValues" dxfId="21997" priority="128484"/>
    <cfRule type="duplicateValues" dxfId="21996" priority="128483"/>
    <cfRule type="duplicateValues" dxfId="21995" priority="128482"/>
    <cfRule type="duplicateValues" dxfId="21994" priority="128481"/>
    <cfRule type="duplicateValues" dxfId="21993" priority="128480"/>
    <cfRule type="duplicateValues" dxfId="21992" priority="128479"/>
    <cfRule type="duplicateValues" dxfId="21991" priority="128478"/>
    <cfRule type="duplicateValues" dxfId="21990" priority="128477"/>
    <cfRule type="duplicateValues" dxfId="21989" priority="128476"/>
    <cfRule type="duplicateValues" dxfId="21988" priority="128475"/>
    <cfRule type="duplicateValues" dxfId="21987" priority="128474"/>
    <cfRule type="duplicateValues" dxfId="21986" priority="128473"/>
    <cfRule type="duplicateValues" dxfId="21985" priority="128472"/>
    <cfRule type="duplicateValues" dxfId="21984" priority="128471"/>
    <cfRule type="duplicateValues" dxfId="21983" priority="128470"/>
    <cfRule type="duplicateValues" dxfId="21982" priority="128469"/>
    <cfRule type="duplicateValues" dxfId="21981" priority="128468"/>
    <cfRule type="duplicateValues" dxfId="21980" priority="128467"/>
    <cfRule type="duplicateValues" dxfId="21979" priority="128466"/>
    <cfRule type="duplicateValues" dxfId="21978" priority="128465"/>
    <cfRule type="duplicateValues" dxfId="21977" priority="128464"/>
    <cfRule type="duplicateValues" dxfId="21976" priority="128463"/>
    <cfRule type="duplicateValues" dxfId="21975" priority="128462"/>
    <cfRule type="duplicateValues" dxfId="21974" priority="128461"/>
    <cfRule type="duplicateValues" dxfId="21973" priority="128460"/>
    <cfRule type="duplicateValues" dxfId="21972" priority="128459"/>
    <cfRule type="duplicateValues" dxfId="21971" priority="128458"/>
    <cfRule type="duplicateValues" dxfId="21970" priority="128457"/>
    <cfRule type="duplicateValues" dxfId="21969" priority="128456"/>
    <cfRule type="duplicateValues" dxfId="21968" priority="128455"/>
    <cfRule type="duplicateValues" dxfId="21967" priority="128454"/>
    <cfRule type="duplicateValues" dxfId="21966" priority="128453"/>
    <cfRule type="duplicateValues" dxfId="21965" priority="128452"/>
    <cfRule type="duplicateValues" dxfId="21964" priority="128451"/>
    <cfRule type="duplicateValues" dxfId="21963" priority="128450"/>
    <cfRule type="duplicateValues" dxfId="21962" priority="128449"/>
    <cfRule type="duplicateValues" dxfId="21961" priority="128448"/>
    <cfRule type="duplicateValues" dxfId="21960" priority="128447"/>
    <cfRule type="duplicateValues" dxfId="21959" priority="128446"/>
    <cfRule type="duplicateValues" dxfId="21958" priority="128445"/>
    <cfRule type="duplicateValues" dxfId="21957" priority="128444"/>
    <cfRule type="duplicateValues" dxfId="21956" priority="128443"/>
    <cfRule type="duplicateValues" dxfId="21955" priority="128442"/>
    <cfRule type="duplicateValues" dxfId="21954" priority="128441"/>
    <cfRule type="duplicateValues" dxfId="21953" priority="128440"/>
    <cfRule type="duplicateValues" dxfId="21952" priority="128439"/>
    <cfRule type="duplicateValues" dxfId="21951" priority="128438"/>
    <cfRule type="duplicateValues" dxfId="21950" priority="128437"/>
    <cfRule type="duplicateValues" dxfId="21949" priority="128436"/>
    <cfRule type="duplicateValues" dxfId="21948" priority="128435"/>
    <cfRule type="duplicateValues" dxfId="21947" priority="128434"/>
    <cfRule type="duplicateValues" dxfId="21946" priority="128433"/>
    <cfRule type="duplicateValues" dxfId="21945" priority="128432"/>
    <cfRule type="duplicateValues" dxfId="21944" priority="128431"/>
    <cfRule type="duplicateValues" dxfId="21943" priority="128430"/>
    <cfRule type="duplicateValues" dxfId="21942" priority="128429"/>
    <cfRule type="duplicateValues" dxfId="21941" priority="128428"/>
    <cfRule type="duplicateValues" dxfId="21940" priority="128427"/>
    <cfRule type="duplicateValues" dxfId="21939" priority="128426"/>
    <cfRule type="duplicateValues" dxfId="21938" priority="128425"/>
    <cfRule type="duplicateValues" dxfId="21937" priority="128424"/>
    <cfRule type="duplicateValues" dxfId="21936" priority="128423"/>
    <cfRule type="duplicateValues" dxfId="21935" priority="128422"/>
    <cfRule type="duplicateValues" dxfId="21934" priority="128421"/>
    <cfRule type="duplicateValues" dxfId="21933" priority="128420"/>
    <cfRule type="duplicateValues" dxfId="21932" priority="128419"/>
    <cfRule type="duplicateValues" dxfId="21931" priority="128418"/>
    <cfRule type="duplicateValues" dxfId="21930" priority="128417"/>
    <cfRule type="duplicateValues" dxfId="21929" priority="128416"/>
    <cfRule type="duplicateValues" dxfId="21928" priority="128415"/>
    <cfRule type="duplicateValues" dxfId="21927" priority="128414"/>
    <cfRule type="duplicateValues" dxfId="21926" priority="128413"/>
    <cfRule type="duplicateValues" dxfId="21925" priority="128412"/>
    <cfRule type="duplicateValues" dxfId="21924" priority="128411"/>
    <cfRule type="duplicateValues" dxfId="21923" priority="128410"/>
    <cfRule type="duplicateValues" dxfId="21922" priority="128409"/>
    <cfRule type="duplicateValues" dxfId="21921" priority="128408"/>
    <cfRule type="duplicateValues" dxfId="21920" priority="128407"/>
    <cfRule type="duplicateValues" dxfId="21919" priority="128406"/>
    <cfRule type="duplicateValues" dxfId="21918" priority="128405"/>
    <cfRule type="duplicateValues" dxfId="21917" priority="128404"/>
    <cfRule type="duplicateValues" dxfId="21916" priority="128403"/>
    <cfRule type="duplicateValues" dxfId="21915" priority="128402"/>
    <cfRule type="duplicateValues" dxfId="21914" priority="128401"/>
    <cfRule type="duplicateValues" dxfId="21913" priority="128400"/>
    <cfRule type="duplicateValues" dxfId="21912" priority="128399"/>
    <cfRule type="duplicateValues" dxfId="21911" priority="128398"/>
    <cfRule type="duplicateValues" dxfId="21910" priority="128397"/>
    <cfRule type="duplicateValues" dxfId="21909" priority="128396"/>
    <cfRule type="duplicateValues" dxfId="21908" priority="128395"/>
    <cfRule type="duplicateValues" dxfId="21907" priority="128394"/>
    <cfRule type="duplicateValues" dxfId="21906" priority="128393"/>
    <cfRule type="duplicateValues" dxfId="21905" priority="128392"/>
    <cfRule type="duplicateValues" dxfId="21904" priority="128391"/>
    <cfRule type="duplicateValues" dxfId="21903" priority="128390"/>
    <cfRule type="duplicateValues" dxfId="21902" priority="128389"/>
    <cfRule type="duplicateValues" dxfId="21901" priority="128388"/>
    <cfRule type="duplicateValues" dxfId="21900" priority="128387"/>
    <cfRule type="duplicateValues" dxfId="21899" priority="128386"/>
    <cfRule type="duplicateValues" dxfId="21898" priority="128385"/>
    <cfRule type="duplicateValues" dxfId="21897" priority="128384"/>
    <cfRule type="duplicateValues" dxfId="21896" priority="128383"/>
    <cfRule type="duplicateValues" dxfId="21895" priority="128382"/>
    <cfRule type="duplicateValues" dxfId="21894" priority="128381"/>
    <cfRule type="duplicateValues" dxfId="21893" priority="128380"/>
    <cfRule type="duplicateValues" dxfId="21892" priority="128379"/>
    <cfRule type="duplicateValues" dxfId="21891" priority="128378"/>
    <cfRule type="duplicateValues" dxfId="21890" priority="128377"/>
    <cfRule type="duplicateValues" dxfId="21889" priority="128376"/>
    <cfRule type="duplicateValues" dxfId="21888" priority="128375"/>
    <cfRule type="duplicateValues" dxfId="21887" priority="128374"/>
    <cfRule type="duplicateValues" dxfId="21886" priority="128373"/>
    <cfRule type="duplicateValues" dxfId="21885" priority="128372"/>
    <cfRule type="duplicateValues" dxfId="21884" priority="128371"/>
    <cfRule type="duplicateValues" dxfId="21883" priority="128370"/>
    <cfRule type="duplicateValues" dxfId="21882" priority="128369"/>
    <cfRule type="duplicateValues" dxfId="21881" priority="128368"/>
    <cfRule type="duplicateValues" dxfId="21880" priority="128367"/>
    <cfRule type="duplicateValues" dxfId="21879" priority="128366"/>
    <cfRule type="duplicateValues" dxfId="21878" priority="128365"/>
    <cfRule type="duplicateValues" dxfId="21877" priority="128364"/>
    <cfRule type="duplicateValues" dxfId="21876" priority="128363"/>
    <cfRule type="duplicateValues" dxfId="21875" priority="128362"/>
    <cfRule type="duplicateValues" dxfId="21874" priority="128361"/>
    <cfRule type="duplicateValues" dxfId="21873" priority="128360"/>
    <cfRule type="duplicateValues" dxfId="21872" priority="128359"/>
    <cfRule type="duplicateValues" dxfId="21871" priority="128358"/>
    <cfRule type="duplicateValues" dxfId="21870" priority="128357"/>
    <cfRule type="duplicateValues" dxfId="21869" priority="128356"/>
    <cfRule type="duplicateValues" dxfId="21868" priority="128355"/>
    <cfRule type="duplicateValues" dxfId="21867" priority="128354"/>
    <cfRule type="duplicateValues" dxfId="21866" priority="128353"/>
    <cfRule type="duplicateValues" dxfId="21865" priority="128352"/>
    <cfRule type="duplicateValues" dxfId="21864" priority="128351"/>
    <cfRule type="duplicateValues" dxfId="21863" priority="128350"/>
    <cfRule type="duplicateValues" dxfId="21862" priority="128349"/>
    <cfRule type="duplicateValues" dxfId="21861" priority="128348"/>
    <cfRule type="duplicateValues" dxfId="21860" priority="128347"/>
    <cfRule type="duplicateValues" dxfId="21859" priority="128346"/>
    <cfRule type="duplicateValues" dxfId="21858" priority="128345"/>
    <cfRule type="duplicateValues" dxfId="21857" priority="128344"/>
    <cfRule type="duplicateValues" dxfId="21856" priority="128343"/>
    <cfRule type="duplicateValues" dxfId="21855" priority="128342"/>
    <cfRule type="duplicateValues" dxfId="21854" priority="128341"/>
    <cfRule type="duplicateValues" dxfId="21853" priority="128340"/>
    <cfRule type="duplicateValues" dxfId="21852" priority="128339"/>
    <cfRule type="duplicateValues" dxfId="21851" priority="128338"/>
    <cfRule type="duplicateValues" dxfId="21850" priority="128337"/>
    <cfRule type="duplicateValues" dxfId="21849" priority="128336"/>
    <cfRule type="duplicateValues" dxfId="21848" priority="128335"/>
    <cfRule type="duplicateValues" dxfId="21847" priority="128334"/>
    <cfRule type="duplicateValues" dxfId="21846" priority="128333"/>
    <cfRule type="duplicateValues" dxfId="21845" priority="128332"/>
    <cfRule type="duplicateValues" dxfId="21844" priority="128331"/>
    <cfRule type="duplicateValues" dxfId="21843" priority="128330"/>
    <cfRule type="duplicateValues" dxfId="21842" priority="128329"/>
    <cfRule type="duplicateValues" dxfId="21841" priority="128328"/>
    <cfRule type="duplicateValues" dxfId="21840" priority="128327"/>
    <cfRule type="duplicateValues" dxfId="21839" priority="128326"/>
    <cfRule type="duplicateValues" dxfId="21838" priority="128325"/>
    <cfRule type="duplicateValues" dxfId="21837" priority="128324"/>
    <cfRule type="duplicateValues" dxfId="21836" priority="128323"/>
    <cfRule type="duplicateValues" dxfId="21835" priority="128322"/>
    <cfRule type="duplicateValues" dxfId="21834" priority="128321"/>
    <cfRule type="duplicateValues" dxfId="21833" priority="128320"/>
    <cfRule type="duplicateValues" dxfId="21832" priority="128319"/>
    <cfRule type="duplicateValues" dxfId="21831" priority="128318"/>
    <cfRule type="duplicateValues" dxfId="21830" priority="128317"/>
    <cfRule type="duplicateValues" dxfId="21829" priority="128316"/>
    <cfRule type="duplicateValues" dxfId="21828" priority="128315"/>
    <cfRule type="duplicateValues" dxfId="21827" priority="128314"/>
    <cfRule type="duplicateValues" dxfId="21826" priority="128313"/>
    <cfRule type="duplicateValues" dxfId="21825" priority="128312"/>
    <cfRule type="duplicateValues" dxfId="21824" priority="128311"/>
    <cfRule type="duplicateValues" dxfId="21823" priority="128310"/>
    <cfRule type="duplicateValues" dxfId="21822" priority="128309"/>
    <cfRule type="duplicateValues" dxfId="21821" priority="128308"/>
    <cfRule type="duplicateValues" dxfId="21820" priority="128307"/>
    <cfRule type="duplicateValues" dxfId="21819" priority="128306"/>
    <cfRule type="duplicateValues" dxfId="21818" priority="128305"/>
    <cfRule type="duplicateValues" dxfId="21817" priority="128304"/>
    <cfRule type="duplicateValues" dxfId="21816" priority="128303"/>
    <cfRule type="duplicateValues" dxfId="21815" priority="128302"/>
    <cfRule type="duplicateValues" dxfId="21814" priority="128301"/>
    <cfRule type="duplicateValues" dxfId="21813" priority="128300"/>
    <cfRule type="duplicateValues" dxfId="21812" priority="128299"/>
    <cfRule type="duplicateValues" dxfId="21811" priority="128298"/>
    <cfRule type="duplicateValues" dxfId="21810" priority="128297"/>
    <cfRule type="duplicateValues" dxfId="21809" priority="128296"/>
    <cfRule type="duplicateValues" dxfId="21808" priority="128295"/>
    <cfRule type="duplicateValues" dxfId="21807" priority="128294"/>
    <cfRule type="duplicateValues" dxfId="21806" priority="128293"/>
    <cfRule type="duplicateValues" dxfId="21805" priority="128292"/>
    <cfRule type="duplicateValues" dxfId="21804" priority="128291"/>
    <cfRule type="duplicateValues" dxfId="21803" priority="128290"/>
    <cfRule type="duplicateValues" dxfId="21802" priority="128289"/>
    <cfRule type="duplicateValues" dxfId="21801" priority="128288"/>
    <cfRule type="duplicateValues" dxfId="21800" priority="128287"/>
    <cfRule type="duplicateValues" dxfId="21799" priority="128286"/>
    <cfRule type="duplicateValues" dxfId="21798" priority="128285"/>
    <cfRule type="duplicateValues" dxfId="21797" priority="128284"/>
    <cfRule type="duplicateValues" dxfId="21796" priority="128283"/>
    <cfRule type="duplicateValues" dxfId="21795" priority="128282"/>
    <cfRule type="duplicateValues" dxfId="21794" priority="128281"/>
    <cfRule type="duplicateValues" dxfId="21793" priority="128280"/>
    <cfRule type="duplicateValues" dxfId="21792" priority="128279"/>
    <cfRule type="duplicateValues" dxfId="21791" priority="128278"/>
    <cfRule type="duplicateValues" dxfId="21790" priority="128277"/>
    <cfRule type="duplicateValues" dxfId="21789" priority="128276"/>
    <cfRule type="duplicateValues" dxfId="21788" priority="128275"/>
    <cfRule type="duplicateValues" dxfId="21787" priority="128274"/>
    <cfRule type="duplicateValues" dxfId="21786" priority="128273"/>
    <cfRule type="duplicateValues" dxfId="21785" priority="128272"/>
    <cfRule type="duplicateValues" dxfId="21784" priority="128271"/>
    <cfRule type="duplicateValues" dxfId="21783" priority="128270"/>
    <cfRule type="duplicateValues" dxfId="21782" priority="128269"/>
    <cfRule type="duplicateValues" dxfId="21781" priority="128268"/>
    <cfRule type="duplicateValues" dxfId="21780" priority="128267"/>
    <cfRule type="duplicateValues" dxfId="21779" priority="128266"/>
    <cfRule type="duplicateValues" dxfId="21778" priority="128265"/>
    <cfRule type="duplicateValues" dxfId="21777" priority="128264"/>
    <cfRule type="duplicateValues" dxfId="21776" priority="128263"/>
    <cfRule type="duplicateValues" dxfId="21775" priority="128262"/>
    <cfRule type="duplicateValues" dxfId="21774" priority="128261"/>
    <cfRule type="duplicateValues" dxfId="21773" priority="128260"/>
    <cfRule type="duplicateValues" dxfId="21772" priority="128259"/>
    <cfRule type="duplicateValues" dxfId="21771" priority="128258"/>
    <cfRule type="duplicateValues" dxfId="21770" priority="128257"/>
    <cfRule type="duplicateValues" dxfId="21769" priority="128256"/>
    <cfRule type="duplicateValues" dxfId="21768" priority="128255"/>
    <cfRule type="duplicateValues" dxfId="21767" priority="128254"/>
    <cfRule type="duplicateValues" dxfId="21766" priority="128253"/>
    <cfRule type="duplicateValues" dxfId="21765" priority="128252"/>
    <cfRule type="duplicateValues" dxfId="21764" priority="128251"/>
    <cfRule type="duplicateValues" dxfId="21763" priority="128250"/>
    <cfRule type="duplicateValues" dxfId="21762" priority="128249"/>
    <cfRule type="duplicateValues" dxfId="21761" priority="128248"/>
    <cfRule type="duplicateValues" dxfId="21760" priority="128247"/>
    <cfRule type="duplicateValues" dxfId="21759" priority="128246"/>
    <cfRule type="duplicateValues" dxfId="21758" priority="128245"/>
    <cfRule type="duplicateValues" dxfId="21757" priority="128244"/>
    <cfRule type="duplicateValues" dxfId="21756" priority="128243"/>
    <cfRule type="duplicateValues" dxfId="21755" priority="128242"/>
    <cfRule type="duplicateValues" dxfId="21754" priority="128241"/>
    <cfRule type="duplicateValues" dxfId="21753" priority="128240"/>
    <cfRule type="duplicateValues" dxfId="21752" priority="128239"/>
    <cfRule type="duplicateValues" dxfId="21751" priority="128238"/>
    <cfRule type="duplicateValues" dxfId="21750" priority="128237"/>
    <cfRule type="duplicateValues" dxfId="21749" priority="128236"/>
    <cfRule type="duplicateValues" dxfId="21748" priority="128235"/>
    <cfRule type="duplicateValues" dxfId="21747" priority="128234"/>
    <cfRule type="duplicateValues" dxfId="21746" priority="128233"/>
    <cfRule type="duplicateValues" dxfId="21745" priority="128232"/>
    <cfRule type="duplicateValues" dxfId="21744" priority="128231"/>
    <cfRule type="duplicateValues" dxfId="21743" priority="128230"/>
    <cfRule type="duplicateValues" dxfId="21742" priority="128229"/>
    <cfRule type="duplicateValues" dxfId="21741" priority="128228"/>
    <cfRule type="duplicateValues" dxfId="21740" priority="128227"/>
    <cfRule type="duplicateValues" dxfId="21739" priority="128226"/>
    <cfRule type="duplicateValues" dxfId="21738" priority="128225"/>
    <cfRule type="duplicateValues" dxfId="21737" priority="128224"/>
    <cfRule type="duplicateValues" dxfId="21736" priority="128223"/>
    <cfRule type="duplicateValues" dxfId="21735" priority="128222"/>
    <cfRule type="duplicateValues" dxfId="21734" priority="128221"/>
    <cfRule type="duplicateValues" dxfId="21733" priority="128220"/>
    <cfRule type="duplicateValues" dxfId="21732" priority="128219"/>
    <cfRule type="duplicateValues" dxfId="21731" priority="128218"/>
    <cfRule type="duplicateValues" dxfId="21730" priority="128217"/>
    <cfRule type="duplicateValues" dxfId="21729" priority="128216"/>
    <cfRule type="duplicateValues" dxfId="21728" priority="128215"/>
    <cfRule type="duplicateValues" dxfId="21727" priority="128214"/>
    <cfRule type="duplicateValues" dxfId="21726" priority="128213"/>
    <cfRule type="duplicateValues" dxfId="21725" priority="128212"/>
    <cfRule type="duplicateValues" dxfId="21724" priority="128211"/>
    <cfRule type="duplicateValues" dxfId="21723" priority="128210"/>
    <cfRule type="duplicateValues" dxfId="21722" priority="128209"/>
    <cfRule type="duplicateValues" dxfId="21721" priority="128208"/>
    <cfRule type="duplicateValues" dxfId="21720" priority="128207"/>
    <cfRule type="duplicateValues" dxfId="21719" priority="128206"/>
    <cfRule type="duplicateValues" dxfId="21718" priority="128205"/>
    <cfRule type="duplicateValues" dxfId="21717" priority="128204"/>
    <cfRule type="duplicateValues" dxfId="21716" priority="128203"/>
    <cfRule type="duplicateValues" dxfId="21715" priority="128202"/>
    <cfRule type="duplicateValues" dxfId="21714" priority="128201"/>
    <cfRule type="duplicateValues" dxfId="21713" priority="128200"/>
    <cfRule type="duplicateValues" dxfId="21712" priority="128199"/>
    <cfRule type="duplicateValues" dxfId="21711" priority="128198"/>
    <cfRule type="duplicateValues" dxfId="21710" priority="128197"/>
    <cfRule type="duplicateValues" dxfId="21709" priority="128196"/>
    <cfRule type="duplicateValues" dxfId="21708" priority="128195"/>
    <cfRule type="duplicateValues" dxfId="21707" priority="128194"/>
    <cfRule type="duplicateValues" dxfId="21706" priority="128193"/>
    <cfRule type="duplicateValues" dxfId="21705" priority="128192"/>
    <cfRule type="duplicateValues" dxfId="21704" priority="128191"/>
    <cfRule type="duplicateValues" dxfId="21703" priority="128190"/>
    <cfRule type="duplicateValues" dxfId="21702" priority="128189"/>
    <cfRule type="duplicateValues" dxfId="21701" priority="128188"/>
    <cfRule type="duplicateValues" dxfId="21700" priority="128187"/>
    <cfRule type="duplicateValues" dxfId="21699" priority="128186"/>
    <cfRule type="duplicateValues" dxfId="21698" priority="128185"/>
    <cfRule type="duplicateValues" dxfId="21697" priority="128184"/>
    <cfRule type="duplicateValues" dxfId="21696" priority="128183"/>
    <cfRule type="duplicateValues" dxfId="21695" priority="128182"/>
    <cfRule type="duplicateValues" dxfId="21694" priority="128181"/>
    <cfRule type="duplicateValues" dxfId="21693" priority="128180"/>
    <cfRule type="duplicateValues" dxfId="21692" priority="128179"/>
    <cfRule type="duplicateValues" dxfId="21691" priority="128178"/>
    <cfRule type="duplicateValues" dxfId="21690" priority="128177"/>
    <cfRule type="duplicateValues" dxfId="21689" priority="128176"/>
    <cfRule type="duplicateValues" dxfId="21688" priority="128175"/>
    <cfRule type="duplicateValues" dxfId="21687" priority="128174"/>
    <cfRule type="duplicateValues" dxfId="21686" priority="128173"/>
    <cfRule type="duplicateValues" dxfId="21685" priority="128172"/>
    <cfRule type="duplicateValues" dxfId="21684" priority="128171"/>
    <cfRule type="duplicateValues" dxfId="21683" priority="128170"/>
    <cfRule type="duplicateValues" dxfId="21682" priority="128169"/>
    <cfRule type="duplicateValues" dxfId="21681" priority="128168"/>
    <cfRule type="duplicateValues" dxfId="21680" priority="127935"/>
    <cfRule type="duplicateValues" dxfId="21679" priority="127934"/>
    <cfRule type="duplicateValues" dxfId="21678" priority="127933"/>
    <cfRule type="duplicateValues" dxfId="21677" priority="127932"/>
    <cfRule type="duplicateValues" dxfId="21676" priority="127931"/>
    <cfRule type="duplicateValues" dxfId="21675" priority="127930"/>
    <cfRule type="duplicateValues" dxfId="21674" priority="127929"/>
    <cfRule type="duplicateValues" dxfId="21673" priority="127928"/>
    <cfRule type="duplicateValues" dxfId="21672" priority="127927"/>
    <cfRule type="duplicateValues" dxfId="21671" priority="127926"/>
    <cfRule type="duplicateValues" dxfId="21670" priority="127925"/>
    <cfRule type="duplicateValues" dxfId="21669" priority="127924"/>
    <cfRule type="duplicateValues" dxfId="21668" priority="127923"/>
    <cfRule type="duplicateValues" dxfId="21667" priority="127922"/>
    <cfRule type="duplicateValues" dxfId="21666" priority="127921"/>
    <cfRule type="duplicateValues" dxfId="21665" priority="127920"/>
    <cfRule type="duplicateValues" dxfId="21664" priority="127919"/>
    <cfRule type="duplicateValues" dxfId="21663" priority="127918"/>
    <cfRule type="duplicateValues" dxfId="21662" priority="127917"/>
    <cfRule type="duplicateValues" dxfId="21661" priority="127916"/>
    <cfRule type="duplicateValues" dxfId="21660" priority="127915"/>
    <cfRule type="duplicateValues" dxfId="21659" priority="127914"/>
    <cfRule type="duplicateValues" dxfId="21658" priority="127913"/>
    <cfRule type="duplicateValues" dxfId="21657" priority="127912"/>
    <cfRule type="duplicateValues" dxfId="21656" priority="127911"/>
    <cfRule type="duplicateValues" dxfId="21655" priority="127910"/>
    <cfRule type="duplicateValues" dxfId="21654" priority="127909"/>
    <cfRule type="duplicateValues" dxfId="21653" priority="127908"/>
    <cfRule type="duplicateValues" dxfId="21652" priority="127907"/>
    <cfRule type="duplicateValues" dxfId="21651" priority="127906"/>
    <cfRule type="duplicateValues" dxfId="21650" priority="127905"/>
    <cfRule type="duplicateValues" dxfId="21649" priority="127904"/>
    <cfRule type="duplicateValues" dxfId="21648" priority="127903"/>
    <cfRule type="duplicateValues" dxfId="21647" priority="127902"/>
    <cfRule type="duplicateValues" dxfId="21646" priority="127901"/>
    <cfRule type="duplicateValues" dxfId="21645" priority="127900"/>
    <cfRule type="duplicateValues" dxfId="21644" priority="127899"/>
    <cfRule type="duplicateValues" dxfId="21643" priority="127898"/>
    <cfRule type="duplicateValues" dxfId="21642" priority="127897"/>
    <cfRule type="duplicateValues" dxfId="21641" priority="127896"/>
    <cfRule type="duplicateValues" dxfId="21640" priority="127895"/>
    <cfRule type="duplicateValues" dxfId="21639" priority="127894"/>
    <cfRule type="duplicateValues" dxfId="21638" priority="127893"/>
    <cfRule type="duplicateValues" dxfId="21637" priority="127892"/>
    <cfRule type="duplicateValues" dxfId="21636" priority="127891"/>
    <cfRule type="duplicateValues" dxfId="21635" priority="127890"/>
    <cfRule type="duplicateValues" dxfId="21634" priority="127889"/>
    <cfRule type="duplicateValues" dxfId="21633" priority="127888"/>
    <cfRule type="duplicateValues" dxfId="21632" priority="127887"/>
    <cfRule type="duplicateValues" dxfId="21631" priority="127886"/>
    <cfRule type="duplicateValues" dxfId="21630" priority="127885"/>
    <cfRule type="duplicateValues" dxfId="21629" priority="127884"/>
    <cfRule type="duplicateValues" dxfId="21628" priority="127883"/>
    <cfRule type="duplicateValues" dxfId="21627" priority="127882"/>
    <cfRule type="duplicateValues" dxfId="21626" priority="127881"/>
    <cfRule type="duplicateValues" dxfId="21625" priority="127880"/>
    <cfRule type="duplicateValues" dxfId="21624" priority="127879"/>
    <cfRule type="duplicateValues" dxfId="21623" priority="127878"/>
    <cfRule type="duplicateValues" dxfId="21622" priority="127877"/>
    <cfRule type="duplicateValues" dxfId="21621" priority="127876"/>
    <cfRule type="duplicateValues" dxfId="21620" priority="127875"/>
    <cfRule type="duplicateValues" dxfId="21619" priority="127874"/>
    <cfRule type="duplicateValues" dxfId="21618" priority="127873"/>
    <cfRule type="duplicateValues" dxfId="21617" priority="127872"/>
    <cfRule type="duplicateValues" dxfId="21616" priority="127871"/>
    <cfRule type="duplicateValues" dxfId="21615" priority="127870"/>
    <cfRule type="duplicateValues" dxfId="21614" priority="127869"/>
    <cfRule type="duplicateValues" dxfId="21613" priority="127868"/>
    <cfRule type="duplicateValues" dxfId="21612" priority="127867"/>
    <cfRule type="duplicateValues" dxfId="21611" priority="127866"/>
    <cfRule type="duplicateValues" dxfId="21610" priority="127865"/>
    <cfRule type="duplicateValues" dxfId="21609" priority="127864"/>
    <cfRule type="duplicateValues" dxfId="21608" priority="127863"/>
    <cfRule type="duplicateValues" dxfId="21607" priority="127862"/>
    <cfRule type="duplicateValues" dxfId="21606" priority="127861"/>
    <cfRule type="duplicateValues" dxfId="21605" priority="127860"/>
    <cfRule type="duplicateValues" dxfId="21604" priority="127859"/>
    <cfRule type="duplicateValues" dxfId="21603" priority="127858"/>
    <cfRule type="duplicateValues" dxfId="21602" priority="127857"/>
    <cfRule type="duplicateValues" dxfId="21601" priority="127856"/>
    <cfRule type="duplicateValues" dxfId="21600" priority="127855"/>
    <cfRule type="duplicateValues" dxfId="21599" priority="127854"/>
    <cfRule type="duplicateValues" dxfId="21598" priority="127853"/>
    <cfRule type="duplicateValues" dxfId="21597" priority="127852"/>
    <cfRule type="duplicateValues" dxfId="21596" priority="127851"/>
    <cfRule type="duplicateValues" dxfId="21595" priority="127850"/>
    <cfRule type="duplicateValues" dxfId="21594" priority="127849"/>
    <cfRule type="duplicateValues" dxfId="21593" priority="127848"/>
    <cfRule type="duplicateValues" dxfId="21592" priority="127847"/>
    <cfRule type="duplicateValues" dxfId="21591" priority="127846"/>
    <cfRule type="duplicateValues" dxfId="21590" priority="127845"/>
    <cfRule type="duplicateValues" dxfId="21589" priority="127844"/>
    <cfRule type="duplicateValues" dxfId="21588" priority="127843"/>
    <cfRule type="duplicateValues" dxfId="21587" priority="127842"/>
    <cfRule type="duplicateValues" dxfId="21586" priority="127841"/>
    <cfRule type="duplicateValues" dxfId="21585" priority="127840"/>
    <cfRule type="duplicateValues" dxfId="21584" priority="127839"/>
    <cfRule type="duplicateValues" dxfId="21583" priority="127838"/>
    <cfRule type="duplicateValues" dxfId="21582" priority="127837"/>
    <cfRule type="duplicateValues" dxfId="21581" priority="127836"/>
    <cfRule type="duplicateValues" dxfId="21580" priority="127835"/>
    <cfRule type="duplicateValues" dxfId="21579" priority="127834"/>
    <cfRule type="duplicateValues" dxfId="21578" priority="127833"/>
    <cfRule type="duplicateValues" dxfId="21577" priority="127832"/>
    <cfRule type="duplicateValues" dxfId="21576" priority="127831"/>
    <cfRule type="duplicateValues" dxfId="21575" priority="127830"/>
    <cfRule type="duplicateValues" dxfId="21574" priority="127829"/>
    <cfRule type="duplicateValues" dxfId="21573" priority="127828"/>
    <cfRule type="duplicateValues" dxfId="21572" priority="127827"/>
    <cfRule type="duplicateValues" dxfId="21571" priority="127826"/>
    <cfRule type="duplicateValues" dxfId="21570" priority="127825"/>
    <cfRule type="duplicateValues" dxfId="21569" priority="127824"/>
    <cfRule type="duplicateValues" dxfId="21568" priority="127823"/>
    <cfRule type="duplicateValues" dxfId="21567" priority="127822"/>
    <cfRule type="duplicateValues" dxfId="21566" priority="127821"/>
    <cfRule type="duplicateValues" dxfId="21565" priority="127820"/>
    <cfRule type="duplicateValues" dxfId="21564" priority="127819"/>
    <cfRule type="duplicateValues" dxfId="21563" priority="127818"/>
    <cfRule type="duplicateValues" dxfId="21562" priority="127817"/>
    <cfRule type="duplicateValues" dxfId="21561" priority="127816"/>
    <cfRule type="duplicateValues" dxfId="21560" priority="127815"/>
    <cfRule type="duplicateValues" dxfId="21559" priority="127814"/>
    <cfRule type="duplicateValues" dxfId="21558" priority="127813"/>
    <cfRule type="duplicateValues" dxfId="21557" priority="127812"/>
    <cfRule type="duplicateValues" dxfId="21556" priority="127811"/>
    <cfRule type="duplicateValues" dxfId="21555" priority="127810"/>
    <cfRule type="duplicateValues" dxfId="21554" priority="127809"/>
    <cfRule type="duplicateValues" dxfId="21553" priority="127808"/>
    <cfRule type="duplicateValues" dxfId="21552" priority="127807"/>
    <cfRule type="duplicateValues" dxfId="21551" priority="127806"/>
    <cfRule type="duplicateValues" dxfId="21550" priority="127805"/>
    <cfRule type="duplicateValues" dxfId="21549" priority="127804"/>
    <cfRule type="duplicateValues" dxfId="21548" priority="127803"/>
    <cfRule type="duplicateValues" dxfId="21547" priority="127802"/>
    <cfRule type="duplicateValues" dxfId="21546" priority="127801"/>
    <cfRule type="duplicateValues" dxfId="21545" priority="127800"/>
    <cfRule type="duplicateValues" dxfId="21544" priority="127799"/>
    <cfRule type="duplicateValues" dxfId="21543" priority="127798"/>
    <cfRule type="duplicateValues" dxfId="21542" priority="127797"/>
    <cfRule type="duplicateValues" dxfId="21541" priority="127796"/>
    <cfRule type="duplicateValues" dxfId="21540" priority="127795"/>
    <cfRule type="duplicateValues" dxfId="21539" priority="127794"/>
    <cfRule type="duplicateValues" dxfId="21538" priority="127793"/>
    <cfRule type="duplicateValues" dxfId="21537" priority="127792"/>
    <cfRule type="duplicateValues" dxfId="21536" priority="127791"/>
    <cfRule type="duplicateValues" dxfId="21535" priority="127790"/>
    <cfRule type="duplicateValues" dxfId="21534" priority="127789"/>
    <cfRule type="duplicateValues" dxfId="21533" priority="127788"/>
    <cfRule type="duplicateValues" dxfId="21532" priority="127787"/>
    <cfRule type="duplicateValues" dxfId="21531" priority="127786"/>
    <cfRule type="duplicateValues" dxfId="21530" priority="127785"/>
    <cfRule type="duplicateValues" dxfId="21529" priority="127784"/>
    <cfRule type="duplicateValues" dxfId="21528" priority="127783"/>
    <cfRule type="duplicateValues" dxfId="21527" priority="127782"/>
    <cfRule type="duplicateValues" dxfId="21526" priority="127781"/>
    <cfRule type="duplicateValues" dxfId="21525" priority="127780"/>
    <cfRule type="duplicateValues" dxfId="21524" priority="127779"/>
    <cfRule type="duplicateValues" dxfId="21523" priority="127778"/>
    <cfRule type="duplicateValues" dxfId="21522" priority="127777"/>
    <cfRule type="duplicateValues" dxfId="21521" priority="127776"/>
    <cfRule type="duplicateValues" dxfId="21520" priority="127775"/>
    <cfRule type="duplicateValues" dxfId="21519" priority="127774"/>
    <cfRule type="duplicateValues" dxfId="21518" priority="127773"/>
    <cfRule type="duplicateValues" dxfId="21517" priority="127772"/>
    <cfRule type="duplicateValues" dxfId="21516" priority="127771"/>
    <cfRule type="duplicateValues" dxfId="21515" priority="127770"/>
    <cfRule type="duplicateValues" dxfId="21514" priority="127769"/>
    <cfRule type="duplicateValues" dxfId="21513" priority="127768"/>
    <cfRule type="duplicateValues" dxfId="21512" priority="127767"/>
    <cfRule type="duplicateValues" dxfId="21511" priority="127766"/>
    <cfRule type="duplicateValues" dxfId="21510" priority="127765"/>
    <cfRule type="duplicateValues" dxfId="21509" priority="127764"/>
    <cfRule type="duplicateValues" dxfId="21508" priority="127763"/>
    <cfRule type="duplicateValues" dxfId="21507" priority="127762"/>
    <cfRule type="duplicateValues" dxfId="21506" priority="127761"/>
    <cfRule type="duplicateValues" dxfId="21505" priority="127760"/>
    <cfRule type="duplicateValues" dxfId="21504" priority="127759"/>
    <cfRule type="duplicateValues" dxfId="21503" priority="127758"/>
    <cfRule type="duplicateValues" dxfId="21502" priority="127757"/>
    <cfRule type="duplicateValues" dxfId="21501" priority="127756"/>
    <cfRule type="duplicateValues" dxfId="21500" priority="127755"/>
    <cfRule type="duplicateValues" dxfId="21499" priority="127754"/>
    <cfRule type="duplicateValues" dxfId="21498" priority="127753"/>
    <cfRule type="duplicateValues" dxfId="21497" priority="127752"/>
    <cfRule type="duplicateValues" dxfId="21496" priority="127751"/>
    <cfRule type="duplicateValues" dxfId="21495" priority="127750"/>
    <cfRule type="duplicateValues" dxfId="21494" priority="127749"/>
    <cfRule type="duplicateValues" dxfId="21493" priority="127748"/>
    <cfRule type="duplicateValues" dxfId="21492" priority="127747"/>
    <cfRule type="duplicateValues" dxfId="21491" priority="127746"/>
    <cfRule type="duplicateValues" dxfId="21490" priority="127745"/>
    <cfRule type="duplicateValues" dxfId="21489" priority="127744"/>
    <cfRule type="duplicateValues" dxfId="21488" priority="127743"/>
    <cfRule type="duplicateValues" dxfId="21487" priority="127742"/>
    <cfRule type="duplicateValues" dxfId="21486" priority="127741"/>
    <cfRule type="duplicateValues" dxfId="21485" priority="127740"/>
    <cfRule type="duplicateValues" dxfId="21484" priority="127739"/>
    <cfRule type="duplicateValues" dxfId="21483" priority="127738"/>
    <cfRule type="duplicateValues" dxfId="21482" priority="127737"/>
    <cfRule type="duplicateValues" dxfId="21481" priority="127736"/>
    <cfRule type="duplicateValues" dxfId="21480" priority="127735"/>
    <cfRule type="duplicateValues" dxfId="21479" priority="127734"/>
    <cfRule type="duplicateValues" dxfId="21478" priority="127733"/>
    <cfRule type="duplicateValues" dxfId="21477" priority="127732"/>
    <cfRule type="duplicateValues" dxfId="21476" priority="127731"/>
    <cfRule type="duplicateValues" dxfId="21475" priority="127730"/>
    <cfRule type="duplicateValues" dxfId="21474" priority="127729"/>
    <cfRule type="duplicateValues" dxfId="21473" priority="127728"/>
    <cfRule type="duplicateValues" dxfId="21472" priority="127727"/>
    <cfRule type="duplicateValues" dxfId="21471" priority="127726"/>
    <cfRule type="duplicateValues" dxfId="21470" priority="127725"/>
    <cfRule type="duplicateValues" dxfId="21469" priority="127724"/>
    <cfRule type="duplicateValues" dxfId="21468" priority="127723"/>
    <cfRule type="duplicateValues" dxfId="21467" priority="127722"/>
    <cfRule type="duplicateValues" dxfId="21466" priority="127721"/>
    <cfRule type="duplicateValues" dxfId="21465" priority="127720"/>
    <cfRule type="duplicateValues" dxfId="21464" priority="127719"/>
    <cfRule type="duplicateValues" dxfId="21463" priority="127718"/>
    <cfRule type="duplicateValues" dxfId="21462" priority="127717"/>
    <cfRule type="duplicateValues" dxfId="21461" priority="127716"/>
    <cfRule type="duplicateValues" dxfId="21460" priority="127715"/>
    <cfRule type="duplicateValues" dxfId="21459" priority="127714"/>
    <cfRule type="duplicateValues" dxfId="21458" priority="127713"/>
    <cfRule type="duplicateValues" dxfId="21457" priority="127712"/>
    <cfRule type="duplicateValues" dxfId="21456" priority="127711"/>
    <cfRule type="duplicateValues" dxfId="21455" priority="127710"/>
    <cfRule type="duplicateValues" dxfId="21454" priority="127709"/>
    <cfRule type="duplicateValues" dxfId="21453" priority="127708"/>
    <cfRule type="duplicateValues" dxfId="21452" priority="127707"/>
    <cfRule type="duplicateValues" dxfId="21451" priority="127706"/>
    <cfRule type="duplicateValues" dxfId="21450" priority="127705"/>
    <cfRule type="duplicateValues" dxfId="21449" priority="127704"/>
    <cfRule type="duplicateValues" dxfId="21448" priority="127703"/>
    <cfRule type="duplicateValues" dxfId="21447" priority="127702"/>
    <cfRule type="duplicateValues" dxfId="21446" priority="127701"/>
    <cfRule type="duplicateValues" dxfId="21445" priority="127700"/>
    <cfRule type="duplicateValues" dxfId="21444" priority="127699"/>
    <cfRule type="duplicateValues" dxfId="21443" priority="127698"/>
    <cfRule type="duplicateValues" dxfId="21442" priority="127697"/>
    <cfRule type="duplicateValues" dxfId="21441" priority="127696"/>
    <cfRule type="duplicateValues" dxfId="21440" priority="127695"/>
    <cfRule type="duplicateValues" dxfId="21439" priority="127694"/>
    <cfRule type="duplicateValues" dxfId="21438" priority="127693"/>
    <cfRule type="duplicateValues" dxfId="21437" priority="127692"/>
    <cfRule type="duplicateValues" dxfId="21436" priority="127691"/>
    <cfRule type="duplicateValues" dxfId="21435" priority="127690"/>
    <cfRule type="duplicateValues" dxfId="21434" priority="127689"/>
    <cfRule type="duplicateValues" dxfId="21433" priority="127688"/>
    <cfRule type="duplicateValues" dxfId="21432" priority="127687"/>
    <cfRule type="duplicateValues" dxfId="21431" priority="127686"/>
    <cfRule type="duplicateValues" dxfId="21430" priority="127685"/>
    <cfRule type="duplicateValues" dxfId="21429" priority="127684"/>
    <cfRule type="duplicateValues" dxfId="21428" priority="127683"/>
    <cfRule type="duplicateValues" dxfId="21427" priority="127682"/>
    <cfRule type="duplicateValues" dxfId="21426" priority="127681"/>
    <cfRule type="duplicateValues" dxfId="21425" priority="127680"/>
    <cfRule type="duplicateValues" dxfId="21424" priority="127679"/>
    <cfRule type="duplicateValues" dxfId="21423" priority="127678"/>
    <cfRule type="duplicateValues" dxfId="21422" priority="127677"/>
    <cfRule type="duplicateValues" dxfId="21421" priority="127676"/>
    <cfRule type="duplicateValues" dxfId="21420" priority="127675"/>
    <cfRule type="duplicateValues" dxfId="21419" priority="127674"/>
    <cfRule type="duplicateValues" dxfId="21418" priority="127673"/>
    <cfRule type="duplicateValues" dxfId="21417" priority="127672"/>
    <cfRule type="duplicateValues" dxfId="21416" priority="127671"/>
    <cfRule type="duplicateValues" dxfId="21415" priority="127670"/>
    <cfRule type="duplicateValues" dxfId="21414" priority="127669"/>
    <cfRule type="duplicateValues" dxfId="21413" priority="127668"/>
    <cfRule type="duplicateValues" dxfId="21412" priority="127667"/>
    <cfRule type="duplicateValues" dxfId="21411" priority="127666"/>
    <cfRule type="duplicateValues" dxfId="21410" priority="127665"/>
    <cfRule type="duplicateValues" dxfId="21409" priority="127664"/>
    <cfRule type="duplicateValues" dxfId="21408" priority="127663"/>
    <cfRule type="duplicateValues" dxfId="21407" priority="127662"/>
    <cfRule type="duplicateValues" dxfId="21406" priority="127661"/>
    <cfRule type="duplicateValues" dxfId="21405" priority="127660"/>
    <cfRule type="duplicateValues" dxfId="21404" priority="127659"/>
    <cfRule type="duplicateValues" dxfId="21403" priority="127658"/>
    <cfRule type="duplicateValues" dxfId="21402" priority="127657"/>
    <cfRule type="duplicateValues" dxfId="21401" priority="127656"/>
    <cfRule type="duplicateValues" dxfId="21400" priority="127655"/>
    <cfRule type="duplicateValues" dxfId="21399" priority="127654"/>
    <cfRule type="duplicateValues" dxfId="21398" priority="127653"/>
    <cfRule type="duplicateValues" dxfId="21397" priority="127652"/>
    <cfRule type="duplicateValues" dxfId="21396" priority="127651"/>
    <cfRule type="duplicateValues" dxfId="21395" priority="127650"/>
    <cfRule type="duplicateValues" dxfId="21394" priority="127649"/>
    <cfRule type="duplicateValues" dxfId="21393" priority="127648"/>
    <cfRule type="duplicateValues" dxfId="21392" priority="127647"/>
    <cfRule type="duplicateValues" dxfId="21391" priority="127646"/>
    <cfRule type="duplicateValues" dxfId="21390" priority="127645"/>
    <cfRule type="duplicateValues" dxfId="21389" priority="127644"/>
    <cfRule type="duplicateValues" dxfId="21388" priority="127643"/>
    <cfRule type="duplicateValues" dxfId="21387" priority="127642"/>
    <cfRule type="duplicateValues" dxfId="21386" priority="127641"/>
    <cfRule type="duplicateValues" dxfId="21385" priority="127640"/>
    <cfRule type="duplicateValues" dxfId="21384" priority="127639"/>
    <cfRule type="duplicateValues" dxfId="21383" priority="127638"/>
    <cfRule type="duplicateValues" dxfId="21382" priority="127637"/>
    <cfRule type="duplicateValues" dxfId="21381" priority="127636"/>
    <cfRule type="duplicateValues" dxfId="21380" priority="127635"/>
    <cfRule type="duplicateValues" dxfId="21379" priority="127634"/>
    <cfRule type="duplicateValues" dxfId="21378" priority="127633"/>
    <cfRule type="duplicateValues" dxfId="21377" priority="127632"/>
    <cfRule type="duplicateValues" dxfId="21376" priority="127631"/>
    <cfRule type="duplicateValues" dxfId="21375" priority="127630"/>
    <cfRule type="duplicateValues" dxfId="21374" priority="127629"/>
    <cfRule type="duplicateValues" dxfId="21373" priority="127628"/>
    <cfRule type="duplicateValues" dxfId="21372" priority="127627"/>
    <cfRule type="duplicateValues" dxfId="21371" priority="127626"/>
    <cfRule type="duplicateValues" dxfId="21370" priority="127625"/>
    <cfRule type="duplicateValues" dxfId="21369" priority="127624"/>
    <cfRule type="duplicateValues" dxfId="21368" priority="127623"/>
    <cfRule type="duplicateValues" dxfId="21367" priority="127622"/>
    <cfRule type="duplicateValues" dxfId="21366" priority="127621"/>
    <cfRule type="duplicateValues" dxfId="21365" priority="127620"/>
    <cfRule type="duplicateValues" dxfId="21364" priority="127619"/>
    <cfRule type="duplicateValues" dxfId="21363" priority="127618"/>
    <cfRule type="duplicateValues" dxfId="21362" priority="127617"/>
    <cfRule type="duplicateValues" dxfId="21361" priority="127616"/>
    <cfRule type="duplicateValues" dxfId="21360" priority="127615"/>
    <cfRule type="duplicateValues" dxfId="21359" priority="127614"/>
    <cfRule type="duplicateValues" dxfId="21358" priority="127613"/>
    <cfRule type="duplicateValues" dxfId="21357" priority="127612"/>
    <cfRule type="duplicateValues" dxfId="21356" priority="127611"/>
    <cfRule type="duplicateValues" dxfId="21355" priority="127610"/>
    <cfRule type="duplicateValues" dxfId="21354" priority="127609"/>
    <cfRule type="duplicateValues" dxfId="21353" priority="127608"/>
    <cfRule type="duplicateValues" dxfId="21352" priority="127607"/>
    <cfRule type="duplicateValues" dxfId="21351" priority="127606"/>
    <cfRule type="duplicateValues" dxfId="21350" priority="127605"/>
    <cfRule type="duplicateValues" dxfId="21349" priority="127604"/>
    <cfRule type="duplicateValues" dxfId="21348" priority="127603"/>
    <cfRule type="duplicateValues" dxfId="21347" priority="127602"/>
    <cfRule type="duplicateValues" dxfId="21346" priority="127601"/>
    <cfRule type="duplicateValues" dxfId="21345" priority="127600"/>
    <cfRule type="duplicateValues" dxfId="21344" priority="127599"/>
    <cfRule type="duplicateValues" dxfId="21343" priority="127598"/>
    <cfRule type="duplicateValues" dxfId="21342" priority="127597"/>
    <cfRule type="duplicateValues" dxfId="21341" priority="127596"/>
    <cfRule type="duplicateValues" dxfId="21340" priority="127595"/>
    <cfRule type="duplicateValues" dxfId="21339" priority="127594"/>
    <cfRule type="duplicateValues" dxfId="21338" priority="127593"/>
    <cfRule type="duplicateValues" dxfId="21337" priority="127592"/>
    <cfRule type="duplicateValues" dxfId="21336" priority="127591"/>
    <cfRule type="duplicateValues" dxfId="21335" priority="127590"/>
    <cfRule type="duplicateValues" dxfId="21334" priority="127589"/>
    <cfRule type="duplicateValues" dxfId="21333" priority="127588"/>
    <cfRule type="duplicateValues" dxfId="21332" priority="127587"/>
    <cfRule type="duplicateValues" dxfId="21331" priority="127586"/>
    <cfRule type="duplicateValues" dxfId="21330" priority="127585"/>
    <cfRule type="duplicateValues" dxfId="21329" priority="127584"/>
    <cfRule type="duplicateValues" dxfId="21328" priority="127583"/>
    <cfRule type="duplicateValues" dxfId="21327" priority="127582"/>
    <cfRule type="duplicateValues" dxfId="21326" priority="127581"/>
    <cfRule type="duplicateValues" dxfId="21325" priority="127580"/>
    <cfRule type="duplicateValues" dxfId="21324" priority="127579"/>
    <cfRule type="duplicateValues" dxfId="21323" priority="127578"/>
    <cfRule type="duplicateValues" dxfId="21322" priority="127577"/>
    <cfRule type="duplicateValues" dxfId="21321" priority="127576"/>
    <cfRule type="duplicateValues" dxfId="21320" priority="127575"/>
    <cfRule type="duplicateValues" dxfId="21319" priority="127574"/>
    <cfRule type="duplicateValues" dxfId="21318" priority="127573"/>
    <cfRule type="duplicateValues" dxfId="21317" priority="127572"/>
    <cfRule type="duplicateValues" dxfId="21316" priority="127571"/>
    <cfRule type="duplicateValues" dxfId="21315" priority="127570"/>
    <cfRule type="duplicateValues" dxfId="21314" priority="127569"/>
    <cfRule type="duplicateValues" dxfId="21313" priority="127568"/>
    <cfRule type="duplicateValues" dxfId="21312" priority="127567"/>
    <cfRule type="duplicateValues" dxfId="21311" priority="127566"/>
    <cfRule type="duplicateValues" dxfId="21310" priority="127565"/>
    <cfRule type="duplicateValues" dxfId="21309" priority="127564"/>
    <cfRule type="duplicateValues" dxfId="21308" priority="127563"/>
    <cfRule type="duplicateValues" dxfId="21307" priority="127562"/>
    <cfRule type="duplicateValues" dxfId="21306" priority="127561"/>
    <cfRule type="duplicateValues" dxfId="21305" priority="127560"/>
    <cfRule type="duplicateValues" dxfId="21304" priority="127559"/>
    <cfRule type="duplicateValues" dxfId="21303" priority="127558"/>
    <cfRule type="duplicateValues" dxfId="21302" priority="127557"/>
    <cfRule type="duplicateValues" dxfId="21301" priority="127556"/>
    <cfRule type="duplicateValues" dxfId="21300" priority="127555"/>
    <cfRule type="duplicateValues" dxfId="21299" priority="127554"/>
    <cfRule type="duplicateValues" dxfId="21298" priority="127553"/>
    <cfRule type="duplicateValues" dxfId="21297" priority="127552"/>
    <cfRule type="duplicateValues" dxfId="21296" priority="127551"/>
    <cfRule type="duplicateValues" dxfId="21295" priority="127550"/>
    <cfRule type="duplicateValues" dxfId="21294" priority="127548"/>
    <cfRule type="duplicateValues" dxfId="21293" priority="127547"/>
    <cfRule type="duplicateValues" dxfId="21292" priority="127546"/>
    <cfRule type="duplicateValues" dxfId="21291" priority="127545"/>
    <cfRule type="duplicateValues" dxfId="21290" priority="127544"/>
    <cfRule type="duplicateValues" dxfId="21289" priority="127543"/>
    <cfRule type="duplicateValues" dxfId="21288" priority="127542"/>
    <cfRule type="duplicateValues" dxfId="21287" priority="127541"/>
    <cfRule type="duplicateValues" dxfId="21286" priority="127540"/>
    <cfRule type="duplicateValues" dxfId="21285" priority="127539"/>
    <cfRule type="duplicateValues" dxfId="21284" priority="127538"/>
    <cfRule type="duplicateValues" dxfId="21283" priority="127537"/>
    <cfRule type="duplicateValues" dxfId="21282" priority="127536"/>
    <cfRule type="duplicateValues" dxfId="21281" priority="127535"/>
    <cfRule type="duplicateValues" dxfId="21280" priority="127534"/>
    <cfRule type="duplicateValues" dxfId="21279" priority="127533"/>
    <cfRule type="duplicateValues" dxfId="21278" priority="127532"/>
    <cfRule type="duplicateValues" dxfId="21277" priority="127531"/>
    <cfRule type="duplicateValues" dxfId="21276" priority="127530"/>
    <cfRule type="duplicateValues" dxfId="21275" priority="127529"/>
    <cfRule type="duplicateValues" dxfId="21274" priority="127528"/>
    <cfRule type="duplicateValues" dxfId="21273" priority="127527"/>
    <cfRule type="duplicateValues" dxfId="21272" priority="127526"/>
    <cfRule type="duplicateValues" dxfId="21271" priority="127525"/>
    <cfRule type="duplicateValues" dxfId="21270" priority="127524"/>
    <cfRule type="duplicateValues" dxfId="21269" priority="127523"/>
    <cfRule type="duplicateValues" dxfId="21268" priority="127522"/>
    <cfRule type="duplicateValues" dxfId="21267" priority="127521"/>
    <cfRule type="duplicateValues" dxfId="21266" priority="127520"/>
    <cfRule type="duplicateValues" dxfId="21265" priority="127519"/>
    <cfRule type="duplicateValues" dxfId="21264" priority="127518"/>
    <cfRule type="duplicateValues" dxfId="21263" priority="127517"/>
    <cfRule type="duplicateValues" dxfId="21262" priority="127516"/>
    <cfRule type="duplicateValues" dxfId="21261" priority="127515"/>
    <cfRule type="duplicateValues" dxfId="21260" priority="127514"/>
    <cfRule type="duplicateValues" dxfId="21259" priority="127513"/>
    <cfRule type="duplicateValues" dxfId="21258" priority="127512"/>
    <cfRule type="duplicateValues" dxfId="21257" priority="127511"/>
    <cfRule type="duplicateValues" dxfId="21256" priority="127510"/>
    <cfRule type="duplicateValues" dxfId="21255" priority="127509"/>
    <cfRule type="duplicateValues" dxfId="21254" priority="127508"/>
    <cfRule type="duplicateValues" dxfId="21253" priority="127507"/>
    <cfRule type="duplicateValues" dxfId="21252" priority="127506"/>
    <cfRule type="duplicateValues" dxfId="21251" priority="127505"/>
    <cfRule type="duplicateValues" dxfId="21250" priority="127504"/>
    <cfRule type="duplicateValues" dxfId="21249" priority="127503"/>
    <cfRule type="duplicateValues" dxfId="21248" priority="127502"/>
    <cfRule type="duplicateValues" dxfId="21247" priority="127501"/>
    <cfRule type="duplicateValues" dxfId="21246" priority="127500"/>
    <cfRule type="duplicateValues" dxfId="21245" priority="127499"/>
    <cfRule type="duplicateValues" dxfId="21244" priority="127498"/>
    <cfRule type="duplicateValues" dxfId="21243" priority="127497"/>
    <cfRule type="duplicateValues" dxfId="21242" priority="127496"/>
    <cfRule type="duplicateValues" dxfId="21241" priority="127495"/>
    <cfRule type="duplicateValues" dxfId="21240" priority="127494"/>
    <cfRule type="duplicateValues" dxfId="21239" priority="127493"/>
    <cfRule type="duplicateValues" dxfId="21238" priority="127492"/>
    <cfRule type="duplicateValues" dxfId="21237" priority="127491"/>
    <cfRule type="duplicateValues" dxfId="21236" priority="127490"/>
    <cfRule type="duplicateValues" dxfId="21235" priority="127489"/>
    <cfRule type="duplicateValues" dxfId="21234" priority="127488"/>
    <cfRule type="duplicateValues" dxfId="21233" priority="127487"/>
    <cfRule type="duplicateValues" dxfId="21232" priority="127486"/>
    <cfRule type="duplicateValues" dxfId="21231" priority="126901"/>
    <cfRule type="duplicateValues" dxfId="21230" priority="126900"/>
    <cfRule type="duplicateValues" dxfId="21229" priority="126899"/>
    <cfRule type="duplicateValues" dxfId="21228" priority="126898"/>
    <cfRule type="duplicateValues" dxfId="21227" priority="126897"/>
    <cfRule type="duplicateValues" dxfId="21226" priority="126896"/>
    <cfRule type="duplicateValues" dxfId="21225" priority="126895"/>
    <cfRule type="duplicateValues" dxfId="21224" priority="126894"/>
    <cfRule type="duplicateValues" dxfId="21223" priority="126893"/>
    <cfRule type="duplicateValues" dxfId="21222" priority="126892"/>
    <cfRule type="duplicateValues" dxfId="21221" priority="126891"/>
    <cfRule type="duplicateValues" dxfId="21220" priority="126890"/>
    <cfRule type="duplicateValues" dxfId="21219" priority="126889"/>
    <cfRule type="duplicateValues" dxfId="21218" priority="126888"/>
    <cfRule type="duplicateValues" dxfId="21217" priority="126887"/>
    <cfRule type="duplicateValues" dxfId="21216" priority="126886"/>
    <cfRule type="duplicateValues" dxfId="21215" priority="126885"/>
    <cfRule type="duplicateValues" dxfId="21214" priority="126884"/>
    <cfRule type="duplicateValues" dxfId="21213" priority="126883"/>
    <cfRule type="duplicateValues" dxfId="21212" priority="126882"/>
    <cfRule type="duplicateValues" dxfId="21211" priority="126881"/>
    <cfRule type="duplicateValues" dxfId="21210" priority="126880"/>
    <cfRule type="duplicateValues" dxfId="21209" priority="126879"/>
    <cfRule type="duplicateValues" dxfId="21208" priority="126878"/>
    <cfRule type="duplicateValues" dxfId="21207" priority="126877"/>
    <cfRule type="duplicateValues" dxfId="21206" priority="126876"/>
    <cfRule type="duplicateValues" dxfId="21205" priority="126875"/>
    <cfRule type="duplicateValues" dxfId="21204" priority="126874"/>
    <cfRule type="duplicateValues" dxfId="21203" priority="126873"/>
    <cfRule type="duplicateValues" dxfId="21202" priority="126872"/>
    <cfRule type="duplicateValues" dxfId="21201" priority="126871"/>
    <cfRule type="duplicateValues" dxfId="21200" priority="126870"/>
    <cfRule type="duplicateValues" dxfId="21199" priority="126869"/>
    <cfRule type="duplicateValues" dxfId="21198" priority="126868"/>
    <cfRule type="duplicateValues" dxfId="21197" priority="126867"/>
    <cfRule type="duplicateValues" dxfId="21196" priority="126866"/>
    <cfRule type="duplicateValues" dxfId="21195" priority="126865"/>
    <cfRule type="duplicateValues" dxfId="21194" priority="126864"/>
    <cfRule type="duplicateValues" dxfId="21193" priority="126863"/>
    <cfRule type="duplicateValues" dxfId="21192" priority="126862"/>
    <cfRule type="duplicateValues" dxfId="21191" priority="126861"/>
    <cfRule type="duplicateValues" dxfId="21190" priority="126860"/>
    <cfRule type="duplicateValues" dxfId="21189" priority="126859"/>
    <cfRule type="duplicateValues" dxfId="21188" priority="126858"/>
    <cfRule type="duplicateValues" dxfId="21187" priority="126857"/>
    <cfRule type="duplicateValues" dxfId="21186" priority="126856"/>
    <cfRule type="duplicateValues" dxfId="21185" priority="126855"/>
    <cfRule type="duplicateValues" dxfId="21184" priority="126854"/>
    <cfRule type="duplicateValues" dxfId="21183" priority="126853"/>
    <cfRule type="duplicateValues" dxfId="21182" priority="126852"/>
    <cfRule type="duplicateValues" dxfId="21181" priority="126851"/>
    <cfRule type="duplicateValues" dxfId="21180" priority="126850"/>
    <cfRule type="duplicateValues" dxfId="21179" priority="126849"/>
    <cfRule type="duplicateValues" dxfId="21178" priority="126848"/>
    <cfRule type="duplicateValues" dxfId="21177" priority="126847"/>
    <cfRule type="duplicateValues" dxfId="21176" priority="126846"/>
    <cfRule type="duplicateValues" dxfId="21175" priority="126845"/>
    <cfRule type="duplicateValues" dxfId="21174" priority="126844"/>
    <cfRule type="duplicateValues" dxfId="21173" priority="126843"/>
    <cfRule type="duplicateValues" dxfId="21172" priority="126842"/>
    <cfRule type="duplicateValues" dxfId="21171" priority="126841"/>
    <cfRule type="duplicateValues" dxfId="21170" priority="126840"/>
    <cfRule type="duplicateValues" dxfId="21169" priority="126839"/>
    <cfRule type="duplicateValues" dxfId="21168" priority="126838"/>
    <cfRule type="duplicateValues" dxfId="21167" priority="126837"/>
    <cfRule type="duplicateValues" dxfId="21166" priority="126836"/>
    <cfRule type="duplicateValues" dxfId="21165" priority="126835"/>
    <cfRule type="duplicateValues" dxfId="21164" priority="126834"/>
    <cfRule type="duplicateValues" dxfId="21163" priority="126833"/>
    <cfRule type="duplicateValues" dxfId="21162" priority="126832"/>
    <cfRule type="duplicateValues" dxfId="21161" priority="126831"/>
    <cfRule type="duplicateValues" dxfId="21160" priority="126830"/>
    <cfRule type="duplicateValues" dxfId="21159" priority="126829"/>
    <cfRule type="duplicateValues" dxfId="21158" priority="126828"/>
    <cfRule type="duplicateValues" dxfId="21157" priority="126827"/>
    <cfRule type="duplicateValues" dxfId="21156" priority="126826"/>
    <cfRule type="duplicateValues" dxfId="21155" priority="126825"/>
    <cfRule type="duplicateValues" dxfId="21154" priority="126824"/>
    <cfRule type="duplicateValues" dxfId="21153" priority="126823"/>
    <cfRule type="duplicateValues" dxfId="21152" priority="126822"/>
    <cfRule type="duplicateValues" dxfId="21151" priority="126821"/>
    <cfRule type="duplicateValues" dxfId="21150" priority="126820"/>
    <cfRule type="duplicateValues" dxfId="21149" priority="126819"/>
    <cfRule type="duplicateValues" dxfId="21148" priority="126818"/>
    <cfRule type="duplicateValues" dxfId="21147" priority="126817"/>
    <cfRule type="duplicateValues" dxfId="21146" priority="126816"/>
    <cfRule type="duplicateValues" dxfId="21145" priority="126815"/>
    <cfRule type="duplicateValues" dxfId="21144" priority="126814"/>
    <cfRule type="duplicateValues" dxfId="21143" priority="126813"/>
    <cfRule type="duplicateValues" dxfId="21142" priority="126812"/>
    <cfRule type="duplicateValues" dxfId="21141" priority="126811"/>
    <cfRule type="duplicateValues" dxfId="21140" priority="126810"/>
    <cfRule type="duplicateValues" dxfId="21139" priority="126809"/>
    <cfRule type="duplicateValues" dxfId="21138" priority="126808"/>
    <cfRule type="duplicateValues" dxfId="21137" priority="126807"/>
    <cfRule type="duplicateValues" dxfId="21136" priority="126806"/>
    <cfRule type="duplicateValues" dxfId="21135" priority="126805"/>
    <cfRule type="duplicateValues" dxfId="21134" priority="126804"/>
    <cfRule type="duplicateValues" dxfId="21133" priority="126803"/>
    <cfRule type="duplicateValues" dxfId="21132" priority="126802"/>
    <cfRule type="duplicateValues" dxfId="21131" priority="126801"/>
    <cfRule type="duplicateValues" dxfId="21130" priority="126800"/>
    <cfRule type="duplicateValues" dxfId="21129" priority="126799"/>
    <cfRule type="duplicateValues" dxfId="21128" priority="126798"/>
    <cfRule type="duplicateValues" dxfId="21127" priority="126797"/>
    <cfRule type="duplicateValues" dxfId="21126" priority="126796"/>
    <cfRule type="duplicateValues" dxfId="21125" priority="126795"/>
    <cfRule type="duplicateValues" dxfId="21124" priority="126794"/>
    <cfRule type="duplicateValues" dxfId="21123" priority="126793"/>
    <cfRule type="duplicateValues" dxfId="21122" priority="126792"/>
    <cfRule type="duplicateValues" dxfId="21121" priority="126791"/>
    <cfRule type="duplicateValues" dxfId="21120" priority="126790"/>
    <cfRule type="duplicateValues" dxfId="21119" priority="126789"/>
    <cfRule type="duplicateValues" dxfId="21118" priority="126788"/>
    <cfRule type="duplicateValues" dxfId="21117" priority="126787"/>
    <cfRule type="duplicateValues" dxfId="21116" priority="126786"/>
    <cfRule type="duplicateValues" dxfId="21115" priority="126785"/>
    <cfRule type="duplicateValues" dxfId="21114" priority="126784"/>
    <cfRule type="duplicateValues" dxfId="21113" priority="126783"/>
    <cfRule type="duplicateValues" dxfId="21112" priority="126782"/>
    <cfRule type="duplicateValues" dxfId="21111" priority="126781"/>
    <cfRule type="duplicateValues" dxfId="21110" priority="126780"/>
    <cfRule type="duplicateValues" dxfId="21109" priority="126779"/>
    <cfRule type="duplicateValues" dxfId="21108" priority="126778"/>
    <cfRule type="duplicateValues" dxfId="21107" priority="126777"/>
    <cfRule type="duplicateValues" dxfId="21106" priority="126776"/>
    <cfRule type="duplicateValues" dxfId="21105" priority="126775"/>
    <cfRule type="duplicateValues" dxfId="21104" priority="126774"/>
    <cfRule type="duplicateValues" dxfId="21103" priority="126773"/>
    <cfRule type="duplicateValues" dxfId="21102" priority="126772"/>
    <cfRule type="duplicateValues" dxfId="21101" priority="126771"/>
    <cfRule type="duplicateValues" dxfId="21100" priority="126770"/>
    <cfRule type="duplicateValues" dxfId="21099" priority="126769"/>
    <cfRule type="duplicateValues" dxfId="21098" priority="126768"/>
    <cfRule type="duplicateValues" dxfId="21097" priority="126767"/>
    <cfRule type="duplicateValues" dxfId="21096" priority="126766"/>
    <cfRule type="duplicateValues" dxfId="21095" priority="126765"/>
    <cfRule type="duplicateValues" dxfId="21094" priority="126764"/>
    <cfRule type="duplicateValues" dxfId="21093" priority="126763"/>
    <cfRule type="duplicateValues" dxfId="21092" priority="126762"/>
    <cfRule type="duplicateValues" dxfId="21091" priority="126761"/>
    <cfRule type="duplicateValues" dxfId="21090" priority="126760"/>
    <cfRule type="duplicateValues" dxfId="21089" priority="126759"/>
    <cfRule type="duplicateValues" dxfId="21088" priority="126758"/>
    <cfRule type="duplicateValues" dxfId="21087" priority="126757"/>
    <cfRule type="duplicateValues" dxfId="21086" priority="126756"/>
    <cfRule type="duplicateValues" dxfId="21085" priority="126755"/>
    <cfRule type="duplicateValues" dxfId="21084" priority="126754"/>
    <cfRule type="duplicateValues" dxfId="21083" priority="126753"/>
    <cfRule type="duplicateValues" dxfId="21082" priority="126752"/>
    <cfRule type="duplicateValues" dxfId="21081" priority="126751"/>
    <cfRule type="duplicateValues" dxfId="21080" priority="126750"/>
    <cfRule type="duplicateValues" dxfId="21079" priority="126749"/>
    <cfRule type="duplicateValues" dxfId="21078" priority="126748"/>
    <cfRule type="duplicateValues" dxfId="21077" priority="126747"/>
    <cfRule type="duplicateValues" dxfId="21076" priority="126746"/>
    <cfRule type="duplicateValues" dxfId="21075" priority="126745"/>
    <cfRule type="duplicateValues" dxfId="21074" priority="126744"/>
    <cfRule type="duplicateValues" dxfId="21073" priority="126743"/>
    <cfRule type="duplicateValues" dxfId="21072" priority="126742"/>
    <cfRule type="duplicateValues" dxfId="21071" priority="126741"/>
    <cfRule type="duplicateValues" dxfId="21070" priority="126740"/>
    <cfRule type="duplicateValues" dxfId="21069" priority="126739"/>
    <cfRule type="duplicateValues" dxfId="21068" priority="126738"/>
    <cfRule type="duplicateValues" dxfId="21067" priority="126737"/>
    <cfRule type="duplicateValues" dxfId="21066" priority="126736"/>
    <cfRule type="duplicateValues" dxfId="21065" priority="126735"/>
    <cfRule type="duplicateValues" dxfId="21064" priority="126734"/>
    <cfRule type="duplicateValues" dxfId="21063" priority="126733"/>
    <cfRule type="duplicateValues" dxfId="21062" priority="126732"/>
    <cfRule type="duplicateValues" dxfId="21061" priority="126731"/>
    <cfRule type="duplicateValues" dxfId="21060" priority="126730"/>
    <cfRule type="duplicateValues" dxfId="21059" priority="126729"/>
    <cfRule type="duplicateValues" dxfId="21058" priority="126728"/>
    <cfRule type="duplicateValues" dxfId="21057" priority="126727"/>
    <cfRule type="duplicateValues" dxfId="21056" priority="126726"/>
    <cfRule type="duplicateValues" dxfId="21055" priority="126725"/>
    <cfRule type="duplicateValues" dxfId="21054" priority="126724"/>
    <cfRule type="duplicateValues" dxfId="21053" priority="126723"/>
    <cfRule type="duplicateValues" dxfId="21052" priority="126722"/>
    <cfRule type="duplicateValues" dxfId="21051" priority="126721"/>
    <cfRule type="duplicateValues" dxfId="21050" priority="126720"/>
    <cfRule type="duplicateValues" dxfId="21049" priority="126719"/>
    <cfRule type="duplicateValues" dxfId="21048" priority="126718"/>
    <cfRule type="duplicateValues" dxfId="21047" priority="126717"/>
    <cfRule type="duplicateValues" dxfId="21046" priority="126716"/>
    <cfRule type="duplicateValues" dxfId="21045" priority="126715"/>
    <cfRule type="duplicateValues" dxfId="21044" priority="126714"/>
    <cfRule type="duplicateValues" dxfId="21043" priority="126713"/>
    <cfRule type="duplicateValues" dxfId="21042" priority="126712"/>
    <cfRule type="duplicateValues" dxfId="21041" priority="126711"/>
    <cfRule type="duplicateValues" dxfId="21040" priority="126710"/>
    <cfRule type="duplicateValues" dxfId="21039" priority="126709"/>
    <cfRule type="duplicateValues" dxfId="21038" priority="126708"/>
    <cfRule type="duplicateValues" dxfId="21037" priority="126707"/>
    <cfRule type="duplicateValues" dxfId="21036" priority="126706"/>
    <cfRule type="duplicateValues" dxfId="21035" priority="126705"/>
    <cfRule type="duplicateValues" dxfId="21034" priority="126704"/>
    <cfRule type="duplicateValues" dxfId="21033" priority="126703"/>
    <cfRule type="duplicateValues" dxfId="21032" priority="126702"/>
    <cfRule type="duplicateValues" dxfId="21031" priority="126701"/>
    <cfRule type="duplicateValues" dxfId="21030" priority="126700"/>
    <cfRule type="duplicateValues" dxfId="21029" priority="126699"/>
    <cfRule type="duplicateValues" dxfId="21028" priority="126698"/>
    <cfRule type="duplicateValues" dxfId="21027" priority="126697"/>
    <cfRule type="duplicateValues" dxfId="21026" priority="126696"/>
    <cfRule type="duplicateValues" dxfId="21025" priority="126695"/>
    <cfRule type="duplicateValues" dxfId="21024" priority="126694"/>
    <cfRule type="duplicateValues" dxfId="21023" priority="126693"/>
    <cfRule type="duplicateValues" dxfId="21022" priority="126692"/>
    <cfRule type="duplicateValues" dxfId="21021" priority="126691"/>
    <cfRule type="duplicateValues" dxfId="21020" priority="126690"/>
    <cfRule type="duplicateValues" dxfId="21019" priority="126689"/>
    <cfRule type="duplicateValues" dxfId="21018" priority="126688"/>
    <cfRule type="duplicateValues" dxfId="21017" priority="126687"/>
    <cfRule type="duplicateValues" dxfId="21016" priority="126686"/>
    <cfRule type="duplicateValues" dxfId="21015" priority="126685"/>
    <cfRule type="duplicateValues" dxfId="21014" priority="126684"/>
    <cfRule type="duplicateValues" dxfId="21013" priority="126683"/>
    <cfRule type="duplicateValues" dxfId="21012" priority="126682"/>
    <cfRule type="duplicateValues" dxfId="21011" priority="126681"/>
    <cfRule type="duplicateValues" dxfId="21010" priority="126680"/>
    <cfRule type="duplicateValues" dxfId="21009" priority="126679"/>
    <cfRule type="duplicateValues" dxfId="21008" priority="126678"/>
    <cfRule type="duplicateValues" dxfId="21007" priority="126677"/>
    <cfRule type="duplicateValues" dxfId="21006" priority="126676"/>
    <cfRule type="duplicateValues" dxfId="21005" priority="126675"/>
    <cfRule type="duplicateValues" dxfId="21004" priority="126674"/>
    <cfRule type="duplicateValues" dxfId="21003" priority="126673"/>
    <cfRule type="duplicateValues" dxfId="21002" priority="126672"/>
    <cfRule type="duplicateValues" dxfId="21001" priority="126671"/>
    <cfRule type="duplicateValues" dxfId="21000" priority="126670"/>
    <cfRule type="duplicateValues" dxfId="20999" priority="126669"/>
    <cfRule type="duplicateValues" dxfId="20998" priority="126668"/>
    <cfRule type="duplicateValues" dxfId="20997" priority="126667"/>
    <cfRule type="duplicateValues" dxfId="20996" priority="126666"/>
    <cfRule type="duplicateValues" dxfId="20995" priority="126665"/>
    <cfRule type="duplicateValues" dxfId="20994" priority="126664"/>
    <cfRule type="duplicateValues" dxfId="20993" priority="126663"/>
    <cfRule type="duplicateValues" dxfId="20992" priority="126662"/>
    <cfRule type="duplicateValues" dxfId="20991" priority="126661"/>
    <cfRule type="duplicateValues" dxfId="20990" priority="126660"/>
    <cfRule type="duplicateValues" dxfId="20989" priority="126659"/>
    <cfRule type="duplicateValues" dxfId="20988" priority="126658"/>
    <cfRule type="duplicateValues" dxfId="20987" priority="126657"/>
    <cfRule type="duplicateValues" dxfId="20986" priority="126656"/>
    <cfRule type="duplicateValues" dxfId="20985" priority="126655"/>
    <cfRule type="duplicateValues" dxfId="20984" priority="126654"/>
    <cfRule type="duplicateValues" dxfId="20983" priority="126653"/>
    <cfRule type="duplicateValues" dxfId="20982" priority="126652"/>
    <cfRule type="duplicateValues" dxfId="20981" priority="126651"/>
    <cfRule type="duplicateValues" dxfId="20980" priority="126650"/>
    <cfRule type="duplicateValues" dxfId="20979" priority="126649"/>
    <cfRule type="duplicateValues" dxfId="20978" priority="126648"/>
    <cfRule type="duplicateValues" dxfId="20977" priority="126647"/>
    <cfRule type="duplicateValues" dxfId="20976" priority="126646"/>
    <cfRule type="duplicateValues" dxfId="20975" priority="126645"/>
    <cfRule type="duplicateValues" dxfId="20974" priority="126644"/>
    <cfRule type="duplicateValues" dxfId="20973" priority="126643"/>
    <cfRule type="duplicateValues" dxfId="20972" priority="126642"/>
    <cfRule type="duplicateValues" dxfId="20971" priority="126641"/>
    <cfRule type="duplicateValues" dxfId="20970" priority="126640"/>
    <cfRule type="duplicateValues" dxfId="20969" priority="126639"/>
    <cfRule type="duplicateValues" dxfId="20968" priority="126638"/>
    <cfRule type="duplicateValues" dxfId="20967" priority="126637"/>
    <cfRule type="duplicateValues" dxfId="20966" priority="126636"/>
    <cfRule type="duplicateValues" dxfId="20965" priority="126635"/>
    <cfRule type="duplicateValues" dxfId="20964" priority="126634"/>
    <cfRule type="duplicateValues" dxfId="20963" priority="126633"/>
    <cfRule type="duplicateValues" dxfId="20962" priority="126632"/>
    <cfRule type="duplicateValues" dxfId="20961" priority="126631"/>
    <cfRule type="duplicateValues" dxfId="20960" priority="126630"/>
    <cfRule type="duplicateValues" dxfId="20959" priority="126629"/>
    <cfRule type="duplicateValues" dxfId="20958" priority="126628"/>
    <cfRule type="duplicateValues" dxfId="20957" priority="126627"/>
    <cfRule type="duplicateValues" dxfId="20956" priority="126626"/>
    <cfRule type="duplicateValues" dxfId="20955" priority="126625"/>
    <cfRule type="duplicateValues" dxfId="20954" priority="126624"/>
    <cfRule type="duplicateValues" dxfId="20953" priority="126623"/>
    <cfRule type="duplicateValues" dxfId="20952" priority="126622"/>
    <cfRule type="duplicateValues" dxfId="20951" priority="126621"/>
    <cfRule type="duplicateValues" dxfId="20950" priority="126620"/>
    <cfRule type="duplicateValues" dxfId="20949" priority="126619"/>
    <cfRule type="duplicateValues" dxfId="20948" priority="126618"/>
    <cfRule type="duplicateValues" dxfId="20947" priority="126617"/>
    <cfRule type="duplicateValues" dxfId="20946" priority="126616"/>
    <cfRule type="duplicateValues" dxfId="20945" priority="126615"/>
    <cfRule type="duplicateValues" dxfId="20944" priority="126614"/>
    <cfRule type="duplicateValues" dxfId="20943" priority="126613"/>
    <cfRule type="duplicateValues" dxfId="20942" priority="126612"/>
    <cfRule type="duplicateValues" dxfId="20941" priority="126611"/>
    <cfRule type="duplicateValues" dxfId="20940" priority="126610"/>
    <cfRule type="duplicateValues" dxfId="20939" priority="126609"/>
    <cfRule type="duplicateValues" dxfId="20938" priority="126608"/>
    <cfRule type="duplicateValues" dxfId="20937" priority="126607"/>
    <cfRule type="duplicateValues" dxfId="20936" priority="126606"/>
    <cfRule type="duplicateValues" dxfId="20935" priority="126605"/>
    <cfRule type="duplicateValues" dxfId="20934" priority="126604"/>
    <cfRule type="duplicateValues" dxfId="20933" priority="126603"/>
    <cfRule type="duplicateValues" dxfId="20932" priority="126602"/>
    <cfRule type="duplicateValues" dxfId="20931" priority="126601"/>
    <cfRule type="duplicateValues" dxfId="20930" priority="126600"/>
    <cfRule type="duplicateValues" dxfId="20929" priority="126599"/>
    <cfRule type="duplicateValues" dxfId="20928" priority="126598"/>
    <cfRule type="duplicateValues" dxfId="20927" priority="126597"/>
    <cfRule type="duplicateValues" dxfId="20926" priority="126596"/>
    <cfRule type="duplicateValues" dxfId="20925" priority="126595"/>
    <cfRule type="duplicateValues" dxfId="20924" priority="126594"/>
    <cfRule type="duplicateValues" dxfId="20923" priority="126593"/>
    <cfRule type="duplicateValues" dxfId="20922" priority="126592"/>
    <cfRule type="duplicateValues" dxfId="20921" priority="126591"/>
    <cfRule type="duplicateValues" dxfId="20920" priority="126590"/>
    <cfRule type="duplicateValues" dxfId="20919" priority="126589"/>
    <cfRule type="duplicateValues" dxfId="20918" priority="126588"/>
    <cfRule type="duplicateValues" dxfId="20917" priority="126587"/>
    <cfRule type="duplicateValues" dxfId="20916" priority="126586"/>
    <cfRule type="duplicateValues" dxfId="20915" priority="126585"/>
    <cfRule type="duplicateValues" dxfId="20914" priority="126584"/>
    <cfRule type="duplicateValues" dxfId="20913" priority="126583"/>
    <cfRule type="duplicateValues" dxfId="20912" priority="126582"/>
    <cfRule type="duplicateValues" dxfId="20911" priority="126581"/>
    <cfRule type="duplicateValues" dxfId="20910" priority="126580"/>
    <cfRule type="duplicateValues" dxfId="20909" priority="126579"/>
    <cfRule type="duplicateValues" dxfId="20908" priority="126578"/>
    <cfRule type="duplicateValues" dxfId="20907" priority="126577"/>
    <cfRule type="duplicateValues" dxfId="20906" priority="126576"/>
    <cfRule type="duplicateValues" dxfId="20905" priority="126575"/>
    <cfRule type="duplicateValues" dxfId="20904" priority="126574"/>
    <cfRule type="duplicateValues" dxfId="20903" priority="126573"/>
    <cfRule type="duplicateValues" dxfId="20902" priority="126572"/>
    <cfRule type="duplicateValues" dxfId="20901" priority="126571"/>
    <cfRule type="duplicateValues" dxfId="20900" priority="126570"/>
    <cfRule type="duplicateValues" dxfId="20899" priority="126569"/>
    <cfRule type="duplicateValues" dxfId="20898" priority="126568"/>
    <cfRule type="duplicateValues" dxfId="20897" priority="126567"/>
    <cfRule type="duplicateValues" dxfId="20896" priority="126566"/>
    <cfRule type="duplicateValues" dxfId="20895" priority="126565"/>
    <cfRule type="duplicateValues" dxfId="20894" priority="126564"/>
    <cfRule type="duplicateValues" dxfId="20893" priority="126563"/>
    <cfRule type="duplicateValues" dxfId="20892" priority="126562"/>
    <cfRule type="duplicateValues" dxfId="20891" priority="126561"/>
    <cfRule type="duplicateValues" dxfId="20890" priority="126560"/>
    <cfRule type="duplicateValues" dxfId="20889" priority="126559"/>
    <cfRule type="duplicateValues" dxfId="20888" priority="126558"/>
    <cfRule type="duplicateValues" dxfId="20887" priority="126557"/>
    <cfRule type="duplicateValues" dxfId="20886" priority="126556"/>
    <cfRule type="duplicateValues" dxfId="20885" priority="126555"/>
    <cfRule type="duplicateValues" dxfId="20884" priority="126554"/>
    <cfRule type="duplicateValues" dxfId="20883" priority="126553"/>
    <cfRule type="duplicateValues" dxfId="20882" priority="126552"/>
    <cfRule type="duplicateValues" dxfId="20881" priority="126551"/>
    <cfRule type="duplicateValues" dxfId="20880" priority="126550"/>
    <cfRule type="duplicateValues" dxfId="20879" priority="126549"/>
    <cfRule type="duplicateValues" dxfId="20878" priority="126548"/>
    <cfRule type="duplicateValues" dxfId="20877" priority="126547"/>
    <cfRule type="duplicateValues" dxfId="20876" priority="126546"/>
    <cfRule type="duplicateValues" dxfId="20875" priority="126545"/>
    <cfRule type="duplicateValues" dxfId="20874" priority="126544"/>
    <cfRule type="duplicateValues" dxfId="20873" priority="126543"/>
    <cfRule type="duplicateValues" dxfId="20872" priority="126542"/>
    <cfRule type="duplicateValues" dxfId="20871" priority="126541"/>
    <cfRule type="duplicateValues" dxfId="20870" priority="126540"/>
    <cfRule type="duplicateValues" dxfId="20869" priority="126539"/>
    <cfRule type="duplicateValues" dxfId="20868" priority="126538"/>
    <cfRule type="duplicateValues" dxfId="20867" priority="126537"/>
    <cfRule type="duplicateValues" dxfId="20866" priority="126536"/>
    <cfRule type="duplicateValues" dxfId="20865" priority="126535"/>
    <cfRule type="duplicateValues" dxfId="20864" priority="126534"/>
    <cfRule type="duplicateValues" dxfId="20863" priority="126533"/>
    <cfRule type="duplicateValues" dxfId="20862" priority="126532"/>
    <cfRule type="duplicateValues" dxfId="20861" priority="126531"/>
    <cfRule type="duplicateValues" dxfId="20860" priority="126530"/>
    <cfRule type="duplicateValues" dxfId="20859" priority="126529"/>
    <cfRule type="duplicateValues" dxfId="20858" priority="126528"/>
    <cfRule type="duplicateValues" dxfId="20857" priority="126527"/>
    <cfRule type="duplicateValues" dxfId="20856" priority="126526"/>
    <cfRule type="duplicateValues" dxfId="20855" priority="126525"/>
    <cfRule type="duplicateValues" dxfId="20854" priority="126524"/>
    <cfRule type="duplicateValues" dxfId="20853" priority="126523"/>
    <cfRule type="duplicateValues" dxfId="20852" priority="126522"/>
    <cfRule type="duplicateValues" dxfId="20851" priority="126521"/>
    <cfRule type="duplicateValues" dxfId="20850" priority="126520"/>
    <cfRule type="duplicateValues" dxfId="20849" priority="126519"/>
    <cfRule type="duplicateValues" dxfId="20848" priority="126518"/>
    <cfRule type="duplicateValues" dxfId="20847" priority="126517"/>
    <cfRule type="duplicateValues" dxfId="20846" priority="126516"/>
    <cfRule type="duplicateValues" dxfId="20845" priority="126515"/>
    <cfRule type="duplicateValues" dxfId="20844" priority="126514"/>
    <cfRule type="duplicateValues" dxfId="20843" priority="126513"/>
    <cfRule type="duplicateValues" dxfId="20842" priority="126512"/>
    <cfRule type="duplicateValues" dxfId="20841" priority="126511"/>
    <cfRule type="duplicateValues" dxfId="20840" priority="126510"/>
    <cfRule type="duplicateValues" dxfId="20839" priority="126509"/>
    <cfRule type="duplicateValues" dxfId="20838" priority="126508"/>
    <cfRule type="duplicateValues" dxfId="20837" priority="126507"/>
    <cfRule type="duplicateValues" dxfId="20836" priority="126506"/>
    <cfRule type="duplicateValues" dxfId="20835" priority="126505"/>
    <cfRule type="duplicateValues" dxfId="20834" priority="126504"/>
    <cfRule type="duplicateValues" dxfId="20833" priority="126503"/>
    <cfRule type="duplicateValues" dxfId="20832" priority="126502"/>
    <cfRule type="duplicateValues" dxfId="20831" priority="126501"/>
    <cfRule type="duplicateValues" dxfId="20830" priority="126500"/>
    <cfRule type="duplicateValues" dxfId="20829" priority="126499"/>
    <cfRule type="duplicateValues" dxfId="20828" priority="126498"/>
    <cfRule type="duplicateValues" dxfId="20827" priority="126497"/>
    <cfRule type="duplicateValues" dxfId="20826" priority="126496"/>
    <cfRule type="duplicateValues" dxfId="20825" priority="126495"/>
    <cfRule type="duplicateValues" dxfId="20824" priority="126494"/>
    <cfRule type="duplicateValues" dxfId="20823" priority="126493"/>
    <cfRule type="duplicateValues" dxfId="20822" priority="126492"/>
    <cfRule type="duplicateValues" dxfId="20821" priority="126491"/>
    <cfRule type="duplicateValues" dxfId="20820" priority="126490"/>
    <cfRule type="duplicateValues" dxfId="20819" priority="126489"/>
    <cfRule type="duplicateValues" dxfId="20818" priority="126488"/>
    <cfRule type="duplicateValues" dxfId="20817" priority="126487"/>
    <cfRule type="duplicateValues" dxfId="20816" priority="126486"/>
    <cfRule type="duplicateValues" dxfId="20815" priority="126485"/>
    <cfRule type="duplicateValues" dxfId="20814" priority="126484"/>
    <cfRule type="duplicateValues" dxfId="20813" priority="126483"/>
    <cfRule type="duplicateValues" dxfId="20812" priority="126482"/>
    <cfRule type="duplicateValues" dxfId="20811" priority="126481"/>
    <cfRule type="duplicateValues" dxfId="20810" priority="126480"/>
    <cfRule type="duplicateValues" dxfId="20809" priority="126479"/>
    <cfRule type="duplicateValues" dxfId="20808" priority="126478"/>
    <cfRule type="duplicateValues" dxfId="20807" priority="126477"/>
    <cfRule type="duplicateValues" dxfId="20806" priority="126476"/>
    <cfRule type="duplicateValues" dxfId="20805" priority="126475"/>
    <cfRule type="duplicateValues" dxfId="20804" priority="126474"/>
    <cfRule type="duplicateValues" dxfId="20803" priority="126473"/>
    <cfRule type="duplicateValues" dxfId="20802" priority="126472"/>
    <cfRule type="duplicateValues" dxfId="20801" priority="126471"/>
    <cfRule type="duplicateValues" dxfId="20800" priority="126470"/>
    <cfRule type="duplicateValues" dxfId="20799" priority="126469"/>
    <cfRule type="duplicateValues" dxfId="20798" priority="126468"/>
    <cfRule type="duplicateValues" dxfId="20797" priority="126467"/>
    <cfRule type="duplicateValues" dxfId="20796" priority="126466"/>
    <cfRule type="duplicateValues" dxfId="20795" priority="126465"/>
    <cfRule type="duplicateValues" dxfId="20794" priority="126464"/>
    <cfRule type="duplicateValues" dxfId="20793" priority="126463"/>
    <cfRule type="duplicateValues" dxfId="20792" priority="126462"/>
    <cfRule type="duplicateValues" dxfId="20791" priority="126461"/>
    <cfRule type="duplicateValues" dxfId="20790" priority="126460"/>
    <cfRule type="duplicateValues" dxfId="20789" priority="126459"/>
    <cfRule type="duplicateValues" dxfId="20788" priority="126458"/>
    <cfRule type="duplicateValues" dxfId="20787" priority="126457"/>
    <cfRule type="duplicateValues" dxfId="20786" priority="126456"/>
    <cfRule type="duplicateValues" dxfId="20785" priority="126455"/>
    <cfRule type="duplicateValues" dxfId="20784" priority="126454"/>
    <cfRule type="duplicateValues" dxfId="20783" priority="126453"/>
    <cfRule type="duplicateValues" dxfId="20782" priority="126452"/>
    <cfRule type="duplicateValues" dxfId="20781" priority="126451"/>
    <cfRule type="duplicateValues" dxfId="20780" priority="126450"/>
    <cfRule type="duplicateValues" dxfId="20779" priority="126449"/>
    <cfRule type="duplicateValues" dxfId="20778" priority="126448"/>
    <cfRule type="duplicateValues" dxfId="20777" priority="126447"/>
    <cfRule type="duplicateValues" dxfId="20776" priority="126446"/>
    <cfRule type="duplicateValues" dxfId="20775" priority="126445"/>
    <cfRule type="duplicateValues" dxfId="20774" priority="126444"/>
    <cfRule type="duplicateValues" dxfId="20773" priority="126443"/>
    <cfRule type="duplicateValues" dxfId="20772" priority="126442"/>
    <cfRule type="duplicateValues" dxfId="20771" priority="126441"/>
    <cfRule type="duplicateValues" dxfId="20770" priority="126440"/>
    <cfRule type="duplicateValues" dxfId="20769" priority="126439"/>
    <cfRule type="duplicateValues" dxfId="20768" priority="126438"/>
    <cfRule type="duplicateValues" dxfId="20767" priority="126437"/>
    <cfRule type="duplicateValues" dxfId="20766" priority="126436"/>
    <cfRule type="duplicateValues" dxfId="20765" priority="126435"/>
    <cfRule type="duplicateValues" dxfId="20764" priority="126434"/>
    <cfRule type="duplicateValues" dxfId="20763" priority="126433"/>
    <cfRule type="duplicateValues" dxfId="20762" priority="126432"/>
    <cfRule type="duplicateValues" dxfId="20761" priority="126431"/>
    <cfRule type="duplicateValues" dxfId="20760" priority="126430"/>
    <cfRule type="duplicateValues" dxfId="20759" priority="126429"/>
    <cfRule type="duplicateValues" dxfId="20758" priority="126428"/>
    <cfRule type="duplicateValues" dxfId="20757" priority="126427"/>
    <cfRule type="duplicateValues" dxfId="20756" priority="126426"/>
    <cfRule type="duplicateValues" dxfId="20755" priority="126425"/>
    <cfRule type="duplicateValues" dxfId="20754" priority="126424"/>
    <cfRule type="duplicateValues" dxfId="20753" priority="126423"/>
    <cfRule type="duplicateValues" dxfId="20752" priority="126422"/>
    <cfRule type="duplicateValues" dxfId="20751" priority="126421"/>
    <cfRule type="duplicateValues" dxfId="20750" priority="126420"/>
    <cfRule type="duplicateValues" dxfId="20749" priority="126419"/>
    <cfRule type="duplicateValues" dxfId="20748" priority="126418"/>
    <cfRule type="duplicateValues" dxfId="20747" priority="126417"/>
    <cfRule type="duplicateValues" dxfId="20746" priority="126416"/>
    <cfRule type="duplicateValues" dxfId="20745" priority="126415"/>
    <cfRule type="duplicateValues" dxfId="20744" priority="126414"/>
    <cfRule type="duplicateValues" dxfId="20743" priority="126413"/>
    <cfRule type="duplicateValues" dxfId="20742" priority="126412"/>
    <cfRule type="duplicateValues" dxfId="20741" priority="126411"/>
    <cfRule type="duplicateValues" dxfId="20740" priority="126410"/>
    <cfRule type="duplicateValues" dxfId="20739" priority="126409"/>
    <cfRule type="duplicateValues" dxfId="20738" priority="126408"/>
    <cfRule type="duplicateValues" dxfId="20737" priority="126407"/>
    <cfRule type="duplicateValues" dxfId="20736" priority="127549"/>
    <cfRule type="duplicateValues" dxfId="20735" priority="128642"/>
    <cfRule type="duplicateValues" dxfId="20734" priority="128641"/>
    <cfRule type="duplicateValues" dxfId="20733" priority="128640"/>
    <cfRule type="duplicateValues" dxfId="20732" priority="128639"/>
    <cfRule type="duplicateValues" dxfId="20731" priority="128638"/>
    <cfRule type="duplicateValues" dxfId="20730" priority="128637"/>
    <cfRule type="duplicateValues" dxfId="20729" priority="128636"/>
    <cfRule type="duplicateValues" dxfId="20728" priority="128635"/>
    <cfRule type="duplicateValues" dxfId="20727" priority="128634"/>
    <cfRule type="duplicateValues" dxfId="20726" priority="128633"/>
    <cfRule type="duplicateValues" dxfId="20725" priority="128632"/>
    <cfRule type="duplicateValues" dxfId="20724" priority="128631"/>
    <cfRule type="duplicateValues" dxfId="20723" priority="128630"/>
    <cfRule type="duplicateValues" dxfId="20722" priority="128629"/>
    <cfRule type="duplicateValues" dxfId="20721" priority="128628"/>
    <cfRule type="duplicateValues" dxfId="20720" priority="128627"/>
    <cfRule type="duplicateValues" dxfId="20719" priority="128626"/>
    <cfRule type="duplicateValues" dxfId="20718" priority="128625"/>
    <cfRule type="duplicateValues" dxfId="20717" priority="128624"/>
    <cfRule type="duplicateValues" dxfId="20716" priority="128623"/>
    <cfRule type="duplicateValues" dxfId="20715" priority="128622"/>
    <cfRule type="duplicateValues" dxfId="20714" priority="128621"/>
    <cfRule type="duplicateValues" dxfId="20713" priority="128620"/>
    <cfRule type="duplicateValues" dxfId="20712" priority="128619"/>
    <cfRule type="duplicateValues" dxfId="20711" priority="128618"/>
    <cfRule type="duplicateValues" dxfId="20710" priority="128617"/>
    <cfRule type="duplicateValues" dxfId="20709" priority="128616"/>
    <cfRule type="duplicateValues" dxfId="20708" priority="128615"/>
    <cfRule type="duplicateValues" dxfId="20707" priority="128614"/>
    <cfRule type="duplicateValues" dxfId="20706" priority="128613"/>
    <cfRule type="duplicateValues" dxfId="20705" priority="128612"/>
    <cfRule type="duplicateValues" dxfId="20704" priority="128611"/>
    <cfRule type="duplicateValues" dxfId="20703" priority="128610"/>
    <cfRule type="duplicateValues" dxfId="20702" priority="128609"/>
    <cfRule type="duplicateValues" dxfId="20701" priority="128608"/>
    <cfRule type="duplicateValues" dxfId="20700" priority="128607"/>
    <cfRule type="duplicateValues" dxfId="20699" priority="128606"/>
    <cfRule type="duplicateValues" dxfId="20698" priority="128605"/>
    <cfRule type="duplicateValues" dxfId="20697" priority="128604"/>
    <cfRule type="duplicateValues" dxfId="20696" priority="128603"/>
    <cfRule type="duplicateValues" dxfId="20695" priority="128602"/>
    <cfRule type="duplicateValues" dxfId="20694" priority="128601"/>
    <cfRule type="duplicateValues" dxfId="20693" priority="128600"/>
    <cfRule type="duplicateValues" dxfId="20692" priority="128599"/>
    <cfRule type="duplicateValues" dxfId="20691" priority="128598"/>
    <cfRule type="duplicateValues" dxfId="20690" priority="128597"/>
    <cfRule type="duplicateValues" dxfId="20689" priority="128596"/>
    <cfRule type="duplicateValues" dxfId="20688" priority="128595"/>
    <cfRule type="duplicateValues" dxfId="20687" priority="128594"/>
    <cfRule type="duplicateValues" dxfId="20686" priority="128593"/>
    <cfRule type="duplicateValues" dxfId="20685" priority="128592"/>
    <cfRule type="duplicateValues" dxfId="20684" priority="128591"/>
    <cfRule type="duplicateValues" dxfId="20683" priority="128590"/>
    <cfRule type="duplicateValues" dxfId="20682" priority="128589"/>
    <cfRule type="duplicateValues" dxfId="20681" priority="128588"/>
    <cfRule type="duplicateValues" dxfId="20680" priority="128587"/>
    <cfRule type="duplicateValues" dxfId="20679" priority="128586"/>
    <cfRule type="duplicateValues" dxfId="20678" priority="128585"/>
    <cfRule type="duplicateValues" dxfId="20677" priority="128584"/>
    <cfRule type="duplicateValues" dxfId="20676" priority="128583"/>
    <cfRule type="duplicateValues" dxfId="20675" priority="128582"/>
    <cfRule type="duplicateValues" dxfId="20674" priority="128581"/>
    <cfRule type="duplicateValues" dxfId="20673" priority="128580"/>
    <cfRule type="duplicateValues" dxfId="20672" priority="128579"/>
    <cfRule type="duplicateValues" dxfId="20671" priority="128578"/>
    <cfRule type="duplicateValues" dxfId="20670" priority="128577"/>
    <cfRule type="duplicateValues" dxfId="20669" priority="128576"/>
  </conditionalFormatting>
  <conditionalFormatting sqref="F137:F140">
    <cfRule type="duplicateValues" dxfId="20668" priority="147977"/>
    <cfRule type="duplicateValues" dxfId="20667" priority="147962"/>
    <cfRule type="duplicateValues" dxfId="20666" priority="147963"/>
    <cfRule type="duplicateValues" dxfId="20665" priority="147990"/>
    <cfRule type="duplicateValues" dxfId="20664" priority="147967"/>
    <cfRule type="duplicateValues" dxfId="20663" priority="147968"/>
    <cfRule type="duplicateValues" dxfId="20662" priority="147964"/>
    <cfRule type="duplicateValues" dxfId="20661" priority="147969"/>
    <cfRule type="duplicateValues" dxfId="20660" priority="147983"/>
    <cfRule type="duplicateValues" dxfId="20659" priority="147978"/>
    <cfRule type="duplicateValues" dxfId="20658" priority="147970"/>
    <cfRule type="duplicateValues" dxfId="20657" priority="147979"/>
    <cfRule type="duplicateValues" dxfId="20656" priority="147980"/>
    <cfRule type="duplicateValues" dxfId="20655" priority="147981"/>
    <cfRule type="duplicateValues" dxfId="20654" priority="147971"/>
    <cfRule type="duplicateValues" dxfId="20653" priority="147982"/>
    <cfRule type="duplicateValues" dxfId="20652" priority="147965"/>
    <cfRule type="duplicateValues" dxfId="20651" priority="147947"/>
    <cfRule type="duplicateValues" dxfId="20650" priority="147948"/>
    <cfRule type="duplicateValues" dxfId="20649" priority="147949"/>
    <cfRule type="duplicateValues" dxfId="20648" priority="147950"/>
    <cfRule type="duplicateValues" dxfId="20647" priority="147951"/>
    <cfRule type="duplicateValues" dxfId="20646" priority="147952"/>
    <cfRule type="duplicateValues" dxfId="20645" priority="147953"/>
    <cfRule type="duplicateValues" dxfId="20644" priority="147966"/>
    <cfRule type="duplicateValues" dxfId="20643" priority="147972"/>
    <cfRule type="duplicateValues" dxfId="20642" priority="147973"/>
    <cfRule type="duplicateValues" dxfId="20641" priority="147955"/>
    <cfRule type="duplicateValues" dxfId="20640" priority="147985"/>
    <cfRule type="duplicateValues" dxfId="20639" priority="147986"/>
    <cfRule type="duplicateValues" dxfId="20638" priority="147974"/>
    <cfRule type="duplicateValues" dxfId="20637" priority="147988"/>
    <cfRule type="duplicateValues" dxfId="20636" priority="147975"/>
    <cfRule type="duplicateValues" dxfId="20635" priority="147976"/>
    <cfRule type="duplicateValues" dxfId="20634" priority="147989"/>
    <cfRule type="duplicateValues" dxfId="20633" priority="147987"/>
    <cfRule type="duplicateValues" dxfId="20632" priority="147954"/>
    <cfRule type="duplicateValues" dxfId="20631" priority="147956"/>
    <cfRule type="duplicateValues" dxfId="20630" priority="147957"/>
    <cfRule type="duplicateValues" dxfId="20629" priority="147958"/>
    <cfRule type="duplicateValues" dxfId="20628" priority="147959"/>
    <cfRule type="duplicateValues" dxfId="20627" priority="147960"/>
    <cfRule type="duplicateValues" dxfId="20626" priority="147984"/>
    <cfRule type="duplicateValues" dxfId="20625" priority="147961"/>
  </conditionalFormatting>
  <conditionalFormatting sqref="F137:F141">
    <cfRule type="duplicateValues" dxfId="20624" priority="147945"/>
    <cfRule type="duplicateValues" dxfId="20623" priority="147946"/>
    <cfRule type="duplicateValues" dxfId="20622" priority="147944"/>
    <cfRule type="duplicateValues" dxfId="20621" priority="147922"/>
    <cfRule type="duplicateValues" dxfId="20620" priority="147923"/>
    <cfRule type="duplicateValues" dxfId="20619" priority="147924"/>
    <cfRule type="duplicateValues" dxfId="20618" priority="147926"/>
    <cfRule type="duplicateValues" dxfId="20617" priority="147927"/>
    <cfRule type="duplicateValues" dxfId="20616" priority="147928"/>
    <cfRule type="duplicateValues" dxfId="20615" priority="147929"/>
    <cfRule type="duplicateValues" dxfId="20614" priority="147930"/>
    <cfRule type="duplicateValues" dxfId="20613" priority="147931"/>
    <cfRule type="duplicateValues" dxfId="20612" priority="147932"/>
    <cfRule type="duplicateValues" dxfId="20611" priority="147935"/>
    <cfRule type="duplicateValues" dxfId="20610" priority="147936"/>
    <cfRule type="duplicateValues" dxfId="20609" priority="147937"/>
    <cfRule type="duplicateValues" dxfId="20608" priority="147925"/>
    <cfRule type="duplicateValues" dxfId="20607" priority="147938"/>
    <cfRule type="duplicateValues" dxfId="20606" priority="147939"/>
    <cfRule type="duplicateValues" dxfId="20605" priority="147934"/>
    <cfRule type="duplicateValues" dxfId="20604" priority="147933"/>
    <cfRule type="duplicateValues" dxfId="20603" priority="147940"/>
    <cfRule type="duplicateValues" dxfId="20602" priority="147941"/>
    <cfRule type="duplicateValues" dxfId="20601" priority="147942"/>
    <cfRule type="duplicateValues" dxfId="20600" priority="147943"/>
  </conditionalFormatting>
  <conditionalFormatting sqref="F137:F144">
    <cfRule type="duplicateValues" dxfId="20599" priority="152973"/>
  </conditionalFormatting>
  <conditionalFormatting sqref="F138">
    <cfRule type="duplicateValues" dxfId="20598" priority="137242"/>
    <cfRule type="duplicateValues" dxfId="20597" priority="128077"/>
    <cfRule type="duplicateValues" dxfId="20596" priority="128078"/>
    <cfRule type="duplicateValues" dxfId="20595" priority="128079"/>
    <cfRule type="duplicateValues" dxfId="20594" priority="128080"/>
    <cfRule type="duplicateValues" dxfId="20593" priority="128081"/>
    <cfRule type="duplicateValues" dxfId="20592" priority="128082"/>
    <cfRule type="duplicateValues" dxfId="20591" priority="128083"/>
    <cfRule type="duplicateValues" dxfId="20590" priority="128084"/>
    <cfRule type="duplicateValues" dxfId="20589" priority="128085"/>
    <cfRule type="duplicateValues" dxfId="20588" priority="128086"/>
    <cfRule type="duplicateValues" dxfId="20587" priority="128087"/>
    <cfRule type="duplicateValues" dxfId="20586" priority="127945"/>
    <cfRule type="duplicateValues" dxfId="20585" priority="127946"/>
    <cfRule type="duplicateValues" dxfId="20584" priority="127947"/>
    <cfRule type="duplicateValues" dxfId="20583" priority="127948"/>
    <cfRule type="duplicateValues" dxfId="20582" priority="127949"/>
    <cfRule type="duplicateValues" dxfId="20581" priority="127950"/>
    <cfRule type="duplicateValues" dxfId="20580" priority="127951"/>
    <cfRule type="duplicateValues" dxfId="20579" priority="127952"/>
    <cfRule type="duplicateValues" dxfId="20578" priority="127953"/>
    <cfRule type="duplicateValues" dxfId="20577" priority="132027"/>
    <cfRule type="duplicateValues" dxfId="20576" priority="127954"/>
    <cfRule type="duplicateValues" dxfId="20575" priority="127955"/>
    <cfRule type="duplicateValues" dxfId="20574" priority="127956"/>
    <cfRule type="duplicateValues" dxfId="20573" priority="132026"/>
    <cfRule type="duplicateValues" dxfId="20572" priority="127957"/>
    <cfRule type="duplicateValues" dxfId="20571" priority="127958"/>
    <cfRule type="duplicateValues" dxfId="20570" priority="127959"/>
    <cfRule type="duplicateValues" dxfId="20569" priority="127960"/>
    <cfRule type="duplicateValues" dxfId="20568" priority="127961"/>
    <cfRule type="duplicateValues" dxfId="20567" priority="127962"/>
    <cfRule type="duplicateValues" dxfId="20566" priority="127963"/>
    <cfRule type="duplicateValues" dxfId="20565" priority="127964"/>
    <cfRule type="duplicateValues" dxfId="20564" priority="127965"/>
    <cfRule type="duplicateValues" dxfId="20563" priority="132025"/>
    <cfRule type="duplicateValues" dxfId="20562" priority="127966"/>
    <cfRule type="duplicateValues" dxfId="20561" priority="127967"/>
    <cfRule type="duplicateValues" dxfId="20560" priority="127968"/>
    <cfRule type="duplicateValues" dxfId="20559" priority="127969"/>
    <cfRule type="duplicateValues" dxfId="20558" priority="127970"/>
    <cfRule type="duplicateValues" dxfId="20557" priority="127971"/>
    <cfRule type="duplicateValues" dxfId="20556" priority="127972"/>
    <cfRule type="duplicateValues" dxfId="20555" priority="128076"/>
    <cfRule type="duplicateValues" dxfId="20554" priority="127973"/>
    <cfRule type="duplicateValues" dxfId="20553" priority="132024"/>
    <cfRule type="duplicateValues" dxfId="20552" priority="132023"/>
    <cfRule type="duplicateValues" dxfId="20551" priority="127974"/>
    <cfRule type="duplicateValues" dxfId="20550" priority="128088"/>
    <cfRule type="duplicateValues" dxfId="20549" priority="128089"/>
    <cfRule type="duplicateValues" dxfId="20548" priority="128090"/>
    <cfRule type="duplicateValues" dxfId="20547" priority="128091"/>
    <cfRule type="duplicateValues" dxfId="20546" priority="128092"/>
    <cfRule type="duplicateValues" dxfId="20545" priority="128093"/>
    <cfRule type="duplicateValues" dxfId="20544" priority="132022"/>
    <cfRule type="duplicateValues" dxfId="20543" priority="132021"/>
    <cfRule type="duplicateValues" dxfId="20542" priority="127975"/>
    <cfRule type="duplicateValues" dxfId="20541" priority="127976"/>
    <cfRule type="duplicateValues" dxfId="20540" priority="132031"/>
    <cfRule type="duplicateValues" dxfId="20539" priority="132032"/>
    <cfRule type="duplicateValues" dxfId="20538" priority="132033"/>
    <cfRule type="duplicateValues" dxfId="20537" priority="127977"/>
    <cfRule type="duplicateValues" dxfId="20536" priority="127978"/>
    <cfRule type="duplicateValues" dxfId="20535" priority="127979"/>
    <cfRule type="duplicateValues" dxfId="20534" priority="132020"/>
    <cfRule type="duplicateValues" dxfId="20533" priority="132019"/>
    <cfRule type="duplicateValues" dxfId="20532" priority="127980"/>
    <cfRule type="duplicateValues" dxfId="20531" priority="132018"/>
    <cfRule type="duplicateValues" dxfId="20530" priority="128049"/>
    <cfRule type="duplicateValues" dxfId="20529" priority="128050"/>
    <cfRule type="duplicateValues" dxfId="20528" priority="128051"/>
    <cfRule type="duplicateValues" dxfId="20527" priority="128052"/>
    <cfRule type="duplicateValues" dxfId="20526" priority="128053"/>
    <cfRule type="duplicateValues" dxfId="20525" priority="128054"/>
    <cfRule type="duplicateValues" dxfId="20524" priority="128055"/>
    <cfRule type="duplicateValues" dxfId="20523" priority="128056"/>
    <cfRule type="duplicateValues" dxfId="20522" priority="128057"/>
    <cfRule type="duplicateValues" dxfId="20521" priority="128058"/>
    <cfRule type="duplicateValues" dxfId="20520" priority="128059"/>
    <cfRule type="duplicateValues" dxfId="20519" priority="128060"/>
    <cfRule type="duplicateValues" dxfId="20518" priority="128061"/>
    <cfRule type="duplicateValues" dxfId="20517" priority="128062"/>
    <cfRule type="duplicateValues" dxfId="20516" priority="128063"/>
    <cfRule type="duplicateValues" dxfId="20515" priority="128064"/>
    <cfRule type="duplicateValues" dxfId="20514" priority="128065"/>
    <cfRule type="duplicateValues" dxfId="20513" priority="128066"/>
    <cfRule type="duplicateValues" dxfId="20512" priority="128067"/>
    <cfRule type="duplicateValues" dxfId="20511" priority="128068"/>
    <cfRule type="duplicateValues" dxfId="20510" priority="128069"/>
    <cfRule type="duplicateValues" dxfId="20509" priority="128070"/>
    <cfRule type="duplicateValues" dxfId="20508" priority="128071"/>
    <cfRule type="duplicateValues" dxfId="20507" priority="128072"/>
    <cfRule type="duplicateValues" dxfId="20506" priority="128073"/>
    <cfRule type="duplicateValues" dxfId="20505" priority="128074"/>
    <cfRule type="duplicateValues" dxfId="20504" priority="141842"/>
    <cfRule type="duplicateValues" dxfId="20503" priority="141841"/>
    <cfRule type="duplicateValues" dxfId="20502" priority="141840"/>
    <cfRule type="duplicateValues" dxfId="20501" priority="141839"/>
    <cfRule type="duplicateValues" dxfId="20500" priority="141838"/>
    <cfRule type="duplicateValues" dxfId="20499" priority="141837"/>
    <cfRule type="duplicateValues" dxfId="20498" priority="141836"/>
    <cfRule type="duplicateValues" dxfId="20497" priority="141835"/>
    <cfRule type="duplicateValues" dxfId="20496" priority="141834"/>
    <cfRule type="duplicateValues" dxfId="20495" priority="141833"/>
    <cfRule type="duplicateValues" dxfId="20494" priority="141832"/>
    <cfRule type="duplicateValues" dxfId="20493" priority="141831"/>
    <cfRule type="duplicateValues" dxfId="20492" priority="141830"/>
    <cfRule type="duplicateValues" dxfId="20491" priority="141829"/>
    <cfRule type="duplicateValues" dxfId="20490" priority="141828"/>
    <cfRule type="duplicateValues" dxfId="20489" priority="141827"/>
    <cfRule type="duplicateValues" dxfId="20488" priority="141826"/>
    <cfRule type="duplicateValues" dxfId="20487" priority="141825"/>
    <cfRule type="duplicateValues" dxfId="20486" priority="141824"/>
    <cfRule type="duplicateValues" dxfId="20485" priority="141823"/>
    <cfRule type="duplicateValues" dxfId="20484" priority="141822"/>
    <cfRule type="duplicateValues" dxfId="20483" priority="132017"/>
    <cfRule type="duplicateValues" dxfId="20482" priority="132016"/>
    <cfRule type="duplicateValues" dxfId="20481" priority="132015"/>
    <cfRule type="duplicateValues" dxfId="20480" priority="132014"/>
    <cfRule type="duplicateValues" dxfId="20479" priority="132013"/>
    <cfRule type="duplicateValues" dxfId="20478" priority="132012"/>
    <cfRule type="duplicateValues" dxfId="20477" priority="132011"/>
    <cfRule type="duplicateValues" dxfId="20476" priority="132010"/>
    <cfRule type="duplicateValues" dxfId="20475" priority="132009"/>
    <cfRule type="duplicateValues" dxfId="20474" priority="132008"/>
    <cfRule type="duplicateValues" dxfId="20473" priority="132007"/>
    <cfRule type="duplicateValues" dxfId="20472" priority="132006"/>
    <cfRule type="duplicateValues" dxfId="20471" priority="132005"/>
    <cfRule type="duplicateValues" dxfId="20470" priority="132004"/>
    <cfRule type="duplicateValues" dxfId="20469" priority="132003"/>
    <cfRule type="duplicateValues" dxfId="20468" priority="132002"/>
    <cfRule type="duplicateValues" dxfId="20467" priority="132001"/>
    <cfRule type="duplicateValues" dxfId="20466" priority="132000"/>
    <cfRule type="duplicateValues" dxfId="20465" priority="131999"/>
    <cfRule type="duplicateValues" dxfId="20464" priority="141139"/>
    <cfRule type="duplicateValues" dxfId="20463" priority="131998"/>
    <cfRule type="duplicateValues" dxfId="20462" priority="131997"/>
    <cfRule type="duplicateValues" dxfId="20461" priority="131996"/>
    <cfRule type="duplicateValues" dxfId="20460" priority="131995"/>
    <cfRule type="duplicateValues" dxfId="20459" priority="141138"/>
    <cfRule type="duplicateValues" dxfId="20458" priority="141137"/>
    <cfRule type="duplicateValues" dxfId="20457" priority="131994"/>
    <cfRule type="duplicateValues" dxfId="20456" priority="131993"/>
    <cfRule type="duplicateValues" dxfId="20455" priority="131992"/>
    <cfRule type="duplicateValues" dxfId="20454" priority="131991"/>
    <cfRule type="duplicateValues" dxfId="20453" priority="131990"/>
    <cfRule type="duplicateValues" dxfId="20452" priority="131989"/>
    <cfRule type="duplicateValues" dxfId="20451" priority="141136"/>
    <cfRule type="duplicateValues" dxfId="20450" priority="141135"/>
    <cfRule type="duplicateValues" dxfId="20449" priority="141134"/>
    <cfRule type="duplicateValues" dxfId="20448" priority="141133"/>
    <cfRule type="duplicateValues" dxfId="20447" priority="141132"/>
    <cfRule type="duplicateValues" dxfId="20446" priority="141131"/>
    <cfRule type="duplicateValues" dxfId="20445" priority="141130"/>
    <cfRule type="duplicateValues" dxfId="20444" priority="141129"/>
    <cfRule type="duplicateValues" dxfId="20443" priority="141128"/>
    <cfRule type="duplicateValues" dxfId="20442" priority="141127"/>
    <cfRule type="duplicateValues" dxfId="20441" priority="141126"/>
    <cfRule type="duplicateValues" dxfId="20440" priority="141125"/>
    <cfRule type="duplicateValues" dxfId="20439" priority="141799"/>
    <cfRule type="duplicateValues" dxfId="20438" priority="141800"/>
    <cfRule type="duplicateValues" dxfId="20437" priority="141801"/>
    <cfRule type="duplicateValues" dxfId="20436" priority="141802"/>
    <cfRule type="duplicateValues" dxfId="20435" priority="141803"/>
    <cfRule type="duplicateValues" dxfId="20434" priority="141804"/>
    <cfRule type="duplicateValues" dxfId="20433" priority="141805"/>
    <cfRule type="duplicateValues" dxfId="20432" priority="141806"/>
    <cfRule type="duplicateValues" dxfId="20431" priority="141807"/>
    <cfRule type="duplicateValues" dxfId="20430" priority="141808"/>
    <cfRule type="duplicateValues" dxfId="20429" priority="141809"/>
    <cfRule type="duplicateValues" dxfId="20428" priority="141810"/>
    <cfRule type="duplicateValues" dxfId="20427" priority="141811"/>
    <cfRule type="duplicateValues" dxfId="20426" priority="141812"/>
    <cfRule type="duplicateValues" dxfId="20425" priority="141124"/>
    <cfRule type="duplicateValues" dxfId="20424" priority="141123"/>
    <cfRule type="duplicateValues" dxfId="20423" priority="141122"/>
    <cfRule type="duplicateValues" dxfId="20422" priority="141121"/>
    <cfRule type="duplicateValues" dxfId="20421" priority="141120"/>
    <cfRule type="duplicateValues" dxfId="20420" priority="141119"/>
    <cfRule type="duplicateValues" dxfId="20419" priority="141118"/>
    <cfRule type="duplicateValues" dxfId="20418" priority="141117"/>
    <cfRule type="duplicateValues" dxfId="20417" priority="141116"/>
    <cfRule type="duplicateValues" dxfId="20416" priority="141115"/>
    <cfRule type="duplicateValues" dxfId="20415" priority="141114"/>
    <cfRule type="duplicateValues" dxfId="20414" priority="141113"/>
    <cfRule type="duplicateValues" dxfId="20413" priority="141112"/>
    <cfRule type="duplicateValues" dxfId="20412" priority="141111"/>
    <cfRule type="duplicateValues" dxfId="20411" priority="141110"/>
    <cfRule type="duplicateValues" dxfId="20410" priority="141109"/>
    <cfRule type="duplicateValues" dxfId="20409" priority="141813"/>
    <cfRule type="duplicateValues" dxfId="20408" priority="141108"/>
    <cfRule type="duplicateValues" dxfId="20407" priority="141107"/>
    <cfRule type="duplicateValues" dxfId="20406" priority="141106"/>
    <cfRule type="duplicateValues" dxfId="20405" priority="141105"/>
    <cfRule type="duplicateValues" dxfId="20404" priority="141104"/>
    <cfRule type="duplicateValues" dxfId="20403" priority="141103"/>
    <cfRule type="duplicateValues" dxfId="20402" priority="141102"/>
    <cfRule type="duplicateValues" dxfId="20401" priority="141101"/>
    <cfRule type="duplicateValues" dxfId="20400" priority="141100"/>
    <cfRule type="duplicateValues" dxfId="20399" priority="141099"/>
    <cfRule type="duplicateValues" dxfId="20398" priority="141098"/>
    <cfRule type="duplicateValues" dxfId="20397" priority="141097"/>
    <cfRule type="duplicateValues" dxfId="20396" priority="141096"/>
    <cfRule type="duplicateValues" dxfId="20395" priority="141095"/>
    <cfRule type="duplicateValues" dxfId="20394" priority="141042"/>
    <cfRule type="duplicateValues" dxfId="20393" priority="141041"/>
    <cfRule type="duplicateValues" dxfId="20392" priority="141040"/>
    <cfRule type="duplicateValues" dxfId="20391" priority="141039"/>
    <cfRule type="duplicateValues" dxfId="20390" priority="141038"/>
    <cfRule type="duplicateValues" dxfId="20389" priority="141037"/>
    <cfRule type="duplicateValues" dxfId="20388" priority="141036"/>
    <cfRule type="duplicateValues" dxfId="20387" priority="141035"/>
    <cfRule type="duplicateValues" dxfId="20386" priority="141034"/>
    <cfRule type="duplicateValues" dxfId="20385" priority="141033"/>
    <cfRule type="duplicateValues" dxfId="20384" priority="141032"/>
    <cfRule type="duplicateValues" dxfId="20383" priority="141031"/>
    <cfRule type="duplicateValues" dxfId="20382" priority="141030"/>
    <cfRule type="duplicateValues" dxfId="20381" priority="141029"/>
    <cfRule type="duplicateValues" dxfId="20380" priority="141028"/>
    <cfRule type="duplicateValues" dxfId="20379" priority="141027"/>
    <cfRule type="duplicateValues" dxfId="20378" priority="141026"/>
    <cfRule type="duplicateValues" dxfId="20377" priority="141025"/>
    <cfRule type="duplicateValues" dxfId="20376" priority="141024"/>
    <cfRule type="duplicateValues" dxfId="20375" priority="141023"/>
    <cfRule type="duplicateValues" dxfId="20374" priority="141022"/>
    <cfRule type="duplicateValues" dxfId="20373" priority="141021"/>
    <cfRule type="duplicateValues" dxfId="20372" priority="141020"/>
    <cfRule type="duplicateValues" dxfId="20371" priority="141019"/>
    <cfRule type="duplicateValues" dxfId="20370" priority="141018"/>
    <cfRule type="duplicateValues" dxfId="20369" priority="141017"/>
    <cfRule type="duplicateValues" dxfId="20368" priority="141016"/>
    <cfRule type="duplicateValues" dxfId="20367" priority="141015"/>
    <cfRule type="duplicateValues" dxfId="20366" priority="141014"/>
    <cfRule type="duplicateValues" dxfId="20365" priority="141013"/>
    <cfRule type="duplicateValues" dxfId="20364" priority="141012"/>
    <cfRule type="duplicateValues" dxfId="20363" priority="141011"/>
    <cfRule type="duplicateValues" dxfId="20362" priority="141010"/>
    <cfRule type="duplicateValues" dxfId="20361" priority="141009"/>
    <cfRule type="duplicateValues" dxfId="20360" priority="141008"/>
    <cfRule type="duplicateValues" dxfId="20359" priority="141007"/>
    <cfRule type="duplicateValues" dxfId="20358" priority="141006"/>
    <cfRule type="duplicateValues" dxfId="20357" priority="141005"/>
    <cfRule type="duplicateValues" dxfId="20356" priority="141004"/>
    <cfRule type="duplicateValues" dxfId="20355" priority="141003"/>
    <cfRule type="duplicateValues" dxfId="20354" priority="141002"/>
    <cfRule type="duplicateValues" dxfId="20353" priority="141001"/>
    <cfRule type="duplicateValues" dxfId="20352" priority="141000"/>
    <cfRule type="duplicateValues" dxfId="20351" priority="140999"/>
    <cfRule type="duplicateValues" dxfId="20350" priority="140998"/>
    <cfRule type="duplicateValues" dxfId="20349" priority="141814"/>
    <cfRule type="duplicateValues" dxfId="20348" priority="137283"/>
    <cfRule type="duplicateValues" dxfId="20347" priority="137282"/>
    <cfRule type="duplicateValues" dxfId="20346" priority="137281"/>
    <cfRule type="duplicateValues" dxfId="20345" priority="137280"/>
    <cfRule type="duplicateValues" dxfId="20344" priority="137279"/>
    <cfRule type="duplicateValues" dxfId="20343" priority="137278"/>
    <cfRule type="duplicateValues" dxfId="20342" priority="137277"/>
    <cfRule type="duplicateValues" dxfId="20341" priority="137276"/>
    <cfRule type="duplicateValues" dxfId="20340" priority="137275"/>
    <cfRule type="duplicateValues" dxfId="20339" priority="141815"/>
    <cfRule type="duplicateValues" dxfId="20338" priority="141816"/>
    <cfRule type="duplicateValues" dxfId="20337" priority="141817"/>
    <cfRule type="duplicateValues" dxfId="20336" priority="141818"/>
    <cfRule type="duplicateValues" dxfId="20335" priority="141819"/>
    <cfRule type="duplicateValues" dxfId="20334" priority="141820"/>
    <cfRule type="duplicateValues" dxfId="20333" priority="141821"/>
    <cfRule type="duplicateValues" dxfId="20332" priority="137274"/>
    <cfRule type="duplicateValues" dxfId="20331" priority="137273"/>
    <cfRule type="duplicateValues" dxfId="20330" priority="137272"/>
    <cfRule type="duplicateValues" dxfId="20329" priority="137271"/>
    <cfRule type="duplicateValues" dxfId="20328" priority="137270"/>
    <cfRule type="duplicateValues" dxfId="20327" priority="137269"/>
    <cfRule type="duplicateValues" dxfId="20326" priority="137268"/>
    <cfRule type="duplicateValues" dxfId="20325" priority="137267"/>
    <cfRule type="duplicateValues" dxfId="20324" priority="137266"/>
    <cfRule type="duplicateValues" dxfId="20323" priority="137265"/>
    <cfRule type="duplicateValues" dxfId="20322" priority="137264"/>
    <cfRule type="duplicateValues" dxfId="20321" priority="137263"/>
    <cfRule type="duplicateValues" dxfId="20320" priority="137262"/>
    <cfRule type="duplicateValues" dxfId="20319" priority="137261"/>
    <cfRule type="duplicateValues" dxfId="20318" priority="137260"/>
    <cfRule type="duplicateValues" dxfId="20317" priority="137259"/>
    <cfRule type="duplicateValues" dxfId="20316" priority="137258"/>
    <cfRule type="duplicateValues" dxfId="20315" priority="137257"/>
    <cfRule type="duplicateValues" dxfId="20314" priority="137256"/>
    <cfRule type="duplicateValues" dxfId="20313" priority="137255"/>
    <cfRule type="duplicateValues" dxfId="20312" priority="137254"/>
    <cfRule type="duplicateValues" dxfId="20311" priority="137253"/>
    <cfRule type="duplicateValues" dxfId="20310" priority="137252"/>
    <cfRule type="duplicateValues" dxfId="20309" priority="137251"/>
    <cfRule type="duplicateValues" dxfId="20308" priority="137250"/>
    <cfRule type="duplicateValues" dxfId="20307" priority="137249"/>
    <cfRule type="duplicateValues" dxfId="20306" priority="137248"/>
    <cfRule type="duplicateValues" dxfId="20305" priority="137247"/>
    <cfRule type="duplicateValues" dxfId="20304" priority="137246"/>
    <cfRule type="duplicateValues" dxfId="20303" priority="137245"/>
    <cfRule type="duplicateValues" dxfId="20302" priority="137244"/>
    <cfRule type="duplicateValues" dxfId="20301" priority="137243"/>
    <cfRule type="duplicateValues" dxfId="20300" priority="137241"/>
    <cfRule type="duplicateValues" dxfId="20299" priority="137240"/>
    <cfRule type="duplicateValues" dxfId="20298" priority="137239"/>
    <cfRule type="duplicateValues" dxfId="20297" priority="137087"/>
    <cfRule type="duplicateValues" dxfId="20296" priority="137086"/>
    <cfRule type="duplicateValues" dxfId="20295" priority="137085"/>
    <cfRule type="duplicateValues" dxfId="20294" priority="137084"/>
    <cfRule type="duplicateValues" dxfId="20293" priority="137083"/>
    <cfRule type="duplicateValues" dxfId="20292" priority="137082"/>
    <cfRule type="duplicateValues" dxfId="20291" priority="137081"/>
    <cfRule type="duplicateValues" dxfId="20290" priority="137080"/>
    <cfRule type="duplicateValues" dxfId="20289" priority="137079"/>
    <cfRule type="duplicateValues" dxfId="20288" priority="137078"/>
    <cfRule type="duplicateValues" dxfId="20287" priority="137077"/>
    <cfRule type="duplicateValues" dxfId="20286" priority="137076"/>
    <cfRule type="duplicateValues" dxfId="20285" priority="137075"/>
    <cfRule type="duplicateValues" dxfId="20284" priority="137074"/>
    <cfRule type="duplicateValues" dxfId="20283" priority="137073"/>
    <cfRule type="duplicateValues" dxfId="20282" priority="137072"/>
    <cfRule type="duplicateValues" dxfId="20281" priority="137071"/>
    <cfRule type="duplicateValues" dxfId="20280" priority="137070"/>
    <cfRule type="duplicateValues" dxfId="20279" priority="137069"/>
    <cfRule type="duplicateValues" dxfId="20278" priority="137068"/>
    <cfRule type="duplicateValues" dxfId="20277" priority="137067"/>
    <cfRule type="duplicateValues" dxfId="20276" priority="137066"/>
    <cfRule type="duplicateValues" dxfId="20275" priority="137065"/>
    <cfRule type="duplicateValues" dxfId="20274" priority="137064"/>
    <cfRule type="duplicateValues" dxfId="20273" priority="137063"/>
    <cfRule type="duplicateValues" dxfId="20272" priority="137062"/>
    <cfRule type="duplicateValues" dxfId="20271" priority="137061"/>
    <cfRule type="duplicateValues" dxfId="20270" priority="137060"/>
    <cfRule type="duplicateValues" dxfId="20269" priority="137059"/>
    <cfRule type="duplicateValues" dxfId="20268" priority="137058"/>
    <cfRule type="duplicateValues" dxfId="20267" priority="137057"/>
    <cfRule type="duplicateValues" dxfId="20266" priority="137056"/>
    <cfRule type="duplicateValues" dxfId="20265" priority="137055"/>
    <cfRule type="duplicateValues" dxfId="20264" priority="137054"/>
    <cfRule type="duplicateValues" dxfId="20263" priority="137053"/>
    <cfRule type="duplicateValues" dxfId="20262" priority="137052"/>
    <cfRule type="duplicateValues" dxfId="20261" priority="137051"/>
    <cfRule type="duplicateValues" dxfId="20260" priority="137050"/>
    <cfRule type="duplicateValues" dxfId="20259" priority="137049"/>
    <cfRule type="duplicateValues" dxfId="20258" priority="137048"/>
    <cfRule type="duplicateValues" dxfId="20257" priority="137047"/>
    <cfRule type="duplicateValues" dxfId="20256" priority="137046"/>
    <cfRule type="duplicateValues" dxfId="20255" priority="137045"/>
    <cfRule type="duplicateValues" dxfId="20254" priority="137044"/>
    <cfRule type="duplicateValues" dxfId="20253" priority="137043"/>
    <cfRule type="duplicateValues" dxfId="20252" priority="136862"/>
    <cfRule type="duplicateValues" dxfId="20251" priority="136861"/>
    <cfRule type="duplicateValues" dxfId="20250" priority="136860"/>
    <cfRule type="duplicateValues" dxfId="20249" priority="136859"/>
    <cfRule type="duplicateValues" dxfId="20248" priority="136858"/>
    <cfRule type="duplicateValues" dxfId="20247" priority="136857"/>
    <cfRule type="duplicateValues" dxfId="20246" priority="136856"/>
    <cfRule type="duplicateValues" dxfId="20245" priority="136855"/>
    <cfRule type="duplicateValues" dxfId="20244" priority="136854"/>
    <cfRule type="duplicateValues" dxfId="20243" priority="136853"/>
    <cfRule type="duplicateValues" dxfId="20242" priority="136852"/>
    <cfRule type="duplicateValues" dxfId="20241" priority="136851"/>
    <cfRule type="duplicateValues" dxfId="20240" priority="136850"/>
    <cfRule type="duplicateValues" dxfId="20239" priority="136849"/>
    <cfRule type="duplicateValues" dxfId="20238" priority="136848"/>
    <cfRule type="duplicateValues" dxfId="20237" priority="136847"/>
    <cfRule type="duplicateValues" dxfId="20236" priority="136846"/>
    <cfRule type="duplicateValues" dxfId="20235" priority="136845"/>
    <cfRule type="duplicateValues" dxfId="20234" priority="136844"/>
    <cfRule type="duplicateValues" dxfId="20233" priority="136843"/>
    <cfRule type="duplicateValues" dxfId="20232" priority="136842"/>
    <cfRule type="duplicateValues" dxfId="20231" priority="136841"/>
    <cfRule type="duplicateValues" dxfId="20230" priority="136840"/>
    <cfRule type="duplicateValues" dxfId="20229" priority="136839"/>
    <cfRule type="duplicateValues" dxfId="20228" priority="136838"/>
    <cfRule type="duplicateValues" dxfId="20227" priority="136837"/>
    <cfRule type="duplicateValues" dxfId="20226" priority="136836"/>
    <cfRule type="duplicateValues" dxfId="20225" priority="136835"/>
    <cfRule type="duplicateValues" dxfId="20224" priority="136834"/>
    <cfRule type="duplicateValues" dxfId="20223" priority="136833"/>
    <cfRule type="duplicateValues" dxfId="20222" priority="136832"/>
    <cfRule type="duplicateValues" dxfId="20221" priority="136831"/>
    <cfRule type="duplicateValues" dxfId="20220" priority="136830"/>
    <cfRule type="duplicateValues" dxfId="20219" priority="136829"/>
    <cfRule type="duplicateValues" dxfId="20218" priority="136828"/>
    <cfRule type="duplicateValues" dxfId="20217" priority="136827"/>
    <cfRule type="duplicateValues" dxfId="20216" priority="136826"/>
    <cfRule type="duplicateValues" dxfId="20215" priority="136825"/>
    <cfRule type="duplicateValues" dxfId="20214" priority="136824"/>
    <cfRule type="duplicateValues" dxfId="20213" priority="136823"/>
    <cfRule type="duplicateValues" dxfId="20212" priority="136822"/>
    <cfRule type="duplicateValues" dxfId="20211" priority="136821"/>
    <cfRule type="duplicateValues" dxfId="20210" priority="136820"/>
    <cfRule type="duplicateValues" dxfId="20209" priority="136819"/>
    <cfRule type="duplicateValues" dxfId="20208" priority="136818"/>
    <cfRule type="duplicateValues" dxfId="20207" priority="131086"/>
    <cfRule type="duplicateValues" dxfId="20206" priority="131085"/>
    <cfRule type="duplicateValues" dxfId="20205" priority="131084"/>
    <cfRule type="duplicateValues" dxfId="20204" priority="131083"/>
    <cfRule type="duplicateValues" dxfId="20203" priority="131082"/>
    <cfRule type="duplicateValues" dxfId="20202" priority="131081"/>
    <cfRule type="duplicateValues" dxfId="20201" priority="131080"/>
    <cfRule type="duplicateValues" dxfId="20200" priority="128075"/>
    <cfRule type="duplicateValues" dxfId="20199" priority="131079"/>
    <cfRule type="duplicateValues" dxfId="20198" priority="131078"/>
    <cfRule type="duplicateValues" dxfId="20197" priority="131077"/>
    <cfRule type="duplicateValues" dxfId="20196" priority="131076"/>
    <cfRule type="duplicateValues" dxfId="20195" priority="131075"/>
    <cfRule type="duplicateValues" dxfId="20194" priority="131074"/>
    <cfRule type="duplicateValues" dxfId="20193" priority="131073"/>
    <cfRule type="duplicateValues" dxfId="20192" priority="131072"/>
    <cfRule type="duplicateValues" dxfId="20191" priority="131071"/>
    <cfRule type="duplicateValues" dxfId="20190" priority="131070"/>
    <cfRule type="duplicateValues" dxfId="20189" priority="131069"/>
    <cfRule type="duplicateValues" dxfId="20188" priority="131068"/>
    <cfRule type="duplicateValues" dxfId="20187" priority="131067"/>
    <cfRule type="duplicateValues" dxfId="20186" priority="130692"/>
    <cfRule type="duplicateValues" dxfId="20185" priority="130693"/>
    <cfRule type="duplicateValues" dxfId="20184" priority="130694"/>
    <cfRule type="duplicateValues" dxfId="20183" priority="130695"/>
    <cfRule type="duplicateValues" dxfId="20182" priority="130696"/>
    <cfRule type="duplicateValues" dxfId="20181" priority="130697"/>
    <cfRule type="duplicateValues" dxfId="20180" priority="131066"/>
    <cfRule type="duplicateValues" dxfId="20179" priority="130698"/>
    <cfRule type="duplicateValues" dxfId="20178" priority="130699"/>
    <cfRule type="duplicateValues" dxfId="20177" priority="130700"/>
    <cfRule type="duplicateValues" dxfId="20176" priority="130701"/>
    <cfRule type="duplicateValues" dxfId="20175" priority="130702"/>
    <cfRule type="duplicateValues" dxfId="20174" priority="130703"/>
    <cfRule type="duplicateValues" dxfId="20173" priority="130704"/>
    <cfRule type="duplicateValues" dxfId="20172" priority="130705"/>
    <cfRule type="duplicateValues" dxfId="20171" priority="130706"/>
    <cfRule type="duplicateValues" dxfId="20170" priority="130707"/>
    <cfRule type="duplicateValues" dxfId="20169" priority="130708"/>
    <cfRule type="duplicateValues" dxfId="20168" priority="130709"/>
    <cfRule type="duplicateValues" dxfId="20167" priority="131065"/>
    <cfRule type="duplicateValues" dxfId="20166" priority="131064"/>
    <cfRule type="duplicateValues" dxfId="20165" priority="131063"/>
    <cfRule type="duplicateValues" dxfId="20164" priority="131062"/>
    <cfRule type="duplicateValues" dxfId="20163" priority="131061"/>
    <cfRule type="duplicateValues" dxfId="20162" priority="131060"/>
    <cfRule type="duplicateValues" dxfId="20161" priority="131059"/>
    <cfRule type="duplicateValues" dxfId="20160" priority="131058"/>
    <cfRule type="duplicateValues" dxfId="20159" priority="131057"/>
    <cfRule type="duplicateValues" dxfId="20158" priority="131056"/>
    <cfRule type="duplicateValues" dxfId="20157" priority="131055"/>
    <cfRule type="duplicateValues" dxfId="20156" priority="131054"/>
    <cfRule type="duplicateValues" dxfId="20155" priority="131053"/>
    <cfRule type="duplicateValues" dxfId="20154" priority="130736"/>
    <cfRule type="duplicateValues" dxfId="20153" priority="130735"/>
    <cfRule type="duplicateValues" dxfId="20152" priority="130734"/>
    <cfRule type="duplicateValues" dxfId="20151" priority="130733"/>
    <cfRule type="duplicateValues" dxfId="20150" priority="130732"/>
    <cfRule type="duplicateValues" dxfId="20149" priority="130731"/>
    <cfRule type="duplicateValues" dxfId="20148" priority="130730"/>
    <cfRule type="duplicateValues" dxfId="20147" priority="130729"/>
    <cfRule type="duplicateValues" dxfId="20146" priority="130716"/>
    <cfRule type="duplicateValues" dxfId="20145" priority="130728"/>
    <cfRule type="duplicateValues" dxfId="20144" priority="130727"/>
    <cfRule type="duplicateValues" dxfId="20143" priority="130726"/>
    <cfRule type="duplicateValues" dxfId="20142" priority="130725"/>
    <cfRule type="duplicateValues" dxfId="20141" priority="130724"/>
    <cfRule type="duplicateValues" dxfId="20140" priority="130723"/>
    <cfRule type="duplicateValues" dxfId="20139" priority="130722"/>
    <cfRule type="duplicateValues" dxfId="20138" priority="130721"/>
    <cfRule type="duplicateValues" dxfId="20137" priority="130720"/>
    <cfRule type="duplicateValues" dxfId="20136" priority="130719"/>
    <cfRule type="duplicateValues" dxfId="20135" priority="130718"/>
    <cfRule type="duplicateValues" dxfId="20134" priority="130717"/>
    <cfRule type="duplicateValues" dxfId="20133" priority="130710"/>
    <cfRule type="duplicateValues" dxfId="20132" priority="130711"/>
    <cfRule type="duplicateValues" dxfId="20131" priority="130712"/>
    <cfRule type="duplicateValues" dxfId="20130" priority="130713"/>
    <cfRule type="duplicateValues" dxfId="20129" priority="130714"/>
    <cfRule type="duplicateValues" dxfId="20128" priority="130715"/>
    <cfRule type="duplicateValues" dxfId="20127" priority="131097"/>
    <cfRule type="duplicateValues" dxfId="20126" priority="131096"/>
    <cfRule type="duplicateValues" dxfId="20125" priority="131095"/>
    <cfRule type="duplicateValues" dxfId="20124" priority="131094"/>
    <cfRule type="duplicateValues" dxfId="20123" priority="131093"/>
    <cfRule type="duplicateValues" dxfId="20122" priority="131092"/>
    <cfRule type="duplicateValues" dxfId="20121" priority="131091"/>
    <cfRule type="duplicateValues" dxfId="20120" priority="131090"/>
    <cfRule type="duplicateValues" dxfId="20119" priority="131089"/>
    <cfRule type="duplicateValues" dxfId="20118" priority="131088"/>
    <cfRule type="duplicateValues" dxfId="20117" priority="131087"/>
    <cfRule type="duplicateValues" dxfId="20116" priority="132028"/>
    <cfRule type="duplicateValues" dxfId="20115" priority="132029"/>
    <cfRule type="duplicateValues" dxfId="20114" priority="126902"/>
    <cfRule type="duplicateValues" dxfId="20113" priority="126903"/>
    <cfRule type="duplicateValues" dxfId="20112" priority="126904"/>
    <cfRule type="duplicateValues" dxfId="20111" priority="126905"/>
    <cfRule type="duplicateValues" dxfId="20110" priority="126906"/>
    <cfRule type="duplicateValues" dxfId="20109" priority="126907"/>
    <cfRule type="duplicateValues" dxfId="20108" priority="126908"/>
    <cfRule type="duplicateValues" dxfId="20107" priority="126909"/>
    <cfRule type="duplicateValues" dxfId="20106" priority="126910"/>
    <cfRule type="duplicateValues" dxfId="20105" priority="126911"/>
    <cfRule type="duplicateValues" dxfId="20104" priority="126912"/>
    <cfRule type="duplicateValues" dxfId="20103" priority="126913"/>
    <cfRule type="duplicateValues" dxfId="20102" priority="126914"/>
    <cfRule type="duplicateValues" dxfId="20101" priority="126915"/>
    <cfRule type="duplicateValues" dxfId="20100" priority="126916"/>
    <cfRule type="duplicateValues" dxfId="20099" priority="126917"/>
    <cfRule type="duplicateValues" dxfId="20098" priority="126918"/>
    <cfRule type="duplicateValues" dxfId="20097" priority="126919"/>
    <cfRule type="duplicateValues" dxfId="20096" priority="126920"/>
    <cfRule type="duplicateValues" dxfId="20095" priority="126921"/>
    <cfRule type="duplicateValues" dxfId="20094" priority="126922"/>
    <cfRule type="duplicateValues" dxfId="20093" priority="126923"/>
    <cfRule type="duplicateValues" dxfId="20092" priority="126924"/>
    <cfRule type="duplicateValues" dxfId="20091" priority="126925"/>
    <cfRule type="duplicateValues" dxfId="20090" priority="126926"/>
    <cfRule type="duplicateValues" dxfId="20089" priority="126927"/>
    <cfRule type="duplicateValues" dxfId="20088" priority="126928"/>
    <cfRule type="duplicateValues" dxfId="20087" priority="126929"/>
    <cfRule type="duplicateValues" dxfId="20086" priority="126930"/>
    <cfRule type="duplicateValues" dxfId="20085" priority="126931"/>
    <cfRule type="duplicateValues" dxfId="20084" priority="126932"/>
    <cfRule type="duplicateValues" dxfId="20083" priority="126933"/>
    <cfRule type="duplicateValues" dxfId="20082" priority="126934"/>
    <cfRule type="duplicateValues" dxfId="20081" priority="126935"/>
    <cfRule type="duplicateValues" dxfId="20080" priority="126936"/>
    <cfRule type="duplicateValues" dxfId="20079" priority="126937"/>
    <cfRule type="duplicateValues" dxfId="20078" priority="126938"/>
    <cfRule type="duplicateValues" dxfId="20077" priority="126939"/>
    <cfRule type="duplicateValues" dxfId="20076" priority="126940"/>
    <cfRule type="duplicateValues" dxfId="20075" priority="126941"/>
    <cfRule type="duplicateValues" dxfId="20074" priority="126942"/>
    <cfRule type="duplicateValues" dxfId="20073" priority="126943"/>
    <cfRule type="duplicateValues" dxfId="20072" priority="126944"/>
    <cfRule type="duplicateValues" dxfId="20071" priority="126945"/>
    <cfRule type="duplicateValues" dxfId="20070" priority="126946"/>
    <cfRule type="duplicateValues" dxfId="20069" priority="141798"/>
    <cfRule type="duplicateValues" dxfId="20068" priority="132030"/>
    <cfRule type="duplicateValues" dxfId="20067" priority="127936"/>
    <cfRule type="duplicateValues" dxfId="20066" priority="127937"/>
    <cfRule type="duplicateValues" dxfId="20065" priority="127938"/>
    <cfRule type="duplicateValues" dxfId="20064" priority="127939"/>
    <cfRule type="duplicateValues" dxfId="20063" priority="127940"/>
    <cfRule type="duplicateValues" dxfId="20062" priority="127941"/>
    <cfRule type="duplicateValues" dxfId="20061" priority="127942"/>
    <cfRule type="duplicateValues" dxfId="20060" priority="127943"/>
    <cfRule type="duplicateValues" dxfId="20059" priority="127944"/>
  </conditionalFormatting>
  <conditionalFormatting sqref="F139">
    <cfRule type="duplicateValues" dxfId="20058" priority="141883"/>
    <cfRule type="duplicateValues" dxfId="20057" priority="141878"/>
    <cfRule type="duplicateValues" dxfId="20056" priority="141877"/>
    <cfRule type="duplicateValues" dxfId="20055" priority="141876"/>
    <cfRule type="duplicateValues" dxfId="20054" priority="141875"/>
    <cfRule type="duplicateValues" dxfId="20053" priority="141874"/>
    <cfRule type="duplicateValues" dxfId="20052" priority="141873"/>
    <cfRule type="duplicateValues" dxfId="20051" priority="141872"/>
    <cfRule type="duplicateValues" dxfId="20050" priority="141871"/>
    <cfRule type="duplicateValues" dxfId="20049" priority="141870"/>
    <cfRule type="duplicateValues" dxfId="20048" priority="141869"/>
    <cfRule type="duplicateValues" dxfId="20047" priority="141868"/>
    <cfRule type="duplicateValues" dxfId="20046" priority="141867"/>
    <cfRule type="duplicateValues" dxfId="20045" priority="141866"/>
    <cfRule type="duplicateValues" dxfId="20044" priority="141865"/>
    <cfRule type="duplicateValues" dxfId="20043" priority="141864"/>
    <cfRule type="duplicateValues" dxfId="20042" priority="141863"/>
    <cfRule type="duplicateValues" dxfId="20041" priority="141862"/>
    <cfRule type="duplicateValues" dxfId="20040" priority="141988"/>
    <cfRule type="duplicateValues" dxfId="20039" priority="141861"/>
    <cfRule type="duplicateValues" dxfId="20038" priority="141854"/>
    <cfRule type="duplicateValues" dxfId="20037" priority="141853"/>
    <cfRule type="duplicateValues" dxfId="20036" priority="141852"/>
    <cfRule type="duplicateValues" dxfId="20035" priority="141851"/>
    <cfRule type="duplicateValues" dxfId="20034" priority="141848"/>
    <cfRule type="duplicateValues" dxfId="20033" priority="141847"/>
    <cfRule type="duplicateValues" dxfId="20032" priority="141846"/>
    <cfRule type="duplicateValues" dxfId="20031" priority="141850"/>
    <cfRule type="duplicateValues" dxfId="20030" priority="141845"/>
    <cfRule type="duplicateValues" dxfId="20029" priority="141844"/>
    <cfRule type="duplicateValues" dxfId="20028" priority="141860"/>
    <cfRule type="duplicateValues" dxfId="20027" priority="141859"/>
    <cfRule type="duplicateValues" dxfId="20026" priority="141858"/>
    <cfRule type="duplicateValues" dxfId="20025" priority="141857"/>
    <cfRule type="duplicateValues" dxfId="20024" priority="141856"/>
    <cfRule type="duplicateValues" dxfId="20023" priority="141855"/>
    <cfRule type="duplicateValues" dxfId="20022" priority="141843"/>
    <cfRule type="duplicateValues" dxfId="20021" priority="141886"/>
    <cfRule type="duplicateValues" dxfId="20020" priority="141885"/>
    <cfRule type="duplicateValues" dxfId="20019" priority="141884"/>
    <cfRule type="duplicateValues" dxfId="20018" priority="141849"/>
    <cfRule type="duplicateValues" dxfId="20017" priority="141882"/>
    <cfRule type="duplicateValues" dxfId="20016" priority="141881"/>
    <cfRule type="duplicateValues" dxfId="20015" priority="141880"/>
    <cfRule type="duplicateValues" dxfId="20014" priority="141879"/>
  </conditionalFormatting>
  <conditionalFormatting sqref="F144">
    <cfRule type="duplicateValues" dxfId="20013" priority="132316"/>
    <cfRule type="duplicateValues" dxfId="20012" priority="132314"/>
    <cfRule type="duplicateValues" dxfId="20011" priority="132315"/>
    <cfRule type="duplicateValues" dxfId="20010" priority="132313"/>
  </conditionalFormatting>
  <conditionalFormatting sqref="F145">
    <cfRule type="duplicateValues" dxfId="20009" priority="153730"/>
    <cfRule type="duplicateValues" dxfId="20008" priority="153731"/>
    <cfRule type="duplicateValues" dxfId="20007" priority="153732"/>
    <cfRule type="duplicateValues" dxfId="20006" priority="153733"/>
  </conditionalFormatting>
  <conditionalFormatting sqref="F159">
    <cfRule type="duplicateValues" dxfId="20005" priority="13862"/>
  </conditionalFormatting>
  <conditionalFormatting sqref="F160">
    <cfRule type="duplicateValues" dxfId="20004" priority="5351"/>
    <cfRule type="duplicateValues" dxfId="20003" priority="5352"/>
    <cfRule type="duplicateValues" dxfId="20002" priority="5353"/>
    <cfRule type="duplicateValues" dxfId="20001" priority="5357"/>
    <cfRule type="duplicateValues" dxfId="20000" priority="5354"/>
    <cfRule type="duplicateValues" dxfId="19999" priority="5355"/>
    <cfRule type="duplicateValues" dxfId="19998" priority="5356"/>
    <cfRule type="duplicateValues" dxfId="19997" priority="5358"/>
    <cfRule type="duplicateValues" dxfId="19996" priority="5359"/>
    <cfRule type="duplicateValues" dxfId="19995" priority="5344"/>
    <cfRule type="duplicateValues" dxfId="19994" priority="5360"/>
    <cfRule type="duplicateValues" dxfId="19993" priority="5361"/>
    <cfRule type="duplicateValues" dxfId="19992" priority="5345"/>
    <cfRule type="duplicateValues" dxfId="19991" priority="5346"/>
    <cfRule type="duplicateValues" dxfId="19990" priority="5347"/>
    <cfRule type="duplicateValues" dxfId="19989" priority="5348"/>
    <cfRule type="duplicateValues" dxfId="19988" priority="5349"/>
    <cfRule type="duplicateValues" dxfId="19987" priority="5350"/>
  </conditionalFormatting>
  <conditionalFormatting sqref="F175">
    <cfRule type="duplicateValues" dxfId="19986" priority="5190"/>
  </conditionalFormatting>
  <conditionalFormatting sqref="F176">
    <cfRule type="duplicateValues" dxfId="19985" priority="12583"/>
  </conditionalFormatting>
  <conditionalFormatting sqref="F177">
    <cfRule type="duplicateValues" dxfId="19984" priority="13867"/>
  </conditionalFormatting>
  <conditionalFormatting sqref="F193">
    <cfRule type="duplicateValues" dxfId="19983" priority="51"/>
  </conditionalFormatting>
  <conditionalFormatting sqref="F194">
    <cfRule type="duplicateValues" dxfId="19982" priority="12576"/>
  </conditionalFormatting>
  <conditionalFormatting sqref="F195">
    <cfRule type="duplicateValues" dxfId="19981" priority="20077"/>
  </conditionalFormatting>
  <conditionalFormatting sqref="F251">
    <cfRule type="duplicateValues" dxfId="19980" priority="83715"/>
  </conditionalFormatting>
  <conditionalFormatting sqref="H4">
    <cfRule type="duplicateValues" dxfId="19979" priority="153737"/>
    <cfRule type="duplicateValues" dxfId="19978" priority="153736"/>
    <cfRule type="duplicateValues" dxfId="19977" priority="153735"/>
  </conditionalFormatting>
  <conditionalFormatting sqref="H14 H22:H28">
    <cfRule type="duplicateValues" dxfId="19976" priority="150198"/>
    <cfRule type="duplicateValues" dxfId="19975" priority="150199"/>
    <cfRule type="duplicateValues" dxfId="19974" priority="153592"/>
    <cfRule type="duplicateValues" dxfId="19973" priority="153591"/>
    <cfRule type="duplicateValues" dxfId="19972" priority="153590"/>
    <cfRule type="duplicateValues" dxfId="19971" priority="152711"/>
    <cfRule type="duplicateValues" dxfId="19970" priority="152712"/>
    <cfRule type="duplicateValues" dxfId="19969" priority="152720"/>
    <cfRule type="duplicateValues" dxfId="19968" priority="152721"/>
    <cfRule type="duplicateValues" dxfId="19967" priority="152722"/>
    <cfRule type="duplicateValues" dxfId="19966" priority="152982"/>
    <cfRule type="duplicateValues" dxfId="19965" priority="152713"/>
    <cfRule type="duplicateValues" dxfId="19964" priority="152983"/>
    <cfRule type="duplicateValues" dxfId="19963" priority="152984"/>
    <cfRule type="duplicateValues" dxfId="19962" priority="153609"/>
    <cfRule type="duplicateValues" dxfId="19961" priority="154760"/>
    <cfRule type="duplicateValues" dxfId="19960" priority="154212"/>
    <cfRule type="duplicateValues" dxfId="19959" priority="154211"/>
    <cfRule type="duplicateValues" dxfId="19958" priority="154210"/>
    <cfRule type="duplicateValues" dxfId="19957" priority="153610"/>
    <cfRule type="duplicateValues" dxfId="19956" priority="153608"/>
    <cfRule type="duplicateValues" dxfId="19955" priority="150088"/>
    <cfRule type="duplicateValues" dxfId="19954" priority="150089"/>
    <cfRule type="duplicateValues" dxfId="19953" priority="150090"/>
    <cfRule type="duplicateValues" dxfId="19952" priority="150197"/>
  </conditionalFormatting>
  <conditionalFormatting sqref="H14:H19">
    <cfRule type="duplicateValues" dxfId="19951" priority="128701"/>
    <cfRule type="duplicateValues" dxfId="19950" priority="128705"/>
    <cfRule type="duplicateValues" dxfId="19949" priority="128700"/>
    <cfRule type="duplicateValues" dxfId="19948" priority="128699"/>
    <cfRule type="duplicateValues" dxfId="19947" priority="128698"/>
    <cfRule type="duplicateValues" dxfId="19946" priority="128696"/>
    <cfRule type="duplicateValues" dxfId="19945" priority="128695"/>
    <cfRule type="duplicateValues" dxfId="19944" priority="128706"/>
    <cfRule type="duplicateValues" dxfId="19943" priority="128694"/>
    <cfRule type="duplicateValues" dxfId="19942" priority="128697"/>
    <cfRule type="duplicateValues" dxfId="19941" priority="128711"/>
    <cfRule type="duplicateValues" dxfId="19940" priority="128707"/>
    <cfRule type="duplicateValues" dxfId="19939" priority="128708"/>
    <cfRule type="duplicateValues" dxfId="19938" priority="128709"/>
    <cfRule type="duplicateValues" dxfId="19937" priority="128712"/>
    <cfRule type="duplicateValues" dxfId="19936" priority="128704"/>
    <cfRule type="duplicateValues" dxfId="19935" priority="128703"/>
    <cfRule type="duplicateValues" dxfId="19934" priority="128702"/>
    <cfRule type="duplicateValues" dxfId="19933" priority="128716"/>
    <cfRule type="duplicateValues" dxfId="19932" priority="128713"/>
    <cfRule type="duplicateValues" dxfId="19931" priority="128714"/>
    <cfRule type="duplicateValues" dxfId="19930" priority="128715"/>
    <cfRule type="duplicateValues" dxfId="19929" priority="128710"/>
    <cfRule type="duplicateValues" dxfId="19928" priority="128717"/>
    <cfRule type="duplicateValues" dxfId="19927" priority="128718"/>
    <cfRule type="duplicateValues" dxfId="19926" priority="128719"/>
  </conditionalFormatting>
  <conditionalFormatting sqref="H14:H21">
    <cfRule type="duplicateValues" dxfId="19925" priority="128720"/>
  </conditionalFormatting>
  <conditionalFormatting sqref="H32">
    <cfRule type="duplicateValues" dxfId="19924" priority="143592"/>
  </conditionalFormatting>
  <conditionalFormatting sqref="H89">
    <cfRule type="duplicateValues" dxfId="19923" priority="45"/>
    <cfRule type="duplicateValues" dxfId="19922" priority="44"/>
  </conditionalFormatting>
  <conditionalFormatting sqref="H90">
    <cfRule type="duplicateValues" dxfId="19921" priority="18"/>
    <cfRule type="duplicateValues" dxfId="19920" priority="17"/>
    <cfRule type="duplicateValues" dxfId="19919" priority="19"/>
  </conditionalFormatting>
  <conditionalFormatting sqref="H91">
    <cfRule type="duplicateValues" dxfId="19918" priority="11251"/>
    <cfRule type="duplicateValues" dxfId="19917" priority="11252"/>
    <cfRule type="duplicateValues" dxfId="19916" priority="11253"/>
  </conditionalFormatting>
  <conditionalFormatting sqref="H92">
    <cfRule type="duplicateValues" dxfId="19915" priority="11238"/>
    <cfRule type="duplicateValues" dxfId="19914" priority="11239"/>
    <cfRule type="duplicateValues" dxfId="19913" priority="11240"/>
  </conditionalFormatting>
  <conditionalFormatting sqref="H93">
    <cfRule type="duplicateValues" dxfId="19912" priority="12574"/>
    <cfRule type="duplicateValues" dxfId="19911" priority="12573"/>
  </conditionalFormatting>
  <conditionalFormatting sqref="H94:H95">
    <cfRule type="duplicateValues" dxfId="19910" priority="58079"/>
    <cfRule type="duplicateValues" dxfId="19909" priority="58080"/>
    <cfRule type="duplicateValues" dxfId="19908" priority="58081"/>
  </conditionalFormatting>
  <conditionalFormatting sqref="H111">
    <cfRule type="duplicateValues" dxfId="19907" priority="16"/>
  </conditionalFormatting>
  <conditionalFormatting sqref="H112">
    <cfRule type="duplicateValues" dxfId="19906" priority="8752"/>
  </conditionalFormatting>
  <conditionalFormatting sqref="H113">
    <cfRule type="duplicateValues" dxfId="19905" priority="12559"/>
  </conditionalFormatting>
  <conditionalFormatting sqref="H114">
    <cfRule type="duplicateValues" dxfId="19904" priority="13771"/>
  </conditionalFormatting>
  <conditionalFormatting sqref="H115">
    <cfRule type="duplicateValues" dxfId="19903" priority="13776"/>
  </conditionalFormatting>
  <conditionalFormatting sqref="H137">
    <cfRule type="duplicateValues" dxfId="19902" priority="1238"/>
  </conditionalFormatting>
  <conditionalFormatting sqref="H138">
    <cfRule type="duplicateValues" dxfId="19901" priority="36152"/>
  </conditionalFormatting>
  <conditionalFormatting sqref="H139">
    <cfRule type="duplicateValues" dxfId="19900" priority="42882"/>
  </conditionalFormatting>
  <conditionalFormatting sqref="H140">
    <cfRule type="duplicateValues" dxfId="19899" priority="44063"/>
  </conditionalFormatting>
  <conditionalFormatting sqref="H141:H157">
    <cfRule type="duplicateValues" dxfId="19898" priority="57699"/>
  </conditionalFormatting>
  <conditionalFormatting sqref="H159">
    <cfRule type="duplicateValues" dxfId="19897" priority="59"/>
  </conditionalFormatting>
  <conditionalFormatting sqref="H160">
    <cfRule type="duplicateValues" dxfId="19896" priority="12570"/>
  </conditionalFormatting>
  <conditionalFormatting sqref="H161:H162">
    <cfRule type="duplicateValues" dxfId="19895" priority="13753"/>
  </conditionalFormatting>
  <conditionalFormatting sqref="H163">
    <cfRule type="duplicateValues" dxfId="19894" priority="15033"/>
  </conditionalFormatting>
  <conditionalFormatting sqref="H164">
    <cfRule type="duplicateValues" dxfId="19893" priority="13778"/>
  </conditionalFormatting>
  <conditionalFormatting sqref="H165">
    <cfRule type="duplicateValues" dxfId="19892" priority="20188"/>
  </conditionalFormatting>
  <conditionalFormatting sqref="H166:H167">
    <cfRule type="duplicateValues" dxfId="19891" priority="53471"/>
  </conditionalFormatting>
  <conditionalFormatting sqref="H168:H169">
    <cfRule type="duplicateValues" dxfId="19890" priority="50488"/>
  </conditionalFormatting>
  <conditionalFormatting sqref="H184">
    <cfRule type="duplicateValues" dxfId="19889" priority="49311"/>
  </conditionalFormatting>
  <conditionalFormatting sqref="H193">
    <cfRule type="duplicateValues" dxfId="19888" priority="6806"/>
  </conditionalFormatting>
  <conditionalFormatting sqref="H195">
    <cfRule type="duplicateValues" dxfId="19887" priority="2666"/>
  </conditionalFormatting>
  <conditionalFormatting sqref="H196">
    <cfRule type="duplicateValues" dxfId="19886" priority="5362"/>
  </conditionalFormatting>
  <conditionalFormatting sqref="H198">
    <cfRule type="duplicateValues" dxfId="19885" priority="12585"/>
  </conditionalFormatting>
  <conditionalFormatting sqref="H204">
    <cfRule type="duplicateValues" dxfId="19884" priority="53470"/>
  </conditionalFormatting>
  <conditionalFormatting sqref="H233">
    <cfRule type="duplicateValues" dxfId="19883" priority="47760"/>
  </conditionalFormatting>
  <conditionalFormatting sqref="H4:I4">
    <cfRule type="duplicateValues" dxfId="19882" priority="153734"/>
  </conditionalFormatting>
  <conditionalFormatting sqref="H14:I14 H22:H28">
    <cfRule type="duplicateValues" dxfId="19881" priority="153607"/>
  </conditionalFormatting>
  <conditionalFormatting sqref="H175:I175">
    <cfRule type="duplicateValues" dxfId="19880" priority="13"/>
    <cfRule type="duplicateValues" dxfId="19879" priority="14"/>
  </conditionalFormatting>
  <conditionalFormatting sqref="H176:I176">
    <cfRule type="duplicateValues" dxfId="19878" priority="7014"/>
    <cfRule type="duplicateValues" dxfId="19877" priority="7015"/>
  </conditionalFormatting>
  <conditionalFormatting sqref="H177:I177">
    <cfRule type="duplicateValues" dxfId="19876" priority="20064"/>
    <cfRule type="duplicateValues" dxfId="19875" priority="5383"/>
    <cfRule type="duplicateValues" dxfId="19874" priority="42678"/>
    <cfRule type="duplicateValues" dxfId="19873" priority="20090"/>
    <cfRule type="duplicateValues" dxfId="19872" priority="10076"/>
    <cfRule type="duplicateValues" dxfId="19871" priority="28456"/>
    <cfRule type="duplicateValues" dxfId="19870" priority="18875"/>
    <cfRule type="duplicateValues" dxfId="19869" priority="28457"/>
    <cfRule type="duplicateValues" dxfId="19868" priority="18873"/>
    <cfRule type="duplicateValues" dxfId="19867" priority="18613"/>
    <cfRule type="duplicateValues" dxfId="19866" priority="11241"/>
    <cfRule type="duplicateValues" dxfId="19865" priority="18874"/>
  </conditionalFormatting>
  <conditionalFormatting sqref="H178:I178">
    <cfRule type="duplicateValues" dxfId="19864" priority="47723"/>
    <cfRule type="duplicateValues" dxfId="19863" priority="49162"/>
  </conditionalFormatting>
  <conditionalFormatting sqref="H178:I180">
    <cfRule type="duplicateValues" dxfId="19862" priority="65917"/>
  </conditionalFormatting>
  <conditionalFormatting sqref="H194:I194">
    <cfRule type="duplicateValues" dxfId="19861" priority="56"/>
  </conditionalFormatting>
  <conditionalFormatting sqref="H197:I197">
    <cfRule type="duplicateValues" dxfId="19860" priority="1"/>
  </conditionalFormatting>
  <conditionalFormatting sqref="H199:I199">
    <cfRule type="duplicateValues" dxfId="19859" priority="16260"/>
  </conditionalFormatting>
  <conditionalFormatting sqref="H200:I200">
    <cfRule type="duplicateValues" dxfId="19858" priority="12578"/>
  </conditionalFormatting>
  <conditionalFormatting sqref="H201:I201">
    <cfRule type="duplicateValues" dxfId="19857" priority="54794"/>
  </conditionalFormatting>
  <conditionalFormatting sqref="H202:I202">
    <cfRule type="duplicateValues" dxfId="19856" priority="53629"/>
  </conditionalFormatting>
  <conditionalFormatting sqref="H230:I230 H222:I222 H226:I226 H228:I228 H224:I224">
    <cfRule type="duplicateValues" dxfId="19855" priority="47755"/>
  </conditionalFormatting>
  <conditionalFormatting sqref="H231:I231 H223:I223 H225:I225 H227:I227 H229:I229">
    <cfRule type="duplicateValues" dxfId="19854" priority="47754"/>
  </conditionalFormatting>
  <conditionalFormatting sqref="I14">
    <cfRule type="duplicateValues" dxfId="19853" priority="150193"/>
    <cfRule type="duplicateValues" dxfId="19852" priority="150192"/>
    <cfRule type="duplicateValues" dxfId="19851" priority="150087"/>
    <cfRule type="duplicateValues" dxfId="19850" priority="150086"/>
    <cfRule type="duplicateValues" dxfId="19849" priority="150085"/>
    <cfRule type="duplicateValues" dxfId="19848" priority="150084"/>
    <cfRule type="duplicateValues" dxfId="19847" priority="150194"/>
    <cfRule type="duplicateValues" dxfId="19846" priority="152980"/>
    <cfRule type="duplicateValues" dxfId="19845" priority="152979"/>
    <cfRule type="duplicateValues" dxfId="19844" priority="152978"/>
    <cfRule type="duplicateValues" dxfId="19843" priority="150083"/>
    <cfRule type="duplicateValues" dxfId="19842" priority="152719"/>
    <cfRule type="duplicateValues" dxfId="19841" priority="152718"/>
    <cfRule type="duplicateValues" dxfId="19840" priority="152717"/>
    <cfRule type="duplicateValues" dxfId="19839" priority="152716"/>
    <cfRule type="duplicateValues" dxfId="19838" priority="152715"/>
    <cfRule type="duplicateValues" dxfId="19837" priority="152981"/>
    <cfRule type="duplicateValues" dxfId="19836" priority="153587"/>
    <cfRule type="duplicateValues" dxfId="19835" priority="153588"/>
    <cfRule type="duplicateValues" dxfId="19834" priority="153589"/>
    <cfRule type="duplicateValues" dxfId="19833" priority="152710"/>
    <cfRule type="duplicateValues" dxfId="19832" priority="152709"/>
    <cfRule type="duplicateValues" dxfId="19831" priority="152708"/>
    <cfRule type="duplicateValues" dxfId="19830" priority="152707"/>
    <cfRule type="duplicateValues" dxfId="19829" priority="152706"/>
    <cfRule type="duplicateValues" dxfId="19828" priority="153606"/>
    <cfRule type="duplicateValues" dxfId="19827" priority="150196"/>
    <cfRule type="duplicateValues" dxfId="19826" priority="150195"/>
  </conditionalFormatting>
  <conditionalFormatting sqref="J89">
    <cfRule type="duplicateValues" dxfId="19825" priority="47"/>
    <cfRule type="duplicateValues" dxfId="19824" priority="46"/>
  </conditionalFormatting>
  <conditionalFormatting sqref="J90">
    <cfRule type="duplicateValues" dxfId="19823" priority="17435"/>
    <cfRule type="duplicateValues" dxfId="19822" priority="17436"/>
  </conditionalFormatting>
  <conditionalFormatting sqref="J91">
    <cfRule type="duplicateValues" dxfId="19821" priority="6809"/>
    <cfRule type="duplicateValues" dxfId="19820" priority="6808"/>
  </conditionalFormatting>
  <conditionalFormatting sqref="J92">
    <cfRule type="duplicateValues" dxfId="19819" priority="8748"/>
    <cfRule type="duplicateValues" dxfId="19818" priority="8749"/>
  </conditionalFormatting>
  <conditionalFormatting sqref="J93:J109">
    <cfRule type="duplicateValues" dxfId="19817" priority="134447"/>
  </conditionalFormatting>
  <conditionalFormatting sqref="J111">
    <cfRule type="duplicateValues" dxfId="19816" priority="5379"/>
    <cfRule type="duplicateValues" dxfId="19815" priority="5380"/>
  </conditionalFormatting>
  <conditionalFormatting sqref="J112:J113">
    <cfRule type="duplicateValues" dxfId="19814" priority="151764"/>
  </conditionalFormatting>
  <conditionalFormatting sqref="J137">
    <cfRule type="duplicateValues" dxfId="19813" priority="5261"/>
  </conditionalFormatting>
  <conditionalFormatting sqref="J138">
    <cfRule type="duplicateValues" dxfId="19812" priority="5371"/>
  </conditionalFormatting>
  <conditionalFormatting sqref="J159">
    <cfRule type="duplicateValues" dxfId="19811" priority="8755"/>
  </conditionalFormatting>
  <conditionalFormatting sqref="J160:J161">
    <cfRule type="duplicateValues" dxfId="19810" priority="12568"/>
  </conditionalFormatting>
  <conditionalFormatting sqref="J162">
    <cfRule type="duplicateValues" dxfId="19809" priority="16259"/>
  </conditionalFormatting>
  <conditionalFormatting sqref="J163">
    <cfRule type="duplicateValues" dxfId="19808" priority="18887"/>
  </conditionalFormatting>
  <conditionalFormatting sqref="J164">
    <cfRule type="duplicateValues" dxfId="19807" priority="20066"/>
  </conditionalFormatting>
  <conditionalFormatting sqref="J165">
    <cfRule type="duplicateValues" dxfId="19806" priority="18888"/>
  </conditionalFormatting>
  <conditionalFormatting sqref="J166:J173">
    <cfRule type="duplicateValues" dxfId="19805" priority="57698"/>
  </conditionalFormatting>
  <conditionalFormatting sqref="J175">
    <cfRule type="duplicateValues" dxfId="19804" priority="5302"/>
  </conditionalFormatting>
  <conditionalFormatting sqref="J176">
    <cfRule type="duplicateValues" dxfId="19803" priority="5372"/>
  </conditionalFormatting>
  <conditionalFormatting sqref="J177">
    <cfRule type="duplicateValues" dxfId="19802" priority="8767"/>
  </conditionalFormatting>
  <conditionalFormatting sqref="J178">
    <cfRule type="duplicateValues" dxfId="19801" priority="8758"/>
  </conditionalFormatting>
  <conditionalFormatting sqref="J179">
    <cfRule type="duplicateValues" dxfId="19800" priority="8756"/>
  </conditionalFormatting>
  <conditionalFormatting sqref="J180">
    <cfRule type="duplicateValues" dxfId="19799" priority="53466"/>
  </conditionalFormatting>
  <conditionalFormatting sqref="J182">
    <cfRule type="duplicateValues" dxfId="19798" priority="53627"/>
  </conditionalFormatting>
  <conditionalFormatting sqref="J193">
    <cfRule type="duplicateValues" dxfId="19797" priority="5205"/>
  </conditionalFormatting>
  <conditionalFormatting sqref="J194">
    <cfRule type="duplicateValues" dxfId="19796" priority="5440"/>
  </conditionalFormatting>
  <conditionalFormatting sqref="J195">
    <cfRule type="duplicateValues" dxfId="19795" priority="12566"/>
  </conditionalFormatting>
  <conditionalFormatting sqref="J196">
    <cfRule type="duplicateValues" dxfId="19794" priority="5439"/>
  </conditionalFormatting>
  <conditionalFormatting sqref="J197">
    <cfRule type="duplicateValues" dxfId="19793" priority="7587"/>
  </conditionalFormatting>
  <conditionalFormatting sqref="J198">
    <cfRule type="duplicateValues" dxfId="19792" priority="53"/>
  </conditionalFormatting>
  <conditionalFormatting sqref="J199">
    <cfRule type="duplicateValues" dxfId="19791" priority="18894"/>
  </conditionalFormatting>
  <conditionalFormatting sqref="L70">
    <cfRule type="duplicateValues" dxfId="19790" priority="153280"/>
  </conditionalFormatting>
  <conditionalFormatting sqref="L89">
    <cfRule type="duplicateValues" dxfId="19789" priority="10072"/>
  </conditionalFormatting>
  <conditionalFormatting sqref="L90">
    <cfRule type="duplicateValues" dxfId="19788" priority="12563"/>
  </conditionalFormatting>
  <conditionalFormatting sqref="L111">
    <cfRule type="duplicateValues" dxfId="19787" priority="5236"/>
    <cfRule type="duplicateValues" dxfId="19786" priority="5237"/>
    <cfRule type="duplicateValues" dxfId="19785" priority="5238"/>
    <cfRule type="duplicateValues" dxfId="19784" priority="5207"/>
    <cfRule type="duplicateValues" dxfId="19783" priority="5206"/>
    <cfRule type="duplicateValues" dxfId="19782" priority="5239"/>
    <cfRule type="duplicateValues" dxfId="19781" priority="5241"/>
    <cfRule type="duplicateValues" dxfId="19780" priority="5254"/>
    <cfRule type="duplicateValues" dxfId="19779" priority="5208"/>
    <cfRule type="duplicateValues" dxfId="19778" priority="5255"/>
    <cfRule type="duplicateValues" dxfId="19777" priority="5256"/>
    <cfRule type="duplicateValues" dxfId="19776" priority="5257"/>
    <cfRule type="duplicateValues" dxfId="19775" priority="5258"/>
    <cfRule type="duplicateValues" dxfId="19774" priority="5259"/>
    <cfRule type="duplicateValues" dxfId="19773" priority="5242"/>
    <cfRule type="duplicateValues" dxfId="19772" priority="5232"/>
    <cfRule type="duplicateValues" dxfId="19771" priority="5246"/>
    <cfRule type="duplicateValues" dxfId="19770" priority="5247"/>
    <cfRule type="duplicateValues" dxfId="19769" priority="5248"/>
    <cfRule type="duplicateValues" dxfId="19768" priority="5230"/>
    <cfRule type="duplicateValues" dxfId="19767" priority="5249"/>
    <cfRule type="duplicateValues" dxfId="19766" priority="5231"/>
    <cfRule type="duplicateValues" dxfId="19765" priority="5245"/>
    <cfRule type="duplicateValues" dxfId="19764" priority="5250"/>
    <cfRule type="duplicateValues" dxfId="19763" priority="5229"/>
    <cfRule type="duplicateValues" dxfId="19762" priority="5251"/>
    <cfRule type="duplicateValues" dxfId="19761" priority="5244"/>
    <cfRule type="duplicateValues" dxfId="19760" priority="5252"/>
    <cfRule type="duplicateValues" dxfId="19759" priority="5253"/>
    <cfRule type="duplicateValues" dxfId="19758" priority="5209"/>
    <cfRule type="duplicateValues" dxfId="19757" priority="5228"/>
    <cfRule type="duplicateValues" dxfId="19756" priority="5243"/>
    <cfRule type="duplicateValues" dxfId="19755" priority="5210"/>
    <cfRule type="duplicateValues" dxfId="19754" priority="5260"/>
    <cfRule type="duplicateValues" dxfId="19753" priority="5226"/>
    <cfRule type="duplicateValues" dxfId="19752" priority="5225"/>
    <cfRule type="duplicateValues" dxfId="19751" priority="5211"/>
    <cfRule type="duplicateValues" dxfId="19750" priority="5240"/>
    <cfRule type="duplicateValues" dxfId="19749" priority="5224"/>
    <cfRule type="duplicateValues" dxfId="19748" priority="5223"/>
    <cfRule type="duplicateValues" dxfId="19747" priority="5222"/>
    <cfRule type="duplicateValues" dxfId="19746" priority="5221"/>
    <cfRule type="duplicateValues" dxfId="19745" priority="5220"/>
    <cfRule type="duplicateValues" dxfId="19744" priority="5219"/>
    <cfRule type="duplicateValues" dxfId="19743" priority="5218"/>
    <cfRule type="duplicateValues" dxfId="19742" priority="5217"/>
    <cfRule type="duplicateValues" dxfId="19741" priority="5216"/>
    <cfRule type="duplicateValues" dxfId="19740" priority="5215"/>
    <cfRule type="duplicateValues" dxfId="19739" priority="5214"/>
    <cfRule type="duplicateValues" dxfId="19738" priority="5212"/>
    <cfRule type="duplicateValues" dxfId="19737" priority="5213"/>
    <cfRule type="duplicateValues" dxfId="19736" priority="5233"/>
    <cfRule type="duplicateValues" dxfId="19735" priority="5227"/>
    <cfRule type="duplicateValues" dxfId="19734" priority="5234"/>
    <cfRule type="duplicateValues" dxfId="19733" priority="5235"/>
  </conditionalFormatting>
  <conditionalFormatting sqref="L112">
    <cfRule type="duplicateValues" dxfId="19732" priority="15079"/>
    <cfRule type="duplicateValues" dxfId="19731" priority="15078"/>
    <cfRule type="duplicateValues" dxfId="19730" priority="15077"/>
    <cfRule type="duplicateValues" dxfId="19729" priority="15076"/>
    <cfRule type="duplicateValues" dxfId="19728" priority="15075"/>
    <cfRule type="duplicateValues" dxfId="19727" priority="15074"/>
    <cfRule type="duplicateValues" dxfId="19726" priority="15073"/>
    <cfRule type="duplicateValues" dxfId="19725" priority="15072"/>
    <cfRule type="duplicateValues" dxfId="19724" priority="15071"/>
    <cfRule type="duplicateValues" dxfId="19723" priority="15070"/>
    <cfRule type="duplicateValues" dxfId="19722" priority="15069"/>
    <cfRule type="duplicateValues" dxfId="19721" priority="15068"/>
    <cfRule type="duplicateValues" dxfId="19720" priority="15067"/>
    <cfRule type="duplicateValues" dxfId="19719" priority="15066"/>
    <cfRule type="duplicateValues" dxfId="19718" priority="15065"/>
    <cfRule type="duplicateValues" dxfId="19717" priority="15064"/>
    <cfRule type="duplicateValues" dxfId="19716" priority="15063"/>
    <cfRule type="duplicateValues" dxfId="19715" priority="15062"/>
    <cfRule type="duplicateValues" dxfId="19714" priority="15061"/>
    <cfRule type="duplicateValues" dxfId="19713" priority="15060"/>
    <cfRule type="duplicateValues" dxfId="19712" priority="15059"/>
    <cfRule type="duplicateValues" dxfId="19711" priority="15058"/>
    <cfRule type="duplicateValues" dxfId="19710" priority="15057"/>
    <cfRule type="duplicateValues" dxfId="19709" priority="15056"/>
    <cfRule type="duplicateValues" dxfId="19708" priority="15055"/>
    <cfRule type="duplicateValues" dxfId="19707" priority="15054"/>
    <cfRule type="duplicateValues" dxfId="19706" priority="15053"/>
    <cfRule type="duplicateValues" dxfId="19705" priority="15052"/>
    <cfRule type="duplicateValues" dxfId="19704" priority="15051"/>
    <cfRule type="duplicateValues" dxfId="19703" priority="15050"/>
    <cfRule type="duplicateValues" dxfId="19702" priority="15049"/>
    <cfRule type="duplicateValues" dxfId="19701" priority="15048"/>
    <cfRule type="duplicateValues" dxfId="19700" priority="15046"/>
    <cfRule type="duplicateValues" dxfId="19699" priority="15045"/>
    <cfRule type="duplicateValues" dxfId="19698" priority="15044"/>
    <cfRule type="duplicateValues" dxfId="19697" priority="15043"/>
    <cfRule type="duplicateValues" dxfId="19696" priority="15042"/>
    <cfRule type="duplicateValues" dxfId="19695" priority="15041"/>
    <cfRule type="duplicateValues" dxfId="19694" priority="15040"/>
    <cfRule type="duplicateValues" dxfId="19693" priority="15039"/>
    <cfRule type="duplicateValues" dxfId="19692" priority="15038"/>
    <cfRule type="duplicateValues" dxfId="19691" priority="15037"/>
    <cfRule type="duplicateValues" dxfId="19690" priority="15036"/>
    <cfRule type="duplicateValues" dxfId="19689" priority="15035"/>
    <cfRule type="duplicateValues" dxfId="19688" priority="15047"/>
    <cfRule type="duplicateValues" dxfId="19687" priority="15089"/>
    <cfRule type="duplicateValues" dxfId="19686" priority="15088"/>
    <cfRule type="duplicateValues" dxfId="19685" priority="15087"/>
    <cfRule type="duplicateValues" dxfId="19684" priority="15086"/>
    <cfRule type="duplicateValues" dxfId="19683" priority="15085"/>
    <cfRule type="duplicateValues" dxfId="19682" priority="15084"/>
    <cfRule type="duplicateValues" dxfId="19681" priority="15083"/>
    <cfRule type="duplicateValues" dxfId="19680" priority="15082"/>
    <cfRule type="duplicateValues" dxfId="19679" priority="15081"/>
    <cfRule type="duplicateValues" dxfId="19678" priority="15080"/>
  </conditionalFormatting>
  <conditionalFormatting sqref="L113">
    <cfRule type="duplicateValues" dxfId="19677" priority="18827"/>
    <cfRule type="duplicateValues" dxfId="19676" priority="18839"/>
    <cfRule type="duplicateValues" dxfId="19675" priority="18840"/>
    <cfRule type="duplicateValues" dxfId="19674" priority="18841"/>
    <cfRule type="duplicateValues" dxfId="19673" priority="18842"/>
    <cfRule type="duplicateValues" dxfId="19672" priority="18843"/>
    <cfRule type="duplicateValues" dxfId="19671" priority="18844"/>
    <cfRule type="duplicateValues" dxfId="19670" priority="18845"/>
    <cfRule type="duplicateValues" dxfId="19669" priority="18846"/>
    <cfRule type="duplicateValues" dxfId="19668" priority="18847"/>
    <cfRule type="duplicateValues" dxfId="19667" priority="18848"/>
    <cfRule type="duplicateValues" dxfId="19666" priority="18849"/>
    <cfRule type="duplicateValues" dxfId="19665" priority="18850"/>
    <cfRule type="duplicateValues" dxfId="19664" priority="18855"/>
    <cfRule type="duplicateValues" dxfId="19663" priority="18851"/>
    <cfRule type="duplicateValues" dxfId="19662" priority="18852"/>
    <cfRule type="duplicateValues" dxfId="19661" priority="18853"/>
    <cfRule type="duplicateValues" dxfId="19660" priority="18818"/>
    <cfRule type="duplicateValues" dxfId="19659" priority="18819"/>
    <cfRule type="duplicateValues" dxfId="19658" priority="18820"/>
    <cfRule type="duplicateValues" dxfId="19657" priority="18821"/>
    <cfRule type="duplicateValues" dxfId="19656" priority="18822"/>
    <cfRule type="duplicateValues" dxfId="19655" priority="18823"/>
    <cfRule type="duplicateValues" dxfId="19654" priority="18824"/>
    <cfRule type="duplicateValues" dxfId="19653" priority="18825"/>
    <cfRule type="duplicateValues" dxfId="19652" priority="18826"/>
    <cfRule type="duplicateValues" dxfId="19651" priority="18854"/>
    <cfRule type="duplicateValues" dxfId="19650" priority="18828"/>
    <cfRule type="duplicateValues" dxfId="19649" priority="18829"/>
    <cfRule type="duplicateValues" dxfId="19648" priority="18830"/>
    <cfRule type="duplicateValues" dxfId="19647" priority="18831"/>
    <cfRule type="duplicateValues" dxfId="19646" priority="18832"/>
    <cfRule type="duplicateValues" dxfId="19645" priority="18817"/>
    <cfRule type="duplicateValues" dxfId="19644" priority="18833"/>
    <cfRule type="duplicateValues" dxfId="19643" priority="18834"/>
    <cfRule type="duplicateValues" dxfId="19642" priority="18836"/>
    <cfRule type="duplicateValues" dxfId="19641" priority="18837"/>
    <cfRule type="duplicateValues" dxfId="19640" priority="18838"/>
    <cfRule type="duplicateValues" dxfId="19639" priority="18856"/>
    <cfRule type="duplicateValues" dxfId="19638" priority="18857"/>
    <cfRule type="duplicateValues" dxfId="19637" priority="18858"/>
    <cfRule type="duplicateValues" dxfId="19636" priority="18859"/>
    <cfRule type="duplicateValues" dxfId="19635" priority="18860"/>
    <cfRule type="duplicateValues" dxfId="19634" priority="18861"/>
    <cfRule type="duplicateValues" dxfId="19633" priority="18862"/>
    <cfRule type="duplicateValues" dxfId="19632" priority="18863"/>
    <cfRule type="duplicateValues" dxfId="19631" priority="18864"/>
    <cfRule type="duplicateValues" dxfId="19630" priority="18865"/>
    <cfRule type="duplicateValues" dxfId="19629" priority="18866"/>
    <cfRule type="duplicateValues" dxfId="19628" priority="18867"/>
    <cfRule type="duplicateValues" dxfId="19627" priority="18868"/>
    <cfRule type="duplicateValues" dxfId="19626" priority="18869"/>
    <cfRule type="duplicateValues" dxfId="19625" priority="18870"/>
    <cfRule type="duplicateValues" dxfId="19624" priority="18871"/>
    <cfRule type="duplicateValues" dxfId="19623" priority="18835"/>
  </conditionalFormatting>
  <conditionalFormatting sqref="L114:L135">
    <cfRule type="duplicateValues" dxfId="19622" priority="122397"/>
    <cfRule type="duplicateValues" dxfId="19621" priority="122396"/>
    <cfRule type="duplicateValues" dxfId="19620" priority="122361"/>
    <cfRule type="duplicateValues" dxfId="19619" priority="122346"/>
    <cfRule type="duplicateValues" dxfId="19618" priority="122309"/>
    <cfRule type="duplicateValues" dxfId="19617" priority="123306"/>
    <cfRule type="duplicateValues" dxfId="19616" priority="122303"/>
    <cfRule type="duplicateValues" dxfId="19615" priority="122296"/>
    <cfRule type="duplicateValues" dxfId="19614" priority="123302"/>
    <cfRule type="duplicateValues" dxfId="19613" priority="123303"/>
    <cfRule type="duplicateValues" dxfId="19612" priority="120072"/>
    <cfRule type="duplicateValues" dxfId="19611" priority="120148"/>
    <cfRule type="duplicateValues" dxfId="19610" priority="123308"/>
    <cfRule type="duplicateValues" dxfId="19609" priority="130093"/>
    <cfRule type="duplicateValues" dxfId="19608" priority="130094"/>
    <cfRule type="duplicateValues" dxfId="19607" priority="120146"/>
    <cfRule type="duplicateValues" dxfId="19606" priority="120147"/>
    <cfRule type="duplicateValues" dxfId="19605" priority="123307"/>
    <cfRule type="duplicateValues" dxfId="19604" priority="128660"/>
    <cfRule type="duplicateValues" dxfId="19603" priority="128661"/>
    <cfRule type="duplicateValues" dxfId="19602" priority="125329"/>
    <cfRule type="duplicateValues" dxfId="19601" priority="125328"/>
    <cfRule type="duplicateValues" dxfId="19600" priority="125327"/>
    <cfRule type="duplicateValues" dxfId="19599" priority="128659"/>
    <cfRule type="duplicateValues" dxfId="19598" priority="125326"/>
    <cfRule type="duplicateValues" dxfId="19597" priority="125325"/>
    <cfRule type="duplicateValues" dxfId="19596" priority="124818"/>
    <cfRule type="duplicateValues" dxfId="19595" priority="123304"/>
    <cfRule type="duplicateValues" dxfId="19594" priority="129413"/>
    <cfRule type="duplicateValues" dxfId="19593" priority="129414"/>
    <cfRule type="duplicateValues" dxfId="19592" priority="127122"/>
    <cfRule type="duplicateValues" dxfId="19591" priority="127121"/>
    <cfRule type="duplicateValues" dxfId="19590" priority="127120"/>
    <cfRule type="duplicateValues" dxfId="19589" priority="127085"/>
    <cfRule type="duplicateValues" dxfId="19588" priority="129415"/>
    <cfRule type="duplicateValues" dxfId="19587" priority="129468"/>
    <cfRule type="duplicateValues" dxfId="19586" priority="129469"/>
    <cfRule type="duplicateValues" dxfId="19585" priority="129470"/>
    <cfRule type="duplicateValues" dxfId="19584" priority="129474"/>
    <cfRule type="duplicateValues" dxfId="19583" priority="129475"/>
    <cfRule type="duplicateValues" dxfId="19582" priority="129476"/>
    <cfRule type="duplicateValues" dxfId="19581" priority="123305"/>
    <cfRule type="duplicateValues" dxfId="19580" priority="119821"/>
    <cfRule type="duplicateValues" dxfId="19579" priority="119953"/>
    <cfRule type="duplicateValues" dxfId="19578" priority="119932"/>
    <cfRule type="duplicateValues" dxfId="19577" priority="119940"/>
    <cfRule type="duplicateValues" dxfId="19576" priority="124815"/>
    <cfRule type="duplicateValues" dxfId="19575" priority="124816"/>
    <cfRule type="duplicateValues" dxfId="19574" priority="124817"/>
    <cfRule type="duplicateValues" dxfId="19573" priority="119947"/>
    <cfRule type="duplicateValues" dxfId="19572" priority="124819"/>
    <cfRule type="duplicateValues" dxfId="19571" priority="124820"/>
    <cfRule type="duplicateValues" dxfId="19570" priority="120087"/>
    <cfRule type="duplicateValues" dxfId="19569" priority="122398"/>
  </conditionalFormatting>
  <conditionalFormatting sqref="L137">
    <cfRule type="duplicateValues" dxfId="19568" priority="141987"/>
    <cfRule type="duplicateValues" dxfId="19567" priority="128133"/>
    <cfRule type="duplicateValues" dxfId="19566" priority="129380"/>
    <cfRule type="duplicateValues" dxfId="19565" priority="99126"/>
    <cfRule type="duplicateValues" dxfId="19564" priority="125409"/>
    <cfRule type="duplicateValues" dxfId="19563" priority="124822"/>
    <cfRule type="duplicateValues" dxfId="19562" priority="130691"/>
    <cfRule type="duplicateValues" dxfId="19561" priority="120150"/>
    <cfRule type="duplicateValues" dxfId="19560" priority="130246"/>
    <cfRule type="duplicateValues" dxfId="19559" priority="130247"/>
    <cfRule type="duplicateValues" dxfId="19558" priority="125324"/>
  </conditionalFormatting>
  <conditionalFormatting sqref="L138">
    <cfRule type="duplicateValues" dxfId="19557" priority="142419"/>
  </conditionalFormatting>
  <conditionalFormatting sqref="L159">
    <cfRule type="duplicateValues" dxfId="19556" priority="5382"/>
  </conditionalFormatting>
  <conditionalFormatting sqref="L175:L191">
    <cfRule type="duplicateValues" dxfId="19555" priority="129124"/>
  </conditionalFormatting>
  <conditionalFormatting sqref="L193">
    <cfRule type="duplicateValues" dxfId="19554" priority="13757"/>
  </conditionalFormatting>
  <conditionalFormatting sqref="L222">
    <cfRule type="duplicateValues" dxfId="19553" priority="47748"/>
  </conditionalFormatting>
  <conditionalFormatting sqref="L32:M49">
    <cfRule type="duplicateValues" dxfId="19552" priority="154788"/>
  </conditionalFormatting>
  <conditionalFormatting sqref="N32">
    <cfRule type="duplicateValues" dxfId="19551" priority="143576"/>
  </conditionalFormatting>
  <conditionalFormatting sqref="N89">
    <cfRule type="duplicateValues" dxfId="19550" priority="16273"/>
  </conditionalFormatting>
  <conditionalFormatting sqref="N90">
    <cfRule type="duplicateValues" dxfId="19549" priority="18886"/>
  </conditionalFormatting>
  <conditionalFormatting sqref="N111">
    <cfRule type="duplicateValues" dxfId="19548" priority="2565"/>
    <cfRule type="duplicateValues" dxfId="19547" priority="2566"/>
    <cfRule type="duplicateValues" dxfId="19546" priority="2567"/>
    <cfRule type="duplicateValues" dxfId="19545" priority="2568"/>
    <cfRule type="duplicateValues" dxfId="19544" priority="2569"/>
    <cfRule type="duplicateValues" dxfId="19543" priority="2570"/>
    <cfRule type="duplicateValues" dxfId="19542" priority="2571"/>
    <cfRule type="duplicateValues" dxfId="19541" priority="2572"/>
    <cfRule type="duplicateValues" dxfId="19540" priority="2573"/>
    <cfRule type="duplicateValues" dxfId="19539" priority="2574"/>
    <cfRule type="duplicateValues" dxfId="19538" priority="2575"/>
    <cfRule type="duplicateValues" dxfId="19537" priority="2576"/>
    <cfRule type="duplicateValues" dxfId="19536" priority="2577"/>
    <cfRule type="duplicateValues" dxfId="19535" priority="2578"/>
    <cfRule type="duplicateValues" dxfId="19534" priority="2579"/>
    <cfRule type="duplicateValues" dxfId="19533" priority="2659"/>
    <cfRule type="duplicateValues" dxfId="19532" priority="2615"/>
    <cfRule type="duplicateValues" dxfId="19531" priority="2663"/>
    <cfRule type="duplicateValues" dxfId="19530" priority="2658"/>
    <cfRule type="duplicateValues" dxfId="19529" priority="2657"/>
    <cfRule type="duplicateValues" dxfId="19528" priority="2656"/>
    <cfRule type="duplicateValues" dxfId="19527" priority="2655"/>
    <cfRule type="duplicateValues" dxfId="19526" priority="2654"/>
    <cfRule type="duplicateValues" dxfId="19525" priority="2653"/>
    <cfRule type="duplicateValues" dxfId="19524" priority="2652"/>
    <cfRule type="duplicateValues" dxfId="19523" priority="2651"/>
    <cfRule type="duplicateValues" dxfId="19522" priority="2650"/>
    <cfRule type="duplicateValues" dxfId="19521" priority="2649"/>
    <cfRule type="duplicateValues" dxfId="19520" priority="2648"/>
    <cfRule type="duplicateValues" dxfId="19519" priority="2647"/>
    <cfRule type="duplicateValues" dxfId="19518" priority="2646"/>
    <cfRule type="duplicateValues" dxfId="19517" priority="2662"/>
    <cfRule type="duplicateValues" dxfId="19516" priority="2645"/>
    <cfRule type="duplicateValues" dxfId="19515" priority="2644"/>
    <cfRule type="duplicateValues" dxfId="19514" priority="2641"/>
    <cfRule type="duplicateValues" dxfId="19513" priority="2630"/>
    <cfRule type="duplicateValues" dxfId="19512" priority="2660"/>
    <cfRule type="duplicateValues" dxfId="19511" priority="2661"/>
    <cfRule type="duplicateValues" dxfId="19510" priority="2643"/>
    <cfRule type="duplicateValues" dxfId="19509" priority="2642"/>
    <cfRule type="duplicateValues" dxfId="19508" priority="2640"/>
    <cfRule type="duplicateValues" dxfId="19507" priority="2639"/>
    <cfRule type="duplicateValues" dxfId="19506" priority="2638"/>
    <cfRule type="duplicateValues" dxfId="19505" priority="2637"/>
    <cfRule type="duplicateValues" dxfId="19504" priority="2636"/>
    <cfRule type="duplicateValues" dxfId="19503" priority="2635"/>
    <cfRule type="duplicateValues" dxfId="19502" priority="2634"/>
    <cfRule type="duplicateValues" dxfId="19501" priority="2633"/>
    <cfRule type="duplicateValues" dxfId="19500" priority="2632"/>
    <cfRule type="duplicateValues" dxfId="19499" priority="2631"/>
    <cfRule type="duplicateValues" dxfId="19498" priority="2629"/>
    <cfRule type="duplicateValues" dxfId="19497" priority="2628"/>
    <cfRule type="duplicateValues" dxfId="19496" priority="2627"/>
    <cfRule type="duplicateValues" dxfId="19495" priority="2626"/>
    <cfRule type="duplicateValues" dxfId="19494" priority="2625"/>
    <cfRule type="duplicateValues" dxfId="19493" priority="2624"/>
    <cfRule type="duplicateValues" dxfId="19492" priority="2623"/>
    <cfRule type="duplicateValues" dxfId="19491" priority="2622"/>
    <cfRule type="duplicateValues" dxfId="19490" priority="2621"/>
    <cfRule type="duplicateValues" dxfId="19489" priority="2620"/>
    <cfRule type="duplicateValues" dxfId="19488" priority="2619"/>
    <cfRule type="duplicateValues" dxfId="19487" priority="2618"/>
    <cfRule type="duplicateValues" dxfId="19486" priority="2617"/>
    <cfRule type="duplicateValues" dxfId="19485" priority="2616"/>
    <cfRule type="duplicateValues" dxfId="19484" priority="2563"/>
    <cfRule type="duplicateValues" dxfId="19483" priority="2614"/>
    <cfRule type="duplicateValues" dxfId="19482" priority="2613"/>
    <cfRule type="duplicateValues" dxfId="19481" priority="2612"/>
    <cfRule type="duplicateValues" dxfId="19480" priority="2611"/>
    <cfRule type="duplicateValues" dxfId="19479" priority="2610"/>
    <cfRule type="duplicateValues" dxfId="19478" priority="2609"/>
    <cfRule type="duplicateValues" dxfId="19477" priority="2608"/>
    <cfRule type="duplicateValues" dxfId="19476" priority="2607"/>
    <cfRule type="duplicateValues" dxfId="19475" priority="2606"/>
    <cfRule type="duplicateValues" dxfId="19474" priority="2605"/>
    <cfRule type="duplicateValues" dxfId="19473" priority="2604"/>
    <cfRule type="duplicateValues" dxfId="19472" priority="2603"/>
    <cfRule type="duplicateValues" dxfId="19471" priority="2602"/>
    <cfRule type="duplicateValues" dxfId="19470" priority="2601"/>
    <cfRule type="duplicateValues" dxfId="19469" priority="2600"/>
    <cfRule type="duplicateValues" dxfId="19468" priority="2599"/>
    <cfRule type="duplicateValues" dxfId="19467" priority="2598"/>
    <cfRule type="duplicateValues" dxfId="19466" priority="2597"/>
    <cfRule type="duplicateValues" dxfId="19465" priority="2596"/>
    <cfRule type="duplicateValues" dxfId="19464" priority="2594"/>
    <cfRule type="duplicateValues" dxfId="19463" priority="2593"/>
    <cfRule type="duplicateValues" dxfId="19462" priority="2592"/>
    <cfRule type="duplicateValues" dxfId="19461" priority="2591"/>
    <cfRule type="duplicateValues" dxfId="19460" priority="2590"/>
    <cfRule type="duplicateValues" dxfId="19459" priority="2589"/>
    <cfRule type="duplicateValues" dxfId="19458" priority="2588"/>
    <cfRule type="duplicateValues" dxfId="19457" priority="2587"/>
    <cfRule type="duplicateValues" dxfId="19456" priority="2586"/>
    <cfRule type="duplicateValues" dxfId="19455" priority="2585"/>
    <cfRule type="duplicateValues" dxfId="19454" priority="2584"/>
    <cfRule type="duplicateValues" dxfId="19453" priority="2583"/>
    <cfRule type="duplicateValues" dxfId="19452" priority="2582"/>
    <cfRule type="duplicateValues" dxfId="19451" priority="2564"/>
    <cfRule type="duplicateValues" dxfId="19450" priority="2580"/>
    <cfRule type="duplicateValues" dxfId="19449" priority="2595"/>
    <cfRule type="duplicateValues" dxfId="19448" priority="2532"/>
    <cfRule type="duplicateValues" dxfId="19447" priority="2533"/>
    <cfRule type="duplicateValues" dxfId="19446" priority="2534"/>
    <cfRule type="duplicateValues" dxfId="19445" priority="2535"/>
    <cfRule type="duplicateValues" dxfId="19444" priority="2536"/>
    <cfRule type="duplicateValues" dxfId="19443" priority="2537"/>
    <cfRule type="duplicateValues" dxfId="19442" priority="2538"/>
    <cfRule type="duplicateValues" dxfId="19441" priority="2539"/>
    <cfRule type="duplicateValues" dxfId="19440" priority="2540"/>
    <cfRule type="duplicateValues" dxfId="19439" priority="2541"/>
    <cfRule type="duplicateValues" dxfId="19438" priority="2542"/>
    <cfRule type="duplicateValues" dxfId="19437" priority="2543"/>
    <cfRule type="duplicateValues" dxfId="19436" priority="2544"/>
    <cfRule type="duplicateValues" dxfId="19435" priority="2545"/>
    <cfRule type="duplicateValues" dxfId="19434" priority="2581"/>
    <cfRule type="duplicateValues" dxfId="19433" priority="2546"/>
    <cfRule type="duplicateValues" dxfId="19432" priority="2547"/>
    <cfRule type="duplicateValues" dxfId="19431" priority="2548"/>
    <cfRule type="duplicateValues" dxfId="19430" priority="2549"/>
    <cfRule type="duplicateValues" dxfId="19429" priority="2550"/>
    <cfRule type="duplicateValues" dxfId="19428" priority="2551"/>
    <cfRule type="duplicateValues" dxfId="19427" priority="2552"/>
    <cfRule type="duplicateValues" dxfId="19426" priority="2553"/>
    <cfRule type="duplicateValues" dxfId="19425" priority="2554"/>
    <cfRule type="duplicateValues" dxfId="19424" priority="2555"/>
    <cfRule type="duplicateValues" dxfId="19423" priority="2556"/>
    <cfRule type="duplicateValues" dxfId="19422" priority="2557"/>
    <cfRule type="duplicateValues" dxfId="19421" priority="2558"/>
    <cfRule type="duplicateValues" dxfId="19420" priority="2559"/>
    <cfRule type="duplicateValues" dxfId="19419" priority="2560"/>
    <cfRule type="duplicateValues" dxfId="19418" priority="2561"/>
    <cfRule type="duplicateValues" dxfId="19417" priority="2562"/>
  </conditionalFormatting>
  <conditionalFormatting sqref="N112:N113">
    <cfRule type="duplicateValues" dxfId="19416" priority="78249"/>
    <cfRule type="duplicateValues" dxfId="19415" priority="78251"/>
    <cfRule type="duplicateValues" dxfId="19414" priority="78253"/>
    <cfRule type="duplicateValues" dxfId="19413" priority="78254"/>
    <cfRule type="duplicateValues" dxfId="19412" priority="78255"/>
    <cfRule type="duplicateValues" dxfId="19411" priority="78256"/>
    <cfRule type="duplicateValues" dxfId="19410" priority="78258"/>
    <cfRule type="duplicateValues" dxfId="19409" priority="78260"/>
    <cfRule type="duplicateValues" dxfId="19408" priority="78261"/>
    <cfRule type="duplicateValues" dxfId="19407" priority="78262"/>
    <cfRule type="duplicateValues" dxfId="19406" priority="78263"/>
    <cfRule type="duplicateValues" dxfId="19405" priority="78266"/>
    <cfRule type="duplicateValues" dxfId="19404" priority="78267"/>
    <cfRule type="duplicateValues" dxfId="19403" priority="78268"/>
    <cfRule type="duplicateValues" dxfId="19402" priority="78269"/>
    <cfRule type="duplicateValues" dxfId="19401" priority="78272"/>
    <cfRule type="duplicateValues" dxfId="19400" priority="78273"/>
    <cfRule type="duplicateValues" dxfId="19399" priority="78274"/>
    <cfRule type="duplicateValues" dxfId="19398" priority="78276"/>
    <cfRule type="duplicateValues" dxfId="19397" priority="78277"/>
    <cfRule type="duplicateValues" dxfId="19396" priority="78279"/>
    <cfRule type="duplicateValues" dxfId="19395" priority="88072"/>
    <cfRule type="duplicateValues" dxfId="19394" priority="88077"/>
    <cfRule type="duplicateValues" dxfId="19393" priority="88083"/>
    <cfRule type="duplicateValues" dxfId="19392" priority="88088"/>
    <cfRule type="duplicateValues" dxfId="19391" priority="88091"/>
    <cfRule type="duplicateValues" dxfId="19390" priority="88093"/>
    <cfRule type="duplicateValues" dxfId="19389" priority="88094"/>
    <cfRule type="duplicateValues" dxfId="19388" priority="88100"/>
    <cfRule type="duplicateValues" dxfId="19387" priority="88105"/>
    <cfRule type="duplicateValues" dxfId="19386" priority="88108"/>
    <cfRule type="duplicateValues" dxfId="19385" priority="88110"/>
    <cfRule type="duplicateValues" dxfId="19384" priority="88111"/>
    <cfRule type="duplicateValues" dxfId="19383" priority="88119"/>
    <cfRule type="duplicateValues" dxfId="19382" priority="88121"/>
    <cfRule type="duplicateValues" dxfId="19381" priority="88122"/>
    <cfRule type="duplicateValues" dxfId="19380" priority="88126"/>
    <cfRule type="duplicateValues" dxfId="19379" priority="88128"/>
    <cfRule type="duplicateValues" dxfId="19378" priority="88129"/>
    <cfRule type="duplicateValues" dxfId="19377" priority="88132"/>
    <cfRule type="duplicateValues" dxfId="19376" priority="88133"/>
    <cfRule type="duplicateValues" dxfId="19375" priority="88135"/>
    <cfRule type="duplicateValues" dxfId="19374" priority="78201"/>
    <cfRule type="duplicateValues" dxfId="19373" priority="119535"/>
    <cfRule type="duplicateValues" dxfId="19372" priority="119533"/>
    <cfRule type="duplicateValues" dxfId="19371" priority="119532"/>
    <cfRule type="duplicateValues" dxfId="19370" priority="119529"/>
    <cfRule type="duplicateValues" dxfId="19369" priority="119528"/>
    <cfRule type="duplicateValues" dxfId="19368" priority="119526"/>
    <cfRule type="duplicateValues" dxfId="19367" priority="119521"/>
    <cfRule type="duplicateValues" dxfId="19366" priority="119520"/>
    <cfRule type="duplicateValues" dxfId="19365" priority="119518"/>
    <cfRule type="duplicateValues" dxfId="19364" priority="119515"/>
    <cfRule type="duplicateValues" dxfId="19363" priority="127127"/>
    <cfRule type="duplicateValues" dxfId="19362" priority="127128"/>
    <cfRule type="duplicateValues" dxfId="19361" priority="127130"/>
    <cfRule type="duplicateValues" dxfId="19360" priority="110522"/>
    <cfRule type="duplicateValues" dxfId="19359" priority="110520"/>
    <cfRule type="duplicateValues" dxfId="19358" priority="110519"/>
    <cfRule type="duplicateValues" dxfId="19357" priority="110516"/>
    <cfRule type="duplicateValues" dxfId="19356" priority="110515"/>
    <cfRule type="duplicateValues" dxfId="19355" priority="110513"/>
    <cfRule type="duplicateValues" dxfId="19354" priority="110508"/>
    <cfRule type="duplicateValues" dxfId="19353" priority="110507"/>
    <cfRule type="duplicateValues" dxfId="19352" priority="110505"/>
    <cfRule type="duplicateValues" dxfId="19351" priority="110502"/>
    <cfRule type="duplicateValues" dxfId="19350" priority="110496"/>
    <cfRule type="duplicateValues" dxfId="19349" priority="110495"/>
    <cfRule type="duplicateValues" dxfId="19348" priority="110493"/>
    <cfRule type="duplicateValues" dxfId="19347" priority="110490"/>
    <cfRule type="duplicateValues" dxfId="19346" priority="110485"/>
    <cfRule type="duplicateValues" dxfId="19345" priority="125381"/>
    <cfRule type="duplicateValues" dxfId="19344" priority="125383"/>
    <cfRule type="duplicateValues" dxfId="19343" priority="125384"/>
    <cfRule type="duplicateValues" dxfId="19342" priority="125387"/>
    <cfRule type="duplicateValues" dxfId="19341" priority="125388"/>
    <cfRule type="duplicateValues" dxfId="19340" priority="125390"/>
    <cfRule type="duplicateValues" dxfId="19339" priority="128644"/>
    <cfRule type="duplicateValues" dxfId="19338" priority="78225"/>
    <cfRule type="duplicateValues" dxfId="19337" priority="88116"/>
    <cfRule type="duplicateValues" dxfId="19336" priority="78099"/>
    <cfRule type="duplicateValues" dxfId="19335" priority="78101"/>
    <cfRule type="duplicateValues" dxfId="19334" priority="78106"/>
    <cfRule type="duplicateValues" dxfId="19333" priority="78108"/>
    <cfRule type="duplicateValues" dxfId="19332" priority="78113"/>
    <cfRule type="duplicateValues" dxfId="19331" priority="78119"/>
    <cfRule type="duplicateValues" dxfId="19330" priority="78124"/>
    <cfRule type="duplicateValues" dxfId="19329" priority="78127"/>
    <cfRule type="duplicateValues" dxfId="19328" priority="78129"/>
    <cfRule type="duplicateValues" dxfId="19327" priority="78130"/>
    <cfRule type="duplicateValues" dxfId="19326" priority="78134"/>
    <cfRule type="duplicateValues" dxfId="19325" priority="78136"/>
    <cfRule type="duplicateValues" dxfId="19324" priority="78141"/>
    <cfRule type="duplicateValues" dxfId="19323" priority="78143"/>
    <cfRule type="duplicateValues" dxfId="19322" priority="78148"/>
    <cfRule type="duplicateValues" dxfId="19321" priority="78153"/>
    <cfRule type="duplicateValues" dxfId="19320" priority="78157"/>
    <cfRule type="duplicateValues" dxfId="19319" priority="78160"/>
    <cfRule type="duplicateValues" dxfId="19318" priority="78162"/>
    <cfRule type="duplicateValues" dxfId="19317" priority="78163"/>
    <cfRule type="duplicateValues" dxfId="19316" priority="78170"/>
    <cfRule type="duplicateValues" dxfId="19315" priority="78176"/>
    <cfRule type="duplicateValues" dxfId="19314" priority="78181"/>
    <cfRule type="duplicateValues" dxfId="19313" priority="78184"/>
    <cfRule type="duplicateValues" dxfId="19312" priority="78186"/>
    <cfRule type="duplicateValues" dxfId="19311" priority="78187"/>
    <cfRule type="duplicateValues" dxfId="19310" priority="78193"/>
    <cfRule type="duplicateValues" dxfId="19309" priority="78198"/>
    <cfRule type="duplicateValues" dxfId="19308" priority="78203"/>
    <cfRule type="duplicateValues" dxfId="19307" priority="78204"/>
    <cfRule type="duplicateValues" dxfId="19306" priority="78211"/>
    <cfRule type="duplicateValues" dxfId="19305" priority="78214"/>
    <cfRule type="duplicateValues" dxfId="19304" priority="78216"/>
    <cfRule type="duplicateValues" dxfId="19303" priority="78217"/>
    <cfRule type="duplicateValues" dxfId="19302" priority="78222"/>
    <cfRule type="duplicateValues" dxfId="19301" priority="78224"/>
    <cfRule type="duplicateValues" dxfId="19300" priority="78228"/>
    <cfRule type="duplicateValues" dxfId="19299" priority="78229"/>
    <cfRule type="duplicateValues" dxfId="19298" priority="78231"/>
    <cfRule type="duplicateValues" dxfId="19297" priority="78238"/>
    <cfRule type="duplicateValues" dxfId="19296" priority="78239"/>
    <cfRule type="duplicateValues" dxfId="19295" priority="78240"/>
    <cfRule type="duplicateValues" dxfId="19294" priority="78241"/>
    <cfRule type="duplicateValues" dxfId="19293" priority="78242"/>
    <cfRule type="duplicateValues" dxfId="19292" priority="78243"/>
    <cfRule type="duplicateValues" dxfId="19291" priority="78244"/>
    <cfRule type="duplicateValues" dxfId="19290" priority="78245"/>
    <cfRule type="duplicateValues" dxfId="19289" priority="78246"/>
    <cfRule type="duplicateValues" dxfId="19288" priority="78247"/>
    <cfRule type="duplicateValues" dxfId="19287" priority="78248"/>
    <cfRule type="duplicateValues" dxfId="19286" priority="78165"/>
  </conditionalFormatting>
  <conditionalFormatting sqref="N112:N135">
    <cfRule type="duplicateValues" dxfId="19285" priority="140803"/>
  </conditionalFormatting>
  <conditionalFormatting sqref="N114:N135">
    <cfRule type="duplicateValues" dxfId="19284" priority="78265"/>
    <cfRule type="duplicateValues" dxfId="19283" priority="110498"/>
    <cfRule type="duplicateValues" dxfId="19282" priority="110525"/>
    <cfRule type="duplicateValues" dxfId="19281" priority="131174"/>
    <cfRule type="duplicateValues" dxfId="19280" priority="78271"/>
    <cfRule type="duplicateValues" dxfId="19279" priority="78219"/>
    <cfRule type="duplicateValues" dxfId="19278" priority="110510"/>
    <cfRule type="duplicateValues" dxfId="19277" priority="128647"/>
    <cfRule type="duplicateValues" dxfId="19276" priority="78282"/>
    <cfRule type="duplicateValues" dxfId="19275" priority="127133"/>
    <cfRule type="duplicateValues" dxfId="19274" priority="119523"/>
    <cfRule type="duplicateValues" dxfId="19273" priority="119538"/>
    <cfRule type="duplicateValues" dxfId="19272" priority="130616"/>
    <cfRule type="duplicateValues" dxfId="19271" priority="78234"/>
    <cfRule type="duplicateValues" dxfId="19270" priority="125393"/>
    <cfRule type="duplicateValues" dxfId="19269" priority="78206"/>
  </conditionalFormatting>
  <conditionalFormatting sqref="N137">
    <cfRule type="duplicateValues" dxfId="19268" priority="11254"/>
  </conditionalFormatting>
  <conditionalFormatting sqref="N159">
    <cfRule type="duplicateValues" dxfId="19267" priority="58"/>
    <cfRule type="duplicateValues" dxfId="19266" priority="57"/>
  </conditionalFormatting>
  <conditionalFormatting sqref="N160">
    <cfRule type="duplicateValues" dxfId="19265" priority="115534"/>
  </conditionalFormatting>
  <conditionalFormatting sqref="N175">
    <cfRule type="duplicateValues" dxfId="19264" priority="18816"/>
  </conditionalFormatting>
  <conditionalFormatting sqref="N176">
    <cfRule type="duplicateValues" dxfId="19263" priority="47853"/>
  </conditionalFormatting>
  <conditionalFormatting sqref="N177">
    <cfRule type="duplicateValues" dxfId="19262" priority="58078"/>
  </conditionalFormatting>
  <conditionalFormatting sqref="N179">
    <cfRule type="duplicateValues" dxfId="19261" priority="55373"/>
  </conditionalFormatting>
  <conditionalFormatting sqref="N193">
    <cfRule type="duplicateValues" dxfId="19260" priority="7018"/>
  </conditionalFormatting>
  <conditionalFormatting sqref="N194">
    <cfRule type="duplicateValues" dxfId="19259" priority="5368"/>
  </conditionalFormatting>
  <conditionalFormatting sqref="N195">
    <cfRule type="duplicateValues" dxfId="19258" priority="5369"/>
  </conditionalFormatting>
  <conditionalFormatting sqref="P4">
    <cfRule type="duplicateValues" dxfId="19257" priority="7388"/>
    <cfRule type="duplicateValues" dxfId="19256" priority="7389"/>
    <cfRule type="duplicateValues" dxfId="19255" priority="7390"/>
    <cfRule type="duplicateValues" dxfId="19254" priority="7391"/>
    <cfRule type="duplicateValues" dxfId="19253" priority="7392"/>
    <cfRule type="duplicateValues" dxfId="19252" priority="7393"/>
    <cfRule type="duplicateValues" dxfId="19251" priority="7394"/>
    <cfRule type="duplicateValues" dxfId="19250" priority="7395"/>
    <cfRule type="duplicateValues" dxfId="19249" priority="7396"/>
    <cfRule type="duplicateValues" dxfId="19248" priority="7397"/>
    <cfRule type="duplicateValues" dxfId="19247" priority="7398"/>
    <cfRule type="duplicateValues" dxfId="19246" priority="7399"/>
    <cfRule type="duplicateValues" dxfId="19245" priority="7400"/>
    <cfRule type="duplicateValues" dxfId="19244" priority="7401"/>
    <cfRule type="duplicateValues" dxfId="19243" priority="7402"/>
    <cfRule type="duplicateValues" dxfId="19242" priority="7403"/>
    <cfRule type="duplicateValues" dxfId="19241" priority="7404"/>
    <cfRule type="duplicateValues" dxfId="19240" priority="7405"/>
    <cfRule type="duplicateValues" dxfId="19239" priority="7406"/>
    <cfRule type="duplicateValues" dxfId="19238" priority="7407"/>
    <cfRule type="duplicateValues" dxfId="19237" priority="7408"/>
    <cfRule type="duplicateValues" dxfId="19236" priority="7409"/>
    <cfRule type="duplicateValues" dxfId="19235" priority="7410"/>
    <cfRule type="duplicateValues" dxfId="19234" priority="7411"/>
    <cfRule type="duplicateValues" dxfId="19233" priority="7412"/>
    <cfRule type="duplicateValues" dxfId="19232" priority="7413"/>
    <cfRule type="duplicateValues" dxfId="19231" priority="7414"/>
    <cfRule type="duplicateValues" dxfId="19230" priority="7415"/>
    <cfRule type="duplicateValues" dxfId="19229" priority="7416"/>
    <cfRule type="duplicateValues" dxfId="19228" priority="7417"/>
    <cfRule type="duplicateValues" dxfId="19227" priority="7418"/>
    <cfRule type="duplicateValues" dxfId="19226" priority="7419"/>
    <cfRule type="duplicateValues" dxfId="19225" priority="7420"/>
    <cfRule type="duplicateValues" dxfId="19224" priority="7421"/>
    <cfRule type="duplicateValues" dxfId="19223" priority="7422"/>
    <cfRule type="duplicateValues" dxfId="19222" priority="7423"/>
    <cfRule type="duplicateValues" dxfId="19221" priority="7424"/>
    <cfRule type="duplicateValues" dxfId="19220" priority="7425"/>
    <cfRule type="duplicateValues" dxfId="19219" priority="7426"/>
    <cfRule type="duplicateValues" dxfId="19218" priority="7427"/>
    <cfRule type="duplicateValues" dxfId="19217" priority="7428"/>
    <cfRule type="duplicateValues" dxfId="19216" priority="7430"/>
    <cfRule type="duplicateValues" dxfId="19215" priority="7431"/>
    <cfRule type="duplicateValues" dxfId="19214" priority="7432"/>
    <cfRule type="duplicateValues" dxfId="19213" priority="7433"/>
    <cfRule type="duplicateValues" dxfId="19212" priority="7434"/>
    <cfRule type="duplicateValues" dxfId="19211" priority="7435"/>
    <cfRule type="duplicateValues" dxfId="19210" priority="7436"/>
    <cfRule type="duplicateValues" dxfId="19209" priority="7437"/>
    <cfRule type="duplicateValues" dxfId="19208" priority="7438"/>
    <cfRule type="duplicateValues" dxfId="19207" priority="7439"/>
    <cfRule type="duplicateValues" dxfId="19206" priority="7440"/>
    <cfRule type="duplicateValues" dxfId="19205" priority="7441"/>
    <cfRule type="duplicateValues" dxfId="19204" priority="7442"/>
    <cfRule type="duplicateValues" dxfId="19203" priority="7443"/>
    <cfRule type="duplicateValues" dxfId="19202" priority="7444"/>
    <cfRule type="duplicateValues" dxfId="19201" priority="7445"/>
    <cfRule type="duplicateValues" dxfId="19200" priority="7446"/>
    <cfRule type="duplicateValues" dxfId="19199" priority="7447"/>
    <cfRule type="duplicateValues" dxfId="19198" priority="7448"/>
    <cfRule type="duplicateValues" dxfId="19197" priority="7449"/>
    <cfRule type="duplicateValues" dxfId="19196" priority="7450"/>
    <cfRule type="duplicateValues" dxfId="19195" priority="7451"/>
    <cfRule type="duplicateValues" dxfId="19194" priority="7452"/>
    <cfRule type="duplicateValues" dxfId="19193" priority="7453"/>
    <cfRule type="duplicateValues" dxfId="19192" priority="7454"/>
    <cfRule type="duplicateValues" dxfId="19191" priority="7455"/>
    <cfRule type="duplicateValues" dxfId="19190" priority="7456"/>
    <cfRule type="duplicateValues" dxfId="19189" priority="7457"/>
    <cfRule type="duplicateValues" dxfId="19188" priority="7458"/>
    <cfRule type="duplicateValues" dxfId="19187" priority="7459"/>
    <cfRule type="duplicateValues" dxfId="19186" priority="7460"/>
    <cfRule type="duplicateValues" dxfId="19185" priority="7461"/>
    <cfRule type="duplicateValues" dxfId="19184" priority="7462"/>
    <cfRule type="duplicateValues" dxfId="19183" priority="7463"/>
    <cfRule type="duplicateValues" dxfId="19182" priority="7464"/>
    <cfRule type="duplicateValues" dxfId="19181" priority="7465"/>
    <cfRule type="duplicateValues" dxfId="19180" priority="7466"/>
    <cfRule type="duplicateValues" dxfId="19179" priority="7467"/>
    <cfRule type="duplicateValues" dxfId="19178" priority="7468"/>
    <cfRule type="duplicateValues" dxfId="19177" priority="7469"/>
    <cfRule type="duplicateValues" dxfId="19176" priority="7470"/>
    <cfRule type="duplicateValues" dxfId="19175" priority="7471"/>
    <cfRule type="duplicateValues" dxfId="19174" priority="7472"/>
    <cfRule type="duplicateValues" dxfId="19173" priority="7473"/>
    <cfRule type="duplicateValues" dxfId="19172" priority="7474"/>
    <cfRule type="duplicateValues" dxfId="19171" priority="7475"/>
    <cfRule type="duplicateValues" dxfId="19170" priority="7476"/>
    <cfRule type="duplicateValues" dxfId="19169" priority="7477"/>
    <cfRule type="duplicateValues" dxfId="19168" priority="7478"/>
    <cfRule type="duplicateValues" dxfId="19167" priority="7479"/>
    <cfRule type="duplicateValues" dxfId="19166" priority="7480"/>
    <cfRule type="duplicateValues" dxfId="19165" priority="7481"/>
    <cfRule type="duplicateValues" dxfId="19164" priority="7482"/>
    <cfRule type="duplicateValues" dxfId="19163" priority="7483"/>
    <cfRule type="duplicateValues" dxfId="19162" priority="7484"/>
    <cfRule type="duplicateValues" dxfId="19161" priority="7485"/>
    <cfRule type="duplicateValues" dxfId="19160" priority="7486"/>
    <cfRule type="duplicateValues" dxfId="19159" priority="7487"/>
    <cfRule type="duplicateValues" dxfId="19158" priority="7488"/>
    <cfRule type="duplicateValues" dxfId="19157" priority="7489"/>
    <cfRule type="duplicateValues" dxfId="19156" priority="7490"/>
    <cfRule type="duplicateValues" dxfId="19155" priority="7491"/>
    <cfRule type="duplicateValues" dxfId="19154" priority="7492"/>
    <cfRule type="duplicateValues" dxfId="19153" priority="7493"/>
    <cfRule type="duplicateValues" dxfId="19152" priority="7494"/>
    <cfRule type="duplicateValues" dxfId="19151" priority="7495"/>
    <cfRule type="duplicateValues" dxfId="19150" priority="7496"/>
    <cfRule type="duplicateValues" dxfId="19149" priority="7497"/>
    <cfRule type="duplicateValues" dxfId="19148" priority="7498"/>
    <cfRule type="duplicateValues" dxfId="19147" priority="7499"/>
    <cfRule type="duplicateValues" dxfId="19146" priority="7500"/>
    <cfRule type="duplicateValues" dxfId="19145" priority="7501"/>
    <cfRule type="duplicateValues" dxfId="19144" priority="7502"/>
    <cfRule type="duplicateValues" dxfId="19143" priority="7503"/>
    <cfRule type="duplicateValues" dxfId="19142" priority="7504"/>
    <cfRule type="duplicateValues" dxfId="19141" priority="7505"/>
    <cfRule type="duplicateValues" dxfId="19140" priority="7506"/>
    <cfRule type="duplicateValues" dxfId="19139" priority="7507"/>
    <cfRule type="duplicateValues" dxfId="19138" priority="7508"/>
    <cfRule type="duplicateValues" dxfId="19137" priority="7509"/>
    <cfRule type="duplicateValues" dxfId="19136" priority="7510"/>
    <cfRule type="duplicateValues" dxfId="19135" priority="7511"/>
    <cfRule type="duplicateValues" dxfId="19134" priority="7512"/>
    <cfRule type="duplicateValues" dxfId="19133" priority="7513"/>
    <cfRule type="duplicateValues" dxfId="19132" priority="7514"/>
    <cfRule type="duplicateValues" dxfId="19131" priority="7515"/>
    <cfRule type="duplicateValues" dxfId="19130" priority="7516"/>
    <cfRule type="duplicateValues" dxfId="19129" priority="7517"/>
    <cfRule type="duplicateValues" dxfId="19128" priority="7518"/>
    <cfRule type="duplicateValues" dxfId="19127" priority="7519"/>
    <cfRule type="duplicateValues" dxfId="19126" priority="7520"/>
    <cfRule type="duplicateValues" dxfId="19125" priority="7521"/>
    <cfRule type="duplicateValues" dxfId="19124" priority="7522"/>
    <cfRule type="duplicateValues" dxfId="19123" priority="7523"/>
    <cfRule type="duplicateValues" dxfId="19122" priority="7524"/>
    <cfRule type="duplicateValues" dxfId="19121" priority="7525"/>
    <cfRule type="duplicateValues" dxfId="19120" priority="7526"/>
    <cfRule type="duplicateValues" dxfId="19119" priority="7527"/>
    <cfRule type="duplicateValues" dxfId="19118" priority="7528"/>
    <cfRule type="duplicateValues" dxfId="19117" priority="7529"/>
    <cfRule type="duplicateValues" dxfId="19116" priority="7530"/>
    <cfRule type="duplicateValues" dxfId="19115" priority="7531"/>
    <cfRule type="duplicateValues" dxfId="19114" priority="7532"/>
    <cfRule type="duplicateValues" dxfId="19113" priority="7533"/>
    <cfRule type="duplicateValues" dxfId="19112" priority="7534"/>
    <cfRule type="duplicateValues" dxfId="19111" priority="7535"/>
    <cfRule type="duplicateValues" dxfId="19110" priority="7536"/>
    <cfRule type="duplicateValues" dxfId="19109" priority="7537"/>
    <cfRule type="duplicateValues" dxfId="19108" priority="7538"/>
    <cfRule type="duplicateValues" dxfId="19107" priority="7539"/>
    <cfRule type="duplicateValues" dxfId="19106" priority="7540"/>
    <cfRule type="duplicateValues" dxfId="19105" priority="7541"/>
    <cfRule type="duplicateValues" dxfId="19104" priority="7542"/>
    <cfRule type="duplicateValues" dxfId="19103" priority="7543"/>
    <cfRule type="duplicateValues" dxfId="19102" priority="7544"/>
    <cfRule type="duplicateValues" dxfId="19101" priority="7545"/>
    <cfRule type="duplicateValues" dxfId="19100" priority="7546"/>
    <cfRule type="duplicateValues" dxfId="19099" priority="7547"/>
    <cfRule type="duplicateValues" dxfId="19098" priority="7548"/>
    <cfRule type="duplicateValues" dxfId="19097" priority="7549"/>
    <cfRule type="duplicateValues" dxfId="19096" priority="7550"/>
    <cfRule type="duplicateValues" dxfId="19095" priority="7551"/>
    <cfRule type="duplicateValues" dxfId="19094" priority="7552"/>
    <cfRule type="duplicateValues" dxfId="19093" priority="7553"/>
    <cfRule type="duplicateValues" dxfId="19092" priority="7554"/>
    <cfRule type="duplicateValues" dxfId="19091" priority="7555"/>
    <cfRule type="duplicateValues" dxfId="19090" priority="7556"/>
    <cfRule type="duplicateValues" dxfId="19089" priority="7557"/>
    <cfRule type="duplicateValues" dxfId="19088" priority="7558"/>
    <cfRule type="duplicateValues" dxfId="19087" priority="7559"/>
    <cfRule type="duplicateValues" dxfId="19086" priority="7560"/>
    <cfRule type="duplicateValues" dxfId="19085" priority="7561"/>
    <cfRule type="duplicateValues" dxfId="19084" priority="7562"/>
    <cfRule type="duplicateValues" dxfId="19083" priority="7563"/>
    <cfRule type="duplicateValues" dxfId="19082" priority="7564"/>
    <cfRule type="duplicateValues" dxfId="19081" priority="7565"/>
    <cfRule type="duplicateValues" dxfId="19080" priority="7566"/>
    <cfRule type="duplicateValues" dxfId="19079" priority="7567"/>
    <cfRule type="duplicateValues" dxfId="19078" priority="7568"/>
    <cfRule type="duplicateValues" dxfId="19077" priority="7569"/>
    <cfRule type="duplicateValues" dxfId="19076" priority="7570"/>
    <cfRule type="duplicateValues" dxfId="19075" priority="7571"/>
    <cfRule type="duplicateValues" dxfId="19074" priority="7572"/>
    <cfRule type="duplicateValues" dxfId="19073" priority="7573"/>
    <cfRule type="duplicateValues" dxfId="19072" priority="7574"/>
    <cfRule type="duplicateValues" dxfId="19071" priority="7575"/>
    <cfRule type="duplicateValues" dxfId="19070" priority="7576"/>
    <cfRule type="duplicateValues" dxfId="19069" priority="7577"/>
    <cfRule type="duplicateValues" dxfId="19068" priority="7578"/>
    <cfRule type="duplicateValues" dxfId="19067" priority="7579"/>
    <cfRule type="duplicateValues" dxfId="19066" priority="7580"/>
    <cfRule type="duplicateValues" dxfId="19065" priority="7581"/>
    <cfRule type="duplicateValues" dxfId="19064" priority="7582"/>
    <cfRule type="duplicateValues" dxfId="19063" priority="7583"/>
    <cfRule type="duplicateValues" dxfId="19062" priority="7584"/>
    <cfRule type="duplicateValues" dxfId="19061" priority="7585"/>
    <cfRule type="duplicateValues" dxfId="19060" priority="7586"/>
    <cfRule type="duplicateValues" dxfId="19059" priority="7082"/>
    <cfRule type="duplicateValues" dxfId="19058" priority="7019"/>
    <cfRule type="duplicateValues" dxfId="19057" priority="7020"/>
    <cfRule type="duplicateValues" dxfId="19056" priority="7021"/>
    <cfRule type="duplicateValues" dxfId="19055" priority="7022"/>
    <cfRule type="duplicateValues" dxfId="19054" priority="7023"/>
    <cfRule type="duplicateValues" dxfId="19053" priority="7024"/>
    <cfRule type="duplicateValues" dxfId="19052" priority="7025"/>
    <cfRule type="duplicateValues" dxfId="19051" priority="7026"/>
    <cfRule type="duplicateValues" dxfId="19050" priority="7027"/>
    <cfRule type="duplicateValues" dxfId="19049" priority="7028"/>
    <cfRule type="duplicateValues" dxfId="19048" priority="7029"/>
    <cfRule type="duplicateValues" dxfId="19047" priority="7030"/>
    <cfRule type="duplicateValues" dxfId="19046" priority="7031"/>
    <cfRule type="duplicateValues" dxfId="19045" priority="7032"/>
    <cfRule type="duplicateValues" dxfId="19044" priority="7429"/>
    <cfRule type="duplicateValues" dxfId="19043" priority="7033"/>
    <cfRule type="duplicateValues" dxfId="19042" priority="7034"/>
    <cfRule type="duplicateValues" dxfId="19041" priority="7035"/>
    <cfRule type="duplicateValues" dxfId="19040" priority="7036"/>
    <cfRule type="duplicateValues" dxfId="19039" priority="7037"/>
    <cfRule type="duplicateValues" dxfId="19038" priority="7038"/>
    <cfRule type="duplicateValues" dxfId="19037" priority="7039"/>
    <cfRule type="duplicateValues" dxfId="19036" priority="7040"/>
    <cfRule type="duplicateValues" dxfId="19035" priority="7041"/>
    <cfRule type="duplicateValues" dxfId="19034" priority="7042"/>
    <cfRule type="duplicateValues" dxfId="19033" priority="7043"/>
    <cfRule type="duplicateValues" dxfId="19032" priority="7044"/>
    <cfRule type="duplicateValues" dxfId="19031" priority="7045"/>
    <cfRule type="duplicateValues" dxfId="19030" priority="7046"/>
    <cfRule type="duplicateValues" dxfId="19029" priority="7047"/>
    <cfRule type="duplicateValues" dxfId="19028" priority="7048"/>
    <cfRule type="duplicateValues" dxfId="19027" priority="7049"/>
    <cfRule type="duplicateValues" dxfId="19026" priority="7050"/>
    <cfRule type="duplicateValues" dxfId="19025" priority="7051"/>
    <cfRule type="duplicateValues" dxfId="19024" priority="7052"/>
    <cfRule type="duplicateValues" dxfId="19023" priority="7053"/>
    <cfRule type="duplicateValues" dxfId="19022" priority="7054"/>
    <cfRule type="duplicateValues" dxfId="19021" priority="7055"/>
    <cfRule type="duplicateValues" dxfId="19020" priority="7056"/>
    <cfRule type="duplicateValues" dxfId="19019" priority="7057"/>
    <cfRule type="duplicateValues" dxfId="19018" priority="7058"/>
    <cfRule type="duplicateValues" dxfId="19017" priority="7059"/>
    <cfRule type="duplicateValues" dxfId="19016" priority="7060"/>
    <cfRule type="duplicateValues" dxfId="19015" priority="7061"/>
    <cfRule type="duplicateValues" dxfId="19014" priority="7062"/>
    <cfRule type="duplicateValues" dxfId="19013" priority="7063"/>
    <cfRule type="duplicateValues" dxfId="19012" priority="7064"/>
    <cfRule type="duplicateValues" dxfId="19011" priority="7065"/>
    <cfRule type="duplicateValues" dxfId="19010" priority="7066"/>
    <cfRule type="duplicateValues" dxfId="19009" priority="7067"/>
    <cfRule type="duplicateValues" dxfId="19008" priority="7068"/>
    <cfRule type="duplicateValues" dxfId="19007" priority="7069"/>
    <cfRule type="duplicateValues" dxfId="19006" priority="7070"/>
    <cfRule type="duplicateValues" dxfId="19005" priority="7071"/>
    <cfRule type="duplicateValues" dxfId="19004" priority="7072"/>
    <cfRule type="duplicateValues" dxfId="19003" priority="7073"/>
    <cfRule type="duplicateValues" dxfId="19002" priority="7074"/>
    <cfRule type="duplicateValues" dxfId="19001" priority="7075"/>
    <cfRule type="duplicateValues" dxfId="19000" priority="7076"/>
    <cfRule type="duplicateValues" dxfId="18999" priority="7077"/>
    <cfRule type="duplicateValues" dxfId="18998" priority="7078"/>
    <cfRule type="duplicateValues" dxfId="18997" priority="7079"/>
    <cfRule type="duplicateValues" dxfId="18996" priority="7080"/>
    <cfRule type="duplicateValues" dxfId="18995" priority="7081"/>
    <cfRule type="duplicateValues" dxfId="18994" priority="7083"/>
    <cfRule type="duplicateValues" dxfId="18993" priority="7084"/>
    <cfRule type="duplicateValues" dxfId="18992" priority="7085"/>
    <cfRule type="duplicateValues" dxfId="18991" priority="7086"/>
    <cfRule type="duplicateValues" dxfId="18990" priority="7087"/>
    <cfRule type="duplicateValues" dxfId="18989" priority="7088"/>
    <cfRule type="duplicateValues" dxfId="18988" priority="7089"/>
    <cfRule type="duplicateValues" dxfId="18987" priority="7090"/>
    <cfRule type="duplicateValues" dxfId="18986" priority="7091"/>
    <cfRule type="duplicateValues" dxfId="18985" priority="7092"/>
    <cfRule type="duplicateValues" dxfId="18984" priority="7093"/>
    <cfRule type="duplicateValues" dxfId="18983" priority="7094"/>
    <cfRule type="duplicateValues" dxfId="18982" priority="7095"/>
    <cfRule type="duplicateValues" dxfId="18981" priority="7096"/>
    <cfRule type="duplicateValues" dxfId="18980" priority="7097"/>
    <cfRule type="duplicateValues" dxfId="18979" priority="7098"/>
    <cfRule type="duplicateValues" dxfId="18978" priority="7099"/>
    <cfRule type="duplicateValues" dxfId="18977" priority="7100"/>
    <cfRule type="duplicateValues" dxfId="18976" priority="7101"/>
    <cfRule type="duplicateValues" dxfId="18975" priority="7102"/>
    <cfRule type="duplicateValues" dxfId="18974" priority="7103"/>
    <cfRule type="duplicateValues" dxfId="18973" priority="7104"/>
    <cfRule type="duplicateValues" dxfId="18972" priority="7105"/>
    <cfRule type="duplicateValues" dxfId="18971" priority="7106"/>
    <cfRule type="duplicateValues" dxfId="18970" priority="7107"/>
    <cfRule type="duplicateValues" dxfId="18969" priority="7108"/>
    <cfRule type="duplicateValues" dxfId="18968" priority="7109"/>
    <cfRule type="duplicateValues" dxfId="18967" priority="7110"/>
    <cfRule type="duplicateValues" dxfId="18966" priority="7111"/>
    <cfRule type="duplicateValues" dxfId="18965" priority="7112"/>
    <cfRule type="duplicateValues" dxfId="18964" priority="7113"/>
    <cfRule type="duplicateValues" dxfId="18963" priority="7114"/>
    <cfRule type="duplicateValues" dxfId="18962" priority="7115"/>
    <cfRule type="duplicateValues" dxfId="18961" priority="7116"/>
    <cfRule type="duplicateValues" dxfId="18960" priority="7117"/>
    <cfRule type="duplicateValues" dxfId="18959" priority="7118"/>
    <cfRule type="duplicateValues" dxfId="18958" priority="7119"/>
    <cfRule type="duplicateValues" dxfId="18957" priority="7120"/>
    <cfRule type="duplicateValues" dxfId="18956" priority="7121"/>
    <cfRule type="duplicateValues" dxfId="18955" priority="7122"/>
    <cfRule type="duplicateValues" dxfId="18954" priority="7123"/>
    <cfRule type="duplicateValues" dxfId="18953" priority="7124"/>
    <cfRule type="duplicateValues" dxfId="18952" priority="7125"/>
    <cfRule type="duplicateValues" dxfId="18951" priority="7126"/>
    <cfRule type="duplicateValues" dxfId="18950" priority="7127"/>
    <cfRule type="duplicateValues" dxfId="18949" priority="7128"/>
    <cfRule type="duplicateValues" dxfId="18948" priority="7129"/>
    <cfRule type="duplicateValues" dxfId="18947" priority="7130"/>
    <cfRule type="duplicateValues" dxfId="18946" priority="7131"/>
    <cfRule type="duplicateValues" dxfId="18945" priority="7132"/>
    <cfRule type="duplicateValues" dxfId="18944" priority="7133"/>
    <cfRule type="duplicateValues" dxfId="18943" priority="7134"/>
    <cfRule type="duplicateValues" dxfId="18942" priority="7135"/>
    <cfRule type="duplicateValues" dxfId="18941" priority="7136"/>
    <cfRule type="duplicateValues" dxfId="18940" priority="7137"/>
    <cfRule type="duplicateValues" dxfId="18939" priority="7138"/>
    <cfRule type="duplicateValues" dxfId="18938" priority="7139"/>
    <cfRule type="duplicateValues" dxfId="18937" priority="7140"/>
    <cfRule type="duplicateValues" dxfId="18936" priority="7141"/>
    <cfRule type="duplicateValues" dxfId="18935" priority="7142"/>
    <cfRule type="duplicateValues" dxfId="18934" priority="7143"/>
    <cfRule type="duplicateValues" dxfId="18933" priority="7144"/>
    <cfRule type="duplicateValues" dxfId="18932" priority="7145"/>
    <cfRule type="duplicateValues" dxfId="18931" priority="7146"/>
    <cfRule type="duplicateValues" dxfId="18930" priority="7147"/>
    <cfRule type="duplicateValues" dxfId="18929" priority="7148"/>
    <cfRule type="duplicateValues" dxfId="18928" priority="7149"/>
    <cfRule type="duplicateValues" dxfId="18927" priority="7150"/>
    <cfRule type="duplicateValues" dxfId="18926" priority="7151"/>
    <cfRule type="duplicateValues" dxfId="18925" priority="7152"/>
    <cfRule type="duplicateValues" dxfId="18924" priority="7153"/>
    <cfRule type="duplicateValues" dxfId="18923" priority="7154"/>
    <cfRule type="duplicateValues" dxfId="18922" priority="7155"/>
    <cfRule type="duplicateValues" dxfId="18921" priority="7156"/>
    <cfRule type="duplicateValues" dxfId="18920" priority="7157"/>
    <cfRule type="duplicateValues" dxfId="18919" priority="7158"/>
    <cfRule type="duplicateValues" dxfId="18918" priority="7159"/>
    <cfRule type="duplicateValues" dxfId="18917" priority="7160"/>
    <cfRule type="duplicateValues" dxfId="18916" priority="7161"/>
    <cfRule type="duplicateValues" dxfId="18915" priority="7162"/>
    <cfRule type="duplicateValues" dxfId="18914" priority="7163"/>
    <cfRule type="duplicateValues" dxfId="18913" priority="7164"/>
    <cfRule type="duplicateValues" dxfId="18912" priority="7165"/>
    <cfRule type="duplicateValues" dxfId="18911" priority="7166"/>
    <cfRule type="duplicateValues" dxfId="18910" priority="7167"/>
    <cfRule type="duplicateValues" dxfId="18909" priority="7168"/>
    <cfRule type="duplicateValues" dxfId="18908" priority="7169"/>
    <cfRule type="duplicateValues" dxfId="18907" priority="7170"/>
    <cfRule type="duplicateValues" dxfId="18906" priority="7171"/>
    <cfRule type="duplicateValues" dxfId="18905" priority="7172"/>
    <cfRule type="duplicateValues" dxfId="18904" priority="7173"/>
    <cfRule type="duplicateValues" dxfId="18903" priority="7174"/>
    <cfRule type="duplicateValues" dxfId="18902" priority="7175"/>
    <cfRule type="duplicateValues" dxfId="18901" priority="7176"/>
    <cfRule type="duplicateValues" dxfId="18900" priority="7177"/>
    <cfRule type="duplicateValues" dxfId="18899" priority="7178"/>
    <cfRule type="duplicateValues" dxfId="18898" priority="7179"/>
    <cfRule type="duplicateValues" dxfId="18897" priority="7180"/>
    <cfRule type="duplicateValues" dxfId="18896" priority="7181"/>
    <cfRule type="duplicateValues" dxfId="18895" priority="7182"/>
    <cfRule type="duplicateValues" dxfId="18894" priority="7183"/>
    <cfRule type="duplicateValues" dxfId="18893" priority="7184"/>
    <cfRule type="duplicateValues" dxfId="18892" priority="7185"/>
    <cfRule type="duplicateValues" dxfId="18891" priority="7186"/>
    <cfRule type="duplicateValues" dxfId="18890" priority="7187"/>
    <cfRule type="duplicateValues" dxfId="18889" priority="7188"/>
    <cfRule type="duplicateValues" dxfId="18888" priority="7189"/>
    <cfRule type="duplicateValues" dxfId="18887" priority="7190"/>
    <cfRule type="duplicateValues" dxfId="18886" priority="7191"/>
    <cfRule type="duplicateValues" dxfId="18885" priority="7192"/>
    <cfRule type="duplicateValues" dxfId="18884" priority="7193"/>
    <cfRule type="duplicateValues" dxfId="18883" priority="7194"/>
    <cfRule type="duplicateValues" dxfId="18882" priority="7195"/>
    <cfRule type="duplicateValues" dxfId="18881" priority="7196"/>
    <cfRule type="duplicateValues" dxfId="18880" priority="7197"/>
    <cfRule type="duplicateValues" dxfId="18879" priority="7198"/>
    <cfRule type="duplicateValues" dxfId="18878" priority="7199"/>
    <cfRule type="duplicateValues" dxfId="18877" priority="7200"/>
    <cfRule type="duplicateValues" dxfId="18876" priority="7201"/>
    <cfRule type="duplicateValues" dxfId="18875" priority="7202"/>
    <cfRule type="duplicateValues" dxfId="18874" priority="7203"/>
    <cfRule type="duplicateValues" dxfId="18873" priority="7204"/>
    <cfRule type="duplicateValues" dxfId="18872" priority="7205"/>
    <cfRule type="duplicateValues" dxfId="18871" priority="7206"/>
    <cfRule type="duplicateValues" dxfId="18870" priority="7207"/>
    <cfRule type="duplicateValues" dxfId="18869" priority="7208"/>
    <cfRule type="duplicateValues" dxfId="18868" priority="7209"/>
    <cfRule type="duplicateValues" dxfId="18867" priority="7210"/>
    <cfRule type="duplicateValues" dxfId="18866" priority="7211"/>
    <cfRule type="duplicateValues" dxfId="18865" priority="7212"/>
    <cfRule type="duplicateValues" dxfId="18864" priority="7213"/>
    <cfRule type="duplicateValues" dxfId="18863" priority="7214"/>
    <cfRule type="duplicateValues" dxfId="18862" priority="7215"/>
    <cfRule type="duplicateValues" dxfId="18861" priority="7216"/>
    <cfRule type="duplicateValues" dxfId="18860" priority="7217"/>
    <cfRule type="duplicateValues" dxfId="18859" priority="7218"/>
    <cfRule type="duplicateValues" dxfId="18858" priority="7219"/>
    <cfRule type="duplicateValues" dxfId="18857" priority="7220"/>
    <cfRule type="duplicateValues" dxfId="18856" priority="7221"/>
    <cfRule type="duplicateValues" dxfId="18855" priority="7222"/>
    <cfRule type="duplicateValues" dxfId="18854" priority="7223"/>
    <cfRule type="duplicateValues" dxfId="18853" priority="7224"/>
    <cfRule type="duplicateValues" dxfId="18852" priority="7225"/>
    <cfRule type="duplicateValues" dxfId="18851" priority="7226"/>
    <cfRule type="duplicateValues" dxfId="18850" priority="7227"/>
    <cfRule type="duplicateValues" dxfId="18849" priority="7228"/>
    <cfRule type="duplicateValues" dxfId="18848" priority="7229"/>
    <cfRule type="duplicateValues" dxfId="18847" priority="7230"/>
    <cfRule type="duplicateValues" dxfId="18846" priority="7231"/>
    <cfRule type="duplicateValues" dxfId="18845" priority="7232"/>
    <cfRule type="duplicateValues" dxfId="18844" priority="7233"/>
    <cfRule type="duplicateValues" dxfId="18843" priority="7234"/>
    <cfRule type="duplicateValues" dxfId="18842" priority="7235"/>
    <cfRule type="duplicateValues" dxfId="18841" priority="7236"/>
    <cfRule type="duplicateValues" dxfId="18840" priority="7237"/>
    <cfRule type="duplicateValues" dxfId="18839" priority="7238"/>
    <cfRule type="duplicateValues" dxfId="18838" priority="7239"/>
    <cfRule type="duplicateValues" dxfId="18837" priority="7240"/>
    <cfRule type="duplicateValues" dxfId="18836" priority="7241"/>
    <cfRule type="duplicateValues" dxfId="18835" priority="7242"/>
    <cfRule type="duplicateValues" dxfId="18834" priority="7243"/>
    <cfRule type="duplicateValues" dxfId="18833" priority="7244"/>
    <cfRule type="duplicateValues" dxfId="18832" priority="7245"/>
    <cfRule type="duplicateValues" dxfId="18831" priority="7246"/>
    <cfRule type="duplicateValues" dxfId="18830" priority="7247"/>
    <cfRule type="duplicateValues" dxfId="18829" priority="7248"/>
    <cfRule type="duplicateValues" dxfId="18828" priority="7249"/>
    <cfRule type="duplicateValues" dxfId="18827" priority="7250"/>
    <cfRule type="duplicateValues" dxfId="18826" priority="7251"/>
    <cfRule type="duplicateValues" dxfId="18825" priority="7252"/>
    <cfRule type="duplicateValues" dxfId="18824" priority="7253"/>
    <cfRule type="duplicateValues" dxfId="18823" priority="7254"/>
    <cfRule type="duplicateValues" dxfId="18822" priority="7255"/>
    <cfRule type="duplicateValues" dxfId="18821" priority="7256"/>
    <cfRule type="duplicateValues" dxfId="18820" priority="7257"/>
    <cfRule type="duplicateValues" dxfId="18819" priority="7258"/>
    <cfRule type="duplicateValues" dxfId="18818" priority="7259"/>
    <cfRule type="duplicateValues" dxfId="18817" priority="7260"/>
    <cfRule type="duplicateValues" dxfId="18816" priority="7261"/>
    <cfRule type="duplicateValues" dxfId="18815" priority="7262"/>
    <cfRule type="duplicateValues" dxfId="18814" priority="7263"/>
    <cfRule type="duplicateValues" dxfId="18813" priority="7264"/>
    <cfRule type="duplicateValues" dxfId="18812" priority="7265"/>
    <cfRule type="duplicateValues" dxfId="18811" priority="7266"/>
    <cfRule type="duplicateValues" dxfId="18810" priority="7267"/>
    <cfRule type="duplicateValues" dxfId="18809" priority="7268"/>
    <cfRule type="duplicateValues" dxfId="18808" priority="7269"/>
    <cfRule type="duplicateValues" dxfId="18807" priority="7270"/>
    <cfRule type="duplicateValues" dxfId="18806" priority="7271"/>
    <cfRule type="duplicateValues" dxfId="18805" priority="7272"/>
    <cfRule type="duplicateValues" dxfId="18804" priority="7273"/>
    <cfRule type="duplicateValues" dxfId="18803" priority="7274"/>
    <cfRule type="duplicateValues" dxfId="18802" priority="7275"/>
    <cfRule type="duplicateValues" dxfId="18801" priority="7276"/>
    <cfRule type="duplicateValues" dxfId="18800" priority="7277"/>
    <cfRule type="duplicateValues" dxfId="18799" priority="7278"/>
    <cfRule type="duplicateValues" dxfId="18798" priority="7279"/>
    <cfRule type="duplicateValues" dxfId="18797" priority="7280"/>
    <cfRule type="duplicateValues" dxfId="18796" priority="7281"/>
    <cfRule type="duplicateValues" dxfId="18795" priority="7282"/>
    <cfRule type="duplicateValues" dxfId="18794" priority="7283"/>
    <cfRule type="duplicateValues" dxfId="18793" priority="7284"/>
    <cfRule type="duplicateValues" dxfId="18792" priority="7285"/>
    <cfRule type="duplicateValues" dxfId="18791" priority="7286"/>
    <cfRule type="duplicateValues" dxfId="18790" priority="7287"/>
    <cfRule type="duplicateValues" dxfId="18789" priority="7288"/>
    <cfRule type="duplicateValues" dxfId="18788" priority="7289"/>
    <cfRule type="duplicateValues" dxfId="18787" priority="7290"/>
    <cfRule type="duplicateValues" dxfId="18786" priority="7291"/>
    <cfRule type="duplicateValues" dxfId="18785" priority="7292"/>
    <cfRule type="duplicateValues" dxfId="18784" priority="7293"/>
    <cfRule type="duplicateValues" dxfId="18783" priority="7294"/>
    <cfRule type="duplicateValues" dxfId="18782" priority="7295"/>
    <cfRule type="duplicateValues" dxfId="18781" priority="7296"/>
    <cfRule type="duplicateValues" dxfId="18780" priority="7297"/>
    <cfRule type="duplicateValues" dxfId="18779" priority="7298"/>
    <cfRule type="duplicateValues" dxfId="18778" priority="7299"/>
    <cfRule type="duplicateValues" dxfId="18777" priority="7300"/>
    <cfRule type="duplicateValues" dxfId="18776" priority="7301"/>
    <cfRule type="duplicateValues" dxfId="18775" priority="7302"/>
    <cfRule type="duplicateValues" dxfId="18774" priority="7303"/>
    <cfRule type="duplicateValues" dxfId="18773" priority="7304"/>
    <cfRule type="duplicateValues" dxfId="18772" priority="7305"/>
    <cfRule type="duplicateValues" dxfId="18771" priority="7306"/>
    <cfRule type="duplicateValues" dxfId="18770" priority="7307"/>
    <cfRule type="duplicateValues" dxfId="18769" priority="7308"/>
    <cfRule type="duplicateValues" dxfId="18768" priority="7309"/>
    <cfRule type="duplicateValues" dxfId="18767" priority="7310"/>
    <cfRule type="duplicateValues" dxfId="18766" priority="7311"/>
    <cfRule type="duplicateValues" dxfId="18765" priority="7312"/>
    <cfRule type="duplicateValues" dxfId="18764" priority="7313"/>
    <cfRule type="duplicateValues" dxfId="18763" priority="7314"/>
    <cfRule type="duplicateValues" dxfId="18762" priority="7315"/>
    <cfRule type="duplicateValues" dxfId="18761" priority="7316"/>
    <cfRule type="duplicateValues" dxfId="18760" priority="7317"/>
    <cfRule type="duplicateValues" dxfId="18759" priority="7318"/>
    <cfRule type="duplicateValues" dxfId="18758" priority="7319"/>
    <cfRule type="duplicateValues" dxfId="18757" priority="7320"/>
    <cfRule type="duplicateValues" dxfId="18756" priority="7321"/>
    <cfRule type="duplicateValues" dxfId="18755" priority="7322"/>
    <cfRule type="duplicateValues" dxfId="18754" priority="7323"/>
    <cfRule type="duplicateValues" dxfId="18753" priority="7324"/>
    <cfRule type="duplicateValues" dxfId="18752" priority="7325"/>
    <cfRule type="duplicateValues" dxfId="18751" priority="7326"/>
    <cfRule type="duplicateValues" dxfId="18750" priority="7327"/>
    <cfRule type="duplicateValues" dxfId="18749" priority="7328"/>
    <cfRule type="duplicateValues" dxfId="18748" priority="7329"/>
    <cfRule type="duplicateValues" dxfId="18747" priority="7330"/>
    <cfRule type="duplicateValues" dxfId="18746" priority="7331"/>
    <cfRule type="duplicateValues" dxfId="18745" priority="7332"/>
    <cfRule type="duplicateValues" dxfId="18744" priority="7333"/>
    <cfRule type="duplicateValues" dxfId="18743" priority="7334"/>
    <cfRule type="duplicateValues" dxfId="18742" priority="7335"/>
    <cfRule type="duplicateValues" dxfId="18741" priority="7336"/>
    <cfRule type="duplicateValues" dxfId="18740" priority="7337"/>
    <cfRule type="duplicateValues" dxfId="18739" priority="7338"/>
    <cfRule type="duplicateValues" dxfId="18738" priority="7339"/>
    <cfRule type="duplicateValues" dxfId="18737" priority="7340"/>
    <cfRule type="duplicateValues" dxfId="18736" priority="7341"/>
    <cfRule type="duplicateValues" dxfId="18735" priority="7342"/>
    <cfRule type="duplicateValues" dxfId="18734" priority="7343"/>
    <cfRule type="duplicateValues" dxfId="18733" priority="7344"/>
    <cfRule type="duplicateValues" dxfId="18732" priority="7345"/>
    <cfRule type="duplicateValues" dxfId="18731" priority="7346"/>
    <cfRule type="duplicateValues" dxfId="18730" priority="7347"/>
    <cfRule type="duplicateValues" dxfId="18729" priority="7348"/>
    <cfRule type="duplicateValues" dxfId="18728" priority="7349"/>
    <cfRule type="duplicateValues" dxfId="18727" priority="7350"/>
    <cfRule type="duplicateValues" dxfId="18726" priority="7351"/>
    <cfRule type="duplicateValues" dxfId="18725" priority="7352"/>
    <cfRule type="duplicateValues" dxfId="18724" priority="7353"/>
    <cfRule type="duplicateValues" dxfId="18723" priority="7354"/>
    <cfRule type="duplicateValues" dxfId="18722" priority="7355"/>
    <cfRule type="duplicateValues" dxfId="18721" priority="7356"/>
    <cfRule type="duplicateValues" dxfId="18720" priority="7357"/>
    <cfRule type="duplicateValues" dxfId="18719" priority="7358"/>
    <cfRule type="duplicateValues" dxfId="18718" priority="7359"/>
    <cfRule type="duplicateValues" dxfId="18717" priority="7360"/>
    <cfRule type="duplicateValues" dxfId="18716" priority="7361"/>
    <cfRule type="duplicateValues" dxfId="18715" priority="7362"/>
    <cfRule type="duplicateValues" dxfId="18714" priority="7363"/>
    <cfRule type="duplicateValues" dxfId="18713" priority="7364"/>
    <cfRule type="duplicateValues" dxfId="18712" priority="7365"/>
    <cfRule type="duplicateValues" dxfId="18711" priority="7366"/>
    <cfRule type="duplicateValues" dxfId="18710" priority="7367"/>
    <cfRule type="duplicateValues" dxfId="18709" priority="7368"/>
    <cfRule type="duplicateValues" dxfId="18708" priority="7369"/>
    <cfRule type="duplicateValues" dxfId="18707" priority="7370"/>
    <cfRule type="duplicateValues" dxfId="18706" priority="7371"/>
    <cfRule type="duplicateValues" dxfId="18705" priority="7372"/>
    <cfRule type="duplicateValues" dxfId="18704" priority="7373"/>
    <cfRule type="duplicateValues" dxfId="18703" priority="7374"/>
    <cfRule type="duplicateValues" dxfId="18702" priority="7375"/>
    <cfRule type="duplicateValues" dxfId="18701" priority="7376"/>
    <cfRule type="duplicateValues" dxfId="18700" priority="7377"/>
    <cfRule type="duplicateValues" dxfId="18699" priority="7378"/>
    <cfRule type="duplicateValues" dxfId="18698" priority="7379"/>
    <cfRule type="duplicateValues" dxfId="18697" priority="7380"/>
    <cfRule type="duplicateValues" dxfId="18696" priority="7381"/>
    <cfRule type="duplicateValues" dxfId="18695" priority="7382"/>
    <cfRule type="duplicateValues" dxfId="18694" priority="7383"/>
    <cfRule type="duplicateValues" dxfId="18693" priority="7384"/>
    <cfRule type="duplicateValues" dxfId="18692" priority="7385"/>
    <cfRule type="duplicateValues" dxfId="18691" priority="7386"/>
    <cfRule type="duplicateValues" dxfId="18690" priority="7387"/>
  </conditionalFormatting>
  <conditionalFormatting sqref="P5">
    <cfRule type="duplicateValues" dxfId="18689" priority="27986"/>
    <cfRule type="duplicateValues" dxfId="18688" priority="28011"/>
    <cfRule type="duplicateValues" dxfId="18687" priority="28010"/>
    <cfRule type="duplicateValues" dxfId="18686" priority="28009"/>
    <cfRule type="duplicateValues" dxfId="18685" priority="28008"/>
    <cfRule type="duplicateValues" dxfId="18684" priority="28007"/>
    <cfRule type="duplicateValues" dxfId="18683" priority="28006"/>
    <cfRule type="duplicateValues" dxfId="18682" priority="28005"/>
    <cfRule type="duplicateValues" dxfId="18681" priority="28004"/>
    <cfRule type="duplicateValues" dxfId="18680" priority="28003"/>
    <cfRule type="duplicateValues" dxfId="18679" priority="28002"/>
    <cfRule type="duplicateValues" dxfId="18678" priority="28045"/>
    <cfRule type="duplicateValues" dxfId="18677" priority="27875"/>
    <cfRule type="duplicateValues" dxfId="18676" priority="27917"/>
    <cfRule type="duplicateValues" dxfId="18675" priority="27950"/>
    <cfRule type="duplicateValues" dxfId="18674" priority="27985"/>
    <cfRule type="duplicateValues" dxfId="18673" priority="27949"/>
    <cfRule type="duplicateValues" dxfId="18672" priority="27948"/>
    <cfRule type="duplicateValues" dxfId="18671" priority="27947"/>
    <cfRule type="duplicateValues" dxfId="18670" priority="27946"/>
    <cfRule type="duplicateValues" dxfId="18669" priority="27909"/>
    <cfRule type="duplicateValues" dxfId="18668" priority="27945"/>
    <cfRule type="duplicateValues" dxfId="18667" priority="27888"/>
    <cfRule type="duplicateValues" dxfId="18666" priority="27880"/>
    <cfRule type="duplicateValues" dxfId="18665" priority="27944"/>
    <cfRule type="duplicateValues" dxfId="18664" priority="27943"/>
    <cfRule type="duplicateValues" dxfId="18663" priority="28013"/>
    <cfRule type="duplicateValues" dxfId="18662" priority="27942"/>
    <cfRule type="duplicateValues" dxfId="18661" priority="27916"/>
    <cfRule type="duplicateValues" dxfId="18660" priority="27915"/>
    <cfRule type="duplicateValues" dxfId="18659" priority="27941"/>
    <cfRule type="duplicateValues" dxfId="18658" priority="28025"/>
    <cfRule type="duplicateValues" dxfId="18657" priority="27984"/>
    <cfRule type="duplicateValues" dxfId="18656" priority="27908"/>
    <cfRule type="duplicateValues" dxfId="18655" priority="27983"/>
    <cfRule type="duplicateValues" dxfId="18654" priority="28024"/>
    <cfRule type="duplicateValues" dxfId="18653" priority="28023"/>
    <cfRule type="duplicateValues" dxfId="18652" priority="28022"/>
    <cfRule type="duplicateValues" dxfId="18651" priority="27896"/>
    <cfRule type="duplicateValues" dxfId="18650" priority="28044"/>
    <cfRule type="duplicateValues" dxfId="18649" priority="27940"/>
    <cfRule type="duplicateValues" dxfId="18648" priority="27907"/>
    <cfRule type="duplicateValues" dxfId="18647" priority="27939"/>
    <cfRule type="duplicateValues" dxfId="18646" priority="28043"/>
    <cfRule type="duplicateValues" dxfId="18645" priority="27938"/>
    <cfRule type="duplicateValues" dxfId="18644" priority="27937"/>
    <cfRule type="duplicateValues" dxfId="18643" priority="27936"/>
    <cfRule type="duplicateValues" dxfId="18642" priority="28021"/>
    <cfRule type="duplicateValues" dxfId="18641" priority="27906"/>
    <cfRule type="duplicateValues" dxfId="18640" priority="27935"/>
    <cfRule type="duplicateValues" dxfId="18639" priority="27886"/>
    <cfRule type="duplicateValues" dxfId="18638" priority="28042"/>
    <cfRule type="duplicateValues" dxfId="18637" priority="28001"/>
    <cfRule type="duplicateValues" dxfId="18636" priority="27982"/>
    <cfRule type="duplicateValues" dxfId="18635" priority="27925"/>
    <cfRule type="duplicateValues" dxfId="18634" priority="27934"/>
    <cfRule type="duplicateValues" dxfId="18633" priority="27981"/>
    <cfRule type="duplicateValues" dxfId="18632" priority="28012"/>
    <cfRule type="duplicateValues" dxfId="18631" priority="28000"/>
    <cfRule type="duplicateValues" dxfId="18630" priority="27905"/>
    <cfRule type="duplicateValues" dxfId="18629" priority="28221"/>
    <cfRule type="duplicateValues" dxfId="18628" priority="28041"/>
    <cfRule type="duplicateValues" dxfId="18627" priority="27999"/>
    <cfRule type="duplicateValues" dxfId="18626" priority="27933"/>
    <cfRule type="duplicateValues" dxfId="18625" priority="27904"/>
    <cfRule type="duplicateValues" dxfId="18624" priority="28020"/>
    <cfRule type="duplicateValues" dxfId="18623" priority="27998"/>
    <cfRule type="duplicateValues" dxfId="18622" priority="27932"/>
    <cfRule type="duplicateValues" dxfId="18621" priority="28019"/>
    <cfRule type="duplicateValues" dxfId="18620" priority="28018"/>
    <cfRule type="duplicateValues" dxfId="18619" priority="27931"/>
    <cfRule type="duplicateValues" dxfId="18618" priority="28017"/>
    <cfRule type="duplicateValues" dxfId="18617" priority="27930"/>
    <cfRule type="duplicateValues" dxfId="18616" priority="27903"/>
    <cfRule type="duplicateValues" dxfId="18615" priority="27980"/>
    <cfRule type="duplicateValues" dxfId="18614" priority="27979"/>
    <cfRule type="duplicateValues" dxfId="18613" priority="27902"/>
    <cfRule type="duplicateValues" dxfId="18612" priority="27978"/>
    <cfRule type="duplicateValues" dxfId="18611" priority="27901"/>
    <cfRule type="duplicateValues" dxfId="18610" priority="27977"/>
    <cfRule type="duplicateValues" dxfId="18609" priority="27976"/>
    <cfRule type="duplicateValues" dxfId="18608" priority="27924"/>
    <cfRule type="duplicateValues" dxfId="18607" priority="27975"/>
    <cfRule type="duplicateValues" dxfId="18606" priority="27974"/>
    <cfRule type="duplicateValues" dxfId="18605" priority="27973"/>
    <cfRule type="duplicateValues" dxfId="18604" priority="28040"/>
    <cfRule type="duplicateValues" dxfId="18603" priority="27972"/>
    <cfRule type="duplicateValues" dxfId="18602" priority="27971"/>
    <cfRule type="duplicateValues" dxfId="18601" priority="27970"/>
    <cfRule type="duplicateValues" dxfId="18600" priority="27969"/>
    <cfRule type="duplicateValues" dxfId="18599" priority="28039"/>
    <cfRule type="duplicateValues" dxfId="18598" priority="27968"/>
    <cfRule type="duplicateValues" dxfId="18597" priority="28038"/>
    <cfRule type="duplicateValues" dxfId="18596" priority="27967"/>
    <cfRule type="duplicateValues" dxfId="18595" priority="27900"/>
    <cfRule type="duplicateValues" dxfId="18594" priority="27966"/>
    <cfRule type="duplicateValues" dxfId="18593" priority="27899"/>
    <cfRule type="duplicateValues" dxfId="18592" priority="27890"/>
    <cfRule type="duplicateValues" dxfId="18591" priority="28157"/>
    <cfRule type="duplicateValues" dxfId="18590" priority="27923"/>
    <cfRule type="duplicateValues" dxfId="18589" priority="28037"/>
    <cfRule type="duplicateValues" dxfId="18588" priority="27997"/>
    <cfRule type="duplicateValues" dxfId="18587" priority="27881"/>
    <cfRule type="duplicateValues" dxfId="18586" priority="27874"/>
    <cfRule type="duplicateValues" dxfId="18585" priority="27895"/>
    <cfRule type="duplicateValues" dxfId="18584" priority="27922"/>
    <cfRule type="duplicateValues" dxfId="18583" priority="27889"/>
    <cfRule type="duplicateValues" dxfId="18582" priority="27996"/>
    <cfRule type="duplicateValues" dxfId="18581" priority="27914"/>
    <cfRule type="duplicateValues" dxfId="18580" priority="27913"/>
    <cfRule type="duplicateValues" dxfId="18579" priority="27882"/>
    <cfRule type="duplicateValues" dxfId="18578" priority="27995"/>
    <cfRule type="duplicateValues" dxfId="18577" priority="27912"/>
    <cfRule type="duplicateValues" dxfId="18576" priority="27965"/>
    <cfRule type="duplicateValues" dxfId="18575" priority="27887"/>
    <cfRule type="duplicateValues" dxfId="18574" priority="27994"/>
    <cfRule type="duplicateValues" dxfId="18573" priority="27964"/>
    <cfRule type="duplicateValues" dxfId="18572" priority="28016"/>
    <cfRule type="duplicateValues" dxfId="18571" priority="27963"/>
    <cfRule type="duplicateValues" dxfId="18570" priority="27962"/>
    <cfRule type="duplicateValues" dxfId="18569" priority="27871"/>
    <cfRule type="duplicateValues" dxfId="18568" priority="27929"/>
    <cfRule type="duplicateValues" dxfId="18567" priority="27911"/>
    <cfRule type="duplicateValues" dxfId="18566" priority="27910"/>
    <cfRule type="duplicateValues" dxfId="18565" priority="27872"/>
    <cfRule type="duplicateValues" dxfId="18564" priority="27894"/>
    <cfRule type="duplicateValues" dxfId="18563" priority="27876"/>
    <cfRule type="duplicateValues" dxfId="18562" priority="27928"/>
    <cfRule type="duplicateValues" dxfId="18561" priority="27879"/>
    <cfRule type="duplicateValues" dxfId="18560" priority="27898"/>
    <cfRule type="duplicateValues" dxfId="18559" priority="27883"/>
    <cfRule type="duplicateValues" dxfId="18558" priority="28015"/>
    <cfRule type="duplicateValues" dxfId="18557" priority="27927"/>
    <cfRule type="duplicateValues" dxfId="18556" priority="28036"/>
    <cfRule type="duplicateValues" dxfId="18555" priority="27893"/>
    <cfRule type="duplicateValues" dxfId="18554" priority="28035"/>
    <cfRule type="duplicateValues" dxfId="18553" priority="27873"/>
    <cfRule type="duplicateValues" dxfId="18552" priority="28034"/>
    <cfRule type="duplicateValues" dxfId="18551" priority="27993"/>
    <cfRule type="duplicateValues" dxfId="18550" priority="27884"/>
    <cfRule type="duplicateValues" dxfId="18549" priority="27961"/>
    <cfRule type="duplicateValues" dxfId="18548" priority="28297"/>
    <cfRule type="duplicateValues" dxfId="18547" priority="27960"/>
    <cfRule type="duplicateValues" dxfId="18546" priority="28033"/>
    <cfRule type="duplicateValues" dxfId="18545" priority="27992"/>
    <cfRule type="duplicateValues" dxfId="18544" priority="27926"/>
    <cfRule type="duplicateValues" dxfId="18543" priority="27959"/>
    <cfRule type="duplicateValues" dxfId="18542" priority="28032"/>
    <cfRule type="duplicateValues" dxfId="18541" priority="27991"/>
    <cfRule type="duplicateValues" dxfId="18540" priority="27892"/>
    <cfRule type="duplicateValues" dxfId="18539" priority="28031"/>
    <cfRule type="duplicateValues" dxfId="18538" priority="27958"/>
    <cfRule type="duplicateValues" dxfId="18537" priority="27990"/>
    <cfRule type="duplicateValues" dxfId="18536" priority="27877"/>
    <cfRule type="duplicateValues" dxfId="18535" priority="27921"/>
    <cfRule type="duplicateValues" dxfId="18534" priority="27891"/>
    <cfRule type="duplicateValues" dxfId="18533" priority="27957"/>
    <cfRule type="duplicateValues" dxfId="18532" priority="27956"/>
    <cfRule type="duplicateValues" dxfId="18531" priority="27920"/>
    <cfRule type="duplicateValues" dxfId="18530" priority="27955"/>
    <cfRule type="duplicateValues" dxfId="18529" priority="27897"/>
    <cfRule type="duplicateValues" dxfId="18528" priority="27954"/>
    <cfRule type="duplicateValues" dxfId="18527" priority="27919"/>
    <cfRule type="duplicateValues" dxfId="18526" priority="27953"/>
    <cfRule type="duplicateValues" dxfId="18525" priority="27918"/>
    <cfRule type="duplicateValues" dxfId="18524" priority="27952"/>
    <cfRule type="duplicateValues" dxfId="18523" priority="28030"/>
    <cfRule type="duplicateValues" dxfId="18522" priority="28014"/>
    <cfRule type="duplicateValues" dxfId="18521" priority="28029"/>
    <cfRule type="duplicateValues" dxfId="18520" priority="28028"/>
    <cfRule type="duplicateValues" dxfId="18519" priority="27989"/>
    <cfRule type="duplicateValues" dxfId="18518" priority="28027"/>
    <cfRule type="duplicateValues" dxfId="18517" priority="27988"/>
    <cfRule type="duplicateValues" dxfId="18516" priority="28026"/>
    <cfRule type="duplicateValues" dxfId="18515" priority="27987"/>
    <cfRule type="duplicateValues" dxfId="18514" priority="27878"/>
    <cfRule type="duplicateValues" dxfId="18513" priority="27951"/>
    <cfRule type="duplicateValues" dxfId="18512" priority="27885"/>
    <cfRule type="duplicateValues" dxfId="18511" priority="28046"/>
    <cfRule type="duplicateValues" dxfId="18510" priority="28047"/>
    <cfRule type="duplicateValues" dxfId="18509" priority="28048"/>
    <cfRule type="duplicateValues" dxfId="18508" priority="28049"/>
    <cfRule type="duplicateValues" dxfId="18507" priority="28050"/>
    <cfRule type="duplicateValues" dxfId="18506" priority="28051"/>
    <cfRule type="duplicateValues" dxfId="18505" priority="28052"/>
    <cfRule type="duplicateValues" dxfId="18504" priority="28053"/>
    <cfRule type="duplicateValues" dxfId="18503" priority="28054"/>
    <cfRule type="duplicateValues" dxfId="18502" priority="28055"/>
    <cfRule type="duplicateValues" dxfId="18501" priority="28056"/>
    <cfRule type="duplicateValues" dxfId="18500" priority="28057"/>
    <cfRule type="duplicateValues" dxfId="18499" priority="28058"/>
    <cfRule type="duplicateValues" dxfId="18498" priority="28059"/>
    <cfRule type="duplicateValues" dxfId="18497" priority="28060"/>
    <cfRule type="duplicateValues" dxfId="18496" priority="28061"/>
    <cfRule type="duplicateValues" dxfId="18495" priority="28062"/>
    <cfRule type="duplicateValues" dxfId="18494" priority="28063"/>
    <cfRule type="duplicateValues" dxfId="18493" priority="28064"/>
    <cfRule type="duplicateValues" dxfId="18492" priority="28065"/>
    <cfRule type="duplicateValues" dxfId="18491" priority="28066"/>
    <cfRule type="duplicateValues" dxfId="18490" priority="28067"/>
    <cfRule type="duplicateValues" dxfId="18489" priority="28068"/>
    <cfRule type="duplicateValues" dxfId="18488" priority="28069"/>
    <cfRule type="duplicateValues" dxfId="18487" priority="28070"/>
    <cfRule type="duplicateValues" dxfId="18486" priority="28071"/>
    <cfRule type="duplicateValues" dxfId="18485" priority="28072"/>
    <cfRule type="duplicateValues" dxfId="18484" priority="28073"/>
    <cfRule type="duplicateValues" dxfId="18483" priority="28074"/>
    <cfRule type="duplicateValues" dxfId="18482" priority="28075"/>
    <cfRule type="duplicateValues" dxfId="18481" priority="28076"/>
    <cfRule type="duplicateValues" dxfId="18480" priority="28077"/>
    <cfRule type="duplicateValues" dxfId="18479" priority="28078"/>
    <cfRule type="duplicateValues" dxfId="18478" priority="28079"/>
    <cfRule type="duplicateValues" dxfId="18477" priority="28080"/>
    <cfRule type="duplicateValues" dxfId="18476" priority="28081"/>
    <cfRule type="duplicateValues" dxfId="18475" priority="28082"/>
    <cfRule type="duplicateValues" dxfId="18474" priority="28083"/>
    <cfRule type="duplicateValues" dxfId="18473" priority="28084"/>
    <cfRule type="duplicateValues" dxfId="18472" priority="28085"/>
    <cfRule type="duplicateValues" dxfId="18471" priority="28086"/>
    <cfRule type="duplicateValues" dxfId="18470" priority="28087"/>
    <cfRule type="duplicateValues" dxfId="18469" priority="28088"/>
    <cfRule type="duplicateValues" dxfId="18468" priority="28089"/>
    <cfRule type="duplicateValues" dxfId="18467" priority="28090"/>
    <cfRule type="duplicateValues" dxfId="18466" priority="28091"/>
    <cfRule type="duplicateValues" dxfId="18465" priority="28092"/>
    <cfRule type="duplicateValues" dxfId="18464" priority="28093"/>
    <cfRule type="duplicateValues" dxfId="18463" priority="28094"/>
    <cfRule type="duplicateValues" dxfId="18462" priority="28095"/>
    <cfRule type="duplicateValues" dxfId="18461" priority="28096"/>
    <cfRule type="duplicateValues" dxfId="18460" priority="28097"/>
    <cfRule type="duplicateValues" dxfId="18459" priority="28098"/>
    <cfRule type="duplicateValues" dxfId="18458" priority="28099"/>
    <cfRule type="duplicateValues" dxfId="18457" priority="28100"/>
    <cfRule type="duplicateValues" dxfId="18456" priority="28101"/>
    <cfRule type="duplicateValues" dxfId="18455" priority="28102"/>
    <cfRule type="duplicateValues" dxfId="18454" priority="28103"/>
    <cfRule type="duplicateValues" dxfId="18453" priority="28104"/>
    <cfRule type="duplicateValues" dxfId="18452" priority="28105"/>
    <cfRule type="duplicateValues" dxfId="18451" priority="28106"/>
    <cfRule type="duplicateValues" dxfId="18450" priority="28107"/>
    <cfRule type="duplicateValues" dxfId="18449" priority="28108"/>
    <cfRule type="duplicateValues" dxfId="18448" priority="28109"/>
    <cfRule type="duplicateValues" dxfId="18447" priority="28110"/>
    <cfRule type="duplicateValues" dxfId="18446" priority="28111"/>
    <cfRule type="duplicateValues" dxfId="18445" priority="28112"/>
    <cfRule type="duplicateValues" dxfId="18444" priority="28113"/>
    <cfRule type="duplicateValues" dxfId="18443" priority="28114"/>
    <cfRule type="duplicateValues" dxfId="18442" priority="28115"/>
    <cfRule type="duplicateValues" dxfId="18441" priority="28116"/>
    <cfRule type="duplicateValues" dxfId="18440" priority="28117"/>
    <cfRule type="duplicateValues" dxfId="18439" priority="28118"/>
    <cfRule type="duplicateValues" dxfId="18438" priority="28119"/>
    <cfRule type="duplicateValues" dxfId="18437" priority="28120"/>
    <cfRule type="duplicateValues" dxfId="18436" priority="28121"/>
    <cfRule type="duplicateValues" dxfId="18435" priority="28122"/>
    <cfRule type="duplicateValues" dxfId="18434" priority="28123"/>
    <cfRule type="duplicateValues" dxfId="18433" priority="28124"/>
    <cfRule type="duplicateValues" dxfId="18432" priority="28125"/>
    <cfRule type="duplicateValues" dxfId="18431" priority="28126"/>
    <cfRule type="duplicateValues" dxfId="18430" priority="28127"/>
    <cfRule type="duplicateValues" dxfId="18429" priority="28128"/>
    <cfRule type="duplicateValues" dxfId="18428" priority="28129"/>
    <cfRule type="duplicateValues" dxfId="18427" priority="28130"/>
    <cfRule type="duplicateValues" dxfId="18426" priority="28131"/>
    <cfRule type="duplicateValues" dxfId="18425" priority="28132"/>
    <cfRule type="duplicateValues" dxfId="18424" priority="28133"/>
    <cfRule type="duplicateValues" dxfId="18423" priority="28134"/>
    <cfRule type="duplicateValues" dxfId="18422" priority="28135"/>
    <cfRule type="duplicateValues" dxfId="18421" priority="28136"/>
    <cfRule type="duplicateValues" dxfId="18420" priority="28137"/>
    <cfRule type="duplicateValues" dxfId="18419" priority="28138"/>
    <cfRule type="duplicateValues" dxfId="18418" priority="28139"/>
    <cfRule type="duplicateValues" dxfId="18417" priority="28140"/>
    <cfRule type="duplicateValues" dxfId="18416" priority="28141"/>
    <cfRule type="duplicateValues" dxfId="18415" priority="28142"/>
    <cfRule type="duplicateValues" dxfId="18414" priority="28143"/>
    <cfRule type="duplicateValues" dxfId="18413" priority="28144"/>
    <cfRule type="duplicateValues" dxfId="18412" priority="28145"/>
    <cfRule type="duplicateValues" dxfId="18411" priority="28146"/>
    <cfRule type="duplicateValues" dxfId="18410" priority="28147"/>
    <cfRule type="duplicateValues" dxfId="18409" priority="28148"/>
    <cfRule type="duplicateValues" dxfId="18408" priority="28149"/>
    <cfRule type="duplicateValues" dxfId="18407" priority="28150"/>
    <cfRule type="duplicateValues" dxfId="18406" priority="28151"/>
    <cfRule type="duplicateValues" dxfId="18405" priority="28152"/>
    <cfRule type="duplicateValues" dxfId="18404" priority="28153"/>
    <cfRule type="duplicateValues" dxfId="18403" priority="28154"/>
    <cfRule type="duplicateValues" dxfId="18402" priority="28155"/>
    <cfRule type="duplicateValues" dxfId="18401" priority="28156"/>
    <cfRule type="duplicateValues" dxfId="18400" priority="28158"/>
    <cfRule type="duplicateValues" dxfId="18399" priority="28159"/>
    <cfRule type="duplicateValues" dxfId="18398" priority="28160"/>
    <cfRule type="duplicateValues" dxfId="18397" priority="28161"/>
    <cfRule type="duplicateValues" dxfId="18396" priority="28162"/>
    <cfRule type="duplicateValues" dxfId="18395" priority="28163"/>
    <cfRule type="duplicateValues" dxfId="18394" priority="28164"/>
    <cfRule type="duplicateValues" dxfId="18393" priority="28165"/>
    <cfRule type="duplicateValues" dxfId="18392" priority="28166"/>
    <cfRule type="duplicateValues" dxfId="18391" priority="28167"/>
    <cfRule type="duplicateValues" dxfId="18390" priority="28168"/>
    <cfRule type="duplicateValues" dxfId="18389" priority="28169"/>
    <cfRule type="duplicateValues" dxfId="18388" priority="28170"/>
    <cfRule type="duplicateValues" dxfId="18387" priority="28171"/>
    <cfRule type="duplicateValues" dxfId="18386" priority="28172"/>
    <cfRule type="duplicateValues" dxfId="18385" priority="28173"/>
    <cfRule type="duplicateValues" dxfId="18384" priority="28174"/>
    <cfRule type="duplicateValues" dxfId="18383" priority="28175"/>
    <cfRule type="duplicateValues" dxfId="18382" priority="28176"/>
    <cfRule type="duplicateValues" dxfId="18381" priority="28177"/>
    <cfRule type="duplicateValues" dxfId="18380" priority="28178"/>
    <cfRule type="duplicateValues" dxfId="18379" priority="28179"/>
    <cfRule type="duplicateValues" dxfId="18378" priority="28180"/>
    <cfRule type="duplicateValues" dxfId="18377" priority="28181"/>
    <cfRule type="duplicateValues" dxfId="18376" priority="28182"/>
    <cfRule type="duplicateValues" dxfId="18375" priority="28183"/>
    <cfRule type="duplicateValues" dxfId="18374" priority="28184"/>
    <cfRule type="duplicateValues" dxfId="18373" priority="28185"/>
    <cfRule type="duplicateValues" dxfId="18372" priority="28186"/>
    <cfRule type="duplicateValues" dxfId="18371" priority="28187"/>
    <cfRule type="duplicateValues" dxfId="18370" priority="28188"/>
    <cfRule type="duplicateValues" dxfId="18369" priority="28189"/>
    <cfRule type="duplicateValues" dxfId="18368" priority="28190"/>
    <cfRule type="duplicateValues" dxfId="18367" priority="28191"/>
    <cfRule type="duplicateValues" dxfId="18366" priority="28192"/>
    <cfRule type="duplicateValues" dxfId="18365" priority="28193"/>
    <cfRule type="duplicateValues" dxfId="18364" priority="28194"/>
    <cfRule type="duplicateValues" dxfId="18363" priority="28195"/>
    <cfRule type="duplicateValues" dxfId="18362" priority="28196"/>
    <cfRule type="duplicateValues" dxfId="18361" priority="28197"/>
    <cfRule type="duplicateValues" dxfId="18360" priority="28198"/>
    <cfRule type="duplicateValues" dxfId="18359" priority="28199"/>
    <cfRule type="duplicateValues" dxfId="18358" priority="28200"/>
    <cfRule type="duplicateValues" dxfId="18357" priority="28201"/>
    <cfRule type="duplicateValues" dxfId="18356" priority="28202"/>
    <cfRule type="duplicateValues" dxfId="18355" priority="28203"/>
    <cfRule type="duplicateValues" dxfId="18354" priority="28204"/>
    <cfRule type="duplicateValues" dxfId="18353" priority="28205"/>
    <cfRule type="duplicateValues" dxfId="18352" priority="28206"/>
    <cfRule type="duplicateValues" dxfId="18351" priority="28207"/>
    <cfRule type="duplicateValues" dxfId="18350" priority="28208"/>
    <cfRule type="duplicateValues" dxfId="18349" priority="28209"/>
    <cfRule type="duplicateValues" dxfId="18348" priority="28210"/>
    <cfRule type="duplicateValues" dxfId="18347" priority="28211"/>
    <cfRule type="duplicateValues" dxfId="18346" priority="28212"/>
    <cfRule type="duplicateValues" dxfId="18345" priority="28213"/>
    <cfRule type="duplicateValues" dxfId="18344" priority="28214"/>
    <cfRule type="duplicateValues" dxfId="18343" priority="28215"/>
    <cfRule type="duplicateValues" dxfId="18342" priority="28216"/>
    <cfRule type="duplicateValues" dxfId="18341" priority="28217"/>
    <cfRule type="duplicateValues" dxfId="18340" priority="28218"/>
    <cfRule type="duplicateValues" dxfId="18339" priority="28219"/>
    <cfRule type="duplicateValues" dxfId="18338" priority="28220"/>
    <cfRule type="duplicateValues" dxfId="18337" priority="28222"/>
    <cfRule type="duplicateValues" dxfId="18336" priority="28223"/>
    <cfRule type="duplicateValues" dxfId="18335" priority="28224"/>
    <cfRule type="duplicateValues" dxfId="18334" priority="28225"/>
    <cfRule type="duplicateValues" dxfId="18333" priority="28226"/>
    <cfRule type="duplicateValues" dxfId="18332" priority="28227"/>
    <cfRule type="duplicateValues" dxfId="18331" priority="28228"/>
    <cfRule type="duplicateValues" dxfId="18330" priority="28229"/>
    <cfRule type="duplicateValues" dxfId="18329" priority="28230"/>
    <cfRule type="duplicateValues" dxfId="18328" priority="28231"/>
    <cfRule type="duplicateValues" dxfId="18327" priority="28232"/>
    <cfRule type="duplicateValues" dxfId="18326" priority="28233"/>
    <cfRule type="duplicateValues" dxfId="18325" priority="28234"/>
    <cfRule type="duplicateValues" dxfId="18324" priority="28235"/>
    <cfRule type="duplicateValues" dxfId="18323" priority="28236"/>
    <cfRule type="duplicateValues" dxfId="18322" priority="28237"/>
    <cfRule type="duplicateValues" dxfId="18321" priority="28238"/>
    <cfRule type="duplicateValues" dxfId="18320" priority="28239"/>
    <cfRule type="duplicateValues" dxfId="18319" priority="28240"/>
    <cfRule type="duplicateValues" dxfId="18318" priority="28241"/>
    <cfRule type="duplicateValues" dxfId="18317" priority="28242"/>
    <cfRule type="duplicateValues" dxfId="18316" priority="28243"/>
    <cfRule type="duplicateValues" dxfId="18315" priority="28244"/>
    <cfRule type="duplicateValues" dxfId="18314" priority="28245"/>
    <cfRule type="duplicateValues" dxfId="18313" priority="28246"/>
    <cfRule type="duplicateValues" dxfId="18312" priority="28247"/>
    <cfRule type="duplicateValues" dxfId="18311" priority="28248"/>
    <cfRule type="duplicateValues" dxfId="18310" priority="28249"/>
    <cfRule type="duplicateValues" dxfId="18309" priority="28250"/>
    <cfRule type="duplicateValues" dxfId="18308" priority="28251"/>
    <cfRule type="duplicateValues" dxfId="18307" priority="28252"/>
    <cfRule type="duplicateValues" dxfId="18306" priority="28253"/>
    <cfRule type="duplicateValues" dxfId="18305" priority="28254"/>
    <cfRule type="duplicateValues" dxfId="18304" priority="28255"/>
    <cfRule type="duplicateValues" dxfId="18303" priority="28256"/>
    <cfRule type="duplicateValues" dxfId="18302" priority="28257"/>
    <cfRule type="duplicateValues" dxfId="18301" priority="28258"/>
    <cfRule type="duplicateValues" dxfId="18300" priority="28259"/>
    <cfRule type="duplicateValues" dxfId="18299" priority="28260"/>
    <cfRule type="duplicateValues" dxfId="18298" priority="28261"/>
    <cfRule type="duplicateValues" dxfId="18297" priority="28262"/>
    <cfRule type="duplicateValues" dxfId="18296" priority="28263"/>
    <cfRule type="duplicateValues" dxfId="18295" priority="28264"/>
    <cfRule type="duplicateValues" dxfId="18294" priority="28265"/>
    <cfRule type="duplicateValues" dxfId="18293" priority="28266"/>
    <cfRule type="duplicateValues" dxfId="18292" priority="28267"/>
    <cfRule type="duplicateValues" dxfId="18291" priority="28268"/>
    <cfRule type="duplicateValues" dxfId="18290" priority="28269"/>
    <cfRule type="duplicateValues" dxfId="18289" priority="28270"/>
    <cfRule type="duplicateValues" dxfId="18288" priority="28271"/>
    <cfRule type="duplicateValues" dxfId="18287" priority="28272"/>
    <cfRule type="duplicateValues" dxfId="18286" priority="28273"/>
    <cfRule type="duplicateValues" dxfId="18285" priority="28274"/>
    <cfRule type="duplicateValues" dxfId="18284" priority="28275"/>
    <cfRule type="duplicateValues" dxfId="18283" priority="28276"/>
    <cfRule type="duplicateValues" dxfId="18282" priority="28277"/>
    <cfRule type="duplicateValues" dxfId="18281" priority="28278"/>
    <cfRule type="duplicateValues" dxfId="18280" priority="28279"/>
    <cfRule type="duplicateValues" dxfId="18279" priority="28280"/>
    <cfRule type="duplicateValues" dxfId="18278" priority="28281"/>
    <cfRule type="duplicateValues" dxfId="18277" priority="28282"/>
    <cfRule type="duplicateValues" dxfId="18276" priority="28283"/>
    <cfRule type="duplicateValues" dxfId="18275" priority="28284"/>
    <cfRule type="duplicateValues" dxfId="18274" priority="28285"/>
    <cfRule type="duplicateValues" dxfId="18273" priority="28286"/>
    <cfRule type="duplicateValues" dxfId="18272" priority="28287"/>
    <cfRule type="duplicateValues" dxfId="18271" priority="28288"/>
    <cfRule type="duplicateValues" dxfId="18270" priority="28289"/>
    <cfRule type="duplicateValues" dxfId="18269" priority="28290"/>
    <cfRule type="duplicateValues" dxfId="18268" priority="28291"/>
    <cfRule type="duplicateValues" dxfId="18267" priority="28292"/>
    <cfRule type="duplicateValues" dxfId="18266" priority="28293"/>
    <cfRule type="duplicateValues" dxfId="18265" priority="28294"/>
    <cfRule type="duplicateValues" dxfId="18264" priority="28295"/>
    <cfRule type="duplicateValues" dxfId="18263" priority="28296"/>
    <cfRule type="duplicateValues" dxfId="18262" priority="28298"/>
    <cfRule type="duplicateValues" dxfId="18261" priority="28299"/>
    <cfRule type="duplicateValues" dxfId="18260" priority="28300"/>
    <cfRule type="duplicateValues" dxfId="18259" priority="28301"/>
    <cfRule type="duplicateValues" dxfId="18258" priority="28302"/>
    <cfRule type="duplicateValues" dxfId="18257" priority="28303"/>
    <cfRule type="duplicateValues" dxfId="18256" priority="28304"/>
    <cfRule type="duplicateValues" dxfId="18255" priority="28305"/>
    <cfRule type="duplicateValues" dxfId="18254" priority="28306"/>
    <cfRule type="duplicateValues" dxfId="18253" priority="28307"/>
    <cfRule type="duplicateValues" dxfId="18252" priority="28308"/>
    <cfRule type="duplicateValues" dxfId="18251" priority="28309"/>
    <cfRule type="duplicateValues" dxfId="18250" priority="28310"/>
    <cfRule type="duplicateValues" dxfId="18249" priority="28311"/>
    <cfRule type="duplicateValues" dxfId="18248" priority="28312"/>
    <cfRule type="duplicateValues" dxfId="18247" priority="28313"/>
    <cfRule type="duplicateValues" dxfId="18246" priority="28314"/>
    <cfRule type="duplicateValues" dxfId="18245" priority="28315"/>
    <cfRule type="duplicateValues" dxfId="18244" priority="28316"/>
    <cfRule type="duplicateValues" dxfId="18243" priority="28317"/>
    <cfRule type="duplicateValues" dxfId="18242" priority="28318"/>
    <cfRule type="duplicateValues" dxfId="18241" priority="28319"/>
    <cfRule type="duplicateValues" dxfId="18240" priority="28320"/>
    <cfRule type="duplicateValues" dxfId="18239" priority="28321"/>
    <cfRule type="duplicateValues" dxfId="18238" priority="28322"/>
    <cfRule type="duplicateValues" dxfId="18237" priority="28323"/>
    <cfRule type="duplicateValues" dxfId="18236" priority="28324"/>
    <cfRule type="duplicateValues" dxfId="18235" priority="28325"/>
    <cfRule type="duplicateValues" dxfId="18234" priority="28326"/>
    <cfRule type="duplicateValues" dxfId="18233" priority="28327"/>
    <cfRule type="duplicateValues" dxfId="18232" priority="28328"/>
    <cfRule type="duplicateValues" dxfId="18231" priority="28329"/>
    <cfRule type="duplicateValues" dxfId="18230" priority="28330"/>
    <cfRule type="duplicateValues" dxfId="18229" priority="28331"/>
    <cfRule type="duplicateValues" dxfId="18228" priority="28332"/>
    <cfRule type="duplicateValues" dxfId="18227" priority="28333"/>
    <cfRule type="duplicateValues" dxfId="18226" priority="28334"/>
    <cfRule type="duplicateValues" dxfId="18225" priority="28335"/>
    <cfRule type="duplicateValues" dxfId="18224" priority="28336"/>
    <cfRule type="duplicateValues" dxfId="18223" priority="28337"/>
    <cfRule type="duplicateValues" dxfId="18222" priority="28338"/>
    <cfRule type="duplicateValues" dxfId="18221" priority="28339"/>
    <cfRule type="duplicateValues" dxfId="18220" priority="28340"/>
    <cfRule type="duplicateValues" dxfId="18219" priority="28341"/>
    <cfRule type="duplicateValues" dxfId="18218" priority="28342"/>
    <cfRule type="duplicateValues" dxfId="18217" priority="28343"/>
    <cfRule type="duplicateValues" dxfId="18216" priority="28344"/>
    <cfRule type="duplicateValues" dxfId="18215" priority="28345"/>
    <cfRule type="duplicateValues" dxfId="18214" priority="28346"/>
    <cfRule type="duplicateValues" dxfId="18213" priority="28347"/>
    <cfRule type="duplicateValues" dxfId="18212" priority="28348"/>
    <cfRule type="duplicateValues" dxfId="18211" priority="28349"/>
    <cfRule type="duplicateValues" dxfId="18210" priority="28350"/>
    <cfRule type="duplicateValues" dxfId="18209" priority="28351"/>
    <cfRule type="duplicateValues" dxfId="18208" priority="28352"/>
    <cfRule type="duplicateValues" dxfId="18207" priority="28353"/>
    <cfRule type="duplicateValues" dxfId="18206" priority="28354"/>
    <cfRule type="duplicateValues" dxfId="18205" priority="28355"/>
    <cfRule type="duplicateValues" dxfId="18204" priority="28356"/>
    <cfRule type="duplicateValues" dxfId="18203" priority="28357"/>
    <cfRule type="duplicateValues" dxfId="18202" priority="28358"/>
    <cfRule type="duplicateValues" dxfId="18201" priority="28359"/>
    <cfRule type="duplicateValues" dxfId="18200" priority="28360"/>
    <cfRule type="duplicateValues" dxfId="18199" priority="28361"/>
    <cfRule type="duplicateValues" dxfId="18198" priority="28362"/>
    <cfRule type="duplicateValues" dxfId="18197" priority="28363"/>
    <cfRule type="duplicateValues" dxfId="18196" priority="28364"/>
    <cfRule type="duplicateValues" dxfId="18195" priority="28365"/>
    <cfRule type="duplicateValues" dxfId="18194" priority="28366"/>
    <cfRule type="duplicateValues" dxfId="18193" priority="28367"/>
    <cfRule type="duplicateValues" dxfId="18192" priority="28368"/>
    <cfRule type="duplicateValues" dxfId="18191" priority="28369"/>
    <cfRule type="duplicateValues" dxfId="18190" priority="28370"/>
    <cfRule type="duplicateValues" dxfId="18189" priority="28371"/>
    <cfRule type="duplicateValues" dxfId="18188" priority="28372"/>
    <cfRule type="duplicateValues" dxfId="18187" priority="28373"/>
    <cfRule type="duplicateValues" dxfId="18186" priority="28374"/>
    <cfRule type="duplicateValues" dxfId="18185" priority="28375"/>
    <cfRule type="duplicateValues" dxfId="18184" priority="28376"/>
    <cfRule type="duplicateValues" dxfId="18183" priority="28377"/>
    <cfRule type="duplicateValues" dxfId="18182" priority="28378"/>
    <cfRule type="duplicateValues" dxfId="18181" priority="28379"/>
    <cfRule type="duplicateValues" dxfId="18180" priority="28380"/>
    <cfRule type="duplicateValues" dxfId="18179" priority="28381"/>
    <cfRule type="duplicateValues" dxfId="18178" priority="28382"/>
    <cfRule type="duplicateValues" dxfId="18177" priority="28383"/>
    <cfRule type="duplicateValues" dxfId="18176" priority="28384"/>
    <cfRule type="duplicateValues" dxfId="18175" priority="28385"/>
    <cfRule type="duplicateValues" dxfId="18174" priority="28386"/>
    <cfRule type="duplicateValues" dxfId="18173" priority="28387"/>
    <cfRule type="duplicateValues" dxfId="18172" priority="28388"/>
    <cfRule type="duplicateValues" dxfId="18171" priority="28389"/>
    <cfRule type="duplicateValues" dxfId="18170" priority="28390"/>
    <cfRule type="duplicateValues" dxfId="18169" priority="28391"/>
    <cfRule type="duplicateValues" dxfId="18168" priority="28392"/>
    <cfRule type="duplicateValues" dxfId="18167" priority="28393"/>
    <cfRule type="duplicateValues" dxfId="18166" priority="28394"/>
    <cfRule type="duplicateValues" dxfId="18165" priority="28395"/>
    <cfRule type="duplicateValues" dxfId="18164" priority="28396"/>
    <cfRule type="duplicateValues" dxfId="18163" priority="28397"/>
    <cfRule type="duplicateValues" dxfId="18162" priority="28398"/>
    <cfRule type="duplicateValues" dxfId="18161" priority="28399"/>
    <cfRule type="duplicateValues" dxfId="18160" priority="28400"/>
    <cfRule type="duplicateValues" dxfId="18159" priority="28401"/>
    <cfRule type="duplicateValues" dxfId="18158" priority="28402"/>
    <cfRule type="duplicateValues" dxfId="18157" priority="28403"/>
    <cfRule type="duplicateValues" dxfId="18156" priority="28404"/>
    <cfRule type="duplicateValues" dxfId="18155" priority="28405"/>
    <cfRule type="duplicateValues" dxfId="18154" priority="28406"/>
    <cfRule type="duplicateValues" dxfId="18153" priority="28407"/>
    <cfRule type="duplicateValues" dxfId="18152" priority="28408"/>
    <cfRule type="duplicateValues" dxfId="18151" priority="28409"/>
    <cfRule type="duplicateValues" dxfId="18150" priority="28410"/>
    <cfRule type="duplicateValues" dxfId="18149" priority="28411"/>
    <cfRule type="duplicateValues" dxfId="18148" priority="28412"/>
    <cfRule type="duplicateValues" dxfId="18147" priority="28413"/>
    <cfRule type="duplicateValues" dxfId="18146" priority="28414"/>
    <cfRule type="duplicateValues" dxfId="18145" priority="28415"/>
    <cfRule type="duplicateValues" dxfId="18144" priority="28416"/>
    <cfRule type="duplicateValues" dxfId="18143" priority="28417"/>
    <cfRule type="duplicateValues" dxfId="18142" priority="28418"/>
    <cfRule type="duplicateValues" dxfId="18141" priority="28419"/>
    <cfRule type="duplicateValues" dxfId="18140" priority="28420"/>
    <cfRule type="duplicateValues" dxfId="18139" priority="28421"/>
    <cfRule type="duplicateValues" dxfId="18138" priority="28422"/>
    <cfRule type="duplicateValues" dxfId="18137" priority="28423"/>
    <cfRule type="duplicateValues" dxfId="18136" priority="28424"/>
    <cfRule type="duplicateValues" dxfId="18135" priority="28425"/>
    <cfRule type="duplicateValues" dxfId="18134" priority="28426"/>
    <cfRule type="duplicateValues" dxfId="18133" priority="28427"/>
    <cfRule type="duplicateValues" dxfId="18132" priority="28428"/>
    <cfRule type="duplicateValues" dxfId="18131" priority="28429"/>
    <cfRule type="duplicateValues" dxfId="18130" priority="28430"/>
    <cfRule type="duplicateValues" dxfId="18129" priority="28431"/>
    <cfRule type="duplicateValues" dxfId="18128" priority="28432"/>
    <cfRule type="duplicateValues" dxfId="18127" priority="28433"/>
    <cfRule type="duplicateValues" dxfId="18126" priority="28434"/>
    <cfRule type="duplicateValues" dxfId="18125" priority="28435"/>
    <cfRule type="duplicateValues" dxfId="18124" priority="28436"/>
    <cfRule type="duplicateValues" dxfId="18123" priority="28437"/>
    <cfRule type="duplicateValues" dxfId="18122" priority="28438"/>
  </conditionalFormatting>
  <conditionalFormatting sqref="P6">
    <cfRule type="duplicateValues" dxfId="18121" priority="120518"/>
    <cfRule type="duplicateValues" dxfId="18120" priority="120519"/>
    <cfRule type="duplicateValues" dxfId="18119" priority="120520"/>
    <cfRule type="duplicateValues" dxfId="18118" priority="120522"/>
    <cfRule type="duplicateValues" dxfId="18117" priority="130156"/>
    <cfRule type="duplicateValues" dxfId="18116" priority="130155"/>
    <cfRule type="duplicateValues" dxfId="18115" priority="130154"/>
    <cfRule type="duplicateValues" dxfId="18114" priority="130153"/>
    <cfRule type="duplicateValues" dxfId="18113" priority="130150"/>
    <cfRule type="duplicateValues" dxfId="18112" priority="130152"/>
    <cfRule type="duplicateValues" dxfId="18111" priority="130151"/>
    <cfRule type="duplicateValues" dxfId="18110" priority="129073"/>
    <cfRule type="duplicateValues" dxfId="18109" priority="129072"/>
    <cfRule type="duplicateValues" dxfId="18108" priority="129070"/>
    <cfRule type="duplicateValues" dxfId="18107" priority="126329"/>
    <cfRule type="duplicateValues" dxfId="18106" priority="126330"/>
    <cfRule type="duplicateValues" dxfId="18105" priority="126331"/>
    <cfRule type="duplicateValues" dxfId="18104" priority="126332"/>
    <cfRule type="duplicateValues" dxfId="18103" priority="126333"/>
    <cfRule type="duplicateValues" dxfId="18102" priority="126334"/>
    <cfRule type="duplicateValues" dxfId="18101" priority="126335"/>
    <cfRule type="duplicateValues" dxfId="18100" priority="126336"/>
    <cfRule type="duplicateValues" dxfId="18099" priority="126337"/>
    <cfRule type="duplicateValues" dxfId="18098" priority="126338"/>
    <cfRule type="duplicateValues" dxfId="18097" priority="126339"/>
    <cfRule type="duplicateValues" dxfId="18096" priority="126341"/>
    <cfRule type="duplicateValues" dxfId="18095" priority="126342"/>
    <cfRule type="duplicateValues" dxfId="18094" priority="126343"/>
    <cfRule type="duplicateValues" dxfId="18093" priority="129066"/>
    <cfRule type="duplicateValues" dxfId="18092" priority="126344"/>
    <cfRule type="duplicateValues" dxfId="18091" priority="129064"/>
    <cfRule type="duplicateValues" dxfId="18090" priority="129063"/>
    <cfRule type="duplicateValues" dxfId="18089" priority="129061"/>
    <cfRule type="duplicateValues" dxfId="18088" priority="129060"/>
    <cfRule type="duplicateValues" dxfId="18087" priority="126345"/>
    <cfRule type="duplicateValues" dxfId="18086" priority="126346"/>
    <cfRule type="duplicateValues" dxfId="18085" priority="126347"/>
    <cfRule type="duplicateValues" dxfId="18084" priority="126348"/>
    <cfRule type="duplicateValues" dxfId="18083" priority="126349"/>
    <cfRule type="duplicateValues" dxfId="18082" priority="126350"/>
    <cfRule type="duplicateValues" dxfId="18081" priority="126351"/>
    <cfRule type="duplicateValues" dxfId="18080" priority="126353"/>
    <cfRule type="duplicateValues" dxfId="18079" priority="126355"/>
    <cfRule type="duplicateValues" dxfId="18078" priority="126356"/>
    <cfRule type="duplicateValues" dxfId="18077" priority="129058"/>
    <cfRule type="duplicateValues" dxfId="18076" priority="126385"/>
    <cfRule type="duplicateValues" dxfId="18075" priority="126357"/>
    <cfRule type="duplicateValues" dxfId="18074" priority="126358"/>
    <cfRule type="duplicateValues" dxfId="18073" priority="126359"/>
    <cfRule type="duplicateValues" dxfId="18072" priority="126360"/>
    <cfRule type="duplicateValues" dxfId="18071" priority="126361"/>
    <cfRule type="duplicateValues" dxfId="18070" priority="126362"/>
    <cfRule type="duplicateValues" dxfId="18069" priority="126364"/>
    <cfRule type="duplicateValues" dxfId="18068" priority="126365"/>
    <cfRule type="duplicateValues" dxfId="18067" priority="126366"/>
    <cfRule type="duplicateValues" dxfId="18066" priority="126367"/>
    <cfRule type="duplicateValues" dxfId="18065" priority="126368"/>
    <cfRule type="duplicateValues" dxfId="18064" priority="126369"/>
    <cfRule type="duplicateValues" dxfId="18063" priority="126370"/>
    <cfRule type="duplicateValues" dxfId="18062" priority="126371"/>
    <cfRule type="duplicateValues" dxfId="18061" priority="126373"/>
    <cfRule type="duplicateValues" dxfId="18060" priority="126374"/>
    <cfRule type="duplicateValues" dxfId="18059" priority="126375"/>
    <cfRule type="duplicateValues" dxfId="18058" priority="129056"/>
    <cfRule type="duplicateValues" dxfId="18057" priority="126376"/>
    <cfRule type="duplicateValues" dxfId="18056" priority="129055"/>
    <cfRule type="duplicateValues" dxfId="18055" priority="129054"/>
    <cfRule type="duplicateValues" dxfId="18054" priority="126377"/>
    <cfRule type="duplicateValues" dxfId="18053" priority="126378"/>
    <cfRule type="duplicateValues" dxfId="18052" priority="126379"/>
    <cfRule type="duplicateValues" dxfId="18051" priority="126381"/>
    <cfRule type="duplicateValues" dxfId="18050" priority="129053"/>
    <cfRule type="duplicateValues" dxfId="18049" priority="126382"/>
    <cfRule type="duplicateValues" dxfId="18048" priority="129052"/>
    <cfRule type="duplicateValues" dxfId="18047" priority="126383"/>
    <cfRule type="duplicateValues" dxfId="18046" priority="126384"/>
    <cfRule type="duplicateValues" dxfId="18045" priority="129050"/>
    <cfRule type="duplicateValues" dxfId="18044" priority="126386"/>
    <cfRule type="duplicateValues" dxfId="18043" priority="129049"/>
    <cfRule type="duplicateValues" dxfId="18042" priority="129048"/>
    <cfRule type="duplicateValues" dxfId="18041" priority="129047"/>
    <cfRule type="duplicateValues" dxfId="18040" priority="129046"/>
    <cfRule type="duplicateValues" dxfId="18039" priority="119774"/>
    <cfRule type="duplicateValues" dxfId="18038" priority="129103"/>
    <cfRule type="duplicateValues" dxfId="18037" priority="129102"/>
    <cfRule type="duplicateValues" dxfId="18036" priority="129101"/>
    <cfRule type="duplicateValues" dxfId="18035" priority="129100"/>
    <cfRule type="duplicateValues" dxfId="18034" priority="129099"/>
    <cfRule type="duplicateValues" dxfId="18033" priority="88299"/>
    <cfRule type="duplicateValues" dxfId="18032" priority="88302"/>
    <cfRule type="duplicateValues" dxfId="18031" priority="88304"/>
    <cfRule type="duplicateValues" dxfId="18030" priority="88306"/>
    <cfRule type="duplicateValues" dxfId="18029" priority="88310"/>
    <cfRule type="duplicateValues" dxfId="18028" priority="88312"/>
    <cfRule type="duplicateValues" dxfId="18027" priority="88314"/>
    <cfRule type="duplicateValues" dxfId="18026" priority="129045"/>
    <cfRule type="duplicateValues" dxfId="18025" priority="88318"/>
    <cfRule type="duplicateValues" dxfId="18024" priority="88320"/>
    <cfRule type="duplicateValues" dxfId="18023" priority="126388"/>
    <cfRule type="duplicateValues" dxfId="18022" priority="88324"/>
    <cfRule type="duplicateValues" dxfId="18021" priority="126389"/>
    <cfRule type="duplicateValues" dxfId="18020" priority="88327"/>
    <cfRule type="duplicateValues" dxfId="18019" priority="126390"/>
    <cfRule type="duplicateValues" dxfId="18018" priority="88343"/>
    <cfRule type="duplicateValues" dxfId="18017" priority="88347"/>
    <cfRule type="duplicateValues" dxfId="18016" priority="88349"/>
    <cfRule type="duplicateValues" dxfId="18015" priority="88351"/>
    <cfRule type="duplicateValues" dxfId="18014" priority="126391"/>
    <cfRule type="duplicateValues" dxfId="18013" priority="88355"/>
    <cfRule type="duplicateValues" dxfId="18012" priority="88357"/>
    <cfRule type="duplicateValues" dxfId="18011" priority="88361"/>
    <cfRule type="duplicateValues" dxfId="18010" priority="126392"/>
    <cfRule type="duplicateValues" dxfId="18009" priority="88364"/>
    <cfRule type="duplicateValues" dxfId="18008" priority="88380"/>
    <cfRule type="duplicateValues" dxfId="18007" priority="88382"/>
    <cfRule type="duplicateValues" dxfId="18006" priority="88383"/>
    <cfRule type="duplicateValues" dxfId="18005" priority="126394"/>
    <cfRule type="duplicateValues" dxfId="18004" priority="88385"/>
    <cfRule type="duplicateValues" dxfId="18003" priority="129043"/>
    <cfRule type="duplicateValues" dxfId="18002" priority="88387"/>
    <cfRule type="duplicateValues" dxfId="18001" priority="88390"/>
    <cfRule type="duplicateValues" dxfId="18000" priority="88392"/>
    <cfRule type="duplicateValues" dxfId="17999" priority="126396"/>
    <cfRule type="duplicateValues" dxfId="17998" priority="88395"/>
    <cfRule type="duplicateValues" dxfId="17997" priority="126397"/>
    <cfRule type="duplicateValues" dxfId="17996" priority="88412"/>
    <cfRule type="duplicateValues" dxfId="17995" priority="88414"/>
    <cfRule type="duplicateValues" dxfId="17994" priority="88417"/>
    <cfRule type="duplicateValues" dxfId="17993" priority="126399"/>
    <cfRule type="duplicateValues" dxfId="17992" priority="88419"/>
    <cfRule type="duplicateValues" dxfId="17991" priority="88421"/>
    <cfRule type="duplicateValues" dxfId="17990" priority="88422"/>
    <cfRule type="duplicateValues" dxfId="17989" priority="88423"/>
    <cfRule type="duplicateValues" dxfId="17988" priority="88424"/>
    <cfRule type="duplicateValues" dxfId="17987" priority="88425"/>
    <cfRule type="duplicateValues" dxfId="17986" priority="88426"/>
    <cfRule type="duplicateValues" dxfId="17985" priority="88427"/>
    <cfRule type="duplicateValues" dxfId="17984" priority="88428"/>
    <cfRule type="duplicateValues" dxfId="17983" priority="88429"/>
    <cfRule type="duplicateValues" dxfId="17982" priority="88430"/>
    <cfRule type="duplicateValues" dxfId="17981" priority="88431"/>
    <cfRule type="duplicateValues" dxfId="17980" priority="88432"/>
    <cfRule type="duplicateValues" dxfId="17979" priority="88433"/>
    <cfRule type="duplicateValues" dxfId="17978" priority="126400"/>
    <cfRule type="duplicateValues" dxfId="17977" priority="88435"/>
    <cfRule type="duplicateValues" dxfId="17976" priority="88438"/>
    <cfRule type="duplicateValues" dxfId="17975" priority="88440"/>
    <cfRule type="duplicateValues" dxfId="17974" priority="88442"/>
    <cfRule type="duplicateValues" dxfId="17973" priority="88446"/>
    <cfRule type="duplicateValues" dxfId="17972" priority="88448"/>
    <cfRule type="duplicateValues" dxfId="17971" priority="126402"/>
    <cfRule type="duplicateValues" dxfId="17970" priority="88452"/>
    <cfRule type="duplicateValues" dxfId="17969" priority="88455"/>
    <cfRule type="duplicateValues" dxfId="17968" priority="88471"/>
    <cfRule type="duplicateValues" dxfId="17967" priority="88473"/>
    <cfRule type="duplicateValues" dxfId="17966" priority="88474"/>
    <cfRule type="duplicateValues" dxfId="17965" priority="126406"/>
    <cfRule type="duplicateValues" dxfId="17964" priority="88476"/>
    <cfRule type="duplicateValues" dxfId="17963" priority="129042"/>
    <cfRule type="duplicateValues" dxfId="17962" priority="88478"/>
    <cfRule type="duplicateValues" dxfId="17961" priority="88481"/>
    <cfRule type="duplicateValues" dxfId="17960" priority="88483"/>
    <cfRule type="duplicateValues" dxfId="17959" priority="129041"/>
    <cfRule type="duplicateValues" dxfId="17958" priority="88486"/>
    <cfRule type="duplicateValues" dxfId="17957" priority="129040"/>
    <cfRule type="duplicateValues" dxfId="17956" priority="88503"/>
    <cfRule type="duplicateValues" dxfId="17955" priority="88505"/>
    <cfRule type="duplicateValues" dxfId="17954" priority="129039"/>
    <cfRule type="duplicateValues" dxfId="17953" priority="88508"/>
    <cfRule type="duplicateValues" dxfId="17952" priority="129038"/>
    <cfRule type="duplicateValues" dxfId="17951" priority="88510"/>
    <cfRule type="duplicateValues" dxfId="17950" priority="88512"/>
    <cfRule type="duplicateValues" dxfId="17949" priority="88513"/>
    <cfRule type="duplicateValues" dxfId="17948" priority="88514"/>
    <cfRule type="duplicateValues" dxfId="17947" priority="88515"/>
    <cfRule type="duplicateValues" dxfId="17946" priority="88516"/>
    <cfRule type="duplicateValues" dxfId="17945" priority="88517"/>
    <cfRule type="duplicateValues" dxfId="17944" priority="88518"/>
    <cfRule type="duplicateValues" dxfId="17943" priority="88519"/>
    <cfRule type="duplicateValues" dxfId="17942" priority="88520"/>
    <cfRule type="duplicateValues" dxfId="17941" priority="88521"/>
    <cfRule type="duplicateValues" dxfId="17940" priority="88522"/>
    <cfRule type="duplicateValues" dxfId="17939" priority="88523"/>
    <cfRule type="duplicateValues" dxfId="17938" priority="88524"/>
    <cfRule type="duplicateValues" dxfId="17937" priority="129037"/>
    <cfRule type="duplicateValues" dxfId="17936" priority="88526"/>
    <cfRule type="duplicateValues" dxfId="17935" priority="88527"/>
    <cfRule type="duplicateValues" dxfId="17934" priority="88528"/>
    <cfRule type="duplicateValues" dxfId="17933" priority="88530"/>
    <cfRule type="duplicateValues" dxfId="17932" priority="88532"/>
    <cfRule type="duplicateValues" dxfId="17931" priority="88535"/>
    <cfRule type="duplicateValues" dxfId="17930" priority="88537"/>
    <cfRule type="duplicateValues" dxfId="17929" priority="88540"/>
    <cfRule type="duplicateValues" dxfId="17928" priority="88557"/>
    <cfRule type="duplicateValues" dxfId="17927" priority="88559"/>
    <cfRule type="duplicateValues" dxfId="17926" priority="88562"/>
    <cfRule type="duplicateValues" dxfId="17925" priority="88564"/>
    <cfRule type="duplicateValues" dxfId="17924" priority="88566"/>
    <cfRule type="duplicateValues" dxfId="17923" priority="88567"/>
    <cfRule type="duplicateValues" dxfId="17922" priority="88568"/>
    <cfRule type="duplicateValues" dxfId="17921" priority="88569"/>
    <cfRule type="duplicateValues" dxfId="17920" priority="88570"/>
    <cfRule type="duplicateValues" dxfId="17919" priority="88571"/>
    <cfRule type="duplicateValues" dxfId="17918" priority="88572"/>
    <cfRule type="duplicateValues" dxfId="17917" priority="88573"/>
    <cfRule type="duplicateValues" dxfId="17916" priority="88574"/>
    <cfRule type="duplicateValues" dxfId="17915" priority="88575"/>
    <cfRule type="duplicateValues" dxfId="17914" priority="88576"/>
    <cfRule type="duplicateValues" dxfId="17913" priority="88577"/>
    <cfRule type="duplicateValues" dxfId="17912" priority="88578"/>
    <cfRule type="duplicateValues" dxfId="17911" priority="88580"/>
    <cfRule type="duplicateValues" dxfId="17910" priority="129035"/>
    <cfRule type="duplicateValues" dxfId="17909" priority="88589"/>
    <cfRule type="duplicateValues" dxfId="17908" priority="129034"/>
    <cfRule type="duplicateValues" dxfId="17907" priority="88592"/>
    <cfRule type="duplicateValues" dxfId="17906" priority="129033"/>
    <cfRule type="duplicateValues" dxfId="17905" priority="88594"/>
    <cfRule type="duplicateValues" dxfId="17904" priority="88596"/>
    <cfRule type="duplicateValues" dxfId="17903" priority="88597"/>
    <cfRule type="duplicateValues" dxfId="17902" priority="88598"/>
    <cfRule type="duplicateValues" dxfId="17901" priority="88599"/>
    <cfRule type="duplicateValues" dxfId="17900" priority="88600"/>
    <cfRule type="duplicateValues" dxfId="17899" priority="88601"/>
    <cfRule type="duplicateValues" dxfId="17898" priority="88602"/>
    <cfRule type="duplicateValues" dxfId="17897" priority="88603"/>
    <cfRule type="duplicateValues" dxfId="17896" priority="88604"/>
    <cfRule type="duplicateValues" dxfId="17895" priority="88605"/>
    <cfRule type="duplicateValues" dxfId="17894" priority="88606"/>
    <cfRule type="duplicateValues" dxfId="17893" priority="88607"/>
    <cfRule type="duplicateValues" dxfId="17892" priority="88608"/>
    <cfRule type="duplicateValues" dxfId="17891" priority="129032"/>
    <cfRule type="duplicateValues" dxfId="17890" priority="88610"/>
    <cfRule type="duplicateValues" dxfId="17889" priority="129031"/>
    <cfRule type="duplicateValues" dxfId="17888" priority="129105"/>
    <cfRule type="duplicateValues" dxfId="17887" priority="129106"/>
    <cfRule type="duplicateValues" dxfId="17886" priority="129107"/>
    <cfRule type="duplicateValues" dxfId="17885" priority="129108"/>
    <cfRule type="duplicateValues" dxfId="17884" priority="129030"/>
    <cfRule type="duplicateValues" dxfId="17883" priority="129029"/>
    <cfRule type="duplicateValues" dxfId="17882" priority="128997"/>
    <cfRule type="duplicateValues" dxfId="17881" priority="128995"/>
    <cfRule type="duplicateValues" dxfId="17880" priority="128993"/>
    <cfRule type="duplicateValues" dxfId="17879" priority="128990"/>
    <cfRule type="duplicateValues" dxfId="17878" priority="128987"/>
    <cfRule type="duplicateValues" dxfId="17877" priority="128985"/>
    <cfRule type="duplicateValues" dxfId="17876" priority="128979"/>
    <cfRule type="duplicateValues" dxfId="17875" priority="128972"/>
    <cfRule type="duplicateValues" dxfId="17874" priority="129109"/>
    <cfRule type="duplicateValues" dxfId="17873" priority="128964"/>
    <cfRule type="duplicateValues" dxfId="17872" priority="129111"/>
    <cfRule type="duplicateValues" dxfId="17871" priority="128954"/>
    <cfRule type="duplicateValues" dxfId="17870" priority="128952"/>
    <cfRule type="duplicateValues" dxfId="17869" priority="128950"/>
    <cfRule type="duplicateValues" dxfId="17868" priority="128947"/>
    <cfRule type="duplicateValues" dxfId="17867" priority="128944"/>
    <cfRule type="duplicateValues" dxfId="17866" priority="128942"/>
    <cfRule type="duplicateValues" dxfId="17865" priority="128936"/>
    <cfRule type="duplicateValues" dxfId="17864" priority="128929"/>
    <cfRule type="duplicateValues" dxfId="17863" priority="128921"/>
    <cfRule type="duplicateValues" dxfId="17862" priority="128912"/>
    <cfRule type="duplicateValues" dxfId="17861" priority="128903"/>
    <cfRule type="duplicateValues" dxfId="17860" priority="130127"/>
    <cfRule type="duplicateValues" dxfId="17859" priority="130128"/>
    <cfRule type="duplicateValues" dxfId="17858" priority="130129"/>
    <cfRule type="duplicateValues" dxfId="17857" priority="130130"/>
    <cfRule type="duplicateValues" dxfId="17856" priority="130131"/>
    <cfRule type="duplicateValues" dxfId="17855" priority="130132"/>
    <cfRule type="duplicateValues" dxfId="17854" priority="130133"/>
    <cfRule type="duplicateValues" dxfId="17853" priority="129113"/>
    <cfRule type="duplicateValues" dxfId="17852" priority="130134"/>
    <cfRule type="duplicateValues" dxfId="17851" priority="129114"/>
    <cfRule type="duplicateValues" dxfId="17850" priority="130135"/>
    <cfRule type="duplicateValues" dxfId="17849" priority="124976"/>
    <cfRule type="duplicateValues" dxfId="17848" priority="130136"/>
    <cfRule type="duplicateValues" dxfId="17847" priority="124974"/>
    <cfRule type="duplicateValues" dxfId="17846" priority="124973"/>
    <cfRule type="duplicateValues" dxfId="17845" priority="124972"/>
    <cfRule type="duplicateValues" dxfId="17844" priority="124971"/>
    <cfRule type="duplicateValues" dxfId="17843" priority="124970"/>
    <cfRule type="duplicateValues" dxfId="17842" priority="124969"/>
    <cfRule type="duplicateValues" dxfId="17841" priority="124968"/>
    <cfRule type="duplicateValues" dxfId="17840" priority="124967"/>
    <cfRule type="duplicateValues" dxfId="17839" priority="124965"/>
    <cfRule type="duplicateValues" dxfId="17838" priority="124964"/>
    <cfRule type="duplicateValues" dxfId="17837" priority="124963"/>
    <cfRule type="duplicateValues" dxfId="17836" priority="124962"/>
    <cfRule type="duplicateValues" dxfId="17835" priority="124959"/>
    <cfRule type="duplicateValues" dxfId="17834" priority="124957"/>
    <cfRule type="duplicateValues" dxfId="17833" priority="130137"/>
    <cfRule type="duplicateValues" dxfId="17832" priority="124954"/>
    <cfRule type="duplicateValues" dxfId="17831" priority="130138"/>
    <cfRule type="duplicateValues" dxfId="17830" priority="130139"/>
    <cfRule type="duplicateValues" dxfId="17829" priority="129116"/>
    <cfRule type="duplicateValues" dxfId="17828" priority="130140"/>
    <cfRule type="duplicateValues" dxfId="17827" priority="129098"/>
    <cfRule type="duplicateValues" dxfId="17826" priority="129096"/>
    <cfRule type="duplicateValues" dxfId="17825" priority="129095"/>
    <cfRule type="duplicateValues" dxfId="17824" priority="129094"/>
    <cfRule type="duplicateValues" dxfId="17823" priority="129093"/>
    <cfRule type="duplicateValues" dxfId="17822" priority="129092"/>
    <cfRule type="duplicateValues" dxfId="17821" priority="129091"/>
    <cfRule type="duplicateValues" dxfId="17820" priority="129090"/>
    <cfRule type="duplicateValues" dxfId="17819" priority="129088"/>
    <cfRule type="duplicateValues" dxfId="17818" priority="129087"/>
    <cfRule type="duplicateValues" dxfId="17817" priority="129086"/>
    <cfRule type="duplicateValues" dxfId="17816" priority="129085"/>
    <cfRule type="duplicateValues" dxfId="17815" priority="129084"/>
    <cfRule type="duplicateValues" dxfId="17814" priority="129083"/>
    <cfRule type="duplicateValues" dxfId="17813" priority="129082"/>
    <cfRule type="duplicateValues" dxfId="17812" priority="129081"/>
    <cfRule type="duplicateValues" dxfId="17811" priority="129079"/>
    <cfRule type="duplicateValues" dxfId="17810" priority="129078"/>
    <cfRule type="duplicateValues" dxfId="17809" priority="129077"/>
    <cfRule type="duplicateValues" dxfId="17808" priority="119679"/>
    <cfRule type="duplicateValues" dxfId="17807" priority="119680"/>
    <cfRule type="duplicateValues" dxfId="17806" priority="119681"/>
    <cfRule type="duplicateValues" dxfId="17805" priority="129117"/>
    <cfRule type="duplicateValues" dxfId="17804" priority="119683"/>
    <cfRule type="duplicateValues" dxfId="17803" priority="119684"/>
    <cfRule type="duplicateValues" dxfId="17802" priority="119686"/>
    <cfRule type="duplicateValues" dxfId="17801" priority="130141"/>
    <cfRule type="duplicateValues" dxfId="17800" priority="119688"/>
    <cfRule type="duplicateValues" dxfId="17799" priority="130142"/>
    <cfRule type="duplicateValues" dxfId="17798" priority="119690"/>
    <cfRule type="duplicateValues" dxfId="17797" priority="119691"/>
    <cfRule type="duplicateValues" dxfId="17796" priority="119692"/>
    <cfRule type="duplicateValues" dxfId="17795" priority="129119"/>
    <cfRule type="duplicateValues" dxfId="17794" priority="119694"/>
    <cfRule type="duplicateValues" dxfId="17793" priority="130143"/>
    <cfRule type="duplicateValues" dxfId="17792" priority="119696"/>
    <cfRule type="duplicateValues" dxfId="17791" priority="119699"/>
    <cfRule type="duplicateValues" dxfId="17790" priority="120517"/>
    <cfRule type="duplicateValues" dxfId="17789" priority="119700"/>
    <cfRule type="duplicateValues" dxfId="17788" priority="119702"/>
    <cfRule type="duplicateValues" dxfId="17787" priority="130144"/>
    <cfRule type="duplicateValues" dxfId="17786" priority="119705"/>
    <cfRule type="duplicateValues" dxfId="17785" priority="119706"/>
    <cfRule type="duplicateValues" dxfId="17784" priority="129123"/>
    <cfRule type="duplicateValues" dxfId="17783" priority="119709"/>
    <cfRule type="duplicateValues" dxfId="17782" priority="119711"/>
    <cfRule type="duplicateValues" dxfId="17781" priority="119713"/>
    <cfRule type="duplicateValues" dxfId="17780" priority="119714"/>
    <cfRule type="duplicateValues" dxfId="17779" priority="119715"/>
    <cfRule type="duplicateValues" dxfId="17778" priority="119716"/>
    <cfRule type="duplicateValues" dxfId="17777" priority="119717"/>
    <cfRule type="duplicateValues" dxfId="17776" priority="119718"/>
    <cfRule type="duplicateValues" dxfId="17775" priority="119719"/>
    <cfRule type="duplicateValues" dxfId="17774" priority="119720"/>
    <cfRule type="duplicateValues" dxfId="17773" priority="119721"/>
    <cfRule type="duplicateValues" dxfId="17772" priority="119722"/>
    <cfRule type="duplicateValues" dxfId="17771" priority="119723"/>
    <cfRule type="duplicateValues" dxfId="17770" priority="119724"/>
    <cfRule type="duplicateValues" dxfId="17769" priority="119725"/>
    <cfRule type="duplicateValues" dxfId="17768" priority="129326"/>
    <cfRule type="duplicateValues" dxfId="17767" priority="119727"/>
    <cfRule type="duplicateValues" dxfId="17766" priority="119728"/>
    <cfRule type="duplicateValues" dxfId="17765" priority="119729"/>
    <cfRule type="duplicateValues" dxfId="17764" priority="129327"/>
    <cfRule type="duplicateValues" dxfId="17763" priority="119731"/>
    <cfRule type="duplicateValues" dxfId="17762" priority="129328"/>
    <cfRule type="duplicateValues" dxfId="17761" priority="119733"/>
    <cfRule type="duplicateValues" dxfId="17760" priority="129329"/>
    <cfRule type="duplicateValues" dxfId="17759" priority="119736"/>
    <cfRule type="duplicateValues" dxfId="17758" priority="119737"/>
    <cfRule type="duplicateValues" dxfId="17757" priority="129330"/>
    <cfRule type="duplicateValues" dxfId="17756" priority="119739"/>
    <cfRule type="duplicateValues" dxfId="17755" priority="129331"/>
    <cfRule type="duplicateValues" dxfId="17754" priority="119742"/>
    <cfRule type="duplicateValues" dxfId="17753" priority="119743"/>
    <cfRule type="duplicateValues" dxfId="17752" priority="129332"/>
    <cfRule type="duplicateValues" dxfId="17751" priority="119746"/>
    <cfRule type="duplicateValues" dxfId="17750" priority="119748"/>
    <cfRule type="duplicateValues" dxfId="17749" priority="119750"/>
    <cfRule type="duplicateValues" dxfId="17748" priority="119751"/>
    <cfRule type="duplicateValues" dxfId="17747" priority="119752"/>
    <cfRule type="duplicateValues" dxfId="17746" priority="119753"/>
    <cfRule type="duplicateValues" dxfId="17745" priority="119754"/>
    <cfRule type="duplicateValues" dxfId="17744" priority="119755"/>
    <cfRule type="duplicateValues" dxfId="17743" priority="119756"/>
    <cfRule type="duplicateValues" dxfId="17742" priority="119757"/>
    <cfRule type="duplicateValues" dxfId="17741" priority="119758"/>
    <cfRule type="duplicateValues" dxfId="17740" priority="119759"/>
    <cfRule type="duplicateValues" dxfId="17739" priority="119760"/>
    <cfRule type="duplicateValues" dxfId="17738" priority="119761"/>
    <cfRule type="duplicateValues" dxfId="17737" priority="119762"/>
    <cfRule type="duplicateValues" dxfId="17736" priority="129334"/>
    <cfRule type="duplicateValues" dxfId="17735" priority="119764"/>
    <cfRule type="duplicateValues" dxfId="17734" priority="129335"/>
    <cfRule type="duplicateValues" dxfId="17733" priority="129336"/>
    <cfRule type="duplicateValues" dxfId="17732" priority="129337"/>
    <cfRule type="duplicateValues" dxfId="17731" priority="129338"/>
    <cfRule type="duplicateValues" dxfId="17730" priority="129339"/>
    <cfRule type="duplicateValues" dxfId="17729" priority="129340"/>
    <cfRule type="duplicateValues" dxfId="17728" priority="119777"/>
    <cfRule type="duplicateValues" dxfId="17727" priority="129342"/>
    <cfRule type="duplicateValues" dxfId="17726" priority="119779"/>
    <cfRule type="duplicateValues" dxfId="17725" priority="119782"/>
    <cfRule type="duplicateValues" dxfId="17724" priority="119783"/>
    <cfRule type="duplicateValues" dxfId="17723" priority="119784"/>
    <cfRule type="duplicateValues" dxfId="17722" priority="119785"/>
    <cfRule type="duplicateValues" dxfId="17721" priority="119786"/>
    <cfRule type="duplicateValues" dxfId="17720" priority="119787"/>
    <cfRule type="duplicateValues" dxfId="17719" priority="119788"/>
    <cfRule type="duplicateValues" dxfId="17718" priority="119789"/>
    <cfRule type="duplicateValues" dxfId="17717" priority="119790"/>
    <cfRule type="duplicateValues" dxfId="17716" priority="119791"/>
    <cfRule type="duplicateValues" dxfId="17715" priority="119792"/>
    <cfRule type="duplicateValues" dxfId="17714" priority="119793"/>
    <cfRule type="duplicateValues" dxfId="17713" priority="119794"/>
    <cfRule type="duplicateValues" dxfId="17712" priority="129343"/>
    <cfRule type="duplicateValues" dxfId="17711" priority="119796"/>
    <cfRule type="duplicateValues" dxfId="17710" priority="129344"/>
    <cfRule type="duplicateValues" dxfId="17709" priority="129345"/>
    <cfRule type="duplicateValues" dxfId="17708" priority="129346"/>
    <cfRule type="duplicateValues" dxfId="17707" priority="129347"/>
    <cfRule type="duplicateValues" dxfId="17706" priority="129349"/>
    <cfRule type="duplicateValues" dxfId="17705" priority="130145"/>
    <cfRule type="duplicateValues" dxfId="17704" priority="129350"/>
    <cfRule type="duplicateValues" dxfId="17703" priority="129351"/>
    <cfRule type="duplicateValues" dxfId="17702" priority="129352"/>
    <cfRule type="duplicateValues" dxfId="17701" priority="129353"/>
    <cfRule type="duplicateValues" dxfId="17700" priority="129355"/>
    <cfRule type="duplicateValues" dxfId="17699" priority="130146"/>
    <cfRule type="duplicateValues" dxfId="17698" priority="129357"/>
    <cfRule type="duplicateValues" dxfId="17697" priority="130147"/>
    <cfRule type="duplicateValues" dxfId="17696" priority="129076"/>
    <cfRule type="duplicateValues" dxfId="17695" priority="129075"/>
    <cfRule type="duplicateValues" dxfId="17694" priority="129074"/>
    <cfRule type="duplicateValues" dxfId="17693" priority="129358"/>
    <cfRule type="duplicateValues" dxfId="17692" priority="120454"/>
    <cfRule type="duplicateValues" dxfId="17691" priority="120455"/>
    <cfRule type="duplicateValues" dxfId="17690" priority="130148"/>
    <cfRule type="duplicateValues" dxfId="17689" priority="120457"/>
    <cfRule type="duplicateValues" dxfId="17688" priority="130149"/>
    <cfRule type="duplicateValues" dxfId="17687" priority="120459"/>
    <cfRule type="duplicateValues" dxfId="17686" priority="120462"/>
    <cfRule type="duplicateValues" dxfId="17685" priority="120463"/>
    <cfRule type="duplicateValues" dxfId="17684" priority="129360"/>
    <cfRule type="duplicateValues" dxfId="17683" priority="120465"/>
    <cfRule type="duplicateValues" dxfId="17682" priority="129361"/>
    <cfRule type="duplicateValues" dxfId="17681" priority="120468"/>
    <cfRule type="duplicateValues" dxfId="17680" priority="120469"/>
    <cfRule type="duplicateValues" dxfId="17679" priority="120472"/>
    <cfRule type="duplicateValues" dxfId="17678" priority="129363"/>
    <cfRule type="duplicateValues" dxfId="17677" priority="120474"/>
    <cfRule type="duplicateValues" dxfId="17676" priority="120476"/>
    <cfRule type="duplicateValues" dxfId="17675" priority="120477"/>
    <cfRule type="duplicateValues" dxfId="17674" priority="120478"/>
    <cfRule type="duplicateValues" dxfId="17673" priority="120479"/>
    <cfRule type="duplicateValues" dxfId="17672" priority="120480"/>
    <cfRule type="duplicateValues" dxfId="17671" priority="120481"/>
    <cfRule type="duplicateValues" dxfId="17670" priority="120482"/>
    <cfRule type="duplicateValues" dxfId="17669" priority="120483"/>
    <cfRule type="duplicateValues" dxfId="17668" priority="120484"/>
    <cfRule type="duplicateValues" dxfId="17667" priority="120485"/>
    <cfRule type="duplicateValues" dxfId="17666" priority="120486"/>
    <cfRule type="duplicateValues" dxfId="17665" priority="120487"/>
    <cfRule type="duplicateValues" dxfId="17664" priority="120488"/>
    <cfRule type="duplicateValues" dxfId="17663" priority="120490"/>
    <cfRule type="duplicateValues" dxfId="17662" priority="129367"/>
    <cfRule type="duplicateValues" dxfId="17661" priority="120500"/>
    <cfRule type="duplicateValues" dxfId="17660" priority="120503"/>
    <cfRule type="duplicateValues" dxfId="17659" priority="120505"/>
    <cfRule type="duplicateValues" dxfId="17658" priority="120508"/>
    <cfRule type="duplicateValues" dxfId="17657" priority="120509"/>
    <cfRule type="duplicateValues" dxfId="17656" priority="120510"/>
    <cfRule type="duplicateValues" dxfId="17655" priority="120511"/>
    <cfRule type="duplicateValues" dxfId="17654" priority="120512"/>
    <cfRule type="duplicateValues" dxfId="17653" priority="120513"/>
    <cfRule type="duplicateValues" dxfId="17652" priority="120514"/>
    <cfRule type="duplicateValues" dxfId="17651" priority="120515"/>
    <cfRule type="duplicateValues" dxfId="17650" priority="120516"/>
    <cfRule type="duplicateValues" dxfId="17649" priority="124966"/>
  </conditionalFormatting>
  <conditionalFormatting sqref="P6:P12">
    <cfRule type="duplicateValues" dxfId="17648" priority="126312"/>
    <cfRule type="duplicateValues" dxfId="17647" priority="126313"/>
    <cfRule type="duplicateValues" dxfId="17646" priority="129057"/>
    <cfRule type="duplicateValues" dxfId="17645" priority="126314"/>
    <cfRule type="duplicateValues" dxfId="17644" priority="126315"/>
    <cfRule type="duplicateValues" dxfId="17643" priority="126316"/>
    <cfRule type="duplicateValues" dxfId="17642" priority="126317"/>
    <cfRule type="duplicateValues" dxfId="17641" priority="126318"/>
    <cfRule type="duplicateValues" dxfId="17640" priority="126319"/>
    <cfRule type="duplicateValues" dxfId="17639" priority="126320"/>
    <cfRule type="duplicateValues" dxfId="17638" priority="126363"/>
    <cfRule type="duplicateValues" dxfId="17637" priority="126321"/>
    <cfRule type="duplicateValues" dxfId="17636" priority="129071"/>
    <cfRule type="duplicateValues" dxfId="17635" priority="126322"/>
    <cfRule type="duplicateValues" dxfId="17634" priority="130686"/>
    <cfRule type="duplicateValues" dxfId="17633" priority="129069"/>
    <cfRule type="duplicateValues" dxfId="17632" priority="126323"/>
    <cfRule type="duplicateValues" dxfId="17631" priority="126324"/>
    <cfRule type="duplicateValues" dxfId="17630" priority="126326"/>
    <cfRule type="duplicateValues" dxfId="17629" priority="126372"/>
    <cfRule type="duplicateValues" dxfId="17628" priority="126328"/>
    <cfRule type="duplicateValues" dxfId="17627" priority="130309"/>
    <cfRule type="duplicateValues" dxfId="17626" priority="130687"/>
    <cfRule type="duplicateValues" dxfId="17625" priority="130685"/>
    <cfRule type="duplicateValues" dxfId="17624" priority="153814"/>
    <cfRule type="duplicateValues" dxfId="17623" priority="129067"/>
    <cfRule type="duplicateValues" dxfId="17622" priority="153815"/>
    <cfRule type="duplicateValues" dxfId="17621" priority="130684"/>
    <cfRule type="duplicateValues" dxfId="17620" priority="130689"/>
    <cfRule type="duplicateValues" dxfId="17619" priority="130315"/>
    <cfRule type="duplicateValues" dxfId="17618" priority="126380"/>
    <cfRule type="duplicateValues" dxfId="17617" priority="130683"/>
    <cfRule type="duplicateValues" dxfId="17616" priority="130317"/>
    <cfRule type="duplicateValues" dxfId="17615" priority="130284"/>
    <cfRule type="duplicateValues" dxfId="17614" priority="126340"/>
    <cfRule type="duplicateValues" dxfId="17613" priority="129051"/>
    <cfRule type="duplicateValues" dxfId="17612" priority="130301"/>
    <cfRule type="duplicateValues" dxfId="17611" priority="129366"/>
    <cfRule type="duplicateValues" dxfId="17610" priority="130307"/>
    <cfRule type="duplicateValues" dxfId="17609" priority="129364"/>
    <cfRule type="duplicateValues" dxfId="17608" priority="129362"/>
    <cfRule type="duplicateValues" dxfId="17607" priority="129065"/>
    <cfRule type="duplicateValues" dxfId="17606" priority="126387"/>
    <cfRule type="duplicateValues" dxfId="17605" priority="129359"/>
    <cfRule type="duplicateValues" dxfId="17604" priority="129356"/>
    <cfRule type="duplicateValues" dxfId="17603" priority="129080"/>
    <cfRule type="duplicateValues" dxfId="17602" priority="129089"/>
    <cfRule type="duplicateValues" dxfId="17601" priority="129097"/>
    <cfRule type="duplicateValues" dxfId="17600" priority="131942"/>
    <cfRule type="duplicateValues" dxfId="17599" priority="129115"/>
    <cfRule type="duplicateValues" dxfId="17598" priority="128953"/>
    <cfRule type="duplicateValues" dxfId="17597" priority="128956"/>
    <cfRule type="duplicateValues" dxfId="17596" priority="129112"/>
    <cfRule type="duplicateValues" dxfId="17595" priority="129110"/>
    <cfRule type="duplicateValues" dxfId="17594" priority="128996"/>
    <cfRule type="duplicateValues" dxfId="17593" priority="132698"/>
    <cfRule type="duplicateValues" dxfId="17592" priority="132699"/>
    <cfRule type="duplicateValues" dxfId="17591" priority="132700"/>
    <cfRule type="duplicateValues" dxfId="17590" priority="132701"/>
    <cfRule type="duplicateValues" dxfId="17589" priority="132703"/>
    <cfRule type="duplicateValues" dxfId="17588" priority="133070"/>
    <cfRule type="duplicateValues" dxfId="17587" priority="133071"/>
    <cfRule type="duplicateValues" dxfId="17586" priority="133073"/>
    <cfRule type="duplicateValues" dxfId="17585" priority="133264"/>
    <cfRule type="duplicateValues" dxfId="17584" priority="133266"/>
    <cfRule type="duplicateValues" dxfId="17583" priority="131946"/>
    <cfRule type="duplicateValues" dxfId="17582" priority="131944"/>
    <cfRule type="duplicateValues" dxfId="17581" priority="131939"/>
    <cfRule type="duplicateValues" dxfId="17580" priority="131936"/>
    <cfRule type="duplicateValues" dxfId="17579" priority="129036"/>
    <cfRule type="duplicateValues" dxfId="17578" priority="131934"/>
    <cfRule type="duplicateValues" dxfId="17577" priority="126405"/>
    <cfRule type="duplicateValues" dxfId="17576" priority="126403"/>
    <cfRule type="duplicateValues" dxfId="17575" priority="126401"/>
    <cfRule type="duplicateValues" dxfId="17574" priority="126398"/>
    <cfRule type="duplicateValues" dxfId="17573" priority="126395"/>
    <cfRule type="duplicateValues" dxfId="17572" priority="126393"/>
    <cfRule type="duplicateValues" dxfId="17571" priority="129044"/>
    <cfRule type="duplicateValues" dxfId="17570" priority="129104"/>
    <cfRule type="duplicateValues" dxfId="17569" priority="129062"/>
    <cfRule type="duplicateValues" dxfId="17568" priority="129354"/>
    <cfRule type="duplicateValues" dxfId="17567" priority="129348"/>
    <cfRule type="duplicateValues" dxfId="17566" priority="129341"/>
    <cfRule type="duplicateValues" dxfId="17565" priority="129333"/>
    <cfRule type="duplicateValues" dxfId="17564" priority="130312"/>
    <cfRule type="duplicateValues" dxfId="17563" priority="130682"/>
    <cfRule type="duplicateValues" dxfId="17562" priority="129122"/>
    <cfRule type="duplicateValues" dxfId="17561" priority="129120"/>
    <cfRule type="duplicateValues" dxfId="17560" priority="129118"/>
    <cfRule type="duplicateValues" dxfId="17559" priority="126352"/>
    <cfRule type="duplicateValues" dxfId="17558" priority="130319"/>
    <cfRule type="duplicateValues" dxfId="17557" priority="126354"/>
    <cfRule type="duplicateValues" dxfId="17556" priority="126309"/>
    <cfRule type="duplicateValues" dxfId="17555" priority="129059"/>
  </conditionalFormatting>
  <conditionalFormatting sqref="P7">
    <cfRule type="duplicateValues" dxfId="17554" priority="125284"/>
    <cfRule type="duplicateValues" dxfId="17553" priority="125282"/>
    <cfRule type="duplicateValues" dxfId="17552" priority="125281"/>
    <cfRule type="duplicateValues" dxfId="17551" priority="125280"/>
    <cfRule type="duplicateValues" dxfId="17550" priority="125279"/>
    <cfRule type="duplicateValues" dxfId="17549" priority="125278"/>
    <cfRule type="duplicateValues" dxfId="17548" priority="125277"/>
    <cfRule type="duplicateValues" dxfId="17547" priority="125276"/>
    <cfRule type="duplicateValues" dxfId="17546" priority="125275"/>
    <cfRule type="duplicateValues" dxfId="17545" priority="125274"/>
    <cfRule type="duplicateValues" dxfId="17544" priority="125273"/>
    <cfRule type="duplicateValues" dxfId="17543" priority="125270"/>
    <cfRule type="duplicateValues" dxfId="17542" priority="125268"/>
    <cfRule type="duplicateValues" dxfId="17541" priority="125265"/>
    <cfRule type="duplicateValues" dxfId="17540" priority="124998"/>
    <cfRule type="duplicateValues" dxfId="17539" priority="124996"/>
    <cfRule type="duplicateValues" dxfId="17538" priority="124995"/>
    <cfRule type="duplicateValues" dxfId="17537" priority="124994"/>
    <cfRule type="duplicateValues" dxfId="17536" priority="124993"/>
    <cfRule type="duplicateValues" dxfId="17535" priority="124992"/>
    <cfRule type="duplicateValues" dxfId="17534" priority="124991"/>
    <cfRule type="duplicateValues" dxfId="17533" priority="124990"/>
    <cfRule type="duplicateValues" dxfId="17532" priority="124989"/>
    <cfRule type="duplicateValues" dxfId="17531" priority="124988"/>
    <cfRule type="duplicateValues" dxfId="17530" priority="124987"/>
    <cfRule type="duplicateValues" dxfId="17529" priority="124986"/>
    <cfRule type="duplicateValues" dxfId="17528" priority="124985"/>
    <cfRule type="duplicateValues" dxfId="17527" priority="124984"/>
    <cfRule type="duplicateValues" dxfId="17526" priority="124982"/>
    <cfRule type="duplicateValues" dxfId="17525" priority="124980"/>
    <cfRule type="duplicateValues" dxfId="17524" priority="124977"/>
    <cfRule type="duplicateValues" dxfId="17523" priority="124975"/>
    <cfRule type="duplicateValues" dxfId="17522" priority="124955"/>
    <cfRule type="duplicateValues" dxfId="17521" priority="124953"/>
    <cfRule type="duplicateValues" dxfId="17520" priority="124950"/>
    <cfRule type="duplicateValues" dxfId="17519" priority="124948"/>
    <cfRule type="duplicateValues" dxfId="17518" priority="124946"/>
    <cfRule type="duplicateValues" dxfId="17517" priority="119682"/>
    <cfRule type="duplicateValues" dxfId="17516" priority="119685"/>
    <cfRule type="duplicateValues" dxfId="17515" priority="119687"/>
    <cfRule type="duplicateValues" dxfId="17514" priority="119689"/>
    <cfRule type="duplicateValues" dxfId="17513" priority="119693"/>
    <cfRule type="duplicateValues" dxfId="17512" priority="119695"/>
    <cfRule type="duplicateValues" dxfId="17511" priority="119697"/>
    <cfRule type="duplicateValues" dxfId="17510" priority="119701"/>
    <cfRule type="duplicateValues" dxfId="17509" priority="119703"/>
    <cfRule type="duplicateValues" dxfId="17508" priority="119707"/>
    <cfRule type="duplicateValues" dxfId="17507" priority="119710"/>
    <cfRule type="duplicateValues" dxfId="17506" priority="119726"/>
    <cfRule type="duplicateValues" dxfId="17505" priority="119730"/>
    <cfRule type="duplicateValues" dxfId="17504" priority="119732"/>
    <cfRule type="duplicateValues" dxfId="17503" priority="119734"/>
    <cfRule type="duplicateValues" dxfId="17502" priority="119738"/>
    <cfRule type="duplicateValues" dxfId="17501" priority="119740"/>
    <cfRule type="duplicateValues" dxfId="17500" priority="119744"/>
    <cfRule type="duplicateValues" dxfId="17499" priority="119747"/>
    <cfRule type="duplicateValues" dxfId="17498" priority="119763"/>
    <cfRule type="duplicateValues" dxfId="17497" priority="119765"/>
    <cfRule type="duplicateValues" dxfId="17496" priority="119766"/>
    <cfRule type="duplicateValues" dxfId="17495" priority="119768"/>
    <cfRule type="duplicateValues" dxfId="17494" priority="119770"/>
    <cfRule type="duplicateValues" dxfId="17493" priority="119773"/>
    <cfRule type="duplicateValues" dxfId="17492" priority="125283"/>
    <cfRule type="duplicateValues" dxfId="17491" priority="119775"/>
    <cfRule type="duplicateValues" dxfId="17490" priority="119778"/>
    <cfRule type="duplicateValues" dxfId="17489" priority="119795"/>
    <cfRule type="duplicateValues" dxfId="17488" priority="119797"/>
    <cfRule type="duplicateValues" dxfId="17487" priority="119800"/>
    <cfRule type="duplicateValues" dxfId="17486" priority="119802"/>
    <cfRule type="duplicateValues" dxfId="17485" priority="119805"/>
    <cfRule type="duplicateValues" dxfId="17484" priority="119806"/>
    <cfRule type="duplicateValues" dxfId="17483" priority="119807"/>
    <cfRule type="duplicateValues" dxfId="17482" priority="119808"/>
    <cfRule type="duplicateValues" dxfId="17481" priority="119809"/>
    <cfRule type="duplicateValues" dxfId="17480" priority="119810"/>
    <cfRule type="duplicateValues" dxfId="17479" priority="119811"/>
    <cfRule type="duplicateValues" dxfId="17478" priority="119812"/>
    <cfRule type="duplicateValues" dxfId="17477" priority="119813"/>
    <cfRule type="duplicateValues" dxfId="17476" priority="119814"/>
    <cfRule type="duplicateValues" dxfId="17475" priority="119815"/>
    <cfRule type="duplicateValues" dxfId="17474" priority="119816"/>
    <cfRule type="duplicateValues" dxfId="17473" priority="119817"/>
    <cfRule type="duplicateValues" dxfId="17472" priority="119819"/>
    <cfRule type="duplicateValues" dxfId="17471" priority="124945"/>
    <cfRule type="duplicateValues" dxfId="17470" priority="120456"/>
    <cfRule type="duplicateValues" dxfId="17469" priority="120458"/>
    <cfRule type="duplicateValues" dxfId="17468" priority="120460"/>
    <cfRule type="duplicateValues" dxfId="17467" priority="120464"/>
    <cfRule type="duplicateValues" dxfId="17466" priority="120466"/>
    <cfRule type="duplicateValues" dxfId="17465" priority="120470"/>
    <cfRule type="duplicateValues" dxfId="17464" priority="120473"/>
    <cfRule type="duplicateValues" dxfId="17463" priority="120489"/>
    <cfRule type="duplicateValues" dxfId="17462" priority="120491"/>
    <cfRule type="duplicateValues" dxfId="17461" priority="120492"/>
    <cfRule type="duplicateValues" dxfId="17460" priority="120494"/>
    <cfRule type="duplicateValues" dxfId="17459" priority="120496"/>
    <cfRule type="duplicateValues" dxfId="17458" priority="120499"/>
    <cfRule type="duplicateValues" dxfId="17457" priority="120501"/>
    <cfRule type="duplicateValues" dxfId="17456" priority="120504"/>
    <cfRule type="duplicateValues" dxfId="17455" priority="120521"/>
    <cfRule type="duplicateValues" dxfId="17454" priority="120523"/>
    <cfRule type="duplicateValues" dxfId="17453" priority="120526"/>
    <cfRule type="duplicateValues" dxfId="17452" priority="120528"/>
    <cfRule type="duplicateValues" dxfId="17451" priority="120530"/>
    <cfRule type="duplicateValues" dxfId="17450" priority="120531"/>
    <cfRule type="duplicateValues" dxfId="17449" priority="120532"/>
    <cfRule type="duplicateValues" dxfId="17448" priority="120533"/>
    <cfRule type="duplicateValues" dxfId="17447" priority="120534"/>
    <cfRule type="duplicateValues" dxfId="17446" priority="120535"/>
    <cfRule type="duplicateValues" dxfId="17445" priority="120536"/>
    <cfRule type="duplicateValues" dxfId="17444" priority="120537"/>
    <cfRule type="duplicateValues" dxfId="17443" priority="120538"/>
    <cfRule type="duplicateValues" dxfId="17442" priority="120539"/>
    <cfRule type="duplicateValues" dxfId="17441" priority="120540"/>
    <cfRule type="duplicateValues" dxfId="17440" priority="120541"/>
    <cfRule type="duplicateValues" dxfId="17439" priority="120542"/>
    <cfRule type="duplicateValues" dxfId="17438" priority="120544"/>
    <cfRule type="duplicateValues" dxfId="17437" priority="124958"/>
    <cfRule type="duplicateValues" dxfId="17436" priority="88315"/>
    <cfRule type="duplicateValues" dxfId="17435" priority="88321"/>
    <cfRule type="duplicateValues" dxfId="17434" priority="88325"/>
    <cfRule type="duplicateValues" dxfId="17433" priority="88329"/>
    <cfRule type="duplicateValues" dxfId="17432" priority="88352"/>
    <cfRule type="duplicateValues" dxfId="17431" priority="88358"/>
    <cfRule type="duplicateValues" dxfId="17430" priority="88362"/>
    <cfRule type="duplicateValues" dxfId="17429" priority="88366"/>
    <cfRule type="duplicateValues" dxfId="17428" priority="88384"/>
    <cfRule type="duplicateValues" dxfId="17427" priority="88386"/>
    <cfRule type="duplicateValues" dxfId="17426" priority="88388"/>
    <cfRule type="duplicateValues" dxfId="17425" priority="88393"/>
    <cfRule type="duplicateValues" dxfId="17424" priority="88397"/>
    <cfRule type="duplicateValues" dxfId="17423" priority="88415"/>
    <cfRule type="duplicateValues" dxfId="17422" priority="88418"/>
    <cfRule type="duplicateValues" dxfId="17421" priority="88434"/>
    <cfRule type="duplicateValues" dxfId="17420" priority="88443"/>
    <cfRule type="duplicateValues" dxfId="17419" priority="88449"/>
    <cfRule type="duplicateValues" dxfId="17418" priority="88453"/>
    <cfRule type="duplicateValues" dxfId="17417" priority="88457"/>
    <cfRule type="duplicateValues" dxfId="17416" priority="88475"/>
    <cfRule type="duplicateValues" dxfId="17415" priority="88477"/>
    <cfRule type="duplicateValues" dxfId="17414" priority="88479"/>
    <cfRule type="duplicateValues" dxfId="17413" priority="88484"/>
    <cfRule type="duplicateValues" dxfId="17412" priority="88488"/>
    <cfRule type="duplicateValues" dxfId="17411" priority="88506"/>
    <cfRule type="duplicateValues" dxfId="17410" priority="88509"/>
    <cfRule type="duplicateValues" dxfId="17409" priority="88525"/>
    <cfRule type="duplicateValues" dxfId="17408" priority="88529"/>
    <cfRule type="duplicateValues" dxfId="17407" priority="88531"/>
    <cfRule type="duplicateValues" dxfId="17406" priority="88533"/>
    <cfRule type="duplicateValues" dxfId="17405" priority="88538"/>
    <cfRule type="duplicateValues" dxfId="17404" priority="88542"/>
    <cfRule type="duplicateValues" dxfId="17403" priority="88560"/>
    <cfRule type="duplicateValues" dxfId="17402" priority="88563"/>
    <cfRule type="duplicateValues" dxfId="17401" priority="88579"/>
    <cfRule type="duplicateValues" dxfId="17400" priority="88581"/>
    <cfRule type="duplicateValues" dxfId="17399" priority="88582"/>
    <cfRule type="duplicateValues" dxfId="17398" priority="88584"/>
    <cfRule type="duplicateValues" dxfId="17397" priority="88586"/>
    <cfRule type="duplicateValues" dxfId="17396" priority="88588"/>
    <cfRule type="duplicateValues" dxfId="17395" priority="88590"/>
    <cfRule type="duplicateValues" dxfId="17394" priority="88593"/>
    <cfRule type="duplicateValues" dxfId="17393" priority="88609"/>
    <cfRule type="duplicateValues" dxfId="17392" priority="88611"/>
    <cfRule type="duplicateValues" dxfId="17391" priority="88613"/>
    <cfRule type="duplicateValues" dxfId="17390" priority="88678"/>
    <cfRule type="duplicateValues" dxfId="17389" priority="88680"/>
    <cfRule type="duplicateValues" dxfId="17388" priority="88732"/>
    <cfRule type="duplicateValues" dxfId="17387" priority="88774"/>
    <cfRule type="duplicateValues" dxfId="17386" priority="88776"/>
    <cfRule type="duplicateValues" dxfId="17385" priority="88808"/>
    <cfRule type="duplicateValues" dxfId="17384" priority="88840"/>
    <cfRule type="duplicateValues" dxfId="17383" priority="88841"/>
    <cfRule type="duplicateValues" dxfId="17382" priority="88842"/>
    <cfRule type="duplicateValues" dxfId="17381" priority="88843"/>
    <cfRule type="duplicateValues" dxfId="17380" priority="88844"/>
    <cfRule type="duplicateValues" dxfId="17379" priority="88845"/>
    <cfRule type="duplicateValues" dxfId="17378" priority="88846"/>
    <cfRule type="duplicateValues" dxfId="17377" priority="88847"/>
    <cfRule type="duplicateValues" dxfId="17376" priority="88849"/>
    <cfRule type="duplicateValues" dxfId="17375" priority="125287"/>
    <cfRule type="duplicateValues" dxfId="17374" priority="125285"/>
  </conditionalFormatting>
  <conditionalFormatting sqref="P8">
    <cfRule type="duplicateValues" dxfId="17373" priority="130318"/>
    <cfRule type="duplicateValues" dxfId="17372" priority="119769"/>
    <cfRule type="duplicateValues" dxfId="17371" priority="125286"/>
    <cfRule type="duplicateValues" dxfId="17370" priority="88848"/>
    <cfRule type="duplicateValues" dxfId="17369" priority="88614"/>
    <cfRule type="duplicateValues" dxfId="17368" priority="88612"/>
    <cfRule type="duplicateValues" dxfId="17367" priority="88595"/>
    <cfRule type="duplicateValues" dxfId="17366" priority="88591"/>
    <cfRule type="duplicateValues" dxfId="17365" priority="88587"/>
    <cfRule type="duplicateValues" dxfId="17364" priority="88585"/>
    <cfRule type="duplicateValues" dxfId="17363" priority="88583"/>
    <cfRule type="duplicateValues" dxfId="17362" priority="88565"/>
    <cfRule type="duplicateValues" dxfId="17361" priority="88561"/>
    <cfRule type="duplicateValues" dxfId="17360" priority="88543"/>
    <cfRule type="duplicateValues" dxfId="17359" priority="88534"/>
    <cfRule type="duplicateValues" dxfId="17358" priority="88511"/>
    <cfRule type="duplicateValues" dxfId="17357" priority="88507"/>
    <cfRule type="duplicateValues" dxfId="17356" priority="88489"/>
    <cfRule type="duplicateValues" dxfId="17355" priority="88480"/>
    <cfRule type="duplicateValues" dxfId="17354" priority="88420"/>
    <cfRule type="duplicateValues" dxfId="17353" priority="88416"/>
    <cfRule type="duplicateValues" dxfId="17352" priority="88398"/>
    <cfRule type="duplicateValues" dxfId="17351" priority="88389"/>
    <cfRule type="duplicateValues" dxfId="17350" priority="119767"/>
    <cfRule type="duplicateValues" dxfId="17349" priority="119749"/>
    <cfRule type="duplicateValues" dxfId="17348" priority="133072"/>
    <cfRule type="duplicateValues" dxfId="17347" priority="119745"/>
    <cfRule type="duplicateValues" dxfId="17346" priority="129121"/>
    <cfRule type="duplicateValues" dxfId="17345" priority="119741"/>
    <cfRule type="duplicateValues" dxfId="17344" priority="119712"/>
    <cfRule type="duplicateValues" dxfId="17343" priority="133265"/>
    <cfRule type="duplicateValues" dxfId="17342" priority="140804"/>
    <cfRule type="duplicateValues" dxfId="17341" priority="119708"/>
    <cfRule type="duplicateValues" dxfId="17340" priority="131945"/>
    <cfRule type="duplicateValues" dxfId="17339" priority="134446"/>
    <cfRule type="duplicateValues" dxfId="17338" priority="119704"/>
    <cfRule type="duplicateValues" dxfId="17337" priority="119698"/>
    <cfRule type="duplicateValues" dxfId="17336" priority="124947"/>
    <cfRule type="duplicateValues" dxfId="17335" priority="128167"/>
    <cfRule type="duplicateValues" dxfId="17334" priority="124949"/>
    <cfRule type="duplicateValues" dxfId="17333" priority="129365"/>
    <cfRule type="duplicateValues" dxfId="17332" priority="124951"/>
    <cfRule type="duplicateValues" dxfId="17331" priority="132702"/>
    <cfRule type="duplicateValues" dxfId="17330" priority="124956"/>
    <cfRule type="duplicateValues" dxfId="17329" priority="124960"/>
    <cfRule type="duplicateValues" dxfId="17328" priority="124978"/>
    <cfRule type="duplicateValues" dxfId="17327" priority="125269"/>
    <cfRule type="duplicateValues" dxfId="17326" priority="126308"/>
    <cfRule type="duplicateValues" dxfId="17325" priority="124981"/>
    <cfRule type="duplicateValues" dxfId="17324" priority="124997"/>
    <cfRule type="duplicateValues" dxfId="17323" priority="133064"/>
    <cfRule type="duplicateValues" dxfId="17322" priority="125035"/>
    <cfRule type="duplicateValues" dxfId="17321" priority="130688"/>
    <cfRule type="duplicateValues" dxfId="17320" priority="129295"/>
    <cfRule type="duplicateValues" dxfId="17319" priority="125036"/>
    <cfRule type="duplicateValues" dxfId="17318" priority="126404"/>
    <cfRule type="duplicateValues" dxfId="17317" priority="125038"/>
    <cfRule type="duplicateValues" dxfId="17316" priority="129068"/>
    <cfRule type="duplicateValues" dxfId="17315" priority="125040"/>
    <cfRule type="duplicateValues" dxfId="17314" priority="126325"/>
    <cfRule type="duplicateValues" dxfId="17313" priority="125043"/>
    <cfRule type="duplicateValues" dxfId="17312" priority="125266"/>
    <cfRule type="duplicateValues" dxfId="17311" priority="120471"/>
    <cfRule type="duplicateValues" dxfId="17310" priority="119735"/>
    <cfRule type="duplicateValues" dxfId="17309" priority="120543"/>
    <cfRule type="duplicateValues" dxfId="17308" priority="120527"/>
    <cfRule type="duplicateValues" dxfId="17307" priority="120524"/>
    <cfRule type="duplicateValues" dxfId="17306" priority="120506"/>
    <cfRule type="duplicateValues" dxfId="17305" priority="120502"/>
    <cfRule type="duplicateValues" dxfId="17304" priority="120497"/>
    <cfRule type="duplicateValues" dxfId="17303" priority="120495"/>
    <cfRule type="duplicateValues" dxfId="17302" priority="120493"/>
    <cfRule type="duplicateValues" dxfId="17301" priority="120475"/>
    <cfRule type="duplicateValues" dxfId="17300" priority="120467"/>
    <cfRule type="duplicateValues" dxfId="17299" priority="120461"/>
    <cfRule type="duplicateValues" dxfId="17298" priority="119818"/>
    <cfRule type="duplicateValues" dxfId="17297" priority="119801"/>
    <cfRule type="duplicateValues" dxfId="17296" priority="119798"/>
    <cfRule type="duplicateValues" dxfId="17295" priority="119780"/>
    <cfRule type="duplicateValues" dxfId="17294" priority="119776"/>
    <cfRule type="duplicateValues" dxfId="17293" priority="119771"/>
  </conditionalFormatting>
  <conditionalFormatting sqref="P9">
    <cfRule type="duplicateValues" dxfId="17292" priority="126327"/>
    <cfRule type="duplicateValues" dxfId="17291" priority="125271"/>
    <cfRule type="duplicateValues" dxfId="17290" priority="119799"/>
    <cfRule type="duplicateValues" dxfId="17289" priority="125041"/>
    <cfRule type="duplicateValues" dxfId="17288" priority="119772"/>
    <cfRule type="duplicateValues" dxfId="17287" priority="120525"/>
    <cfRule type="duplicateValues" dxfId="17286" priority="139484"/>
    <cfRule type="duplicateValues" dxfId="17285" priority="124983"/>
    <cfRule type="duplicateValues" dxfId="17284" priority="126310"/>
    <cfRule type="duplicateValues" dxfId="17283" priority="120507"/>
    <cfRule type="duplicateValues" dxfId="17282" priority="119781"/>
    <cfRule type="duplicateValues" dxfId="17281" priority="124961"/>
    <cfRule type="duplicateValues" dxfId="17280" priority="120529"/>
    <cfRule type="duplicateValues" dxfId="17279" priority="125037"/>
    <cfRule type="duplicateValues" dxfId="17278" priority="125039"/>
    <cfRule type="duplicateValues" dxfId="17277" priority="119803"/>
    <cfRule type="duplicateValues" dxfId="17276" priority="124952"/>
    <cfRule type="duplicateValues" dxfId="17275" priority="120498"/>
    <cfRule type="duplicateValues" dxfId="17274" priority="125267"/>
    <cfRule type="duplicateValues" dxfId="17273" priority="124979"/>
  </conditionalFormatting>
  <conditionalFormatting sqref="P10">
    <cfRule type="duplicateValues" dxfId="17272" priority="125272"/>
    <cfRule type="duplicateValues" dxfId="17271" priority="126311"/>
    <cfRule type="duplicateValues" dxfId="17270" priority="127985"/>
    <cfRule type="duplicateValues" dxfId="17269" priority="119804"/>
    <cfRule type="duplicateValues" dxfId="17268" priority="125042"/>
  </conditionalFormatting>
  <conditionalFormatting sqref="P11">
    <cfRule type="duplicateValues" dxfId="17267" priority="128094"/>
  </conditionalFormatting>
  <conditionalFormatting sqref="P14">
    <cfRule type="duplicateValues" dxfId="17266" priority="127407"/>
    <cfRule type="duplicateValues" dxfId="17265" priority="127404"/>
    <cfRule type="duplicateValues" dxfId="17264" priority="127406"/>
    <cfRule type="duplicateValues" dxfId="17263" priority="127405"/>
    <cfRule type="duplicateValues" dxfId="17262" priority="127409"/>
    <cfRule type="duplicateValues" dxfId="17261" priority="127408"/>
  </conditionalFormatting>
  <conditionalFormatting sqref="P15">
    <cfRule type="duplicateValues" dxfId="17260" priority="141794"/>
    <cfRule type="duplicateValues" dxfId="17259" priority="141793"/>
    <cfRule type="duplicateValues" dxfId="17258" priority="141792"/>
    <cfRule type="duplicateValues" dxfId="17257" priority="141795"/>
    <cfRule type="duplicateValues" dxfId="17256" priority="141797"/>
    <cfRule type="duplicateValues" dxfId="17255" priority="141796"/>
  </conditionalFormatting>
  <conditionalFormatting sqref="P16:P20">
    <cfRule type="duplicateValues" dxfId="17254" priority="154165"/>
    <cfRule type="duplicateValues" dxfId="17253" priority="154107"/>
    <cfRule type="duplicateValues" dxfId="17252" priority="154225"/>
    <cfRule type="duplicateValues" dxfId="17251" priority="154132"/>
    <cfRule type="duplicateValues" dxfId="17250" priority="154168"/>
  </conditionalFormatting>
  <conditionalFormatting sqref="P32">
    <cfRule type="duplicateValues" dxfId="17249" priority="129964"/>
    <cfRule type="duplicateValues" dxfId="17248" priority="129963"/>
    <cfRule type="duplicateValues" dxfId="17247" priority="129962"/>
    <cfRule type="duplicateValues" dxfId="17246" priority="129961"/>
    <cfRule type="duplicateValues" dxfId="17245" priority="129960"/>
    <cfRule type="duplicateValues" dxfId="17244" priority="129959"/>
    <cfRule type="duplicateValues" dxfId="17243" priority="129958"/>
    <cfRule type="duplicateValues" dxfId="17242" priority="129957"/>
    <cfRule type="duplicateValues" dxfId="17241" priority="129956"/>
    <cfRule type="duplicateValues" dxfId="17240" priority="129955"/>
    <cfRule type="duplicateValues" dxfId="17239" priority="129954"/>
    <cfRule type="duplicateValues" dxfId="17238" priority="129953"/>
    <cfRule type="duplicateValues" dxfId="17237" priority="129952"/>
    <cfRule type="duplicateValues" dxfId="17236" priority="129951"/>
    <cfRule type="duplicateValues" dxfId="17235" priority="129950"/>
    <cfRule type="duplicateValues" dxfId="17234" priority="129915"/>
    <cfRule type="duplicateValues" dxfId="17233" priority="129912"/>
    <cfRule type="duplicateValues" dxfId="17232" priority="129910"/>
    <cfRule type="duplicateValues" dxfId="17231" priority="129909"/>
    <cfRule type="duplicateValues" dxfId="17230" priority="129906"/>
    <cfRule type="duplicateValues" dxfId="17229" priority="129904"/>
    <cfRule type="duplicateValues" dxfId="17228" priority="129903"/>
    <cfRule type="duplicateValues" dxfId="17227" priority="129902"/>
    <cfRule type="duplicateValues" dxfId="17226" priority="129862"/>
    <cfRule type="duplicateValues" dxfId="17225" priority="129861"/>
    <cfRule type="duplicateValues" dxfId="17224" priority="129860"/>
    <cfRule type="duplicateValues" dxfId="17223" priority="129852"/>
    <cfRule type="duplicateValues" dxfId="17222" priority="129849"/>
    <cfRule type="duplicateValues" dxfId="17221" priority="129848"/>
    <cfRule type="duplicateValues" dxfId="17220" priority="129847"/>
    <cfRule type="duplicateValues" dxfId="17219" priority="129846"/>
    <cfRule type="duplicateValues" dxfId="17218" priority="129845"/>
    <cfRule type="duplicateValues" dxfId="17217" priority="129844"/>
    <cfRule type="duplicateValues" dxfId="17216" priority="129843"/>
    <cfRule type="duplicateValues" dxfId="17215" priority="129842"/>
    <cfRule type="duplicateValues" dxfId="17214" priority="129841"/>
    <cfRule type="duplicateValues" dxfId="17213" priority="129840"/>
    <cfRule type="duplicateValues" dxfId="17212" priority="129838"/>
    <cfRule type="duplicateValues" dxfId="17211" priority="129837"/>
    <cfRule type="duplicateValues" dxfId="17210" priority="129836"/>
    <cfRule type="duplicateValues" dxfId="17209" priority="129834"/>
    <cfRule type="duplicateValues" dxfId="17208" priority="129833"/>
    <cfRule type="duplicateValues" dxfId="17207" priority="129832"/>
    <cfRule type="duplicateValues" dxfId="17206" priority="129831"/>
    <cfRule type="duplicateValues" dxfId="17205" priority="129901"/>
    <cfRule type="duplicateValues" dxfId="17204" priority="129900"/>
    <cfRule type="duplicateValues" dxfId="17203" priority="129897"/>
    <cfRule type="duplicateValues" dxfId="17202" priority="129895"/>
    <cfRule type="duplicateValues" dxfId="17201" priority="120701"/>
    <cfRule type="duplicateValues" dxfId="17200" priority="120700"/>
    <cfRule type="duplicateValues" dxfId="17199" priority="120699"/>
    <cfRule type="duplicateValues" dxfId="17198" priority="120698"/>
    <cfRule type="duplicateValues" dxfId="17197" priority="120697"/>
    <cfRule type="duplicateValues" dxfId="17196" priority="120838"/>
    <cfRule type="duplicateValues" dxfId="17195" priority="120696"/>
    <cfRule type="duplicateValues" dxfId="17194" priority="120837"/>
    <cfRule type="duplicateValues" dxfId="17193" priority="120836"/>
    <cfRule type="duplicateValues" dxfId="17192" priority="120835"/>
    <cfRule type="duplicateValues" dxfId="17191" priority="120834"/>
    <cfRule type="duplicateValues" dxfId="17190" priority="120833"/>
    <cfRule type="duplicateValues" dxfId="17189" priority="120832"/>
    <cfRule type="duplicateValues" dxfId="17188" priority="120831"/>
    <cfRule type="duplicateValues" dxfId="17187" priority="120823"/>
    <cfRule type="duplicateValues" dxfId="17186" priority="120820"/>
    <cfRule type="duplicateValues" dxfId="17185" priority="120818"/>
    <cfRule type="duplicateValues" dxfId="17184" priority="120817"/>
    <cfRule type="duplicateValues" dxfId="17183" priority="120814"/>
    <cfRule type="duplicateValues" dxfId="17182" priority="120812"/>
    <cfRule type="duplicateValues" dxfId="17181" priority="120811"/>
    <cfRule type="duplicateValues" dxfId="17180" priority="120810"/>
    <cfRule type="duplicateValues" dxfId="17179" priority="120809"/>
    <cfRule type="duplicateValues" dxfId="17178" priority="120808"/>
    <cfRule type="duplicateValues" dxfId="17177" priority="120805"/>
    <cfRule type="duplicateValues" dxfId="17176" priority="120803"/>
    <cfRule type="duplicateValues" dxfId="17175" priority="120802"/>
    <cfRule type="duplicateValues" dxfId="17174" priority="120801"/>
    <cfRule type="duplicateValues" dxfId="17173" priority="120800"/>
    <cfRule type="duplicateValues" dxfId="17172" priority="120799"/>
    <cfRule type="duplicateValues" dxfId="17171" priority="120798"/>
    <cfRule type="duplicateValues" dxfId="17170" priority="120797"/>
    <cfRule type="duplicateValues" dxfId="17169" priority="120796"/>
    <cfRule type="duplicateValues" dxfId="17168" priority="120795"/>
    <cfRule type="duplicateValues" dxfId="17167" priority="120794"/>
    <cfRule type="duplicateValues" dxfId="17166" priority="120793"/>
    <cfRule type="duplicateValues" dxfId="17165" priority="120792"/>
    <cfRule type="duplicateValues" dxfId="17164" priority="120791"/>
    <cfRule type="duplicateValues" dxfId="17163" priority="120790"/>
    <cfRule type="duplicateValues" dxfId="17162" priority="120789"/>
    <cfRule type="duplicateValues" dxfId="17161" priority="120788"/>
    <cfRule type="duplicateValues" dxfId="17160" priority="120787"/>
    <cfRule type="duplicateValues" dxfId="17159" priority="120786"/>
    <cfRule type="duplicateValues" dxfId="17158" priority="120785"/>
    <cfRule type="duplicateValues" dxfId="17157" priority="120784"/>
    <cfRule type="duplicateValues" dxfId="17156" priority="120713"/>
    <cfRule type="duplicateValues" dxfId="17155" priority="120747"/>
    <cfRule type="duplicateValues" dxfId="17154" priority="120744"/>
    <cfRule type="duplicateValues" dxfId="17153" priority="120742"/>
    <cfRule type="duplicateValues" dxfId="17152" priority="120741"/>
    <cfRule type="duplicateValues" dxfId="17151" priority="120738"/>
    <cfRule type="duplicateValues" dxfId="17150" priority="120736"/>
    <cfRule type="duplicateValues" dxfId="17149" priority="120735"/>
    <cfRule type="duplicateValues" dxfId="17148" priority="120734"/>
    <cfRule type="duplicateValues" dxfId="17147" priority="120733"/>
    <cfRule type="duplicateValues" dxfId="17146" priority="120695"/>
    <cfRule type="duplicateValues" dxfId="17145" priority="120694"/>
    <cfRule type="duplicateValues" dxfId="17144" priority="120693"/>
    <cfRule type="duplicateValues" dxfId="17143" priority="120692"/>
    <cfRule type="duplicateValues" dxfId="17142" priority="129894"/>
    <cfRule type="duplicateValues" dxfId="17141" priority="120684"/>
    <cfRule type="duplicateValues" dxfId="17140" priority="120682"/>
    <cfRule type="duplicateValues" dxfId="17139" priority="120681"/>
    <cfRule type="duplicateValues" dxfId="17138" priority="129876"/>
    <cfRule type="duplicateValues" dxfId="17137" priority="120680"/>
    <cfRule type="duplicateValues" dxfId="17136" priority="120679"/>
    <cfRule type="duplicateValues" dxfId="17135" priority="120678"/>
    <cfRule type="duplicateValues" dxfId="17134" priority="120677"/>
    <cfRule type="duplicateValues" dxfId="17133" priority="120676"/>
    <cfRule type="duplicateValues" dxfId="17132" priority="129872"/>
    <cfRule type="duplicateValues" dxfId="17131" priority="120675"/>
    <cfRule type="duplicateValues" dxfId="17130" priority="120674"/>
    <cfRule type="duplicateValues" dxfId="17129" priority="120673"/>
    <cfRule type="duplicateValues" dxfId="17128" priority="120672"/>
    <cfRule type="duplicateValues" dxfId="17127" priority="120670"/>
    <cfRule type="duplicateValues" dxfId="17126" priority="120669"/>
    <cfRule type="duplicateValues" dxfId="17125" priority="120668"/>
    <cfRule type="duplicateValues" dxfId="17124" priority="120666"/>
    <cfRule type="duplicateValues" dxfId="17123" priority="120665"/>
    <cfRule type="duplicateValues" dxfId="17122" priority="120664"/>
    <cfRule type="duplicateValues" dxfId="17121" priority="120663"/>
    <cfRule type="duplicateValues" dxfId="17120" priority="120659"/>
    <cfRule type="duplicateValues" dxfId="17119" priority="120656"/>
    <cfRule type="duplicateValues" dxfId="17118" priority="120620"/>
    <cfRule type="duplicateValues" dxfId="17117" priority="120654"/>
    <cfRule type="duplicateValues" dxfId="17116" priority="120653"/>
    <cfRule type="duplicateValues" dxfId="17115" priority="120650"/>
    <cfRule type="duplicateValues" dxfId="17114" priority="120648"/>
    <cfRule type="duplicateValues" dxfId="17113" priority="120647"/>
    <cfRule type="duplicateValues" dxfId="17112" priority="120646"/>
    <cfRule type="duplicateValues" dxfId="17111" priority="120645"/>
    <cfRule type="duplicateValues" dxfId="17110" priority="120644"/>
    <cfRule type="duplicateValues" dxfId="17109" priority="120641"/>
    <cfRule type="duplicateValues" dxfId="17108" priority="120639"/>
    <cfRule type="duplicateValues" dxfId="17107" priority="120638"/>
    <cfRule type="duplicateValues" dxfId="17106" priority="120637"/>
    <cfRule type="duplicateValues" dxfId="17105" priority="120636"/>
    <cfRule type="duplicateValues" dxfId="17104" priority="120635"/>
    <cfRule type="duplicateValues" dxfId="17103" priority="120634"/>
    <cfRule type="duplicateValues" dxfId="17102" priority="120633"/>
    <cfRule type="duplicateValues" dxfId="17101" priority="120632"/>
    <cfRule type="duplicateValues" dxfId="17100" priority="120631"/>
    <cfRule type="duplicateValues" dxfId="17099" priority="120630"/>
    <cfRule type="duplicateValues" dxfId="17098" priority="120629"/>
    <cfRule type="duplicateValues" dxfId="17097" priority="120628"/>
    <cfRule type="duplicateValues" dxfId="17096" priority="120627"/>
    <cfRule type="duplicateValues" dxfId="17095" priority="120626"/>
    <cfRule type="duplicateValues" dxfId="17094" priority="120625"/>
    <cfRule type="duplicateValues" dxfId="17093" priority="120624"/>
    <cfRule type="duplicateValues" dxfId="17092" priority="120623"/>
    <cfRule type="duplicateValues" dxfId="17091" priority="120622"/>
    <cfRule type="duplicateValues" dxfId="17090" priority="120621"/>
    <cfRule type="duplicateValues" dxfId="17089" priority="120617"/>
    <cfRule type="duplicateValues" dxfId="17088" priority="120615"/>
    <cfRule type="duplicateValues" dxfId="17087" priority="120614"/>
    <cfRule type="duplicateValues" dxfId="17086" priority="120613"/>
    <cfRule type="duplicateValues" dxfId="17085" priority="120612"/>
    <cfRule type="duplicateValues" dxfId="17084" priority="120611"/>
    <cfRule type="duplicateValues" dxfId="17083" priority="120610"/>
    <cfRule type="duplicateValues" dxfId="17082" priority="120609"/>
    <cfRule type="duplicateValues" dxfId="17081" priority="120608"/>
    <cfRule type="duplicateValues" dxfId="17080" priority="120607"/>
    <cfRule type="duplicateValues" dxfId="17079" priority="120606"/>
    <cfRule type="duplicateValues" dxfId="17078" priority="120605"/>
    <cfRule type="duplicateValues" dxfId="17077" priority="120598"/>
    <cfRule type="duplicateValues" dxfId="17076" priority="120596"/>
    <cfRule type="duplicateValues" dxfId="17075" priority="120595"/>
    <cfRule type="duplicateValues" dxfId="17074" priority="120594"/>
    <cfRule type="duplicateValues" dxfId="17073" priority="120593"/>
    <cfRule type="duplicateValues" dxfId="17072" priority="120592"/>
    <cfRule type="duplicateValues" dxfId="17071" priority="120591"/>
    <cfRule type="duplicateValues" dxfId="17070" priority="120590"/>
    <cfRule type="duplicateValues" dxfId="17069" priority="120589"/>
    <cfRule type="duplicateValues" dxfId="17068" priority="120588"/>
    <cfRule type="duplicateValues" dxfId="17067" priority="120587"/>
    <cfRule type="duplicateValues" dxfId="17066" priority="120586"/>
    <cfRule type="duplicateValues" dxfId="17065" priority="120584"/>
    <cfRule type="duplicateValues" dxfId="17064" priority="120583"/>
    <cfRule type="duplicateValues" dxfId="17063" priority="120582"/>
    <cfRule type="duplicateValues" dxfId="17062" priority="129870"/>
    <cfRule type="duplicateValues" dxfId="17061" priority="120580"/>
    <cfRule type="duplicateValues" dxfId="17060" priority="129869"/>
    <cfRule type="duplicateValues" dxfId="17059" priority="120579"/>
    <cfRule type="duplicateValues" dxfId="17058" priority="129868"/>
    <cfRule type="duplicateValues" dxfId="17057" priority="120578"/>
    <cfRule type="duplicateValues" dxfId="17056" priority="120577"/>
    <cfRule type="duplicateValues" dxfId="17055" priority="120574"/>
    <cfRule type="duplicateValues" dxfId="17054" priority="120572"/>
    <cfRule type="duplicateValues" dxfId="17053" priority="120571"/>
    <cfRule type="duplicateValues" dxfId="17052" priority="120570"/>
    <cfRule type="duplicateValues" dxfId="17051" priority="120569"/>
    <cfRule type="duplicateValues" dxfId="17050" priority="120568"/>
    <cfRule type="duplicateValues" dxfId="17049" priority="120567"/>
    <cfRule type="duplicateValues" dxfId="17048" priority="120566"/>
    <cfRule type="duplicateValues" dxfId="17047" priority="120565"/>
    <cfRule type="duplicateValues" dxfId="17046" priority="120564"/>
    <cfRule type="duplicateValues" dxfId="17045" priority="120563"/>
    <cfRule type="duplicateValues" dxfId="17044" priority="129867"/>
    <cfRule type="duplicateValues" dxfId="17043" priority="129866"/>
    <cfRule type="duplicateValues" dxfId="17042" priority="120562"/>
    <cfRule type="duplicateValues" dxfId="17041" priority="129865"/>
    <cfRule type="duplicateValues" dxfId="17040" priority="120732"/>
    <cfRule type="duplicateValues" dxfId="17039" priority="120729"/>
    <cfRule type="duplicateValues" dxfId="17038" priority="120727"/>
    <cfRule type="duplicateValues" dxfId="17037" priority="120726"/>
    <cfRule type="duplicateValues" dxfId="17036" priority="120725"/>
    <cfRule type="duplicateValues" dxfId="17035" priority="120724"/>
    <cfRule type="duplicateValues" dxfId="17034" priority="120723"/>
    <cfRule type="duplicateValues" dxfId="17033" priority="120722"/>
    <cfRule type="duplicateValues" dxfId="17032" priority="120721"/>
    <cfRule type="duplicateValues" dxfId="17031" priority="120720"/>
    <cfRule type="duplicateValues" dxfId="17030" priority="120719"/>
    <cfRule type="duplicateValues" dxfId="17029" priority="120718"/>
    <cfRule type="duplicateValues" dxfId="17028" priority="120717"/>
    <cfRule type="duplicateValues" dxfId="17027" priority="120716"/>
    <cfRule type="duplicateValues" dxfId="17026" priority="129864"/>
    <cfRule type="duplicateValues" dxfId="17025" priority="120714"/>
    <cfRule type="duplicateValues" dxfId="17024" priority="120712"/>
    <cfRule type="duplicateValues" dxfId="17023" priority="120711"/>
    <cfRule type="duplicateValues" dxfId="17022" priority="120559"/>
    <cfRule type="duplicateValues" dxfId="17021" priority="120558"/>
    <cfRule type="duplicateValues" dxfId="17020" priority="120556"/>
    <cfRule type="duplicateValues" dxfId="17019" priority="120555"/>
    <cfRule type="duplicateValues" dxfId="17018" priority="120554"/>
    <cfRule type="duplicateValues" dxfId="17017" priority="120553"/>
    <cfRule type="duplicateValues" dxfId="17016" priority="120552"/>
    <cfRule type="duplicateValues" dxfId="17015" priority="120551"/>
    <cfRule type="duplicateValues" dxfId="17014" priority="120550"/>
    <cfRule type="duplicateValues" dxfId="17013" priority="120549"/>
    <cfRule type="duplicateValues" dxfId="17012" priority="120548"/>
    <cfRule type="duplicateValues" dxfId="17011" priority="129863"/>
    <cfRule type="duplicateValues" dxfId="17010" priority="129893"/>
    <cfRule type="duplicateValues" dxfId="17009" priority="130050"/>
    <cfRule type="duplicateValues" dxfId="17008" priority="130052"/>
    <cfRule type="duplicateValues" dxfId="17007" priority="130049"/>
    <cfRule type="duplicateValues" dxfId="17006" priority="130055"/>
    <cfRule type="duplicateValues" dxfId="17005" priority="130042"/>
    <cfRule type="duplicateValues" dxfId="17004" priority="130039"/>
    <cfRule type="duplicateValues" dxfId="17003" priority="130062"/>
    <cfRule type="duplicateValues" dxfId="17002" priority="120840"/>
    <cfRule type="duplicateValues" dxfId="17001" priority="130037"/>
    <cfRule type="duplicateValues" dxfId="17000" priority="130036"/>
    <cfRule type="duplicateValues" dxfId="16999" priority="130033"/>
    <cfRule type="duplicateValues" dxfId="16998" priority="120852"/>
    <cfRule type="duplicateValues" dxfId="16997" priority="120849"/>
    <cfRule type="duplicateValues" dxfId="16996" priority="130031"/>
    <cfRule type="duplicateValues" dxfId="16995" priority="120847"/>
    <cfRule type="duplicateValues" dxfId="16994" priority="129892"/>
    <cfRule type="duplicateValues" dxfId="16993" priority="129891"/>
    <cfRule type="duplicateValues" dxfId="16992" priority="129890"/>
    <cfRule type="duplicateValues" dxfId="16991" priority="129889"/>
    <cfRule type="duplicateValues" dxfId="16990" priority="129888"/>
    <cfRule type="duplicateValues" dxfId="16989" priority="129887"/>
    <cfRule type="duplicateValues" dxfId="16988" priority="129886"/>
    <cfRule type="duplicateValues" dxfId="16987" priority="129885"/>
    <cfRule type="duplicateValues" dxfId="16986" priority="129884"/>
    <cfRule type="duplicateValues" dxfId="16985" priority="129883"/>
    <cfRule type="duplicateValues" dxfId="16984" priority="129850"/>
    <cfRule type="duplicateValues" dxfId="16983" priority="130030"/>
    <cfRule type="duplicateValues" dxfId="16982" priority="120846"/>
    <cfRule type="duplicateValues" dxfId="16981" priority="120845"/>
    <cfRule type="duplicateValues" dxfId="16980" priority="130029"/>
    <cfRule type="duplicateValues" dxfId="16979" priority="120844"/>
    <cfRule type="duplicateValues" dxfId="16978" priority="130028"/>
    <cfRule type="duplicateValues" dxfId="16977" priority="130027"/>
    <cfRule type="duplicateValues" dxfId="16976" priority="120843"/>
    <cfRule type="duplicateValues" dxfId="16975" priority="130023"/>
    <cfRule type="duplicateValues" dxfId="16974" priority="130020"/>
    <cfRule type="duplicateValues" dxfId="16973" priority="130018"/>
    <cfRule type="duplicateValues" dxfId="16972" priority="130017"/>
    <cfRule type="duplicateValues" dxfId="16971" priority="130014"/>
    <cfRule type="duplicateValues" dxfId="16970" priority="130012"/>
    <cfRule type="duplicateValues" dxfId="16969" priority="130011"/>
    <cfRule type="duplicateValues" dxfId="16968" priority="120560"/>
    <cfRule type="duplicateValues" dxfId="16967" priority="130010"/>
    <cfRule type="duplicateValues" dxfId="16966" priority="130009"/>
    <cfRule type="duplicateValues" dxfId="16965" priority="130008"/>
    <cfRule type="duplicateValues" dxfId="16964" priority="130005"/>
    <cfRule type="duplicateValues" dxfId="16963" priority="120897"/>
    <cfRule type="duplicateValues" dxfId="16962" priority="129882"/>
    <cfRule type="duplicateValues" dxfId="16961" priority="129881"/>
    <cfRule type="duplicateValues" dxfId="16960" priority="129880"/>
    <cfRule type="duplicateValues" dxfId="16959" priority="120890"/>
    <cfRule type="duplicateValues" dxfId="16958" priority="120887"/>
    <cfRule type="duplicateValues" dxfId="16957" priority="120885"/>
    <cfRule type="duplicateValues" dxfId="16956" priority="120884"/>
    <cfRule type="duplicateValues" dxfId="16955" priority="129879"/>
    <cfRule type="duplicateValues" dxfId="16954" priority="129878"/>
    <cfRule type="duplicateValues" dxfId="16953" priority="129877"/>
    <cfRule type="duplicateValues" dxfId="16952" priority="120877"/>
    <cfRule type="duplicateValues" dxfId="16951" priority="120874"/>
    <cfRule type="duplicateValues" dxfId="16950" priority="120872"/>
    <cfRule type="duplicateValues" dxfId="16949" priority="120871"/>
    <cfRule type="duplicateValues" dxfId="16948" priority="120868"/>
    <cfRule type="duplicateValues" dxfId="16947" priority="120866"/>
    <cfRule type="duplicateValues" dxfId="16946" priority="120865"/>
    <cfRule type="duplicateValues" dxfId="16945" priority="120864"/>
    <cfRule type="duplicateValues" dxfId="16944" priority="120863"/>
    <cfRule type="duplicateValues" dxfId="16943" priority="120862"/>
    <cfRule type="duplicateValues" dxfId="16942" priority="120858"/>
    <cfRule type="duplicateValues" dxfId="16941" priority="120855"/>
    <cfRule type="duplicateValues" dxfId="16940" priority="120853"/>
    <cfRule type="duplicateValues" dxfId="16939" priority="130003"/>
    <cfRule type="duplicateValues" dxfId="16938" priority="130002"/>
    <cfRule type="duplicateValues" dxfId="16937" priority="130001"/>
    <cfRule type="duplicateValues" dxfId="16936" priority="130000"/>
    <cfRule type="duplicateValues" dxfId="16935" priority="129999"/>
    <cfRule type="duplicateValues" dxfId="16934" priority="120715"/>
    <cfRule type="duplicateValues" dxfId="16933" priority="129998"/>
    <cfRule type="duplicateValues" dxfId="16932" priority="129997"/>
    <cfRule type="duplicateValues" dxfId="16931" priority="129996"/>
    <cfRule type="duplicateValues" dxfId="16930" priority="129989"/>
    <cfRule type="duplicateValues" dxfId="16929" priority="129986"/>
    <cfRule type="duplicateValues" dxfId="16928" priority="129984"/>
    <cfRule type="duplicateValues" dxfId="16927" priority="129983"/>
    <cfRule type="duplicateValues" dxfId="16926" priority="129980"/>
    <cfRule type="duplicateValues" dxfId="16925" priority="129978"/>
    <cfRule type="duplicateValues" dxfId="16924" priority="129977"/>
    <cfRule type="duplicateValues" dxfId="16923" priority="129976"/>
    <cfRule type="duplicateValues" dxfId="16922" priority="129975"/>
    <cfRule type="duplicateValues" dxfId="16921" priority="129974"/>
    <cfRule type="duplicateValues" dxfId="16920" priority="129971"/>
    <cfRule type="duplicateValues" dxfId="16919" priority="129969"/>
    <cfRule type="duplicateValues" dxfId="16918" priority="129968"/>
    <cfRule type="duplicateValues" dxfId="16917" priority="129967"/>
    <cfRule type="duplicateValues" dxfId="16916" priority="129966"/>
    <cfRule type="duplicateValues" dxfId="16915" priority="129965"/>
    <cfRule type="duplicateValues" dxfId="16914" priority="120710"/>
    <cfRule type="duplicateValues" dxfId="16913" priority="120709"/>
    <cfRule type="duplicateValues" dxfId="16912" priority="120708"/>
    <cfRule type="duplicateValues" dxfId="16911" priority="120704"/>
    <cfRule type="duplicateValues" dxfId="16910" priority="120702"/>
  </conditionalFormatting>
  <conditionalFormatting sqref="P33">
    <cfRule type="duplicateValues" dxfId="16909" priority="142440"/>
    <cfRule type="duplicateValues" dxfId="16908" priority="142439"/>
    <cfRule type="duplicateValues" dxfId="16907" priority="142438"/>
    <cfRule type="duplicateValues" dxfId="16906" priority="142437"/>
    <cfRule type="duplicateValues" dxfId="16905" priority="142436"/>
    <cfRule type="duplicateValues" dxfId="16904" priority="142435"/>
    <cfRule type="duplicateValues" dxfId="16903" priority="142434"/>
    <cfRule type="duplicateValues" dxfId="16902" priority="142096"/>
    <cfRule type="duplicateValues" dxfId="16901" priority="142093"/>
    <cfRule type="duplicateValues" dxfId="16900" priority="142091"/>
    <cfRule type="duplicateValues" dxfId="16899" priority="142090"/>
    <cfRule type="duplicateValues" dxfId="16898" priority="142087"/>
    <cfRule type="duplicateValues" dxfId="16897" priority="142085"/>
    <cfRule type="duplicateValues" dxfId="16896" priority="142084"/>
    <cfRule type="duplicateValues" dxfId="16895" priority="142083"/>
    <cfRule type="duplicateValues" dxfId="16894" priority="142082"/>
    <cfRule type="duplicateValues" dxfId="16893" priority="142081"/>
    <cfRule type="duplicateValues" dxfId="16892" priority="142078"/>
    <cfRule type="duplicateValues" dxfId="16891" priority="142076"/>
    <cfRule type="duplicateValues" dxfId="16890" priority="142075"/>
    <cfRule type="duplicateValues" dxfId="16889" priority="142074"/>
    <cfRule type="duplicateValues" dxfId="16888" priority="142073"/>
    <cfRule type="duplicateValues" dxfId="16887" priority="142072"/>
    <cfRule type="duplicateValues" dxfId="16886" priority="142071"/>
    <cfRule type="duplicateValues" dxfId="16885" priority="142070"/>
    <cfRule type="duplicateValues" dxfId="16884" priority="142069"/>
    <cfRule type="duplicateValues" dxfId="16883" priority="142068"/>
    <cfRule type="duplicateValues" dxfId="16882" priority="142057"/>
    <cfRule type="duplicateValues" dxfId="16881" priority="142058"/>
    <cfRule type="duplicateValues" dxfId="16880" priority="142067"/>
    <cfRule type="duplicateValues" dxfId="16879" priority="142066"/>
    <cfRule type="duplicateValues" dxfId="16878" priority="120851"/>
    <cfRule type="duplicateValues" dxfId="16877" priority="120850"/>
    <cfRule type="duplicateValues" dxfId="16876" priority="120848"/>
    <cfRule type="duplicateValues" dxfId="16875" priority="120842"/>
    <cfRule type="duplicateValues" dxfId="16874" priority="120841"/>
    <cfRule type="duplicateValues" dxfId="16873" priority="130069"/>
    <cfRule type="duplicateValues" dxfId="16872" priority="130066"/>
    <cfRule type="duplicateValues" dxfId="16871" priority="130064"/>
    <cfRule type="duplicateValues" dxfId="16870" priority="130063"/>
    <cfRule type="duplicateValues" dxfId="16869" priority="130059"/>
    <cfRule type="duplicateValues" dxfId="16868" priority="130057"/>
    <cfRule type="duplicateValues" dxfId="16867" priority="130056"/>
    <cfRule type="duplicateValues" dxfId="16866" priority="130054"/>
    <cfRule type="duplicateValues" dxfId="16865" priority="130053"/>
    <cfRule type="duplicateValues" dxfId="16864" priority="130051"/>
    <cfRule type="duplicateValues" dxfId="16863" priority="130046"/>
    <cfRule type="duplicateValues" dxfId="16862" priority="130044"/>
    <cfRule type="duplicateValues" dxfId="16861" priority="130043"/>
    <cfRule type="duplicateValues" dxfId="16860" priority="130041"/>
    <cfRule type="duplicateValues" dxfId="16859" priority="130040"/>
    <cfRule type="duplicateValues" dxfId="16858" priority="130038"/>
    <cfRule type="duplicateValues" dxfId="16857" priority="130035"/>
    <cfRule type="duplicateValues" dxfId="16856" priority="130034"/>
    <cfRule type="duplicateValues" dxfId="16855" priority="130032"/>
    <cfRule type="duplicateValues" dxfId="16854" priority="130026"/>
    <cfRule type="duplicateValues" dxfId="16853" priority="130025"/>
    <cfRule type="duplicateValues" dxfId="16852" priority="130024"/>
    <cfRule type="duplicateValues" dxfId="16851" priority="120731"/>
    <cfRule type="duplicateValues" dxfId="16850" priority="120730"/>
    <cfRule type="duplicateValues" dxfId="16849" priority="130022"/>
    <cfRule type="duplicateValues" dxfId="16848" priority="120728"/>
    <cfRule type="duplicateValues" dxfId="16847" priority="130021"/>
    <cfRule type="duplicateValues" dxfId="16846" priority="130019"/>
    <cfRule type="duplicateValues" dxfId="16845" priority="130016"/>
    <cfRule type="duplicateValues" dxfId="16844" priority="130015"/>
    <cfRule type="duplicateValues" dxfId="16843" priority="130013"/>
    <cfRule type="duplicateValues" dxfId="16842" priority="130007"/>
    <cfRule type="duplicateValues" dxfId="16841" priority="130006"/>
    <cfRule type="duplicateValues" dxfId="16840" priority="130004"/>
    <cfRule type="duplicateValues" dxfId="16839" priority="129993"/>
    <cfRule type="duplicateValues" dxfId="16838" priority="129991"/>
    <cfRule type="duplicateValues" dxfId="16837" priority="129990"/>
    <cfRule type="duplicateValues" dxfId="16836" priority="129988"/>
    <cfRule type="duplicateValues" dxfId="16835" priority="129987"/>
    <cfRule type="duplicateValues" dxfId="16834" priority="129985"/>
    <cfRule type="duplicateValues" dxfId="16833" priority="129982"/>
    <cfRule type="duplicateValues" dxfId="16832" priority="129981"/>
    <cfRule type="duplicateValues" dxfId="16831" priority="129979"/>
    <cfRule type="duplicateValues" dxfId="16830" priority="129973"/>
    <cfRule type="duplicateValues" dxfId="16829" priority="129972"/>
    <cfRule type="duplicateValues" dxfId="16828" priority="129970"/>
    <cfRule type="duplicateValues" dxfId="16827" priority="129943"/>
    <cfRule type="duplicateValues" dxfId="16826" priority="129941"/>
    <cfRule type="duplicateValues" dxfId="16825" priority="129940"/>
    <cfRule type="duplicateValues" dxfId="16824" priority="129939"/>
    <cfRule type="duplicateValues" dxfId="16823" priority="129938"/>
    <cfRule type="duplicateValues" dxfId="16822" priority="129937"/>
    <cfRule type="duplicateValues" dxfId="16821" priority="129936"/>
    <cfRule type="duplicateValues" dxfId="16820" priority="129935"/>
    <cfRule type="duplicateValues" dxfId="16819" priority="129934"/>
    <cfRule type="duplicateValues" dxfId="16818" priority="129933"/>
    <cfRule type="duplicateValues" dxfId="16817" priority="129932"/>
    <cfRule type="duplicateValues" dxfId="16816" priority="129931"/>
    <cfRule type="duplicateValues" dxfId="16815" priority="129929"/>
    <cfRule type="duplicateValues" dxfId="16814" priority="129928"/>
    <cfRule type="duplicateValues" dxfId="16813" priority="129927"/>
    <cfRule type="duplicateValues" dxfId="16812" priority="129925"/>
    <cfRule type="duplicateValues" dxfId="16811" priority="129924"/>
    <cfRule type="duplicateValues" dxfId="16810" priority="129923"/>
    <cfRule type="duplicateValues" dxfId="16809" priority="129922"/>
    <cfRule type="duplicateValues" dxfId="16808" priority="129919"/>
    <cfRule type="duplicateValues" dxfId="16807" priority="129917"/>
    <cfRule type="duplicateValues" dxfId="16806" priority="129916"/>
    <cfRule type="duplicateValues" dxfId="16805" priority="129914"/>
    <cfRule type="duplicateValues" dxfId="16804" priority="129913"/>
    <cfRule type="duplicateValues" dxfId="16803" priority="129911"/>
    <cfRule type="duplicateValues" dxfId="16802" priority="129908"/>
    <cfRule type="duplicateValues" dxfId="16801" priority="129907"/>
    <cfRule type="duplicateValues" dxfId="16800" priority="129905"/>
    <cfRule type="duplicateValues" dxfId="16799" priority="129899"/>
    <cfRule type="duplicateValues" dxfId="16798" priority="129898"/>
    <cfRule type="duplicateValues" dxfId="16797" priority="129896"/>
    <cfRule type="duplicateValues" dxfId="16796" priority="129874"/>
    <cfRule type="duplicateValues" dxfId="16795" priority="129873"/>
    <cfRule type="duplicateValues" dxfId="16794" priority="129871"/>
    <cfRule type="duplicateValues" dxfId="16793" priority="142065"/>
    <cfRule type="duplicateValues" dxfId="16792" priority="142064"/>
    <cfRule type="duplicateValues" dxfId="16791" priority="142063"/>
    <cfRule type="duplicateValues" dxfId="16790" priority="129858"/>
    <cfRule type="duplicateValues" dxfId="16789" priority="129857"/>
    <cfRule type="duplicateValues" dxfId="16788" priority="129856"/>
    <cfRule type="duplicateValues" dxfId="16787" priority="129855"/>
    <cfRule type="duplicateValues" dxfId="16786" priority="129854"/>
    <cfRule type="duplicateValues" dxfId="16785" priority="129853"/>
    <cfRule type="duplicateValues" dxfId="16784" priority="142062"/>
    <cfRule type="duplicateValues" dxfId="16783" priority="129851"/>
    <cfRule type="duplicateValues" dxfId="16782" priority="142061"/>
    <cfRule type="duplicateValues" dxfId="16781" priority="142060"/>
    <cfRule type="duplicateValues" dxfId="16780" priority="120854"/>
    <cfRule type="duplicateValues" dxfId="16779" priority="120856"/>
    <cfRule type="duplicateValues" dxfId="16778" priority="120857"/>
    <cfRule type="duplicateValues" dxfId="16777" priority="120859"/>
    <cfRule type="duplicateValues" dxfId="16776" priority="120860"/>
    <cfRule type="duplicateValues" dxfId="16775" priority="120861"/>
    <cfRule type="duplicateValues" dxfId="16774" priority="120867"/>
    <cfRule type="duplicateValues" dxfId="16773" priority="120869"/>
    <cfRule type="duplicateValues" dxfId="16772" priority="129839"/>
    <cfRule type="duplicateValues" dxfId="16771" priority="120870"/>
    <cfRule type="duplicateValues" dxfId="16770" priority="142059"/>
    <cfRule type="duplicateValues" dxfId="16769" priority="120875"/>
    <cfRule type="duplicateValues" dxfId="16768" priority="129835"/>
    <cfRule type="duplicateValues" dxfId="16767" priority="120876"/>
    <cfRule type="duplicateValues" dxfId="16766" priority="120878"/>
    <cfRule type="duplicateValues" dxfId="16765" priority="120879"/>
    <cfRule type="duplicateValues" dxfId="16764" priority="120881"/>
    <cfRule type="duplicateValues" dxfId="16763" priority="120886"/>
    <cfRule type="duplicateValues" dxfId="16762" priority="120888"/>
    <cfRule type="duplicateValues" dxfId="16761" priority="120889"/>
    <cfRule type="duplicateValues" dxfId="16760" priority="120891"/>
    <cfRule type="duplicateValues" dxfId="16759" priority="120839"/>
    <cfRule type="duplicateValues" dxfId="16758" priority="120892"/>
    <cfRule type="duplicateValues" dxfId="16757" priority="120894"/>
    <cfRule type="duplicateValues" dxfId="16756" priority="120898"/>
    <cfRule type="duplicateValues" dxfId="16755" priority="120899"/>
    <cfRule type="duplicateValues" dxfId="16754" priority="120901"/>
    <cfRule type="duplicateValues" dxfId="16753" priority="120904"/>
    <cfRule type="duplicateValues" dxfId="16752" priority="120557"/>
    <cfRule type="duplicateValues" dxfId="16751" priority="120561"/>
    <cfRule type="duplicateValues" dxfId="16750" priority="120573"/>
    <cfRule type="duplicateValues" dxfId="16749" priority="120575"/>
    <cfRule type="duplicateValues" dxfId="16748" priority="120576"/>
    <cfRule type="duplicateValues" dxfId="16747" priority="120581"/>
    <cfRule type="duplicateValues" dxfId="16746" priority="120585"/>
    <cfRule type="duplicateValues" dxfId="16745" priority="120597"/>
    <cfRule type="duplicateValues" dxfId="16744" priority="120599"/>
    <cfRule type="duplicateValues" dxfId="16743" priority="120600"/>
    <cfRule type="duplicateValues" dxfId="16742" priority="120601"/>
    <cfRule type="duplicateValues" dxfId="16741" priority="120602"/>
    <cfRule type="duplicateValues" dxfId="16740" priority="120603"/>
    <cfRule type="duplicateValues" dxfId="16739" priority="120604"/>
    <cfRule type="duplicateValues" dxfId="16738" priority="120616"/>
    <cfRule type="duplicateValues" dxfId="16737" priority="120618"/>
    <cfRule type="duplicateValues" dxfId="16736" priority="120619"/>
    <cfRule type="duplicateValues" dxfId="16735" priority="120640"/>
    <cfRule type="duplicateValues" dxfId="16734" priority="120642"/>
    <cfRule type="duplicateValues" dxfId="16733" priority="120643"/>
    <cfRule type="duplicateValues" dxfId="16732" priority="120649"/>
    <cfRule type="duplicateValues" dxfId="16731" priority="120827"/>
    <cfRule type="duplicateValues" dxfId="16730" priority="120825"/>
    <cfRule type="duplicateValues" dxfId="16729" priority="120824"/>
    <cfRule type="duplicateValues" dxfId="16728" priority="120651"/>
    <cfRule type="duplicateValues" dxfId="16727" priority="120822"/>
    <cfRule type="duplicateValues" dxfId="16726" priority="120821"/>
    <cfRule type="duplicateValues" dxfId="16725" priority="120652"/>
    <cfRule type="duplicateValues" dxfId="16724" priority="120819"/>
    <cfRule type="duplicateValues" dxfId="16723" priority="120655"/>
    <cfRule type="duplicateValues" dxfId="16722" priority="120657"/>
    <cfRule type="duplicateValues" dxfId="16721" priority="120816"/>
    <cfRule type="duplicateValues" dxfId="16720" priority="120815"/>
    <cfRule type="duplicateValues" dxfId="16719" priority="120658"/>
    <cfRule type="duplicateValues" dxfId="16718" priority="120813"/>
    <cfRule type="duplicateValues" dxfId="16717" priority="120660"/>
    <cfRule type="duplicateValues" dxfId="16716" priority="120661"/>
    <cfRule type="duplicateValues" dxfId="16715" priority="120662"/>
    <cfRule type="duplicateValues" dxfId="16714" priority="120667"/>
    <cfRule type="duplicateValues" dxfId="16713" priority="120671"/>
    <cfRule type="duplicateValues" dxfId="16712" priority="120807"/>
    <cfRule type="duplicateValues" dxfId="16711" priority="120806"/>
    <cfRule type="duplicateValues" dxfId="16710" priority="120683"/>
    <cfRule type="duplicateValues" dxfId="16709" priority="120804"/>
    <cfRule type="duplicateValues" dxfId="16708" priority="120685"/>
    <cfRule type="duplicateValues" dxfId="16707" priority="120686"/>
    <cfRule type="duplicateValues" dxfId="16706" priority="120687"/>
    <cfRule type="duplicateValues" dxfId="16705" priority="120688"/>
    <cfRule type="duplicateValues" dxfId="16704" priority="120689"/>
    <cfRule type="duplicateValues" dxfId="16703" priority="120690"/>
    <cfRule type="duplicateValues" dxfId="16702" priority="140821"/>
    <cfRule type="duplicateValues" dxfId="16701" priority="140822"/>
    <cfRule type="duplicateValues" dxfId="16700" priority="140823"/>
    <cfRule type="duplicateValues" dxfId="16699" priority="140824"/>
    <cfRule type="duplicateValues" dxfId="16698" priority="140826"/>
    <cfRule type="duplicateValues" dxfId="16697" priority="140834"/>
    <cfRule type="duplicateValues" dxfId="16696" priority="140835"/>
    <cfRule type="duplicateValues" dxfId="16695" priority="140836"/>
    <cfRule type="duplicateValues" dxfId="16694" priority="140837"/>
    <cfRule type="duplicateValues" dxfId="16693" priority="140838"/>
    <cfRule type="duplicateValues" dxfId="16692" priority="140839"/>
    <cfRule type="duplicateValues" dxfId="16691" priority="140840"/>
    <cfRule type="duplicateValues" dxfId="16690" priority="140841"/>
    <cfRule type="duplicateValues" dxfId="16689" priority="140842"/>
    <cfRule type="duplicateValues" dxfId="16688" priority="140843"/>
    <cfRule type="duplicateValues" dxfId="16687" priority="140844"/>
    <cfRule type="duplicateValues" dxfId="16686" priority="140846"/>
    <cfRule type="duplicateValues" dxfId="16685" priority="140805"/>
    <cfRule type="duplicateValues" dxfId="16684" priority="140806"/>
    <cfRule type="duplicateValues" dxfId="16683" priority="140807"/>
    <cfRule type="duplicateValues" dxfId="16682" priority="140808"/>
    <cfRule type="duplicateValues" dxfId="16681" priority="140810"/>
    <cfRule type="duplicateValues" dxfId="16680" priority="140811"/>
    <cfRule type="duplicateValues" dxfId="16679" priority="140812"/>
    <cfRule type="duplicateValues" dxfId="16678" priority="140814"/>
    <cfRule type="duplicateValues" dxfId="16677" priority="140815"/>
    <cfRule type="duplicateValues" dxfId="16676" priority="140816"/>
    <cfRule type="duplicateValues" dxfId="16675" priority="140817"/>
    <cfRule type="duplicateValues" dxfId="16674" priority="140818"/>
    <cfRule type="duplicateValues" dxfId="16673" priority="140819"/>
    <cfRule type="duplicateValues" dxfId="16672" priority="140820"/>
    <cfRule type="duplicateValues" dxfId="16671" priority="120776"/>
    <cfRule type="duplicateValues" dxfId="16670" priority="120774"/>
    <cfRule type="duplicateValues" dxfId="16669" priority="120773"/>
    <cfRule type="duplicateValues" dxfId="16668" priority="120772"/>
    <cfRule type="duplicateValues" dxfId="16667" priority="120771"/>
    <cfRule type="duplicateValues" dxfId="16666" priority="120770"/>
    <cfRule type="duplicateValues" dxfId="16665" priority="120769"/>
    <cfRule type="duplicateValues" dxfId="16664" priority="120768"/>
    <cfRule type="duplicateValues" dxfId="16663" priority="120767"/>
    <cfRule type="duplicateValues" dxfId="16662" priority="120766"/>
    <cfRule type="duplicateValues" dxfId="16661" priority="120765"/>
    <cfRule type="duplicateValues" dxfId="16660" priority="120764"/>
    <cfRule type="duplicateValues" dxfId="16659" priority="120762"/>
    <cfRule type="duplicateValues" dxfId="16658" priority="120761"/>
    <cfRule type="duplicateValues" dxfId="16657" priority="120760"/>
    <cfRule type="duplicateValues" dxfId="16656" priority="120758"/>
    <cfRule type="duplicateValues" dxfId="16655" priority="120757"/>
    <cfRule type="duplicateValues" dxfId="16654" priority="120756"/>
    <cfRule type="duplicateValues" dxfId="16653" priority="120755"/>
    <cfRule type="duplicateValues" dxfId="16652" priority="120751"/>
    <cfRule type="duplicateValues" dxfId="16651" priority="120749"/>
    <cfRule type="duplicateValues" dxfId="16650" priority="120748"/>
    <cfRule type="duplicateValues" dxfId="16649" priority="140850"/>
    <cfRule type="duplicateValues" dxfId="16648" priority="120746"/>
    <cfRule type="duplicateValues" dxfId="16647" priority="120745"/>
    <cfRule type="duplicateValues" dxfId="16646" priority="140851"/>
    <cfRule type="duplicateValues" dxfId="16645" priority="120743"/>
    <cfRule type="duplicateValues" dxfId="16644" priority="140852"/>
    <cfRule type="duplicateValues" dxfId="16643" priority="140853"/>
    <cfRule type="duplicateValues" dxfId="16642" priority="120740"/>
    <cfRule type="duplicateValues" dxfId="16641" priority="120739"/>
    <cfRule type="duplicateValues" dxfId="16640" priority="140854"/>
    <cfRule type="duplicateValues" dxfId="16639" priority="120737"/>
    <cfRule type="duplicateValues" dxfId="16638" priority="140855"/>
    <cfRule type="duplicateValues" dxfId="16637" priority="140856"/>
    <cfRule type="duplicateValues" dxfId="16636" priority="140857"/>
    <cfRule type="duplicateValues" dxfId="16635" priority="140858"/>
    <cfRule type="duplicateValues" dxfId="16634" priority="140859"/>
    <cfRule type="duplicateValues" dxfId="16633" priority="140860"/>
    <cfRule type="duplicateValues" dxfId="16632" priority="140861"/>
    <cfRule type="duplicateValues" dxfId="16631" priority="140862"/>
    <cfRule type="duplicateValues" dxfId="16630" priority="140863"/>
    <cfRule type="duplicateValues" dxfId="16629" priority="140864"/>
    <cfRule type="duplicateValues" dxfId="16628" priority="140865"/>
    <cfRule type="duplicateValues" dxfId="16627" priority="120873"/>
    <cfRule type="duplicateValues" dxfId="16626" priority="140866"/>
    <cfRule type="duplicateValues" dxfId="16625" priority="140867"/>
    <cfRule type="duplicateValues" dxfId="16624" priority="140868"/>
    <cfRule type="duplicateValues" dxfId="16623" priority="140869"/>
    <cfRule type="duplicateValues" dxfId="16622" priority="140871"/>
    <cfRule type="duplicateValues" dxfId="16621" priority="140874"/>
    <cfRule type="duplicateValues" dxfId="16620" priority="140875"/>
    <cfRule type="duplicateValues" dxfId="16619" priority="140876"/>
    <cfRule type="duplicateValues" dxfId="16618" priority="140877"/>
    <cfRule type="duplicateValues" dxfId="16617" priority="140878"/>
    <cfRule type="duplicateValues" dxfId="16616" priority="140880"/>
    <cfRule type="duplicateValues" dxfId="16615" priority="140883"/>
    <cfRule type="duplicateValues" dxfId="16614" priority="140884"/>
    <cfRule type="duplicateValues" dxfId="16613" priority="140886"/>
    <cfRule type="duplicateValues" dxfId="16612" priority="140889"/>
    <cfRule type="duplicateValues" dxfId="16611" priority="143565"/>
    <cfRule type="duplicateValues" dxfId="16610" priority="143558"/>
    <cfRule type="duplicateValues" dxfId="16609" priority="143555"/>
    <cfRule type="duplicateValues" dxfId="16608" priority="143553"/>
    <cfRule type="duplicateValues" dxfId="16607" priority="143552"/>
    <cfRule type="duplicateValues" dxfId="16606" priority="143544"/>
    <cfRule type="duplicateValues" dxfId="16605" priority="143541"/>
    <cfRule type="duplicateValues" dxfId="16604" priority="143539"/>
    <cfRule type="duplicateValues" dxfId="16603" priority="143538"/>
    <cfRule type="duplicateValues" dxfId="16602" priority="143535"/>
    <cfRule type="duplicateValues" dxfId="16601" priority="143533"/>
    <cfRule type="duplicateValues" dxfId="16600" priority="143532"/>
    <cfRule type="duplicateValues" dxfId="16599" priority="143531"/>
    <cfRule type="duplicateValues" dxfId="16598" priority="143530"/>
    <cfRule type="duplicateValues" dxfId="16597" priority="143529"/>
    <cfRule type="duplicateValues" dxfId="16596" priority="142461"/>
    <cfRule type="duplicateValues" dxfId="16595" priority="142458"/>
    <cfRule type="duplicateValues" dxfId="16594" priority="142456"/>
    <cfRule type="duplicateValues" dxfId="16593" priority="142455"/>
    <cfRule type="duplicateValues" dxfId="16592" priority="142452"/>
    <cfRule type="duplicateValues" dxfId="16591" priority="142450"/>
    <cfRule type="duplicateValues" dxfId="16590" priority="142449"/>
    <cfRule type="duplicateValues" dxfId="16589" priority="142448"/>
    <cfRule type="duplicateValues" dxfId="16588" priority="142447"/>
    <cfRule type="duplicateValues" dxfId="16587" priority="142446"/>
    <cfRule type="duplicateValues" dxfId="16586" priority="120706"/>
    <cfRule type="duplicateValues" dxfId="16585" priority="120705"/>
    <cfRule type="duplicateValues" dxfId="16584" priority="142443"/>
    <cfRule type="duplicateValues" dxfId="16583" priority="120703"/>
    <cfRule type="duplicateValues" dxfId="16582" priority="142441"/>
  </conditionalFormatting>
  <conditionalFormatting sqref="P34">
    <cfRule type="duplicateValues" dxfId="16581" priority="143548"/>
    <cfRule type="duplicateValues" dxfId="16580" priority="140847"/>
    <cfRule type="duplicateValues" dxfId="16579" priority="142459"/>
    <cfRule type="duplicateValues" dxfId="16578" priority="140845"/>
    <cfRule type="duplicateValues" dxfId="16577" priority="142089"/>
    <cfRule type="duplicateValues" dxfId="16576" priority="142460"/>
    <cfRule type="duplicateValues" dxfId="16575" priority="142077"/>
    <cfRule type="duplicateValues" dxfId="16574" priority="142462"/>
    <cfRule type="duplicateValues" dxfId="16573" priority="142463"/>
    <cfRule type="duplicateValues" dxfId="16572" priority="130065"/>
    <cfRule type="duplicateValues" dxfId="16571" priority="142092"/>
    <cfRule type="duplicateValues" dxfId="16570" priority="142464"/>
    <cfRule type="duplicateValues" dxfId="16569" priority="140832"/>
    <cfRule type="duplicateValues" dxfId="16568" priority="143534"/>
    <cfRule type="duplicateValues" dxfId="16567" priority="143537"/>
    <cfRule type="duplicateValues" dxfId="16566" priority="143540"/>
    <cfRule type="duplicateValues" dxfId="16565" priority="143542"/>
    <cfRule type="duplicateValues" dxfId="16564" priority="143543"/>
    <cfRule type="duplicateValues" dxfId="16563" priority="140831"/>
    <cfRule type="duplicateValues" dxfId="16562" priority="142094"/>
    <cfRule type="duplicateValues" dxfId="16561" priority="140830"/>
    <cfRule type="duplicateValues" dxfId="16560" priority="143545"/>
    <cfRule type="duplicateValues" dxfId="16559" priority="142095"/>
    <cfRule type="duplicateValues" dxfId="16558" priority="140829"/>
    <cfRule type="duplicateValues" dxfId="16557" priority="143546"/>
    <cfRule type="duplicateValues" dxfId="16556" priority="140828"/>
    <cfRule type="duplicateValues" dxfId="16555" priority="142079"/>
    <cfRule type="duplicateValues" dxfId="16554" priority="129994"/>
    <cfRule type="duplicateValues" dxfId="16553" priority="142445"/>
    <cfRule type="duplicateValues" dxfId="16552" priority="140827"/>
    <cfRule type="duplicateValues" dxfId="16551" priority="130061"/>
    <cfRule type="duplicateValues" dxfId="16550" priority="140825"/>
    <cfRule type="duplicateValues" dxfId="16549" priority="120691"/>
    <cfRule type="duplicateValues" dxfId="16548" priority="143554"/>
    <cfRule type="duplicateValues" dxfId="16547" priority="143556"/>
    <cfRule type="duplicateValues" dxfId="16546" priority="143557"/>
    <cfRule type="duplicateValues" dxfId="16545" priority="143559"/>
    <cfRule type="duplicateValues" dxfId="16544" priority="120908"/>
    <cfRule type="duplicateValues" dxfId="16543" priority="120906"/>
    <cfRule type="duplicateValues" dxfId="16542" priority="143560"/>
    <cfRule type="duplicateValues" dxfId="16541" priority="141166"/>
    <cfRule type="duplicateValues" dxfId="16540" priority="120905"/>
    <cfRule type="duplicateValues" dxfId="16539" priority="143562"/>
    <cfRule type="duplicateValues" dxfId="16538" priority="120903"/>
    <cfRule type="duplicateValues" dxfId="16537" priority="120902"/>
    <cfRule type="duplicateValues" dxfId="16536" priority="143566"/>
    <cfRule type="duplicateValues" dxfId="16535" priority="143567"/>
    <cfRule type="duplicateValues" dxfId="16534" priority="120900"/>
    <cfRule type="duplicateValues" dxfId="16533" priority="143569"/>
    <cfRule type="duplicateValues" dxfId="16532" priority="120896"/>
    <cfRule type="duplicateValues" dxfId="16531" priority="120829"/>
    <cfRule type="duplicateValues" dxfId="16530" priority="120828"/>
    <cfRule type="duplicateValues" dxfId="16529" priority="129995"/>
    <cfRule type="duplicateValues" dxfId="16528" priority="120826"/>
    <cfRule type="duplicateValues" dxfId="16527" priority="120895"/>
    <cfRule type="duplicateValues" dxfId="16526" priority="120893"/>
    <cfRule type="duplicateValues" dxfId="16525" priority="129992"/>
    <cfRule type="duplicateValues" dxfId="16524" priority="141164"/>
    <cfRule type="duplicateValues" dxfId="16523" priority="141163"/>
    <cfRule type="duplicateValues" dxfId="16522" priority="120883"/>
    <cfRule type="duplicateValues" dxfId="16521" priority="141162"/>
    <cfRule type="duplicateValues" dxfId="16520" priority="141161"/>
    <cfRule type="duplicateValues" dxfId="16519" priority="120882"/>
    <cfRule type="duplicateValues" dxfId="16518" priority="141160"/>
    <cfRule type="duplicateValues" dxfId="16517" priority="143572"/>
    <cfRule type="duplicateValues" dxfId="16516" priority="120880"/>
    <cfRule type="duplicateValues" dxfId="16515" priority="141159"/>
    <cfRule type="duplicateValues" dxfId="16514" priority="141158"/>
    <cfRule type="duplicateValues" dxfId="16513" priority="129875"/>
    <cfRule type="duplicateValues" dxfId="16512" priority="141157"/>
    <cfRule type="duplicateValues" dxfId="16511" priority="142080"/>
    <cfRule type="duplicateValues" dxfId="16510" priority="130058"/>
    <cfRule type="duplicateValues" dxfId="16509" priority="142086"/>
    <cfRule type="duplicateValues" dxfId="16508" priority="142088"/>
    <cfRule type="duplicateValues" dxfId="16507" priority="142451"/>
    <cfRule type="duplicateValues" dxfId="16506" priority="141156"/>
    <cfRule type="duplicateValues" dxfId="16505" priority="141155"/>
    <cfRule type="duplicateValues" dxfId="16504" priority="129859"/>
    <cfRule type="duplicateValues" dxfId="16503" priority="141154"/>
    <cfRule type="duplicateValues" dxfId="16502" priority="142453"/>
    <cfRule type="duplicateValues" dxfId="16501" priority="142454"/>
    <cfRule type="duplicateValues" dxfId="16500" priority="142457"/>
    <cfRule type="duplicateValues" dxfId="16499" priority="141152"/>
    <cfRule type="duplicateValues" dxfId="16498" priority="120707"/>
    <cfRule type="duplicateValues" dxfId="16497" priority="130048"/>
    <cfRule type="duplicateValues" dxfId="16496" priority="130047"/>
    <cfRule type="duplicateValues" dxfId="16495" priority="140893"/>
    <cfRule type="duplicateValues" dxfId="16494" priority="143536"/>
    <cfRule type="duplicateValues" dxfId="16493" priority="140891"/>
    <cfRule type="duplicateValues" dxfId="16492" priority="140890"/>
    <cfRule type="duplicateValues" dxfId="16491" priority="140888"/>
    <cfRule type="duplicateValues" dxfId="16490" priority="140887"/>
    <cfRule type="duplicateValues" dxfId="16489" priority="140885"/>
    <cfRule type="duplicateValues" dxfId="16488" priority="140882"/>
    <cfRule type="duplicateValues" dxfId="16487" priority="140881"/>
    <cfRule type="duplicateValues" dxfId="16486" priority="140879"/>
    <cfRule type="duplicateValues" dxfId="16485" priority="140873"/>
    <cfRule type="duplicateValues" dxfId="16484" priority="140872"/>
    <cfRule type="duplicateValues" dxfId="16483" priority="140870"/>
    <cfRule type="duplicateValues" dxfId="16482" priority="129949"/>
    <cfRule type="duplicateValues" dxfId="16481" priority="129948"/>
    <cfRule type="duplicateValues" dxfId="16480" priority="129947"/>
    <cfRule type="duplicateValues" dxfId="16479" priority="129946"/>
    <cfRule type="duplicateValues" dxfId="16478" priority="140809"/>
    <cfRule type="duplicateValues" dxfId="16477" priority="129945"/>
    <cfRule type="duplicateValues" dxfId="16476" priority="129944"/>
    <cfRule type="duplicateValues" dxfId="16475" priority="130045"/>
    <cfRule type="duplicateValues" dxfId="16474" priority="140813"/>
    <cfRule type="duplicateValues" dxfId="16473" priority="129942"/>
    <cfRule type="duplicateValues" dxfId="16472" priority="130060"/>
    <cfRule type="duplicateValues" dxfId="16471" priority="141151"/>
    <cfRule type="duplicateValues" dxfId="16470" priority="141150"/>
    <cfRule type="duplicateValues" dxfId="16469" priority="141148"/>
    <cfRule type="duplicateValues" dxfId="16468" priority="141147"/>
    <cfRule type="duplicateValues" dxfId="16467" priority="120782"/>
    <cfRule type="duplicateValues" dxfId="16466" priority="120781"/>
    <cfRule type="duplicateValues" dxfId="16465" priority="120780"/>
    <cfRule type="duplicateValues" dxfId="16464" priority="120779"/>
    <cfRule type="duplicateValues" dxfId="16463" priority="120778"/>
    <cfRule type="duplicateValues" dxfId="16462" priority="120777"/>
    <cfRule type="duplicateValues" dxfId="16461" priority="141146"/>
    <cfRule type="duplicateValues" dxfId="16460" priority="120775"/>
    <cfRule type="duplicateValues" dxfId="16459" priority="141145"/>
    <cfRule type="duplicateValues" dxfId="16458" priority="142097"/>
    <cfRule type="duplicateValues" dxfId="16457" priority="142098"/>
    <cfRule type="duplicateValues" dxfId="16456" priority="129930"/>
    <cfRule type="duplicateValues" dxfId="16455" priority="142100"/>
    <cfRule type="duplicateValues" dxfId="16454" priority="129926"/>
    <cfRule type="duplicateValues" dxfId="16453" priority="142442"/>
    <cfRule type="duplicateValues" dxfId="16452" priority="120763"/>
    <cfRule type="duplicateValues" dxfId="16451" priority="130072"/>
    <cfRule type="duplicateValues" dxfId="16450" priority="129921"/>
    <cfRule type="duplicateValues" dxfId="16449" priority="120759"/>
    <cfRule type="duplicateValues" dxfId="16448" priority="129920"/>
    <cfRule type="duplicateValues" dxfId="16447" priority="130071"/>
    <cfRule type="duplicateValues" dxfId="16446" priority="129918"/>
    <cfRule type="duplicateValues" dxfId="16445" priority="130070"/>
    <cfRule type="duplicateValues" dxfId="16444" priority="120753"/>
    <cfRule type="duplicateValues" dxfId="16443" priority="120752"/>
    <cfRule type="duplicateValues" dxfId="16442" priority="142444"/>
    <cfRule type="duplicateValues" dxfId="16441" priority="120750"/>
    <cfRule type="duplicateValues" dxfId="16440" priority="130068"/>
    <cfRule type="duplicateValues" dxfId="16439" priority="140848"/>
    <cfRule type="duplicateValues" dxfId="16438" priority="130067"/>
  </conditionalFormatting>
  <conditionalFormatting sqref="P35">
    <cfRule type="duplicateValues" dxfId="16437" priority="143547"/>
    <cfRule type="duplicateValues" dxfId="16436" priority="141149"/>
    <cfRule type="duplicateValues" dxfId="16435" priority="120783"/>
    <cfRule type="duplicateValues" dxfId="16434" priority="141454"/>
    <cfRule type="duplicateValues" dxfId="16433" priority="140849"/>
    <cfRule type="duplicateValues" dxfId="16432" priority="142099"/>
    <cfRule type="duplicateValues" dxfId="16431" priority="120907"/>
    <cfRule type="duplicateValues" dxfId="16430" priority="141453"/>
    <cfRule type="duplicateValues" dxfId="16429" priority="141452"/>
    <cfRule type="duplicateValues" dxfId="16428" priority="143563"/>
    <cfRule type="duplicateValues" dxfId="16427" priority="141451"/>
    <cfRule type="duplicateValues" dxfId="16426" priority="141168"/>
    <cfRule type="duplicateValues" dxfId="16425" priority="143549"/>
    <cfRule type="duplicateValues" dxfId="16424" priority="140833"/>
    <cfRule type="duplicateValues" dxfId="16423" priority="143550"/>
    <cfRule type="duplicateValues" dxfId="16422" priority="120909"/>
    <cfRule type="duplicateValues" dxfId="16421" priority="141167"/>
    <cfRule type="duplicateValues" dxfId="16420" priority="143561"/>
    <cfRule type="duplicateValues" dxfId="16419" priority="120910"/>
    <cfRule type="duplicateValues" dxfId="16418" priority="143564"/>
    <cfRule type="duplicateValues" dxfId="16417" priority="143568"/>
    <cfRule type="duplicateValues" dxfId="16416" priority="120830"/>
    <cfRule type="duplicateValues" dxfId="16415" priority="142101"/>
    <cfRule type="duplicateValues" dxfId="16414" priority="141165"/>
    <cfRule type="duplicateValues" dxfId="16413" priority="143570"/>
    <cfRule type="duplicateValues" dxfId="16412" priority="143571"/>
    <cfRule type="duplicateValues" dxfId="16411" priority="143573"/>
    <cfRule type="duplicateValues" dxfId="16410" priority="143574"/>
    <cfRule type="duplicateValues" dxfId="16409" priority="142102"/>
    <cfRule type="duplicateValues" dxfId="16408" priority="143579"/>
    <cfRule type="duplicateValues" dxfId="16407" priority="140894"/>
    <cfRule type="duplicateValues" dxfId="16406" priority="140895"/>
    <cfRule type="duplicateValues" dxfId="16405" priority="120754"/>
    <cfRule type="duplicateValues" dxfId="16404" priority="141153"/>
    <cfRule type="duplicateValues" dxfId="16403" priority="140892"/>
  </conditionalFormatting>
  <conditionalFormatting sqref="P36">
    <cfRule type="duplicateValues" dxfId="16402" priority="143580"/>
    <cfRule type="duplicateValues" dxfId="16401" priority="143583"/>
    <cfRule type="duplicateValues" dxfId="16400" priority="143575"/>
    <cfRule type="duplicateValues" dxfId="16399" priority="140896"/>
    <cfRule type="duplicateValues" dxfId="16398" priority="141455"/>
    <cfRule type="duplicateValues" dxfId="16397" priority="120911"/>
    <cfRule type="duplicateValues" dxfId="16396" priority="142103"/>
  </conditionalFormatting>
  <conditionalFormatting sqref="P37">
    <cfRule type="duplicateValues" dxfId="16395" priority="143584"/>
  </conditionalFormatting>
  <conditionalFormatting sqref="P46">
    <cfRule type="duplicateValues" dxfId="16394" priority="154233"/>
    <cfRule type="duplicateValues" dxfId="16393" priority="154228"/>
  </conditionalFormatting>
  <conditionalFormatting sqref="P51:P53">
    <cfRule type="duplicateValues" dxfId="16392" priority="152714"/>
  </conditionalFormatting>
  <conditionalFormatting sqref="P51:P54">
    <cfRule type="duplicateValues" dxfId="16391" priority="153360"/>
  </conditionalFormatting>
  <conditionalFormatting sqref="P51:P55">
    <cfRule type="duplicateValues" dxfId="16390" priority="154204"/>
    <cfRule type="duplicateValues" dxfId="16389" priority="153361"/>
    <cfRule type="duplicateValues" dxfId="16388" priority="153359"/>
    <cfRule type="duplicateValues" dxfId="16387" priority="154205"/>
    <cfRule type="duplicateValues" dxfId="16386" priority="153662"/>
    <cfRule type="duplicateValues" dxfId="16385" priority="154200"/>
    <cfRule type="duplicateValues" dxfId="16384" priority="154201"/>
    <cfRule type="duplicateValues" dxfId="16383" priority="154202"/>
    <cfRule type="duplicateValues" dxfId="16382" priority="154203"/>
  </conditionalFormatting>
  <conditionalFormatting sqref="P51:P56">
    <cfRule type="duplicateValues" dxfId="16381" priority="153661"/>
    <cfRule type="duplicateValues" dxfId="16380" priority="153820"/>
  </conditionalFormatting>
  <conditionalFormatting sqref="P51:P57">
    <cfRule type="duplicateValues" dxfId="16379" priority="153663"/>
  </conditionalFormatting>
  <conditionalFormatting sqref="P70">
    <cfRule type="duplicateValues" dxfId="16378" priority="150191"/>
    <cfRule type="duplicateValues" dxfId="16377" priority="153612"/>
    <cfRule type="duplicateValues" dxfId="16376" priority="150161"/>
    <cfRule type="duplicateValues" dxfId="16375" priority="153362"/>
  </conditionalFormatting>
  <conditionalFormatting sqref="P70:P71">
    <cfRule type="duplicateValues" dxfId="16374" priority="154207"/>
  </conditionalFormatting>
  <conditionalFormatting sqref="P89">
    <cfRule type="duplicateValues" dxfId="16373" priority="8"/>
    <cfRule type="duplicateValues" dxfId="16372" priority="7"/>
    <cfRule type="duplicateValues" dxfId="16371" priority="6"/>
    <cfRule type="duplicateValues" dxfId="16370" priority="4"/>
    <cfRule type="duplicateValues" dxfId="16369" priority="3"/>
    <cfRule type="duplicateValues" dxfId="16368" priority="12"/>
    <cfRule type="duplicateValues" dxfId="16367" priority="2"/>
    <cfRule type="duplicateValues" dxfId="16366" priority="11"/>
    <cfRule type="duplicateValues" dxfId="16365" priority="10"/>
    <cfRule type="duplicateValues" dxfId="16364" priority="9"/>
    <cfRule type="duplicateValues" dxfId="16363" priority="5"/>
  </conditionalFormatting>
  <conditionalFormatting sqref="P90">
    <cfRule type="duplicateValues" dxfId="16362" priority="81"/>
    <cfRule type="duplicateValues" dxfId="16361" priority="82"/>
    <cfRule type="duplicateValues" dxfId="16360" priority="83"/>
    <cfRule type="duplicateValues" dxfId="16359" priority="84"/>
    <cfRule type="duplicateValues" dxfId="16358" priority="85"/>
    <cfRule type="duplicateValues" dxfId="16357" priority="86"/>
    <cfRule type="duplicateValues" dxfId="16356" priority="87"/>
    <cfRule type="duplicateValues" dxfId="16355" priority="88"/>
    <cfRule type="duplicateValues" dxfId="16354" priority="89"/>
    <cfRule type="duplicateValues" dxfId="16353" priority="90"/>
    <cfRule type="duplicateValues" dxfId="16352" priority="91"/>
    <cfRule type="duplicateValues" dxfId="16351" priority="92"/>
    <cfRule type="duplicateValues" dxfId="16350" priority="93"/>
    <cfRule type="duplicateValues" dxfId="16349" priority="94"/>
    <cfRule type="duplicateValues" dxfId="16348" priority="95"/>
    <cfRule type="duplicateValues" dxfId="16347" priority="96"/>
    <cfRule type="duplicateValues" dxfId="16346" priority="97"/>
    <cfRule type="duplicateValues" dxfId="16345" priority="98"/>
    <cfRule type="duplicateValues" dxfId="16344" priority="99"/>
    <cfRule type="duplicateValues" dxfId="16343" priority="100"/>
    <cfRule type="duplicateValues" dxfId="16342" priority="101"/>
    <cfRule type="duplicateValues" dxfId="16341" priority="102"/>
    <cfRule type="duplicateValues" dxfId="16340" priority="103"/>
    <cfRule type="duplicateValues" dxfId="16339" priority="104"/>
    <cfRule type="duplicateValues" dxfId="16338" priority="105"/>
    <cfRule type="duplicateValues" dxfId="16337" priority="106"/>
    <cfRule type="duplicateValues" dxfId="16336" priority="107"/>
    <cfRule type="duplicateValues" dxfId="16335" priority="108"/>
    <cfRule type="duplicateValues" dxfId="16334" priority="109"/>
    <cfRule type="duplicateValues" dxfId="16333" priority="110"/>
    <cfRule type="duplicateValues" dxfId="16332" priority="111"/>
    <cfRule type="duplicateValues" dxfId="16331" priority="112"/>
    <cfRule type="duplicateValues" dxfId="16330" priority="113"/>
    <cfRule type="duplicateValues" dxfId="16329" priority="114"/>
    <cfRule type="duplicateValues" dxfId="16328" priority="115"/>
    <cfRule type="duplicateValues" dxfId="16327" priority="116"/>
    <cfRule type="duplicateValues" dxfId="16326" priority="117"/>
    <cfRule type="duplicateValues" dxfId="16325" priority="118"/>
    <cfRule type="duplicateValues" dxfId="16324" priority="119"/>
    <cfRule type="duplicateValues" dxfId="16323" priority="120"/>
    <cfRule type="duplicateValues" dxfId="16322" priority="121"/>
    <cfRule type="duplicateValues" dxfId="16321" priority="122"/>
    <cfRule type="duplicateValues" dxfId="16320" priority="123"/>
    <cfRule type="duplicateValues" dxfId="16319" priority="124"/>
    <cfRule type="duplicateValues" dxfId="16318" priority="125"/>
    <cfRule type="duplicateValues" dxfId="16317" priority="126"/>
    <cfRule type="duplicateValues" dxfId="16316" priority="127"/>
    <cfRule type="duplicateValues" dxfId="16315" priority="128"/>
    <cfRule type="duplicateValues" dxfId="16314" priority="129"/>
    <cfRule type="duplicateValues" dxfId="16313" priority="130"/>
    <cfRule type="duplicateValues" dxfId="16312" priority="131"/>
    <cfRule type="duplicateValues" dxfId="16311" priority="132"/>
    <cfRule type="duplicateValues" dxfId="16310" priority="133"/>
    <cfRule type="duplicateValues" dxfId="16309" priority="134"/>
    <cfRule type="duplicateValues" dxfId="16308" priority="135"/>
    <cfRule type="duplicateValues" dxfId="16307" priority="136"/>
    <cfRule type="duplicateValues" dxfId="16306" priority="137"/>
    <cfRule type="duplicateValues" dxfId="16305" priority="138"/>
    <cfRule type="duplicateValues" dxfId="16304" priority="139"/>
    <cfRule type="duplicateValues" dxfId="16303" priority="140"/>
    <cfRule type="duplicateValues" dxfId="16302" priority="141"/>
    <cfRule type="duplicateValues" dxfId="16301" priority="142"/>
    <cfRule type="duplicateValues" dxfId="16300" priority="143"/>
    <cfRule type="duplicateValues" dxfId="16299" priority="144"/>
    <cfRule type="duplicateValues" dxfId="16298" priority="145"/>
    <cfRule type="duplicateValues" dxfId="16297" priority="146"/>
    <cfRule type="duplicateValues" dxfId="16296" priority="147"/>
    <cfRule type="duplicateValues" dxfId="16295" priority="148"/>
    <cfRule type="duplicateValues" dxfId="16294" priority="149"/>
    <cfRule type="duplicateValues" dxfId="16293" priority="150"/>
    <cfRule type="duplicateValues" dxfId="16292" priority="151"/>
    <cfRule type="duplicateValues" dxfId="16291" priority="152"/>
    <cfRule type="duplicateValues" dxfId="16290" priority="153"/>
    <cfRule type="duplicateValues" dxfId="16289" priority="154"/>
    <cfRule type="duplicateValues" dxfId="16288" priority="155"/>
    <cfRule type="duplicateValues" dxfId="16287" priority="156"/>
    <cfRule type="duplicateValues" dxfId="16286" priority="157"/>
    <cfRule type="duplicateValues" dxfId="16285" priority="158"/>
    <cfRule type="duplicateValues" dxfId="16284" priority="159"/>
    <cfRule type="duplicateValues" dxfId="16283" priority="160"/>
    <cfRule type="duplicateValues" dxfId="16282" priority="161"/>
    <cfRule type="duplicateValues" dxfId="16281" priority="162"/>
    <cfRule type="duplicateValues" dxfId="16280" priority="163"/>
    <cfRule type="duplicateValues" dxfId="16279" priority="164"/>
    <cfRule type="duplicateValues" dxfId="16278" priority="165"/>
    <cfRule type="duplicateValues" dxfId="16277" priority="166"/>
    <cfRule type="duplicateValues" dxfId="16276" priority="167"/>
    <cfRule type="duplicateValues" dxfId="16275" priority="168"/>
    <cfRule type="duplicateValues" dxfId="16274" priority="169"/>
    <cfRule type="duplicateValues" dxfId="16273" priority="170"/>
    <cfRule type="duplicateValues" dxfId="16272" priority="171"/>
    <cfRule type="duplicateValues" dxfId="16271" priority="172"/>
    <cfRule type="duplicateValues" dxfId="16270" priority="173"/>
    <cfRule type="duplicateValues" dxfId="16269" priority="174"/>
    <cfRule type="duplicateValues" dxfId="16268" priority="175"/>
    <cfRule type="duplicateValues" dxfId="16267" priority="176"/>
    <cfRule type="duplicateValues" dxfId="16266" priority="177"/>
    <cfRule type="duplicateValues" dxfId="16265" priority="178"/>
    <cfRule type="duplicateValues" dxfId="16264" priority="179"/>
    <cfRule type="duplicateValues" dxfId="16263" priority="180"/>
    <cfRule type="duplicateValues" dxfId="16262" priority="181"/>
    <cfRule type="duplicateValues" dxfId="16261" priority="182"/>
    <cfRule type="duplicateValues" dxfId="16260" priority="183"/>
    <cfRule type="duplicateValues" dxfId="16259" priority="184"/>
    <cfRule type="duplicateValues" dxfId="16258" priority="185"/>
    <cfRule type="duplicateValues" dxfId="16257" priority="186"/>
    <cfRule type="duplicateValues" dxfId="16256" priority="187"/>
    <cfRule type="duplicateValues" dxfId="16255" priority="188"/>
    <cfRule type="duplicateValues" dxfId="16254" priority="189"/>
    <cfRule type="duplicateValues" dxfId="16253" priority="190"/>
    <cfRule type="duplicateValues" dxfId="16252" priority="191"/>
    <cfRule type="duplicateValues" dxfId="16251" priority="192"/>
    <cfRule type="duplicateValues" dxfId="16250" priority="193"/>
    <cfRule type="duplicateValues" dxfId="16249" priority="194"/>
    <cfRule type="duplicateValues" dxfId="16248" priority="195"/>
    <cfRule type="duplicateValues" dxfId="16247" priority="196"/>
    <cfRule type="duplicateValues" dxfId="16246" priority="197"/>
    <cfRule type="duplicateValues" dxfId="16245" priority="198"/>
    <cfRule type="duplicateValues" dxfId="16244" priority="199"/>
    <cfRule type="duplicateValues" dxfId="16243" priority="200"/>
    <cfRule type="duplicateValues" dxfId="16242" priority="201"/>
    <cfRule type="duplicateValues" dxfId="16241" priority="202"/>
    <cfRule type="duplicateValues" dxfId="16240" priority="203"/>
    <cfRule type="duplicateValues" dxfId="16239" priority="204"/>
    <cfRule type="duplicateValues" dxfId="16238" priority="205"/>
    <cfRule type="duplicateValues" dxfId="16237" priority="206"/>
    <cfRule type="duplicateValues" dxfId="16236" priority="207"/>
    <cfRule type="duplicateValues" dxfId="16235" priority="208"/>
    <cfRule type="duplicateValues" dxfId="16234" priority="209"/>
    <cfRule type="duplicateValues" dxfId="16233" priority="210"/>
    <cfRule type="duplicateValues" dxfId="16232" priority="211"/>
    <cfRule type="duplicateValues" dxfId="16231" priority="212"/>
    <cfRule type="duplicateValues" dxfId="16230" priority="213"/>
    <cfRule type="duplicateValues" dxfId="16229" priority="214"/>
    <cfRule type="duplicateValues" dxfId="16228" priority="215"/>
    <cfRule type="duplicateValues" dxfId="16227" priority="216"/>
    <cfRule type="duplicateValues" dxfId="16226" priority="217"/>
    <cfRule type="duplicateValues" dxfId="16225" priority="218"/>
    <cfRule type="duplicateValues" dxfId="16224" priority="219"/>
    <cfRule type="duplicateValues" dxfId="16223" priority="220"/>
    <cfRule type="duplicateValues" dxfId="16222" priority="221"/>
    <cfRule type="duplicateValues" dxfId="16221" priority="222"/>
    <cfRule type="duplicateValues" dxfId="16220" priority="223"/>
    <cfRule type="duplicateValues" dxfId="16219" priority="224"/>
    <cfRule type="duplicateValues" dxfId="16218" priority="225"/>
    <cfRule type="duplicateValues" dxfId="16217" priority="226"/>
    <cfRule type="duplicateValues" dxfId="16216" priority="227"/>
    <cfRule type="duplicateValues" dxfId="16215" priority="228"/>
    <cfRule type="duplicateValues" dxfId="16214" priority="229"/>
    <cfRule type="duplicateValues" dxfId="16213" priority="230"/>
    <cfRule type="duplicateValues" dxfId="16212" priority="231"/>
    <cfRule type="duplicateValues" dxfId="16211" priority="232"/>
    <cfRule type="duplicateValues" dxfId="16210" priority="233"/>
    <cfRule type="duplicateValues" dxfId="16209" priority="234"/>
    <cfRule type="duplicateValues" dxfId="16208" priority="235"/>
    <cfRule type="duplicateValues" dxfId="16207" priority="236"/>
    <cfRule type="duplicateValues" dxfId="16206" priority="237"/>
    <cfRule type="duplicateValues" dxfId="16205" priority="238"/>
    <cfRule type="duplicateValues" dxfId="16204" priority="239"/>
    <cfRule type="duplicateValues" dxfId="16203" priority="240"/>
    <cfRule type="duplicateValues" dxfId="16202" priority="241"/>
    <cfRule type="duplicateValues" dxfId="16201" priority="242"/>
    <cfRule type="duplicateValues" dxfId="16200" priority="243"/>
    <cfRule type="duplicateValues" dxfId="16199" priority="244"/>
    <cfRule type="duplicateValues" dxfId="16198" priority="245"/>
    <cfRule type="duplicateValues" dxfId="16197" priority="246"/>
    <cfRule type="duplicateValues" dxfId="16196" priority="247"/>
    <cfRule type="duplicateValues" dxfId="16195" priority="248"/>
    <cfRule type="duplicateValues" dxfId="16194" priority="249"/>
    <cfRule type="duplicateValues" dxfId="16193" priority="250"/>
    <cfRule type="duplicateValues" dxfId="16192" priority="251"/>
    <cfRule type="duplicateValues" dxfId="16191" priority="252"/>
    <cfRule type="duplicateValues" dxfId="16190" priority="253"/>
    <cfRule type="duplicateValues" dxfId="16189" priority="254"/>
    <cfRule type="duplicateValues" dxfId="16188" priority="255"/>
    <cfRule type="duplicateValues" dxfId="16187" priority="256"/>
    <cfRule type="duplicateValues" dxfId="16186" priority="257"/>
    <cfRule type="duplicateValues" dxfId="16185" priority="258"/>
    <cfRule type="duplicateValues" dxfId="16184" priority="259"/>
    <cfRule type="duplicateValues" dxfId="16183" priority="260"/>
    <cfRule type="duplicateValues" dxfId="16182" priority="261"/>
    <cfRule type="duplicateValues" dxfId="16181" priority="262"/>
    <cfRule type="duplicateValues" dxfId="16180" priority="263"/>
    <cfRule type="duplicateValues" dxfId="16179" priority="264"/>
    <cfRule type="duplicateValues" dxfId="16178" priority="265"/>
    <cfRule type="duplicateValues" dxfId="16177" priority="266"/>
    <cfRule type="duplicateValues" dxfId="16176" priority="267"/>
    <cfRule type="duplicateValues" dxfId="16175" priority="268"/>
    <cfRule type="duplicateValues" dxfId="16174" priority="269"/>
    <cfRule type="duplicateValues" dxfId="16173" priority="270"/>
    <cfRule type="duplicateValues" dxfId="16172" priority="271"/>
    <cfRule type="duplicateValues" dxfId="16171" priority="272"/>
    <cfRule type="duplicateValues" dxfId="16170" priority="273"/>
    <cfRule type="duplicateValues" dxfId="16169" priority="274"/>
    <cfRule type="duplicateValues" dxfId="16168" priority="275"/>
    <cfRule type="duplicateValues" dxfId="16167" priority="276"/>
    <cfRule type="duplicateValues" dxfId="16166" priority="277"/>
    <cfRule type="duplicateValues" dxfId="16165" priority="278"/>
    <cfRule type="duplicateValues" dxfId="16164" priority="279"/>
    <cfRule type="duplicateValues" dxfId="16163" priority="280"/>
    <cfRule type="duplicateValues" dxfId="16162" priority="281"/>
    <cfRule type="duplicateValues" dxfId="16161" priority="282"/>
    <cfRule type="duplicateValues" dxfId="16160" priority="283"/>
    <cfRule type="duplicateValues" dxfId="16159" priority="284"/>
    <cfRule type="duplicateValues" dxfId="16158" priority="285"/>
    <cfRule type="duplicateValues" dxfId="16157" priority="286"/>
    <cfRule type="duplicateValues" dxfId="16156" priority="287"/>
    <cfRule type="duplicateValues" dxfId="16155" priority="288"/>
    <cfRule type="duplicateValues" dxfId="16154" priority="289"/>
    <cfRule type="duplicateValues" dxfId="16153" priority="290"/>
    <cfRule type="duplicateValues" dxfId="16152" priority="291"/>
    <cfRule type="duplicateValues" dxfId="16151" priority="292"/>
    <cfRule type="duplicateValues" dxfId="16150" priority="293"/>
    <cfRule type="duplicateValues" dxfId="16149" priority="294"/>
    <cfRule type="duplicateValues" dxfId="16148" priority="295"/>
    <cfRule type="duplicateValues" dxfId="16147" priority="296"/>
    <cfRule type="duplicateValues" dxfId="16146" priority="297"/>
    <cfRule type="duplicateValues" dxfId="16145" priority="298"/>
    <cfRule type="duplicateValues" dxfId="16144" priority="299"/>
    <cfRule type="duplicateValues" dxfId="16143" priority="300"/>
    <cfRule type="duplicateValues" dxfId="16142" priority="301"/>
    <cfRule type="duplicateValues" dxfId="16141" priority="302"/>
    <cfRule type="duplicateValues" dxfId="16140" priority="303"/>
    <cfRule type="duplicateValues" dxfId="16139" priority="304"/>
    <cfRule type="duplicateValues" dxfId="16138" priority="305"/>
    <cfRule type="duplicateValues" dxfId="16137" priority="306"/>
    <cfRule type="duplicateValues" dxfId="16136" priority="307"/>
    <cfRule type="duplicateValues" dxfId="16135" priority="308"/>
    <cfRule type="duplicateValues" dxfId="16134" priority="309"/>
    <cfRule type="duplicateValues" dxfId="16133" priority="310"/>
    <cfRule type="duplicateValues" dxfId="16132" priority="311"/>
    <cfRule type="duplicateValues" dxfId="16131" priority="312"/>
    <cfRule type="duplicateValues" dxfId="16130" priority="313"/>
    <cfRule type="duplicateValues" dxfId="16129" priority="314"/>
    <cfRule type="duplicateValues" dxfId="16128" priority="315"/>
    <cfRule type="duplicateValues" dxfId="16127" priority="316"/>
    <cfRule type="duplicateValues" dxfId="16126" priority="317"/>
    <cfRule type="duplicateValues" dxfId="16125" priority="318"/>
    <cfRule type="duplicateValues" dxfId="16124" priority="319"/>
    <cfRule type="duplicateValues" dxfId="16123" priority="320"/>
    <cfRule type="duplicateValues" dxfId="16122" priority="321"/>
    <cfRule type="duplicateValues" dxfId="16121" priority="322"/>
    <cfRule type="duplicateValues" dxfId="16120" priority="323"/>
    <cfRule type="duplicateValues" dxfId="16119" priority="324"/>
    <cfRule type="duplicateValues" dxfId="16118" priority="325"/>
    <cfRule type="duplicateValues" dxfId="16117" priority="326"/>
    <cfRule type="duplicateValues" dxfId="16116" priority="327"/>
    <cfRule type="duplicateValues" dxfId="16115" priority="328"/>
    <cfRule type="duplicateValues" dxfId="16114" priority="329"/>
    <cfRule type="duplicateValues" dxfId="16113" priority="330"/>
    <cfRule type="duplicateValues" dxfId="16112" priority="331"/>
    <cfRule type="duplicateValues" dxfId="16111" priority="332"/>
    <cfRule type="duplicateValues" dxfId="16110" priority="333"/>
    <cfRule type="duplicateValues" dxfId="16109" priority="334"/>
    <cfRule type="duplicateValues" dxfId="16108" priority="335"/>
    <cfRule type="duplicateValues" dxfId="16107" priority="336"/>
    <cfRule type="duplicateValues" dxfId="16106" priority="337"/>
    <cfRule type="duplicateValues" dxfId="16105" priority="338"/>
    <cfRule type="duplicateValues" dxfId="16104" priority="339"/>
    <cfRule type="duplicateValues" dxfId="16103" priority="340"/>
    <cfRule type="duplicateValues" dxfId="16102" priority="341"/>
    <cfRule type="duplicateValues" dxfId="16101" priority="342"/>
    <cfRule type="duplicateValues" dxfId="16100" priority="343"/>
    <cfRule type="duplicateValues" dxfId="16099" priority="344"/>
    <cfRule type="duplicateValues" dxfId="16098" priority="345"/>
    <cfRule type="duplicateValues" dxfId="16097" priority="346"/>
    <cfRule type="duplicateValues" dxfId="16096" priority="347"/>
    <cfRule type="duplicateValues" dxfId="16095" priority="348"/>
    <cfRule type="duplicateValues" dxfId="16094" priority="349"/>
    <cfRule type="duplicateValues" dxfId="16093" priority="350"/>
    <cfRule type="duplicateValues" dxfId="16092" priority="351"/>
    <cfRule type="duplicateValues" dxfId="16091" priority="352"/>
    <cfRule type="duplicateValues" dxfId="16090" priority="353"/>
    <cfRule type="duplicateValues" dxfId="16089" priority="354"/>
    <cfRule type="duplicateValues" dxfId="16088" priority="355"/>
    <cfRule type="duplicateValues" dxfId="16087" priority="356"/>
    <cfRule type="duplicateValues" dxfId="16086" priority="357"/>
    <cfRule type="duplicateValues" dxfId="16085" priority="358"/>
    <cfRule type="duplicateValues" dxfId="16084" priority="359"/>
    <cfRule type="duplicateValues" dxfId="16083" priority="360"/>
    <cfRule type="duplicateValues" dxfId="16082" priority="361"/>
    <cfRule type="duplicateValues" dxfId="16081" priority="362"/>
    <cfRule type="duplicateValues" dxfId="16080" priority="363"/>
    <cfRule type="duplicateValues" dxfId="16079" priority="364"/>
    <cfRule type="duplicateValues" dxfId="16078" priority="365"/>
    <cfRule type="duplicateValues" dxfId="16077" priority="366"/>
    <cfRule type="duplicateValues" dxfId="16076" priority="367"/>
    <cfRule type="duplicateValues" dxfId="16075" priority="368"/>
    <cfRule type="duplicateValues" dxfId="16074" priority="369"/>
    <cfRule type="duplicateValues" dxfId="16073" priority="370"/>
    <cfRule type="duplicateValues" dxfId="16072" priority="371"/>
    <cfRule type="duplicateValues" dxfId="16071" priority="372"/>
    <cfRule type="duplicateValues" dxfId="16070" priority="373"/>
    <cfRule type="duplicateValues" dxfId="16069" priority="374"/>
    <cfRule type="duplicateValues" dxfId="16068" priority="375"/>
    <cfRule type="duplicateValues" dxfId="16067" priority="376"/>
    <cfRule type="duplicateValues" dxfId="16066" priority="377"/>
    <cfRule type="duplicateValues" dxfId="16065" priority="378"/>
    <cfRule type="duplicateValues" dxfId="16064" priority="379"/>
    <cfRule type="duplicateValues" dxfId="16063" priority="380"/>
    <cfRule type="duplicateValues" dxfId="16062" priority="381"/>
    <cfRule type="duplicateValues" dxfId="16061" priority="382"/>
    <cfRule type="duplicateValues" dxfId="16060" priority="383"/>
    <cfRule type="duplicateValues" dxfId="16059" priority="384"/>
    <cfRule type="duplicateValues" dxfId="16058" priority="385"/>
    <cfRule type="duplicateValues" dxfId="16057" priority="386"/>
    <cfRule type="duplicateValues" dxfId="16056" priority="387"/>
    <cfRule type="duplicateValues" dxfId="16055" priority="388"/>
    <cfRule type="duplicateValues" dxfId="16054" priority="389"/>
    <cfRule type="duplicateValues" dxfId="16053" priority="390"/>
    <cfRule type="duplicateValues" dxfId="16052" priority="391"/>
    <cfRule type="duplicateValues" dxfId="16051" priority="392"/>
    <cfRule type="duplicateValues" dxfId="16050" priority="393"/>
    <cfRule type="duplicateValues" dxfId="16049" priority="394"/>
    <cfRule type="duplicateValues" dxfId="16048" priority="395"/>
    <cfRule type="duplicateValues" dxfId="16047" priority="396"/>
    <cfRule type="duplicateValues" dxfId="16046" priority="397"/>
    <cfRule type="duplicateValues" dxfId="16045" priority="398"/>
    <cfRule type="duplicateValues" dxfId="16044" priority="399"/>
    <cfRule type="duplicateValues" dxfId="16043" priority="400"/>
    <cfRule type="duplicateValues" dxfId="16042" priority="401"/>
    <cfRule type="duplicateValues" dxfId="16041" priority="402"/>
    <cfRule type="duplicateValues" dxfId="16040" priority="403"/>
    <cfRule type="duplicateValues" dxfId="16039" priority="404"/>
    <cfRule type="duplicateValues" dxfId="16038" priority="405"/>
    <cfRule type="duplicateValues" dxfId="16037" priority="406"/>
    <cfRule type="duplicateValues" dxfId="16036" priority="407"/>
    <cfRule type="duplicateValues" dxfId="16035" priority="408"/>
    <cfRule type="duplicateValues" dxfId="16034" priority="409"/>
    <cfRule type="duplicateValues" dxfId="16033" priority="410"/>
    <cfRule type="duplicateValues" dxfId="16032" priority="411"/>
    <cfRule type="duplicateValues" dxfId="16031" priority="412"/>
    <cfRule type="duplicateValues" dxfId="16030" priority="413"/>
    <cfRule type="duplicateValues" dxfId="16029" priority="414"/>
    <cfRule type="duplicateValues" dxfId="16028" priority="415"/>
    <cfRule type="duplicateValues" dxfId="16027" priority="416"/>
    <cfRule type="duplicateValues" dxfId="16026" priority="417"/>
    <cfRule type="duplicateValues" dxfId="16025" priority="418"/>
    <cfRule type="duplicateValues" dxfId="16024" priority="419"/>
    <cfRule type="duplicateValues" dxfId="16023" priority="420"/>
    <cfRule type="duplicateValues" dxfId="16022" priority="421"/>
    <cfRule type="duplicateValues" dxfId="16021" priority="422"/>
    <cfRule type="duplicateValues" dxfId="16020" priority="423"/>
    <cfRule type="duplicateValues" dxfId="16019" priority="424"/>
    <cfRule type="duplicateValues" dxfId="16018" priority="425"/>
    <cfRule type="duplicateValues" dxfId="16017" priority="426"/>
    <cfRule type="duplicateValues" dxfId="16016" priority="427"/>
    <cfRule type="duplicateValues" dxfId="16015" priority="428"/>
    <cfRule type="duplicateValues" dxfId="16014" priority="429"/>
    <cfRule type="duplicateValues" dxfId="16013" priority="430"/>
    <cfRule type="duplicateValues" dxfId="16012" priority="431"/>
    <cfRule type="duplicateValues" dxfId="16011" priority="432"/>
    <cfRule type="duplicateValues" dxfId="16010" priority="433"/>
    <cfRule type="duplicateValues" dxfId="16009" priority="434"/>
    <cfRule type="duplicateValues" dxfId="16008" priority="435"/>
    <cfRule type="duplicateValues" dxfId="16007" priority="436"/>
    <cfRule type="duplicateValues" dxfId="16006" priority="437"/>
    <cfRule type="duplicateValues" dxfId="16005" priority="438"/>
    <cfRule type="duplicateValues" dxfId="16004" priority="439"/>
    <cfRule type="duplicateValues" dxfId="16003" priority="440"/>
    <cfRule type="duplicateValues" dxfId="16002" priority="441"/>
    <cfRule type="duplicateValues" dxfId="16001" priority="442"/>
    <cfRule type="duplicateValues" dxfId="16000" priority="443"/>
    <cfRule type="duplicateValues" dxfId="15999" priority="444"/>
    <cfRule type="duplicateValues" dxfId="15998" priority="445"/>
    <cfRule type="duplicateValues" dxfId="15997" priority="446"/>
    <cfRule type="duplicateValues" dxfId="15996" priority="447"/>
    <cfRule type="duplicateValues" dxfId="15995" priority="448"/>
    <cfRule type="duplicateValues" dxfId="15994" priority="449"/>
    <cfRule type="duplicateValues" dxfId="15993" priority="450"/>
    <cfRule type="duplicateValues" dxfId="15992" priority="451"/>
    <cfRule type="duplicateValues" dxfId="15991" priority="452"/>
    <cfRule type="duplicateValues" dxfId="15990" priority="453"/>
    <cfRule type="duplicateValues" dxfId="15989" priority="454"/>
    <cfRule type="duplicateValues" dxfId="15988" priority="455"/>
    <cfRule type="duplicateValues" dxfId="15987" priority="456"/>
    <cfRule type="duplicateValues" dxfId="15986" priority="457"/>
    <cfRule type="duplicateValues" dxfId="15985" priority="458"/>
    <cfRule type="duplicateValues" dxfId="15984" priority="459"/>
    <cfRule type="duplicateValues" dxfId="15983" priority="460"/>
    <cfRule type="duplicateValues" dxfId="15982" priority="461"/>
    <cfRule type="duplicateValues" dxfId="15981" priority="462"/>
    <cfRule type="duplicateValues" dxfId="15980" priority="463"/>
    <cfRule type="duplicateValues" dxfId="15979" priority="464"/>
    <cfRule type="duplicateValues" dxfId="15978" priority="465"/>
    <cfRule type="duplicateValues" dxfId="15977" priority="466"/>
    <cfRule type="duplicateValues" dxfId="15976" priority="467"/>
    <cfRule type="duplicateValues" dxfId="15975" priority="468"/>
    <cfRule type="duplicateValues" dxfId="15974" priority="469"/>
    <cfRule type="duplicateValues" dxfId="15973" priority="470"/>
    <cfRule type="duplicateValues" dxfId="15972" priority="471"/>
    <cfRule type="duplicateValues" dxfId="15971" priority="472"/>
    <cfRule type="duplicateValues" dxfId="15970" priority="473"/>
    <cfRule type="duplicateValues" dxfId="15969" priority="474"/>
    <cfRule type="duplicateValues" dxfId="15968" priority="475"/>
    <cfRule type="duplicateValues" dxfId="15967" priority="476"/>
    <cfRule type="duplicateValues" dxfId="15966" priority="477"/>
    <cfRule type="duplicateValues" dxfId="15965" priority="478"/>
    <cfRule type="duplicateValues" dxfId="15964" priority="479"/>
    <cfRule type="duplicateValues" dxfId="15963" priority="480"/>
    <cfRule type="duplicateValues" dxfId="15962" priority="481"/>
    <cfRule type="duplicateValues" dxfId="15961" priority="482"/>
    <cfRule type="duplicateValues" dxfId="15960" priority="483"/>
    <cfRule type="duplicateValues" dxfId="15959" priority="484"/>
    <cfRule type="duplicateValues" dxfId="15958" priority="485"/>
    <cfRule type="duplicateValues" dxfId="15957" priority="486"/>
    <cfRule type="duplicateValues" dxfId="15956" priority="487"/>
    <cfRule type="duplicateValues" dxfId="15955" priority="488"/>
    <cfRule type="duplicateValues" dxfId="15954" priority="489"/>
    <cfRule type="duplicateValues" dxfId="15953" priority="490"/>
    <cfRule type="duplicateValues" dxfId="15952" priority="491"/>
    <cfRule type="duplicateValues" dxfId="15951" priority="492"/>
    <cfRule type="duplicateValues" dxfId="15950" priority="493"/>
    <cfRule type="duplicateValues" dxfId="15949" priority="494"/>
    <cfRule type="duplicateValues" dxfId="15948" priority="495"/>
    <cfRule type="duplicateValues" dxfId="15947" priority="496"/>
    <cfRule type="duplicateValues" dxfId="15946" priority="497"/>
    <cfRule type="duplicateValues" dxfId="15945" priority="498"/>
    <cfRule type="duplicateValues" dxfId="15944" priority="499"/>
    <cfRule type="duplicateValues" dxfId="15943" priority="500"/>
    <cfRule type="duplicateValues" dxfId="15942" priority="501"/>
    <cfRule type="duplicateValues" dxfId="15941" priority="502"/>
    <cfRule type="duplicateValues" dxfId="15940" priority="503"/>
    <cfRule type="duplicateValues" dxfId="15939" priority="504"/>
    <cfRule type="duplicateValues" dxfId="15938" priority="505"/>
    <cfRule type="duplicateValues" dxfId="15937" priority="506"/>
    <cfRule type="duplicateValues" dxfId="15936" priority="507"/>
    <cfRule type="duplicateValues" dxfId="15935" priority="508"/>
    <cfRule type="duplicateValues" dxfId="15934" priority="509"/>
    <cfRule type="duplicateValues" dxfId="15933" priority="510"/>
    <cfRule type="duplicateValues" dxfId="15932" priority="511"/>
    <cfRule type="duplicateValues" dxfId="15931" priority="512"/>
    <cfRule type="duplicateValues" dxfId="15930" priority="513"/>
    <cfRule type="duplicateValues" dxfId="15929" priority="514"/>
    <cfRule type="duplicateValues" dxfId="15928" priority="515"/>
    <cfRule type="duplicateValues" dxfId="15927" priority="516"/>
    <cfRule type="duplicateValues" dxfId="15926" priority="517"/>
    <cfRule type="duplicateValues" dxfId="15925" priority="518"/>
    <cfRule type="duplicateValues" dxfId="15924" priority="519"/>
    <cfRule type="duplicateValues" dxfId="15923" priority="520"/>
    <cfRule type="duplicateValues" dxfId="15922" priority="521"/>
    <cfRule type="duplicateValues" dxfId="15921" priority="522"/>
    <cfRule type="duplicateValues" dxfId="15920" priority="523"/>
    <cfRule type="duplicateValues" dxfId="15919" priority="524"/>
    <cfRule type="duplicateValues" dxfId="15918" priority="525"/>
    <cfRule type="duplicateValues" dxfId="15917" priority="526"/>
    <cfRule type="duplicateValues" dxfId="15916" priority="527"/>
    <cfRule type="duplicateValues" dxfId="15915" priority="528"/>
    <cfRule type="duplicateValues" dxfId="15914" priority="529"/>
    <cfRule type="duplicateValues" dxfId="15913" priority="530"/>
    <cfRule type="duplicateValues" dxfId="15912" priority="531"/>
    <cfRule type="duplicateValues" dxfId="15911" priority="532"/>
    <cfRule type="duplicateValues" dxfId="15910" priority="533"/>
    <cfRule type="duplicateValues" dxfId="15909" priority="534"/>
    <cfRule type="duplicateValues" dxfId="15908" priority="535"/>
    <cfRule type="duplicateValues" dxfId="15907" priority="536"/>
    <cfRule type="duplicateValues" dxfId="15906" priority="537"/>
    <cfRule type="duplicateValues" dxfId="15905" priority="538"/>
    <cfRule type="duplicateValues" dxfId="15904" priority="539"/>
    <cfRule type="duplicateValues" dxfId="15903" priority="540"/>
    <cfRule type="duplicateValues" dxfId="15902" priority="541"/>
    <cfRule type="duplicateValues" dxfId="15901" priority="542"/>
    <cfRule type="duplicateValues" dxfId="15900" priority="543"/>
    <cfRule type="duplicateValues" dxfId="15899" priority="544"/>
    <cfRule type="duplicateValues" dxfId="15898" priority="545"/>
    <cfRule type="duplicateValues" dxfId="15897" priority="546"/>
    <cfRule type="duplicateValues" dxfId="15896" priority="547"/>
    <cfRule type="duplicateValues" dxfId="15895" priority="548"/>
    <cfRule type="duplicateValues" dxfId="15894" priority="549"/>
    <cfRule type="duplicateValues" dxfId="15893" priority="550"/>
    <cfRule type="duplicateValues" dxfId="15892" priority="551"/>
    <cfRule type="duplicateValues" dxfId="15891" priority="552"/>
    <cfRule type="duplicateValues" dxfId="15890" priority="553"/>
    <cfRule type="duplicateValues" dxfId="15889" priority="554"/>
    <cfRule type="duplicateValues" dxfId="15888" priority="555"/>
    <cfRule type="duplicateValues" dxfId="15887" priority="556"/>
    <cfRule type="duplicateValues" dxfId="15886" priority="557"/>
    <cfRule type="duplicateValues" dxfId="15885" priority="558"/>
    <cfRule type="duplicateValues" dxfId="15884" priority="559"/>
    <cfRule type="duplicateValues" dxfId="15883" priority="560"/>
    <cfRule type="duplicateValues" dxfId="15882" priority="561"/>
    <cfRule type="duplicateValues" dxfId="15881" priority="562"/>
    <cfRule type="duplicateValues" dxfId="15880" priority="563"/>
    <cfRule type="duplicateValues" dxfId="15879" priority="564"/>
    <cfRule type="duplicateValues" dxfId="15878" priority="565"/>
    <cfRule type="duplicateValues" dxfId="15877" priority="566"/>
    <cfRule type="duplicateValues" dxfId="15876" priority="567"/>
    <cfRule type="duplicateValues" dxfId="15875" priority="568"/>
    <cfRule type="duplicateValues" dxfId="15874" priority="569"/>
    <cfRule type="duplicateValues" dxfId="15873" priority="570"/>
    <cfRule type="duplicateValues" dxfId="15872" priority="571"/>
    <cfRule type="duplicateValues" dxfId="15871" priority="572"/>
    <cfRule type="duplicateValues" dxfId="15870" priority="573"/>
    <cfRule type="duplicateValues" dxfId="15869" priority="574"/>
    <cfRule type="duplicateValues" dxfId="15868" priority="575"/>
    <cfRule type="duplicateValues" dxfId="15867" priority="576"/>
    <cfRule type="duplicateValues" dxfId="15866" priority="577"/>
    <cfRule type="duplicateValues" dxfId="15865" priority="578"/>
    <cfRule type="duplicateValues" dxfId="15864" priority="579"/>
    <cfRule type="duplicateValues" dxfId="15863" priority="580"/>
    <cfRule type="duplicateValues" dxfId="15862" priority="581"/>
    <cfRule type="duplicateValues" dxfId="15861" priority="582"/>
    <cfRule type="duplicateValues" dxfId="15860" priority="583"/>
    <cfRule type="duplicateValues" dxfId="15859" priority="584"/>
    <cfRule type="duplicateValues" dxfId="15858" priority="585"/>
    <cfRule type="duplicateValues" dxfId="15857" priority="586"/>
    <cfRule type="duplicateValues" dxfId="15856" priority="587"/>
    <cfRule type="duplicateValues" dxfId="15855" priority="588"/>
    <cfRule type="duplicateValues" dxfId="15854" priority="589"/>
    <cfRule type="duplicateValues" dxfId="15853" priority="590"/>
    <cfRule type="duplicateValues" dxfId="15852" priority="591"/>
    <cfRule type="duplicateValues" dxfId="15851" priority="592"/>
    <cfRule type="duplicateValues" dxfId="15850" priority="593"/>
    <cfRule type="duplicateValues" dxfId="15849" priority="594"/>
    <cfRule type="duplicateValues" dxfId="15848" priority="595"/>
    <cfRule type="duplicateValues" dxfId="15847" priority="596"/>
    <cfRule type="duplicateValues" dxfId="15846" priority="597"/>
    <cfRule type="duplicateValues" dxfId="15845" priority="598"/>
    <cfRule type="duplicateValues" dxfId="15844" priority="599"/>
    <cfRule type="duplicateValues" dxfId="15843" priority="600"/>
    <cfRule type="duplicateValues" dxfId="15842" priority="601"/>
    <cfRule type="duplicateValues" dxfId="15841" priority="602"/>
    <cfRule type="duplicateValues" dxfId="15840" priority="603"/>
    <cfRule type="duplicateValues" dxfId="15839" priority="604"/>
    <cfRule type="duplicateValues" dxfId="15838" priority="605"/>
    <cfRule type="duplicateValues" dxfId="15837" priority="606"/>
    <cfRule type="duplicateValues" dxfId="15836" priority="607"/>
    <cfRule type="duplicateValues" dxfId="15835" priority="608"/>
    <cfRule type="duplicateValues" dxfId="15834" priority="609"/>
    <cfRule type="duplicateValues" dxfId="15833" priority="610"/>
    <cfRule type="duplicateValues" dxfId="15832" priority="611"/>
    <cfRule type="duplicateValues" dxfId="15831" priority="612"/>
    <cfRule type="duplicateValues" dxfId="15830" priority="613"/>
    <cfRule type="duplicateValues" dxfId="15829" priority="614"/>
    <cfRule type="duplicateValues" dxfId="15828" priority="615"/>
    <cfRule type="duplicateValues" dxfId="15827" priority="616"/>
    <cfRule type="duplicateValues" dxfId="15826" priority="617"/>
    <cfRule type="duplicateValues" dxfId="15825" priority="618"/>
    <cfRule type="duplicateValues" dxfId="15824" priority="619"/>
    <cfRule type="duplicateValues" dxfId="15823" priority="620"/>
    <cfRule type="duplicateValues" dxfId="15822" priority="621"/>
    <cfRule type="duplicateValues" dxfId="15821" priority="622"/>
    <cfRule type="duplicateValues" dxfId="15820" priority="623"/>
    <cfRule type="duplicateValues" dxfId="15819" priority="624"/>
    <cfRule type="duplicateValues" dxfId="15818" priority="625"/>
    <cfRule type="duplicateValues" dxfId="15817" priority="626"/>
    <cfRule type="duplicateValues" dxfId="15816" priority="627"/>
    <cfRule type="duplicateValues" dxfId="15815" priority="628"/>
    <cfRule type="duplicateValues" dxfId="15814" priority="629"/>
    <cfRule type="duplicateValues" dxfId="15813" priority="630"/>
    <cfRule type="duplicateValues" dxfId="15812" priority="631"/>
    <cfRule type="duplicateValues" dxfId="15811" priority="632"/>
    <cfRule type="duplicateValues" dxfId="15810" priority="633"/>
    <cfRule type="duplicateValues" dxfId="15809" priority="634"/>
    <cfRule type="duplicateValues" dxfId="15808" priority="635"/>
    <cfRule type="duplicateValues" dxfId="15807" priority="636"/>
    <cfRule type="duplicateValues" dxfId="15806" priority="637"/>
    <cfRule type="duplicateValues" dxfId="15805" priority="638"/>
    <cfRule type="duplicateValues" dxfId="15804" priority="639"/>
    <cfRule type="duplicateValues" dxfId="15803" priority="640"/>
    <cfRule type="duplicateValues" dxfId="15802" priority="641"/>
    <cfRule type="duplicateValues" dxfId="15801" priority="642"/>
    <cfRule type="duplicateValues" dxfId="15800" priority="643"/>
    <cfRule type="duplicateValues" dxfId="15799" priority="644"/>
    <cfRule type="duplicateValues" dxfId="15798" priority="645"/>
    <cfRule type="duplicateValues" dxfId="15797" priority="646"/>
    <cfRule type="duplicateValues" dxfId="15796" priority="648"/>
    <cfRule type="duplicateValues" dxfId="15795" priority="649"/>
    <cfRule type="duplicateValues" dxfId="15794" priority="650"/>
    <cfRule type="duplicateValues" dxfId="15793" priority="651"/>
    <cfRule type="duplicateValues" dxfId="15792" priority="652"/>
    <cfRule type="duplicateValues" dxfId="15791" priority="653"/>
    <cfRule type="duplicateValues" dxfId="15790" priority="654"/>
    <cfRule type="duplicateValues" dxfId="15789" priority="655"/>
    <cfRule type="duplicateValues" dxfId="15788" priority="656"/>
    <cfRule type="duplicateValues" dxfId="15787" priority="657"/>
    <cfRule type="duplicateValues" dxfId="15786" priority="658"/>
    <cfRule type="duplicateValues" dxfId="15785" priority="659"/>
    <cfRule type="duplicateValues" dxfId="15784" priority="660"/>
    <cfRule type="duplicateValues" dxfId="15783" priority="661"/>
    <cfRule type="duplicateValues" dxfId="15782" priority="662"/>
    <cfRule type="duplicateValues" dxfId="15781" priority="663"/>
    <cfRule type="duplicateValues" dxfId="15780" priority="664"/>
    <cfRule type="duplicateValues" dxfId="15779" priority="665"/>
    <cfRule type="duplicateValues" dxfId="15778" priority="666"/>
    <cfRule type="duplicateValues" dxfId="15777" priority="667"/>
    <cfRule type="duplicateValues" dxfId="15776" priority="668"/>
    <cfRule type="duplicateValues" dxfId="15775" priority="669"/>
    <cfRule type="duplicateValues" dxfId="15774" priority="670"/>
    <cfRule type="duplicateValues" dxfId="15773" priority="671"/>
    <cfRule type="duplicateValues" dxfId="15772" priority="672"/>
    <cfRule type="duplicateValues" dxfId="15771" priority="673"/>
    <cfRule type="duplicateValues" dxfId="15770" priority="674"/>
    <cfRule type="duplicateValues" dxfId="15769" priority="675"/>
    <cfRule type="duplicateValues" dxfId="15768" priority="676"/>
    <cfRule type="duplicateValues" dxfId="15767" priority="677"/>
    <cfRule type="duplicateValues" dxfId="15766" priority="678"/>
    <cfRule type="duplicateValues" dxfId="15765" priority="679"/>
    <cfRule type="duplicateValues" dxfId="15764" priority="680"/>
    <cfRule type="duplicateValues" dxfId="15763" priority="681"/>
    <cfRule type="duplicateValues" dxfId="15762" priority="682"/>
    <cfRule type="duplicateValues" dxfId="15761" priority="683"/>
    <cfRule type="duplicateValues" dxfId="15760" priority="684"/>
    <cfRule type="duplicateValues" dxfId="15759" priority="685"/>
    <cfRule type="duplicateValues" dxfId="15758" priority="686"/>
    <cfRule type="duplicateValues" dxfId="15757" priority="687"/>
    <cfRule type="duplicateValues" dxfId="15756" priority="688"/>
    <cfRule type="duplicateValues" dxfId="15755" priority="689"/>
    <cfRule type="duplicateValues" dxfId="15754" priority="690"/>
    <cfRule type="duplicateValues" dxfId="15753" priority="691"/>
    <cfRule type="duplicateValues" dxfId="15752" priority="692"/>
    <cfRule type="duplicateValues" dxfId="15751" priority="693"/>
    <cfRule type="duplicateValues" dxfId="15750" priority="694"/>
    <cfRule type="duplicateValues" dxfId="15749" priority="695"/>
    <cfRule type="duplicateValues" dxfId="15748" priority="696"/>
    <cfRule type="duplicateValues" dxfId="15747" priority="697"/>
    <cfRule type="duplicateValues" dxfId="15746" priority="698"/>
    <cfRule type="duplicateValues" dxfId="15745" priority="699"/>
    <cfRule type="duplicateValues" dxfId="15744" priority="700"/>
    <cfRule type="duplicateValues" dxfId="15743" priority="701"/>
    <cfRule type="duplicateValues" dxfId="15742" priority="702"/>
    <cfRule type="duplicateValues" dxfId="15741" priority="703"/>
    <cfRule type="duplicateValues" dxfId="15740" priority="704"/>
    <cfRule type="duplicateValues" dxfId="15739" priority="705"/>
    <cfRule type="duplicateValues" dxfId="15738" priority="706"/>
    <cfRule type="duplicateValues" dxfId="15737" priority="707"/>
    <cfRule type="duplicateValues" dxfId="15736" priority="708"/>
    <cfRule type="duplicateValues" dxfId="15735" priority="709"/>
    <cfRule type="duplicateValues" dxfId="15734" priority="710"/>
    <cfRule type="duplicateValues" dxfId="15733" priority="711"/>
    <cfRule type="duplicateValues" dxfId="15732" priority="712"/>
    <cfRule type="duplicateValues" dxfId="15731" priority="713"/>
    <cfRule type="duplicateValues" dxfId="15730" priority="714"/>
    <cfRule type="duplicateValues" dxfId="15729" priority="715"/>
    <cfRule type="duplicateValues" dxfId="15728" priority="716"/>
    <cfRule type="duplicateValues" dxfId="15727" priority="717"/>
    <cfRule type="duplicateValues" dxfId="15726" priority="718"/>
    <cfRule type="duplicateValues" dxfId="15725" priority="719"/>
    <cfRule type="duplicateValues" dxfId="15724" priority="720"/>
    <cfRule type="duplicateValues" dxfId="15723" priority="721"/>
    <cfRule type="duplicateValues" dxfId="15722" priority="722"/>
    <cfRule type="duplicateValues" dxfId="15721" priority="723"/>
    <cfRule type="duplicateValues" dxfId="15720" priority="724"/>
    <cfRule type="duplicateValues" dxfId="15719" priority="725"/>
    <cfRule type="duplicateValues" dxfId="15718" priority="726"/>
    <cfRule type="duplicateValues" dxfId="15717" priority="727"/>
    <cfRule type="duplicateValues" dxfId="15716" priority="728"/>
    <cfRule type="duplicateValues" dxfId="15715" priority="729"/>
    <cfRule type="duplicateValues" dxfId="15714" priority="730"/>
    <cfRule type="duplicateValues" dxfId="15713" priority="731"/>
    <cfRule type="duplicateValues" dxfId="15712" priority="732"/>
    <cfRule type="duplicateValues" dxfId="15711" priority="733"/>
    <cfRule type="duplicateValues" dxfId="15710" priority="734"/>
    <cfRule type="duplicateValues" dxfId="15709" priority="735"/>
    <cfRule type="duplicateValues" dxfId="15708" priority="736"/>
    <cfRule type="duplicateValues" dxfId="15707" priority="737"/>
    <cfRule type="duplicateValues" dxfId="15706" priority="738"/>
    <cfRule type="duplicateValues" dxfId="15705" priority="739"/>
    <cfRule type="duplicateValues" dxfId="15704" priority="740"/>
    <cfRule type="duplicateValues" dxfId="15703" priority="741"/>
    <cfRule type="duplicateValues" dxfId="15702" priority="742"/>
    <cfRule type="duplicateValues" dxfId="15701" priority="743"/>
    <cfRule type="duplicateValues" dxfId="15700" priority="744"/>
    <cfRule type="duplicateValues" dxfId="15699" priority="745"/>
    <cfRule type="duplicateValues" dxfId="15698" priority="746"/>
    <cfRule type="duplicateValues" dxfId="15697" priority="747"/>
    <cfRule type="duplicateValues" dxfId="15696" priority="748"/>
    <cfRule type="duplicateValues" dxfId="15695" priority="749"/>
    <cfRule type="duplicateValues" dxfId="15694" priority="750"/>
    <cfRule type="duplicateValues" dxfId="15693" priority="751"/>
    <cfRule type="duplicateValues" dxfId="15692" priority="752"/>
    <cfRule type="duplicateValues" dxfId="15691" priority="753"/>
    <cfRule type="duplicateValues" dxfId="15690" priority="754"/>
    <cfRule type="duplicateValues" dxfId="15689" priority="755"/>
    <cfRule type="duplicateValues" dxfId="15688" priority="756"/>
    <cfRule type="duplicateValues" dxfId="15687" priority="757"/>
    <cfRule type="duplicateValues" dxfId="15686" priority="758"/>
    <cfRule type="duplicateValues" dxfId="15685" priority="759"/>
    <cfRule type="duplicateValues" dxfId="15684" priority="760"/>
    <cfRule type="duplicateValues" dxfId="15683" priority="761"/>
    <cfRule type="duplicateValues" dxfId="15682" priority="762"/>
    <cfRule type="duplicateValues" dxfId="15681" priority="763"/>
    <cfRule type="duplicateValues" dxfId="15680" priority="764"/>
    <cfRule type="duplicateValues" dxfId="15679" priority="765"/>
    <cfRule type="duplicateValues" dxfId="15678" priority="766"/>
    <cfRule type="duplicateValues" dxfId="15677" priority="767"/>
    <cfRule type="duplicateValues" dxfId="15676" priority="768"/>
    <cfRule type="duplicateValues" dxfId="15675" priority="769"/>
    <cfRule type="duplicateValues" dxfId="15674" priority="770"/>
    <cfRule type="duplicateValues" dxfId="15673" priority="771"/>
    <cfRule type="duplicateValues" dxfId="15672" priority="772"/>
    <cfRule type="duplicateValues" dxfId="15671" priority="773"/>
    <cfRule type="duplicateValues" dxfId="15670" priority="774"/>
    <cfRule type="duplicateValues" dxfId="15669" priority="775"/>
    <cfRule type="duplicateValues" dxfId="15668" priority="776"/>
    <cfRule type="duplicateValues" dxfId="15667" priority="777"/>
    <cfRule type="duplicateValues" dxfId="15666" priority="778"/>
    <cfRule type="duplicateValues" dxfId="15665" priority="779"/>
    <cfRule type="duplicateValues" dxfId="15664" priority="780"/>
    <cfRule type="duplicateValues" dxfId="15663" priority="781"/>
    <cfRule type="duplicateValues" dxfId="15662" priority="782"/>
    <cfRule type="duplicateValues" dxfId="15661" priority="783"/>
    <cfRule type="duplicateValues" dxfId="15660" priority="784"/>
    <cfRule type="duplicateValues" dxfId="15659" priority="785"/>
    <cfRule type="duplicateValues" dxfId="15658" priority="786"/>
    <cfRule type="duplicateValues" dxfId="15657" priority="787"/>
    <cfRule type="duplicateValues" dxfId="15656" priority="788"/>
    <cfRule type="duplicateValues" dxfId="15655" priority="789"/>
    <cfRule type="duplicateValues" dxfId="15654" priority="790"/>
    <cfRule type="duplicateValues" dxfId="15653" priority="791"/>
    <cfRule type="duplicateValues" dxfId="15652" priority="792"/>
    <cfRule type="duplicateValues" dxfId="15651" priority="793"/>
    <cfRule type="duplicateValues" dxfId="15650" priority="794"/>
    <cfRule type="duplicateValues" dxfId="15649" priority="795"/>
    <cfRule type="duplicateValues" dxfId="15648" priority="796"/>
    <cfRule type="duplicateValues" dxfId="15647" priority="797"/>
    <cfRule type="duplicateValues" dxfId="15646" priority="798"/>
    <cfRule type="duplicateValues" dxfId="15645" priority="799"/>
    <cfRule type="duplicateValues" dxfId="15644" priority="800"/>
    <cfRule type="duplicateValues" dxfId="15643" priority="801"/>
    <cfRule type="duplicateValues" dxfId="15642" priority="802"/>
    <cfRule type="duplicateValues" dxfId="15641" priority="803"/>
    <cfRule type="duplicateValues" dxfId="15640" priority="804"/>
    <cfRule type="duplicateValues" dxfId="15639" priority="805"/>
    <cfRule type="duplicateValues" dxfId="15638" priority="806"/>
    <cfRule type="duplicateValues" dxfId="15637" priority="807"/>
    <cfRule type="duplicateValues" dxfId="15636" priority="808"/>
    <cfRule type="duplicateValues" dxfId="15635" priority="809"/>
    <cfRule type="duplicateValues" dxfId="15634" priority="810"/>
    <cfRule type="duplicateValues" dxfId="15633" priority="811"/>
    <cfRule type="duplicateValues" dxfId="15632" priority="812"/>
    <cfRule type="duplicateValues" dxfId="15631" priority="813"/>
    <cfRule type="duplicateValues" dxfId="15630" priority="814"/>
    <cfRule type="duplicateValues" dxfId="15629" priority="815"/>
    <cfRule type="duplicateValues" dxfId="15628" priority="816"/>
    <cfRule type="duplicateValues" dxfId="15627" priority="817"/>
    <cfRule type="duplicateValues" dxfId="15626" priority="818"/>
    <cfRule type="duplicateValues" dxfId="15625" priority="819"/>
    <cfRule type="duplicateValues" dxfId="15624" priority="820"/>
    <cfRule type="duplicateValues" dxfId="15623" priority="821"/>
    <cfRule type="duplicateValues" dxfId="15622" priority="822"/>
    <cfRule type="duplicateValues" dxfId="15621" priority="823"/>
    <cfRule type="duplicateValues" dxfId="15620" priority="824"/>
    <cfRule type="duplicateValues" dxfId="15619" priority="825"/>
    <cfRule type="duplicateValues" dxfId="15618" priority="826"/>
    <cfRule type="duplicateValues" dxfId="15617" priority="827"/>
    <cfRule type="duplicateValues" dxfId="15616" priority="828"/>
    <cfRule type="duplicateValues" dxfId="15615" priority="829"/>
    <cfRule type="duplicateValues" dxfId="15614" priority="830"/>
    <cfRule type="duplicateValues" dxfId="15613" priority="831"/>
    <cfRule type="duplicateValues" dxfId="15612" priority="832"/>
    <cfRule type="duplicateValues" dxfId="15611" priority="833"/>
    <cfRule type="duplicateValues" dxfId="15610" priority="834"/>
    <cfRule type="duplicateValues" dxfId="15609" priority="835"/>
    <cfRule type="duplicateValues" dxfId="15608" priority="836"/>
    <cfRule type="duplicateValues" dxfId="15607" priority="837"/>
    <cfRule type="duplicateValues" dxfId="15606" priority="838"/>
    <cfRule type="duplicateValues" dxfId="15605" priority="839"/>
    <cfRule type="duplicateValues" dxfId="15604" priority="840"/>
    <cfRule type="duplicateValues" dxfId="15603" priority="841"/>
    <cfRule type="duplicateValues" dxfId="15602" priority="842"/>
    <cfRule type="duplicateValues" dxfId="15601" priority="843"/>
    <cfRule type="duplicateValues" dxfId="15600" priority="844"/>
    <cfRule type="duplicateValues" dxfId="15599" priority="845"/>
    <cfRule type="duplicateValues" dxfId="15598" priority="846"/>
    <cfRule type="duplicateValues" dxfId="15597" priority="847"/>
    <cfRule type="duplicateValues" dxfId="15596" priority="848"/>
    <cfRule type="duplicateValues" dxfId="15595" priority="849"/>
    <cfRule type="duplicateValues" dxfId="15594" priority="850"/>
    <cfRule type="duplicateValues" dxfId="15593" priority="851"/>
    <cfRule type="duplicateValues" dxfId="15592" priority="852"/>
    <cfRule type="duplicateValues" dxfId="15591" priority="853"/>
    <cfRule type="duplicateValues" dxfId="15590" priority="854"/>
    <cfRule type="duplicateValues" dxfId="15589" priority="855"/>
    <cfRule type="duplicateValues" dxfId="15588" priority="856"/>
    <cfRule type="duplicateValues" dxfId="15587" priority="857"/>
    <cfRule type="duplicateValues" dxfId="15586" priority="859"/>
    <cfRule type="duplicateValues" dxfId="15585" priority="860"/>
    <cfRule type="duplicateValues" dxfId="15584" priority="861"/>
    <cfRule type="duplicateValues" dxfId="15583" priority="862"/>
    <cfRule type="duplicateValues" dxfId="15582" priority="863"/>
    <cfRule type="duplicateValues" dxfId="15581" priority="864"/>
    <cfRule type="duplicateValues" dxfId="15580" priority="865"/>
    <cfRule type="duplicateValues" dxfId="15579" priority="866"/>
    <cfRule type="duplicateValues" dxfId="15578" priority="867"/>
    <cfRule type="duplicateValues" dxfId="15577" priority="868"/>
    <cfRule type="duplicateValues" dxfId="15576" priority="869"/>
    <cfRule type="duplicateValues" dxfId="15575" priority="870"/>
    <cfRule type="duplicateValues" dxfId="15574" priority="871"/>
    <cfRule type="duplicateValues" dxfId="15573" priority="872"/>
    <cfRule type="duplicateValues" dxfId="15572" priority="873"/>
    <cfRule type="duplicateValues" dxfId="15571" priority="874"/>
    <cfRule type="duplicateValues" dxfId="15570" priority="875"/>
    <cfRule type="duplicateValues" dxfId="15569" priority="876"/>
    <cfRule type="duplicateValues" dxfId="15568" priority="877"/>
    <cfRule type="duplicateValues" dxfId="15567" priority="878"/>
    <cfRule type="duplicateValues" dxfId="15566" priority="879"/>
    <cfRule type="duplicateValues" dxfId="15565" priority="880"/>
    <cfRule type="duplicateValues" dxfId="15564" priority="881"/>
    <cfRule type="duplicateValues" dxfId="15563" priority="882"/>
    <cfRule type="duplicateValues" dxfId="15562" priority="883"/>
    <cfRule type="duplicateValues" dxfId="15561" priority="884"/>
    <cfRule type="duplicateValues" dxfId="15560" priority="885"/>
    <cfRule type="duplicateValues" dxfId="15559" priority="886"/>
    <cfRule type="duplicateValues" dxfId="15558" priority="887"/>
    <cfRule type="duplicateValues" dxfId="15557" priority="888"/>
    <cfRule type="duplicateValues" dxfId="15556" priority="889"/>
    <cfRule type="duplicateValues" dxfId="15555" priority="890"/>
    <cfRule type="duplicateValues" dxfId="15554" priority="891"/>
    <cfRule type="duplicateValues" dxfId="15553" priority="892"/>
    <cfRule type="duplicateValues" dxfId="15552" priority="893"/>
    <cfRule type="duplicateValues" dxfId="15551" priority="894"/>
    <cfRule type="duplicateValues" dxfId="15550" priority="895"/>
    <cfRule type="duplicateValues" dxfId="15549" priority="896"/>
    <cfRule type="duplicateValues" dxfId="15548" priority="897"/>
    <cfRule type="duplicateValues" dxfId="15547" priority="898"/>
    <cfRule type="duplicateValues" dxfId="15546" priority="899"/>
    <cfRule type="duplicateValues" dxfId="15545" priority="900"/>
    <cfRule type="duplicateValues" dxfId="15544" priority="901"/>
    <cfRule type="duplicateValues" dxfId="15543" priority="902"/>
    <cfRule type="duplicateValues" dxfId="15542" priority="903"/>
    <cfRule type="duplicateValues" dxfId="15541" priority="904"/>
    <cfRule type="duplicateValues" dxfId="15540" priority="905"/>
    <cfRule type="duplicateValues" dxfId="15539" priority="906"/>
    <cfRule type="duplicateValues" dxfId="15538" priority="907"/>
    <cfRule type="duplicateValues" dxfId="15537" priority="908"/>
    <cfRule type="duplicateValues" dxfId="15536" priority="909"/>
    <cfRule type="duplicateValues" dxfId="15535" priority="910"/>
    <cfRule type="duplicateValues" dxfId="15534" priority="911"/>
    <cfRule type="duplicateValues" dxfId="15533" priority="912"/>
    <cfRule type="duplicateValues" dxfId="15532" priority="913"/>
    <cfRule type="duplicateValues" dxfId="15531" priority="914"/>
    <cfRule type="duplicateValues" dxfId="15530" priority="915"/>
    <cfRule type="duplicateValues" dxfId="15529" priority="916"/>
    <cfRule type="duplicateValues" dxfId="15528" priority="917"/>
    <cfRule type="duplicateValues" dxfId="15527" priority="918"/>
    <cfRule type="duplicateValues" dxfId="15526" priority="919"/>
    <cfRule type="duplicateValues" dxfId="15525" priority="920"/>
    <cfRule type="duplicateValues" dxfId="15524" priority="921"/>
    <cfRule type="duplicateValues" dxfId="15523" priority="922"/>
    <cfRule type="duplicateValues" dxfId="15522" priority="923"/>
    <cfRule type="duplicateValues" dxfId="15521" priority="924"/>
    <cfRule type="duplicateValues" dxfId="15520" priority="925"/>
    <cfRule type="duplicateValues" dxfId="15519" priority="926"/>
    <cfRule type="duplicateValues" dxfId="15518" priority="927"/>
    <cfRule type="duplicateValues" dxfId="15517" priority="928"/>
    <cfRule type="duplicateValues" dxfId="15516" priority="929"/>
    <cfRule type="duplicateValues" dxfId="15515" priority="930"/>
    <cfRule type="duplicateValues" dxfId="15514" priority="931"/>
    <cfRule type="duplicateValues" dxfId="15513" priority="932"/>
    <cfRule type="duplicateValues" dxfId="15512" priority="933"/>
    <cfRule type="duplicateValues" dxfId="15511" priority="934"/>
    <cfRule type="duplicateValues" dxfId="15510" priority="935"/>
    <cfRule type="duplicateValues" dxfId="15509" priority="936"/>
    <cfRule type="duplicateValues" dxfId="15508" priority="937"/>
    <cfRule type="duplicateValues" dxfId="15507" priority="938"/>
    <cfRule type="duplicateValues" dxfId="15506" priority="939"/>
    <cfRule type="duplicateValues" dxfId="15505" priority="940"/>
    <cfRule type="duplicateValues" dxfId="15504" priority="941"/>
    <cfRule type="duplicateValues" dxfId="15503" priority="942"/>
    <cfRule type="duplicateValues" dxfId="15502" priority="943"/>
    <cfRule type="duplicateValues" dxfId="15501" priority="944"/>
    <cfRule type="duplicateValues" dxfId="15500" priority="945"/>
    <cfRule type="duplicateValues" dxfId="15499" priority="946"/>
    <cfRule type="duplicateValues" dxfId="15498" priority="947"/>
    <cfRule type="duplicateValues" dxfId="15497" priority="948"/>
    <cfRule type="duplicateValues" dxfId="15496" priority="949"/>
    <cfRule type="duplicateValues" dxfId="15495" priority="950"/>
    <cfRule type="duplicateValues" dxfId="15494" priority="951"/>
    <cfRule type="duplicateValues" dxfId="15493" priority="952"/>
    <cfRule type="duplicateValues" dxfId="15492" priority="953"/>
    <cfRule type="duplicateValues" dxfId="15491" priority="954"/>
    <cfRule type="duplicateValues" dxfId="15490" priority="955"/>
    <cfRule type="duplicateValues" dxfId="15489" priority="956"/>
    <cfRule type="duplicateValues" dxfId="15488" priority="957"/>
    <cfRule type="duplicateValues" dxfId="15487" priority="958"/>
    <cfRule type="duplicateValues" dxfId="15486" priority="959"/>
    <cfRule type="duplicateValues" dxfId="15485" priority="960"/>
    <cfRule type="duplicateValues" dxfId="15484" priority="961"/>
    <cfRule type="duplicateValues" dxfId="15483" priority="962"/>
    <cfRule type="duplicateValues" dxfId="15482" priority="963"/>
    <cfRule type="duplicateValues" dxfId="15481" priority="964"/>
    <cfRule type="duplicateValues" dxfId="15480" priority="965"/>
    <cfRule type="duplicateValues" dxfId="15479" priority="966"/>
    <cfRule type="duplicateValues" dxfId="15478" priority="967"/>
    <cfRule type="duplicateValues" dxfId="15477" priority="968"/>
    <cfRule type="duplicateValues" dxfId="15476" priority="969"/>
    <cfRule type="duplicateValues" dxfId="15475" priority="970"/>
    <cfRule type="duplicateValues" dxfId="15474" priority="971"/>
    <cfRule type="duplicateValues" dxfId="15473" priority="972"/>
    <cfRule type="duplicateValues" dxfId="15472" priority="973"/>
    <cfRule type="duplicateValues" dxfId="15471" priority="974"/>
    <cfRule type="duplicateValues" dxfId="15470" priority="975"/>
    <cfRule type="duplicateValues" dxfId="15469" priority="976"/>
    <cfRule type="duplicateValues" dxfId="15468" priority="977"/>
    <cfRule type="duplicateValues" dxfId="15467" priority="978"/>
    <cfRule type="duplicateValues" dxfId="15466" priority="979"/>
    <cfRule type="duplicateValues" dxfId="15465" priority="980"/>
    <cfRule type="duplicateValues" dxfId="15464" priority="981"/>
    <cfRule type="duplicateValues" dxfId="15463" priority="982"/>
    <cfRule type="duplicateValues" dxfId="15462" priority="983"/>
    <cfRule type="duplicateValues" dxfId="15461" priority="984"/>
    <cfRule type="duplicateValues" dxfId="15460" priority="985"/>
    <cfRule type="duplicateValues" dxfId="15459" priority="986"/>
    <cfRule type="duplicateValues" dxfId="15458" priority="987"/>
    <cfRule type="duplicateValues" dxfId="15457" priority="988"/>
    <cfRule type="duplicateValues" dxfId="15456" priority="989"/>
    <cfRule type="duplicateValues" dxfId="15455" priority="990"/>
    <cfRule type="duplicateValues" dxfId="15454" priority="991"/>
    <cfRule type="duplicateValues" dxfId="15453" priority="992"/>
    <cfRule type="duplicateValues" dxfId="15452" priority="993"/>
    <cfRule type="duplicateValues" dxfId="15451" priority="994"/>
    <cfRule type="duplicateValues" dxfId="15450" priority="995"/>
    <cfRule type="duplicateValues" dxfId="15449" priority="996"/>
    <cfRule type="duplicateValues" dxfId="15448" priority="997"/>
    <cfRule type="duplicateValues" dxfId="15447" priority="998"/>
    <cfRule type="duplicateValues" dxfId="15446" priority="999"/>
    <cfRule type="duplicateValues" dxfId="15445" priority="1000"/>
    <cfRule type="duplicateValues" dxfId="15444" priority="1001"/>
    <cfRule type="duplicateValues" dxfId="15443" priority="1002"/>
    <cfRule type="duplicateValues" dxfId="15442" priority="1003"/>
    <cfRule type="duplicateValues" dxfId="15441" priority="1004"/>
    <cfRule type="duplicateValues" dxfId="15440" priority="1005"/>
    <cfRule type="duplicateValues" dxfId="15439" priority="1006"/>
    <cfRule type="duplicateValues" dxfId="15438" priority="1007"/>
    <cfRule type="duplicateValues" dxfId="15437" priority="1008"/>
    <cfRule type="duplicateValues" dxfId="15436" priority="1009"/>
    <cfRule type="duplicateValues" dxfId="15435" priority="1010"/>
    <cfRule type="duplicateValues" dxfId="15434" priority="1011"/>
    <cfRule type="duplicateValues" dxfId="15433" priority="1012"/>
    <cfRule type="duplicateValues" dxfId="15432" priority="1013"/>
    <cfRule type="duplicateValues" dxfId="15431" priority="1014"/>
    <cfRule type="duplicateValues" dxfId="15430" priority="1015"/>
    <cfRule type="duplicateValues" dxfId="15429" priority="1016"/>
    <cfRule type="duplicateValues" dxfId="15428" priority="1017"/>
    <cfRule type="duplicateValues" dxfId="15427" priority="1018"/>
    <cfRule type="duplicateValues" dxfId="15426" priority="1019"/>
    <cfRule type="duplicateValues" dxfId="15425" priority="1020"/>
    <cfRule type="duplicateValues" dxfId="15424" priority="1021"/>
    <cfRule type="duplicateValues" dxfId="15423" priority="1022"/>
    <cfRule type="duplicateValues" dxfId="15422" priority="1023"/>
    <cfRule type="duplicateValues" dxfId="15421" priority="1024"/>
    <cfRule type="duplicateValues" dxfId="15420" priority="1025"/>
    <cfRule type="duplicateValues" dxfId="15419" priority="1026"/>
    <cfRule type="duplicateValues" dxfId="15418" priority="1027"/>
    <cfRule type="duplicateValues" dxfId="15417" priority="1028"/>
    <cfRule type="duplicateValues" dxfId="15416" priority="1029"/>
    <cfRule type="duplicateValues" dxfId="15415" priority="1030"/>
    <cfRule type="duplicateValues" dxfId="15414" priority="1031"/>
    <cfRule type="duplicateValues" dxfId="15413" priority="1032"/>
    <cfRule type="duplicateValues" dxfId="15412" priority="1033"/>
    <cfRule type="duplicateValues" dxfId="15411" priority="1034"/>
    <cfRule type="duplicateValues" dxfId="15410" priority="1035"/>
    <cfRule type="duplicateValues" dxfId="15409" priority="1036"/>
    <cfRule type="duplicateValues" dxfId="15408" priority="1037"/>
    <cfRule type="duplicateValues" dxfId="15407" priority="1038"/>
    <cfRule type="duplicateValues" dxfId="15406" priority="1039"/>
    <cfRule type="duplicateValues" dxfId="15405" priority="1040"/>
    <cfRule type="duplicateValues" dxfId="15404" priority="1041"/>
    <cfRule type="duplicateValues" dxfId="15403" priority="1042"/>
    <cfRule type="duplicateValues" dxfId="15402" priority="1043"/>
    <cfRule type="duplicateValues" dxfId="15401" priority="1044"/>
    <cfRule type="duplicateValues" dxfId="15400" priority="1045"/>
    <cfRule type="duplicateValues" dxfId="15399" priority="1046"/>
    <cfRule type="duplicateValues" dxfId="15398" priority="1047"/>
    <cfRule type="duplicateValues" dxfId="15397" priority="1048"/>
    <cfRule type="duplicateValues" dxfId="15396" priority="1049"/>
    <cfRule type="duplicateValues" dxfId="15395" priority="1050"/>
    <cfRule type="duplicateValues" dxfId="15394" priority="1051"/>
    <cfRule type="duplicateValues" dxfId="15393" priority="1052"/>
    <cfRule type="duplicateValues" dxfId="15392" priority="1053"/>
    <cfRule type="duplicateValues" dxfId="15391" priority="1054"/>
    <cfRule type="duplicateValues" dxfId="15390" priority="1055"/>
    <cfRule type="duplicateValues" dxfId="15389" priority="1056"/>
    <cfRule type="duplicateValues" dxfId="15388" priority="1057"/>
    <cfRule type="duplicateValues" dxfId="15387" priority="1058"/>
    <cfRule type="duplicateValues" dxfId="15386" priority="1059"/>
    <cfRule type="duplicateValues" dxfId="15385" priority="1060"/>
    <cfRule type="duplicateValues" dxfId="15384" priority="1061"/>
    <cfRule type="duplicateValues" dxfId="15383" priority="1062"/>
    <cfRule type="duplicateValues" dxfId="15382" priority="1063"/>
    <cfRule type="duplicateValues" dxfId="15381" priority="1064"/>
    <cfRule type="duplicateValues" dxfId="15380" priority="1065"/>
    <cfRule type="duplicateValues" dxfId="15379" priority="1066"/>
    <cfRule type="duplicateValues" dxfId="15378" priority="1067"/>
    <cfRule type="duplicateValues" dxfId="15377" priority="1068"/>
    <cfRule type="duplicateValues" dxfId="15376" priority="1069"/>
    <cfRule type="duplicateValues" dxfId="15375" priority="1070"/>
    <cfRule type="duplicateValues" dxfId="15374" priority="1071"/>
    <cfRule type="duplicateValues" dxfId="15373" priority="1072"/>
    <cfRule type="duplicateValues" dxfId="15372" priority="1073"/>
    <cfRule type="duplicateValues" dxfId="15371" priority="1074"/>
    <cfRule type="duplicateValues" dxfId="15370" priority="1075"/>
    <cfRule type="duplicateValues" dxfId="15369" priority="1076"/>
    <cfRule type="duplicateValues" dxfId="15368" priority="1077"/>
    <cfRule type="duplicateValues" dxfId="15367" priority="1078"/>
    <cfRule type="duplicateValues" dxfId="15366" priority="1079"/>
    <cfRule type="duplicateValues" dxfId="15365" priority="1080"/>
    <cfRule type="duplicateValues" dxfId="15364" priority="1081"/>
    <cfRule type="duplicateValues" dxfId="15363" priority="1082"/>
    <cfRule type="duplicateValues" dxfId="15362" priority="1083"/>
    <cfRule type="duplicateValues" dxfId="15361" priority="1084"/>
    <cfRule type="duplicateValues" dxfId="15360" priority="1085"/>
    <cfRule type="duplicateValues" dxfId="15359" priority="1086"/>
    <cfRule type="duplicateValues" dxfId="15358" priority="1087"/>
    <cfRule type="duplicateValues" dxfId="15357" priority="1088"/>
    <cfRule type="duplicateValues" dxfId="15356" priority="1089"/>
    <cfRule type="duplicateValues" dxfId="15355" priority="1090"/>
    <cfRule type="duplicateValues" dxfId="15354" priority="1091"/>
    <cfRule type="duplicateValues" dxfId="15353" priority="1092"/>
    <cfRule type="duplicateValues" dxfId="15352" priority="1093"/>
    <cfRule type="duplicateValues" dxfId="15351" priority="1094"/>
    <cfRule type="duplicateValues" dxfId="15350" priority="1095"/>
    <cfRule type="duplicateValues" dxfId="15349" priority="1096"/>
    <cfRule type="duplicateValues" dxfId="15348" priority="1097"/>
    <cfRule type="duplicateValues" dxfId="15347" priority="1098"/>
    <cfRule type="duplicateValues" dxfId="15346" priority="1099"/>
    <cfRule type="duplicateValues" dxfId="15345" priority="1100"/>
    <cfRule type="duplicateValues" dxfId="15344" priority="1101"/>
    <cfRule type="duplicateValues" dxfId="15343" priority="1102"/>
    <cfRule type="duplicateValues" dxfId="15342" priority="1103"/>
    <cfRule type="duplicateValues" dxfId="15341" priority="1104"/>
    <cfRule type="duplicateValues" dxfId="15340" priority="1105"/>
    <cfRule type="duplicateValues" dxfId="15339" priority="1106"/>
    <cfRule type="duplicateValues" dxfId="15338" priority="1107"/>
    <cfRule type="duplicateValues" dxfId="15337" priority="1108"/>
    <cfRule type="duplicateValues" dxfId="15336" priority="1109"/>
    <cfRule type="duplicateValues" dxfId="15335" priority="1110"/>
    <cfRule type="duplicateValues" dxfId="15334" priority="1111"/>
    <cfRule type="duplicateValues" dxfId="15333" priority="1112"/>
    <cfRule type="duplicateValues" dxfId="15332" priority="1113"/>
    <cfRule type="duplicateValues" dxfId="15331" priority="1114"/>
    <cfRule type="duplicateValues" dxfId="15330" priority="1115"/>
    <cfRule type="duplicateValues" dxfId="15329" priority="1116"/>
    <cfRule type="duplicateValues" dxfId="15328" priority="1117"/>
    <cfRule type="duplicateValues" dxfId="15327" priority="1118"/>
    <cfRule type="duplicateValues" dxfId="15326" priority="1119"/>
    <cfRule type="duplicateValues" dxfId="15325" priority="1120"/>
    <cfRule type="duplicateValues" dxfId="15324" priority="1121"/>
    <cfRule type="duplicateValues" dxfId="15323" priority="1122"/>
    <cfRule type="duplicateValues" dxfId="15322" priority="1123"/>
    <cfRule type="duplicateValues" dxfId="15321" priority="1124"/>
    <cfRule type="duplicateValues" dxfId="15320" priority="1125"/>
    <cfRule type="duplicateValues" dxfId="15319" priority="1126"/>
    <cfRule type="duplicateValues" dxfId="15318" priority="1127"/>
    <cfRule type="duplicateValues" dxfId="15317" priority="1128"/>
    <cfRule type="duplicateValues" dxfId="15316" priority="1129"/>
    <cfRule type="duplicateValues" dxfId="15315" priority="1130"/>
    <cfRule type="duplicateValues" dxfId="15314" priority="1131"/>
    <cfRule type="duplicateValues" dxfId="15313" priority="1132"/>
    <cfRule type="duplicateValues" dxfId="15312" priority="1133"/>
    <cfRule type="duplicateValues" dxfId="15311" priority="1134"/>
    <cfRule type="duplicateValues" dxfId="15310" priority="1135"/>
    <cfRule type="duplicateValues" dxfId="15309" priority="1136"/>
    <cfRule type="duplicateValues" dxfId="15308" priority="1137"/>
    <cfRule type="duplicateValues" dxfId="15307" priority="1138"/>
    <cfRule type="duplicateValues" dxfId="15306" priority="1139"/>
    <cfRule type="duplicateValues" dxfId="15305" priority="1140"/>
    <cfRule type="duplicateValues" dxfId="15304" priority="1141"/>
    <cfRule type="duplicateValues" dxfId="15303" priority="1142"/>
    <cfRule type="duplicateValues" dxfId="15302" priority="1143"/>
    <cfRule type="duplicateValues" dxfId="15301" priority="1144"/>
    <cfRule type="duplicateValues" dxfId="15300" priority="1145"/>
    <cfRule type="duplicateValues" dxfId="15299" priority="1146"/>
    <cfRule type="duplicateValues" dxfId="15298" priority="1147"/>
    <cfRule type="duplicateValues" dxfId="15297" priority="1148"/>
    <cfRule type="duplicateValues" dxfId="15296" priority="1149"/>
    <cfRule type="duplicateValues" dxfId="15295" priority="1150"/>
    <cfRule type="duplicateValues" dxfId="15294" priority="1151"/>
    <cfRule type="duplicateValues" dxfId="15293" priority="1152"/>
    <cfRule type="duplicateValues" dxfId="15292" priority="1153"/>
    <cfRule type="duplicateValues" dxfId="15291" priority="1154"/>
    <cfRule type="duplicateValues" dxfId="15290" priority="1155"/>
    <cfRule type="duplicateValues" dxfId="15289" priority="1156"/>
    <cfRule type="duplicateValues" dxfId="15288" priority="1157"/>
    <cfRule type="duplicateValues" dxfId="15287" priority="1158"/>
    <cfRule type="duplicateValues" dxfId="15286" priority="1159"/>
    <cfRule type="duplicateValues" dxfId="15285" priority="1160"/>
    <cfRule type="duplicateValues" dxfId="15284" priority="1161"/>
    <cfRule type="duplicateValues" dxfId="15283" priority="1162"/>
    <cfRule type="duplicateValues" dxfId="15282" priority="1163"/>
    <cfRule type="duplicateValues" dxfId="15281" priority="1164"/>
    <cfRule type="duplicateValues" dxfId="15280" priority="1165"/>
    <cfRule type="duplicateValues" dxfId="15279" priority="1166"/>
    <cfRule type="duplicateValues" dxfId="15278" priority="1167"/>
    <cfRule type="duplicateValues" dxfId="15277" priority="1168"/>
    <cfRule type="duplicateValues" dxfId="15276" priority="1169"/>
    <cfRule type="duplicateValues" dxfId="15275" priority="1170"/>
    <cfRule type="duplicateValues" dxfId="15274" priority="1171"/>
    <cfRule type="duplicateValues" dxfId="15273" priority="1172"/>
    <cfRule type="duplicateValues" dxfId="15272" priority="1173"/>
    <cfRule type="duplicateValues" dxfId="15271" priority="1174"/>
    <cfRule type="duplicateValues" dxfId="15270" priority="1175"/>
    <cfRule type="duplicateValues" dxfId="15269" priority="1176"/>
    <cfRule type="duplicateValues" dxfId="15268" priority="1177"/>
    <cfRule type="duplicateValues" dxfId="15267" priority="1178"/>
    <cfRule type="duplicateValues" dxfId="15266" priority="1179"/>
    <cfRule type="duplicateValues" dxfId="15265" priority="1180"/>
    <cfRule type="duplicateValues" dxfId="15264" priority="1181"/>
    <cfRule type="duplicateValues" dxfId="15263" priority="1182"/>
    <cfRule type="duplicateValues" dxfId="15262" priority="1183"/>
    <cfRule type="duplicateValues" dxfId="15261" priority="1184"/>
    <cfRule type="duplicateValues" dxfId="15260" priority="1185"/>
    <cfRule type="duplicateValues" dxfId="15259" priority="1186"/>
    <cfRule type="duplicateValues" dxfId="15258" priority="1187"/>
    <cfRule type="duplicateValues" dxfId="15257" priority="1188"/>
    <cfRule type="duplicateValues" dxfId="15256" priority="1189"/>
    <cfRule type="duplicateValues" dxfId="15255" priority="1190"/>
    <cfRule type="duplicateValues" dxfId="15254" priority="1191"/>
    <cfRule type="duplicateValues" dxfId="15253" priority="1192"/>
    <cfRule type="duplicateValues" dxfId="15252" priority="1193"/>
    <cfRule type="duplicateValues" dxfId="15251" priority="1194"/>
    <cfRule type="duplicateValues" dxfId="15250" priority="1195"/>
    <cfRule type="duplicateValues" dxfId="15249" priority="1196"/>
    <cfRule type="duplicateValues" dxfId="15248" priority="1197"/>
    <cfRule type="duplicateValues" dxfId="15247" priority="1198"/>
    <cfRule type="duplicateValues" dxfId="15246" priority="1199"/>
    <cfRule type="duplicateValues" dxfId="15245" priority="1200"/>
    <cfRule type="duplicateValues" dxfId="15244" priority="1201"/>
    <cfRule type="duplicateValues" dxfId="15243" priority="1202"/>
    <cfRule type="duplicateValues" dxfId="15242" priority="1203"/>
    <cfRule type="duplicateValues" dxfId="15241" priority="1204"/>
    <cfRule type="duplicateValues" dxfId="15240" priority="1205"/>
    <cfRule type="duplicateValues" dxfId="15239" priority="1206"/>
    <cfRule type="duplicateValues" dxfId="15238" priority="1207"/>
    <cfRule type="duplicateValues" dxfId="15237" priority="1208"/>
    <cfRule type="duplicateValues" dxfId="15236" priority="1209"/>
    <cfRule type="duplicateValues" dxfId="15235" priority="1210"/>
    <cfRule type="duplicateValues" dxfId="15234" priority="1211"/>
    <cfRule type="duplicateValues" dxfId="15233" priority="1212"/>
    <cfRule type="duplicateValues" dxfId="15232" priority="1213"/>
    <cfRule type="duplicateValues" dxfId="15231" priority="1214"/>
    <cfRule type="duplicateValues" dxfId="15230" priority="1215"/>
    <cfRule type="duplicateValues" dxfId="15229" priority="1216"/>
    <cfRule type="duplicateValues" dxfId="15228" priority="1217"/>
    <cfRule type="duplicateValues" dxfId="15227" priority="1218"/>
    <cfRule type="duplicateValues" dxfId="15226" priority="1219"/>
    <cfRule type="duplicateValues" dxfId="15225" priority="1220"/>
    <cfRule type="duplicateValues" dxfId="15224" priority="1221"/>
    <cfRule type="duplicateValues" dxfId="15223" priority="1222"/>
    <cfRule type="duplicateValues" dxfId="15222" priority="1223"/>
    <cfRule type="duplicateValues" dxfId="15221" priority="1224"/>
    <cfRule type="duplicateValues" dxfId="15220" priority="1225"/>
    <cfRule type="duplicateValues" dxfId="15219" priority="1226"/>
    <cfRule type="duplicateValues" dxfId="15218" priority="1227"/>
    <cfRule type="duplicateValues" dxfId="15217" priority="1228"/>
    <cfRule type="duplicateValues" dxfId="15216" priority="1229"/>
    <cfRule type="duplicateValues" dxfId="15215" priority="1230"/>
    <cfRule type="duplicateValues" dxfId="15214" priority="1231"/>
    <cfRule type="duplicateValues" dxfId="15213" priority="1232"/>
    <cfRule type="duplicateValues" dxfId="15212" priority="1233"/>
    <cfRule type="duplicateValues" dxfId="15211" priority="1234"/>
    <cfRule type="duplicateValues" dxfId="15210" priority="1235"/>
    <cfRule type="duplicateValues" dxfId="15209" priority="1236"/>
    <cfRule type="duplicateValues" dxfId="15208" priority="1237"/>
    <cfRule type="duplicateValues" dxfId="15207" priority="858"/>
    <cfRule type="duplicateValues" dxfId="15206" priority="647"/>
    <cfRule type="duplicateValues" dxfId="15205" priority="78"/>
    <cfRule type="duplicateValues" dxfId="15204" priority="79"/>
    <cfRule type="duplicateValues" dxfId="15203" priority="80"/>
  </conditionalFormatting>
  <conditionalFormatting sqref="P91">
    <cfRule type="duplicateValues" dxfId="15202" priority="5836"/>
    <cfRule type="duplicateValues" dxfId="15201" priority="5837"/>
    <cfRule type="duplicateValues" dxfId="15200" priority="5838"/>
    <cfRule type="duplicateValues" dxfId="15199" priority="5839"/>
    <cfRule type="duplicateValues" dxfId="15198" priority="5840"/>
    <cfRule type="duplicateValues" dxfId="15197" priority="5841"/>
    <cfRule type="duplicateValues" dxfId="15196" priority="5842"/>
    <cfRule type="duplicateValues" dxfId="15195" priority="5843"/>
    <cfRule type="duplicateValues" dxfId="15194" priority="5844"/>
    <cfRule type="duplicateValues" dxfId="15193" priority="5845"/>
    <cfRule type="duplicateValues" dxfId="15192" priority="5846"/>
    <cfRule type="duplicateValues" dxfId="15191" priority="5847"/>
    <cfRule type="duplicateValues" dxfId="15190" priority="5848"/>
    <cfRule type="duplicateValues" dxfId="15189" priority="5849"/>
    <cfRule type="duplicateValues" dxfId="15188" priority="5850"/>
    <cfRule type="duplicateValues" dxfId="15187" priority="5851"/>
    <cfRule type="duplicateValues" dxfId="15186" priority="5852"/>
    <cfRule type="duplicateValues" dxfId="15185" priority="5853"/>
    <cfRule type="duplicateValues" dxfId="15184" priority="5854"/>
    <cfRule type="duplicateValues" dxfId="15183" priority="5855"/>
    <cfRule type="duplicateValues" dxfId="15182" priority="5856"/>
    <cfRule type="duplicateValues" dxfId="15181" priority="5857"/>
    <cfRule type="duplicateValues" dxfId="15180" priority="5858"/>
    <cfRule type="duplicateValues" dxfId="15179" priority="5859"/>
    <cfRule type="duplicateValues" dxfId="15178" priority="5860"/>
    <cfRule type="duplicateValues" dxfId="15177" priority="5861"/>
    <cfRule type="duplicateValues" dxfId="15176" priority="5862"/>
    <cfRule type="duplicateValues" dxfId="15175" priority="5863"/>
    <cfRule type="duplicateValues" dxfId="15174" priority="5864"/>
    <cfRule type="duplicateValues" dxfId="15173" priority="5865"/>
    <cfRule type="duplicateValues" dxfId="15172" priority="5866"/>
    <cfRule type="duplicateValues" dxfId="15171" priority="5867"/>
    <cfRule type="duplicateValues" dxfId="15170" priority="5868"/>
    <cfRule type="duplicateValues" dxfId="15169" priority="5869"/>
    <cfRule type="duplicateValues" dxfId="15168" priority="5870"/>
    <cfRule type="duplicateValues" dxfId="15167" priority="5871"/>
    <cfRule type="duplicateValues" dxfId="15166" priority="5872"/>
    <cfRule type="duplicateValues" dxfId="15165" priority="5873"/>
    <cfRule type="duplicateValues" dxfId="15164" priority="5874"/>
    <cfRule type="duplicateValues" dxfId="15163" priority="5875"/>
    <cfRule type="duplicateValues" dxfId="15162" priority="5876"/>
    <cfRule type="duplicateValues" dxfId="15161" priority="5877"/>
    <cfRule type="duplicateValues" dxfId="15160" priority="5878"/>
    <cfRule type="duplicateValues" dxfId="15159" priority="5879"/>
    <cfRule type="duplicateValues" dxfId="15158" priority="5880"/>
    <cfRule type="duplicateValues" dxfId="15157" priority="5881"/>
    <cfRule type="duplicateValues" dxfId="15156" priority="5882"/>
    <cfRule type="duplicateValues" dxfId="15155" priority="5883"/>
    <cfRule type="duplicateValues" dxfId="15154" priority="5884"/>
    <cfRule type="duplicateValues" dxfId="15153" priority="5885"/>
    <cfRule type="duplicateValues" dxfId="15152" priority="5886"/>
    <cfRule type="duplicateValues" dxfId="15151" priority="5887"/>
    <cfRule type="duplicateValues" dxfId="15150" priority="6391"/>
    <cfRule type="duplicateValues" dxfId="15149" priority="5888"/>
    <cfRule type="duplicateValues" dxfId="15148" priority="6390"/>
    <cfRule type="duplicateValues" dxfId="15147" priority="6389"/>
    <cfRule type="duplicateValues" dxfId="15146" priority="6388"/>
    <cfRule type="duplicateValues" dxfId="15145" priority="6387"/>
    <cfRule type="duplicateValues" dxfId="15144" priority="6386"/>
    <cfRule type="duplicateValues" dxfId="15143" priority="6385"/>
    <cfRule type="duplicateValues" dxfId="15142" priority="6384"/>
    <cfRule type="duplicateValues" dxfId="15141" priority="6383"/>
    <cfRule type="duplicateValues" dxfId="15140" priority="6382"/>
    <cfRule type="duplicateValues" dxfId="15139" priority="6381"/>
    <cfRule type="duplicateValues" dxfId="15138" priority="6380"/>
    <cfRule type="duplicateValues" dxfId="15137" priority="6379"/>
    <cfRule type="duplicateValues" dxfId="15136" priority="6378"/>
    <cfRule type="duplicateValues" dxfId="15135" priority="6377"/>
    <cfRule type="duplicateValues" dxfId="15134" priority="6376"/>
    <cfRule type="duplicateValues" dxfId="15133" priority="6375"/>
    <cfRule type="duplicateValues" dxfId="15132" priority="6374"/>
    <cfRule type="duplicateValues" dxfId="15131" priority="6373"/>
    <cfRule type="duplicateValues" dxfId="15130" priority="6372"/>
    <cfRule type="duplicateValues" dxfId="15129" priority="6371"/>
    <cfRule type="duplicateValues" dxfId="15128" priority="6350"/>
    <cfRule type="duplicateValues" dxfId="15127" priority="6370"/>
    <cfRule type="duplicateValues" dxfId="15126" priority="6369"/>
    <cfRule type="duplicateValues" dxfId="15125" priority="6368"/>
    <cfRule type="duplicateValues" dxfId="15124" priority="6367"/>
    <cfRule type="duplicateValues" dxfId="15123" priority="6349"/>
    <cfRule type="duplicateValues" dxfId="15122" priority="6348"/>
    <cfRule type="duplicateValues" dxfId="15121" priority="6366"/>
    <cfRule type="duplicateValues" dxfId="15120" priority="6365"/>
    <cfRule type="duplicateValues" dxfId="15119" priority="6364"/>
    <cfRule type="duplicateValues" dxfId="15118" priority="6363"/>
    <cfRule type="duplicateValues" dxfId="15117" priority="6362"/>
    <cfRule type="duplicateValues" dxfId="15116" priority="6361"/>
    <cfRule type="duplicateValues" dxfId="15115" priority="6360"/>
    <cfRule type="duplicateValues" dxfId="15114" priority="6359"/>
    <cfRule type="duplicateValues" dxfId="15113" priority="6358"/>
    <cfRule type="duplicateValues" dxfId="15112" priority="6357"/>
    <cfRule type="duplicateValues" dxfId="15111" priority="6356"/>
    <cfRule type="duplicateValues" dxfId="15110" priority="6355"/>
    <cfRule type="duplicateValues" dxfId="15109" priority="6354"/>
    <cfRule type="duplicateValues" dxfId="15108" priority="6353"/>
    <cfRule type="duplicateValues" dxfId="15107" priority="6352"/>
    <cfRule type="duplicateValues" dxfId="15106" priority="6351"/>
    <cfRule type="duplicateValues" dxfId="15105" priority="6571"/>
    <cfRule type="duplicateValues" dxfId="15104" priority="6570"/>
    <cfRule type="duplicateValues" dxfId="15103" priority="6569"/>
    <cfRule type="duplicateValues" dxfId="15102" priority="6568"/>
    <cfRule type="duplicateValues" dxfId="15101" priority="6567"/>
    <cfRule type="duplicateValues" dxfId="15100" priority="6566"/>
    <cfRule type="duplicateValues" dxfId="15099" priority="6565"/>
    <cfRule type="duplicateValues" dxfId="15098" priority="6564"/>
    <cfRule type="duplicateValues" dxfId="15097" priority="6563"/>
    <cfRule type="duplicateValues" dxfId="15096" priority="6562"/>
    <cfRule type="duplicateValues" dxfId="15095" priority="6561"/>
    <cfRule type="duplicateValues" dxfId="15094" priority="6560"/>
    <cfRule type="duplicateValues" dxfId="15093" priority="6559"/>
    <cfRule type="duplicateValues" dxfId="15092" priority="6558"/>
    <cfRule type="duplicateValues" dxfId="15091" priority="6557"/>
    <cfRule type="duplicateValues" dxfId="15090" priority="6556"/>
    <cfRule type="duplicateValues" dxfId="15089" priority="6555"/>
    <cfRule type="duplicateValues" dxfId="15088" priority="6554"/>
    <cfRule type="duplicateValues" dxfId="15087" priority="6553"/>
    <cfRule type="duplicateValues" dxfId="15086" priority="6552"/>
    <cfRule type="duplicateValues" dxfId="15085" priority="6551"/>
    <cfRule type="duplicateValues" dxfId="15084" priority="6019"/>
    <cfRule type="duplicateValues" dxfId="15083" priority="6018"/>
    <cfRule type="duplicateValues" dxfId="15082" priority="6017"/>
    <cfRule type="duplicateValues" dxfId="15081" priority="6016"/>
    <cfRule type="duplicateValues" dxfId="15080" priority="6015"/>
    <cfRule type="duplicateValues" dxfId="15079" priority="6014"/>
    <cfRule type="duplicateValues" dxfId="15078" priority="6013"/>
    <cfRule type="duplicateValues" dxfId="15077" priority="6012"/>
    <cfRule type="duplicateValues" dxfId="15076" priority="6011"/>
    <cfRule type="duplicateValues" dxfId="15075" priority="6010"/>
    <cfRule type="duplicateValues" dxfId="15074" priority="6009"/>
    <cfRule type="duplicateValues" dxfId="15073" priority="6008"/>
    <cfRule type="duplicateValues" dxfId="15072" priority="6007"/>
    <cfRule type="duplicateValues" dxfId="15071" priority="6006"/>
    <cfRule type="duplicateValues" dxfId="15070" priority="6347"/>
    <cfRule type="duplicateValues" dxfId="15069" priority="6346"/>
    <cfRule type="duplicateValues" dxfId="15068" priority="6345"/>
    <cfRule type="duplicateValues" dxfId="15067" priority="6344"/>
    <cfRule type="duplicateValues" dxfId="15066" priority="6343"/>
    <cfRule type="duplicateValues" dxfId="15065" priority="6342"/>
    <cfRule type="duplicateValues" dxfId="15064" priority="6341"/>
    <cfRule type="duplicateValues" dxfId="15063" priority="6340"/>
    <cfRule type="duplicateValues" dxfId="15062" priority="6339"/>
    <cfRule type="duplicateValues" dxfId="15061" priority="6338"/>
    <cfRule type="duplicateValues" dxfId="15060" priority="6337"/>
    <cfRule type="duplicateValues" dxfId="15059" priority="6336"/>
    <cfRule type="duplicateValues" dxfId="15058" priority="6335"/>
    <cfRule type="duplicateValues" dxfId="15057" priority="6334"/>
    <cfRule type="duplicateValues" dxfId="15056" priority="6333"/>
    <cfRule type="duplicateValues" dxfId="15055" priority="6332"/>
    <cfRule type="duplicateValues" dxfId="15054" priority="6331"/>
    <cfRule type="duplicateValues" dxfId="15053" priority="6330"/>
    <cfRule type="duplicateValues" dxfId="15052" priority="6329"/>
    <cfRule type="duplicateValues" dxfId="15051" priority="6328"/>
    <cfRule type="duplicateValues" dxfId="15050" priority="6327"/>
    <cfRule type="duplicateValues" dxfId="15049" priority="6326"/>
    <cfRule type="duplicateValues" dxfId="15048" priority="6325"/>
    <cfRule type="duplicateValues" dxfId="15047" priority="6324"/>
    <cfRule type="duplicateValues" dxfId="15046" priority="6323"/>
    <cfRule type="duplicateValues" dxfId="15045" priority="6322"/>
    <cfRule type="duplicateValues" dxfId="15044" priority="6321"/>
    <cfRule type="duplicateValues" dxfId="15043" priority="6320"/>
    <cfRule type="duplicateValues" dxfId="15042" priority="6319"/>
    <cfRule type="duplicateValues" dxfId="15041" priority="6318"/>
    <cfRule type="duplicateValues" dxfId="15040" priority="6317"/>
    <cfRule type="duplicateValues" dxfId="15039" priority="6316"/>
    <cfRule type="duplicateValues" dxfId="15038" priority="6315"/>
    <cfRule type="duplicateValues" dxfId="15037" priority="6314"/>
    <cfRule type="duplicateValues" dxfId="15036" priority="6313"/>
    <cfRule type="duplicateValues" dxfId="15035" priority="6312"/>
    <cfRule type="duplicateValues" dxfId="15034" priority="6311"/>
    <cfRule type="duplicateValues" dxfId="15033" priority="6310"/>
    <cfRule type="duplicateValues" dxfId="15032" priority="6309"/>
    <cfRule type="duplicateValues" dxfId="15031" priority="6308"/>
    <cfRule type="duplicateValues" dxfId="15030" priority="6307"/>
    <cfRule type="duplicateValues" dxfId="15029" priority="6306"/>
    <cfRule type="duplicateValues" dxfId="15028" priority="6305"/>
    <cfRule type="duplicateValues" dxfId="15027" priority="6304"/>
    <cfRule type="duplicateValues" dxfId="15026" priority="6303"/>
    <cfRule type="duplicateValues" dxfId="15025" priority="6302"/>
    <cfRule type="duplicateValues" dxfId="15024" priority="6301"/>
    <cfRule type="duplicateValues" dxfId="15023" priority="6300"/>
    <cfRule type="duplicateValues" dxfId="15022" priority="6299"/>
    <cfRule type="duplicateValues" dxfId="15021" priority="6298"/>
    <cfRule type="duplicateValues" dxfId="15020" priority="6297"/>
    <cfRule type="duplicateValues" dxfId="15019" priority="6296"/>
    <cfRule type="duplicateValues" dxfId="15018" priority="6295"/>
    <cfRule type="duplicateValues" dxfId="15017" priority="6294"/>
    <cfRule type="duplicateValues" dxfId="15016" priority="6293"/>
    <cfRule type="duplicateValues" dxfId="15015" priority="6292"/>
    <cfRule type="duplicateValues" dxfId="15014" priority="6291"/>
    <cfRule type="duplicateValues" dxfId="15013" priority="6290"/>
    <cfRule type="duplicateValues" dxfId="15012" priority="6289"/>
    <cfRule type="duplicateValues" dxfId="15011" priority="6288"/>
    <cfRule type="duplicateValues" dxfId="15010" priority="6287"/>
    <cfRule type="duplicateValues" dxfId="15009" priority="6286"/>
    <cfRule type="duplicateValues" dxfId="15008" priority="6285"/>
    <cfRule type="duplicateValues" dxfId="15007" priority="6284"/>
    <cfRule type="duplicateValues" dxfId="15006" priority="6283"/>
    <cfRule type="duplicateValues" dxfId="15005" priority="6282"/>
    <cfRule type="duplicateValues" dxfId="15004" priority="6281"/>
    <cfRule type="duplicateValues" dxfId="15003" priority="6280"/>
    <cfRule type="duplicateValues" dxfId="15002" priority="6279"/>
    <cfRule type="duplicateValues" dxfId="15001" priority="6278"/>
    <cfRule type="duplicateValues" dxfId="15000" priority="6277"/>
    <cfRule type="duplicateValues" dxfId="14999" priority="6276"/>
    <cfRule type="duplicateValues" dxfId="14998" priority="6275"/>
    <cfRule type="duplicateValues" dxfId="14997" priority="6274"/>
    <cfRule type="duplicateValues" dxfId="14996" priority="6273"/>
    <cfRule type="duplicateValues" dxfId="14995" priority="6272"/>
    <cfRule type="duplicateValues" dxfId="14994" priority="6271"/>
    <cfRule type="duplicateValues" dxfId="14993" priority="6270"/>
    <cfRule type="duplicateValues" dxfId="14992" priority="6269"/>
    <cfRule type="duplicateValues" dxfId="14991" priority="6268"/>
    <cfRule type="duplicateValues" dxfId="14990" priority="6267"/>
    <cfRule type="duplicateValues" dxfId="14989" priority="6266"/>
    <cfRule type="duplicateValues" dxfId="14988" priority="6265"/>
    <cfRule type="duplicateValues" dxfId="14987" priority="6264"/>
    <cfRule type="duplicateValues" dxfId="14986" priority="6263"/>
    <cfRule type="duplicateValues" dxfId="14985" priority="6262"/>
    <cfRule type="duplicateValues" dxfId="14984" priority="6261"/>
    <cfRule type="duplicateValues" dxfId="14983" priority="6260"/>
    <cfRule type="duplicateValues" dxfId="14982" priority="6259"/>
    <cfRule type="duplicateValues" dxfId="14981" priority="6258"/>
    <cfRule type="duplicateValues" dxfId="14980" priority="6257"/>
    <cfRule type="duplicateValues" dxfId="14979" priority="6256"/>
    <cfRule type="duplicateValues" dxfId="14978" priority="6255"/>
    <cfRule type="duplicateValues" dxfId="14977" priority="6254"/>
    <cfRule type="duplicateValues" dxfId="14976" priority="6253"/>
    <cfRule type="duplicateValues" dxfId="14975" priority="6252"/>
    <cfRule type="duplicateValues" dxfId="14974" priority="6251"/>
    <cfRule type="duplicateValues" dxfId="14973" priority="6250"/>
    <cfRule type="duplicateValues" dxfId="14972" priority="6249"/>
    <cfRule type="duplicateValues" dxfId="14971" priority="6248"/>
    <cfRule type="duplicateValues" dxfId="14970" priority="6247"/>
    <cfRule type="duplicateValues" dxfId="14969" priority="6246"/>
    <cfRule type="duplicateValues" dxfId="14968" priority="6245"/>
    <cfRule type="duplicateValues" dxfId="14967" priority="6244"/>
    <cfRule type="duplicateValues" dxfId="14966" priority="6243"/>
    <cfRule type="duplicateValues" dxfId="14965" priority="6242"/>
    <cfRule type="duplicateValues" dxfId="14964" priority="6241"/>
    <cfRule type="duplicateValues" dxfId="14963" priority="6240"/>
    <cfRule type="duplicateValues" dxfId="14962" priority="6239"/>
    <cfRule type="duplicateValues" dxfId="14961" priority="6238"/>
    <cfRule type="duplicateValues" dxfId="14960" priority="6237"/>
    <cfRule type="duplicateValues" dxfId="14959" priority="6236"/>
    <cfRule type="duplicateValues" dxfId="14958" priority="6235"/>
    <cfRule type="duplicateValues" dxfId="14957" priority="6234"/>
    <cfRule type="duplicateValues" dxfId="14956" priority="6233"/>
    <cfRule type="duplicateValues" dxfId="14955" priority="6232"/>
    <cfRule type="duplicateValues" dxfId="14954" priority="6231"/>
    <cfRule type="duplicateValues" dxfId="14953" priority="6230"/>
    <cfRule type="duplicateValues" dxfId="14952" priority="6229"/>
    <cfRule type="duplicateValues" dxfId="14951" priority="6228"/>
    <cfRule type="duplicateValues" dxfId="14950" priority="6227"/>
    <cfRule type="duplicateValues" dxfId="14949" priority="6226"/>
    <cfRule type="duplicateValues" dxfId="14948" priority="6225"/>
    <cfRule type="duplicateValues" dxfId="14947" priority="6224"/>
    <cfRule type="duplicateValues" dxfId="14946" priority="6223"/>
    <cfRule type="duplicateValues" dxfId="14945" priority="6222"/>
    <cfRule type="duplicateValues" dxfId="14944" priority="6221"/>
    <cfRule type="duplicateValues" dxfId="14943" priority="6220"/>
    <cfRule type="duplicateValues" dxfId="14942" priority="6219"/>
    <cfRule type="duplicateValues" dxfId="14941" priority="6218"/>
    <cfRule type="duplicateValues" dxfId="14940" priority="6217"/>
    <cfRule type="duplicateValues" dxfId="14939" priority="6216"/>
    <cfRule type="duplicateValues" dxfId="14938" priority="6215"/>
    <cfRule type="duplicateValues" dxfId="14937" priority="6214"/>
    <cfRule type="duplicateValues" dxfId="14936" priority="6213"/>
    <cfRule type="duplicateValues" dxfId="14935" priority="6212"/>
    <cfRule type="duplicateValues" dxfId="14934" priority="6211"/>
    <cfRule type="duplicateValues" dxfId="14933" priority="6210"/>
    <cfRule type="duplicateValues" dxfId="14932" priority="6209"/>
    <cfRule type="duplicateValues" dxfId="14931" priority="6208"/>
    <cfRule type="duplicateValues" dxfId="14930" priority="6207"/>
    <cfRule type="duplicateValues" dxfId="14929" priority="6206"/>
    <cfRule type="duplicateValues" dxfId="14928" priority="6205"/>
    <cfRule type="duplicateValues" dxfId="14927" priority="6204"/>
    <cfRule type="duplicateValues" dxfId="14926" priority="6203"/>
    <cfRule type="duplicateValues" dxfId="14925" priority="6202"/>
    <cfRule type="duplicateValues" dxfId="14924" priority="6201"/>
    <cfRule type="duplicateValues" dxfId="14923" priority="6200"/>
    <cfRule type="duplicateValues" dxfId="14922" priority="6199"/>
    <cfRule type="duplicateValues" dxfId="14921" priority="6198"/>
    <cfRule type="duplicateValues" dxfId="14920" priority="6197"/>
    <cfRule type="duplicateValues" dxfId="14919" priority="6196"/>
    <cfRule type="duplicateValues" dxfId="14918" priority="6195"/>
    <cfRule type="duplicateValues" dxfId="14917" priority="6194"/>
    <cfRule type="duplicateValues" dxfId="14916" priority="6193"/>
    <cfRule type="duplicateValues" dxfId="14915" priority="6192"/>
    <cfRule type="duplicateValues" dxfId="14914" priority="6191"/>
    <cfRule type="duplicateValues" dxfId="14913" priority="6190"/>
    <cfRule type="duplicateValues" dxfId="14912" priority="6189"/>
    <cfRule type="duplicateValues" dxfId="14911" priority="6188"/>
    <cfRule type="duplicateValues" dxfId="14910" priority="6187"/>
    <cfRule type="duplicateValues" dxfId="14909" priority="6186"/>
    <cfRule type="duplicateValues" dxfId="14908" priority="6185"/>
    <cfRule type="duplicateValues" dxfId="14907" priority="6184"/>
    <cfRule type="duplicateValues" dxfId="14906" priority="6183"/>
    <cfRule type="duplicateValues" dxfId="14905" priority="6182"/>
    <cfRule type="duplicateValues" dxfId="14904" priority="6181"/>
    <cfRule type="duplicateValues" dxfId="14903" priority="6180"/>
    <cfRule type="duplicateValues" dxfId="14902" priority="6179"/>
    <cfRule type="duplicateValues" dxfId="14901" priority="6178"/>
    <cfRule type="duplicateValues" dxfId="14900" priority="6177"/>
    <cfRule type="duplicateValues" dxfId="14899" priority="6176"/>
    <cfRule type="duplicateValues" dxfId="14898" priority="6175"/>
    <cfRule type="duplicateValues" dxfId="14897" priority="6174"/>
    <cfRule type="duplicateValues" dxfId="14896" priority="6173"/>
    <cfRule type="duplicateValues" dxfId="14895" priority="6172"/>
    <cfRule type="duplicateValues" dxfId="14894" priority="6171"/>
    <cfRule type="duplicateValues" dxfId="14893" priority="6170"/>
    <cfRule type="duplicateValues" dxfId="14892" priority="6169"/>
    <cfRule type="duplicateValues" dxfId="14891" priority="6168"/>
    <cfRule type="duplicateValues" dxfId="14890" priority="6167"/>
    <cfRule type="duplicateValues" dxfId="14889" priority="6166"/>
    <cfRule type="duplicateValues" dxfId="14888" priority="6165"/>
    <cfRule type="duplicateValues" dxfId="14887" priority="6164"/>
    <cfRule type="duplicateValues" dxfId="14886" priority="6163"/>
    <cfRule type="duplicateValues" dxfId="14885" priority="6162"/>
    <cfRule type="duplicateValues" dxfId="14884" priority="6161"/>
    <cfRule type="duplicateValues" dxfId="14883" priority="6160"/>
    <cfRule type="duplicateValues" dxfId="14882" priority="6159"/>
    <cfRule type="duplicateValues" dxfId="14881" priority="6158"/>
    <cfRule type="duplicateValues" dxfId="14880" priority="6157"/>
    <cfRule type="duplicateValues" dxfId="14879" priority="6156"/>
    <cfRule type="duplicateValues" dxfId="14878" priority="6155"/>
    <cfRule type="duplicateValues" dxfId="14877" priority="6154"/>
    <cfRule type="duplicateValues" dxfId="14876" priority="6153"/>
    <cfRule type="duplicateValues" dxfId="14875" priority="6152"/>
    <cfRule type="duplicateValues" dxfId="14874" priority="6151"/>
    <cfRule type="duplicateValues" dxfId="14873" priority="6150"/>
    <cfRule type="duplicateValues" dxfId="14872" priority="6149"/>
    <cfRule type="duplicateValues" dxfId="14871" priority="6005"/>
    <cfRule type="duplicateValues" dxfId="14870" priority="6147"/>
    <cfRule type="duplicateValues" dxfId="14869" priority="6146"/>
    <cfRule type="duplicateValues" dxfId="14868" priority="6145"/>
    <cfRule type="duplicateValues" dxfId="14867" priority="6144"/>
    <cfRule type="duplicateValues" dxfId="14866" priority="6143"/>
    <cfRule type="duplicateValues" dxfId="14865" priority="6142"/>
    <cfRule type="duplicateValues" dxfId="14864" priority="6141"/>
    <cfRule type="duplicateValues" dxfId="14863" priority="6140"/>
    <cfRule type="duplicateValues" dxfId="14862" priority="6139"/>
    <cfRule type="duplicateValues" dxfId="14861" priority="6138"/>
    <cfRule type="duplicateValues" dxfId="14860" priority="6137"/>
    <cfRule type="duplicateValues" dxfId="14859" priority="6136"/>
    <cfRule type="duplicateValues" dxfId="14858" priority="6135"/>
    <cfRule type="duplicateValues" dxfId="14857" priority="6134"/>
    <cfRule type="duplicateValues" dxfId="14856" priority="6133"/>
    <cfRule type="duplicateValues" dxfId="14855" priority="6132"/>
    <cfRule type="duplicateValues" dxfId="14854" priority="6131"/>
    <cfRule type="duplicateValues" dxfId="14853" priority="6130"/>
    <cfRule type="duplicateValues" dxfId="14852" priority="6129"/>
    <cfRule type="duplicateValues" dxfId="14851" priority="6128"/>
    <cfRule type="duplicateValues" dxfId="14850" priority="6127"/>
    <cfRule type="duplicateValues" dxfId="14849" priority="6126"/>
    <cfRule type="duplicateValues" dxfId="14848" priority="6125"/>
    <cfRule type="duplicateValues" dxfId="14847" priority="6124"/>
    <cfRule type="duplicateValues" dxfId="14846" priority="6123"/>
    <cfRule type="duplicateValues" dxfId="14845" priority="6122"/>
    <cfRule type="duplicateValues" dxfId="14844" priority="6121"/>
    <cfRule type="duplicateValues" dxfId="14843" priority="6550"/>
    <cfRule type="duplicateValues" dxfId="14842" priority="6120"/>
    <cfRule type="duplicateValues" dxfId="14841" priority="6119"/>
    <cfRule type="duplicateValues" dxfId="14840" priority="6118"/>
    <cfRule type="duplicateValues" dxfId="14839" priority="6117"/>
    <cfRule type="duplicateValues" dxfId="14838" priority="6116"/>
    <cfRule type="duplicateValues" dxfId="14837" priority="6115"/>
    <cfRule type="duplicateValues" dxfId="14836" priority="6114"/>
    <cfRule type="duplicateValues" dxfId="14835" priority="6113"/>
    <cfRule type="duplicateValues" dxfId="14834" priority="6112"/>
    <cfRule type="duplicateValues" dxfId="14833" priority="6111"/>
    <cfRule type="duplicateValues" dxfId="14832" priority="6110"/>
    <cfRule type="duplicateValues" dxfId="14831" priority="6109"/>
    <cfRule type="duplicateValues" dxfId="14830" priority="6108"/>
    <cfRule type="duplicateValues" dxfId="14829" priority="6107"/>
    <cfRule type="duplicateValues" dxfId="14828" priority="6106"/>
    <cfRule type="duplicateValues" dxfId="14827" priority="6105"/>
    <cfRule type="duplicateValues" dxfId="14826" priority="6104"/>
    <cfRule type="duplicateValues" dxfId="14825" priority="6103"/>
    <cfRule type="duplicateValues" dxfId="14824" priority="6102"/>
    <cfRule type="duplicateValues" dxfId="14823" priority="6101"/>
    <cfRule type="duplicateValues" dxfId="14822" priority="6100"/>
    <cfRule type="duplicateValues" dxfId="14821" priority="6099"/>
    <cfRule type="duplicateValues" dxfId="14820" priority="6098"/>
    <cfRule type="duplicateValues" dxfId="14819" priority="6097"/>
    <cfRule type="duplicateValues" dxfId="14818" priority="6096"/>
    <cfRule type="duplicateValues" dxfId="14817" priority="6095"/>
    <cfRule type="duplicateValues" dxfId="14816" priority="6094"/>
    <cfRule type="duplicateValues" dxfId="14815" priority="6093"/>
    <cfRule type="duplicateValues" dxfId="14814" priority="6092"/>
    <cfRule type="duplicateValues" dxfId="14813" priority="6091"/>
    <cfRule type="duplicateValues" dxfId="14812" priority="6090"/>
    <cfRule type="duplicateValues" dxfId="14811" priority="6089"/>
    <cfRule type="duplicateValues" dxfId="14810" priority="6088"/>
    <cfRule type="duplicateValues" dxfId="14809" priority="6087"/>
    <cfRule type="duplicateValues" dxfId="14808" priority="6086"/>
    <cfRule type="duplicateValues" dxfId="14807" priority="6085"/>
    <cfRule type="duplicateValues" dxfId="14806" priority="6084"/>
    <cfRule type="duplicateValues" dxfId="14805" priority="6083"/>
    <cfRule type="duplicateValues" dxfId="14804" priority="6082"/>
    <cfRule type="duplicateValues" dxfId="14803" priority="6081"/>
    <cfRule type="duplicateValues" dxfId="14802" priority="6080"/>
    <cfRule type="duplicateValues" dxfId="14801" priority="6079"/>
    <cfRule type="duplicateValues" dxfId="14800" priority="6078"/>
    <cfRule type="duplicateValues" dxfId="14799" priority="6077"/>
    <cfRule type="duplicateValues" dxfId="14798" priority="6076"/>
    <cfRule type="duplicateValues" dxfId="14797" priority="6075"/>
    <cfRule type="duplicateValues" dxfId="14796" priority="6074"/>
    <cfRule type="duplicateValues" dxfId="14795" priority="6073"/>
    <cfRule type="duplicateValues" dxfId="14794" priority="6072"/>
    <cfRule type="duplicateValues" dxfId="14793" priority="6071"/>
    <cfRule type="duplicateValues" dxfId="14792" priority="6070"/>
    <cfRule type="duplicateValues" dxfId="14791" priority="6069"/>
    <cfRule type="duplicateValues" dxfId="14790" priority="6068"/>
    <cfRule type="duplicateValues" dxfId="14789" priority="6067"/>
    <cfRule type="duplicateValues" dxfId="14788" priority="6066"/>
    <cfRule type="duplicateValues" dxfId="14787" priority="6065"/>
    <cfRule type="duplicateValues" dxfId="14786" priority="6064"/>
    <cfRule type="duplicateValues" dxfId="14785" priority="6063"/>
    <cfRule type="duplicateValues" dxfId="14784" priority="6062"/>
    <cfRule type="duplicateValues" dxfId="14783" priority="6061"/>
    <cfRule type="duplicateValues" dxfId="14782" priority="6060"/>
    <cfRule type="duplicateValues" dxfId="14781" priority="6059"/>
    <cfRule type="duplicateValues" dxfId="14780" priority="6058"/>
    <cfRule type="duplicateValues" dxfId="14779" priority="6057"/>
    <cfRule type="duplicateValues" dxfId="14778" priority="6056"/>
    <cfRule type="duplicateValues" dxfId="14777" priority="6055"/>
    <cfRule type="duplicateValues" dxfId="14776" priority="6054"/>
    <cfRule type="duplicateValues" dxfId="14775" priority="6053"/>
    <cfRule type="duplicateValues" dxfId="14774" priority="6052"/>
    <cfRule type="duplicateValues" dxfId="14773" priority="6051"/>
    <cfRule type="duplicateValues" dxfId="14772" priority="6050"/>
    <cfRule type="duplicateValues" dxfId="14771" priority="6049"/>
    <cfRule type="duplicateValues" dxfId="14770" priority="6048"/>
    <cfRule type="duplicateValues" dxfId="14769" priority="6047"/>
    <cfRule type="duplicateValues" dxfId="14768" priority="6046"/>
    <cfRule type="duplicateValues" dxfId="14767" priority="6045"/>
    <cfRule type="duplicateValues" dxfId="14766" priority="6044"/>
    <cfRule type="duplicateValues" dxfId="14765" priority="6043"/>
    <cfRule type="duplicateValues" dxfId="14764" priority="6042"/>
    <cfRule type="duplicateValues" dxfId="14763" priority="6041"/>
    <cfRule type="duplicateValues" dxfId="14762" priority="6040"/>
    <cfRule type="duplicateValues" dxfId="14761" priority="6039"/>
    <cfRule type="duplicateValues" dxfId="14760" priority="6038"/>
    <cfRule type="duplicateValues" dxfId="14759" priority="6037"/>
    <cfRule type="duplicateValues" dxfId="14758" priority="6036"/>
    <cfRule type="duplicateValues" dxfId="14757" priority="6035"/>
    <cfRule type="duplicateValues" dxfId="14756" priority="6034"/>
    <cfRule type="duplicateValues" dxfId="14755" priority="6033"/>
    <cfRule type="duplicateValues" dxfId="14754" priority="6032"/>
    <cfRule type="duplicateValues" dxfId="14753" priority="6031"/>
    <cfRule type="duplicateValues" dxfId="14752" priority="6030"/>
    <cfRule type="duplicateValues" dxfId="14751" priority="6029"/>
    <cfRule type="duplicateValues" dxfId="14750" priority="6028"/>
    <cfRule type="duplicateValues" dxfId="14749" priority="6027"/>
    <cfRule type="duplicateValues" dxfId="14748" priority="6026"/>
    <cfRule type="duplicateValues" dxfId="14747" priority="6025"/>
    <cfRule type="duplicateValues" dxfId="14746" priority="6024"/>
    <cfRule type="duplicateValues" dxfId="14745" priority="6023"/>
    <cfRule type="duplicateValues" dxfId="14744" priority="6022"/>
    <cfRule type="duplicateValues" dxfId="14743" priority="6021"/>
    <cfRule type="duplicateValues" dxfId="14742" priority="6020"/>
    <cfRule type="duplicateValues" dxfId="14741" priority="6004"/>
    <cfRule type="duplicateValues" dxfId="14740" priority="6003"/>
    <cfRule type="duplicateValues" dxfId="14739" priority="6002"/>
    <cfRule type="duplicateValues" dxfId="14738" priority="6001"/>
    <cfRule type="duplicateValues" dxfId="14737" priority="6000"/>
    <cfRule type="duplicateValues" dxfId="14736" priority="5999"/>
    <cfRule type="duplicateValues" dxfId="14735" priority="5998"/>
    <cfRule type="duplicateValues" dxfId="14734" priority="5997"/>
    <cfRule type="duplicateValues" dxfId="14733" priority="5996"/>
    <cfRule type="duplicateValues" dxfId="14732" priority="5995"/>
    <cfRule type="duplicateValues" dxfId="14731" priority="5994"/>
    <cfRule type="duplicateValues" dxfId="14730" priority="5993"/>
    <cfRule type="duplicateValues" dxfId="14729" priority="5992"/>
    <cfRule type="duplicateValues" dxfId="14728" priority="5991"/>
    <cfRule type="duplicateValues" dxfId="14727" priority="5990"/>
    <cfRule type="duplicateValues" dxfId="14726" priority="5989"/>
    <cfRule type="duplicateValues" dxfId="14725" priority="5988"/>
    <cfRule type="duplicateValues" dxfId="14724" priority="5987"/>
    <cfRule type="duplicateValues" dxfId="14723" priority="5986"/>
    <cfRule type="duplicateValues" dxfId="14722" priority="5985"/>
    <cfRule type="duplicateValues" dxfId="14721" priority="5984"/>
    <cfRule type="duplicateValues" dxfId="14720" priority="5983"/>
    <cfRule type="duplicateValues" dxfId="14719" priority="5982"/>
    <cfRule type="duplicateValues" dxfId="14718" priority="5981"/>
    <cfRule type="duplicateValues" dxfId="14717" priority="5980"/>
    <cfRule type="duplicateValues" dxfId="14716" priority="5979"/>
    <cfRule type="duplicateValues" dxfId="14715" priority="5978"/>
    <cfRule type="duplicateValues" dxfId="14714" priority="5977"/>
    <cfRule type="duplicateValues" dxfId="14713" priority="5976"/>
    <cfRule type="duplicateValues" dxfId="14712" priority="5975"/>
    <cfRule type="duplicateValues" dxfId="14711" priority="5974"/>
    <cfRule type="duplicateValues" dxfId="14710" priority="5973"/>
    <cfRule type="duplicateValues" dxfId="14709" priority="5972"/>
    <cfRule type="duplicateValues" dxfId="14708" priority="5971"/>
    <cfRule type="duplicateValues" dxfId="14707" priority="5970"/>
    <cfRule type="duplicateValues" dxfId="14706" priority="5969"/>
    <cfRule type="duplicateValues" dxfId="14705" priority="5968"/>
    <cfRule type="duplicateValues" dxfId="14704" priority="5967"/>
    <cfRule type="duplicateValues" dxfId="14703" priority="5966"/>
    <cfRule type="duplicateValues" dxfId="14702" priority="5965"/>
    <cfRule type="duplicateValues" dxfId="14701" priority="5964"/>
    <cfRule type="duplicateValues" dxfId="14700" priority="5963"/>
    <cfRule type="duplicateValues" dxfId="14699" priority="5962"/>
    <cfRule type="duplicateValues" dxfId="14698" priority="5961"/>
    <cfRule type="duplicateValues" dxfId="14697" priority="5960"/>
    <cfRule type="duplicateValues" dxfId="14696" priority="5959"/>
    <cfRule type="duplicateValues" dxfId="14695" priority="5958"/>
    <cfRule type="duplicateValues" dxfId="14694" priority="5957"/>
    <cfRule type="duplicateValues" dxfId="14693" priority="5956"/>
    <cfRule type="duplicateValues" dxfId="14692" priority="5955"/>
    <cfRule type="duplicateValues" dxfId="14691" priority="5954"/>
    <cfRule type="duplicateValues" dxfId="14690" priority="5953"/>
    <cfRule type="duplicateValues" dxfId="14689" priority="5952"/>
    <cfRule type="duplicateValues" dxfId="14688" priority="5951"/>
    <cfRule type="duplicateValues" dxfId="14687" priority="5950"/>
    <cfRule type="duplicateValues" dxfId="14686" priority="5949"/>
    <cfRule type="duplicateValues" dxfId="14685" priority="5948"/>
    <cfRule type="duplicateValues" dxfId="14684" priority="5947"/>
    <cfRule type="duplicateValues" dxfId="14683" priority="5946"/>
    <cfRule type="duplicateValues" dxfId="14682" priority="5945"/>
    <cfRule type="duplicateValues" dxfId="14681" priority="5944"/>
    <cfRule type="duplicateValues" dxfId="14680" priority="5943"/>
    <cfRule type="duplicateValues" dxfId="14679" priority="5942"/>
    <cfRule type="duplicateValues" dxfId="14678" priority="5941"/>
    <cfRule type="duplicateValues" dxfId="14677" priority="5940"/>
    <cfRule type="duplicateValues" dxfId="14676" priority="5939"/>
    <cfRule type="duplicateValues" dxfId="14675" priority="5938"/>
    <cfRule type="duplicateValues" dxfId="14674" priority="5937"/>
    <cfRule type="duplicateValues" dxfId="14673" priority="5936"/>
    <cfRule type="duplicateValues" dxfId="14672" priority="5935"/>
    <cfRule type="duplicateValues" dxfId="14671" priority="5934"/>
    <cfRule type="duplicateValues" dxfId="14670" priority="5933"/>
    <cfRule type="duplicateValues" dxfId="14669" priority="5932"/>
    <cfRule type="duplicateValues" dxfId="14668" priority="5931"/>
    <cfRule type="duplicateValues" dxfId="14667" priority="5930"/>
    <cfRule type="duplicateValues" dxfId="14666" priority="5929"/>
    <cfRule type="duplicateValues" dxfId="14665" priority="5928"/>
    <cfRule type="duplicateValues" dxfId="14664" priority="5927"/>
    <cfRule type="duplicateValues" dxfId="14663" priority="5926"/>
    <cfRule type="duplicateValues" dxfId="14662" priority="5925"/>
    <cfRule type="duplicateValues" dxfId="14661" priority="5924"/>
    <cfRule type="duplicateValues" dxfId="14660" priority="5923"/>
    <cfRule type="duplicateValues" dxfId="14659" priority="5922"/>
    <cfRule type="duplicateValues" dxfId="14658" priority="5921"/>
    <cfRule type="duplicateValues" dxfId="14657" priority="5920"/>
    <cfRule type="duplicateValues" dxfId="14656" priority="5919"/>
    <cfRule type="duplicateValues" dxfId="14655" priority="5918"/>
    <cfRule type="duplicateValues" dxfId="14654" priority="5917"/>
    <cfRule type="duplicateValues" dxfId="14653" priority="5916"/>
    <cfRule type="duplicateValues" dxfId="14652" priority="5915"/>
    <cfRule type="duplicateValues" dxfId="14651" priority="5914"/>
    <cfRule type="duplicateValues" dxfId="14650" priority="5913"/>
    <cfRule type="duplicateValues" dxfId="14649" priority="5912"/>
    <cfRule type="duplicateValues" dxfId="14648" priority="5911"/>
    <cfRule type="duplicateValues" dxfId="14647" priority="5910"/>
    <cfRule type="duplicateValues" dxfId="14646" priority="5909"/>
    <cfRule type="duplicateValues" dxfId="14645" priority="5908"/>
    <cfRule type="duplicateValues" dxfId="14644" priority="5907"/>
    <cfRule type="duplicateValues" dxfId="14643" priority="5906"/>
    <cfRule type="duplicateValues" dxfId="14642" priority="5905"/>
    <cfRule type="duplicateValues" dxfId="14641" priority="5904"/>
    <cfRule type="duplicateValues" dxfId="14640" priority="5903"/>
    <cfRule type="duplicateValues" dxfId="14639" priority="5902"/>
    <cfRule type="duplicateValues" dxfId="14638" priority="5901"/>
    <cfRule type="duplicateValues" dxfId="14637" priority="5900"/>
    <cfRule type="duplicateValues" dxfId="14636" priority="5899"/>
    <cfRule type="duplicateValues" dxfId="14635" priority="5898"/>
    <cfRule type="duplicateValues" dxfId="14634" priority="5897"/>
    <cfRule type="duplicateValues" dxfId="14633" priority="5896"/>
    <cfRule type="duplicateValues" dxfId="14632" priority="5895"/>
    <cfRule type="duplicateValues" dxfId="14631" priority="5894"/>
    <cfRule type="duplicateValues" dxfId="14630" priority="5893"/>
    <cfRule type="duplicateValues" dxfId="14629" priority="5892"/>
    <cfRule type="duplicateValues" dxfId="14628" priority="6575"/>
    <cfRule type="duplicateValues" dxfId="14627" priority="5891"/>
    <cfRule type="duplicateValues" dxfId="14626" priority="5890"/>
    <cfRule type="duplicateValues" dxfId="14625" priority="5889"/>
    <cfRule type="duplicateValues" dxfId="14624" priority="6576"/>
    <cfRule type="duplicateValues" dxfId="14623" priority="5835"/>
    <cfRule type="duplicateValues" dxfId="14622" priority="6577"/>
    <cfRule type="duplicateValues" dxfId="14621" priority="6578"/>
    <cfRule type="duplicateValues" dxfId="14620" priority="6579"/>
    <cfRule type="duplicateValues" dxfId="14619" priority="6580"/>
    <cfRule type="duplicateValues" dxfId="14618" priority="6581"/>
    <cfRule type="duplicateValues" dxfId="14617" priority="6582"/>
    <cfRule type="duplicateValues" dxfId="14616" priority="6583"/>
    <cfRule type="duplicateValues" dxfId="14615" priority="6584"/>
    <cfRule type="duplicateValues" dxfId="14614" priority="6585"/>
    <cfRule type="duplicateValues" dxfId="14613" priority="6586"/>
    <cfRule type="duplicateValues" dxfId="14612" priority="6587"/>
    <cfRule type="duplicateValues" dxfId="14611" priority="6588"/>
    <cfRule type="duplicateValues" dxfId="14610" priority="6589"/>
    <cfRule type="duplicateValues" dxfId="14609" priority="6590"/>
    <cfRule type="duplicateValues" dxfId="14608" priority="6591"/>
    <cfRule type="duplicateValues" dxfId="14607" priority="6592"/>
    <cfRule type="duplicateValues" dxfId="14606" priority="6593"/>
    <cfRule type="duplicateValues" dxfId="14605" priority="6594"/>
    <cfRule type="duplicateValues" dxfId="14604" priority="6595"/>
    <cfRule type="duplicateValues" dxfId="14603" priority="6596"/>
    <cfRule type="duplicateValues" dxfId="14602" priority="6597"/>
    <cfRule type="duplicateValues" dxfId="14601" priority="6598"/>
    <cfRule type="duplicateValues" dxfId="14600" priority="6599"/>
    <cfRule type="duplicateValues" dxfId="14599" priority="6600"/>
    <cfRule type="duplicateValues" dxfId="14598" priority="6601"/>
    <cfRule type="duplicateValues" dxfId="14597" priority="6602"/>
    <cfRule type="duplicateValues" dxfId="14596" priority="6603"/>
    <cfRule type="duplicateValues" dxfId="14595" priority="6604"/>
    <cfRule type="duplicateValues" dxfId="14594" priority="6605"/>
    <cfRule type="duplicateValues" dxfId="14593" priority="6606"/>
    <cfRule type="duplicateValues" dxfId="14592" priority="6607"/>
    <cfRule type="duplicateValues" dxfId="14591" priority="6608"/>
    <cfRule type="duplicateValues" dxfId="14590" priority="6609"/>
    <cfRule type="duplicateValues" dxfId="14589" priority="6610"/>
    <cfRule type="duplicateValues" dxfId="14588" priority="6611"/>
    <cfRule type="duplicateValues" dxfId="14587" priority="6612"/>
    <cfRule type="duplicateValues" dxfId="14586" priority="6613"/>
    <cfRule type="duplicateValues" dxfId="14585" priority="6614"/>
    <cfRule type="duplicateValues" dxfId="14584" priority="6615"/>
    <cfRule type="duplicateValues" dxfId="14583" priority="6616"/>
    <cfRule type="duplicateValues" dxfId="14582" priority="6617"/>
    <cfRule type="duplicateValues" dxfId="14581" priority="6618"/>
    <cfRule type="duplicateValues" dxfId="14580" priority="6619"/>
    <cfRule type="duplicateValues" dxfId="14579" priority="6620"/>
    <cfRule type="duplicateValues" dxfId="14578" priority="6621"/>
    <cfRule type="duplicateValues" dxfId="14577" priority="6622"/>
    <cfRule type="duplicateValues" dxfId="14576" priority="6623"/>
    <cfRule type="duplicateValues" dxfId="14575" priority="6624"/>
    <cfRule type="duplicateValues" dxfId="14574" priority="6625"/>
    <cfRule type="duplicateValues" dxfId="14573" priority="6626"/>
    <cfRule type="duplicateValues" dxfId="14572" priority="6627"/>
    <cfRule type="duplicateValues" dxfId="14571" priority="6628"/>
    <cfRule type="duplicateValues" dxfId="14570" priority="6629"/>
    <cfRule type="duplicateValues" dxfId="14569" priority="6630"/>
    <cfRule type="duplicateValues" dxfId="14568" priority="6631"/>
    <cfRule type="duplicateValues" dxfId="14567" priority="6632"/>
    <cfRule type="duplicateValues" dxfId="14566" priority="6633"/>
    <cfRule type="duplicateValues" dxfId="14565" priority="6634"/>
    <cfRule type="duplicateValues" dxfId="14564" priority="6635"/>
    <cfRule type="duplicateValues" dxfId="14563" priority="6636"/>
    <cfRule type="duplicateValues" dxfId="14562" priority="6637"/>
    <cfRule type="duplicateValues" dxfId="14561" priority="6638"/>
    <cfRule type="duplicateValues" dxfId="14560" priority="6639"/>
    <cfRule type="duplicateValues" dxfId="14559" priority="6640"/>
    <cfRule type="duplicateValues" dxfId="14558" priority="6641"/>
    <cfRule type="duplicateValues" dxfId="14557" priority="5644"/>
    <cfRule type="duplicateValues" dxfId="14556" priority="5645"/>
    <cfRule type="duplicateValues" dxfId="14555" priority="5646"/>
    <cfRule type="duplicateValues" dxfId="14554" priority="5647"/>
    <cfRule type="duplicateValues" dxfId="14553" priority="5648"/>
    <cfRule type="duplicateValues" dxfId="14552" priority="5649"/>
    <cfRule type="duplicateValues" dxfId="14551" priority="5650"/>
    <cfRule type="duplicateValues" dxfId="14550" priority="5651"/>
    <cfRule type="duplicateValues" dxfId="14549" priority="5652"/>
    <cfRule type="duplicateValues" dxfId="14548" priority="5653"/>
    <cfRule type="duplicateValues" dxfId="14547" priority="5654"/>
    <cfRule type="duplicateValues" dxfId="14546" priority="5655"/>
    <cfRule type="duplicateValues" dxfId="14545" priority="5656"/>
    <cfRule type="duplicateValues" dxfId="14544" priority="5657"/>
    <cfRule type="duplicateValues" dxfId="14543" priority="6642"/>
    <cfRule type="duplicateValues" dxfId="14542" priority="6643"/>
    <cfRule type="duplicateValues" dxfId="14541" priority="6644"/>
    <cfRule type="duplicateValues" dxfId="14540" priority="6645"/>
    <cfRule type="duplicateValues" dxfId="14539" priority="6646"/>
    <cfRule type="duplicateValues" dxfId="14538" priority="6647"/>
    <cfRule type="duplicateValues" dxfId="14537" priority="6648"/>
    <cfRule type="duplicateValues" dxfId="14536" priority="6649"/>
    <cfRule type="duplicateValues" dxfId="14535" priority="6650"/>
    <cfRule type="duplicateValues" dxfId="14534" priority="6651"/>
    <cfRule type="duplicateValues" dxfId="14533" priority="6652"/>
    <cfRule type="duplicateValues" dxfId="14532" priority="6653"/>
    <cfRule type="duplicateValues" dxfId="14531" priority="6654"/>
    <cfRule type="duplicateValues" dxfId="14530" priority="6655"/>
    <cfRule type="duplicateValues" dxfId="14529" priority="6656"/>
    <cfRule type="duplicateValues" dxfId="14528" priority="6657"/>
    <cfRule type="duplicateValues" dxfId="14527" priority="6658"/>
    <cfRule type="duplicateValues" dxfId="14526" priority="6659"/>
    <cfRule type="duplicateValues" dxfId="14525" priority="6660"/>
    <cfRule type="duplicateValues" dxfId="14524" priority="6661"/>
    <cfRule type="duplicateValues" dxfId="14523" priority="6662"/>
    <cfRule type="duplicateValues" dxfId="14522" priority="6663"/>
    <cfRule type="duplicateValues" dxfId="14521" priority="6664"/>
    <cfRule type="duplicateValues" dxfId="14520" priority="6665"/>
    <cfRule type="duplicateValues" dxfId="14519" priority="6666"/>
    <cfRule type="duplicateValues" dxfId="14518" priority="6667"/>
    <cfRule type="duplicateValues" dxfId="14517" priority="6668"/>
    <cfRule type="duplicateValues" dxfId="14516" priority="6669"/>
    <cfRule type="duplicateValues" dxfId="14515" priority="6670"/>
    <cfRule type="duplicateValues" dxfId="14514" priority="6671"/>
    <cfRule type="duplicateValues" dxfId="14513" priority="6672"/>
    <cfRule type="duplicateValues" dxfId="14512" priority="6673"/>
    <cfRule type="duplicateValues" dxfId="14511" priority="6674"/>
    <cfRule type="duplicateValues" dxfId="14510" priority="6675"/>
    <cfRule type="duplicateValues" dxfId="14509" priority="6676"/>
    <cfRule type="duplicateValues" dxfId="14508" priority="6677"/>
    <cfRule type="duplicateValues" dxfId="14507" priority="6678"/>
    <cfRule type="duplicateValues" dxfId="14506" priority="6679"/>
    <cfRule type="duplicateValues" dxfId="14505" priority="6680"/>
    <cfRule type="duplicateValues" dxfId="14504" priority="6681"/>
    <cfRule type="duplicateValues" dxfId="14503" priority="6682"/>
    <cfRule type="duplicateValues" dxfId="14502" priority="6683"/>
    <cfRule type="duplicateValues" dxfId="14501" priority="6684"/>
    <cfRule type="duplicateValues" dxfId="14500" priority="6685"/>
    <cfRule type="duplicateValues" dxfId="14499" priority="6686"/>
    <cfRule type="duplicateValues" dxfId="14498" priority="6687"/>
    <cfRule type="duplicateValues" dxfId="14497" priority="6688"/>
    <cfRule type="duplicateValues" dxfId="14496" priority="6689"/>
    <cfRule type="duplicateValues" dxfId="14495" priority="6690"/>
    <cfRule type="duplicateValues" dxfId="14494" priority="6691"/>
    <cfRule type="duplicateValues" dxfId="14493" priority="6692"/>
    <cfRule type="duplicateValues" dxfId="14492" priority="6693"/>
    <cfRule type="duplicateValues" dxfId="14491" priority="6694"/>
    <cfRule type="duplicateValues" dxfId="14490" priority="6695"/>
    <cfRule type="duplicateValues" dxfId="14489" priority="6696"/>
    <cfRule type="duplicateValues" dxfId="14488" priority="6697"/>
    <cfRule type="duplicateValues" dxfId="14487" priority="6698"/>
    <cfRule type="duplicateValues" dxfId="14486" priority="6699"/>
    <cfRule type="duplicateValues" dxfId="14485" priority="6700"/>
    <cfRule type="duplicateValues" dxfId="14484" priority="6701"/>
    <cfRule type="duplicateValues" dxfId="14483" priority="6702"/>
    <cfRule type="duplicateValues" dxfId="14482" priority="6703"/>
    <cfRule type="duplicateValues" dxfId="14481" priority="6704"/>
    <cfRule type="duplicateValues" dxfId="14480" priority="6705"/>
    <cfRule type="duplicateValues" dxfId="14479" priority="6706"/>
    <cfRule type="duplicateValues" dxfId="14478" priority="6707"/>
    <cfRule type="duplicateValues" dxfId="14477" priority="6708"/>
    <cfRule type="duplicateValues" dxfId="14476" priority="6709"/>
    <cfRule type="duplicateValues" dxfId="14475" priority="6710"/>
    <cfRule type="duplicateValues" dxfId="14474" priority="6711"/>
    <cfRule type="duplicateValues" dxfId="14473" priority="6712"/>
    <cfRule type="duplicateValues" dxfId="14472" priority="6713"/>
    <cfRule type="duplicateValues" dxfId="14471" priority="6714"/>
    <cfRule type="duplicateValues" dxfId="14470" priority="6715"/>
    <cfRule type="duplicateValues" dxfId="14469" priority="6716"/>
    <cfRule type="duplicateValues" dxfId="14468" priority="6717"/>
    <cfRule type="duplicateValues" dxfId="14467" priority="6718"/>
    <cfRule type="duplicateValues" dxfId="14466" priority="6719"/>
    <cfRule type="duplicateValues" dxfId="14465" priority="6720"/>
    <cfRule type="duplicateValues" dxfId="14464" priority="6721"/>
    <cfRule type="duplicateValues" dxfId="14463" priority="6722"/>
    <cfRule type="duplicateValues" dxfId="14462" priority="6723"/>
    <cfRule type="duplicateValues" dxfId="14461" priority="6724"/>
    <cfRule type="duplicateValues" dxfId="14460" priority="6725"/>
    <cfRule type="duplicateValues" dxfId="14459" priority="6726"/>
    <cfRule type="duplicateValues" dxfId="14458" priority="6727"/>
    <cfRule type="duplicateValues" dxfId="14457" priority="6728"/>
    <cfRule type="duplicateValues" dxfId="14456" priority="6729"/>
    <cfRule type="duplicateValues" dxfId="14455" priority="6730"/>
    <cfRule type="duplicateValues" dxfId="14454" priority="6731"/>
    <cfRule type="duplicateValues" dxfId="14453" priority="6732"/>
    <cfRule type="duplicateValues" dxfId="14452" priority="6733"/>
    <cfRule type="duplicateValues" dxfId="14451" priority="6734"/>
    <cfRule type="duplicateValues" dxfId="14450" priority="6735"/>
    <cfRule type="duplicateValues" dxfId="14449" priority="6736"/>
    <cfRule type="duplicateValues" dxfId="14448" priority="6737"/>
    <cfRule type="duplicateValues" dxfId="14447" priority="6738"/>
    <cfRule type="duplicateValues" dxfId="14446" priority="6739"/>
    <cfRule type="duplicateValues" dxfId="14445" priority="6740"/>
    <cfRule type="duplicateValues" dxfId="14444" priority="6741"/>
    <cfRule type="duplicateValues" dxfId="14443" priority="6742"/>
    <cfRule type="duplicateValues" dxfId="14442" priority="6743"/>
    <cfRule type="duplicateValues" dxfId="14441" priority="6744"/>
    <cfRule type="duplicateValues" dxfId="14440" priority="6745"/>
    <cfRule type="duplicateValues" dxfId="14439" priority="6746"/>
    <cfRule type="duplicateValues" dxfId="14438" priority="6747"/>
    <cfRule type="duplicateValues" dxfId="14437" priority="6748"/>
    <cfRule type="duplicateValues" dxfId="14436" priority="6749"/>
    <cfRule type="duplicateValues" dxfId="14435" priority="6750"/>
    <cfRule type="duplicateValues" dxfId="14434" priority="6751"/>
    <cfRule type="duplicateValues" dxfId="14433" priority="6752"/>
    <cfRule type="duplicateValues" dxfId="14432" priority="6753"/>
    <cfRule type="duplicateValues" dxfId="14431" priority="6754"/>
    <cfRule type="duplicateValues" dxfId="14430" priority="6755"/>
    <cfRule type="duplicateValues" dxfId="14429" priority="6756"/>
    <cfRule type="duplicateValues" dxfId="14428" priority="6757"/>
    <cfRule type="duplicateValues" dxfId="14427" priority="6758"/>
    <cfRule type="duplicateValues" dxfId="14426" priority="6759"/>
    <cfRule type="duplicateValues" dxfId="14425" priority="6760"/>
    <cfRule type="duplicateValues" dxfId="14424" priority="6761"/>
    <cfRule type="duplicateValues" dxfId="14423" priority="6762"/>
    <cfRule type="duplicateValues" dxfId="14422" priority="6763"/>
    <cfRule type="duplicateValues" dxfId="14421" priority="6764"/>
    <cfRule type="duplicateValues" dxfId="14420" priority="6765"/>
    <cfRule type="duplicateValues" dxfId="14419" priority="6766"/>
    <cfRule type="duplicateValues" dxfId="14418" priority="6767"/>
    <cfRule type="duplicateValues" dxfId="14417" priority="6768"/>
    <cfRule type="duplicateValues" dxfId="14416" priority="6769"/>
    <cfRule type="duplicateValues" dxfId="14415" priority="6770"/>
    <cfRule type="duplicateValues" dxfId="14414" priority="6771"/>
    <cfRule type="duplicateValues" dxfId="14413" priority="6772"/>
    <cfRule type="duplicateValues" dxfId="14412" priority="6773"/>
    <cfRule type="duplicateValues" dxfId="14411" priority="6774"/>
    <cfRule type="duplicateValues" dxfId="14410" priority="6775"/>
    <cfRule type="duplicateValues" dxfId="14409" priority="6776"/>
    <cfRule type="duplicateValues" dxfId="14408" priority="6777"/>
    <cfRule type="duplicateValues" dxfId="14407" priority="6778"/>
    <cfRule type="duplicateValues" dxfId="14406" priority="6779"/>
    <cfRule type="duplicateValues" dxfId="14405" priority="6780"/>
    <cfRule type="duplicateValues" dxfId="14404" priority="6781"/>
    <cfRule type="duplicateValues" dxfId="14403" priority="6782"/>
    <cfRule type="duplicateValues" dxfId="14402" priority="6783"/>
    <cfRule type="duplicateValues" dxfId="14401" priority="6784"/>
    <cfRule type="duplicateValues" dxfId="14400" priority="6785"/>
    <cfRule type="duplicateValues" dxfId="14399" priority="6786"/>
    <cfRule type="duplicateValues" dxfId="14398" priority="6787"/>
    <cfRule type="duplicateValues" dxfId="14397" priority="6788"/>
    <cfRule type="duplicateValues" dxfId="14396" priority="6789"/>
    <cfRule type="duplicateValues" dxfId="14395" priority="6790"/>
    <cfRule type="duplicateValues" dxfId="14394" priority="6791"/>
    <cfRule type="duplicateValues" dxfId="14393" priority="6792"/>
    <cfRule type="duplicateValues" dxfId="14392" priority="6793"/>
    <cfRule type="duplicateValues" dxfId="14391" priority="6794"/>
    <cfRule type="duplicateValues" dxfId="14390" priority="6795"/>
    <cfRule type="duplicateValues" dxfId="14389" priority="6796"/>
    <cfRule type="duplicateValues" dxfId="14388" priority="6797"/>
    <cfRule type="duplicateValues" dxfId="14387" priority="6798"/>
    <cfRule type="duplicateValues" dxfId="14386" priority="6799"/>
    <cfRule type="duplicateValues" dxfId="14385" priority="6800"/>
    <cfRule type="duplicateValues" dxfId="14384" priority="6801"/>
    <cfRule type="duplicateValues" dxfId="14383" priority="6802"/>
    <cfRule type="duplicateValues" dxfId="14382" priority="6803"/>
    <cfRule type="duplicateValues" dxfId="14381" priority="6549"/>
    <cfRule type="duplicateValues" dxfId="14380" priority="6574"/>
    <cfRule type="duplicateValues" dxfId="14379" priority="6573"/>
    <cfRule type="duplicateValues" dxfId="14378" priority="6572"/>
    <cfRule type="duplicateValues" dxfId="14377" priority="6548"/>
    <cfRule type="duplicateValues" dxfId="14376" priority="6547"/>
    <cfRule type="duplicateValues" dxfId="14375" priority="6546"/>
    <cfRule type="duplicateValues" dxfId="14374" priority="6545"/>
    <cfRule type="duplicateValues" dxfId="14373" priority="6544"/>
    <cfRule type="duplicateValues" dxfId="14372" priority="6543"/>
    <cfRule type="duplicateValues" dxfId="14371" priority="6542"/>
    <cfRule type="duplicateValues" dxfId="14370" priority="6541"/>
    <cfRule type="duplicateValues" dxfId="14369" priority="6540"/>
    <cfRule type="duplicateValues" dxfId="14368" priority="6539"/>
    <cfRule type="duplicateValues" dxfId="14367" priority="6538"/>
    <cfRule type="duplicateValues" dxfId="14366" priority="6537"/>
    <cfRule type="duplicateValues" dxfId="14365" priority="6536"/>
    <cfRule type="duplicateValues" dxfId="14364" priority="6535"/>
    <cfRule type="duplicateValues" dxfId="14363" priority="6534"/>
    <cfRule type="duplicateValues" dxfId="14362" priority="6533"/>
    <cfRule type="duplicateValues" dxfId="14361" priority="5658"/>
    <cfRule type="duplicateValues" dxfId="14360" priority="5659"/>
    <cfRule type="duplicateValues" dxfId="14359" priority="5660"/>
    <cfRule type="duplicateValues" dxfId="14358" priority="5661"/>
    <cfRule type="duplicateValues" dxfId="14357" priority="6532"/>
    <cfRule type="duplicateValues" dxfId="14356" priority="5662"/>
    <cfRule type="duplicateValues" dxfId="14355" priority="5663"/>
    <cfRule type="duplicateValues" dxfId="14354" priority="5664"/>
    <cfRule type="duplicateValues" dxfId="14353" priority="5665"/>
    <cfRule type="duplicateValues" dxfId="14352" priority="5666"/>
    <cfRule type="duplicateValues" dxfId="14351" priority="5667"/>
    <cfRule type="duplicateValues" dxfId="14350" priority="5668"/>
    <cfRule type="duplicateValues" dxfId="14349" priority="5669"/>
    <cfRule type="duplicateValues" dxfId="14348" priority="5670"/>
    <cfRule type="duplicateValues" dxfId="14347" priority="5671"/>
    <cfRule type="duplicateValues" dxfId="14346" priority="5672"/>
    <cfRule type="duplicateValues" dxfId="14345" priority="5673"/>
    <cfRule type="duplicateValues" dxfId="14344" priority="5674"/>
    <cfRule type="duplicateValues" dxfId="14343" priority="5675"/>
    <cfRule type="duplicateValues" dxfId="14342" priority="5676"/>
    <cfRule type="duplicateValues" dxfId="14341" priority="5677"/>
    <cfRule type="duplicateValues" dxfId="14340" priority="5678"/>
    <cfRule type="duplicateValues" dxfId="14339" priority="5679"/>
    <cfRule type="duplicateValues" dxfId="14338" priority="5680"/>
    <cfRule type="duplicateValues" dxfId="14337" priority="5681"/>
    <cfRule type="duplicateValues" dxfId="14336" priority="5682"/>
    <cfRule type="duplicateValues" dxfId="14335" priority="6531"/>
    <cfRule type="duplicateValues" dxfId="14334" priority="5683"/>
    <cfRule type="duplicateValues" dxfId="14333" priority="5684"/>
    <cfRule type="duplicateValues" dxfId="14332" priority="5685"/>
    <cfRule type="duplicateValues" dxfId="14331" priority="5686"/>
    <cfRule type="duplicateValues" dxfId="14330" priority="5687"/>
    <cfRule type="duplicateValues" dxfId="14329" priority="5688"/>
    <cfRule type="duplicateValues" dxfId="14328" priority="5689"/>
    <cfRule type="duplicateValues" dxfId="14327" priority="5690"/>
    <cfRule type="duplicateValues" dxfId="14326" priority="5691"/>
    <cfRule type="duplicateValues" dxfId="14325" priority="5692"/>
    <cfRule type="duplicateValues" dxfId="14324" priority="5693"/>
    <cfRule type="duplicateValues" dxfId="14323" priority="5694"/>
    <cfRule type="duplicateValues" dxfId="14322" priority="5695"/>
    <cfRule type="duplicateValues" dxfId="14321" priority="5696"/>
    <cfRule type="duplicateValues" dxfId="14320" priority="5697"/>
    <cfRule type="duplicateValues" dxfId="14319" priority="5698"/>
    <cfRule type="duplicateValues" dxfId="14318" priority="5699"/>
    <cfRule type="duplicateValues" dxfId="14317" priority="5700"/>
    <cfRule type="duplicateValues" dxfId="14316" priority="5701"/>
    <cfRule type="duplicateValues" dxfId="14315" priority="5702"/>
    <cfRule type="duplicateValues" dxfId="14314" priority="5703"/>
    <cfRule type="duplicateValues" dxfId="14313" priority="5704"/>
    <cfRule type="duplicateValues" dxfId="14312" priority="5705"/>
    <cfRule type="duplicateValues" dxfId="14311" priority="5706"/>
    <cfRule type="duplicateValues" dxfId="14310" priority="5707"/>
    <cfRule type="duplicateValues" dxfId="14309" priority="5708"/>
    <cfRule type="duplicateValues" dxfId="14308" priority="5709"/>
    <cfRule type="duplicateValues" dxfId="14307" priority="5710"/>
    <cfRule type="duplicateValues" dxfId="14306" priority="5711"/>
    <cfRule type="duplicateValues" dxfId="14305" priority="5712"/>
    <cfRule type="duplicateValues" dxfId="14304" priority="5713"/>
    <cfRule type="duplicateValues" dxfId="14303" priority="5714"/>
    <cfRule type="duplicateValues" dxfId="14302" priority="5715"/>
    <cfRule type="duplicateValues" dxfId="14301" priority="5716"/>
    <cfRule type="duplicateValues" dxfId="14300" priority="5717"/>
    <cfRule type="duplicateValues" dxfId="14299" priority="5718"/>
    <cfRule type="duplicateValues" dxfId="14298" priority="5719"/>
    <cfRule type="duplicateValues" dxfId="14297" priority="5720"/>
    <cfRule type="duplicateValues" dxfId="14296" priority="5721"/>
    <cfRule type="duplicateValues" dxfId="14295" priority="5722"/>
    <cfRule type="duplicateValues" dxfId="14294" priority="5723"/>
    <cfRule type="duplicateValues" dxfId="14293" priority="5724"/>
    <cfRule type="duplicateValues" dxfId="14292" priority="5725"/>
    <cfRule type="duplicateValues" dxfId="14291" priority="5726"/>
    <cfRule type="duplicateValues" dxfId="14290" priority="5727"/>
    <cfRule type="duplicateValues" dxfId="14289" priority="5728"/>
    <cfRule type="duplicateValues" dxfId="14288" priority="5729"/>
    <cfRule type="duplicateValues" dxfId="14287" priority="5730"/>
    <cfRule type="duplicateValues" dxfId="14286" priority="5731"/>
    <cfRule type="duplicateValues" dxfId="14285" priority="5732"/>
    <cfRule type="duplicateValues" dxfId="14284" priority="5733"/>
    <cfRule type="duplicateValues" dxfId="14283" priority="5734"/>
    <cfRule type="duplicateValues" dxfId="14282" priority="5735"/>
    <cfRule type="duplicateValues" dxfId="14281" priority="5736"/>
    <cfRule type="duplicateValues" dxfId="14280" priority="5737"/>
    <cfRule type="duplicateValues" dxfId="14279" priority="5738"/>
    <cfRule type="duplicateValues" dxfId="14278" priority="5739"/>
    <cfRule type="duplicateValues" dxfId="14277" priority="5740"/>
    <cfRule type="duplicateValues" dxfId="14276" priority="5741"/>
    <cfRule type="duplicateValues" dxfId="14275" priority="5742"/>
    <cfRule type="duplicateValues" dxfId="14274" priority="5743"/>
    <cfRule type="duplicateValues" dxfId="14273" priority="5744"/>
    <cfRule type="duplicateValues" dxfId="14272" priority="5745"/>
    <cfRule type="duplicateValues" dxfId="14271" priority="5746"/>
    <cfRule type="duplicateValues" dxfId="14270" priority="5747"/>
    <cfRule type="duplicateValues" dxfId="14269" priority="5748"/>
    <cfRule type="duplicateValues" dxfId="14268" priority="5749"/>
    <cfRule type="duplicateValues" dxfId="14267" priority="6530"/>
    <cfRule type="duplicateValues" dxfId="14266" priority="6529"/>
    <cfRule type="duplicateValues" dxfId="14265" priority="6528"/>
    <cfRule type="duplicateValues" dxfId="14264" priority="6527"/>
    <cfRule type="duplicateValues" dxfId="14263" priority="6526"/>
    <cfRule type="duplicateValues" dxfId="14262" priority="6525"/>
    <cfRule type="duplicateValues" dxfId="14261" priority="6524"/>
    <cfRule type="duplicateValues" dxfId="14260" priority="6523"/>
    <cfRule type="duplicateValues" dxfId="14259" priority="6522"/>
    <cfRule type="duplicateValues" dxfId="14258" priority="6521"/>
    <cfRule type="duplicateValues" dxfId="14257" priority="6520"/>
    <cfRule type="duplicateValues" dxfId="14256" priority="6519"/>
    <cfRule type="duplicateValues" dxfId="14255" priority="6518"/>
    <cfRule type="duplicateValues" dxfId="14254" priority="6517"/>
    <cfRule type="duplicateValues" dxfId="14253" priority="6516"/>
    <cfRule type="duplicateValues" dxfId="14252" priority="6515"/>
    <cfRule type="duplicateValues" dxfId="14251" priority="6514"/>
    <cfRule type="duplicateValues" dxfId="14250" priority="6513"/>
    <cfRule type="duplicateValues" dxfId="14249" priority="6512"/>
    <cfRule type="duplicateValues" dxfId="14248" priority="6511"/>
    <cfRule type="duplicateValues" dxfId="14247" priority="6510"/>
    <cfRule type="duplicateValues" dxfId="14246" priority="6509"/>
    <cfRule type="duplicateValues" dxfId="14245" priority="6508"/>
    <cfRule type="duplicateValues" dxfId="14244" priority="6507"/>
    <cfRule type="duplicateValues" dxfId="14243" priority="6506"/>
    <cfRule type="duplicateValues" dxfId="14242" priority="6505"/>
    <cfRule type="duplicateValues" dxfId="14241" priority="6504"/>
    <cfRule type="duplicateValues" dxfId="14240" priority="6503"/>
    <cfRule type="duplicateValues" dxfId="14239" priority="6502"/>
    <cfRule type="duplicateValues" dxfId="14238" priority="6501"/>
    <cfRule type="duplicateValues" dxfId="14237" priority="6500"/>
    <cfRule type="duplicateValues" dxfId="14236" priority="6499"/>
    <cfRule type="duplicateValues" dxfId="14235" priority="6498"/>
    <cfRule type="duplicateValues" dxfId="14234" priority="6497"/>
    <cfRule type="duplicateValues" dxfId="14233" priority="6496"/>
    <cfRule type="duplicateValues" dxfId="14232" priority="6495"/>
    <cfRule type="duplicateValues" dxfId="14231" priority="6494"/>
    <cfRule type="duplicateValues" dxfId="14230" priority="6493"/>
    <cfRule type="duplicateValues" dxfId="14229" priority="6492"/>
    <cfRule type="duplicateValues" dxfId="14228" priority="6491"/>
    <cfRule type="duplicateValues" dxfId="14227" priority="6490"/>
    <cfRule type="duplicateValues" dxfId="14226" priority="6489"/>
    <cfRule type="duplicateValues" dxfId="14225" priority="6488"/>
    <cfRule type="duplicateValues" dxfId="14224" priority="6487"/>
    <cfRule type="duplicateValues" dxfId="14223" priority="6486"/>
    <cfRule type="duplicateValues" dxfId="14222" priority="6485"/>
    <cfRule type="duplicateValues" dxfId="14221" priority="6484"/>
    <cfRule type="duplicateValues" dxfId="14220" priority="6483"/>
    <cfRule type="duplicateValues" dxfId="14219" priority="6482"/>
    <cfRule type="duplicateValues" dxfId="14218" priority="6481"/>
    <cfRule type="duplicateValues" dxfId="14217" priority="6480"/>
    <cfRule type="duplicateValues" dxfId="14216" priority="6479"/>
    <cfRule type="duplicateValues" dxfId="14215" priority="6478"/>
    <cfRule type="duplicateValues" dxfId="14214" priority="6477"/>
    <cfRule type="duplicateValues" dxfId="14213" priority="6476"/>
    <cfRule type="duplicateValues" dxfId="14212" priority="6475"/>
    <cfRule type="duplicateValues" dxfId="14211" priority="6474"/>
    <cfRule type="duplicateValues" dxfId="14210" priority="6473"/>
    <cfRule type="duplicateValues" dxfId="14209" priority="6472"/>
    <cfRule type="duplicateValues" dxfId="14208" priority="6471"/>
    <cfRule type="duplicateValues" dxfId="14207" priority="5750"/>
    <cfRule type="duplicateValues" dxfId="14206" priority="5751"/>
    <cfRule type="duplicateValues" dxfId="14205" priority="6470"/>
    <cfRule type="duplicateValues" dxfId="14204" priority="6469"/>
    <cfRule type="duplicateValues" dxfId="14203" priority="6468"/>
    <cfRule type="duplicateValues" dxfId="14202" priority="6467"/>
    <cfRule type="duplicateValues" dxfId="14201" priority="6466"/>
    <cfRule type="duplicateValues" dxfId="14200" priority="6465"/>
    <cfRule type="duplicateValues" dxfId="14199" priority="6464"/>
    <cfRule type="duplicateValues" dxfId="14198" priority="6463"/>
    <cfRule type="duplicateValues" dxfId="14197" priority="6462"/>
    <cfRule type="duplicateValues" dxfId="14196" priority="6461"/>
    <cfRule type="duplicateValues" dxfId="14195" priority="6460"/>
    <cfRule type="duplicateValues" dxfId="14194" priority="6459"/>
    <cfRule type="duplicateValues" dxfId="14193" priority="6458"/>
    <cfRule type="duplicateValues" dxfId="14192" priority="6457"/>
    <cfRule type="duplicateValues" dxfId="14191" priority="6456"/>
    <cfRule type="duplicateValues" dxfId="14190" priority="6455"/>
    <cfRule type="duplicateValues" dxfId="14189" priority="6454"/>
    <cfRule type="duplicateValues" dxfId="14188" priority="5752"/>
    <cfRule type="duplicateValues" dxfId="14187" priority="5753"/>
    <cfRule type="duplicateValues" dxfId="14186" priority="5754"/>
    <cfRule type="duplicateValues" dxfId="14185" priority="5755"/>
    <cfRule type="duplicateValues" dxfId="14184" priority="5756"/>
    <cfRule type="duplicateValues" dxfId="14183" priority="5757"/>
    <cfRule type="duplicateValues" dxfId="14182" priority="5758"/>
    <cfRule type="duplicateValues" dxfId="14181" priority="5759"/>
    <cfRule type="duplicateValues" dxfId="14180" priority="5760"/>
    <cfRule type="duplicateValues" dxfId="14179" priority="5761"/>
    <cfRule type="duplicateValues" dxfId="14178" priority="5762"/>
    <cfRule type="duplicateValues" dxfId="14177" priority="5763"/>
    <cfRule type="duplicateValues" dxfId="14176" priority="5764"/>
    <cfRule type="duplicateValues" dxfId="14175" priority="5765"/>
    <cfRule type="duplicateValues" dxfId="14174" priority="5766"/>
    <cfRule type="duplicateValues" dxfId="14173" priority="5767"/>
    <cfRule type="duplicateValues" dxfId="14172" priority="5768"/>
    <cfRule type="duplicateValues" dxfId="14171" priority="5769"/>
    <cfRule type="duplicateValues" dxfId="14170" priority="5770"/>
    <cfRule type="duplicateValues" dxfId="14169" priority="5771"/>
    <cfRule type="duplicateValues" dxfId="14168" priority="5772"/>
    <cfRule type="duplicateValues" dxfId="14167" priority="5773"/>
    <cfRule type="duplicateValues" dxfId="14166" priority="5774"/>
    <cfRule type="duplicateValues" dxfId="14165" priority="5775"/>
    <cfRule type="duplicateValues" dxfId="14164" priority="5776"/>
    <cfRule type="duplicateValues" dxfId="14163" priority="5777"/>
    <cfRule type="duplicateValues" dxfId="14162" priority="5778"/>
    <cfRule type="duplicateValues" dxfId="14161" priority="5779"/>
    <cfRule type="duplicateValues" dxfId="14160" priority="5780"/>
    <cfRule type="duplicateValues" dxfId="14159" priority="5781"/>
    <cfRule type="duplicateValues" dxfId="14158" priority="5782"/>
    <cfRule type="duplicateValues" dxfId="14157" priority="5783"/>
    <cfRule type="duplicateValues" dxfId="14156" priority="5784"/>
    <cfRule type="duplicateValues" dxfId="14155" priority="5785"/>
    <cfRule type="duplicateValues" dxfId="14154" priority="5786"/>
    <cfRule type="duplicateValues" dxfId="14153" priority="5787"/>
    <cfRule type="duplicateValues" dxfId="14152" priority="5788"/>
    <cfRule type="duplicateValues" dxfId="14151" priority="5789"/>
    <cfRule type="duplicateValues" dxfId="14150" priority="5790"/>
    <cfRule type="duplicateValues" dxfId="14149" priority="5791"/>
    <cfRule type="duplicateValues" dxfId="14148" priority="5792"/>
    <cfRule type="duplicateValues" dxfId="14147" priority="5793"/>
    <cfRule type="duplicateValues" dxfId="14146" priority="5794"/>
    <cfRule type="duplicateValues" dxfId="14145" priority="5795"/>
    <cfRule type="duplicateValues" dxfId="14144" priority="5796"/>
    <cfRule type="duplicateValues" dxfId="14143" priority="5797"/>
    <cfRule type="duplicateValues" dxfId="14142" priority="5798"/>
    <cfRule type="duplicateValues" dxfId="14141" priority="5799"/>
    <cfRule type="duplicateValues" dxfId="14140" priority="5800"/>
    <cfRule type="duplicateValues" dxfId="14139" priority="5801"/>
    <cfRule type="duplicateValues" dxfId="14138" priority="6453"/>
    <cfRule type="duplicateValues" dxfId="14137" priority="6452"/>
    <cfRule type="duplicateValues" dxfId="14136" priority="6451"/>
    <cfRule type="duplicateValues" dxfId="14135" priority="6450"/>
    <cfRule type="duplicateValues" dxfId="14134" priority="6449"/>
    <cfRule type="duplicateValues" dxfId="14133" priority="6448"/>
    <cfRule type="duplicateValues" dxfId="14132" priority="6447"/>
    <cfRule type="duplicateValues" dxfId="14131" priority="6446"/>
    <cfRule type="duplicateValues" dxfId="14130" priority="6445"/>
    <cfRule type="duplicateValues" dxfId="14129" priority="6444"/>
    <cfRule type="duplicateValues" dxfId="14128" priority="6443"/>
    <cfRule type="duplicateValues" dxfId="14127" priority="6442"/>
    <cfRule type="duplicateValues" dxfId="14126" priority="6441"/>
    <cfRule type="duplicateValues" dxfId="14125" priority="6440"/>
    <cfRule type="duplicateValues" dxfId="14124" priority="6439"/>
    <cfRule type="duplicateValues" dxfId="14123" priority="6438"/>
    <cfRule type="duplicateValues" dxfId="14122" priority="6437"/>
    <cfRule type="duplicateValues" dxfId="14121" priority="6436"/>
    <cfRule type="duplicateValues" dxfId="14120" priority="6435"/>
    <cfRule type="duplicateValues" dxfId="14119" priority="6434"/>
    <cfRule type="duplicateValues" dxfId="14118" priority="6433"/>
    <cfRule type="duplicateValues" dxfId="14117" priority="6432"/>
    <cfRule type="duplicateValues" dxfId="14116" priority="6431"/>
    <cfRule type="duplicateValues" dxfId="14115" priority="6430"/>
    <cfRule type="duplicateValues" dxfId="14114" priority="6429"/>
    <cfRule type="duplicateValues" dxfId="14113" priority="6428"/>
    <cfRule type="duplicateValues" dxfId="14112" priority="6427"/>
    <cfRule type="duplicateValues" dxfId="14111" priority="6426"/>
    <cfRule type="duplicateValues" dxfId="14110" priority="6425"/>
    <cfRule type="duplicateValues" dxfId="14109" priority="6424"/>
    <cfRule type="duplicateValues" dxfId="14108" priority="6423"/>
    <cfRule type="duplicateValues" dxfId="14107" priority="6422"/>
    <cfRule type="duplicateValues" dxfId="14106" priority="6421"/>
    <cfRule type="duplicateValues" dxfId="14105" priority="6420"/>
    <cfRule type="duplicateValues" dxfId="14104" priority="6419"/>
    <cfRule type="duplicateValues" dxfId="14103" priority="6418"/>
    <cfRule type="duplicateValues" dxfId="14102" priority="6417"/>
    <cfRule type="duplicateValues" dxfId="14101" priority="6416"/>
    <cfRule type="duplicateValues" dxfId="14100" priority="6415"/>
    <cfRule type="duplicateValues" dxfId="14099" priority="6414"/>
    <cfRule type="duplicateValues" dxfId="14098" priority="6413"/>
    <cfRule type="duplicateValues" dxfId="14097" priority="6412"/>
    <cfRule type="duplicateValues" dxfId="14096" priority="6411"/>
    <cfRule type="duplicateValues" dxfId="14095" priority="6410"/>
    <cfRule type="duplicateValues" dxfId="14094" priority="6409"/>
    <cfRule type="duplicateValues" dxfId="14093" priority="6408"/>
    <cfRule type="duplicateValues" dxfId="14092" priority="6407"/>
    <cfRule type="duplicateValues" dxfId="14091" priority="6406"/>
    <cfRule type="duplicateValues" dxfId="14090" priority="6405"/>
    <cfRule type="duplicateValues" dxfId="14089" priority="6404"/>
    <cfRule type="duplicateValues" dxfId="14088" priority="6403"/>
    <cfRule type="duplicateValues" dxfId="14087" priority="6402"/>
    <cfRule type="duplicateValues" dxfId="14086" priority="6401"/>
    <cfRule type="duplicateValues" dxfId="14085" priority="6400"/>
    <cfRule type="duplicateValues" dxfId="14084" priority="6399"/>
    <cfRule type="duplicateValues" dxfId="14083" priority="6398"/>
    <cfRule type="duplicateValues" dxfId="14082" priority="6397"/>
    <cfRule type="duplicateValues" dxfId="14081" priority="6396"/>
    <cfRule type="duplicateValues" dxfId="14080" priority="6395"/>
    <cfRule type="duplicateValues" dxfId="14079" priority="6394"/>
    <cfRule type="duplicateValues" dxfId="14078" priority="6393"/>
    <cfRule type="duplicateValues" dxfId="14077" priority="5802"/>
    <cfRule type="duplicateValues" dxfId="14076" priority="5803"/>
    <cfRule type="duplicateValues" dxfId="14075" priority="5804"/>
    <cfRule type="duplicateValues" dxfId="14074" priority="5805"/>
    <cfRule type="duplicateValues" dxfId="14073" priority="5806"/>
    <cfRule type="duplicateValues" dxfId="14072" priority="5807"/>
    <cfRule type="duplicateValues" dxfId="14071" priority="5808"/>
    <cfRule type="duplicateValues" dxfId="14070" priority="5809"/>
    <cfRule type="duplicateValues" dxfId="14069" priority="5810"/>
    <cfRule type="duplicateValues" dxfId="14068" priority="5811"/>
    <cfRule type="duplicateValues" dxfId="14067" priority="5812"/>
    <cfRule type="duplicateValues" dxfId="14066" priority="5813"/>
    <cfRule type="duplicateValues" dxfId="14065" priority="5814"/>
    <cfRule type="duplicateValues" dxfId="14064" priority="5815"/>
    <cfRule type="duplicateValues" dxfId="14063" priority="5816"/>
    <cfRule type="duplicateValues" dxfId="14062" priority="5817"/>
    <cfRule type="duplicateValues" dxfId="14061" priority="5818"/>
    <cfRule type="duplicateValues" dxfId="14060" priority="5819"/>
    <cfRule type="duplicateValues" dxfId="14059" priority="5820"/>
    <cfRule type="duplicateValues" dxfId="14058" priority="5821"/>
    <cfRule type="duplicateValues" dxfId="14057" priority="5822"/>
    <cfRule type="duplicateValues" dxfId="14056" priority="5823"/>
    <cfRule type="duplicateValues" dxfId="14055" priority="5824"/>
    <cfRule type="duplicateValues" dxfId="14054" priority="5825"/>
    <cfRule type="duplicateValues" dxfId="14053" priority="5826"/>
    <cfRule type="duplicateValues" dxfId="14052" priority="5827"/>
    <cfRule type="duplicateValues" dxfId="14051" priority="5828"/>
    <cfRule type="duplicateValues" dxfId="14050" priority="5829"/>
    <cfRule type="duplicateValues" dxfId="14049" priority="5830"/>
    <cfRule type="duplicateValues" dxfId="14048" priority="5831"/>
    <cfRule type="duplicateValues" dxfId="14047" priority="5832"/>
    <cfRule type="duplicateValues" dxfId="14046" priority="5833"/>
    <cfRule type="duplicateValues" dxfId="14045" priority="5834"/>
    <cfRule type="duplicateValues" dxfId="14044" priority="6392"/>
    <cfRule type="duplicateValues" dxfId="14043" priority="6148"/>
  </conditionalFormatting>
  <conditionalFormatting sqref="P92 P101:P107 P94">
    <cfRule type="duplicateValues" dxfId="14042" priority="126212"/>
    <cfRule type="duplicateValues" dxfId="14041" priority="126213"/>
    <cfRule type="duplicateValues" dxfId="14040" priority="126214"/>
    <cfRule type="duplicateValues" dxfId="14039" priority="126215"/>
    <cfRule type="duplicateValues" dxfId="14038" priority="126216"/>
    <cfRule type="duplicateValues" dxfId="14037" priority="126217"/>
    <cfRule type="duplicateValues" dxfId="14036" priority="126219"/>
    <cfRule type="duplicateValues" dxfId="14035" priority="126220"/>
    <cfRule type="duplicateValues" dxfId="14034" priority="126221"/>
    <cfRule type="duplicateValues" dxfId="14033" priority="126222"/>
    <cfRule type="duplicateValues" dxfId="14032" priority="126223"/>
    <cfRule type="duplicateValues" dxfId="14031" priority="126224"/>
    <cfRule type="duplicateValues" dxfId="14030" priority="126225"/>
    <cfRule type="duplicateValues" dxfId="14029" priority="126226"/>
    <cfRule type="duplicateValues" dxfId="14028" priority="126227"/>
    <cfRule type="duplicateValues" dxfId="14027" priority="126228"/>
    <cfRule type="duplicateValues" dxfId="14026" priority="126232"/>
    <cfRule type="duplicateValues" dxfId="14025" priority="126233"/>
    <cfRule type="duplicateValues" dxfId="14024" priority="126234"/>
    <cfRule type="duplicateValues" dxfId="14023" priority="126235"/>
    <cfRule type="duplicateValues" dxfId="14022" priority="126236"/>
    <cfRule type="duplicateValues" dxfId="14021" priority="126237"/>
    <cfRule type="duplicateValues" dxfId="14020" priority="126238"/>
    <cfRule type="duplicateValues" dxfId="14019" priority="126241"/>
    <cfRule type="duplicateValues" dxfId="14018" priority="126242"/>
    <cfRule type="duplicateValues" dxfId="14017" priority="126243"/>
    <cfRule type="duplicateValues" dxfId="14016" priority="126244"/>
    <cfRule type="duplicateValues" dxfId="14015" priority="126245"/>
    <cfRule type="duplicateValues" dxfId="14014" priority="126247"/>
    <cfRule type="duplicateValues" dxfId="14013" priority="126248"/>
    <cfRule type="duplicateValues" dxfId="14012" priority="126249"/>
    <cfRule type="duplicateValues" dxfId="14011" priority="126250"/>
    <cfRule type="duplicateValues" dxfId="14010" priority="126252"/>
    <cfRule type="duplicateValues" dxfId="14009" priority="126253"/>
    <cfRule type="duplicateValues" dxfId="14008" priority="126254"/>
    <cfRule type="duplicateValues" dxfId="14007" priority="126256"/>
    <cfRule type="duplicateValues" dxfId="14006" priority="126257"/>
    <cfRule type="duplicateValues" dxfId="14005" priority="126259"/>
    <cfRule type="duplicateValues" dxfId="14004" priority="132706"/>
    <cfRule type="duplicateValues" dxfId="14003" priority="132707"/>
    <cfRule type="duplicateValues" dxfId="14002" priority="132708"/>
    <cfRule type="duplicateValues" dxfId="14001" priority="132709"/>
    <cfRule type="duplicateValues" dxfId="14000" priority="132710"/>
    <cfRule type="duplicateValues" dxfId="13999" priority="132711"/>
    <cfRule type="duplicateValues" dxfId="13998" priority="132712"/>
    <cfRule type="duplicateValues" dxfId="13997" priority="132715"/>
    <cfRule type="duplicateValues" dxfId="13996" priority="132716"/>
    <cfRule type="duplicateValues" dxfId="13995" priority="132717"/>
    <cfRule type="duplicateValues" dxfId="13994" priority="132718"/>
    <cfRule type="duplicateValues" dxfId="13993" priority="132719"/>
    <cfRule type="duplicateValues" dxfId="13992" priority="132721"/>
    <cfRule type="duplicateValues" dxfId="13991" priority="132722"/>
    <cfRule type="duplicateValues" dxfId="13990" priority="132723"/>
    <cfRule type="duplicateValues" dxfId="13989" priority="132724"/>
    <cfRule type="duplicateValues" dxfId="13988" priority="132726"/>
    <cfRule type="duplicateValues" dxfId="13987" priority="132727"/>
    <cfRule type="duplicateValues" dxfId="13986" priority="132728"/>
    <cfRule type="duplicateValues" dxfId="13985" priority="132730"/>
    <cfRule type="duplicateValues" dxfId="13984" priority="132731"/>
    <cfRule type="duplicateValues" dxfId="13983" priority="132733"/>
    <cfRule type="duplicateValues" dxfId="13982" priority="140897"/>
    <cfRule type="duplicateValues" dxfId="13981" priority="140898"/>
    <cfRule type="duplicateValues" dxfId="13980" priority="140899"/>
    <cfRule type="duplicateValues" dxfId="13979" priority="140901"/>
    <cfRule type="duplicateValues" dxfId="13978" priority="140902"/>
    <cfRule type="duplicateValues" dxfId="13977" priority="140904"/>
    <cfRule type="duplicateValues" dxfId="13976" priority="141043"/>
    <cfRule type="duplicateValues" dxfId="13975" priority="141044"/>
    <cfRule type="duplicateValues" dxfId="13974" priority="141046"/>
    <cfRule type="duplicateValues" dxfId="13973" priority="148748"/>
    <cfRule type="duplicateValues" dxfId="13972" priority="150100"/>
    <cfRule type="duplicateValues" dxfId="13971" priority="150101"/>
    <cfRule type="duplicateValues" dxfId="13970" priority="150103"/>
    <cfRule type="duplicateValues" dxfId="13969" priority="150189"/>
    <cfRule type="duplicateValues" dxfId="13968" priority="154541"/>
    <cfRule type="duplicateValues" dxfId="13967" priority="154752"/>
    <cfRule type="duplicateValues" dxfId="13966" priority="154761"/>
    <cfRule type="duplicateValues" dxfId="13965" priority="154762"/>
    <cfRule type="duplicateValues" dxfId="13964" priority="119299"/>
    <cfRule type="duplicateValues" dxfId="13963" priority="119300"/>
    <cfRule type="duplicateValues" dxfId="13962" priority="119301"/>
    <cfRule type="duplicateValues" dxfId="13961" priority="119306"/>
    <cfRule type="duplicateValues" dxfId="13960" priority="119307"/>
    <cfRule type="duplicateValues" dxfId="13959" priority="119308"/>
    <cfRule type="duplicateValues" dxfId="13958" priority="119309"/>
    <cfRule type="duplicateValues" dxfId="13957" priority="119310"/>
    <cfRule type="duplicateValues" dxfId="13956" priority="119311"/>
    <cfRule type="duplicateValues" dxfId="13955" priority="119312"/>
    <cfRule type="duplicateValues" dxfId="13954" priority="119313"/>
    <cfRule type="duplicateValues" dxfId="13953" priority="119314"/>
    <cfRule type="duplicateValues" dxfId="13952" priority="119315"/>
    <cfRule type="duplicateValues" dxfId="13951" priority="119316"/>
    <cfRule type="duplicateValues" dxfId="13950" priority="119317"/>
    <cfRule type="duplicateValues" dxfId="13949" priority="119318"/>
    <cfRule type="duplicateValues" dxfId="13948" priority="119319"/>
    <cfRule type="duplicateValues" dxfId="13947" priority="119320"/>
    <cfRule type="duplicateValues" dxfId="13946" priority="119321"/>
    <cfRule type="duplicateValues" dxfId="13945" priority="119322"/>
    <cfRule type="duplicateValues" dxfId="13944" priority="119323"/>
    <cfRule type="duplicateValues" dxfId="13943" priority="119324"/>
    <cfRule type="duplicateValues" dxfId="13942" priority="119325"/>
    <cfRule type="duplicateValues" dxfId="13941" priority="119326"/>
    <cfRule type="duplicateValues" dxfId="13940" priority="119327"/>
    <cfRule type="duplicateValues" dxfId="13939" priority="119328"/>
    <cfRule type="duplicateValues" dxfId="13938" priority="119329"/>
    <cfRule type="duplicateValues" dxfId="13937" priority="119330"/>
    <cfRule type="duplicateValues" dxfId="13936" priority="119331"/>
    <cfRule type="duplicateValues" dxfId="13935" priority="119332"/>
    <cfRule type="duplicateValues" dxfId="13934" priority="119333"/>
    <cfRule type="duplicateValues" dxfId="13933" priority="119334"/>
    <cfRule type="duplicateValues" dxfId="13932" priority="119335"/>
    <cfRule type="duplicateValues" dxfId="13931" priority="119336"/>
    <cfRule type="duplicateValues" dxfId="13930" priority="119337"/>
    <cfRule type="duplicateValues" dxfId="13929" priority="119338"/>
    <cfRule type="duplicateValues" dxfId="13928" priority="119339"/>
    <cfRule type="duplicateValues" dxfId="13927" priority="119340"/>
    <cfRule type="duplicateValues" dxfId="13926" priority="119341"/>
    <cfRule type="duplicateValues" dxfId="13925" priority="119342"/>
    <cfRule type="duplicateValues" dxfId="13924" priority="119343"/>
    <cfRule type="duplicateValues" dxfId="13923" priority="119344"/>
    <cfRule type="duplicateValues" dxfId="13922" priority="119345"/>
    <cfRule type="duplicateValues" dxfId="13921" priority="119346"/>
    <cfRule type="duplicateValues" dxfId="13920" priority="119347"/>
    <cfRule type="duplicateValues" dxfId="13919" priority="119348"/>
    <cfRule type="duplicateValues" dxfId="13918" priority="120155"/>
    <cfRule type="duplicateValues" dxfId="13917" priority="120156"/>
    <cfRule type="duplicateValues" dxfId="13916" priority="120157"/>
    <cfRule type="duplicateValues" dxfId="13915" priority="120158"/>
    <cfRule type="duplicateValues" dxfId="13914" priority="120159"/>
    <cfRule type="duplicateValues" dxfId="13913" priority="120160"/>
    <cfRule type="duplicateValues" dxfId="13912" priority="120161"/>
    <cfRule type="duplicateValues" dxfId="13911" priority="120162"/>
    <cfRule type="duplicateValues" dxfId="13910" priority="120163"/>
    <cfRule type="duplicateValues" dxfId="13909" priority="120164"/>
    <cfRule type="duplicateValues" dxfId="13908" priority="120165"/>
    <cfRule type="duplicateValues" dxfId="13907" priority="120166"/>
    <cfRule type="duplicateValues" dxfId="13906" priority="120167"/>
    <cfRule type="duplicateValues" dxfId="13905" priority="120168"/>
    <cfRule type="duplicateValues" dxfId="13904" priority="120169"/>
    <cfRule type="duplicateValues" dxfId="13903" priority="120170"/>
    <cfRule type="duplicateValues" dxfId="13902" priority="120171"/>
    <cfRule type="duplicateValues" dxfId="13901" priority="120172"/>
    <cfRule type="duplicateValues" dxfId="13900" priority="120173"/>
    <cfRule type="duplicateValues" dxfId="13899" priority="120174"/>
    <cfRule type="duplicateValues" dxfId="13898" priority="120175"/>
    <cfRule type="duplicateValues" dxfId="13897" priority="120176"/>
    <cfRule type="duplicateValues" dxfId="13896" priority="120177"/>
    <cfRule type="duplicateValues" dxfId="13895" priority="120178"/>
    <cfRule type="duplicateValues" dxfId="13894" priority="120179"/>
    <cfRule type="duplicateValues" dxfId="13893" priority="120180"/>
    <cfRule type="duplicateValues" dxfId="13892" priority="120181"/>
    <cfRule type="duplicateValues" dxfId="13891" priority="120182"/>
    <cfRule type="duplicateValues" dxfId="13890" priority="120183"/>
    <cfRule type="duplicateValues" dxfId="13889" priority="120184"/>
    <cfRule type="duplicateValues" dxfId="13888" priority="120185"/>
    <cfRule type="duplicateValues" dxfId="13887" priority="120186"/>
    <cfRule type="duplicateValues" dxfId="13886" priority="120187"/>
    <cfRule type="duplicateValues" dxfId="13885" priority="120188"/>
    <cfRule type="duplicateValues" dxfId="13884" priority="120189"/>
    <cfRule type="duplicateValues" dxfId="13883" priority="120190"/>
    <cfRule type="duplicateValues" dxfId="13882" priority="120191"/>
    <cfRule type="duplicateValues" dxfId="13881" priority="120192"/>
    <cfRule type="duplicateValues" dxfId="13880" priority="120193"/>
    <cfRule type="duplicateValues" dxfId="13879" priority="120194"/>
    <cfRule type="duplicateValues" dxfId="13878" priority="120195"/>
    <cfRule type="duplicateValues" dxfId="13877" priority="120196"/>
    <cfRule type="duplicateValues" dxfId="13876" priority="120197"/>
    <cfRule type="duplicateValues" dxfId="13875" priority="122235"/>
    <cfRule type="duplicateValues" dxfId="13874" priority="122236"/>
    <cfRule type="duplicateValues" dxfId="13873" priority="122807"/>
    <cfRule type="duplicateValues" dxfId="13872" priority="122808"/>
    <cfRule type="duplicateValues" dxfId="13871" priority="122809"/>
    <cfRule type="duplicateValues" dxfId="13870" priority="122810"/>
    <cfRule type="duplicateValues" dxfId="13869" priority="122811"/>
    <cfRule type="duplicateValues" dxfId="13868" priority="122812"/>
    <cfRule type="duplicateValues" dxfId="13867" priority="122813"/>
    <cfRule type="duplicateValues" dxfId="13866" priority="122814"/>
    <cfRule type="duplicateValues" dxfId="13865" priority="122815"/>
    <cfRule type="duplicateValues" dxfId="13864" priority="122816"/>
    <cfRule type="duplicateValues" dxfId="13863" priority="122817"/>
    <cfRule type="duplicateValues" dxfId="13862" priority="122818"/>
    <cfRule type="duplicateValues" dxfId="13861" priority="122819"/>
    <cfRule type="duplicateValues" dxfId="13860" priority="122820"/>
    <cfRule type="duplicateValues" dxfId="13859" priority="122821"/>
    <cfRule type="duplicateValues" dxfId="13858" priority="122822"/>
    <cfRule type="duplicateValues" dxfId="13857" priority="122823"/>
    <cfRule type="duplicateValues" dxfId="13856" priority="122824"/>
    <cfRule type="duplicateValues" dxfId="13855" priority="122825"/>
    <cfRule type="duplicateValues" dxfId="13854" priority="122826"/>
    <cfRule type="duplicateValues" dxfId="13853" priority="122827"/>
    <cfRule type="duplicateValues" dxfId="13852" priority="122828"/>
    <cfRule type="duplicateValues" dxfId="13851" priority="122829"/>
    <cfRule type="duplicateValues" dxfId="13850" priority="122830"/>
    <cfRule type="duplicateValues" dxfId="13849" priority="122831"/>
    <cfRule type="duplicateValues" dxfId="13848" priority="122832"/>
    <cfRule type="duplicateValues" dxfId="13847" priority="122833"/>
    <cfRule type="duplicateValues" dxfId="13846" priority="122834"/>
    <cfRule type="duplicateValues" dxfId="13845" priority="122835"/>
    <cfRule type="duplicateValues" dxfId="13844" priority="122836"/>
    <cfRule type="duplicateValues" dxfId="13843" priority="122837"/>
    <cfRule type="duplicateValues" dxfId="13842" priority="122838"/>
    <cfRule type="duplicateValues" dxfId="13841" priority="122839"/>
    <cfRule type="duplicateValues" dxfId="13840" priority="122840"/>
    <cfRule type="duplicateValues" dxfId="13839" priority="122841"/>
    <cfRule type="duplicateValues" dxfId="13838" priority="122842"/>
    <cfRule type="duplicateValues" dxfId="13837" priority="122843"/>
    <cfRule type="duplicateValues" dxfId="13836" priority="122844"/>
    <cfRule type="duplicateValues" dxfId="13835" priority="122848"/>
    <cfRule type="duplicateValues" dxfId="13834" priority="122849"/>
    <cfRule type="duplicateValues" dxfId="13833" priority="122850"/>
    <cfRule type="duplicateValues" dxfId="13832" priority="122851"/>
    <cfRule type="duplicateValues" dxfId="13831" priority="122852"/>
    <cfRule type="duplicateValues" dxfId="13830" priority="122853"/>
    <cfRule type="duplicateValues" dxfId="13829" priority="122854"/>
    <cfRule type="duplicateValues" dxfId="13828" priority="122855"/>
    <cfRule type="duplicateValues" dxfId="13827" priority="122856"/>
    <cfRule type="duplicateValues" dxfId="13826" priority="122857"/>
    <cfRule type="duplicateValues" dxfId="13825" priority="122858"/>
    <cfRule type="duplicateValues" dxfId="13824" priority="122859"/>
    <cfRule type="duplicateValues" dxfId="13823" priority="122860"/>
    <cfRule type="duplicateValues" dxfId="13822" priority="122861"/>
    <cfRule type="duplicateValues" dxfId="13821" priority="122862"/>
    <cfRule type="duplicateValues" dxfId="13820" priority="122863"/>
    <cfRule type="duplicateValues" dxfId="13819" priority="122864"/>
    <cfRule type="duplicateValues" dxfId="13818" priority="122865"/>
    <cfRule type="duplicateValues" dxfId="13817" priority="122866"/>
    <cfRule type="duplicateValues" dxfId="13816" priority="122867"/>
    <cfRule type="duplicateValues" dxfId="13815" priority="122868"/>
    <cfRule type="duplicateValues" dxfId="13814" priority="122869"/>
    <cfRule type="duplicateValues" dxfId="13813" priority="122870"/>
    <cfRule type="duplicateValues" dxfId="13812" priority="122871"/>
    <cfRule type="duplicateValues" dxfId="13811" priority="122872"/>
    <cfRule type="duplicateValues" dxfId="13810" priority="122873"/>
    <cfRule type="duplicateValues" dxfId="13809" priority="122874"/>
    <cfRule type="duplicateValues" dxfId="13808" priority="122875"/>
    <cfRule type="duplicateValues" dxfId="13807" priority="122876"/>
    <cfRule type="duplicateValues" dxfId="13806" priority="122877"/>
    <cfRule type="duplicateValues" dxfId="13805" priority="122878"/>
    <cfRule type="duplicateValues" dxfId="13804" priority="122879"/>
    <cfRule type="duplicateValues" dxfId="13803" priority="122880"/>
    <cfRule type="duplicateValues" dxfId="13802" priority="122881"/>
    <cfRule type="duplicateValues" dxfId="13801" priority="122882"/>
    <cfRule type="duplicateValues" dxfId="13800" priority="122885"/>
    <cfRule type="duplicateValues" dxfId="13799" priority="122886"/>
    <cfRule type="duplicateValues" dxfId="13798" priority="122887"/>
    <cfRule type="duplicateValues" dxfId="13797" priority="122888"/>
    <cfRule type="duplicateValues" dxfId="13796" priority="122889"/>
    <cfRule type="duplicateValues" dxfId="13795" priority="122890"/>
    <cfRule type="duplicateValues" dxfId="13794" priority="122891"/>
    <cfRule type="duplicateValues" dxfId="13793" priority="122892"/>
    <cfRule type="duplicateValues" dxfId="13792" priority="122893"/>
    <cfRule type="duplicateValues" dxfId="13791" priority="122894"/>
    <cfRule type="duplicateValues" dxfId="13790" priority="122895"/>
    <cfRule type="duplicateValues" dxfId="13789" priority="122896"/>
    <cfRule type="duplicateValues" dxfId="13788" priority="122897"/>
    <cfRule type="duplicateValues" dxfId="13787" priority="122898"/>
    <cfRule type="duplicateValues" dxfId="13786" priority="122899"/>
    <cfRule type="duplicateValues" dxfId="13785" priority="122900"/>
    <cfRule type="duplicateValues" dxfId="13784" priority="122901"/>
    <cfRule type="duplicateValues" dxfId="13783" priority="122902"/>
    <cfRule type="duplicateValues" dxfId="13782" priority="122903"/>
    <cfRule type="duplicateValues" dxfId="13781" priority="122904"/>
    <cfRule type="duplicateValues" dxfId="13780" priority="122905"/>
    <cfRule type="duplicateValues" dxfId="13779" priority="122906"/>
    <cfRule type="duplicateValues" dxfId="13778" priority="122907"/>
    <cfRule type="duplicateValues" dxfId="13777" priority="122908"/>
    <cfRule type="duplicateValues" dxfId="13776" priority="122909"/>
    <cfRule type="duplicateValues" dxfId="13775" priority="122910"/>
    <cfRule type="duplicateValues" dxfId="13774" priority="122911"/>
    <cfRule type="duplicateValues" dxfId="13773" priority="122912"/>
    <cfRule type="duplicateValues" dxfId="13772" priority="122913"/>
    <cfRule type="duplicateValues" dxfId="13771" priority="122914"/>
    <cfRule type="duplicateValues" dxfId="13770" priority="122915"/>
    <cfRule type="duplicateValues" dxfId="13769" priority="122916"/>
    <cfRule type="duplicateValues" dxfId="13768" priority="122917"/>
    <cfRule type="duplicateValues" dxfId="13767" priority="122919"/>
    <cfRule type="duplicateValues" dxfId="13766" priority="122920"/>
    <cfRule type="duplicateValues" dxfId="13765" priority="122921"/>
    <cfRule type="duplicateValues" dxfId="13764" priority="122922"/>
    <cfRule type="duplicateValues" dxfId="13763" priority="122923"/>
    <cfRule type="duplicateValues" dxfId="13762" priority="122924"/>
    <cfRule type="duplicateValues" dxfId="13761" priority="122925"/>
    <cfRule type="duplicateValues" dxfId="13760" priority="122926"/>
    <cfRule type="duplicateValues" dxfId="13759" priority="122927"/>
    <cfRule type="duplicateValues" dxfId="13758" priority="122928"/>
    <cfRule type="duplicateValues" dxfId="13757" priority="122929"/>
    <cfRule type="duplicateValues" dxfId="13756" priority="122930"/>
    <cfRule type="duplicateValues" dxfId="13755" priority="122931"/>
    <cfRule type="duplicateValues" dxfId="13754" priority="122932"/>
    <cfRule type="duplicateValues" dxfId="13753" priority="122933"/>
    <cfRule type="duplicateValues" dxfId="13752" priority="122934"/>
    <cfRule type="duplicateValues" dxfId="13751" priority="122935"/>
    <cfRule type="duplicateValues" dxfId="13750" priority="122936"/>
    <cfRule type="duplicateValues" dxfId="13749" priority="122937"/>
    <cfRule type="duplicateValues" dxfId="13748" priority="122938"/>
    <cfRule type="duplicateValues" dxfId="13747" priority="122939"/>
    <cfRule type="duplicateValues" dxfId="13746" priority="122940"/>
    <cfRule type="duplicateValues" dxfId="13745" priority="122941"/>
    <cfRule type="duplicateValues" dxfId="13744" priority="122942"/>
    <cfRule type="duplicateValues" dxfId="13743" priority="122943"/>
    <cfRule type="duplicateValues" dxfId="13742" priority="122944"/>
    <cfRule type="duplicateValues" dxfId="13741" priority="122945"/>
    <cfRule type="duplicateValues" dxfId="13740" priority="122946"/>
    <cfRule type="duplicateValues" dxfId="13739" priority="122947"/>
    <cfRule type="duplicateValues" dxfId="13738" priority="122948"/>
    <cfRule type="duplicateValues" dxfId="13737" priority="122949"/>
    <cfRule type="duplicateValues" dxfId="13736" priority="122950"/>
    <cfRule type="duplicateValues" dxfId="13735" priority="122952"/>
    <cfRule type="duplicateValues" dxfId="13734" priority="122953"/>
    <cfRule type="duplicateValues" dxfId="13733" priority="122954"/>
    <cfRule type="duplicateValues" dxfId="13732" priority="122955"/>
    <cfRule type="duplicateValues" dxfId="13731" priority="122956"/>
    <cfRule type="duplicateValues" dxfId="13730" priority="122957"/>
    <cfRule type="duplicateValues" dxfId="13729" priority="122958"/>
    <cfRule type="duplicateValues" dxfId="13728" priority="122959"/>
    <cfRule type="duplicateValues" dxfId="13727" priority="122960"/>
    <cfRule type="duplicateValues" dxfId="13726" priority="122961"/>
    <cfRule type="duplicateValues" dxfId="13725" priority="122962"/>
    <cfRule type="duplicateValues" dxfId="13724" priority="122963"/>
    <cfRule type="duplicateValues" dxfId="13723" priority="122964"/>
    <cfRule type="duplicateValues" dxfId="13722" priority="122965"/>
    <cfRule type="duplicateValues" dxfId="13721" priority="122966"/>
    <cfRule type="duplicateValues" dxfId="13720" priority="122967"/>
    <cfRule type="duplicateValues" dxfId="13719" priority="122968"/>
    <cfRule type="duplicateValues" dxfId="13718" priority="122969"/>
    <cfRule type="duplicateValues" dxfId="13717" priority="122970"/>
    <cfRule type="duplicateValues" dxfId="13716" priority="122971"/>
    <cfRule type="duplicateValues" dxfId="13715" priority="122972"/>
    <cfRule type="duplicateValues" dxfId="13714" priority="122973"/>
    <cfRule type="duplicateValues" dxfId="13713" priority="122974"/>
    <cfRule type="duplicateValues" dxfId="13712" priority="122975"/>
    <cfRule type="duplicateValues" dxfId="13711" priority="122976"/>
    <cfRule type="duplicateValues" dxfId="13710" priority="122977"/>
    <cfRule type="duplicateValues" dxfId="13709" priority="122978"/>
    <cfRule type="duplicateValues" dxfId="13708" priority="122979"/>
    <cfRule type="duplicateValues" dxfId="13707" priority="122980"/>
    <cfRule type="duplicateValues" dxfId="13706" priority="122981"/>
    <cfRule type="duplicateValues" dxfId="13705" priority="122982"/>
    <cfRule type="duplicateValues" dxfId="13704" priority="122984"/>
    <cfRule type="duplicateValues" dxfId="13703" priority="122985"/>
    <cfRule type="duplicateValues" dxfId="13702" priority="122986"/>
    <cfRule type="duplicateValues" dxfId="13701" priority="122987"/>
    <cfRule type="duplicateValues" dxfId="13700" priority="122988"/>
    <cfRule type="duplicateValues" dxfId="13699" priority="122989"/>
    <cfRule type="duplicateValues" dxfId="13698" priority="122990"/>
    <cfRule type="duplicateValues" dxfId="13697" priority="122991"/>
    <cfRule type="duplicateValues" dxfId="13696" priority="122992"/>
    <cfRule type="duplicateValues" dxfId="13695" priority="122993"/>
    <cfRule type="duplicateValues" dxfId="13694" priority="122994"/>
    <cfRule type="duplicateValues" dxfId="13693" priority="122995"/>
    <cfRule type="duplicateValues" dxfId="13692" priority="122996"/>
    <cfRule type="duplicateValues" dxfId="13691" priority="122997"/>
    <cfRule type="duplicateValues" dxfId="13690" priority="122998"/>
    <cfRule type="duplicateValues" dxfId="13689" priority="122999"/>
    <cfRule type="duplicateValues" dxfId="13688" priority="123000"/>
    <cfRule type="duplicateValues" dxfId="13687" priority="123001"/>
    <cfRule type="duplicateValues" dxfId="13686" priority="123002"/>
    <cfRule type="duplicateValues" dxfId="13685" priority="123003"/>
    <cfRule type="duplicateValues" dxfId="13684" priority="123004"/>
    <cfRule type="duplicateValues" dxfId="13683" priority="123005"/>
    <cfRule type="duplicateValues" dxfId="13682" priority="123006"/>
    <cfRule type="duplicateValues" dxfId="13681" priority="123007"/>
    <cfRule type="duplicateValues" dxfId="13680" priority="123008"/>
    <cfRule type="duplicateValues" dxfId="13679" priority="123009"/>
    <cfRule type="duplicateValues" dxfId="13678" priority="123010"/>
    <cfRule type="duplicateValues" dxfId="13677" priority="123011"/>
    <cfRule type="duplicateValues" dxfId="13676" priority="123012"/>
    <cfRule type="duplicateValues" dxfId="13675" priority="123013"/>
    <cfRule type="duplicateValues" dxfId="13674" priority="123016"/>
    <cfRule type="duplicateValues" dxfId="13673" priority="123017"/>
    <cfRule type="duplicateValues" dxfId="13672" priority="123018"/>
    <cfRule type="duplicateValues" dxfId="13671" priority="123019"/>
    <cfRule type="duplicateValues" dxfId="13670" priority="123020"/>
    <cfRule type="duplicateValues" dxfId="13669" priority="123021"/>
    <cfRule type="duplicateValues" dxfId="13668" priority="123022"/>
    <cfRule type="duplicateValues" dxfId="13667" priority="123023"/>
    <cfRule type="duplicateValues" dxfId="13666" priority="123024"/>
    <cfRule type="duplicateValues" dxfId="13665" priority="123025"/>
    <cfRule type="duplicateValues" dxfId="13664" priority="123026"/>
    <cfRule type="duplicateValues" dxfId="13663" priority="123027"/>
    <cfRule type="duplicateValues" dxfId="13662" priority="123028"/>
    <cfRule type="duplicateValues" dxfId="13661" priority="123029"/>
    <cfRule type="duplicateValues" dxfId="13660" priority="123030"/>
    <cfRule type="duplicateValues" dxfId="13659" priority="123031"/>
    <cfRule type="duplicateValues" dxfId="13658" priority="123032"/>
    <cfRule type="duplicateValues" dxfId="13657" priority="123033"/>
    <cfRule type="duplicateValues" dxfId="13656" priority="123034"/>
    <cfRule type="duplicateValues" dxfId="13655" priority="123035"/>
    <cfRule type="duplicateValues" dxfId="13654" priority="123036"/>
    <cfRule type="duplicateValues" dxfId="13653" priority="123037"/>
    <cfRule type="duplicateValues" dxfId="13652" priority="123038"/>
    <cfRule type="duplicateValues" dxfId="13651" priority="123039"/>
    <cfRule type="duplicateValues" dxfId="13650" priority="123040"/>
    <cfRule type="duplicateValues" dxfId="13649" priority="123041"/>
    <cfRule type="duplicateValues" dxfId="13648" priority="123042"/>
    <cfRule type="duplicateValues" dxfId="13647" priority="123043"/>
    <cfRule type="duplicateValues" dxfId="13646" priority="123045"/>
    <cfRule type="duplicateValues" dxfId="13645" priority="123046"/>
    <cfRule type="duplicateValues" dxfId="13644" priority="123047"/>
    <cfRule type="duplicateValues" dxfId="13643" priority="123048"/>
    <cfRule type="duplicateValues" dxfId="13642" priority="123049"/>
    <cfRule type="duplicateValues" dxfId="13641" priority="123050"/>
    <cfRule type="duplicateValues" dxfId="13640" priority="123051"/>
    <cfRule type="duplicateValues" dxfId="13639" priority="123052"/>
    <cfRule type="duplicateValues" dxfId="13638" priority="123053"/>
    <cfRule type="duplicateValues" dxfId="13637" priority="123054"/>
    <cfRule type="duplicateValues" dxfId="13636" priority="123055"/>
    <cfRule type="duplicateValues" dxfId="13635" priority="123056"/>
    <cfRule type="duplicateValues" dxfId="13634" priority="123057"/>
    <cfRule type="duplicateValues" dxfId="13633" priority="123058"/>
    <cfRule type="duplicateValues" dxfId="13632" priority="123059"/>
    <cfRule type="duplicateValues" dxfId="13631" priority="123060"/>
    <cfRule type="duplicateValues" dxfId="13630" priority="123061"/>
    <cfRule type="duplicateValues" dxfId="13629" priority="123062"/>
    <cfRule type="duplicateValues" dxfId="13628" priority="123063"/>
    <cfRule type="duplicateValues" dxfId="13627" priority="123064"/>
    <cfRule type="duplicateValues" dxfId="13626" priority="123065"/>
    <cfRule type="duplicateValues" dxfId="13625" priority="123066"/>
    <cfRule type="duplicateValues" dxfId="13624" priority="123067"/>
    <cfRule type="duplicateValues" dxfId="13623" priority="123068"/>
    <cfRule type="duplicateValues" dxfId="13622" priority="123069"/>
    <cfRule type="duplicateValues" dxfId="13621" priority="123070"/>
    <cfRule type="duplicateValues" dxfId="13620" priority="123071"/>
    <cfRule type="duplicateValues" dxfId="13619" priority="123074"/>
    <cfRule type="duplicateValues" dxfId="13618" priority="123075"/>
    <cfRule type="duplicateValues" dxfId="13617" priority="123076"/>
    <cfRule type="duplicateValues" dxfId="13616" priority="123077"/>
    <cfRule type="duplicateValues" dxfId="13615" priority="123078"/>
    <cfRule type="duplicateValues" dxfId="13614" priority="123079"/>
    <cfRule type="duplicateValues" dxfId="13613" priority="123080"/>
    <cfRule type="duplicateValues" dxfId="13612" priority="123081"/>
    <cfRule type="duplicateValues" dxfId="13611" priority="123082"/>
    <cfRule type="duplicateValues" dxfId="13610" priority="123083"/>
    <cfRule type="duplicateValues" dxfId="13609" priority="123084"/>
    <cfRule type="duplicateValues" dxfId="13608" priority="123085"/>
    <cfRule type="duplicateValues" dxfId="13607" priority="123086"/>
    <cfRule type="duplicateValues" dxfId="13606" priority="123087"/>
    <cfRule type="duplicateValues" dxfId="13605" priority="123088"/>
    <cfRule type="duplicateValues" dxfId="13604" priority="123089"/>
    <cfRule type="duplicateValues" dxfId="13603" priority="123090"/>
    <cfRule type="duplicateValues" dxfId="13602" priority="123091"/>
    <cfRule type="duplicateValues" dxfId="13601" priority="123092"/>
    <cfRule type="duplicateValues" dxfId="13600" priority="123093"/>
    <cfRule type="duplicateValues" dxfId="13599" priority="123094"/>
    <cfRule type="duplicateValues" dxfId="13598" priority="123095"/>
    <cfRule type="duplicateValues" dxfId="13597" priority="123096"/>
    <cfRule type="duplicateValues" dxfId="13596" priority="123097"/>
    <cfRule type="duplicateValues" dxfId="13595" priority="123098"/>
    <cfRule type="duplicateValues" dxfId="13594" priority="123100"/>
    <cfRule type="duplicateValues" dxfId="13593" priority="123101"/>
    <cfRule type="duplicateValues" dxfId="13592" priority="123102"/>
    <cfRule type="duplicateValues" dxfId="13591" priority="123103"/>
    <cfRule type="duplicateValues" dxfId="13590" priority="123104"/>
    <cfRule type="duplicateValues" dxfId="13589" priority="123105"/>
    <cfRule type="duplicateValues" dxfId="13588" priority="123106"/>
    <cfRule type="duplicateValues" dxfId="13587" priority="123107"/>
    <cfRule type="duplicateValues" dxfId="13586" priority="123108"/>
    <cfRule type="duplicateValues" dxfId="13585" priority="123109"/>
    <cfRule type="duplicateValues" dxfId="13584" priority="123110"/>
    <cfRule type="duplicateValues" dxfId="13583" priority="123111"/>
    <cfRule type="duplicateValues" dxfId="13582" priority="123112"/>
    <cfRule type="duplicateValues" dxfId="13581" priority="123113"/>
    <cfRule type="duplicateValues" dxfId="13580" priority="123114"/>
    <cfRule type="duplicateValues" dxfId="13579" priority="123115"/>
    <cfRule type="duplicateValues" dxfId="13578" priority="123116"/>
    <cfRule type="duplicateValues" dxfId="13577" priority="123117"/>
    <cfRule type="duplicateValues" dxfId="13576" priority="123118"/>
    <cfRule type="duplicateValues" dxfId="13575" priority="123119"/>
    <cfRule type="duplicateValues" dxfId="13574" priority="123120"/>
    <cfRule type="duplicateValues" dxfId="13573" priority="123121"/>
    <cfRule type="duplicateValues" dxfId="13572" priority="123122"/>
    <cfRule type="duplicateValues" dxfId="13571" priority="123123"/>
    <cfRule type="duplicateValues" dxfId="13570" priority="123126"/>
    <cfRule type="duplicateValues" dxfId="13569" priority="123127"/>
    <cfRule type="duplicateValues" dxfId="13568" priority="123128"/>
    <cfRule type="duplicateValues" dxfId="13567" priority="123129"/>
    <cfRule type="duplicateValues" dxfId="13566" priority="123130"/>
    <cfRule type="duplicateValues" dxfId="13565" priority="123131"/>
    <cfRule type="duplicateValues" dxfId="13564" priority="123132"/>
    <cfRule type="duplicateValues" dxfId="13563" priority="123133"/>
    <cfRule type="duplicateValues" dxfId="13562" priority="123134"/>
    <cfRule type="duplicateValues" dxfId="13561" priority="123135"/>
    <cfRule type="duplicateValues" dxfId="13560" priority="123136"/>
    <cfRule type="duplicateValues" dxfId="13559" priority="123137"/>
    <cfRule type="duplicateValues" dxfId="13558" priority="123138"/>
    <cfRule type="duplicateValues" dxfId="13557" priority="123139"/>
    <cfRule type="duplicateValues" dxfId="13556" priority="123140"/>
    <cfRule type="duplicateValues" dxfId="13555" priority="123141"/>
    <cfRule type="duplicateValues" dxfId="13554" priority="123142"/>
    <cfRule type="duplicateValues" dxfId="13553" priority="123143"/>
    <cfRule type="duplicateValues" dxfId="13552" priority="123144"/>
    <cfRule type="duplicateValues" dxfId="13551" priority="123145"/>
    <cfRule type="duplicateValues" dxfId="13550" priority="123146"/>
    <cfRule type="duplicateValues" dxfId="13549" priority="123147"/>
    <cfRule type="duplicateValues" dxfId="13548" priority="123150"/>
    <cfRule type="duplicateValues" dxfId="13547" priority="123151"/>
    <cfRule type="duplicateValues" dxfId="13546" priority="123152"/>
    <cfRule type="duplicateValues" dxfId="13545" priority="123153"/>
    <cfRule type="duplicateValues" dxfId="13544" priority="123154"/>
    <cfRule type="duplicateValues" dxfId="13543" priority="123155"/>
    <cfRule type="duplicateValues" dxfId="13542" priority="123156"/>
    <cfRule type="duplicateValues" dxfId="13541" priority="123157"/>
    <cfRule type="duplicateValues" dxfId="13540" priority="123158"/>
    <cfRule type="duplicateValues" dxfId="13539" priority="123159"/>
    <cfRule type="duplicateValues" dxfId="13538" priority="123160"/>
    <cfRule type="duplicateValues" dxfId="13537" priority="123161"/>
    <cfRule type="duplicateValues" dxfId="13536" priority="123162"/>
    <cfRule type="duplicateValues" dxfId="13535" priority="123163"/>
    <cfRule type="duplicateValues" dxfId="13534" priority="123164"/>
    <cfRule type="duplicateValues" dxfId="13533" priority="123165"/>
    <cfRule type="duplicateValues" dxfId="13532" priority="123166"/>
    <cfRule type="duplicateValues" dxfId="13531" priority="123167"/>
    <cfRule type="duplicateValues" dxfId="13530" priority="123168"/>
    <cfRule type="duplicateValues" dxfId="13529" priority="123169"/>
    <cfRule type="duplicateValues" dxfId="13528" priority="123171"/>
    <cfRule type="duplicateValues" dxfId="13527" priority="123172"/>
    <cfRule type="duplicateValues" dxfId="13526" priority="123173"/>
    <cfRule type="duplicateValues" dxfId="13525" priority="123174"/>
    <cfRule type="duplicateValues" dxfId="13524" priority="123175"/>
    <cfRule type="duplicateValues" dxfId="13523" priority="123176"/>
    <cfRule type="duplicateValues" dxfId="13522" priority="123177"/>
    <cfRule type="duplicateValues" dxfId="13521" priority="123178"/>
    <cfRule type="duplicateValues" dxfId="13520" priority="123179"/>
    <cfRule type="duplicateValues" dxfId="13519" priority="123180"/>
    <cfRule type="duplicateValues" dxfId="13518" priority="123181"/>
    <cfRule type="duplicateValues" dxfId="13517" priority="123182"/>
    <cfRule type="duplicateValues" dxfId="13516" priority="123183"/>
    <cfRule type="duplicateValues" dxfId="13515" priority="123184"/>
    <cfRule type="duplicateValues" dxfId="13514" priority="123185"/>
    <cfRule type="duplicateValues" dxfId="13513" priority="123186"/>
    <cfRule type="duplicateValues" dxfId="13512" priority="123187"/>
    <cfRule type="duplicateValues" dxfId="13511" priority="123188"/>
    <cfRule type="duplicateValues" dxfId="13510" priority="123189"/>
    <cfRule type="duplicateValues" dxfId="13509" priority="123191"/>
    <cfRule type="duplicateValues" dxfId="13508" priority="123192"/>
    <cfRule type="duplicateValues" dxfId="13507" priority="123193"/>
    <cfRule type="duplicateValues" dxfId="13506" priority="123194"/>
    <cfRule type="duplicateValues" dxfId="13505" priority="123195"/>
    <cfRule type="duplicateValues" dxfId="13504" priority="123196"/>
    <cfRule type="duplicateValues" dxfId="13503" priority="123197"/>
    <cfRule type="duplicateValues" dxfId="13502" priority="123198"/>
    <cfRule type="duplicateValues" dxfId="13501" priority="123199"/>
    <cfRule type="duplicateValues" dxfId="13500" priority="123200"/>
    <cfRule type="duplicateValues" dxfId="13499" priority="123201"/>
    <cfRule type="duplicateValues" dxfId="13498" priority="123202"/>
    <cfRule type="duplicateValues" dxfId="13497" priority="123203"/>
    <cfRule type="duplicateValues" dxfId="13496" priority="123204"/>
    <cfRule type="duplicateValues" dxfId="13495" priority="123205"/>
    <cfRule type="duplicateValues" dxfId="13494" priority="123206"/>
    <cfRule type="duplicateValues" dxfId="13493" priority="123207"/>
    <cfRule type="duplicateValues" dxfId="13492" priority="123208"/>
    <cfRule type="duplicateValues" dxfId="13491" priority="123211"/>
    <cfRule type="duplicateValues" dxfId="13490" priority="123212"/>
    <cfRule type="duplicateValues" dxfId="13489" priority="123213"/>
    <cfRule type="duplicateValues" dxfId="13488" priority="123214"/>
    <cfRule type="duplicateValues" dxfId="13487" priority="123215"/>
    <cfRule type="duplicateValues" dxfId="13486" priority="123216"/>
    <cfRule type="duplicateValues" dxfId="13485" priority="123217"/>
    <cfRule type="duplicateValues" dxfId="13484" priority="123218"/>
    <cfRule type="duplicateValues" dxfId="13483" priority="123219"/>
    <cfRule type="duplicateValues" dxfId="13482" priority="123220"/>
    <cfRule type="duplicateValues" dxfId="13481" priority="123221"/>
    <cfRule type="duplicateValues" dxfId="13480" priority="123222"/>
    <cfRule type="duplicateValues" dxfId="13479" priority="123223"/>
    <cfRule type="duplicateValues" dxfId="13478" priority="123224"/>
    <cfRule type="duplicateValues" dxfId="13477" priority="123225"/>
    <cfRule type="duplicateValues" dxfId="13476" priority="123226"/>
    <cfRule type="duplicateValues" dxfId="13475" priority="123229"/>
    <cfRule type="duplicateValues" dxfId="13474" priority="123230"/>
    <cfRule type="duplicateValues" dxfId="13473" priority="123231"/>
    <cfRule type="duplicateValues" dxfId="13472" priority="123232"/>
    <cfRule type="duplicateValues" dxfId="13471" priority="123233"/>
    <cfRule type="duplicateValues" dxfId="13470" priority="123234"/>
    <cfRule type="duplicateValues" dxfId="13469" priority="123235"/>
    <cfRule type="duplicateValues" dxfId="13468" priority="123236"/>
    <cfRule type="duplicateValues" dxfId="13467" priority="123237"/>
    <cfRule type="duplicateValues" dxfId="13466" priority="123238"/>
    <cfRule type="duplicateValues" dxfId="13465" priority="123239"/>
    <cfRule type="duplicateValues" dxfId="13464" priority="123240"/>
    <cfRule type="duplicateValues" dxfId="13463" priority="123241"/>
    <cfRule type="duplicateValues" dxfId="13462" priority="123242"/>
    <cfRule type="duplicateValues" dxfId="13461" priority="123246"/>
    <cfRule type="duplicateValues" dxfId="13460" priority="123247"/>
    <cfRule type="duplicateValues" dxfId="13459" priority="123248"/>
    <cfRule type="duplicateValues" dxfId="13458" priority="123249"/>
    <cfRule type="duplicateValues" dxfId="13457" priority="123250"/>
    <cfRule type="duplicateValues" dxfId="13456" priority="123251"/>
    <cfRule type="duplicateValues" dxfId="13455" priority="123252"/>
    <cfRule type="duplicateValues" dxfId="13454" priority="123253"/>
    <cfRule type="duplicateValues" dxfId="13453" priority="123254"/>
    <cfRule type="duplicateValues" dxfId="13452" priority="123255"/>
    <cfRule type="duplicateValues" dxfId="13451" priority="123256"/>
    <cfRule type="duplicateValues" dxfId="13450" priority="123258"/>
    <cfRule type="duplicateValues" dxfId="13449" priority="123259"/>
    <cfRule type="duplicateValues" dxfId="13448" priority="123260"/>
    <cfRule type="duplicateValues" dxfId="13447" priority="123261"/>
    <cfRule type="duplicateValues" dxfId="13446" priority="123262"/>
    <cfRule type="duplicateValues" dxfId="13445" priority="123263"/>
    <cfRule type="duplicateValues" dxfId="13444" priority="123264"/>
    <cfRule type="duplicateValues" dxfId="13443" priority="123265"/>
    <cfRule type="duplicateValues" dxfId="13442" priority="123266"/>
    <cfRule type="duplicateValues" dxfId="13441" priority="123267"/>
    <cfRule type="duplicateValues" dxfId="13440" priority="123271"/>
    <cfRule type="duplicateValues" dxfId="13439" priority="123272"/>
    <cfRule type="duplicateValues" dxfId="13438" priority="123273"/>
    <cfRule type="duplicateValues" dxfId="13437" priority="123274"/>
    <cfRule type="duplicateValues" dxfId="13436" priority="123275"/>
    <cfRule type="duplicateValues" dxfId="13435" priority="123276"/>
    <cfRule type="duplicateValues" dxfId="13434" priority="123277"/>
    <cfRule type="duplicateValues" dxfId="13433" priority="123280"/>
    <cfRule type="duplicateValues" dxfId="13432" priority="123281"/>
    <cfRule type="duplicateValues" dxfId="13431" priority="123282"/>
    <cfRule type="duplicateValues" dxfId="13430" priority="123283"/>
    <cfRule type="duplicateValues" dxfId="13429" priority="123284"/>
    <cfRule type="duplicateValues" dxfId="13428" priority="123286"/>
    <cfRule type="duplicateValues" dxfId="13427" priority="123287"/>
    <cfRule type="duplicateValues" dxfId="13426" priority="123288"/>
    <cfRule type="duplicateValues" dxfId="13425" priority="123289"/>
    <cfRule type="duplicateValues" dxfId="13424" priority="123291"/>
    <cfRule type="duplicateValues" dxfId="13423" priority="123292"/>
    <cfRule type="duplicateValues" dxfId="13422" priority="123293"/>
    <cfRule type="duplicateValues" dxfId="13421" priority="123295"/>
    <cfRule type="duplicateValues" dxfId="13420" priority="123296"/>
    <cfRule type="duplicateValues" dxfId="13419" priority="123298"/>
    <cfRule type="duplicateValues" dxfId="13418" priority="125495"/>
    <cfRule type="duplicateValues" dxfId="13417" priority="125496"/>
    <cfRule type="duplicateValues" dxfId="13416" priority="125497"/>
    <cfRule type="duplicateValues" dxfId="13415" priority="125498"/>
    <cfRule type="duplicateValues" dxfId="13414" priority="125499"/>
    <cfRule type="duplicateValues" dxfId="13413" priority="125500"/>
    <cfRule type="duplicateValues" dxfId="13412" priority="125501"/>
    <cfRule type="duplicateValues" dxfId="13411" priority="125502"/>
    <cfRule type="duplicateValues" dxfId="13410" priority="125503"/>
    <cfRule type="duplicateValues" dxfId="13409" priority="125504"/>
    <cfRule type="duplicateValues" dxfId="13408" priority="125505"/>
    <cfRule type="duplicateValues" dxfId="13407" priority="125506"/>
    <cfRule type="duplicateValues" dxfId="13406" priority="125507"/>
    <cfRule type="duplicateValues" dxfId="13405" priority="125508"/>
    <cfRule type="duplicateValues" dxfId="13404" priority="125509"/>
    <cfRule type="duplicateValues" dxfId="13403" priority="125510"/>
    <cfRule type="duplicateValues" dxfId="13402" priority="125511"/>
    <cfRule type="duplicateValues" dxfId="13401" priority="125512"/>
    <cfRule type="duplicateValues" dxfId="13400" priority="125513"/>
    <cfRule type="duplicateValues" dxfId="13399" priority="125514"/>
    <cfRule type="duplicateValues" dxfId="13398" priority="125515"/>
    <cfRule type="duplicateValues" dxfId="13397" priority="125516"/>
    <cfRule type="duplicateValues" dxfId="13396" priority="125517"/>
    <cfRule type="duplicateValues" dxfId="13395" priority="125518"/>
    <cfRule type="duplicateValues" dxfId="13394" priority="125519"/>
    <cfRule type="duplicateValues" dxfId="13393" priority="125520"/>
    <cfRule type="duplicateValues" dxfId="13392" priority="125521"/>
    <cfRule type="duplicateValues" dxfId="13391" priority="125522"/>
    <cfRule type="duplicateValues" dxfId="13390" priority="125523"/>
    <cfRule type="duplicateValues" dxfId="13389" priority="125524"/>
    <cfRule type="duplicateValues" dxfId="13388" priority="125525"/>
    <cfRule type="duplicateValues" dxfId="13387" priority="125527"/>
    <cfRule type="duplicateValues" dxfId="13386" priority="125528"/>
    <cfRule type="duplicateValues" dxfId="13385" priority="125529"/>
    <cfRule type="duplicateValues" dxfId="13384" priority="125530"/>
    <cfRule type="duplicateValues" dxfId="13383" priority="125531"/>
    <cfRule type="duplicateValues" dxfId="13382" priority="125532"/>
    <cfRule type="duplicateValues" dxfId="13381" priority="125533"/>
    <cfRule type="duplicateValues" dxfId="13380" priority="125534"/>
    <cfRule type="duplicateValues" dxfId="13379" priority="125535"/>
    <cfRule type="duplicateValues" dxfId="13378" priority="125536"/>
    <cfRule type="duplicateValues" dxfId="13377" priority="125537"/>
    <cfRule type="duplicateValues" dxfId="13376" priority="125538"/>
    <cfRule type="duplicateValues" dxfId="13375" priority="125539"/>
    <cfRule type="duplicateValues" dxfId="13374" priority="125540"/>
    <cfRule type="duplicateValues" dxfId="13373" priority="125541"/>
    <cfRule type="duplicateValues" dxfId="13372" priority="125542"/>
    <cfRule type="duplicateValues" dxfId="13371" priority="125543"/>
    <cfRule type="duplicateValues" dxfId="13370" priority="125544"/>
    <cfRule type="duplicateValues" dxfId="13369" priority="125545"/>
    <cfRule type="duplicateValues" dxfId="13368" priority="125546"/>
    <cfRule type="duplicateValues" dxfId="13367" priority="125547"/>
    <cfRule type="duplicateValues" dxfId="13366" priority="125548"/>
    <cfRule type="duplicateValues" dxfId="13365" priority="125549"/>
    <cfRule type="duplicateValues" dxfId="13364" priority="125550"/>
    <cfRule type="duplicateValues" dxfId="13363" priority="125551"/>
    <cfRule type="duplicateValues" dxfId="13362" priority="125552"/>
    <cfRule type="duplicateValues" dxfId="13361" priority="125553"/>
    <cfRule type="duplicateValues" dxfId="13360" priority="125554"/>
    <cfRule type="duplicateValues" dxfId="13359" priority="125555"/>
    <cfRule type="duplicateValues" dxfId="13358" priority="125556"/>
    <cfRule type="duplicateValues" dxfId="13357" priority="125559"/>
    <cfRule type="duplicateValues" dxfId="13356" priority="125560"/>
    <cfRule type="duplicateValues" dxfId="13355" priority="125561"/>
    <cfRule type="duplicateValues" dxfId="13354" priority="125562"/>
    <cfRule type="duplicateValues" dxfId="13353" priority="125563"/>
    <cfRule type="duplicateValues" dxfId="13352" priority="125564"/>
    <cfRule type="duplicateValues" dxfId="13351" priority="125565"/>
    <cfRule type="duplicateValues" dxfId="13350" priority="125566"/>
    <cfRule type="duplicateValues" dxfId="13349" priority="125567"/>
    <cfRule type="duplicateValues" dxfId="13348" priority="125568"/>
    <cfRule type="duplicateValues" dxfId="13347" priority="125569"/>
    <cfRule type="duplicateValues" dxfId="13346" priority="125570"/>
    <cfRule type="duplicateValues" dxfId="13345" priority="125571"/>
    <cfRule type="duplicateValues" dxfId="13344" priority="125572"/>
    <cfRule type="duplicateValues" dxfId="13343" priority="125573"/>
    <cfRule type="duplicateValues" dxfId="13342" priority="125574"/>
    <cfRule type="duplicateValues" dxfId="13341" priority="125575"/>
    <cfRule type="duplicateValues" dxfId="13340" priority="125576"/>
    <cfRule type="duplicateValues" dxfId="13339" priority="125577"/>
    <cfRule type="duplicateValues" dxfId="13338" priority="125578"/>
    <cfRule type="duplicateValues" dxfId="13337" priority="125579"/>
    <cfRule type="duplicateValues" dxfId="13336" priority="125580"/>
    <cfRule type="duplicateValues" dxfId="13335" priority="125581"/>
    <cfRule type="duplicateValues" dxfId="13334" priority="125582"/>
    <cfRule type="duplicateValues" dxfId="13333" priority="125583"/>
    <cfRule type="duplicateValues" dxfId="13332" priority="125584"/>
    <cfRule type="duplicateValues" dxfId="13331" priority="125585"/>
    <cfRule type="duplicateValues" dxfId="13330" priority="125586"/>
    <cfRule type="duplicateValues" dxfId="13329" priority="125588"/>
    <cfRule type="duplicateValues" dxfId="13328" priority="125589"/>
    <cfRule type="duplicateValues" dxfId="13327" priority="125590"/>
    <cfRule type="duplicateValues" dxfId="13326" priority="125591"/>
    <cfRule type="duplicateValues" dxfId="13325" priority="125592"/>
    <cfRule type="duplicateValues" dxfId="13324" priority="125593"/>
    <cfRule type="duplicateValues" dxfId="13323" priority="125594"/>
    <cfRule type="duplicateValues" dxfId="13322" priority="125595"/>
    <cfRule type="duplicateValues" dxfId="13321" priority="125596"/>
    <cfRule type="duplicateValues" dxfId="13320" priority="125597"/>
    <cfRule type="duplicateValues" dxfId="13319" priority="125598"/>
    <cfRule type="duplicateValues" dxfId="13318" priority="125599"/>
    <cfRule type="duplicateValues" dxfId="13317" priority="125600"/>
    <cfRule type="duplicateValues" dxfId="13316" priority="125601"/>
    <cfRule type="duplicateValues" dxfId="13315" priority="125602"/>
    <cfRule type="duplicateValues" dxfId="13314" priority="125603"/>
    <cfRule type="duplicateValues" dxfId="13313" priority="125604"/>
    <cfRule type="duplicateValues" dxfId="13312" priority="125605"/>
    <cfRule type="duplicateValues" dxfId="13311" priority="125606"/>
    <cfRule type="duplicateValues" dxfId="13310" priority="125607"/>
    <cfRule type="duplicateValues" dxfId="13309" priority="125608"/>
    <cfRule type="duplicateValues" dxfId="13308" priority="125609"/>
    <cfRule type="duplicateValues" dxfId="13307" priority="125610"/>
    <cfRule type="duplicateValues" dxfId="13306" priority="125611"/>
    <cfRule type="duplicateValues" dxfId="13305" priority="125612"/>
    <cfRule type="duplicateValues" dxfId="13304" priority="125613"/>
    <cfRule type="duplicateValues" dxfId="13303" priority="125614"/>
    <cfRule type="duplicateValues" dxfId="13302" priority="125617"/>
    <cfRule type="duplicateValues" dxfId="13301" priority="125618"/>
    <cfRule type="duplicateValues" dxfId="13300" priority="125619"/>
    <cfRule type="duplicateValues" dxfId="13299" priority="125620"/>
    <cfRule type="duplicateValues" dxfId="13298" priority="125621"/>
    <cfRule type="duplicateValues" dxfId="13297" priority="125622"/>
    <cfRule type="duplicateValues" dxfId="13296" priority="125623"/>
    <cfRule type="duplicateValues" dxfId="13295" priority="125624"/>
    <cfRule type="duplicateValues" dxfId="13294" priority="125625"/>
    <cfRule type="duplicateValues" dxfId="13293" priority="125626"/>
    <cfRule type="duplicateValues" dxfId="13292" priority="125627"/>
    <cfRule type="duplicateValues" dxfId="13291" priority="125628"/>
    <cfRule type="duplicateValues" dxfId="13290" priority="125629"/>
    <cfRule type="duplicateValues" dxfId="13289" priority="125630"/>
    <cfRule type="duplicateValues" dxfId="13288" priority="125631"/>
    <cfRule type="duplicateValues" dxfId="13287" priority="125632"/>
    <cfRule type="duplicateValues" dxfId="13286" priority="125633"/>
    <cfRule type="duplicateValues" dxfId="13285" priority="125634"/>
    <cfRule type="duplicateValues" dxfId="13284" priority="125635"/>
    <cfRule type="duplicateValues" dxfId="13283" priority="125636"/>
    <cfRule type="duplicateValues" dxfId="13282" priority="125637"/>
    <cfRule type="duplicateValues" dxfId="13281" priority="125638"/>
    <cfRule type="duplicateValues" dxfId="13280" priority="125639"/>
    <cfRule type="duplicateValues" dxfId="13279" priority="125640"/>
    <cfRule type="duplicateValues" dxfId="13278" priority="125641"/>
    <cfRule type="duplicateValues" dxfId="13277" priority="125643"/>
    <cfRule type="duplicateValues" dxfId="13276" priority="125644"/>
    <cfRule type="duplicateValues" dxfId="13275" priority="125645"/>
    <cfRule type="duplicateValues" dxfId="13274" priority="125646"/>
    <cfRule type="duplicateValues" dxfId="13273" priority="125647"/>
    <cfRule type="duplicateValues" dxfId="13272" priority="125648"/>
    <cfRule type="duplicateValues" dxfId="13271" priority="125649"/>
    <cfRule type="duplicateValues" dxfId="13270" priority="125650"/>
    <cfRule type="duplicateValues" dxfId="13269" priority="125651"/>
    <cfRule type="duplicateValues" dxfId="13268" priority="125652"/>
    <cfRule type="duplicateValues" dxfId="13267" priority="125653"/>
    <cfRule type="duplicateValues" dxfId="13266" priority="125654"/>
    <cfRule type="duplicateValues" dxfId="13265" priority="125655"/>
    <cfRule type="duplicateValues" dxfId="13264" priority="125656"/>
    <cfRule type="duplicateValues" dxfId="13263" priority="125657"/>
    <cfRule type="duplicateValues" dxfId="13262" priority="125658"/>
    <cfRule type="duplicateValues" dxfId="13261" priority="125659"/>
    <cfRule type="duplicateValues" dxfId="13260" priority="125660"/>
    <cfRule type="duplicateValues" dxfId="13259" priority="125661"/>
    <cfRule type="duplicateValues" dxfId="13258" priority="125662"/>
    <cfRule type="duplicateValues" dxfId="13257" priority="125663"/>
    <cfRule type="duplicateValues" dxfId="13256" priority="125664"/>
    <cfRule type="duplicateValues" dxfId="13255" priority="125665"/>
    <cfRule type="duplicateValues" dxfId="13254" priority="125666"/>
    <cfRule type="duplicateValues" dxfId="13253" priority="125669"/>
    <cfRule type="duplicateValues" dxfId="13252" priority="125670"/>
    <cfRule type="duplicateValues" dxfId="13251" priority="125671"/>
    <cfRule type="duplicateValues" dxfId="13250" priority="125672"/>
    <cfRule type="duplicateValues" dxfId="13249" priority="125673"/>
    <cfRule type="duplicateValues" dxfId="13248" priority="125674"/>
    <cfRule type="duplicateValues" dxfId="13247" priority="125675"/>
    <cfRule type="duplicateValues" dxfId="13246" priority="125676"/>
    <cfRule type="duplicateValues" dxfId="13245" priority="125677"/>
    <cfRule type="duplicateValues" dxfId="13244" priority="125678"/>
    <cfRule type="duplicateValues" dxfId="13243" priority="125679"/>
    <cfRule type="duplicateValues" dxfId="13242" priority="125680"/>
    <cfRule type="duplicateValues" dxfId="13241" priority="125681"/>
    <cfRule type="duplicateValues" dxfId="13240" priority="125682"/>
    <cfRule type="duplicateValues" dxfId="13239" priority="125683"/>
    <cfRule type="duplicateValues" dxfId="13238" priority="125684"/>
    <cfRule type="duplicateValues" dxfId="13237" priority="125685"/>
    <cfRule type="duplicateValues" dxfId="13236" priority="125686"/>
    <cfRule type="duplicateValues" dxfId="13235" priority="125687"/>
    <cfRule type="duplicateValues" dxfId="13234" priority="125688"/>
    <cfRule type="duplicateValues" dxfId="13233" priority="125689"/>
    <cfRule type="duplicateValues" dxfId="13232" priority="125690"/>
    <cfRule type="duplicateValues" dxfId="13231" priority="125693"/>
    <cfRule type="duplicateValues" dxfId="13230" priority="125694"/>
    <cfRule type="duplicateValues" dxfId="13229" priority="125695"/>
    <cfRule type="duplicateValues" dxfId="13228" priority="125696"/>
    <cfRule type="duplicateValues" dxfId="13227" priority="125697"/>
    <cfRule type="duplicateValues" dxfId="13226" priority="125698"/>
    <cfRule type="duplicateValues" dxfId="13225" priority="125699"/>
    <cfRule type="duplicateValues" dxfId="13224" priority="125700"/>
    <cfRule type="duplicateValues" dxfId="13223" priority="125701"/>
    <cfRule type="duplicateValues" dxfId="13222" priority="125702"/>
    <cfRule type="duplicateValues" dxfId="13221" priority="125703"/>
    <cfRule type="duplicateValues" dxfId="13220" priority="125704"/>
    <cfRule type="duplicateValues" dxfId="13219" priority="125705"/>
    <cfRule type="duplicateValues" dxfId="13218" priority="125706"/>
    <cfRule type="duplicateValues" dxfId="13217" priority="125707"/>
    <cfRule type="duplicateValues" dxfId="13216" priority="125708"/>
    <cfRule type="duplicateValues" dxfId="13215" priority="125709"/>
    <cfRule type="duplicateValues" dxfId="13214" priority="125710"/>
    <cfRule type="duplicateValues" dxfId="13213" priority="125711"/>
    <cfRule type="duplicateValues" dxfId="13212" priority="125712"/>
    <cfRule type="duplicateValues" dxfId="13211" priority="125714"/>
    <cfRule type="duplicateValues" dxfId="13210" priority="125715"/>
    <cfRule type="duplicateValues" dxfId="13209" priority="125716"/>
    <cfRule type="duplicateValues" dxfId="13208" priority="125717"/>
    <cfRule type="duplicateValues" dxfId="13207" priority="125718"/>
    <cfRule type="duplicateValues" dxfId="13206" priority="125719"/>
    <cfRule type="duplicateValues" dxfId="13205" priority="125720"/>
    <cfRule type="duplicateValues" dxfId="13204" priority="125721"/>
    <cfRule type="duplicateValues" dxfId="13203" priority="125722"/>
    <cfRule type="duplicateValues" dxfId="13202" priority="125723"/>
    <cfRule type="duplicateValues" dxfId="13201" priority="125724"/>
    <cfRule type="duplicateValues" dxfId="13200" priority="125725"/>
    <cfRule type="duplicateValues" dxfId="13199" priority="125726"/>
    <cfRule type="duplicateValues" dxfId="13198" priority="125727"/>
    <cfRule type="duplicateValues" dxfId="13197" priority="125728"/>
    <cfRule type="duplicateValues" dxfId="13196" priority="125729"/>
    <cfRule type="duplicateValues" dxfId="13195" priority="125730"/>
    <cfRule type="duplicateValues" dxfId="13194" priority="125731"/>
    <cfRule type="duplicateValues" dxfId="13193" priority="125732"/>
    <cfRule type="duplicateValues" dxfId="13192" priority="125734"/>
    <cfRule type="duplicateValues" dxfId="13191" priority="125735"/>
    <cfRule type="duplicateValues" dxfId="13190" priority="125736"/>
    <cfRule type="duplicateValues" dxfId="13189" priority="125737"/>
    <cfRule type="duplicateValues" dxfId="13188" priority="125738"/>
    <cfRule type="duplicateValues" dxfId="13187" priority="125739"/>
    <cfRule type="duplicateValues" dxfId="13186" priority="125740"/>
    <cfRule type="duplicateValues" dxfId="13185" priority="125741"/>
    <cfRule type="duplicateValues" dxfId="13184" priority="125742"/>
    <cfRule type="duplicateValues" dxfId="13183" priority="125743"/>
    <cfRule type="duplicateValues" dxfId="13182" priority="125744"/>
    <cfRule type="duplicateValues" dxfId="13181" priority="125745"/>
    <cfRule type="duplicateValues" dxfId="13180" priority="125746"/>
    <cfRule type="duplicateValues" dxfId="13179" priority="125747"/>
    <cfRule type="duplicateValues" dxfId="13178" priority="125748"/>
    <cfRule type="duplicateValues" dxfId="13177" priority="125749"/>
    <cfRule type="duplicateValues" dxfId="13176" priority="125750"/>
    <cfRule type="duplicateValues" dxfId="13175" priority="125751"/>
    <cfRule type="duplicateValues" dxfId="13174" priority="125754"/>
    <cfRule type="duplicateValues" dxfId="13173" priority="125755"/>
    <cfRule type="duplicateValues" dxfId="13172" priority="125756"/>
    <cfRule type="duplicateValues" dxfId="13171" priority="125757"/>
    <cfRule type="duplicateValues" dxfId="13170" priority="125758"/>
    <cfRule type="duplicateValues" dxfId="13169" priority="125759"/>
    <cfRule type="duplicateValues" dxfId="13168" priority="125760"/>
    <cfRule type="duplicateValues" dxfId="13167" priority="125761"/>
    <cfRule type="duplicateValues" dxfId="13166" priority="125762"/>
    <cfRule type="duplicateValues" dxfId="13165" priority="125763"/>
    <cfRule type="duplicateValues" dxfId="13164" priority="125764"/>
    <cfRule type="duplicateValues" dxfId="13163" priority="125765"/>
    <cfRule type="duplicateValues" dxfId="13162" priority="125766"/>
    <cfRule type="duplicateValues" dxfId="13161" priority="125767"/>
    <cfRule type="duplicateValues" dxfId="13160" priority="125768"/>
    <cfRule type="duplicateValues" dxfId="13159" priority="125769"/>
    <cfRule type="duplicateValues" dxfId="13158" priority="125772"/>
    <cfRule type="duplicateValues" dxfId="13157" priority="125773"/>
    <cfRule type="duplicateValues" dxfId="13156" priority="125774"/>
    <cfRule type="duplicateValues" dxfId="13155" priority="125775"/>
    <cfRule type="duplicateValues" dxfId="13154" priority="125776"/>
    <cfRule type="duplicateValues" dxfId="13153" priority="125777"/>
    <cfRule type="duplicateValues" dxfId="13152" priority="125778"/>
    <cfRule type="duplicateValues" dxfId="13151" priority="125779"/>
    <cfRule type="duplicateValues" dxfId="13150" priority="125780"/>
    <cfRule type="duplicateValues" dxfId="13149" priority="125781"/>
    <cfRule type="duplicateValues" dxfId="13148" priority="125782"/>
    <cfRule type="duplicateValues" dxfId="13147" priority="125783"/>
    <cfRule type="duplicateValues" dxfId="13146" priority="125784"/>
    <cfRule type="duplicateValues" dxfId="13145" priority="125785"/>
    <cfRule type="duplicateValues" dxfId="13144" priority="125789"/>
    <cfRule type="duplicateValues" dxfId="13143" priority="125790"/>
    <cfRule type="duplicateValues" dxfId="13142" priority="125791"/>
    <cfRule type="duplicateValues" dxfId="13141" priority="125792"/>
    <cfRule type="duplicateValues" dxfId="13140" priority="125793"/>
    <cfRule type="duplicateValues" dxfId="13139" priority="125794"/>
    <cfRule type="duplicateValues" dxfId="13138" priority="125795"/>
    <cfRule type="duplicateValues" dxfId="13137" priority="125796"/>
    <cfRule type="duplicateValues" dxfId="13136" priority="125797"/>
    <cfRule type="duplicateValues" dxfId="13135" priority="125798"/>
    <cfRule type="duplicateValues" dxfId="13134" priority="125799"/>
    <cfRule type="duplicateValues" dxfId="13133" priority="125801"/>
    <cfRule type="duplicateValues" dxfId="13132" priority="125802"/>
    <cfRule type="duplicateValues" dxfId="13131" priority="125803"/>
    <cfRule type="duplicateValues" dxfId="13130" priority="125804"/>
    <cfRule type="duplicateValues" dxfId="13129" priority="125805"/>
    <cfRule type="duplicateValues" dxfId="13128" priority="125806"/>
    <cfRule type="duplicateValues" dxfId="13127" priority="125807"/>
    <cfRule type="duplicateValues" dxfId="13126" priority="125808"/>
    <cfRule type="duplicateValues" dxfId="13125" priority="125809"/>
    <cfRule type="duplicateValues" dxfId="13124" priority="125810"/>
    <cfRule type="duplicateValues" dxfId="13123" priority="125814"/>
    <cfRule type="duplicateValues" dxfId="13122" priority="125815"/>
    <cfRule type="duplicateValues" dxfId="13121" priority="125816"/>
    <cfRule type="duplicateValues" dxfId="13120" priority="125817"/>
    <cfRule type="duplicateValues" dxfId="13119" priority="125818"/>
    <cfRule type="duplicateValues" dxfId="13118" priority="125819"/>
    <cfRule type="duplicateValues" dxfId="13117" priority="125820"/>
    <cfRule type="duplicateValues" dxfId="13116" priority="125823"/>
    <cfRule type="duplicateValues" dxfId="13115" priority="125824"/>
    <cfRule type="duplicateValues" dxfId="13114" priority="125825"/>
    <cfRule type="duplicateValues" dxfId="13113" priority="125826"/>
    <cfRule type="duplicateValues" dxfId="13112" priority="125827"/>
    <cfRule type="duplicateValues" dxfId="13111" priority="125829"/>
    <cfRule type="duplicateValues" dxfId="13110" priority="125830"/>
    <cfRule type="duplicateValues" dxfId="13109" priority="125831"/>
    <cfRule type="duplicateValues" dxfId="13108" priority="125832"/>
    <cfRule type="duplicateValues" dxfId="13107" priority="125834"/>
    <cfRule type="duplicateValues" dxfId="13106" priority="125835"/>
    <cfRule type="duplicateValues" dxfId="13105" priority="125836"/>
    <cfRule type="duplicateValues" dxfId="13104" priority="125838"/>
    <cfRule type="duplicateValues" dxfId="13103" priority="125839"/>
    <cfRule type="duplicateValues" dxfId="13102" priority="125841"/>
    <cfRule type="duplicateValues" dxfId="13101" priority="125977"/>
    <cfRule type="duplicateValues" dxfId="13100" priority="125978"/>
    <cfRule type="duplicateValues" dxfId="13099" priority="125979"/>
    <cfRule type="duplicateValues" dxfId="13098" priority="125980"/>
    <cfRule type="duplicateValues" dxfId="13097" priority="125981"/>
    <cfRule type="duplicateValues" dxfId="13096" priority="125982"/>
    <cfRule type="duplicateValues" dxfId="13095" priority="125983"/>
    <cfRule type="duplicateValues" dxfId="13094" priority="125984"/>
    <cfRule type="duplicateValues" dxfId="13093" priority="125985"/>
    <cfRule type="duplicateValues" dxfId="13092" priority="125986"/>
    <cfRule type="duplicateValues" dxfId="13091" priority="125987"/>
    <cfRule type="duplicateValues" dxfId="13090" priority="125988"/>
    <cfRule type="duplicateValues" dxfId="13089" priority="125989"/>
    <cfRule type="duplicateValues" dxfId="13088" priority="125990"/>
    <cfRule type="duplicateValues" dxfId="13087" priority="125991"/>
    <cfRule type="duplicateValues" dxfId="13086" priority="125992"/>
    <cfRule type="duplicateValues" dxfId="13085" priority="125993"/>
    <cfRule type="duplicateValues" dxfId="13084" priority="125994"/>
    <cfRule type="duplicateValues" dxfId="13083" priority="125995"/>
    <cfRule type="duplicateValues" dxfId="13082" priority="125996"/>
    <cfRule type="duplicateValues" dxfId="13081" priority="125997"/>
    <cfRule type="duplicateValues" dxfId="13080" priority="125998"/>
    <cfRule type="duplicateValues" dxfId="13079" priority="125999"/>
    <cfRule type="duplicateValues" dxfId="13078" priority="126000"/>
    <cfRule type="duplicateValues" dxfId="13077" priority="126001"/>
    <cfRule type="duplicateValues" dxfId="13076" priority="126002"/>
    <cfRule type="duplicateValues" dxfId="13075" priority="126003"/>
    <cfRule type="duplicateValues" dxfId="13074" priority="126004"/>
    <cfRule type="duplicateValues" dxfId="13073" priority="126006"/>
    <cfRule type="duplicateValues" dxfId="13072" priority="126007"/>
    <cfRule type="duplicateValues" dxfId="13071" priority="126008"/>
    <cfRule type="duplicateValues" dxfId="13070" priority="126009"/>
    <cfRule type="duplicateValues" dxfId="13069" priority="126010"/>
    <cfRule type="duplicateValues" dxfId="13068" priority="126011"/>
    <cfRule type="duplicateValues" dxfId="13067" priority="126012"/>
    <cfRule type="duplicateValues" dxfId="13066" priority="126013"/>
    <cfRule type="duplicateValues" dxfId="13065" priority="126014"/>
    <cfRule type="duplicateValues" dxfId="13064" priority="126015"/>
    <cfRule type="duplicateValues" dxfId="13063" priority="126016"/>
    <cfRule type="duplicateValues" dxfId="13062" priority="126017"/>
    <cfRule type="duplicateValues" dxfId="13061" priority="126018"/>
    <cfRule type="duplicateValues" dxfId="13060" priority="126019"/>
    <cfRule type="duplicateValues" dxfId="13059" priority="126020"/>
    <cfRule type="duplicateValues" dxfId="13058" priority="126021"/>
    <cfRule type="duplicateValues" dxfId="13057" priority="126022"/>
    <cfRule type="duplicateValues" dxfId="13056" priority="126023"/>
    <cfRule type="duplicateValues" dxfId="13055" priority="126024"/>
    <cfRule type="duplicateValues" dxfId="13054" priority="126025"/>
    <cfRule type="duplicateValues" dxfId="13053" priority="126026"/>
    <cfRule type="duplicateValues" dxfId="13052" priority="126027"/>
    <cfRule type="duplicateValues" dxfId="13051" priority="126028"/>
    <cfRule type="duplicateValues" dxfId="13050" priority="126029"/>
    <cfRule type="duplicateValues" dxfId="13049" priority="126030"/>
    <cfRule type="duplicateValues" dxfId="13048" priority="126031"/>
    <cfRule type="duplicateValues" dxfId="13047" priority="126032"/>
    <cfRule type="duplicateValues" dxfId="13046" priority="126035"/>
    <cfRule type="duplicateValues" dxfId="13045" priority="126036"/>
    <cfRule type="duplicateValues" dxfId="13044" priority="126037"/>
    <cfRule type="duplicateValues" dxfId="13043" priority="126038"/>
    <cfRule type="duplicateValues" dxfId="13042" priority="126039"/>
    <cfRule type="duplicateValues" dxfId="13041" priority="126040"/>
    <cfRule type="duplicateValues" dxfId="13040" priority="126041"/>
    <cfRule type="duplicateValues" dxfId="13039" priority="126042"/>
    <cfRule type="duplicateValues" dxfId="13038" priority="126043"/>
    <cfRule type="duplicateValues" dxfId="13037" priority="126044"/>
    <cfRule type="duplicateValues" dxfId="13036" priority="126045"/>
    <cfRule type="duplicateValues" dxfId="13035" priority="126046"/>
    <cfRule type="duplicateValues" dxfId="13034" priority="126047"/>
    <cfRule type="duplicateValues" dxfId="13033" priority="126048"/>
    <cfRule type="duplicateValues" dxfId="13032" priority="126049"/>
    <cfRule type="duplicateValues" dxfId="13031" priority="126050"/>
    <cfRule type="duplicateValues" dxfId="13030" priority="126051"/>
    <cfRule type="duplicateValues" dxfId="13029" priority="126052"/>
    <cfRule type="duplicateValues" dxfId="13028" priority="126053"/>
    <cfRule type="duplicateValues" dxfId="13027" priority="126054"/>
    <cfRule type="duplicateValues" dxfId="13026" priority="126055"/>
    <cfRule type="duplicateValues" dxfId="13025" priority="126056"/>
    <cfRule type="duplicateValues" dxfId="13024" priority="126057"/>
    <cfRule type="duplicateValues" dxfId="13023" priority="126058"/>
    <cfRule type="duplicateValues" dxfId="13022" priority="126059"/>
    <cfRule type="duplicateValues" dxfId="13021" priority="126061"/>
    <cfRule type="duplicateValues" dxfId="13020" priority="126062"/>
    <cfRule type="duplicateValues" dxfId="13019" priority="126063"/>
    <cfRule type="duplicateValues" dxfId="13018" priority="126064"/>
    <cfRule type="duplicateValues" dxfId="13017" priority="126065"/>
    <cfRule type="duplicateValues" dxfId="13016" priority="126066"/>
    <cfRule type="duplicateValues" dxfId="13015" priority="126067"/>
    <cfRule type="duplicateValues" dxfId="13014" priority="126068"/>
    <cfRule type="duplicateValues" dxfId="13013" priority="126069"/>
    <cfRule type="duplicateValues" dxfId="13012" priority="126070"/>
    <cfRule type="duplicateValues" dxfId="13011" priority="126071"/>
    <cfRule type="duplicateValues" dxfId="13010" priority="126072"/>
    <cfRule type="duplicateValues" dxfId="13009" priority="126073"/>
    <cfRule type="duplicateValues" dxfId="13008" priority="126074"/>
    <cfRule type="duplicateValues" dxfId="13007" priority="126075"/>
    <cfRule type="duplicateValues" dxfId="13006" priority="126076"/>
    <cfRule type="duplicateValues" dxfId="13005" priority="126077"/>
    <cfRule type="duplicateValues" dxfId="13004" priority="126078"/>
    <cfRule type="duplicateValues" dxfId="13003" priority="126079"/>
    <cfRule type="duplicateValues" dxfId="13002" priority="126080"/>
    <cfRule type="duplicateValues" dxfId="13001" priority="126081"/>
    <cfRule type="duplicateValues" dxfId="13000" priority="126082"/>
    <cfRule type="duplicateValues" dxfId="12999" priority="126083"/>
    <cfRule type="duplicateValues" dxfId="12998" priority="126084"/>
    <cfRule type="duplicateValues" dxfId="12997" priority="126087"/>
    <cfRule type="duplicateValues" dxfId="12996" priority="126088"/>
    <cfRule type="duplicateValues" dxfId="12995" priority="126089"/>
    <cfRule type="duplicateValues" dxfId="12994" priority="126090"/>
    <cfRule type="duplicateValues" dxfId="12993" priority="126091"/>
    <cfRule type="duplicateValues" dxfId="12992" priority="126092"/>
    <cfRule type="duplicateValues" dxfId="12991" priority="126093"/>
    <cfRule type="duplicateValues" dxfId="12990" priority="126094"/>
    <cfRule type="duplicateValues" dxfId="12989" priority="126095"/>
    <cfRule type="duplicateValues" dxfId="12988" priority="126096"/>
    <cfRule type="duplicateValues" dxfId="12987" priority="126097"/>
    <cfRule type="duplicateValues" dxfId="12986" priority="126098"/>
    <cfRule type="duplicateValues" dxfId="12985" priority="126099"/>
    <cfRule type="duplicateValues" dxfId="12984" priority="126100"/>
    <cfRule type="duplicateValues" dxfId="12983" priority="126101"/>
    <cfRule type="duplicateValues" dxfId="12982" priority="126102"/>
    <cfRule type="duplicateValues" dxfId="12981" priority="126103"/>
    <cfRule type="duplicateValues" dxfId="12980" priority="126104"/>
    <cfRule type="duplicateValues" dxfId="12979" priority="126105"/>
    <cfRule type="duplicateValues" dxfId="12978" priority="126106"/>
    <cfRule type="duplicateValues" dxfId="12977" priority="126107"/>
    <cfRule type="duplicateValues" dxfId="12976" priority="126108"/>
    <cfRule type="duplicateValues" dxfId="12975" priority="126111"/>
    <cfRule type="duplicateValues" dxfId="12974" priority="126112"/>
    <cfRule type="duplicateValues" dxfId="12973" priority="126113"/>
    <cfRule type="duplicateValues" dxfId="12972" priority="126114"/>
    <cfRule type="duplicateValues" dxfId="12971" priority="126115"/>
    <cfRule type="duplicateValues" dxfId="12970" priority="126116"/>
    <cfRule type="duplicateValues" dxfId="12969" priority="126117"/>
    <cfRule type="duplicateValues" dxfId="12968" priority="126118"/>
    <cfRule type="duplicateValues" dxfId="12967" priority="126119"/>
    <cfRule type="duplicateValues" dxfId="12966" priority="126120"/>
    <cfRule type="duplicateValues" dxfId="12965" priority="126121"/>
    <cfRule type="duplicateValues" dxfId="12964" priority="126122"/>
    <cfRule type="duplicateValues" dxfId="12963" priority="126123"/>
    <cfRule type="duplicateValues" dxfId="12962" priority="126124"/>
    <cfRule type="duplicateValues" dxfId="12961" priority="126125"/>
    <cfRule type="duplicateValues" dxfId="12960" priority="126126"/>
    <cfRule type="duplicateValues" dxfId="12959" priority="126127"/>
    <cfRule type="duplicateValues" dxfId="12958" priority="126128"/>
    <cfRule type="duplicateValues" dxfId="12957" priority="126129"/>
    <cfRule type="duplicateValues" dxfId="12956" priority="126130"/>
    <cfRule type="duplicateValues" dxfId="12955" priority="126132"/>
    <cfRule type="duplicateValues" dxfId="12954" priority="126133"/>
    <cfRule type="duplicateValues" dxfId="12953" priority="126134"/>
    <cfRule type="duplicateValues" dxfId="12952" priority="126135"/>
    <cfRule type="duplicateValues" dxfId="12951" priority="126136"/>
    <cfRule type="duplicateValues" dxfId="12950" priority="126137"/>
    <cfRule type="duplicateValues" dxfId="12949" priority="126138"/>
    <cfRule type="duplicateValues" dxfId="12948" priority="126139"/>
    <cfRule type="duplicateValues" dxfId="12947" priority="126140"/>
    <cfRule type="duplicateValues" dxfId="12946" priority="126141"/>
    <cfRule type="duplicateValues" dxfId="12945" priority="126142"/>
    <cfRule type="duplicateValues" dxfId="12944" priority="126143"/>
    <cfRule type="duplicateValues" dxfId="12943" priority="126144"/>
    <cfRule type="duplicateValues" dxfId="12942" priority="126145"/>
    <cfRule type="duplicateValues" dxfId="12941" priority="126146"/>
    <cfRule type="duplicateValues" dxfId="12940" priority="126147"/>
    <cfRule type="duplicateValues" dxfId="12939" priority="126148"/>
    <cfRule type="duplicateValues" dxfId="12938" priority="126149"/>
    <cfRule type="duplicateValues" dxfId="12937" priority="126150"/>
    <cfRule type="duplicateValues" dxfId="12936" priority="126152"/>
    <cfRule type="duplicateValues" dxfId="12935" priority="126153"/>
    <cfRule type="duplicateValues" dxfId="12934" priority="126154"/>
    <cfRule type="duplicateValues" dxfId="12933" priority="126155"/>
    <cfRule type="duplicateValues" dxfId="12932" priority="126156"/>
    <cfRule type="duplicateValues" dxfId="12931" priority="126157"/>
    <cfRule type="duplicateValues" dxfId="12930" priority="126158"/>
    <cfRule type="duplicateValues" dxfId="12929" priority="126159"/>
    <cfRule type="duplicateValues" dxfId="12928" priority="126160"/>
    <cfRule type="duplicateValues" dxfId="12927" priority="126161"/>
    <cfRule type="duplicateValues" dxfId="12926" priority="126162"/>
    <cfRule type="duplicateValues" dxfId="12925" priority="126163"/>
    <cfRule type="duplicateValues" dxfId="12924" priority="126164"/>
    <cfRule type="duplicateValues" dxfId="12923" priority="126165"/>
    <cfRule type="duplicateValues" dxfId="12922" priority="126166"/>
    <cfRule type="duplicateValues" dxfId="12921" priority="126167"/>
    <cfRule type="duplicateValues" dxfId="12920" priority="126168"/>
    <cfRule type="duplicateValues" dxfId="12919" priority="126169"/>
    <cfRule type="duplicateValues" dxfId="12918" priority="126172"/>
    <cfRule type="duplicateValues" dxfId="12917" priority="126173"/>
    <cfRule type="duplicateValues" dxfId="12916" priority="126174"/>
    <cfRule type="duplicateValues" dxfId="12915" priority="126175"/>
    <cfRule type="duplicateValues" dxfId="12914" priority="126176"/>
    <cfRule type="duplicateValues" dxfId="12913" priority="126177"/>
    <cfRule type="duplicateValues" dxfId="12912" priority="126178"/>
    <cfRule type="duplicateValues" dxfId="12911" priority="126179"/>
    <cfRule type="duplicateValues" dxfId="12910" priority="126180"/>
    <cfRule type="duplicateValues" dxfId="12909" priority="126181"/>
    <cfRule type="duplicateValues" dxfId="12908" priority="126182"/>
    <cfRule type="duplicateValues" dxfId="12907" priority="126183"/>
    <cfRule type="duplicateValues" dxfId="12906" priority="126184"/>
    <cfRule type="duplicateValues" dxfId="12905" priority="126185"/>
    <cfRule type="duplicateValues" dxfId="12904" priority="126186"/>
    <cfRule type="duplicateValues" dxfId="12903" priority="126187"/>
    <cfRule type="duplicateValues" dxfId="12902" priority="126190"/>
    <cfRule type="duplicateValues" dxfId="12901" priority="126191"/>
    <cfRule type="duplicateValues" dxfId="12900" priority="126192"/>
    <cfRule type="duplicateValues" dxfId="12899" priority="126193"/>
    <cfRule type="duplicateValues" dxfId="12898" priority="126194"/>
    <cfRule type="duplicateValues" dxfId="12897" priority="126195"/>
    <cfRule type="duplicateValues" dxfId="12896" priority="126196"/>
    <cfRule type="duplicateValues" dxfId="12895" priority="126197"/>
    <cfRule type="duplicateValues" dxfId="12894" priority="126198"/>
    <cfRule type="duplicateValues" dxfId="12893" priority="126199"/>
    <cfRule type="duplicateValues" dxfId="12892" priority="126200"/>
    <cfRule type="duplicateValues" dxfId="12891" priority="126201"/>
    <cfRule type="duplicateValues" dxfId="12890" priority="126202"/>
    <cfRule type="duplicateValues" dxfId="12889" priority="126203"/>
    <cfRule type="duplicateValues" dxfId="12888" priority="126207"/>
    <cfRule type="duplicateValues" dxfId="12887" priority="126208"/>
    <cfRule type="duplicateValues" dxfId="12886" priority="126209"/>
    <cfRule type="duplicateValues" dxfId="12885" priority="126210"/>
    <cfRule type="duplicateValues" dxfId="12884" priority="126211"/>
  </conditionalFormatting>
  <conditionalFormatting sqref="P93">
    <cfRule type="duplicateValues" dxfId="12883" priority="21"/>
    <cfRule type="duplicateValues" dxfId="12882" priority="22"/>
    <cfRule type="duplicateValues" dxfId="12881" priority="23"/>
    <cfRule type="duplicateValues" dxfId="12880" priority="24"/>
    <cfRule type="duplicateValues" dxfId="12879" priority="25"/>
    <cfRule type="duplicateValues" dxfId="12878" priority="26"/>
    <cfRule type="duplicateValues" dxfId="12877" priority="27"/>
    <cfRule type="duplicateValues" dxfId="12876" priority="28"/>
    <cfRule type="duplicateValues" dxfId="12875" priority="29"/>
    <cfRule type="duplicateValues" dxfId="12874" priority="30"/>
    <cfRule type="duplicateValues" dxfId="12873" priority="31"/>
  </conditionalFormatting>
  <conditionalFormatting sqref="P95">
    <cfRule type="duplicateValues" dxfId="12872" priority="2388"/>
    <cfRule type="duplicateValues" dxfId="12871" priority="2389"/>
    <cfRule type="duplicateValues" dxfId="12870" priority="2390"/>
    <cfRule type="duplicateValues" dxfId="12869" priority="2391"/>
    <cfRule type="duplicateValues" dxfId="12868" priority="2392"/>
    <cfRule type="duplicateValues" dxfId="12867" priority="2393"/>
    <cfRule type="duplicateValues" dxfId="12866" priority="2394"/>
    <cfRule type="duplicateValues" dxfId="12865" priority="2395"/>
    <cfRule type="duplicateValues" dxfId="12864" priority="2396"/>
    <cfRule type="duplicateValues" dxfId="12863" priority="2397"/>
    <cfRule type="duplicateValues" dxfId="12862" priority="2398"/>
    <cfRule type="duplicateValues" dxfId="12861" priority="2399"/>
    <cfRule type="duplicateValues" dxfId="12860" priority="2400"/>
    <cfRule type="duplicateValues" dxfId="12859" priority="2401"/>
    <cfRule type="duplicateValues" dxfId="12858" priority="2402"/>
    <cfRule type="duplicateValues" dxfId="12857" priority="2403"/>
    <cfRule type="duplicateValues" dxfId="12856" priority="2404"/>
    <cfRule type="duplicateValues" dxfId="12855" priority="2405"/>
    <cfRule type="duplicateValues" dxfId="12854" priority="2406"/>
    <cfRule type="duplicateValues" dxfId="12853" priority="2407"/>
    <cfRule type="duplicateValues" dxfId="12852" priority="2408"/>
    <cfRule type="duplicateValues" dxfId="12851" priority="2409"/>
    <cfRule type="duplicateValues" dxfId="12850" priority="2410"/>
    <cfRule type="duplicateValues" dxfId="12849" priority="2411"/>
    <cfRule type="duplicateValues" dxfId="12848" priority="2412"/>
    <cfRule type="duplicateValues" dxfId="12847" priority="2413"/>
    <cfRule type="duplicateValues" dxfId="12846" priority="2414"/>
    <cfRule type="duplicateValues" dxfId="12845" priority="2415"/>
    <cfRule type="duplicateValues" dxfId="12844" priority="2416"/>
    <cfRule type="duplicateValues" dxfId="12843" priority="2417"/>
    <cfRule type="duplicateValues" dxfId="12842" priority="2418"/>
    <cfRule type="duplicateValues" dxfId="12841" priority="2419"/>
    <cfRule type="duplicateValues" dxfId="12840" priority="2420"/>
    <cfRule type="duplicateValues" dxfId="12839" priority="2421"/>
    <cfRule type="duplicateValues" dxfId="12838" priority="2422"/>
    <cfRule type="duplicateValues" dxfId="12837" priority="2423"/>
    <cfRule type="duplicateValues" dxfId="12836" priority="2424"/>
    <cfRule type="duplicateValues" dxfId="12835" priority="2425"/>
    <cfRule type="duplicateValues" dxfId="12834" priority="2426"/>
    <cfRule type="duplicateValues" dxfId="12833" priority="2427"/>
    <cfRule type="duplicateValues" dxfId="12832" priority="2428"/>
    <cfRule type="duplicateValues" dxfId="12831" priority="2429"/>
    <cfRule type="duplicateValues" dxfId="12830" priority="2430"/>
    <cfRule type="duplicateValues" dxfId="12829" priority="2431"/>
    <cfRule type="duplicateValues" dxfId="12828" priority="2432"/>
    <cfRule type="duplicateValues" dxfId="12827" priority="2433"/>
    <cfRule type="duplicateValues" dxfId="12826" priority="2434"/>
    <cfRule type="duplicateValues" dxfId="12825" priority="2435"/>
    <cfRule type="duplicateValues" dxfId="12824" priority="2436"/>
    <cfRule type="duplicateValues" dxfId="12823" priority="2437"/>
    <cfRule type="duplicateValues" dxfId="12822" priority="2438"/>
    <cfRule type="duplicateValues" dxfId="12821" priority="2439"/>
    <cfRule type="duplicateValues" dxfId="12820" priority="2440"/>
    <cfRule type="duplicateValues" dxfId="12819" priority="2441"/>
    <cfRule type="duplicateValues" dxfId="12818" priority="2442"/>
    <cfRule type="duplicateValues" dxfId="12817" priority="2443"/>
    <cfRule type="duplicateValues" dxfId="12816" priority="2444"/>
    <cfRule type="duplicateValues" dxfId="12815" priority="2445"/>
    <cfRule type="duplicateValues" dxfId="12814" priority="2446"/>
    <cfRule type="duplicateValues" dxfId="12813" priority="2447"/>
    <cfRule type="duplicateValues" dxfId="12812" priority="2448"/>
    <cfRule type="duplicateValues" dxfId="12811" priority="2449"/>
    <cfRule type="duplicateValues" dxfId="12810" priority="2450"/>
    <cfRule type="duplicateValues" dxfId="12809" priority="2451"/>
    <cfRule type="duplicateValues" dxfId="12808" priority="2452"/>
    <cfRule type="duplicateValues" dxfId="12807" priority="2453"/>
    <cfRule type="duplicateValues" dxfId="12806" priority="2458"/>
    <cfRule type="duplicateValues" dxfId="12805" priority="2457"/>
    <cfRule type="duplicateValues" dxfId="12804" priority="2456"/>
    <cfRule type="duplicateValues" dxfId="12803" priority="2455"/>
    <cfRule type="duplicateValues" dxfId="12802" priority="2454"/>
    <cfRule type="duplicateValues" dxfId="12801" priority="2519"/>
    <cfRule type="duplicateValues" dxfId="12800" priority="2518"/>
    <cfRule type="duplicateValues" dxfId="12799" priority="2517"/>
    <cfRule type="duplicateValues" dxfId="12798" priority="2516"/>
    <cfRule type="duplicateValues" dxfId="12797" priority="2515"/>
    <cfRule type="duplicateValues" dxfId="12796" priority="2514"/>
    <cfRule type="duplicateValues" dxfId="12795" priority="2513"/>
    <cfRule type="duplicateValues" dxfId="12794" priority="2512"/>
    <cfRule type="duplicateValues" dxfId="12793" priority="2511"/>
    <cfRule type="duplicateValues" dxfId="12792" priority="2510"/>
    <cfRule type="duplicateValues" dxfId="12791" priority="2509"/>
    <cfRule type="duplicateValues" dxfId="12790" priority="2508"/>
    <cfRule type="duplicateValues" dxfId="12789" priority="2507"/>
    <cfRule type="duplicateValues" dxfId="12788" priority="2506"/>
    <cfRule type="duplicateValues" dxfId="12787" priority="2505"/>
    <cfRule type="duplicateValues" dxfId="12786" priority="2504"/>
    <cfRule type="duplicateValues" dxfId="12785" priority="2503"/>
    <cfRule type="duplicateValues" dxfId="12784" priority="2527"/>
    <cfRule type="duplicateValues" dxfId="12783" priority="2526"/>
    <cfRule type="duplicateValues" dxfId="12782" priority="2525"/>
    <cfRule type="duplicateValues" dxfId="12781" priority="2530"/>
    <cfRule type="duplicateValues" dxfId="12780" priority="2529"/>
    <cfRule type="duplicateValues" dxfId="12779" priority="2528"/>
    <cfRule type="duplicateValues" dxfId="12778" priority="2524"/>
    <cfRule type="duplicateValues" dxfId="12777" priority="2523"/>
    <cfRule type="duplicateValues" dxfId="12776" priority="2522"/>
    <cfRule type="duplicateValues" dxfId="12775" priority="2521"/>
    <cfRule type="duplicateValues" dxfId="12774" priority="2520"/>
    <cfRule type="duplicateValues" dxfId="12773" priority="2502"/>
    <cfRule type="duplicateValues" dxfId="12772" priority="2501"/>
    <cfRule type="duplicateValues" dxfId="12771" priority="2500"/>
    <cfRule type="duplicateValues" dxfId="12770" priority="2499"/>
    <cfRule type="duplicateValues" dxfId="12769" priority="2498"/>
    <cfRule type="duplicateValues" dxfId="12768" priority="2497"/>
    <cfRule type="duplicateValues" dxfId="12767" priority="2496"/>
    <cfRule type="duplicateValues" dxfId="12766" priority="2495"/>
    <cfRule type="duplicateValues" dxfId="12765" priority="2494"/>
    <cfRule type="duplicateValues" dxfId="12764" priority="2493"/>
    <cfRule type="duplicateValues" dxfId="12763" priority="2492"/>
    <cfRule type="duplicateValues" dxfId="12762" priority="2491"/>
    <cfRule type="duplicateValues" dxfId="12761" priority="2490"/>
    <cfRule type="duplicateValues" dxfId="12760" priority="2489"/>
    <cfRule type="duplicateValues" dxfId="12759" priority="2488"/>
    <cfRule type="duplicateValues" dxfId="12758" priority="2487"/>
    <cfRule type="duplicateValues" dxfId="12757" priority="2486"/>
    <cfRule type="duplicateValues" dxfId="12756" priority="2485"/>
    <cfRule type="duplicateValues" dxfId="12755" priority="2484"/>
    <cfRule type="duplicateValues" dxfId="12754" priority="2483"/>
    <cfRule type="duplicateValues" dxfId="12753" priority="2482"/>
    <cfRule type="duplicateValues" dxfId="12752" priority="2481"/>
    <cfRule type="duplicateValues" dxfId="12751" priority="2480"/>
    <cfRule type="duplicateValues" dxfId="12750" priority="2479"/>
    <cfRule type="duplicateValues" dxfId="12749" priority="2478"/>
    <cfRule type="duplicateValues" dxfId="12748" priority="2477"/>
    <cfRule type="duplicateValues" dxfId="12747" priority="2476"/>
    <cfRule type="duplicateValues" dxfId="12746" priority="2475"/>
    <cfRule type="duplicateValues" dxfId="12745" priority="2474"/>
    <cfRule type="duplicateValues" dxfId="12744" priority="2473"/>
    <cfRule type="duplicateValues" dxfId="12743" priority="2472"/>
    <cfRule type="duplicateValues" dxfId="12742" priority="2471"/>
    <cfRule type="duplicateValues" dxfId="12741" priority="2470"/>
    <cfRule type="duplicateValues" dxfId="12740" priority="2469"/>
    <cfRule type="duplicateValues" dxfId="12739" priority="2468"/>
    <cfRule type="duplicateValues" dxfId="12738" priority="2467"/>
    <cfRule type="duplicateValues" dxfId="12737" priority="2466"/>
    <cfRule type="duplicateValues" dxfId="12736" priority="2465"/>
    <cfRule type="duplicateValues" dxfId="12735" priority="2464"/>
    <cfRule type="duplicateValues" dxfId="12734" priority="2463"/>
    <cfRule type="duplicateValues" dxfId="12733" priority="2462"/>
    <cfRule type="duplicateValues" dxfId="12732" priority="2461"/>
    <cfRule type="duplicateValues" dxfId="12731" priority="2460"/>
    <cfRule type="duplicateValues" dxfId="12730" priority="2459"/>
    <cfRule type="duplicateValues" dxfId="12729" priority="1371"/>
    <cfRule type="duplicateValues" dxfId="12728" priority="1372"/>
    <cfRule type="duplicateValues" dxfId="12727" priority="1373"/>
    <cfRule type="duplicateValues" dxfId="12726" priority="1374"/>
    <cfRule type="duplicateValues" dxfId="12725" priority="1375"/>
    <cfRule type="duplicateValues" dxfId="12724" priority="1376"/>
    <cfRule type="duplicateValues" dxfId="12723" priority="1377"/>
    <cfRule type="duplicateValues" dxfId="12722" priority="1378"/>
    <cfRule type="duplicateValues" dxfId="12721" priority="1379"/>
    <cfRule type="duplicateValues" dxfId="12720" priority="1380"/>
    <cfRule type="duplicateValues" dxfId="12719" priority="1381"/>
    <cfRule type="duplicateValues" dxfId="12718" priority="1382"/>
    <cfRule type="duplicateValues" dxfId="12717" priority="1383"/>
    <cfRule type="duplicateValues" dxfId="12716" priority="1384"/>
    <cfRule type="duplicateValues" dxfId="12715" priority="1385"/>
    <cfRule type="duplicateValues" dxfId="12714" priority="1386"/>
    <cfRule type="duplicateValues" dxfId="12713" priority="1387"/>
    <cfRule type="duplicateValues" dxfId="12712" priority="1388"/>
    <cfRule type="duplicateValues" dxfId="12711" priority="1389"/>
    <cfRule type="duplicateValues" dxfId="12710" priority="1390"/>
    <cfRule type="duplicateValues" dxfId="12709" priority="1391"/>
    <cfRule type="duplicateValues" dxfId="12708" priority="1392"/>
    <cfRule type="duplicateValues" dxfId="12707" priority="1393"/>
    <cfRule type="duplicateValues" dxfId="12706" priority="1394"/>
    <cfRule type="duplicateValues" dxfId="12705" priority="1395"/>
    <cfRule type="duplicateValues" dxfId="12704" priority="1396"/>
    <cfRule type="duplicateValues" dxfId="12703" priority="1397"/>
    <cfRule type="duplicateValues" dxfId="12702" priority="1398"/>
    <cfRule type="duplicateValues" dxfId="12701" priority="1399"/>
    <cfRule type="duplicateValues" dxfId="12700" priority="1400"/>
    <cfRule type="duplicateValues" dxfId="12699" priority="1401"/>
    <cfRule type="duplicateValues" dxfId="12698" priority="1402"/>
    <cfRule type="duplicateValues" dxfId="12697" priority="1403"/>
    <cfRule type="duplicateValues" dxfId="12696" priority="1404"/>
    <cfRule type="duplicateValues" dxfId="12695" priority="1405"/>
    <cfRule type="duplicateValues" dxfId="12694" priority="1406"/>
    <cfRule type="duplicateValues" dxfId="12693" priority="1407"/>
    <cfRule type="duplicateValues" dxfId="12692" priority="1408"/>
    <cfRule type="duplicateValues" dxfId="12691" priority="1409"/>
    <cfRule type="duplicateValues" dxfId="12690" priority="1410"/>
    <cfRule type="duplicateValues" dxfId="12689" priority="1411"/>
    <cfRule type="duplicateValues" dxfId="12688" priority="1412"/>
    <cfRule type="duplicateValues" dxfId="12687" priority="1413"/>
    <cfRule type="duplicateValues" dxfId="12686" priority="1414"/>
    <cfRule type="duplicateValues" dxfId="12685" priority="1415"/>
    <cfRule type="duplicateValues" dxfId="12684" priority="1416"/>
    <cfRule type="duplicateValues" dxfId="12683" priority="1417"/>
    <cfRule type="duplicateValues" dxfId="12682" priority="1418"/>
    <cfRule type="duplicateValues" dxfId="12681" priority="1419"/>
    <cfRule type="duplicateValues" dxfId="12680" priority="1420"/>
    <cfRule type="duplicateValues" dxfId="12679" priority="1421"/>
    <cfRule type="duplicateValues" dxfId="12678" priority="1422"/>
    <cfRule type="duplicateValues" dxfId="12677" priority="1423"/>
    <cfRule type="duplicateValues" dxfId="12676" priority="1424"/>
    <cfRule type="duplicateValues" dxfId="12675" priority="1425"/>
    <cfRule type="duplicateValues" dxfId="12674" priority="1426"/>
    <cfRule type="duplicateValues" dxfId="12673" priority="1427"/>
    <cfRule type="duplicateValues" dxfId="12672" priority="1428"/>
    <cfRule type="duplicateValues" dxfId="12671" priority="1429"/>
    <cfRule type="duplicateValues" dxfId="12670" priority="1430"/>
    <cfRule type="duplicateValues" dxfId="12669" priority="1431"/>
    <cfRule type="duplicateValues" dxfId="12668" priority="1432"/>
    <cfRule type="duplicateValues" dxfId="12667" priority="1433"/>
    <cfRule type="duplicateValues" dxfId="12666" priority="1434"/>
    <cfRule type="duplicateValues" dxfId="12665" priority="1435"/>
    <cfRule type="duplicateValues" dxfId="12664" priority="1436"/>
    <cfRule type="duplicateValues" dxfId="12663" priority="1437"/>
    <cfRule type="duplicateValues" dxfId="12662" priority="1438"/>
    <cfRule type="duplicateValues" dxfId="12661" priority="1439"/>
    <cfRule type="duplicateValues" dxfId="12660" priority="1440"/>
    <cfRule type="duplicateValues" dxfId="12659" priority="1441"/>
    <cfRule type="duplicateValues" dxfId="12658" priority="1442"/>
    <cfRule type="duplicateValues" dxfId="12657" priority="1443"/>
    <cfRule type="duplicateValues" dxfId="12656" priority="1444"/>
    <cfRule type="duplicateValues" dxfId="12655" priority="1445"/>
    <cfRule type="duplicateValues" dxfId="12654" priority="1446"/>
    <cfRule type="duplicateValues" dxfId="12653" priority="1447"/>
    <cfRule type="duplicateValues" dxfId="12652" priority="1448"/>
    <cfRule type="duplicateValues" dxfId="12651" priority="1449"/>
    <cfRule type="duplicateValues" dxfId="12650" priority="1450"/>
    <cfRule type="duplicateValues" dxfId="12649" priority="1451"/>
    <cfRule type="duplicateValues" dxfId="12648" priority="1452"/>
    <cfRule type="duplicateValues" dxfId="12647" priority="1453"/>
    <cfRule type="duplicateValues" dxfId="12646" priority="1454"/>
    <cfRule type="duplicateValues" dxfId="12645" priority="1455"/>
    <cfRule type="duplicateValues" dxfId="12644" priority="1456"/>
    <cfRule type="duplicateValues" dxfId="12643" priority="1457"/>
    <cfRule type="duplicateValues" dxfId="12642" priority="1458"/>
    <cfRule type="duplicateValues" dxfId="12641" priority="1459"/>
    <cfRule type="duplicateValues" dxfId="12640" priority="1460"/>
    <cfRule type="duplicateValues" dxfId="12639" priority="1461"/>
    <cfRule type="duplicateValues" dxfId="12638" priority="1462"/>
    <cfRule type="duplicateValues" dxfId="12637" priority="1463"/>
    <cfRule type="duplicateValues" dxfId="12636" priority="1464"/>
    <cfRule type="duplicateValues" dxfId="12635" priority="1465"/>
    <cfRule type="duplicateValues" dxfId="12634" priority="1466"/>
    <cfRule type="duplicateValues" dxfId="12633" priority="1467"/>
    <cfRule type="duplicateValues" dxfId="12632" priority="1468"/>
    <cfRule type="duplicateValues" dxfId="12631" priority="1469"/>
    <cfRule type="duplicateValues" dxfId="12630" priority="1470"/>
    <cfRule type="duplicateValues" dxfId="12629" priority="1471"/>
    <cfRule type="duplicateValues" dxfId="12628" priority="1472"/>
    <cfRule type="duplicateValues" dxfId="12627" priority="1473"/>
    <cfRule type="duplicateValues" dxfId="12626" priority="1474"/>
    <cfRule type="duplicateValues" dxfId="12625" priority="1475"/>
    <cfRule type="duplicateValues" dxfId="12624" priority="1476"/>
    <cfRule type="duplicateValues" dxfId="12623" priority="1477"/>
    <cfRule type="duplicateValues" dxfId="12622" priority="1478"/>
    <cfRule type="duplicateValues" dxfId="12621" priority="1479"/>
    <cfRule type="duplicateValues" dxfId="12620" priority="1480"/>
    <cfRule type="duplicateValues" dxfId="12619" priority="1481"/>
    <cfRule type="duplicateValues" dxfId="12618" priority="1482"/>
    <cfRule type="duplicateValues" dxfId="12617" priority="1483"/>
    <cfRule type="duplicateValues" dxfId="12616" priority="1484"/>
    <cfRule type="duplicateValues" dxfId="12615" priority="1485"/>
    <cfRule type="duplicateValues" dxfId="12614" priority="1486"/>
    <cfRule type="duplicateValues" dxfId="12613" priority="1487"/>
    <cfRule type="duplicateValues" dxfId="12612" priority="1488"/>
    <cfRule type="duplicateValues" dxfId="12611" priority="1489"/>
    <cfRule type="duplicateValues" dxfId="12610" priority="1490"/>
    <cfRule type="duplicateValues" dxfId="12609" priority="1491"/>
    <cfRule type="duplicateValues" dxfId="12608" priority="1492"/>
    <cfRule type="duplicateValues" dxfId="12607" priority="1493"/>
    <cfRule type="duplicateValues" dxfId="12606" priority="1494"/>
    <cfRule type="duplicateValues" dxfId="12605" priority="1495"/>
    <cfRule type="duplicateValues" dxfId="12604" priority="1496"/>
    <cfRule type="duplicateValues" dxfId="12603" priority="1497"/>
    <cfRule type="duplicateValues" dxfId="12602" priority="1498"/>
    <cfRule type="duplicateValues" dxfId="12601" priority="1499"/>
    <cfRule type="duplicateValues" dxfId="12600" priority="1500"/>
    <cfRule type="duplicateValues" dxfId="12599" priority="1501"/>
    <cfRule type="duplicateValues" dxfId="12598" priority="1502"/>
    <cfRule type="duplicateValues" dxfId="12597" priority="1503"/>
    <cfRule type="duplicateValues" dxfId="12596" priority="1504"/>
    <cfRule type="duplicateValues" dxfId="12595" priority="1505"/>
    <cfRule type="duplicateValues" dxfId="12594" priority="1506"/>
    <cfRule type="duplicateValues" dxfId="12593" priority="1507"/>
    <cfRule type="duplicateValues" dxfId="12592" priority="1508"/>
    <cfRule type="duplicateValues" dxfId="12591" priority="1509"/>
    <cfRule type="duplicateValues" dxfId="12590" priority="1510"/>
    <cfRule type="duplicateValues" dxfId="12589" priority="1511"/>
    <cfRule type="duplicateValues" dxfId="12588" priority="1512"/>
    <cfRule type="duplicateValues" dxfId="12587" priority="1513"/>
    <cfRule type="duplicateValues" dxfId="12586" priority="1514"/>
    <cfRule type="duplicateValues" dxfId="12585" priority="1515"/>
    <cfRule type="duplicateValues" dxfId="12584" priority="1516"/>
    <cfRule type="duplicateValues" dxfId="12583" priority="1517"/>
    <cfRule type="duplicateValues" dxfId="12582" priority="1518"/>
    <cfRule type="duplicateValues" dxfId="12581" priority="1519"/>
    <cfRule type="duplicateValues" dxfId="12580" priority="1520"/>
    <cfRule type="duplicateValues" dxfId="12579" priority="1521"/>
    <cfRule type="duplicateValues" dxfId="12578" priority="1522"/>
    <cfRule type="duplicateValues" dxfId="12577" priority="1523"/>
    <cfRule type="duplicateValues" dxfId="12576" priority="1524"/>
    <cfRule type="duplicateValues" dxfId="12575" priority="1525"/>
    <cfRule type="duplicateValues" dxfId="12574" priority="1526"/>
    <cfRule type="duplicateValues" dxfId="12573" priority="1527"/>
    <cfRule type="duplicateValues" dxfId="12572" priority="1528"/>
    <cfRule type="duplicateValues" dxfId="12571" priority="1529"/>
    <cfRule type="duplicateValues" dxfId="12570" priority="1530"/>
    <cfRule type="duplicateValues" dxfId="12569" priority="1531"/>
    <cfRule type="duplicateValues" dxfId="12568" priority="1532"/>
    <cfRule type="duplicateValues" dxfId="12567" priority="1533"/>
    <cfRule type="duplicateValues" dxfId="12566" priority="1534"/>
    <cfRule type="duplicateValues" dxfId="12565" priority="1535"/>
    <cfRule type="duplicateValues" dxfId="12564" priority="1536"/>
    <cfRule type="duplicateValues" dxfId="12563" priority="1537"/>
    <cfRule type="duplicateValues" dxfId="12562" priority="1538"/>
    <cfRule type="duplicateValues" dxfId="12561" priority="1539"/>
    <cfRule type="duplicateValues" dxfId="12560" priority="1540"/>
    <cfRule type="duplicateValues" dxfId="12559" priority="1541"/>
    <cfRule type="duplicateValues" dxfId="12558" priority="1542"/>
    <cfRule type="duplicateValues" dxfId="12557" priority="1543"/>
    <cfRule type="duplicateValues" dxfId="12556" priority="1544"/>
    <cfRule type="duplicateValues" dxfId="12555" priority="1545"/>
    <cfRule type="duplicateValues" dxfId="12554" priority="1546"/>
    <cfRule type="duplicateValues" dxfId="12553" priority="1547"/>
    <cfRule type="duplicateValues" dxfId="12552" priority="1548"/>
    <cfRule type="duplicateValues" dxfId="12551" priority="1549"/>
    <cfRule type="duplicateValues" dxfId="12550" priority="1550"/>
    <cfRule type="duplicateValues" dxfId="12549" priority="1551"/>
    <cfRule type="duplicateValues" dxfId="12548" priority="1552"/>
    <cfRule type="duplicateValues" dxfId="12547" priority="1553"/>
    <cfRule type="duplicateValues" dxfId="12546" priority="1554"/>
    <cfRule type="duplicateValues" dxfId="12545" priority="1555"/>
    <cfRule type="duplicateValues" dxfId="12544" priority="1556"/>
    <cfRule type="duplicateValues" dxfId="12543" priority="1557"/>
    <cfRule type="duplicateValues" dxfId="12542" priority="1558"/>
    <cfRule type="duplicateValues" dxfId="12541" priority="1559"/>
    <cfRule type="duplicateValues" dxfId="12540" priority="1560"/>
    <cfRule type="duplicateValues" dxfId="12539" priority="1561"/>
    <cfRule type="duplicateValues" dxfId="12538" priority="1562"/>
    <cfRule type="duplicateValues" dxfId="12537" priority="1563"/>
    <cfRule type="duplicateValues" dxfId="12536" priority="1564"/>
    <cfRule type="duplicateValues" dxfId="12535" priority="1565"/>
    <cfRule type="duplicateValues" dxfId="12534" priority="1566"/>
    <cfRule type="duplicateValues" dxfId="12533" priority="1567"/>
    <cfRule type="duplicateValues" dxfId="12532" priority="1568"/>
    <cfRule type="duplicateValues" dxfId="12531" priority="1569"/>
    <cfRule type="duplicateValues" dxfId="12530" priority="1570"/>
    <cfRule type="duplicateValues" dxfId="12529" priority="1571"/>
    <cfRule type="duplicateValues" dxfId="12528" priority="1572"/>
    <cfRule type="duplicateValues" dxfId="12527" priority="1573"/>
    <cfRule type="duplicateValues" dxfId="12526" priority="1574"/>
    <cfRule type="duplicateValues" dxfId="12525" priority="1575"/>
    <cfRule type="duplicateValues" dxfId="12524" priority="1576"/>
    <cfRule type="duplicateValues" dxfId="12523" priority="1577"/>
    <cfRule type="duplicateValues" dxfId="12522" priority="1578"/>
    <cfRule type="duplicateValues" dxfId="12521" priority="1579"/>
    <cfRule type="duplicateValues" dxfId="12520" priority="1580"/>
    <cfRule type="duplicateValues" dxfId="12519" priority="1581"/>
    <cfRule type="duplicateValues" dxfId="12518" priority="1582"/>
    <cfRule type="duplicateValues" dxfId="12517" priority="1583"/>
    <cfRule type="duplicateValues" dxfId="12516" priority="1584"/>
    <cfRule type="duplicateValues" dxfId="12515" priority="1585"/>
    <cfRule type="duplicateValues" dxfId="12514" priority="1586"/>
    <cfRule type="duplicateValues" dxfId="12513" priority="1587"/>
    <cfRule type="duplicateValues" dxfId="12512" priority="1588"/>
    <cfRule type="duplicateValues" dxfId="12511" priority="1589"/>
    <cfRule type="duplicateValues" dxfId="12510" priority="1590"/>
    <cfRule type="duplicateValues" dxfId="12509" priority="1591"/>
    <cfRule type="duplicateValues" dxfId="12508" priority="1592"/>
    <cfRule type="duplicateValues" dxfId="12507" priority="1593"/>
    <cfRule type="duplicateValues" dxfId="12506" priority="1594"/>
    <cfRule type="duplicateValues" dxfId="12505" priority="1595"/>
    <cfRule type="duplicateValues" dxfId="12504" priority="1596"/>
    <cfRule type="duplicateValues" dxfId="12503" priority="1597"/>
    <cfRule type="duplicateValues" dxfId="12502" priority="1598"/>
    <cfRule type="duplicateValues" dxfId="12501" priority="1599"/>
    <cfRule type="duplicateValues" dxfId="12500" priority="1600"/>
    <cfRule type="duplicateValues" dxfId="12499" priority="1601"/>
    <cfRule type="duplicateValues" dxfId="12498" priority="1602"/>
    <cfRule type="duplicateValues" dxfId="12497" priority="1603"/>
    <cfRule type="duplicateValues" dxfId="12496" priority="1604"/>
    <cfRule type="duplicateValues" dxfId="12495" priority="1605"/>
    <cfRule type="duplicateValues" dxfId="12494" priority="1606"/>
    <cfRule type="duplicateValues" dxfId="12493" priority="1607"/>
    <cfRule type="duplicateValues" dxfId="12492" priority="1608"/>
    <cfRule type="duplicateValues" dxfId="12491" priority="1609"/>
    <cfRule type="duplicateValues" dxfId="12490" priority="1610"/>
    <cfRule type="duplicateValues" dxfId="12489" priority="1611"/>
    <cfRule type="duplicateValues" dxfId="12488" priority="1612"/>
    <cfRule type="duplicateValues" dxfId="12487" priority="1613"/>
    <cfRule type="duplicateValues" dxfId="12486" priority="1614"/>
    <cfRule type="duplicateValues" dxfId="12485" priority="1615"/>
    <cfRule type="duplicateValues" dxfId="12484" priority="1616"/>
    <cfRule type="duplicateValues" dxfId="12483" priority="1617"/>
    <cfRule type="duplicateValues" dxfId="12482" priority="1618"/>
    <cfRule type="duplicateValues" dxfId="12481" priority="1619"/>
    <cfRule type="duplicateValues" dxfId="12480" priority="1620"/>
    <cfRule type="duplicateValues" dxfId="12479" priority="1621"/>
    <cfRule type="duplicateValues" dxfId="12478" priority="1622"/>
    <cfRule type="duplicateValues" dxfId="12477" priority="1623"/>
    <cfRule type="duplicateValues" dxfId="12476" priority="1624"/>
    <cfRule type="duplicateValues" dxfId="12475" priority="1625"/>
    <cfRule type="duplicateValues" dxfId="12474" priority="1626"/>
    <cfRule type="duplicateValues" dxfId="12473" priority="1627"/>
    <cfRule type="duplicateValues" dxfId="12472" priority="1628"/>
    <cfRule type="duplicateValues" dxfId="12471" priority="1629"/>
    <cfRule type="duplicateValues" dxfId="12470" priority="1630"/>
    <cfRule type="duplicateValues" dxfId="12469" priority="1631"/>
    <cfRule type="duplicateValues" dxfId="12468" priority="1632"/>
    <cfRule type="duplicateValues" dxfId="12467" priority="1633"/>
    <cfRule type="duplicateValues" dxfId="12466" priority="1634"/>
    <cfRule type="duplicateValues" dxfId="12465" priority="1635"/>
    <cfRule type="duplicateValues" dxfId="12464" priority="1636"/>
    <cfRule type="duplicateValues" dxfId="12463" priority="1637"/>
    <cfRule type="duplicateValues" dxfId="12462" priority="1638"/>
    <cfRule type="duplicateValues" dxfId="12461" priority="1639"/>
    <cfRule type="duplicateValues" dxfId="12460" priority="1640"/>
    <cfRule type="duplicateValues" dxfId="12459" priority="1641"/>
    <cfRule type="duplicateValues" dxfId="12458" priority="1642"/>
    <cfRule type="duplicateValues" dxfId="12457" priority="1643"/>
    <cfRule type="duplicateValues" dxfId="12456" priority="1644"/>
    <cfRule type="duplicateValues" dxfId="12455" priority="1645"/>
    <cfRule type="duplicateValues" dxfId="12454" priority="1646"/>
    <cfRule type="duplicateValues" dxfId="12453" priority="1647"/>
    <cfRule type="duplicateValues" dxfId="12452" priority="1648"/>
    <cfRule type="duplicateValues" dxfId="12451" priority="1649"/>
    <cfRule type="duplicateValues" dxfId="12450" priority="1650"/>
    <cfRule type="duplicateValues" dxfId="12449" priority="1651"/>
    <cfRule type="duplicateValues" dxfId="12448" priority="1652"/>
    <cfRule type="duplicateValues" dxfId="12447" priority="1653"/>
    <cfRule type="duplicateValues" dxfId="12446" priority="1654"/>
    <cfRule type="duplicateValues" dxfId="12445" priority="1655"/>
    <cfRule type="duplicateValues" dxfId="12444" priority="1656"/>
    <cfRule type="duplicateValues" dxfId="12443" priority="1657"/>
    <cfRule type="duplicateValues" dxfId="12442" priority="1658"/>
    <cfRule type="duplicateValues" dxfId="12441" priority="1659"/>
    <cfRule type="duplicateValues" dxfId="12440" priority="1660"/>
    <cfRule type="duplicateValues" dxfId="12439" priority="1661"/>
    <cfRule type="duplicateValues" dxfId="12438" priority="1662"/>
    <cfRule type="duplicateValues" dxfId="12437" priority="1663"/>
    <cfRule type="duplicateValues" dxfId="12436" priority="1664"/>
    <cfRule type="duplicateValues" dxfId="12435" priority="1665"/>
    <cfRule type="duplicateValues" dxfId="12434" priority="1666"/>
    <cfRule type="duplicateValues" dxfId="12433" priority="1667"/>
    <cfRule type="duplicateValues" dxfId="12432" priority="1668"/>
    <cfRule type="duplicateValues" dxfId="12431" priority="1669"/>
    <cfRule type="duplicateValues" dxfId="12430" priority="1670"/>
    <cfRule type="duplicateValues" dxfId="12429" priority="1671"/>
    <cfRule type="duplicateValues" dxfId="12428" priority="1672"/>
    <cfRule type="duplicateValues" dxfId="12427" priority="1673"/>
    <cfRule type="duplicateValues" dxfId="12426" priority="1674"/>
    <cfRule type="duplicateValues" dxfId="12425" priority="1675"/>
    <cfRule type="duplicateValues" dxfId="12424" priority="1676"/>
    <cfRule type="duplicateValues" dxfId="12423" priority="1677"/>
    <cfRule type="duplicateValues" dxfId="12422" priority="1678"/>
    <cfRule type="duplicateValues" dxfId="12421" priority="1679"/>
    <cfRule type="duplicateValues" dxfId="12420" priority="1680"/>
    <cfRule type="duplicateValues" dxfId="12419" priority="1681"/>
    <cfRule type="duplicateValues" dxfId="12418" priority="1682"/>
    <cfRule type="duplicateValues" dxfId="12417" priority="1683"/>
    <cfRule type="duplicateValues" dxfId="12416" priority="1684"/>
    <cfRule type="duplicateValues" dxfId="12415" priority="1685"/>
    <cfRule type="duplicateValues" dxfId="12414" priority="1686"/>
    <cfRule type="duplicateValues" dxfId="12413" priority="1687"/>
    <cfRule type="duplicateValues" dxfId="12412" priority="1688"/>
    <cfRule type="duplicateValues" dxfId="12411" priority="1689"/>
    <cfRule type="duplicateValues" dxfId="12410" priority="1690"/>
    <cfRule type="duplicateValues" dxfId="12409" priority="1691"/>
    <cfRule type="duplicateValues" dxfId="12408" priority="1692"/>
    <cfRule type="duplicateValues" dxfId="12407" priority="1693"/>
    <cfRule type="duplicateValues" dxfId="12406" priority="1694"/>
    <cfRule type="duplicateValues" dxfId="12405" priority="1695"/>
    <cfRule type="duplicateValues" dxfId="12404" priority="1696"/>
    <cfRule type="duplicateValues" dxfId="12403" priority="1697"/>
    <cfRule type="duplicateValues" dxfId="12402" priority="1698"/>
    <cfRule type="duplicateValues" dxfId="12401" priority="1699"/>
    <cfRule type="duplicateValues" dxfId="12400" priority="1700"/>
    <cfRule type="duplicateValues" dxfId="12399" priority="1701"/>
    <cfRule type="duplicateValues" dxfId="12398" priority="1702"/>
    <cfRule type="duplicateValues" dxfId="12397" priority="1703"/>
    <cfRule type="duplicateValues" dxfId="12396" priority="1704"/>
    <cfRule type="duplicateValues" dxfId="12395" priority="1705"/>
    <cfRule type="duplicateValues" dxfId="12394" priority="1706"/>
    <cfRule type="duplicateValues" dxfId="12393" priority="1707"/>
    <cfRule type="duplicateValues" dxfId="12392" priority="1708"/>
    <cfRule type="duplicateValues" dxfId="12391" priority="1709"/>
    <cfRule type="duplicateValues" dxfId="12390" priority="1710"/>
    <cfRule type="duplicateValues" dxfId="12389" priority="1711"/>
    <cfRule type="duplicateValues" dxfId="12388" priority="1712"/>
    <cfRule type="duplicateValues" dxfId="12387" priority="1713"/>
    <cfRule type="duplicateValues" dxfId="12386" priority="1714"/>
    <cfRule type="duplicateValues" dxfId="12385" priority="1715"/>
    <cfRule type="duplicateValues" dxfId="12384" priority="1716"/>
    <cfRule type="duplicateValues" dxfId="12383" priority="1717"/>
    <cfRule type="duplicateValues" dxfId="12382" priority="1718"/>
    <cfRule type="duplicateValues" dxfId="12381" priority="1719"/>
    <cfRule type="duplicateValues" dxfId="12380" priority="1720"/>
    <cfRule type="duplicateValues" dxfId="12379" priority="1721"/>
    <cfRule type="duplicateValues" dxfId="12378" priority="1722"/>
    <cfRule type="duplicateValues" dxfId="12377" priority="1723"/>
    <cfRule type="duplicateValues" dxfId="12376" priority="1724"/>
    <cfRule type="duplicateValues" dxfId="12375" priority="1725"/>
    <cfRule type="duplicateValues" dxfId="12374" priority="1726"/>
    <cfRule type="duplicateValues" dxfId="12373" priority="1727"/>
    <cfRule type="duplicateValues" dxfId="12372" priority="1728"/>
    <cfRule type="duplicateValues" dxfId="12371" priority="1729"/>
    <cfRule type="duplicateValues" dxfId="12370" priority="1730"/>
    <cfRule type="duplicateValues" dxfId="12369" priority="1731"/>
    <cfRule type="duplicateValues" dxfId="12368" priority="1732"/>
    <cfRule type="duplicateValues" dxfId="12367" priority="1733"/>
    <cfRule type="duplicateValues" dxfId="12366" priority="1734"/>
    <cfRule type="duplicateValues" dxfId="12365" priority="1735"/>
    <cfRule type="duplicateValues" dxfId="12364" priority="1736"/>
    <cfRule type="duplicateValues" dxfId="12363" priority="1737"/>
    <cfRule type="duplicateValues" dxfId="12362" priority="1738"/>
    <cfRule type="duplicateValues" dxfId="12361" priority="1739"/>
    <cfRule type="duplicateValues" dxfId="12360" priority="1740"/>
    <cfRule type="duplicateValues" dxfId="12359" priority="1741"/>
    <cfRule type="duplicateValues" dxfId="12358" priority="1742"/>
    <cfRule type="duplicateValues" dxfId="12357" priority="1743"/>
    <cfRule type="duplicateValues" dxfId="12356" priority="1744"/>
    <cfRule type="duplicateValues" dxfId="12355" priority="1745"/>
    <cfRule type="duplicateValues" dxfId="12354" priority="1746"/>
    <cfRule type="duplicateValues" dxfId="12353" priority="1747"/>
    <cfRule type="duplicateValues" dxfId="12352" priority="1748"/>
    <cfRule type="duplicateValues" dxfId="12351" priority="1749"/>
    <cfRule type="duplicateValues" dxfId="12350" priority="1750"/>
    <cfRule type="duplicateValues" dxfId="12349" priority="1751"/>
    <cfRule type="duplicateValues" dxfId="12348" priority="1752"/>
    <cfRule type="duplicateValues" dxfId="12347" priority="1753"/>
    <cfRule type="duplicateValues" dxfId="12346" priority="1754"/>
    <cfRule type="duplicateValues" dxfId="12345" priority="1755"/>
    <cfRule type="duplicateValues" dxfId="12344" priority="1756"/>
    <cfRule type="duplicateValues" dxfId="12343" priority="1757"/>
    <cfRule type="duplicateValues" dxfId="12342" priority="1758"/>
    <cfRule type="duplicateValues" dxfId="12341" priority="1759"/>
    <cfRule type="duplicateValues" dxfId="12340" priority="1760"/>
    <cfRule type="duplicateValues" dxfId="12339" priority="1761"/>
    <cfRule type="duplicateValues" dxfId="12338" priority="1762"/>
    <cfRule type="duplicateValues" dxfId="12337" priority="1763"/>
    <cfRule type="duplicateValues" dxfId="12336" priority="1764"/>
    <cfRule type="duplicateValues" dxfId="12335" priority="1765"/>
    <cfRule type="duplicateValues" dxfId="12334" priority="1766"/>
    <cfRule type="duplicateValues" dxfId="12333" priority="1767"/>
    <cfRule type="duplicateValues" dxfId="12332" priority="1768"/>
    <cfRule type="duplicateValues" dxfId="12331" priority="1769"/>
    <cfRule type="duplicateValues" dxfId="12330" priority="1770"/>
    <cfRule type="duplicateValues" dxfId="12329" priority="1771"/>
    <cfRule type="duplicateValues" dxfId="12328" priority="1772"/>
    <cfRule type="duplicateValues" dxfId="12327" priority="1773"/>
    <cfRule type="duplicateValues" dxfId="12326" priority="1774"/>
    <cfRule type="duplicateValues" dxfId="12325" priority="1775"/>
    <cfRule type="duplicateValues" dxfId="12324" priority="1776"/>
    <cfRule type="duplicateValues" dxfId="12323" priority="1777"/>
    <cfRule type="duplicateValues" dxfId="12322" priority="1778"/>
    <cfRule type="duplicateValues" dxfId="12321" priority="1779"/>
    <cfRule type="duplicateValues" dxfId="12320" priority="1780"/>
    <cfRule type="duplicateValues" dxfId="12319" priority="1781"/>
    <cfRule type="duplicateValues" dxfId="12318" priority="1782"/>
    <cfRule type="duplicateValues" dxfId="12317" priority="1783"/>
    <cfRule type="duplicateValues" dxfId="12316" priority="1784"/>
    <cfRule type="duplicateValues" dxfId="12315" priority="1785"/>
    <cfRule type="duplicateValues" dxfId="12314" priority="1786"/>
    <cfRule type="duplicateValues" dxfId="12313" priority="1787"/>
    <cfRule type="duplicateValues" dxfId="12312" priority="1788"/>
    <cfRule type="duplicateValues" dxfId="12311" priority="1789"/>
    <cfRule type="duplicateValues" dxfId="12310" priority="1790"/>
    <cfRule type="duplicateValues" dxfId="12309" priority="1791"/>
    <cfRule type="duplicateValues" dxfId="12308" priority="1792"/>
    <cfRule type="duplicateValues" dxfId="12307" priority="1793"/>
    <cfRule type="duplicateValues" dxfId="12306" priority="1794"/>
    <cfRule type="duplicateValues" dxfId="12305" priority="1795"/>
    <cfRule type="duplicateValues" dxfId="12304" priority="1796"/>
    <cfRule type="duplicateValues" dxfId="12303" priority="1797"/>
    <cfRule type="duplicateValues" dxfId="12302" priority="1798"/>
    <cfRule type="duplicateValues" dxfId="12301" priority="1799"/>
    <cfRule type="duplicateValues" dxfId="12300" priority="1800"/>
    <cfRule type="duplicateValues" dxfId="12299" priority="1801"/>
    <cfRule type="duplicateValues" dxfId="12298" priority="1802"/>
    <cfRule type="duplicateValues" dxfId="12297" priority="1803"/>
    <cfRule type="duplicateValues" dxfId="12296" priority="1804"/>
    <cfRule type="duplicateValues" dxfId="12295" priority="1805"/>
    <cfRule type="duplicateValues" dxfId="12294" priority="1806"/>
    <cfRule type="duplicateValues" dxfId="12293" priority="1807"/>
    <cfRule type="duplicateValues" dxfId="12292" priority="1808"/>
    <cfRule type="duplicateValues" dxfId="12291" priority="1809"/>
    <cfRule type="duplicateValues" dxfId="12290" priority="1810"/>
    <cfRule type="duplicateValues" dxfId="12289" priority="1811"/>
    <cfRule type="duplicateValues" dxfId="12288" priority="1812"/>
    <cfRule type="duplicateValues" dxfId="12287" priority="1813"/>
    <cfRule type="duplicateValues" dxfId="12286" priority="1814"/>
    <cfRule type="duplicateValues" dxfId="12285" priority="1815"/>
    <cfRule type="duplicateValues" dxfId="12284" priority="1816"/>
    <cfRule type="duplicateValues" dxfId="12283" priority="1817"/>
    <cfRule type="duplicateValues" dxfId="12282" priority="1818"/>
    <cfRule type="duplicateValues" dxfId="12281" priority="1819"/>
    <cfRule type="duplicateValues" dxfId="12280" priority="1820"/>
    <cfRule type="duplicateValues" dxfId="12279" priority="1821"/>
    <cfRule type="duplicateValues" dxfId="12278" priority="1822"/>
    <cfRule type="duplicateValues" dxfId="12277" priority="1823"/>
    <cfRule type="duplicateValues" dxfId="12276" priority="1824"/>
    <cfRule type="duplicateValues" dxfId="12275" priority="1825"/>
    <cfRule type="duplicateValues" dxfId="12274" priority="1826"/>
    <cfRule type="duplicateValues" dxfId="12273" priority="1827"/>
    <cfRule type="duplicateValues" dxfId="12272" priority="1828"/>
    <cfRule type="duplicateValues" dxfId="12271" priority="1829"/>
    <cfRule type="duplicateValues" dxfId="12270" priority="1830"/>
    <cfRule type="duplicateValues" dxfId="12269" priority="1831"/>
    <cfRule type="duplicateValues" dxfId="12268" priority="1832"/>
    <cfRule type="duplicateValues" dxfId="12267" priority="1833"/>
    <cfRule type="duplicateValues" dxfId="12266" priority="1834"/>
    <cfRule type="duplicateValues" dxfId="12265" priority="1835"/>
    <cfRule type="duplicateValues" dxfId="12264" priority="1836"/>
    <cfRule type="duplicateValues" dxfId="12263" priority="1837"/>
    <cfRule type="duplicateValues" dxfId="12262" priority="1838"/>
    <cfRule type="duplicateValues" dxfId="12261" priority="1839"/>
    <cfRule type="duplicateValues" dxfId="12260" priority="1840"/>
    <cfRule type="duplicateValues" dxfId="12259" priority="1841"/>
    <cfRule type="duplicateValues" dxfId="12258" priority="1842"/>
    <cfRule type="duplicateValues" dxfId="12257" priority="1843"/>
    <cfRule type="duplicateValues" dxfId="12256" priority="1844"/>
    <cfRule type="duplicateValues" dxfId="12255" priority="1845"/>
    <cfRule type="duplicateValues" dxfId="12254" priority="1846"/>
    <cfRule type="duplicateValues" dxfId="12253" priority="1847"/>
    <cfRule type="duplicateValues" dxfId="12252" priority="1848"/>
    <cfRule type="duplicateValues" dxfId="12251" priority="1849"/>
    <cfRule type="duplicateValues" dxfId="12250" priority="1850"/>
    <cfRule type="duplicateValues" dxfId="12249" priority="1851"/>
    <cfRule type="duplicateValues" dxfId="12248" priority="1852"/>
    <cfRule type="duplicateValues" dxfId="12247" priority="1853"/>
    <cfRule type="duplicateValues" dxfId="12246" priority="1854"/>
    <cfRule type="duplicateValues" dxfId="12245" priority="1855"/>
    <cfRule type="duplicateValues" dxfId="12244" priority="1856"/>
    <cfRule type="duplicateValues" dxfId="12243" priority="1857"/>
    <cfRule type="duplicateValues" dxfId="12242" priority="1858"/>
    <cfRule type="duplicateValues" dxfId="12241" priority="1859"/>
    <cfRule type="duplicateValues" dxfId="12240" priority="1860"/>
    <cfRule type="duplicateValues" dxfId="12239" priority="1861"/>
    <cfRule type="duplicateValues" dxfId="12238" priority="1862"/>
    <cfRule type="duplicateValues" dxfId="12237" priority="1863"/>
    <cfRule type="duplicateValues" dxfId="12236" priority="1864"/>
    <cfRule type="duplicateValues" dxfId="12235" priority="1865"/>
    <cfRule type="duplicateValues" dxfId="12234" priority="1866"/>
    <cfRule type="duplicateValues" dxfId="12233" priority="1867"/>
    <cfRule type="duplicateValues" dxfId="12232" priority="1868"/>
    <cfRule type="duplicateValues" dxfId="12231" priority="1869"/>
    <cfRule type="duplicateValues" dxfId="12230" priority="1870"/>
    <cfRule type="duplicateValues" dxfId="12229" priority="1871"/>
    <cfRule type="duplicateValues" dxfId="12228" priority="1872"/>
    <cfRule type="duplicateValues" dxfId="12227" priority="1873"/>
    <cfRule type="duplicateValues" dxfId="12226" priority="1874"/>
    <cfRule type="duplicateValues" dxfId="12225" priority="1875"/>
    <cfRule type="duplicateValues" dxfId="12224" priority="1876"/>
    <cfRule type="duplicateValues" dxfId="12223" priority="1877"/>
    <cfRule type="duplicateValues" dxfId="12222" priority="1878"/>
    <cfRule type="duplicateValues" dxfId="12221" priority="1879"/>
    <cfRule type="duplicateValues" dxfId="12220" priority="1880"/>
    <cfRule type="duplicateValues" dxfId="12219" priority="1881"/>
    <cfRule type="duplicateValues" dxfId="12218" priority="1882"/>
    <cfRule type="duplicateValues" dxfId="12217" priority="1883"/>
    <cfRule type="duplicateValues" dxfId="12216" priority="1884"/>
    <cfRule type="duplicateValues" dxfId="12215" priority="1885"/>
    <cfRule type="duplicateValues" dxfId="12214" priority="1886"/>
    <cfRule type="duplicateValues" dxfId="12213" priority="1887"/>
    <cfRule type="duplicateValues" dxfId="12212" priority="1888"/>
    <cfRule type="duplicateValues" dxfId="12211" priority="1889"/>
    <cfRule type="duplicateValues" dxfId="12210" priority="1890"/>
    <cfRule type="duplicateValues" dxfId="12209" priority="1891"/>
    <cfRule type="duplicateValues" dxfId="12208" priority="1892"/>
    <cfRule type="duplicateValues" dxfId="12207" priority="1893"/>
    <cfRule type="duplicateValues" dxfId="12206" priority="1894"/>
    <cfRule type="duplicateValues" dxfId="12205" priority="1895"/>
    <cfRule type="duplicateValues" dxfId="12204" priority="1896"/>
    <cfRule type="duplicateValues" dxfId="12203" priority="1897"/>
    <cfRule type="duplicateValues" dxfId="12202" priority="1898"/>
    <cfRule type="duplicateValues" dxfId="12201" priority="1899"/>
    <cfRule type="duplicateValues" dxfId="12200" priority="1900"/>
    <cfRule type="duplicateValues" dxfId="12199" priority="1901"/>
    <cfRule type="duplicateValues" dxfId="12198" priority="1902"/>
    <cfRule type="duplicateValues" dxfId="12197" priority="1903"/>
    <cfRule type="duplicateValues" dxfId="12196" priority="1904"/>
    <cfRule type="duplicateValues" dxfId="12195" priority="1905"/>
    <cfRule type="duplicateValues" dxfId="12194" priority="1906"/>
    <cfRule type="duplicateValues" dxfId="12193" priority="1907"/>
    <cfRule type="duplicateValues" dxfId="12192" priority="1908"/>
    <cfRule type="duplicateValues" dxfId="12191" priority="1909"/>
    <cfRule type="duplicateValues" dxfId="12190" priority="1910"/>
    <cfRule type="duplicateValues" dxfId="12189" priority="1911"/>
    <cfRule type="duplicateValues" dxfId="12188" priority="1912"/>
    <cfRule type="duplicateValues" dxfId="12187" priority="1913"/>
    <cfRule type="duplicateValues" dxfId="12186" priority="1914"/>
    <cfRule type="duplicateValues" dxfId="12185" priority="1915"/>
    <cfRule type="duplicateValues" dxfId="12184" priority="1916"/>
    <cfRule type="duplicateValues" dxfId="12183" priority="1917"/>
    <cfRule type="duplicateValues" dxfId="12182" priority="1918"/>
    <cfRule type="duplicateValues" dxfId="12181" priority="1919"/>
    <cfRule type="duplicateValues" dxfId="12180" priority="1920"/>
    <cfRule type="duplicateValues" dxfId="12179" priority="1921"/>
    <cfRule type="duplicateValues" dxfId="12178" priority="1922"/>
    <cfRule type="duplicateValues" dxfId="12177" priority="1923"/>
    <cfRule type="duplicateValues" dxfId="12176" priority="1924"/>
    <cfRule type="duplicateValues" dxfId="12175" priority="1925"/>
    <cfRule type="duplicateValues" dxfId="12174" priority="1926"/>
    <cfRule type="duplicateValues" dxfId="12173" priority="1927"/>
    <cfRule type="duplicateValues" dxfId="12172" priority="1928"/>
    <cfRule type="duplicateValues" dxfId="12171" priority="1929"/>
    <cfRule type="duplicateValues" dxfId="12170" priority="1930"/>
    <cfRule type="duplicateValues" dxfId="12169" priority="1931"/>
    <cfRule type="duplicateValues" dxfId="12168" priority="1932"/>
    <cfRule type="duplicateValues" dxfId="12167" priority="1933"/>
    <cfRule type="duplicateValues" dxfId="12166" priority="1934"/>
    <cfRule type="duplicateValues" dxfId="12165" priority="1935"/>
    <cfRule type="duplicateValues" dxfId="12164" priority="1936"/>
    <cfRule type="duplicateValues" dxfId="12163" priority="1937"/>
    <cfRule type="duplicateValues" dxfId="12162" priority="1938"/>
    <cfRule type="duplicateValues" dxfId="12161" priority="1939"/>
    <cfRule type="duplicateValues" dxfId="12160" priority="1940"/>
    <cfRule type="duplicateValues" dxfId="12159" priority="1941"/>
    <cfRule type="duplicateValues" dxfId="12158" priority="1942"/>
    <cfRule type="duplicateValues" dxfId="12157" priority="1943"/>
    <cfRule type="duplicateValues" dxfId="12156" priority="1944"/>
    <cfRule type="duplicateValues" dxfId="12155" priority="1945"/>
    <cfRule type="duplicateValues" dxfId="12154" priority="1946"/>
    <cfRule type="duplicateValues" dxfId="12153" priority="1947"/>
    <cfRule type="duplicateValues" dxfId="12152" priority="1948"/>
    <cfRule type="duplicateValues" dxfId="12151" priority="1949"/>
    <cfRule type="duplicateValues" dxfId="12150" priority="1950"/>
    <cfRule type="duplicateValues" dxfId="12149" priority="1951"/>
    <cfRule type="duplicateValues" dxfId="12148" priority="1952"/>
    <cfRule type="duplicateValues" dxfId="12147" priority="1953"/>
    <cfRule type="duplicateValues" dxfId="12146" priority="1954"/>
    <cfRule type="duplicateValues" dxfId="12145" priority="1955"/>
    <cfRule type="duplicateValues" dxfId="12144" priority="1956"/>
    <cfRule type="duplicateValues" dxfId="12143" priority="1957"/>
    <cfRule type="duplicateValues" dxfId="12142" priority="1958"/>
    <cfRule type="duplicateValues" dxfId="12141" priority="1959"/>
    <cfRule type="duplicateValues" dxfId="12140" priority="1960"/>
    <cfRule type="duplicateValues" dxfId="12139" priority="1961"/>
    <cfRule type="duplicateValues" dxfId="12138" priority="1962"/>
    <cfRule type="duplicateValues" dxfId="12137" priority="1963"/>
    <cfRule type="duplicateValues" dxfId="12136" priority="1964"/>
    <cfRule type="duplicateValues" dxfId="12135" priority="1965"/>
    <cfRule type="duplicateValues" dxfId="12134" priority="1966"/>
    <cfRule type="duplicateValues" dxfId="12133" priority="1967"/>
    <cfRule type="duplicateValues" dxfId="12132" priority="1968"/>
    <cfRule type="duplicateValues" dxfId="12131" priority="1969"/>
    <cfRule type="duplicateValues" dxfId="12130" priority="1970"/>
    <cfRule type="duplicateValues" dxfId="12129" priority="1971"/>
    <cfRule type="duplicateValues" dxfId="12128" priority="1972"/>
    <cfRule type="duplicateValues" dxfId="12127" priority="1973"/>
    <cfRule type="duplicateValues" dxfId="12126" priority="1974"/>
    <cfRule type="duplicateValues" dxfId="12125" priority="1975"/>
    <cfRule type="duplicateValues" dxfId="12124" priority="1976"/>
    <cfRule type="duplicateValues" dxfId="12123" priority="1977"/>
    <cfRule type="duplicateValues" dxfId="12122" priority="1978"/>
    <cfRule type="duplicateValues" dxfId="12121" priority="1979"/>
    <cfRule type="duplicateValues" dxfId="12120" priority="1980"/>
    <cfRule type="duplicateValues" dxfId="12119" priority="1981"/>
    <cfRule type="duplicateValues" dxfId="12118" priority="1982"/>
    <cfRule type="duplicateValues" dxfId="12117" priority="1983"/>
    <cfRule type="duplicateValues" dxfId="12116" priority="1984"/>
    <cfRule type="duplicateValues" dxfId="12115" priority="1985"/>
    <cfRule type="duplicateValues" dxfId="12114" priority="1986"/>
    <cfRule type="duplicateValues" dxfId="12113" priority="1987"/>
    <cfRule type="duplicateValues" dxfId="12112" priority="1988"/>
    <cfRule type="duplicateValues" dxfId="12111" priority="1989"/>
    <cfRule type="duplicateValues" dxfId="12110" priority="1990"/>
    <cfRule type="duplicateValues" dxfId="12109" priority="1991"/>
    <cfRule type="duplicateValues" dxfId="12108" priority="1992"/>
    <cfRule type="duplicateValues" dxfId="12107" priority="1993"/>
    <cfRule type="duplicateValues" dxfId="12106" priority="1994"/>
    <cfRule type="duplicateValues" dxfId="12105" priority="1995"/>
    <cfRule type="duplicateValues" dxfId="12104" priority="1996"/>
    <cfRule type="duplicateValues" dxfId="12103" priority="1997"/>
    <cfRule type="duplicateValues" dxfId="12102" priority="1998"/>
    <cfRule type="duplicateValues" dxfId="12101" priority="1999"/>
    <cfRule type="duplicateValues" dxfId="12100" priority="2000"/>
    <cfRule type="duplicateValues" dxfId="12099" priority="2001"/>
    <cfRule type="duplicateValues" dxfId="12098" priority="2002"/>
    <cfRule type="duplicateValues" dxfId="12097" priority="2003"/>
    <cfRule type="duplicateValues" dxfId="12096" priority="2004"/>
    <cfRule type="duplicateValues" dxfId="12095" priority="2005"/>
    <cfRule type="duplicateValues" dxfId="12094" priority="2006"/>
    <cfRule type="duplicateValues" dxfId="12093" priority="2007"/>
    <cfRule type="duplicateValues" dxfId="12092" priority="2008"/>
    <cfRule type="duplicateValues" dxfId="12091" priority="2009"/>
    <cfRule type="duplicateValues" dxfId="12090" priority="2010"/>
    <cfRule type="duplicateValues" dxfId="12089" priority="2011"/>
    <cfRule type="duplicateValues" dxfId="12088" priority="2012"/>
    <cfRule type="duplicateValues" dxfId="12087" priority="2013"/>
    <cfRule type="duplicateValues" dxfId="12086" priority="2014"/>
    <cfRule type="duplicateValues" dxfId="12085" priority="2015"/>
    <cfRule type="duplicateValues" dxfId="12084" priority="2016"/>
    <cfRule type="duplicateValues" dxfId="12083" priority="2017"/>
    <cfRule type="duplicateValues" dxfId="12082" priority="2018"/>
    <cfRule type="duplicateValues" dxfId="12081" priority="2019"/>
    <cfRule type="duplicateValues" dxfId="12080" priority="2020"/>
    <cfRule type="duplicateValues" dxfId="12079" priority="2021"/>
    <cfRule type="duplicateValues" dxfId="12078" priority="2022"/>
    <cfRule type="duplicateValues" dxfId="12077" priority="2023"/>
    <cfRule type="duplicateValues" dxfId="12076" priority="2024"/>
    <cfRule type="duplicateValues" dxfId="12075" priority="2025"/>
    <cfRule type="duplicateValues" dxfId="12074" priority="2026"/>
    <cfRule type="duplicateValues" dxfId="12073" priority="2027"/>
    <cfRule type="duplicateValues" dxfId="12072" priority="2028"/>
    <cfRule type="duplicateValues" dxfId="12071" priority="2029"/>
    <cfRule type="duplicateValues" dxfId="12070" priority="2030"/>
    <cfRule type="duplicateValues" dxfId="12069" priority="2031"/>
    <cfRule type="duplicateValues" dxfId="12068" priority="2032"/>
    <cfRule type="duplicateValues" dxfId="12067" priority="2033"/>
    <cfRule type="duplicateValues" dxfId="12066" priority="2034"/>
    <cfRule type="duplicateValues" dxfId="12065" priority="2035"/>
    <cfRule type="duplicateValues" dxfId="12064" priority="2036"/>
    <cfRule type="duplicateValues" dxfId="12063" priority="2037"/>
    <cfRule type="duplicateValues" dxfId="12062" priority="2038"/>
    <cfRule type="duplicateValues" dxfId="12061" priority="2039"/>
    <cfRule type="duplicateValues" dxfId="12060" priority="2040"/>
    <cfRule type="duplicateValues" dxfId="12059" priority="2041"/>
    <cfRule type="duplicateValues" dxfId="12058" priority="2042"/>
    <cfRule type="duplicateValues" dxfId="12057" priority="2043"/>
    <cfRule type="duplicateValues" dxfId="12056" priority="2044"/>
    <cfRule type="duplicateValues" dxfId="12055" priority="2045"/>
    <cfRule type="duplicateValues" dxfId="12054" priority="2046"/>
    <cfRule type="duplicateValues" dxfId="12053" priority="2047"/>
    <cfRule type="duplicateValues" dxfId="12052" priority="2048"/>
    <cfRule type="duplicateValues" dxfId="12051" priority="2049"/>
    <cfRule type="duplicateValues" dxfId="12050" priority="2050"/>
    <cfRule type="duplicateValues" dxfId="12049" priority="2051"/>
    <cfRule type="duplicateValues" dxfId="12048" priority="2052"/>
    <cfRule type="duplicateValues" dxfId="12047" priority="2053"/>
    <cfRule type="duplicateValues" dxfId="12046" priority="2054"/>
    <cfRule type="duplicateValues" dxfId="12045" priority="2055"/>
    <cfRule type="duplicateValues" dxfId="12044" priority="2056"/>
    <cfRule type="duplicateValues" dxfId="12043" priority="2057"/>
    <cfRule type="duplicateValues" dxfId="12042" priority="2058"/>
    <cfRule type="duplicateValues" dxfId="12041" priority="2059"/>
    <cfRule type="duplicateValues" dxfId="12040" priority="2060"/>
    <cfRule type="duplicateValues" dxfId="12039" priority="2061"/>
    <cfRule type="duplicateValues" dxfId="12038" priority="2062"/>
    <cfRule type="duplicateValues" dxfId="12037" priority="2063"/>
    <cfRule type="duplicateValues" dxfId="12036" priority="2064"/>
    <cfRule type="duplicateValues" dxfId="12035" priority="2065"/>
    <cfRule type="duplicateValues" dxfId="12034" priority="2066"/>
    <cfRule type="duplicateValues" dxfId="12033" priority="2067"/>
    <cfRule type="duplicateValues" dxfId="12032" priority="2068"/>
    <cfRule type="duplicateValues" dxfId="12031" priority="2069"/>
    <cfRule type="duplicateValues" dxfId="12030" priority="2070"/>
    <cfRule type="duplicateValues" dxfId="12029" priority="2071"/>
    <cfRule type="duplicateValues" dxfId="12028" priority="2072"/>
    <cfRule type="duplicateValues" dxfId="12027" priority="2073"/>
    <cfRule type="duplicateValues" dxfId="12026" priority="2074"/>
    <cfRule type="duplicateValues" dxfId="12025" priority="2075"/>
    <cfRule type="duplicateValues" dxfId="12024" priority="2076"/>
    <cfRule type="duplicateValues" dxfId="12023" priority="2077"/>
    <cfRule type="duplicateValues" dxfId="12022" priority="2078"/>
    <cfRule type="duplicateValues" dxfId="12021" priority="2079"/>
    <cfRule type="duplicateValues" dxfId="12020" priority="2080"/>
    <cfRule type="duplicateValues" dxfId="12019" priority="2081"/>
    <cfRule type="duplicateValues" dxfId="12018" priority="2082"/>
    <cfRule type="duplicateValues" dxfId="12017" priority="2083"/>
    <cfRule type="duplicateValues" dxfId="12016" priority="2084"/>
    <cfRule type="duplicateValues" dxfId="12015" priority="2085"/>
    <cfRule type="duplicateValues" dxfId="12014" priority="2086"/>
    <cfRule type="duplicateValues" dxfId="12013" priority="2087"/>
    <cfRule type="duplicateValues" dxfId="12012" priority="2088"/>
    <cfRule type="duplicateValues" dxfId="12011" priority="2089"/>
    <cfRule type="duplicateValues" dxfId="12010" priority="2090"/>
    <cfRule type="duplicateValues" dxfId="12009" priority="2091"/>
    <cfRule type="duplicateValues" dxfId="12008" priority="2092"/>
    <cfRule type="duplicateValues" dxfId="12007" priority="2093"/>
    <cfRule type="duplicateValues" dxfId="12006" priority="2094"/>
    <cfRule type="duplicateValues" dxfId="12005" priority="2095"/>
    <cfRule type="duplicateValues" dxfId="12004" priority="2096"/>
    <cfRule type="duplicateValues" dxfId="12003" priority="2097"/>
    <cfRule type="duplicateValues" dxfId="12002" priority="2098"/>
    <cfRule type="duplicateValues" dxfId="12001" priority="2099"/>
    <cfRule type="duplicateValues" dxfId="12000" priority="2100"/>
    <cfRule type="duplicateValues" dxfId="11999" priority="2101"/>
    <cfRule type="duplicateValues" dxfId="11998" priority="2102"/>
    <cfRule type="duplicateValues" dxfId="11997" priority="2103"/>
    <cfRule type="duplicateValues" dxfId="11996" priority="2104"/>
    <cfRule type="duplicateValues" dxfId="11995" priority="2105"/>
    <cfRule type="duplicateValues" dxfId="11994" priority="2106"/>
    <cfRule type="duplicateValues" dxfId="11993" priority="2107"/>
    <cfRule type="duplicateValues" dxfId="11992" priority="2108"/>
    <cfRule type="duplicateValues" dxfId="11991" priority="2109"/>
    <cfRule type="duplicateValues" dxfId="11990" priority="2110"/>
    <cfRule type="duplicateValues" dxfId="11989" priority="2111"/>
    <cfRule type="duplicateValues" dxfId="11988" priority="2112"/>
    <cfRule type="duplicateValues" dxfId="11987" priority="2113"/>
    <cfRule type="duplicateValues" dxfId="11986" priority="2114"/>
    <cfRule type="duplicateValues" dxfId="11985" priority="2115"/>
    <cfRule type="duplicateValues" dxfId="11984" priority="2116"/>
    <cfRule type="duplicateValues" dxfId="11983" priority="2117"/>
    <cfRule type="duplicateValues" dxfId="11982" priority="2118"/>
    <cfRule type="duplicateValues" dxfId="11981" priority="2119"/>
    <cfRule type="duplicateValues" dxfId="11980" priority="2120"/>
    <cfRule type="duplicateValues" dxfId="11979" priority="2121"/>
    <cfRule type="duplicateValues" dxfId="11978" priority="2122"/>
    <cfRule type="duplicateValues" dxfId="11977" priority="2123"/>
    <cfRule type="duplicateValues" dxfId="11976" priority="2124"/>
    <cfRule type="duplicateValues" dxfId="11975" priority="2125"/>
    <cfRule type="duplicateValues" dxfId="11974" priority="2126"/>
    <cfRule type="duplicateValues" dxfId="11973" priority="2127"/>
    <cfRule type="duplicateValues" dxfId="11972" priority="2128"/>
    <cfRule type="duplicateValues" dxfId="11971" priority="2129"/>
    <cfRule type="duplicateValues" dxfId="11970" priority="2130"/>
    <cfRule type="duplicateValues" dxfId="11969" priority="2131"/>
    <cfRule type="duplicateValues" dxfId="11968" priority="2132"/>
    <cfRule type="duplicateValues" dxfId="11967" priority="2133"/>
    <cfRule type="duplicateValues" dxfId="11966" priority="2134"/>
    <cfRule type="duplicateValues" dxfId="11965" priority="2135"/>
    <cfRule type="duplicateValues" dxfId="11964" priority="2136"/>
    <cfRule type="duplicateValues" dxfId="11963" priority="2137"/>
    <cfRule type="duplicateValues" dxfId="11962" priority="2138"/>
    <cfRule type="duplicateValues" dxfId="11961" priority="2139"/>
    <cfRule type="duplicateValues" dxfId="11960" priority="2140"/>
    <cfRule type="duplicateValues" dxfId="11959" priority="2141"/>
    <cfRule type="duplicateValues" dxfId="11958" priority="2142"/>
    <cfRule type="duplicateValues" dxfId="11957" priority="2143"/>
    <cfRule type="duplicateValues" dxfId="11956" priority="2144"/>
    <cfRule type="duplicateValues" dxfId="11955" priority="2145"/>
    <cfRule type="duplicateValues" dxfId="11954" priority="2146"/>
    <cfRule type="duplicateValues" dxfId="11953" priority="2147"/>
    <cfRule type="duplicateValues" dxfId="11952" priority="2148"/>
    <cfRule type="duplicateValues" dxfId="11951" priority="2149"/>
    <cfRule type="duplicateValues" dxfId="11950" priority="2150"/>
    <cfRule type="duplicateValues" dxfId="11949" priority="2151"/>
    <cfRule type="duplicateValues" dxfId="11948" priority="2152"/>
    <cfRule type="duplicateValues" dxfId="11947" priority="2153"/>
    <cfRule type="duplicateValues" dxfId="11946" priority="2154"/>
    <cfRule type="duplicateValues" dxfId="11945" priority="2155"/>
    <cfRule type="duplicateValues" dxfId="11944" priority="2156"/>
    <cfRule type="duplicateValues" dxfId="11943" priority="2157"/>
    <cfRule type="duplicateValues" dxfId="11942" priority="2158"/>
    <cfRule type="duplicateValues" dxfId="11941" priority="2159"/>
    <cfRule type="duplicateValues" dxfId="11940" priority="2160"/>
    <cfRule type="duplicateValues" dxfId="11939" priority="2161"/>
    <cfRule type="duplicateValues" dxfId="11938" priority="2162"/>
    <cfRule type="duplicateValues" dxfId="11937" priority="2163"/>
    <cfRule type="duplicateValues" dxfId="11936" priority="2164"/>
    <cfRule type="duplicateValues" dxfId="11935" priority="2165"/>
    <cfRule type="duplicateValues" dxfId="11934" priority="2166"/>
    <cfRule type="duplicateValues" dxfId="11933" priority="2167"/>
    <cfRule type="duplicateValues" dxfId="11932" priority="2168"/>
    <cfRule type="duplicateValues" dxfId="11931" priority="2169"/>
    <cfRule type="duplicateValues" dxfId="11930" priority="2170"/>
    <cfRule type="duplicateValues" dxfId="11929" priority="2171"/>
    <cfRule type="duplicateValues" dxfId="11928" priority="2172"/>
    <cfRule type="duplicateValues" dxfId="11927" priority="2173"/>
    <cfRule type="duplicateValues" dxfId="11926" priority="2174"/>
    <cfRule type="duplicateValues" dxfId="11925" priority="2175"/>
    <cfRule type="duplicateValues" dxfId="11924" priority="2176"/>
    <cfRule type="duplicateValues" dxfId="11923" priority="2177"/>
    <cfRule type="duplicateValues" dxfId="11922" priority="2178"/>
    <cfRule type="duplicateValues" dxfId="11921" priority="2179"/>
    <cfRule type="duplicateValues" dxfId="11920" priority="2180"/>
    <cfRule type="duplicateValues" dxfId="11919" priority="2181"/>
    <cfRule type="duplicateValues" dxfId="11918" priority="2182"/>
    <cfRule type="duplicateValues" dxfId="11917" priority="2183"/>
    <cfRule type="duplicateValues" dxfId="11916" priority="2184"/>
    <cfRule type="duplicateValues" dxfId="11915" priority="2185"/>
    <cfRule type="duplicateValues" dxfId="11914" priority="2186"/>
    <cfRule type="duplicateValues" dxfId="11913" priority="2187"/>
    <cfRule type="duplicateValues" dxfId="11912" priority="2188"/>
    <cfRule type="duplicateValues" dxfId="11911" priority="2189"/>
    <cfRule type="duplicateValues" dxfId="11910" priority="2190"/>
    <cfRule type="duplicateValues" dxfId="11909" priority="2191"/>
    <cfRule type="duplicateValues" dxfId="11908" priority="2192"/>
    <cfRule type="duplicateValues" dxfId="11907" priority="2193"/>
    <cfRule type="duplicateValues" dxfId="11906" priority="2194"/>
    <cfRule type="duplicateValues" dxfId="11905" priority="2195"/>
    <cfRule type="duplicateValues" dxfId="11904" priority="2196"/>
    <cfRule type="duplicateValues" dxfId="11903" priority="2197"/>
    <cfRule type="duplicateValues" dxfId="11902" priority="2198"/>
    <cfRule type="duplicateValues" dxfId="11901" priority="2199"/>
    <cfRule type="duplicateValues" dxfId="11900" priority="2200"/>
    <cfRule type="duplicateValues" dxfId="11899" priority="2201"/>
    <cfRule type="duplicateValues" dxfId="11898" priority="2202"/>
    <cfRule type="duplicateValues" dxfId="11897" priority="2203"/>
    <cfRule type="duplicateValues" dxfId="11896" priority="2204"/>
    <cfRule type="duplicateValues" dxfId="11895" priority="2205"/>
    <cfRule type="duplicateValues" dxfId="11894" priority="2206"/>
    <cfRule type="duplicateValues" dxfId="11893" priority="2207"/>
    <cfRule type="duplicateValues" dxfId="11892" priority="2208"/>
    <cfRule type="duplicateValues" dxfId="11891" priority="2209"/>
    <cfRule type="duplicateValues" dxfId="11890" priority="2210"/>
    <cfRule type="duplicateValues" dxfId="11889" priority="2211"/>
    <cfRule type="duplicateValues" dxfId="11888" priority="2212"/>
    <cfRule type="duplicateValues" dxfId="11887" priority="2213"/>
    <cfRule type="duplicateValues" dxfId="11886" priority="2214"/>
    <cfRule type="duplicateValues" dxfId="11885" priority="2215"/>
    <cfRule type="duplicateValues" dxfId="11884" priority="2216"/>
    <cfRule type="duplicateValues" dxfId="11883" priority="2217"/>
    <cfRule type="duplicateValues" dxfId="11882" priority="2218"/>
    <cfRule type="duplicateValues" dxfId="11881" priority="2219"/>
    <cfRule type="duplicateValues" dxfId="11880" priority="2220"/>
    <cfRule type="duplicateValues" dxfId="11879" priority="2221"/>
    <cfRule type="duplicateValues" dxfId="11878" priority="2222"/>
    <cfRule type="duplicateValues" dxfId="11877" priority="2223"/>
    <cfRule type="duplicateValues" dxfId="11876" priority="2224"/>
    <cfRule type="duplicateValues" dxfId="11875" priority="2225"/>
    <cfRule type="duplicateValues" dxfId="11874" priority="2226"/>
    <cfRule type="duplicateValues" dxfId="11873" priority="2227"/>
    <cfRule type="duplicateValues" dxfId="11872" priority="2228"/>
    <cfRule type="duplicateValues" dxfId="11871" priority="2229"/>
    <cfRule type="duplicateValues" dxfId="11870" priority="2230"/>
    <cfRule type="duplicateValues" dxfId="11869" priority="2231"/>
    <cfRule type="duplicateValues" dxfId="11868" priority="2232"/>
    <cfRule type="duplicateValues" dxfId="11867" priority="2233"/>
    <cfRule type="duplicateValues" dxfId="11866" priority="2234"/>
    <cfRule type="duplicateValues" dxfId="11865" priority="2235"/>
    <cfRule type="duplicateValues" dxfId="11864" priority="2236"/>
    <cfRule type="duplicateValues" dxfId="11863" priority="2237"/>
    <cfRule type="duplicateValues" dxfId="11862" priority="2238"/>
    <cfRule type="duplicateValues" dxfId="11861" priority="2239"/>
    <cfRule type="duplicateValues" dxfId="11860" priority="2240"/>
    <cfRule type="duplicateValues" dxfId="11859" priority="2241"/>
    <cfRule type="duplicateValues" dxfId="11858" priority="2242"/>
    <cfRule type="duplicateValues" dxfId="11857" priority="2243"/>
    <cfRule type="duplicateValues" dxfId="11856" priority="2244"/>
    <cfRule type="duplicateValues" dxfId="11855" priority="2245"/>
    <cfRule type="duplicateValues" dxfId="11854" priority="2246"/>
    <cfRule type="duplicateValues" dxfId="11853" priority="2247"/>
    <cfRule type="duplicateValues" dxfId="11852" priority="2248"/>
    <cfRule type="duplicateValues" dxfId="11851" priority="2249"/>
    <cfRule type="duplicateValues" dxfId="11850" priority="2250"/>
    <cfRule type="duplicateValues" dxfId="11849" priority="2251"/>
    <cfRule type="duplicateValues" dxfId="11848" priority="2252"/>
    <cfRule type="duplicateValues" dxfId="11847" priority="2253"/>
    <cfRule type="duplicateValues" dxfId="11846" priority="2254"/>
    <cfRule type="duplicateValues" dxfId="11845" priority="2255"/>
    <cfRule type="duplicateValues" dxfId="11844" priority="2256"/>
    <cfRule type="duplicateValues" dxfId="11843" priority="2257"/>
    <cfRule type="duplicateValues" dxfId="11842" priority="2258"/>
    <cfRule type="duplicateValues" dxfId="11841" priority="2259"/>
    <cfRule type="duplicateValues" dxfId="11840" priority="2260"/>
    <cfRule type="duplicateValues" dxfId="11839" priority="2261"/>
    <cfRule type="duplicateValues" dxfId="11838" priority="2262"/>
    <cfRule type="duplicateValues" dxfId="11837" priority="2263"/>
    <cfRule type="duplicateValues" dxfId="11836" priority="2264"/>
    <cfRule type="duplicateValues" dxfId="11835" priority="2265"/>
    <cfRule type="duplicateValues" dxfId="11834" priority="2266"/>
    <cfRule type="duplicateValues" dxfId="11833" priority="2267"/>
    <cfRule type="duplicateValues" dxfId="11832" priority="2268"/>
    <cfRule type="duplicateValues" dxfId="11831" priority="2269"/>
    <cfRule type="duplicateValues" dxfId="11830" priority="2270"/>
    <cfRule type="duplicateValues" dxfId="11829" priority="2271"/>
    <cfRule type="duplicateValues" dxfId="11828" priority="2272"/>
    <cfRule type="duplicateValues" dxfId="11827" priority="2273"/>
    <cfRule type="duplicateValues" dxfId="11826" priority="2274"/>
    <cfRule type="duplicateValues" dxfId="11825" priority="2275"/>
    <cfRule type="duplicateValues" dxfId="11824" priority="2276"/>
    <cfRule type="duplicateValues" dxfId="11823" priority="2277"/>
    <cfRule type="duplicateValues" dxfId="11822" priority="2278"/>
    <cfRule type="duplicateValues" dxfId="11821" priority="2279"/>
    <cfRule type="duplicateValues" dxfId="11820" priority="2280"/>
    <cfRule type="duplicateValues" dxfId="11819" priority="2281"/>
    <cfRule type="duplicateValues" dxfId="11818" priority="2282"/>
    <cfRule type="duplicateValues" dxfId="11817" priority="2283"/>
    <cfRule type="duplicateValues" dxfId="11816" priority="2284"/>
    <cfRule type="duplicateValues" dxfId="11815" priority="2285"/>
    <cfRule type="duplicateValues" dxfId="11814" priority="2286"/>
    <cfRule type="duplicateValues" dxfId="11813" priority="2287"/>
    <cfRule type="duplicateValues" dxfId="11812" priority="2288"/>
    <cfRule type="duplicateValues" dxfId="11811" priority="2289"/>
    <cfRule type="duplicateValues" dxfId="11810" priority="2290"/>
    <cfRule type="duplicateValues" dxfId="11809" priority="2291"/>
    <cfRule type="duplicateValues" dxfId="11808" priority="2292"/>
    <cfRule type="duplicateValues" dxfId="11807" priority="2293"/>
    <cfRule type="duplicateValues" dxfId="11806" priority="2294"/>
    <cfRule type="duplicateValues" dxfId="11805" priority="2295"/>
    <cfRule type="duplicateValues" dxfId="11804" priority="2296"/>
    <cfRule type="duplicateValues" dxfId="11803" priority="2297"/>
    <cfRule type="duplicateValues" dxfId="11802" priority="2298"/>
    <cfRule type="duplicateValues" dxfId="11801" priority="2299"/>
    <cfRule type="duplicateValues" dxfId="11800" priority="2300"/>
    <cfRule type="duplicateValues" dxfId="11799" priority="2301"/>
    <cfRule type="duplicateValues" dxfId="11798" priority="2302"/>
    <cfRule type="duplicateValues" dxfId="11797" priority="2303"/>
    <cfRule type="duplicateValues" dxfId="11796" priority="2304"/>
    <cfRule type="duplicateValues" dxfId="11795" priority="2305"/>
    <cfRule type="duplicateValues" dxfId="11794" priority="2306"/>
    <cfRule type="duplicateValues" dxfId="11793" priority="2307"/>
    <cfRule type="duplicateValues" dxfId="11792" priority="2308"/>
    <cfRule type="duplicateValues" dxfId="11791" priority="2309"/>
    <cfRule type="duplicateValues" dxfId="11790" priority="2310"/>
    <cfRule type="duplicateValues" dxfId="11789" priority="2311"/>
    <cfRule type="duplicateValues" dxfId="11788" priority="2312"/>
    <cfRule type="duplicateValues" dxfId="11787" priority="2313"/>
    <cfRule type="duplicateValues" dxfId="11786" priority="2314"/>
    <cfRule type="duplicateValues" dxfId="11785" priority="2315"/>
    <cfRule type="duplicateValues" dxfId="11784" priority="2316"/>
    <cfRule type="duplicateValues" dxfId="11783" priority="2317"/>
    <cfRule type="duplicateValues" dxfId="11782" priority="2318"/>
    <cfRule type="duplicateValues" dxfId="11781" priority="2319"/>
    <cfRule type="duplicateValues" dxfId="11780" priority="2320"/>
    <cfRule type="duplicateValues" dxfId="11779" priority="2321"/>
    <cfRule type="duplicateValues" dxfId="11778" priority="2322"/>
    <cfRule type="duplicateValues" dxfId="11777" priority="2323"/>
    <cfRule type="duplicateValues" dxfId="11776" priority="2324"/>
    <cfRule type="duplicateValues" dxfId="11775" priority="2325"/>
    <cfRule type="duplicateValues" dxfId="11774" priority="2326"/>
    <cfRule type="duplicateValues" dxfId="11773" priority="2327"/>
    <cfRule type="duplicateValues" dxfId="11772" priority="2328"/>
    <cfRule type="duplicateValues" dxfId="11771" priority="2329"/>
    <cfRule type="duplicateValues" dxfId="11770" priority="2330"/>
    <cfRule type="duplicateValues" dxfId="11769" priority="2331"/>
    <cfRule type="duplicateValues" dxfId="11768" priority="2332"/>
    <cfRule type="duplicateValues" dxfId="11767" priority="2333"/>
    <cfRule type="duplicateValues" dxfId="11766" priority="2334"/>
    <cfRule type="duplicateValues" dxfId="11765" priority="2335"/>
    <cfRule type="duplicateValues" dxfId="11764" priority="2336"/>
    <cfRule type="duplicateValues" dxfId="11763" priority="2337"/>
    <cfRule type="duplicateValues" dxfId="11762" priority="2338"/>
    <cfRule type="duplicateValues" dxfId="11761" priority="2339"/>
    <cfRule type="duplicateValues" dxfId="11760" priority="2340"/>
    <cfRule type="duplicateValues" dxfId="11759" priority="2341"/>
    <cfRule type="duplicateValues" dxfId="11758" priority="2342"/>
    <cfRule type="duplicateValues" dxfId="11757" priority="2343"/>
    <cfRule type="duplicateValues" dxfId="11756" priority="2344"/>
    <cfRule type="duplicateValues" dxfId="11755" priority="2345"/>
    <cfRule type="duplicateValues" dxfId="11754" priority="2346"/>
    <cfRule type="duplicateValues" dxfId="11753" priority="2347"/>
    <cfRule type="duplicateValues" dxfId="11752" priority="2348"/>
    <cfRule type="duplicateValues" dxfId="11751" priority="2349"/>
    <cfRule type="duplicateValues" dxfId="11750" priority="2350"/>
    <cfRule type="duplicateValues" dxfId="11749" priority="2351"/>
    <cfRule type="duplicateValues" dxfId="11748" priority="2352"/>
    <cfRule type="duplicateValues" dxfId="11747" priority="2353"/>
    <cfRule type="duplicateValues" dxfId="11746" priority="2354"/>
    <cfRule type="duplicateValues" dxfId="11745" priority="2355"/>
    <cfRule type="duplicateValues" dxfId="11744" priority="2356"/>
    <cfRule type="duplicateValues" dxfId="11743" priority="2357"/>
    <cfRule type="duplicateValues" dxfId="11742" priority="2358"/>
    <cfRule type="duplicateValues" dxfId="11741" priority="2359"/>
    <cfRule type="duplicateValues" dxfId="11740" priority="2360"/>
    <cfRule type="duplicateValues" dxfId="11739" priority="2361"/>
    <cfRule type="duplicateValues" dxfId="11738" priority="2362"/>
    <cfRule type="duplicateValues" dxfId="11737" priority="2363"/>
    <cfRule type="duplicateValues" dxfId="11736" priority="2364"/>
    <cfRule type="duplicateValues" dxfId="11735" priority="2365"/>
    <cfRule type="duplicateValues" dxfId="11734" priority="2366"/>
    <cfRule type="duplicateValues" dxfId="11733" priority="2367"/>
    <cfRule type="duplicateValues" dxfId="11732" priority="2368"/>
    <cfRule type="duplicateValues" dxfId="11731" priority="2369"/>
    <cfRule type="duplicateValues" dxfId="11730" priority="2370"/>
    <cfRule type="duplicateValues" dxfId="11729" priority="2371"/>
    <cfRule type="duplicateValues" dxfId="11728" priority="2372"/>
    <cfRule type="duplicateValues" dxfId="11727" priority="2373"/>
    <cfRule type="duplicateValues" dxfId="11726" priority="2374"/>
    <cfRule type="duplicateValues" dxfId="11725" priority="2375"/>
    <cfRule type="duplicateValues" dxfId="11724" priority="2376"/>
    <cfRule type="duplicateValues" dxfId="11723" priority="2377"/>
    <cfRule type="duplicateValues" dxfId="11722" priority="2378"/>
    <cfRule type="duplicateValues" dxfId="11721" priority="2379"/>
    <cfRule type="duplicateValues" dxfId="11720" priority="2380"/>
    <cfRule type="duplicateValues" dxfId="11719" priority="2381"/>
    <cfRule type="duplicateValues" dxfId="11718" priority="2382"/>
    <cfRule type="duplicateValues" dxfId="11717" priority="2383"/>
    <cfRule type="duplicateValues" dxfId="11716" priority="2384"/>
    <cfRule type="duplicateValues" dxfId="11715" priority="2385"/>
    <cfRule type="duplicateValues" dxfId="11714" priority="2386"/>
    <cfRule type="duplicateValues" dxfId="11713" priority="2387"/>
  </conditionalFormatting>
  <conditionalFormatting sqref="P96">
    <cfRule type="duplicateValues" dxfId="11712" priority="33"/>
    <cfRule type="duplicateValues" dxfId="11711" priority="34"/>
    <cfRule type="duplicateValues" dxfId="11710" priority="35"/>
    <cfRule type="duplicateValues" dxfId="11709" priority="36"/>
    <cfRule type="duplicateValues" dxfId="11708" priority="37"/>
    <cfRule type="duplicateValues" dxfId="11707" priority="38"/>
    <cfRule type="duplicateValues" dxfId="11706" priority="39"/>
    <cfRule type="duplicateValues" dxfId="11705" priority="40"/>
    <cfRule type="duplicateValues" dxfId="11704" priority="41"/>
    <cfRule type="duplicateValues" dxfId="11703" priority="42"/>
    <cfRule type="duplicateValues" dxfId="11702" priority="43"/>
  </conditionalFormatting>
  <conditionalFormatting sqref="P97">
    <cfRule type="duplicateValues" dxfId="11701" priority="10508"/>
    <cfRule type="duplicateValues" dxfId="11700" priority="10507"/>
    <cfRule type="duplicateValues" dxfId="11699" priority="10506"/>
    <cfRule type="duplicateValues" dxfId="11698" priority="10505"/>
    <cfRule type="duplicateValues" dxfId="11697" priority="10504"/>
    <cfRule type="duplicateValues" dxfId="11696" priority="10503"/>
    <cfRule type="duplicateValues" dxfId="11695" priority="10502"/>
    <cfRule type="duplicateValues" dxfId="11694" priority="10501"/>
    <cfRule type="duplicateValues" dxfId="11693" priority="10500"/>
    <cfRule type="duplicateValues" dxfId="11692" priority="10499"/>
    <cfRule type="duplicateValues" dxfId="11691" priority="10498"/>
    <cfRule type="duplicateValues" dxfId="11690" priority="10497"/>
    <cfRule type="duplicateValues" dxfId="11689" priority="10496"/>
    <cfRule type="duplicateValues" dxfId="11688" priority="10495"/>
    <cfRule type="duplicateValues" dxfId="11687" priority="10494"/>
    <cfRule type="duplicateValues" dxfId="11686" priority="10493"/>
    <cfRule type="duplicateValues" dxfId="11685" priority="10492"/>
    <cfRule type="duplicateValues" dxfId="11684" priority="10491"/>
    <cfRule type="duplicateValues" dxfId="11683" priority="10490"/>
    <cfRule type="duplicateValues" dxfId="11682" priority="10489"/>
    <cfRule type="duplicateValues" dxfId="11681" priority="10488"/>
    <cfRule type="duplicateValues" dxfId="11680" priority="10487"/>
    <cfRule type="duplicateValues" dxfId="11679" priority="10486"/>
    <cfRule type="duplicateValues" dxfId="11678" priority="10485"/>
    <cfRule type="duplicateValues" dxfId="11677" priority="10484"/>
    <cfRule type="duplicateValues" dxfId="11676" priority="10483"/>
    <cfRule type="duplicateValues" dxfId="11675" priority="10482"/>
    <cfRule type="duplicateValues" dxfId="11674" priority="10481"/>
    <cfRule type="duplicateValues" dxfId="11673" priority="10480"/>
    <cfRule type="duplicateValues" dxfId="11672" priority="10479"/>
    <cfRule type="duplicateValues" dxfId="11671" priority="10478"/>
    <cfRule type="duplicateValues" dxfId="11670" priority="10477"/>
    <cfRule type="duplicateValues" dxfId="11669" priority="10476"/>
    <cfRule type="duplicateValues" dxfId="11668" priority="10475"/>
    <cfRule type="duplicateValues" dxfId="11667" priority="10474"/>
    <cfRule type="duplicateValues" dxfId="11666" priority="10473"/>
    <cfRule type="duplicateValues" dxfId="11665" priority="10472"/>
    <cfRule type="duplicateValues" dxfId="11664" priority="10471"/>
    <cfRule type="duplicateValues" dxfId="11663" priority="10470"/>
    <cfRule type="duplicateValues" dxfId="11662" priority="10469"/>
    <cfRule type="duplicateValues" dxfId="11661" priority="10468"/>
    <cfRule type="duplicateValues" dxfId="11660" priority="10467"/>
    <cfRule type="duplicateValues" dxfId="11659" priority="10466"/>
    <cfRule type="duplicateValues" dxfId="11658" priority="10465"/>
    <cfRule type="duplicateValues" dxfId="11657" priority="10464"/>
    <cfRule type="duplicateValues" dxfId="11656" priority="10463"/>
    <cfRule type="duplicateValues" dxfId="11655" priority="10462"/>
    <cfRule type="duplicateValues" dxfId="11654" priority="10461"/>
    <cfRule type="duplicateValues" dxfId="11653" priority="10460"/>
    <cfRule type="duplicateValues" dxfId="11652" priority="10459"/>
    <cfRule type="duplicateValues" dxfId="11651" priority="10458"/>
    <cfRule type="duplicateValues" dxfId="11650" priority="10457"/>
    <cfRule type="duplicateValues" dxfId="11649" priority="10456"/>
    <cfRule type="duplicateValues" dxfId="11648" priority="10455"/>
    <cfRule type="duplicateValues" dxfId="11647" priority="10454"/>
    <cfRule type="duplicateValues" dxfId="11646" priority="10453"/>
    <cfRule type="duplicateValues" dxfId="11645" priority="10452"/>
    <cfRule type="duplicateValues" dxfId="11644" priority="10451"/>
    <cfRule type="duplicateValues" dxfId="11643" priority="10450"/>
    <cfRule type="duplicateValues" dxfId="11642" priority="10449"/>
    <cfRule type="duplicateValues" dxfId="11641" priority="10448"/>
    <cfRule type="duplicateValues" dxfId="11640" priority="10447"/>
    <cfRule type="duplicateValues" dxfId="11639" priority="10446"/>
    <cfRule type="duplicateValues" dxfId="11638" priority="10445"/>
    <cfRule type="duplicateValues" dxfId="11637" priority="10444"/>
    <cfRule type="duplicateValues" dxfId="11636" priority="10443"/>
    <cfRule type="duplicateValues" dxfId="11635" priority="10442"/>
    <cfRule type="duplicateValues" dxfId="11634" priority="10441"/>
    <cfRule type="duplicateValues" dxfId="11633" priority="10440"/>
    <cfRule type="duplicateValues" dxfId="11632" priority="10439"/>
    <cfRule type="duplicateValues" dxfId="11631" priority="10438"/>
    <cfRule type="duplicateValues" dxfId="11630" priority="10437"/>
    <cfRule type="duplicateValues" dxfId="11629" priority="10436"/>
    <cfRule type="duplicateValues" dxfId="11628" priority="10435"/>
    <cfRule type="duplicateValues" dxfId="11627" priority="10434"/>
    <cfRule type="duplicateValues" dxfId="11626" priority="10433"/>
    <cfRule type="duplicateValues" dxfId="11625" priority="10432"/>
    <cfRule type="duplicateValues" dxfId="11624" priority="10431"/>
    <cfRule type="duplicateValues" dxfId="11623" priority="10430"/>
    <cfRule type="duplicateValues" dxfId="11622" priority="10429"/>
    <cfRule type="duplicateValues" dxfId="11621" priority="10428"/>
    <cfRule type="duplicateValues" dxfId="11620" priority="10427"/>
    <cfRule type="duplicateValues" dxfId="11619" priority="10426"/>
    <cfRule type="duplicateValues" dxfId="11618" priority="10425"/>
    <cfRule type="duplicateValues" dxfId="11617" priority="10424"/>
    <cfRule type="duplicateValues" dxfId="11616" priority="10423"/>
    <cfRule type="duplicateValues" dxfId="11615" priority="10422"/>
    <cfRule type="duplicateValues" dxfId="11614" priority="10421"/>
    <cfRule type="duplicateValues" dxfId="11613" priority="10420"/>
    <cfRule type="duplicateValues" dxfId="11612" priority="10419"/>
    <cfRule type="duplicateValues" dxfId="11611" priority="10418"/>
    <cfRule type="duplicateValues" dxfId="11610" priority="10417"/>
    <cfRule type="duplicateValues" dxfId="11609" priority="10416"/>
    <cfRule type="duplicateValues" dxfId="11608" priority="10415"/>
    <cfRule type="duplicateValues" dxfId="11607" priority="10414"/>
    <cfRule type="duplicateValues" dxfId="11606" priority="10413"/>
    <cfRule type="duplicateValues" dxfId="11605" priority="10412"/>
    <cfRule type="duplicateValues" dxfId="11604" priority="10411"/>
    <cfRule type="duplicateValues" dxfId="11603" priority="10410"/>
    <cfRule type="duplicateValues" dxfId="11602" priority="10409"/>
    <cfRule type="duplicateValues" dxfId="11601" priority="10408"/>
    <cfRule type="duplicateValues" dxfId="11600" priority="10407"/>
    <cfRule type="duplicateValues" dxfId="11599" priority="10406"/>
    <cfRule type="duplicateValues" dxfId="11598" priority="10405"/>
    <cfRule type="duplicateValues" dxfId="11597" priority="10404"/>
    <cfRule type="duplicateValues" dxfId="11596" priority="10403"/>
    <cfRule type="duplicateValues" dxfId="11595" priority="10402"/>
    <cfRule type="duplicateValues" dxfId="11594" priority="10401"/>
    <cfRule type="duplicateValues" dxfId="11593" priority="10400"/>
    <cfRule type="duplicateValues" dxfId="11592" priority="10399"/>
    <cfRule type="duplicateValues" dxfId="11591" priority="10398"/>
    <cfRule type="duplicateValues" dxfId="11590" priority="10397"/>
    <cfRule type="duplicateValues" dxfId="11589" priority="10396"/>
    <cfRule type="duplicateValues" dxfId="11588" priority="10395"/>
    <cfRule type="duplicateValues" dxfId="11587" priority="10394"/>
    <cfRule type="duplicateValues" dxfId="11586" priority="10393"/>
    <cfRule type="duplicateValues" dxfId="11585" priority="10392"/>
    <cfRule type="duplicateValues" dxfId="11584" priority="10391"/>
    <cfRule type="duplicateValues" dxfId="11583" priority="10390"/>
    <cfRule type="duplicateValues" dxfId="11582" priority="10389"/>
    <cfRule type="duplicateValues" dxfId="11581" priority="10388"/>
    <cfRule type="duplicateValues" dxfId="11580" priority="10387"/>
    <cfRule type="duplicateValues" dxfId="11579" priority="10386"/>
    <cfRule type="duplicateValues" dxfId="11578" priority="10385"/>
    <cfRule type="duplicateValues" dxfId="11577" priority="10384"/>
    <cfRule type="duplicateValues" dxfId="11576" priority="10383"/>
    <cfRule type="duplicateValues" dxfId="11575" priority="10382"/>
    <cfRule type="duplicateValues" dxfId="11574" priority="10381"/>
    <cfRule type="duplicateValues" dxfId="11573" priority="10380"/>
    <cfRule type="duplicateValues" dxfId="11572" priority="10379"/>
    <cfRule type="duplicateValues" dxfId="11571" priority="10378"/>
    <cfRule type="duplicateValues" dxfId="11570" priority="10377"/>
    <cfRule type="duplicateValues" dxfId="11569" priority="10376"/>
    <cfRule type="duplicateValues" dxfId="11568" priority="10375"/>
    <cfRule type="duplicateValues" dxfId="11567" priority="10374"/>
    <cfRule type="duplicateValues" dxfId="11566" priority="10373"/>
    <cfRule type="duplicateValues" dxfId="11565" priority="10372"/>
    <cfRule type="duplicateValues" dxfId="11564" priority="10371"/>
    <cfRule type="duplicateValues" dxfId="11563" priority="10370"/>
    <cfRule type="duplicateValues" dxfId="11562" priority="10369"/>
    <cfRule type="duplicateValues" dxfId="11561" priority="10368"/>
    <cfRule type="duplicateValues" dxfId="11560" priority="10367"/>
    <cfRule type="duplicateValues" dxfId="11559" priority="10366"/>
    <cfRule type="duplicateValues" dxfId="11558" priority="10365"/>
    <cfRule type="duplicateValues" dxfId="11557" priority="10364"/>
    <cfRule type="duplicateValues" dxfId="11556" priority="10363"/>
    <cfRule type="duplicateValues" dxfId="11555" priority="10362"/>
    <cfRule type="duplicateValues" dxfId="11554" priority="10361"/>
    <cfRule type="duplicateValues" dxfId="11553" priority="10360"/>
    <cfRule type="duplicateValues" dxfId="11552" priority="10359"/>
    <cfRule type="duplicateValues" dxfId="11551" priority="10358"/>
    <cfRule type="duplicateValues" dxfId="11550" priority="10357"/>
    <cfRule type="duplicateValues" dxfId="11549" priority="10356"/>
    <cfRule type="duplicateValues" dxfId="11548" priority="10355"/>
    <cfRule type="duplicateValues" dxfId="11547" priority="10354"/>
    <cfRule type="duplicateValues" dxfId="11546" priority="10353"/>
    <cfRule type="duplicateValues" dxfId="11545" priority="10352"/>
    <cfRule type="duplicateValues" dxfId="11544" priority="10351"/>
    <cfRule type="duplicateValues" dxfId="11543" priority="10350"/>
    <cfRule type="duplicateValues" dxfId="11542" priority="10765"/>
    <cfRule type="duplicateValues" dxfId="11541" priority="10349"/>
    <cfRule type="duplicateValues" dxfId="11540" priority="10348"/>
    <cfRule type="duplicateValues" dxfId="11539" priority="10347"/>
    <cfRule type="duplicateValues" dxfId="11538" priority="10346"/>
    <cfRule type="duplicateValues" dxfId="11537" priority="10345"/>
    <cfRule type="duplicateValues" dxfId="11536" priority="10344"/>
    <cfRule type="duplicateValues" dxfId="11535" priority="10343"/>
    <cfRule type="duplicateValues" dxfId="11534" priority="10342"/>
    <cfRule type="duplicateValues" dxfId="11533" priority="10341"/>
    <cfRule type="duplicateValues" dxfId="11532" priority="10340"/>
    <cfRule type="duplicateValues" dxfId="11531" priority="10339"/>
    <cfRule type="duplicateValues" dxfId="11530" priority="10338"/>
    <cfRule type="duplicateValues" dxfId="11529" priority="10337"/>
    <cfRule type="duplicateValues" dxfId="11528" priority="10336"/>
    <cfRule type="duplicateValues" dxfId="11527" priority="10335"/>
    <cfRule type="duplicateValues" dxfId="11526" priority="10334"/>
    <cfRule type="duplicateValues" dxfId="11525" priority="10333"/>
    <cfRule type="duplicateValues" dxfId="11524" priority="10332"/>
    <cfRule type="duplicateValues" dxfId="11523" priority="10331"/>
    <cfRule type="duplicateValues" dxfId="11522" priority="10330"/>
    <cfRule type="duplicateValues" dxfId="11521" priority="10329"/>
    <cfRule type="duplicateValues" dxfId="11520" priority="10328"/>
    <cfRule type="duplicateValues" dxfId="11519" priority="10327"/>
    <cfRule type="duplicateValues" dxfId="11518" priority="10326"/>
    <cfRule type="duplicateValues" dxfId="11517" priority="10325"/>
    <cfRule type="duplicateValues" dxfId="11516" priority="10324"/>
    <cfRule type="duplicateValues" dxfId="11515" priority="10323"/>
    <cfRule type="duplicateValues" dxfId="11514" priority="10322"/>
    <cfRule type="duplicateValues" dxfId="11513" priority="10321"/>
    <cfRule type="duplicateValues" dxfId="11512" priority="10320"/>
    <cfRule type="duplicateValues" dxfId="11511" priority="10319"/>
    <cfRule type="duplicateValues" dxfId="11510" priority="10318"/>
    <cfRule type="duplicateValues" dxfId="11509" priority="10317"/>
    <cfRule type="duplicateValues" dxfId="11508" priority="10316"/>
    <cfRule type="duplicateValues" dxfId="11507" priority="10315"/>
    <cfRule type="duplicateValues" dxfId="11506" priority="10314"/>
    <cfRule type="duplicateValues" dxfId="11505" priority="10313"/>
    <cfRule type="duplicateValues" dxfId="11504" priority="10312"/>
    <cfRule type="duplicateValues" dxfId="11503" priority="10311"/>
    <cfRule type="duplicateValues" dxfId="11502" priority="10310"/>
    <cfRule type="duplicateValues" dxfId="11501" priority="10309"/>
    <cfRule type="duplicateValues" dxfId="11500" priority="10308"/>
    <cfRule type="duplicateValues" dxfId="11499" priority="10307"/>
    <cfRule type="duplicateValues" dxfId="11498" priority="10306"/>
    <cfRule type="duplicateValues" dxfId="11497" priority="10305"/>
    <cfRule type="duplicateValues" dxfId="11496" priority="10304"/>
    <cfRule type="duplicateValues" dxfId="11495" priority="10303"/>
    <cfRule type="duplicateValues" dxfId="11494" priority="10302"/>
    <cfRule type="duplicateValues" dxfId="11493" priority="10301"/>
    <cfRule type="duplicateValues" dxfId="11492" priority="10300"/>
    <cfRule type="duplicateValues" dxfId="11491" priority="10299"/>
    <cfRule type="duplicateValues" dxfId="11490" priority="10298"/>
    <cfRule type="duplicateValues" dxfId="11489" priority="10297"/>
    <cfRule type="duplicateValues" dxfId="11488" priority="10296"/>
    <cfRule type="duplicateValues" dxfId="11487" priority="10295"/>
    <cfRule type="duplicateValues" dxfId="11486" priority="10294"/>
    <cfRule type="duplicateValues" dxfId="11485" priority="10293"/>
    <cfRule type="duplicateValues" dxfId="11484" priority="10292"/>
    <cfRule type="duplicateValues" dxfId="11483" priority="10291"/>
    <cfRule type="duplicateValues" dxfId="11482" priority="10290"/>
    <cfRule type="duplicateValues" dxfId="11481" priority="10289"/>
    <cfRule type="duplicateValues" dxfId="11480" priority="10288"/>
    <cfRule type="duplicateValues" dxfId="11479" priority="10287"/>
    <cfRule type="duplicateValues" dxfId="11478" priority="10286"/>
    <cfRule type="duplicateValues" dxfId="11477" priority="10285"/>
    <cfRule type="duplicateValues" dxfId="11476" priority="10284"/>
    <cfRule type="duplicateValues" dxfId="11475" priority="10283"/>
    <cfRule type="duplicateValues" dxfId="11474" priority="10282"/>
    <cfRule type="duplicateValues" dxfId="11473" priority="10281"/>
    <cfRule type="duplicateValues" dxfId="11472" priority="10280"/>
    <cfRule type="duplicateValues" dxfId="11471" priority="10279"/>
    <cfRule type="duplicateValues" dxfId="11470" priority="10278"/>
    <cfRule type="duplicateValues" dxfId="11469" priority="10277"/>
    <cfRule type="duplicateValues" dxfId="11468" priority="10276"/>
    <cfRule type="duplicateValues" dxfId="11467" priority="10275"/>
    <cfRule type="duplicateValues" dxfId="11466" priority="10274"/>
    <cfRule type="duplicateValues" dxfId="11465" priority="10273"/>
    <cfRule type="duplicateValues" dxfId="11464" priority="10272"/>
    <cfRule type="duplicateValues" dxfId="11463" priority="10271"/>
    <cfRule type="duplicateValues" dxfId="11462" priority="10270"/>
    <cfRule type="duplicateValues" dxfId="11461" priority="10269"/>
    <cfRule type="duplicateValues" dxfId="11460" priority="10268"/>
    <cfRule type="duplicateValues" dxfId="11459" priority="10267"/>
    <cfRule type="duplicateValues" dxfId="11458" priority="10266"/>
    <cfRule type="duplicateValues" dxfId="11457" priority="10265"/>
    <cfRule type="duplicateValues" dxfId="11456" priority="10264"/>
    <cfRule type="duplicateValues" dxfId="11455" priority="10263"/>
    <cfRule type="duplicateValues" dxfId="11454" priority="10262"/>
    <cfRule type="duplicateValues" dxfId="11453" priority="10261"/>
    <cfRule type="duplicateValues" dxfId="11452" priority="10260"/>
    <cfRule type="duplicateValues" dxfId="11451" priority="10259"/>
    <cfRule type="duplicateValues" dxfId="11450" priority="10258"/>
    <cfRule type="duplicateValues" dxfId="11449" priority="10257"/>
    <cfRule type="duplicateValues" dxfId="11448" priority="10256"/>
    <cfRule type="duplicateValues" dxfId="11447" priority="10255"/>
    <cfRule type="duplicateValues" dxfId="11446" priority="10254"/>
    <cfRule type="duplicateValues" dxfId="11445" priority="10253"/>
    <cfRule type="duplicateValues" dxfId="11444" priority="10252"/>
    <cfRule type="duplicateValues" dxfId="11443" priority="10251"/>
    <cfRule type="duplicateValues" dxfId="11442" priority="10250"/>
    <cfRule type="duplicateValues" dxfId="11441" priority="10249"/>
    <cfRule type="duplicateValues" dxfId="11440" priority="10248"/>
    <cfRule type="duplicateValues" dxfId="11439" priority="10247"/>
    <cfRule type="duplicateValues" dxfId="11438" priority="10246"/>
    <cfRule type="duplicateValues" dxfId="11437" priority="10245"/>
    <cfRule type="duplicateValues" dxfId="11436" priority="10244"/>
    <cfRule type="duplicateValues" dxfId="11435" priority="10243"/>
    <cfRule type="duplicateValues" dxfId="11434" priority="10242"/>
    <cfRule type="duplicateValues" dxfId="11433" priority="10241"/>
    <cfRule type="duplicateValues" dxfId="11432" priority="10240"/>
    <cfRule type="duplicateValues" dxfId="11431" priority="10239"/>
    <cfRule type="duplicateValues" dxfId="11430" priority="10238"/>
    <cfRule type="duplicateValues" dxfId="11429" priority="10237"/>
    <cfRule type="duplicateValues" dxfId="11428" priority="10236"/>
    <cfRule type="duplicateValues" dxfId="11427" priority="10235"/>
    <cfRule type="duplicateValues" dxfId="11426" priority="10234"/>
    <cfRule type="duplicateValues" dxfId="11425" priority="10233"/>
    <cfRule type="duplicateValues" dxfId="11424" priority="10232"/>
    <cfRule type="duplicateValues" dxfId="11423" priority="10231"/>
    <cfRule type="duplicateValues" dxfId="11422" priority="10230"/>
    <cfRule type="duplicateValues" dxfId="11421" priority="10229"/>
    <cfRule type="duplicateValues" dxfId="11420" priority="10228"/>
    <cfRule type="duplicateValues" dxfId="11419" priority="10764"/>
    <cfRule type="duplicateValues" dxfId="11418" priority="10763"/>
    <cfRule type="duplicateValues" dxfId="11417" priority="10762"/>
    <cfRule type="duplicateValues" dxfId="11416" priority="10761"/>
    <cfRule type="duplicateValues" dxfId="11415" priority="10760"/>
    <cfRule type="duplicateValues" dxfId="11414" priority="10759"/>
    <cfRule type="duplicateValues" dxfId="11413" priority="10758"/>
    <cfRule type="duplicateValues" dxfId="11412" priority="10757"/>
    <cfRule type="duplicateValues" dxfId="11411" priority="10756"/>
    <cfRule type="duplicateValues" dxfId="11410" priority="10755"/>
    <cfRule type="duplicateValues" dxfId="11409" priority="10227"/>
    <cfRule type="duplicateValues" dxfId="11408" priority="10226"/>
    <cfRule type="duplicateValues" dxfId="11407" priority="10225"/>
    <cfRule type="duplicateValues" dxfId="11406" priority="10224"/>
    <cfRule type="duplicateValues" dxfId="11405" priority="10223"/>
    <cfRule type="duplicateValues" dxfId="11404" priority="10222"/>
    <cfRule type="duplicateValues" dxfId="11403" priority="10221"/>
    <cfRule type="duplicateValues" dxfId="11402" priority="10220"/>
    <cfRule type="duplicateValues" dxfId="11401" priority="10219"/>
    <cfRule type="duplicateValues" dxfId="11400" priority="10218"/>
    <cfRule type="duplicateValues" dxfId="11399" priority="10217"/>
    <cfRule type="duplicateValues" dxfId="11398" priority="10216"/>
    <cfRule type="duplicateValues" dxfId="11397" priority="10215"/>
    <cfRule type="duplicateValues" dxfId="11396" priority="10214"/>
    <cfRule type="duplicateValues" dxfId="11395" priority="10213"/>
    <cfRule type="duplicateValues" dxfId="11394" priority="10212"/>
    <cfRule type="duplicateValues" dxfId="11393" priority="10211"/>
    <cfRule type="duplicateValues" dxfId="11392" priority="10210"/>
    <cfRule type="duplicateValues" dxfId="11391" priority="10209"/>
    <cfRule type="duplicateValues" dxfId="11390" priority="10208"/>
    <cfRule type="duplicateValues" dxfId="11389" priority="10207"/>
    <cfRule type="duplicateValues" dxfId="11388" priority="10206"/>
    <cfRule type="duplicateValues" dxfId="11387" priority="10205"/>
    <cfRule type="duplicateValues" dxfId="11386" priority="10204"/>
    <cfRule type="duplicateValues" dxfId="11385" priority="10203"/>
    <cfRule type="duplicateValues" dxfId="11384" priority="10202"/>
    <cfRule type="duplicateValues" dxfId="11383" priority="10201"/>
    <cfRule type="duplicateValues" dxfId="11382" priority="10200"/>
    <cfRule type="duplicateValues" dxfId="11381" priority="10199"/>
    <cfRule type="duplicateValues" dxfId="11380" priority="10198"/>
    <cfRule type="duplicateValues" dxfId="11379" priority="10197"/>
    <cfRule type="duplicateValues" dxfId="11378" priority="10196"/>
    <cfRule type="duplicateValues" dxfId="11377" priority="10754"/>
    <cfRule type="duplicateValues" dxfId="11376" priority="10753"/>
    <cfRule type="duplicateValues" dxfId="11375" priority="10752"/>
    <cfRule type="duplicateValues" dxfId="11374" priority="10751"/>
    <cfRule type="duplicateValues" dxfId="11373" priority="10750"/>
    <cfRule type="duplicateValues" dxfId="11372" priority="10749"/>
    <cfRule type="duplicateValues" dxfId="11371" priority="10748"/>
    <cfRule type="duplicateValues" dxfId="11370" priority="10747"/>
    <cfRule type="duplicateValues" dxfId="11369" priority="10746"/>
    <cfRule type="duplicateValues" dxfId="11368" priority="10745"/>
    <cfRule type="duplicateValues" dxfId="11367" priority="10744"/>
    <cfRule type="duplicateValues" dxfId="11366" priority="10743"/>
    <cfRule type="duplicateValues" dxfId="11365" priority="10742"/>
    <cfRule type="duplicateValues" dxfId="11364" priority="10741"/>
    <cfRule type="duplicateValues" dxfId="11363" priority="10740"/>
    <cfRule type="duplicateValues" dxfId="11362" priority="10739"/>
    <cfRule type="duplicateValues" dxfId="11361" priority="10738"/>
    <cfRule type="duplicateValues" dxfId="11360" priority="10737"/>
    <cfRule type="duplicateValues" dxfId="11359" priority="10736"/>
    <cfRule type="duplicateValues" dxfId="11358" priority="10735"/>
    <cfRule type="duplicateValues" dxfId="11357" priority="10734"/>
    <cfRule type="duplicateValues" dxfId="11356" priority="10733"/>
    <cfRule type="duplicateValues" dxfId="11355" priority="10732"/>
    <cfRule type="duplicateValues" dxfId="11354" priority="10731"/>
    <cfRule type="duplicateValues" dxfId="11353" priority="10730"/>
    <cfRule type="duplicateValues" dxfId="11352" priority="10729"/>
    <cfRule type="duplicateValues" dxfId="11351" priority="10728"/>
    <cfRule type="duplicateValues" dxfId="11350" priority="10727"/>
    <cfRule type="duplicateValues" dxfId="11349" priority="10726"/>
    <cfRule type="duplicateValues" dxfId="11348" priority="10725"/>
    <cfRule type="duplicateValues" dxfId="11347" priority="10724"/>
    <cfRule type="duplicateValues" dxfId="11346" priority="10723"/>
    <cfRule type="duplicateValues" dxfId="11345" priority="10722"/>
    <cfRule type="duplicateValues" dxfId="11344" priority="10721"/>
    <cfRule type="duplicateValues" dxfId="11343" priority="10720"/>
    <cfRule type="duplicateValues" dxfId="11342" priority="10719"/>
    <cfRule type="duplicateValues" dxfId="11341" priority="10718"/>
    <cfRule type="duplicateValues" dxfId="11340" priority="10717"/>
    <cfRule type="duplicateValues" dxfId="11339" priority="10716"/>
    <cfRule type="duplicateValues" dxfId="11338" priority="10715"/>
    <cfRule type="duplicateValues" dxfId="11337" priority="10714"/>
    <cfRule type="duplicateValues" dxfId="11336" priority="10713"/>
    <cfRule type="duplicateValues" dxfId="11335" priority="10712"/>
    <cfRule type="duplicateValues" dxfId="11334" priority="10711"/>
    <cfRule type="duplicateValues" dxfId="11333" priority="10710"/>
    <cfRule type="duplicateValues" dxfId="11332" priority="10709"/>
    <cfRule type="duplicateValues" dxfId="11331" priority="10708"/>
    <cfRule type="duplicateValues" dxfId="11330" priority="10707"/>
    <cfRule type="duplicateValues" dxfId="11329" priority="10706"/>
    <cfRule type="duplicateValues" dxfId="11328" priority="10705"/>
    <cfRule type="duplicateValues" dxfId="11327" priority="10704"/>
    <cfRule type="duplicateValues" dxfId="11326" priority="10703"/>
    <cfRule type="duplicateValues" dxfId="11325" priority="10702"/>
    <cfRule type="duplicateValues" dxfId="11324" priority="10701"/>
    <cfRule type="duplicateValues" dxfId="11323" priority="10700"/>
    <cfRule type="duplicateValues" dxfId="11322" priority="10699"/>
    <cfRule type="duplicateValues" dxfId="11321" priority="10698"/>
    <cfRule type="duplicateValues" dxfId="11320" priority="10697"/>
    <cfRule type="duplicateValues" dxfId="11319" priority="10696"/>
    <cfRule type="duplicateValues" dxfId="11318" priority="10695"/>
    <cfRule type="duplicateValues" dxfId="11317" priority="10694"/>
    <cfRule type="duplicateValues" dxfId="11316" priority="10693"/>
    <cfRule type="duplicateValues" dxfId="11315" priority="10692"/>
    <cfRule type="duplicateValues" dxfId="11314" priority="10691"/>
    <cfRule type="duplicateValues" dxfId="11313" priority="10690"/>
    <cfRule type="duplicateValues" dxfId="11312" priority="10689"/>
    <cfRule type="duplicateValues" dxfId="11311" priority="10688"/>
    <cfRule type="duplicateValues" dxfId="11310" priority="10687"/>
    <cfRule type="duplicateValues" dxfId="11309" priority="10686"/>
    <cfRule type="duplicateValues" dxfId="11308" priority="10685"/>
    <cfRule type="duplicateValues" dxfId="11307" priority="10684"/>
    <cfRule type="duplicateValues" dxfId="11306" priority="10683"/>
    <cfRule type="duplicateValues" dxfId="11305" priority="10682"/>
    <cfRule type="duplicateValues" dxfId="11304" priority="10681"/>
    <cfRule type="duplicateValues" dxfId="11303" priority="10680"/>
    <cfRule type="duplicateValues" dxfId="11302" priority="10679"/>
    <cfRule type="duplicateValues" dxfId="11301" priority="10678"/>
    <cfRule type="duplicateValues" dxfId="11300" priority="10677"/>
    <cfRule type="duplicateValues" dxfId="11299" priority="10676"/>
    <cfRule type="duplicateValues" dxfId="11298" priority="10675"/>
    <cfRule type="duplicateValues" dxfId="11297" priority="10674"/>
    <cfRule type="duplicateValues" dxfId="11296" priority="10673"/>
    <cfRule type="duplicateValues" dxfId="11295" priority="10672"/>
    <cfRule type="duplicateValues" dxfId="11294" priority="10671"/>
    <cfRule type="duplicateValues" dxfId="11293" priority="10670"/>
    <cfRule type="duplicateValues" dxfId="11292" priority="10669"/>
    <cfRule type="duplicateValues" dxfId="11291" priority="10668"/>
    <cfRule type="duplicateValues" dxfId="11290" priority="10667"/>
    <cfRule type="duplicateValues" dxfId="11289" priority="10666"/>
    <cfRule type="duplicateValues" dxfId="11288" priority="10665"/>
    <cfRule type="duplicateValues" dxfId="11287" priority="10664"/>
    <cfRule type="duplicateValues" dxfId="11286" priority="10663"/>
    <cfRule type="duplicateValues" dxfId="11285" priority="10662"/>
    <cfRule type="duplicateValues" dxfId="11284" priority="10661"/>
    <cfRule type="duplicateValues" dxfId="11283" priority="10660"/>
    <cfRule type="duplicateValues" dxfId="11282" priority="10659"/>
    <cfRule type="duplicateValues" dxfId="11281" priority="10658"/>
    <cfRule type="duplicateValues" dxfId="11280" priority="10657"/>
    <cfRule type="duplicateValues" dxfId="11279" priority="10656"/>
    <cfRule type="duplicateValues" dxfId="11278" priority="10655"/>
    <cfRule type="duplicateValues" dxfId="11277" priority="10654"/>
    <cfRule type="duplicateValues" dxfId="11276" priority="10653"/>
    <cfRule type="duplicateValues" dxfId="11275" priority="10652"/>
    <cfRule type="duplicateValues" dxfId="11274" priority="10651"/>
    <cfRule type="duplicateValues" dxfId="11273" priority="10650"/>
    <cfRule type="duplicateValues" dxfId="11272" priority="10649"/>
    <cfRule type="duplicateValues" dxfId="11271" priority="10648"/>
    <cfRule type="duplicateValues" dxfId="11270" priority="10647"/>
    <cfRule type="duplicateValues" dxfId="11269" priority="10646"/>
    <cfRule type="duplicateValues" dxfId="11268" priority="10645"/>
    <cfRule type="duplicateValues" dxfId="11267" priority="10644"/>
    <cfRule type="duplicateValues" dxfId="11266" priority="10643"/>
    <cfRule type="duplicateValues" dxfId="11265" priority="10642"/>
    <cfRule type="duplicateValues" dxfId="11264" priority="10641"/>
    <cfRule type="duplicateValues" dxfId="11263" priority="10640"/>
    <cfRule type="duplicateValues" dxfId="11262" priority="10639"/>
    <cfRule type="duplicateValues" dxfId="11261" priority="10638"/>
    <cfRule type="duplicateValues" dxfId="11260" priority="10637"/>
    <cfRule type="duplicateValues" dxfId="11259" priority="10636"/>
    <cfRule type="duplicateValues" dxfId="11258" priority="10635"/>
    <cfRule type="duplicateValues" dxfId="11257" priority="10634"/>
    <cfRule type="duplicateValues" dxfId="11256" priority="10633"/>
    <cfRule type="duplicateValues" dxfId="11255" priority="10632"/>
    <cfRule type="duplicateValues" dxfId="11254" priority="10631"/>
    <cfRule type="duplicateValues" dxfId="11253" priority="10630"/>
    <cfRule type="duplicateValues" dxfId="11252" priority="10629"/>
    <cfRule type="duplicateValues" dxfId="11251" priority="10628"/>
    <cfRule type="duplicateValues" dxfId="11250" priority="10627"/>
    <cfRule type="duplicateValues" dxfId="11249" priority="10626"/>
    <cfRule type="duplicateValues" dxfId="11248" priority="10625"/>
    <cfRule type="duplicateValues" dxfId="11247" priority="10624"/>
    <cfRule type="duplicateValues" dxfId="11246" priority="10623"/>
    <cfRule type="duplicateValues" dxfId="11245" priority="10622"/>
    <cfRule type="duplicateValues" dxfId="11244" priority="10621"/>
    <cfRule type="duplicateValues" dxfId="11243" priority="10620"/>
    <cfRule type="duplicateValues" dxfId="11242" priority="10619"/>
    <cfRule type="duplicateValues" dxfId="11241" priority="10618"/>
    <cfRule type="duplicateValues" dxfId="11240" priority="10617"/>
    <cfRule type="duplicateValues" dxfId="11239" priority="10616"/>
    <cfRule type="duplicateValues" dxfId="11238" priority="10615"/>
    <cfRule type="duplicateValues" dxfId="11237" priority="10614"/>
    <cfRule type="duplicateValues" dxfId="11236" priority="10613"/>
    <cfRule type="duplicateValues" dxfId="11235" priority="10612"/>
    <cfRule type="duplicateValues" dxfId="11234" priority="10611"/>
    <cfRule type="duplicateValues" dxfId="11233" priority="10610"/>
    <cfRule type="duplicateValues" dxfId="11232" priority="10609"/>
    <cfRule type="duplicateValues" dxfId="11231" priority="10608"/>
    <cfRule type="duplicateValues" dxfId="11230" priority="10607"/>
    <cfRule type="duplicateValues" dxfId="11229" priority="10606"/>
    <cfRule type="duplicateValues" dxfId="11228" priority="10605"/>
    <cfRule type="duplicateValues" dxfId="11227" priority="10604"/>
    <cfRule type="duplicateValues" dxfId="11226" priority="10603"/>
    <cfRule type="duplicateValues" dxfId="11225" priority="10602"/>
    <cfRule type="duplicateValues" dxfId="11224" priority="10601"/>
    <cfRule type="duplicateValues" dxfId="11223" priority="10600"/>
    <cfRule type="duplicateValues" dxfId="11222" priority="10599"/>
    <cfRule type="duplicateValues" dxfId="11221" priority="10598"/>
    <cfRule type="duplicateValues" dxfId="11220" priority="10597"/>
    <cfRule type="duplicateValues" dxfId="11219" priority="10596"/>
    <cfRule type="duplicateValues" dxfId="11218" priority="10595"/>
    <cfRule type="duplicateValues" dxfId="11217" priority="10594"/>
    <cfRule type="duplicateValues" dxfId="11216" priority="10593"/>
    <cfRule type="duplicateValues" dxfId="11215" priority="10592"/>
    <cfRule type="duplicateValues" dxfId="11214" priority="10591"/>
    <cfRule type="duplicateValues" dxfId="11213" priority="10590"/>
    <cfRule type="duplicateValues" dxfId="11212" priority="10589"/>
    <cfRule type="duplicateValues" dxfId="11211" priority="10588"/>
    <cfRule type="duplicateValues" dxfId="11210" priority="10587"/>
    <cfRule type="duplicateValues" dxfId="11209" priority="10586"/>
    <cfRule type="duplicateValues" dxfId="11208" priority="10585"/>
    <cfRule type="duplicateValues" dxfId="11207" priority="10584"/>
    <cfRule type="duplicateValues" dxfId="11206" priority="10583"/>
    <cfRule type="duplicateValues" dxfId="11205" priority="10582"/>
    <cfRule type="duplicateValues" dxfId="11204" priority="10581"/>
    <cfRule type="duplicateValues" dxfId="11203" priority="10580"/>
    <cfRule type="duplicateValues" dxfId="11202" priority="10579"/>
    <cfRule type="duplicateValues" dxfId="11201" priority="10578"/>
    <cfRule type="duplicateValues" dxfId="11200" priority="10577"/>
    <cfRule type="duplicateValues" dxfId="11199" priority="10576"/>
    <cfRule type="duplicateValues" dxfId="11198" priority="10575"/>
    <cfRule type="duplicateValues" dxfId="11197" priority="10574"/>
    <cfRule type="duplicateValues" dxfId="11196" priority="10573"/>
    <cfRule type="duplicateValues" dxfId="11195" priority="10572"/>
    <cfRule type="duplicateValues" dxfId="11194" priority="10571"/>
    <cfRule type="duplicateValues" dxfId="11193" priority="10570"/>
    <cfRule type="duplicateValues" dxfId="11192" priority="10569"/>
    <cfRule type="duplicateValues" dxfId="11191" priority="10568"/>
    <cfRule type="duplicateValues" dxfId="11190" priority="10567"/>
    <cfRule type="duplicateValues" dxfId="11189" priority="10566"/>
    <cfRule type="duplicateValues" dxfId="11188" priority="10565"/>
    <cfRule type="duplicateValues" dxfId="11187" priority="10564"/>
    <cfRule type="duplicateValues" dxfId="11186" priority="10563"/>
    <cfRule type="duplicateValues" dxfId="11185" priority="10562"/>
    <cfRule type="duplicateValues" dxfId="11184" priority="10561"/>
    <cfRule type="duplicateValues" dxfId="11183" priority="10560"/>
    <cfRule type="duplicateValues" dxfId="11182" priority="10559"/>
    <cfRule type="duplicateValues" dxfId="11181" priority="10558"/>
    <cfRule type="duplicateValues" dxfId="11180" priority="10557"/>
    <cfRule type="duplicateValues" dxfId="11179" priority="10556"/>
    <cfRule type="duplicateValues" dxfId="11178" priority="10555"/>
    <cfRule type="duplicateValues" dxfId="11177" priority="10554"/>
    <cfRule type="duplicateValues" dxfId="11176" priority="10553"/>
    <cfRule type="duplicateValues" dxfId="11175" priority="10552"/>
    <cfRule type="duplicateValues" dxfId="11174" priority="10551"/>
    <cfRule type="duplicateValues" dxfId="11173" priority="10550"/>
    <cfRule type="duplicateValues" dxfId="11172" priority="10549"/>
    <cfRule type="duplicateValues" dxfId="11171" priority="10548"/>
    <cfRule type="duplicateValues" dxfId="11170" priority="10547"/>
    <cfRule type="duplicateValues" dxfId="11169" priority="10546"/>
    <cfRule type="duplicateValues" dxfId="11168" priority="10545"/>
    <cfRule type="duplicateValues" dxfId="11167" priority="10544"/>
    <cfRule type="duplicateValues" dxfId="11166" priority="10543"/>
    <cfRule type="duplicateValues" dxfId="11165" priority="10542"/>
    <cfRule type="duplicateValues" dxfId="11164" priority="10541"/>
    <cfRule type="duplicateValues" dxfId="11163" priority="10540"/>
    <cfRule type="duplicateValues" dxfId="11162" priority="10539"/>
    <cfRule type="duplicateValues" dxfId="11161" priority="10538"/>
    <cfRule type="duplicateValues" dxfId="11160" priority="10537"/>
    <cfRule type="duplicateValues" dxfId="11159" priority="10536"/>
    <cfRule type="duplicateValues" dxfId="11158" priority="10535"/>
    <cfRule type="duplicateValues" dxfId="11157" priority="10534"/>
    <cfRule type="duplicateValues" dxfId="11156" priority="10533"/>
    <cfRule type="duplicateValues" dxfId="11155" priority="10532"/>
    <cfRule type="duplicateValues" dxfId="11154" priority="10531"/>
    <cfRule type="duplicateValues" dxfId="11153" priority="10530"/>
    <cfRule type="duplicateValues" dxfId="11152" priority="10529"/>
    <cfRule type="duplicateValues" dxfId="11151" priority="10528"/>
    <cfRule type="duplicateValues" dxfId="11150" priority="10527"/>
    <cfRule type="duplicateValues" dxfId="11149" priority="10526"/>
    <cfRule type="duplicateValues" dxfId="11148" priority="10525"/>
    <cfRule type="duplicateValues" dxfId="11147" priority="10524"/>
    <cfRule type="duplicateValues" dxfId="11146" priority="10523"/>
    <cfRule type="duplicateValues" dxfId="11145" priority="10522"/>
    <cfRule type="duplicateValues" dxfId="11144" priority="10521"/>
    <cfRule type="duplicateValues" dxfId="11143" priority="10520"/>
    <cfRule type="duplicateValues" dxfId="11142" priority="10519"/>
    <cfRule type="duplicateValues" dxfId="11141" priority="10518"/>
    <cfRule type="duplicateValues" dxfId="11140" priority="10517"/>
    <cfRule type="duplicateValues" dxfId="11139" priority="10516"/>
    <cfRule type="duplicateValues" dxfId="11138" priority="10515"/>
    <cfRule type="duplicateValues" dxfId="11137" priority="10514"/>
    <cfRule type="duplicateValues" dxfId="11136" priority="10513"/>
    <cfRule type="duplicateValues" dxfId="11135" priority="10512"/>
    <cfRule type="duplicateValues" dxfId="11134" priority="10511"/>
    <cfRule type="duplicateValues" dxfId="11133" priority="10510"/>
    <cfRule type="duplicateValues" dxfId="11132" priority="10083"/>
    <cfRule type="duplicateValues" dxfId="11131" priority="10195"/>
    <cfRule type="duplicateValues" dxfId="11130" priority="10194"/>
    <cfRule type="duplicateValues" dxfId="11129" priority="10193"/>
    <cfRule type="duplicateValues" dxfId="11128" priority="10192"/>
    <cfRule type="duplicateValues" dxfId="11127" priority="10191"/>
    <cfRule type="duplicateValues" dxfId="11126" priority="10190"/>
    <cfRule type="duplicateValues" dxfId="11125" priority="10189"/>
    <cfRule type="duplicateValues" dxfId="11124" priority="10188"/>
    <cfRule type="duplicateValues" dxfId="11123" priority="10187"/>
    <cfRule type="duplicateValues" dxfId="11122" priority="10186"/>
    <cfRule type="duplicateValues" dxfId="11121" priority="10185"/>
    <cfRule type="duplicateValues" dxfId="11120" priority="10184"/>
    <cfRule type="duplicateValues" dxfId="11119" priority="10183"/>
    <cfRule type="duplicateValues" dxfId="11118" priority="10182"/>
    <cfRule type="duplicateValues" dxfId="11117" priority="10181"/>
    <cfRule type="duplicateValues" dxfId="11116" priority="10180"/>
    <cfRule type="duplicateValues" dxfId="11115" priority="10179"/>
    <cfRule type="duplicateValues" dxfId="11114" priority="10178"/>
    <cfRule type="duplicateValues" dxfId="11113" priority="10177"/>
    <cfRule type="duplicateValues" dxfId="11112" priority="10176"/>
    <cfRule type="duplicateValues" dxfId="11111" priority="10175"/>
    <cfRule type="duplicateValues" dxfId="11110" priority="10174"/>
    <cfRule type="duplicateValues" dxfId="11109" priority="10173"/>
    <cfRule type="duplicateValues" dxfId="11108" priority="10172"/>
    <cfRule type="duplicateValues" dxfId="11107" priority="10171"/>
    <cfRule type="duplicateValues" dxfId="11106" priority="10170"/>
    <cfRule type="duplicateValues" dxfId="11105" priority="10169"/>
    <cfRule type="duplicateValues" dxfId="11104" priority="10168"/>
    <cfRule type="duplicateValues" dxfId="11103" priority="10167"/>
    <cfRule type="duplicateValues" dxfId="11102" priority="10166"/>
    <cfRule type="duplicateValues" dxfId="11101" priority="10165"/>
    <cfRule type="duplicateValues" dxfId="11100" priority="10164"/>
    <cfRule type="duplicateValues" dxfId="11099" priority="10163"/>
    <cfRule type="duplicateValues" dxfId="11098" priority="10162"/>
    <cfRule type="duplicateValues" dxfId="11097" priority="10161"/>
    <cfRule type="duplicateValues" dxfId="11096" priority="10160"/>
    <cfRule type="duplicateValues" dxfId="11095" priority="10159"/>
    <cfRule type="duplicateValues" dxfId="11094" priority="10158"/>
    <cfRule type="duplicateValues" dxfId="11093" priority="10157"/>
    <cfRule type="duplicateValues" dxfId="11092" priority="10156"/>
    <cfRule type="duplicateValues" dxfId="11091" priority="10155"/>
    <cfRule type="duplicateValues" dxfId="11090" priority="10154"/>
    <cfRule type="duplicateValues" dxfId="11089" priority="10153"/>
    <cfRule type="duplicateValues" dxfId="11088" priority="10152"/>
    <cfRule type="duplicateValues" dxfId="11087" priority="10151"/>
    <cfRule type="duplicateValues" dxfId="11086" priority="10150"/>
    <cfRule type="duplicateValues" dxfId="11085" priority="10149"/>
    <cfRule type="duplicateValues" dxfId="11084" priority="10148"/>
    <cfRule type="duplicateValues" dxfId="11083" priority="10147"/>
    <cfRule type="duplicateValues" dxfId="11082" priority="10146"/>
    <cfRule type="duplicateValues" dxfId="11081" priority="10145"/>
    <cfRule type="duplicateValues" dxfId="11080" priority="10144"/>
    <cfRule type="duplicateValues" dxfId="11079" priority="10143"/>
    <cfRule type="duplicateValues" dxfId="11078" priority="10142"/>
    <cfRule type="duplicateValues" dxfId="11077" priority="10141"/>
    <cfRule type="duplicateValues" dxfId="11076" priority="10140"/>
    <cfRule type="duplicateValues" dxfId="11075" priority="10139"/>
    <cfRule type="duplicateValues" dxfId="11074" priority="10138"/>
    <cfRule type="duplicateValues" dxfId="11073" priority="10137"/>
    <cfRule type="duplicateValues" dxfId="11072" priority="10136"/>
    <cfRule type="duplicateValues" dxfId="11071" priority="10135"/>
    <cfRule type="duplicateValues" dxfId="11070" priority="10134"/>
    <cfRule type="duplicateValues" dxfId="11069" priority="10133"/>
    <cfRule type="duplicateValues" dxfId="11068" priority="10132"/>
    <cfRule type="duplicateValues" dxfId="11067" priority="10131"/>
    <cfRule type="duplicateValues" dxfId="11066" priority="10130"/>
    <cfRule type="duplicateValues" dxfId="11065" priority="10129"/>
    <cfRule type="duplicateValues" dxfId="11064" priority="10128"/>
    <cfRule type="duplicateValues" dxfId="11063" priority="10127"/>
    <cfRule type="duplicateValues" dxfId="11062" priority="10126"/>
    <cfRule type="duplicateValues" dxfId="11061" priority="10125"/>
    <cfRule type="duplicateValues" dxfId="11060" priority="10124"/>
    <cfRule type="duplicateValues" dxfId="11059" priority="10123"/>
    <cfRule type="duplicateValues" dxfId="11058" priority="10122"/>
    <cfRule type="duplicateValues" dxfId="11057" priority="10121"/>
    <cfRule type="duplicateValues" dxfId="11056" priority="10120"/>
    <cfRule type="duplicateValues" dxfId="11055" priority="10119"/>
    <cfRule type="duplicateValues" dxfId="11054" priority="10118"/>
    <cfRule type="duplicateValues" dxfId="11053" priority="10117"/>
    <cfRule type="duplicateValues" dxfId="11052" priority="10116"/>
    <cfRule type="duplicateValues" dxfId="11051" priority="10115"/>
    <cfRule type="duplicateValues" dxfId="11050" priority="10114"/>
    <cfRule type="duplicateValues" dxfId="11049" priority="10113"/>
    <cfRule type="duplicateValues" dxfId="11048" priority="10112"/>
    <cfRule type="duplicateValues" dxfId="11047" priority="10111"/>
    <cfRule type="duplicateValues" dxfId="11046" priority="10110"/>
    <cfRule type="duplicateValues" dxfId="11045" priority="10109"/>
    <cfRule type="duplicateValues" dxfId="11044" priority="10108"/>
    <cfRule type="duplicateValues" dxfId="11043" priority="10107"/>
    <cfRule type="duplicateValues" dxfId="11042" priority="10106"/>
    <cfRule type="duplicateValues" dxfId="11041" priority="10105"/>
    <cfRule type="duplicateValues" dxfId="11040" priority="10104"/>
    <cfRule type="duplicateValues" dxfId="11039" priority="10103"/>
    <cfRule type="duplicateValues" dxfId="11038" priority="10102"/>
    <cfRule type="duplicateValues" dxfId="11037" priority="10101"/>
    <cfRule type="duplicateValues" dxfId="11036" priority="10100"/>
    <cfRule type="duplicateValues" dxfId="11035" priority="10099"/>
    <cfRule type="duplicateValues" dxfId="11034" priority="10098"/>
    <cfRule type="duplicateValues" dxfId="11033" priority="10097"/>
    <cfRule type="duplicateValues" dxfId="11032" priority="10096"/>
    <cfRule type="duplicateValues" dxfId="11031" priority="10095"/>
    <cfRule type="duplicateValues" dxfId="11030" priority="10094"/>
    <cfRule type="duplicateValues" dxfId="11029" priority="10093"/>
    <cfRule type="duplicateValues" dxfId="11028" priority="10092"/>
    <cfRule type="duplicateValues" dxfId="11027" priority="10091"/>
    <cfRule type="duplicateValues" dxfId="11026" priority="10090"/>
    <cfRule type="duplicateValues" dxfId="11025" priority="10089"/>
    <cfRule type="duplicateValues" dxfId="11024" priority="10088"/>
    <cfRule type="duplicateValues" dxfId="11023" priority="10087"/>
    <cfRule type="duplicateValues" dxfId="11022" priority="10086"/>
    <cfRule type="duplicateValues" dxfId="11021" priority="10085"/>
    <cfRule type="duplicateValues" dxfId="11020" priority="10084"/>
    <cfRule type="duplicateValues" dxfId="11019" priority="10082"/>
    <cfRule type="duplicateValues" dxfId="11018" priority="10081"/>
    <cfRule type="duplicateValues" dxfId="11017" priority="10080"/>
    <cfRule type="duplicateValues" dxfId="11016" priority="10079"/>
    <cfRule type="duplicateValues" dxfId="11015" priority="10078"/>
    <cfRule type="duplicateValues" dxfId="11014" priority="11237"/>
    <cfRule type="duplicateValues" dxfId="11013" priority="11236"/>
    <cfRule type="duplicateValues" dxfId="11012" priority="11235"/>
    <cfRule type="duplicateValues" dxfId="11011" priority="11234"/>
    <cfRule type="duplicateValues" dxfId="11010" priority="11233"/>
    <cfRule type="duplicateValues" dxfId="11009" priority="11232"/>
    <cfRule type="duplicateValues" dxfId="11008" priority="11231"/>
    <cfRule type="duplicateValues" dxfId="11007" priority="11230"/>
    <cfRule type="duplicateValues" dxfId="11006" priority="11229"/>
    <cfRule type="duplicateValues" dxfId="11005" priority="11228"/>
    <cfRule type="duplicateValues" dxfId="11004" priority="11227"/>
    <cfRule type="duplicateValues" dxfId="11003" priority="11226"/>
    <cfRule type="duplicateValues" dxfId="11002" priority="11225"/>
    <cfRule type="duplicateValues" dxfId="11001" priority="11224"/>
    <cfRule type="duplicateValues" dxfId="11000" priority="11223"/>
    <cfRule type="duplicateValues" dxfId="10999" priority="11222"/>
    <cfRule type="duplicateValues" dxfId="10998" priority="11221"/>
    <cfRule type="duplicateValues" dxfId="10997" priority="11220"/>
    <cfRule type="duplicateValues" dxfId="10996" priority="11219"/>
    <cfRule type="duplicateValues" dxfId="10995" priority="11218"/>
    <cfRule type="duplicateValues" dxfId="10994" priority="11217"/>
    <cfRule type="duplicateValues" dxfId="10993" priority="11216"/>
    <cfRule type="duplicateValues" dxfId="10992" priority="11215"/>
    <cfRule type="duplicateValues" dxfId="10991" priority="11214"/>
    <cfRule type="duplicateValues" dxfId="10990" priority="11213"/>
    <cfRule type="duplicateValues" dxfId="10989" priority="11212"/>
    <cfRule type="duplicateValues" dxfId="10988" priority="11211"/>
    <cfRule type="duplicateValues" dxfId="10987" priority="11210"/>
    <cfRule type="duplicateValues" dxfId="10986" priority="11209"/>
    <cfRule type="duplicateValues" dxfId="10985" priority="11208"/>
    <cfRule type="duplicateValues" dxfId="10984" priority="11207"/>
    <cfRule type="duplicateValues" dxfId="10983" priority="11206"/>
    <cfRule type="duplicateValues" dxfId="10982" priority="11205"/>
    <cfRule type="duplicateValues" dxfId="10981" priority="11204"/>
    <cfRule type="duplicateValues" dxfId="10980" priority="11203"/>
    <cfRule type="duplicateValues" dxfId="10979" priority="11202"/>
    <cfRule type="duplicateValues" dxfId="10978" priority="11201"/>
    <cfRule type="duplicateValues" dxfId="10977" priority="11200"/>
    <cfRule type="duplicateValues" dxfId="10976" priority="11199"/>
    <cfRule type="duplicateValues" dxfId="10975" priority="11198"/>
    <cfRule type="duplicateValues" dxfId="10974" priority="11197"/>
    <cfRule type="duplicateValues" dxfId="10973" priority="11196"/>
    <cfRule type="duplicateValues" dxfId="10972" priority="11195"/>
    <cfRule type="duplicateValues" dxfId="10971" priority="11194"/>
    <cfRule type="duplicateValues" dxfId="10970" priority="11193"/>
    <cfRule type="duplicateValues" dxfId="10969" priority="11192"/>
    <cfRule type="duplicateValues" dxfId="10968" priority="11191"/>
    <cfRule type="duplicateValues" dxfId="10967" priority="11190"/>
    <cfRule type="duplicateValues" dxfId="10966" priority="11189"/>
    <cfRule type="duplicateValues" dxfId="10965" priority="11188"/>
    <cfRule type="duplicateValues" dxfId="10964" priority="11187"/>
    <cfRule type="duplicateValues" dxfId="10963" priority="11186"/>
    <cfRule type="duplicateValues" dxfId="10962" priority="11185"/>
    <cfRule type="duplicateValues" dxfId="10961" priority="11184"/>
    <cfRule type="duplicateValues" dxfId="10960" priority="11183"/>
    <cfRule type="duplicateValues" dxfId="10959" priority="11182"/>
    <cfRule type="duplicateValues" dxfId="10958" priority="11181"/>
    <cfRule type="duplicateValues" dxfId="10957" priority="11180"/>
    <cfRule type="duplicateValues" dxfId="10956" priority="11179"/>
    <cfRule type="duplicateValues" dxfId="10955" priority="11178"/>
    <cfRule type="duplicateValues" dxfId="10954" priority="11177"/>
    <cfRule type="duplicateValues" dxfId="10953" priority="11176"/>
    <cfRule type="duplicateValues" dxfId="10952" priority="11175"/>
    <cfRule type="duplicateValues" dxfId="10951" priority="11174"/>
    <cfRule type="duplicateValues" dxfId="10950" priority="11173"/>
    <cfRule type="duplicateValues" dxfId="10949" priority="11172"/>
    <cfRule type="duplicateValues" dxfId="10948" priority="11171"/>
    <cfRule type="duplicateValues" dxfId="10947" priority="11170"/>
    <cfRule type="duplicateValues" dxfId="10946" priority="11169"/>
    <cfRule type="duplicateValues" dxfId="10945" priority="11168"/>
    <cfRule type="duplicateValues" dxfId="10944" priority="11167"/>
    <cfRule type="duplicateValues" dxfId="10943" priority="11166"/>
    <cfRule type="duplicateValues" dxfId="10942" priority="11165"/>
    <cfRule type="duplicateValues" dxfId="10941" priority="11164"/>
    <cfRule type="duplicateValues" dxfId="10940" priority="11163"/>
    <cfRule type="duplicateValues" dxfId="10939" priority="10946"/>
    <cfRule type="duplicateValues" dxfId="10938" priority="11162"/>
    <cfRule type="duplicateValues" dxfId="10937" priority="11161"/>
    <cfRule type="duplicateValues" dxfId="10936" priority="11160"/>
    <cfRule type="duplicateValues" dxfId="10935" priority="11159"/>
    <cfRule type="duplicateValues" dxfId="10934" priority="11158"/>
    <cfRule type="duplicateValues" dxfId="10933" priority="11157"/>
    <cfRule type="duplicateValues" dxfId="10932" priority="11156"/>
    <cfRule type="duplicateValues" dxfId="10931" priority="11155"/>
    <cfRule type="duplicateValues" dxfId="10930" priority="11154"/>
    <cfRule type="duplicateValues" dxfId="10929" priority="11153"/>
    <cfRule type="duplicateValues" dxfId="10928" priority="11152"/>
    <cfRule type="duplicateValues" dxfId="10927" priority="11151"/>
    <cfRule type="duplicateValues" dxfId="10926" priority="11150"/>
    <cfRule type="duplicateValues" dxfId="10925" priority="11149"/>
    <cfRule type="duplicateValues" dxfId="10924" priority="11148"/>
    <cfRule type="duplicateValues" dxfId="10923" priority="11147"/>
    <cfRule type="duplicateValues" dxfId="10922" priority="11146"/>
    <cfRule type="duplicateValues" dxfId="10921" priority="11145"/>
    <cfRule type="duplicateValues" dxfId="10920" priority="11144"/>
    <cfRule type="duplicateValues" dxfId="10919" priority="11143"/>
    <cfRule type="duplicateValues" dxfId="10918" priority="11142"/>
    <cfRule type="duplicateValues" dxfId="10917" priority="11141"/>
    <cfRule type="duplicateValues" dxfId="10916" priority="11140"/>
    <cfRule type="duplicateValues" dxfId="10915" priority="11139"/>
    <cfRule type="duplicateValues" dxfId="10914" priority="11138"/>
    <cfRule type="duplicateValues" dxfId="10913" priority="11137"/>
    <cfRule type="duplicateValues" dxfId="10912" priority="11136"/>
    <cfRule type="duplicateValues" dxfId="10911" priority="11135"/>
    <cfRule type="duplicateValues" dxfId="10910" priority="11134"/>
    <cfRule type="duplicateValues" dxfId="10909" priority="11133"/>
    <cfRule type="duplicateValues" dxfId="10908" priority="11132"/>
    <cfRule type="duplicateValues" dxfId="10907" priority="11131"/>
    <cfRule type="duplicateValues" dxfId="10906" priority="11130"/>
    <cfRule type="duplicateValues" dxfId="10905" priority="11129"/>
    <cfRule type="duplicateValues" dxfId="10904" priority="11128"/>
    <cfRule type="duplicateValues" dxfId="10903" priority="11127"/>
    <cfRule type="duplicateValues" dxfId="10902" priority="11126"/>
    <cfRule type="duplicateValues" dxfId="10901" priority="11125"/>
    <cfRule type="duplicateValues" dxfId="10900" priority="11124"/>
    <cfRule type="duplicateValues" dxfId="10899" priority="11123"/>
    <cfRule type="duplicateValues" dxfId="10898" priority="11122"/>
    <cfRule type="duplicateValues" dxfId="10897" priority="11121"/>
    <cfRule type="duplicateValues" dxfId="10896" priority="11120"/>
    <cfRule type="duplicateValues" dxfId="10895" priority="11119"/>
    <cfRule type="duplicateValues" dxfId="10894" priority="11118"/>
    <cfRule type="duplicateValues" dxfId="10893" priority="11117"/>
    <cfRule type="duplicateValues" dxfId="10892" priority="11116"/>
    <cfRule type="duplicateValues" dxfId="10891" priority="11115"/>
    <cfRule type="duplicateValues" dxfId="10890" priority="11114"/>
    <cfRule type="duplicateValues" dxfId="10889" priority="11113"/>
    <cfRule type="duplicateValues" dxfId="10888" priority="11112"/>
    <cfRule type="duplicateValues" dxfId="10887" priority="11111"/>
    <cfRule type="duplicateValues" dxfId="10886" priority="11110"/>
    <cfRule type="duplicateValues" dxfId="10885" priority="11109"/>
    <cfRule type="duplicateValues" dxfId="10884" priority="11108"/>
    <cfRule type="duplicateValues" dxfId="10883" priority="11107"/>
    <cfRule type="duplicateValues" dxfId="10882" priority="11106"/>
    <cfRule type="duplicateValues" dxfId="10881" priority="11105"/>
    <cfRule type="duplicateValues" dxfId="10880" priority="11104"/>
    <cfRule type="duplicateValues" dxfId="10879" priority="11103"/>
    <cfRule type="duplicateValues" dxfId="10878" priority="11102"/>
    <cfRule type="duplicateValues" dxfId="10877" priority="11101"/>
    <cfRule type="duplicateValues" dxfId="10876" priority="11100"/>
    <cfRule type="duplicateValues" dxfId="10875" priority="11099"/>
    <cfRule type="duplicateValues" dxfId="10874" priority="11098"/>
    <cfRule type="duplicateValues" dxfId="10873" priority="11097"/>
    <cfRule type="duplicateValues" dxfId="10872" priority="11096"/>
    <cfRule type="duplicateValues" dxfId="10871" priority="11095"/>
    <cfRule type="duplicateValues" dxfId="10870" priority="11094"/>
    <cfRule type="duplicateValues" dxfId="10869" priority="11093"/>
    <cfRule type="duplicateValues" dxfId="10868" priority="11092"/>
    <cfRule type="duplicateValues" dxfId="10867" priority="11091"/>
    <cfRule type="duplicateValues" dxfId="10866" priority="11090"/>
    <cfRule type="duplicateValues" dxfId="10865" priority="11089"/>
    <cfRule type="duplicateValues" dxfId="10864" priority="11088"/>
    <cfRule type="duplicateValues" dxfId="10863" priority="11087"/>
    <cfRule type="duplicateValues" dxfId="10862" priority="11086"/>
    <cfRule type="duplicateValues" dxfId="10861" priority="11085"/>
    <cfRule type="duplicateValues" dxfId="10860" priority="11084"/>
    <cfRule type="duplicateValues" dxfId="10859" priority="11083"/>
    <cfRule type="duplicateValues" dxfId="10858" priority="11082"/>
    <cfRule type="duplicateValues" dxfId="10857" priority="11081"/>
    <cfRule type="duplicateValues" dxfId="10856" priority="11080"/>
    <cfRule type="duplicateValues" dxfId="10855" priority="11079"/>
    <cfRule type="duplicateValues" dxfId="10854" priority="11078"/>
    <cfRule type="duplicateValues" dxfId="10853" priority="11077"/>
    <cfRule type="duplicateValues" dxfId="10852" priority="11076"/>
    <cfRule type="duplicateValues" dxfId="10851" priority="11075"/>
    <cfRule type="duplicateValues" dxfId="10850" priority="11074"/>
    <cfRule type="duplicateValues" dxfId="10849" priority="11073"/>
    <cfRule type="duplicateValues" dxfId="10848" priority="11072"/>
    <cfRule type="duplicateValues" dxfId="10847" priority="11071"/>
    <cfRule type="duplicateValues" dxfId="10846" priority="11070"/>
    <cfRule type="duplicateValues" dxfId="10845" priority="11069"/>
    <cfRule type="duplicateValues" dxfId="10844" priority="11068"/>
    <cfRule type="duplicateValues" dxfId="10843" priority="11067"/>
    <cfRule type="duplicateValues" dxfId="10842" priority="11066"/>
    <cfRule type="duplicateValues" dxfId="10841" priority="11065"/>
    <cfRule type="duplicateValues" dxfId="10840" priority="11064"/>
    <cfRule type="duplicateValues" dxfId="10839" priority="11063"/>
    <cfRule type="duplicateValues" dxfId="10838" priority="11062"/>
    <cfRule type="duplicateValues" dxfId="10837" priority="11061"/>
    <cfRule type="duplicateValues" dxfId="10836" priority="11060"/>
    <cfRule type="duplicateValues" dxfId="10835" priority="11059"/>
    <cfRule type="duplicateValues" dxfId="10834" priority="11058"/>
    <cfRule type="duplicateValues" dxfId="10833" priority="11057"/>
    <cfRule type="duplicateValues" dxfId="10832" priority="11056"/>
    <cfRule type="duplicateValues" dxfId="10831" priority="11055"/>
    <cfRule type="duplicateValues" dxfId="10830" priority="11054"/>
    <cfRule type="duplicateValues" dxfId="10829" priority="11053"/>
    <cfRule type="duplicateValues" dxfId="10828" priority="11052"/>
    <cfRule type="duplicateValues" dxfId="10827" priority="11051"/>
    <cfRule type="duplicateValues" dxfId="10826" priority="11050"/>
    <cfRule type="duplicateValues" dxfId="10825" priority="11049"/>
    <cfRule type="duplicateValues" dxfId="10824" priority="11048"/>
    <cfRule type="duplicateValues" dxfId="10823" priority="11047"/>
    <cfRule type="duplicateValues" dxfId="10822" priority="11046"/>
    <cfRule type="duplicateValues" dxfId="10821" priority="11045"/>
    <cfRule type="duplicateValues" dxfId="10820" priority="11044"/>
    <cfRule type="duplicateValues" dxfId="10819" priority="11043"/>
    <cfRule type="duplicateValues" dxfId="10818" priority="11042"/>
    <cfRule type="duplicateValues" dxfId="10817" priority="11041"/>
    <cfRule type="duplicateValues" dxfId="10816" priority="11040"/>
    <cfRule type="duplicateValues" dxfId="10815" priority="11039"/>
    <cfRule type="duplicateValues" dxfId="10814" priority="11038"/>
    <cfRule type="duplicateValues" dxfId="10813" priority="11037"/>
    <cfRule type="duplicateValues" dxfId="10812" priority="11036"/>
    <cfRule type="duplicateValues" dxfId="10811" priority="11035"/>
    <cfRule type="duplicateValues" dxfId="10810" priority="11034"/>
    <cfRule type="duplicateValues" dxfId="10809" priority="11033"/>
    <cfRule type="duplicateValues" dxfId="10808" priority="11032"/>
    <cfRule type="duplicateValues" dxfId="10807" priority="11031"/>
    <cfRule type="duplicateValues" dxfId="10806" priority="11030"/>
    <cfRule type="duplicateValues" dxfId="10805" priority="11029"/>
    <cfRule type="duplicateValues" dxfId="10804" priority="11028"/>
    <cfRule type="duplicateValues" dxfId="10803" priority="11027"/>
    <cfRule type="duplicateValues" dxfId="10802" priority="11026"/>
    <cfRule type="duplicateValues" dxfId="10801" priority="11025"/>
    <cfRule type="duplicateValues" dxfId="10800" priority="11024"/>
    <cfRule type="duplicateValues" dxfId="10799" priority="11023"/>
    <cfRule type="duplicateValues" dxfId="10798" priority="11022"/>
    <cfRule type="duplicateValues" dxfId="10797" priority="11021"/>
    <cfRule type="duplicateValues" dxfId="10796" priority="11020"/>
    <cfRule type="duplicateValues" dxfId="10795" priority="11019"/>
    <cfRule type="duplicateValues" dxfId="10794" priority="11018"/>
    <cfRule type="duplicateValues" dxfId="10793" priority="11017"/>
    <cfRule type="duplicateValues" dxfId="10792" priority="11016"/>
    <cfRule type="duplicateValues" dxfId="10791" priority="11015"/>
    <cfRule type="duplicateValues" dxfId="10790" priority="11014"/>
    <cfRule type="duplicateValues" dxfId="10789" priority="11013"/>
    <cfRule type="duplicateValues" dxfId="10788" priority="11012"/>
    <cfRule type="duplicateValues" dxfId="10787" priority="11011"/>
    <cfRule type="duplicateValues" dxfId="10786" priority="11010"/>
    <cfRule type="duplicateValues" dxfId="10785" priority="11009"/>
    <cfRule type="duplicateValues" dxfId="10784" priority="11008"/>
    <cfRule type="duplicateValues" dxfId="10783" priority="11007"/>
    <cfRule type="duplicateValues" dxfId="10782" priority="11006"/>
    <cfRule type="duplicateValues" dxfId="10781" priority="11005"/>
    <cfRule type="duplicateValues" dxfId="10780" priority="11004"/>
    <cfRule type="duplicateValues" dxfId="10779" priority="11003"/>
    <cfRule type="duplicateValues" dxfId="10778" priority="11002"/>
    <cfRule type="duplicateValues" dxfId="10777" priority="11001"/>
    <cfRule type="duplicateValues" dxfId="10776" priority="11000"/>
    <cfRule type="duplicateValues" dxfId="10775" priority="10999"/>
    <cfRule type="duplicateValues" dxfId="10774" priority="10998"/>
    <cfRule type="duplicateValues" dxfId="10773" priority="10997"/>
    <cfRule type="duplicateValues" dxfId="10772" priority="10996"/>
    <cfRule type="duplicateValues" dxfId="10771" priority="10995"/>
    <cfRule type="duplicateValues" dxfId="10770" priority="10994"/>
    <cfRule type="duplicateValues" dxfId="10769" priority="10993"/>
    <cfRule type="duplicateValues" dxfId="10768" priority="10992"/>
    <cfRule type="duplicateValues" dxfId="10767" priority="10991"/>
    <cfRule type="duplicateValues" dxfId="10766" priority="10990"/>
    <cfRule type="duplicateValues" dxfId="10765" priority="10989"/>
    <cfRule type="duplicateValues" dxfId="10764" priority="10988"/>
    <cfRule type="duplicateValues" dxfId="10763" priority="10987"/>
    <cfRule type="duplicateValues" dxfId="10762" priority="10986"/>
    <cfRule type="duplicateValues" dxfId="10761" priority="10985"/>
    <cfRule type="duplicateValues" dxfId="10760" priority="10984"/>
    <cfRule type="duplicateValues" dxfId="10759" priority="10983"/>
    <cfRule type="duplicateValues" dxfId="10758" priority="10982"/>
    <cfRule type="duplicateValues" dxfId="10757" priority="10981"/>
    <cfRule type="duplicateValues" dxfId="10756" priority="10980"/>
    <cfRule type="duplicateValues" dxfId="10755" priority="10979"/>
    <cfRule type="duplicateValues" dxfId="10754" priority="10978"/>
    <cfRule type="duplicateValues" dxfId="10753" priority="10977"/>
    <cfRule type="duplicateValues" dxfId="10752" priority="10976"/>
    <cfRule type="duplicateValues" dxfId="10751" priority="10975"/>
    <cfRule type="duplicateValues" dxfId="10750" priority="10974"/>
    <cfRule type="duplicateValues" dxfId="10749" priority="10973"/>
    <cfRule type="duplicateValues" dxfId="10748" priority="10972"/>
    <cfRule type="duplicateValues" dxfId="10747" priority="10971"/>
    <cfRule type="duplicateValues" dxfId="10746" priority="10970"/>
    <cfRule type="duplicateValues" dxfId="10745" priority="10969"/>
    <cfRule type="duplicateValues" dxfId="10744" priority="10968"/>
    <cfRule type="duplicateValues" dxfId="10743" priority="10967"/>
    <cfRule type="duplicateValues" dxfId="10742" priority="10966"/>
    <cfRule type="duplicateValues" dxfId="10741" priority="10965"/>
    <cfRule type="duplicateValues" dxfId="10740" priority="10964"/>
    <cfRule type="duplicateValues" dxfId="10739" priority="10963"/>
    <cfRule type="duplicateValues" dxfId="10738" priority="10962"/>
    <cfRule type="duplicateValues" dxfId="10737" priority="10961"/>
    <cfRule type="duplicateValues" dxfId="10736" priority="10960"/>
    <cfRule type="duplicateValues" dxfId="10735" priority="10959"/>
    <cfRule type="duplicateValues" dxfId="10734" priority="10958"/>
    <cfRule type="duplicateValues" dxfId="10733" priority="10957"/>
    <cfRule type="duplicateValues" dxfId="10732" priority="10956"/>
    <cfRule type="duplicateValues" dxfId="10731" priority="10955"/>
    <cfRule type="duplicateValues" dxfId="10730" priority="10954"/>
    <cfRule type="duplicateValues" dxfId="10729" priority="10953"/>
    <cfRule type="duplicateValues" dxfId="10728" priority="10952"/>
    <cfRule type="duplicateValues" dxfId="10727" priority="10951"/>
    <cfRule type="duplicateValues" dxfId="10726" priority="10950"/>
    <cfRule type="duplicateValues" dxfId="10725" priority="10949"/>
    <cfRule type="duplicateValues" dxfId="10724" priority="10948"/>
    <cfRule type="duplicateValues" dxfId="10723" priority="10947"/>
    <cfRule type="duplicateValues" dxfId="10722" priority="10509"/>
    <cfRule type="duplicateValues" dxfId="10721" priority="10945"/>
    <cfRule type="duplicateValues" dxfId="10720" priority="10944"/>
    <cfRule type="duplicateValues" dxfId="10719" priority="10943"/>
    <cfRule type="duplicateValues" dxfId="10718" priority="10942"/>
    <cfRule type="duplicateValues" dxfId="10717" priority="10941"/>
    <cfRule type="duplicateValues" dxfId="10716" priority="10940"/>
    <cfRule type="duplicateValues" dxfId="10715" priority="10939"/>
    <cfRule type="duplicateValues" dxfId="10714" priority="10938"/>
    <cfRule type="duplicateValues" dxfId="10713" priority="10937"/>
    <cfRule type="duplicateValues" dxfId="10712" priority="10936"/>
    <cfRule type="duplicateValues" dxfId="10711" priority="10935"/>
    <cfRule type="duplicateValues" dxfId="10710" priority="10934"/>
    <cfRule type="duplicateValues" dxfId="10709" priority="10933"/>
    <cfRule type="duplicateValues" dxfId="10708" priority="10932"/>
    <cfRule type="duplicateValues" dxfId="10707" priority="10931"/>
    <cfRule type="duplicateValues" dxfId="10706" priority="10930"/>
    <cfRule type="duplicateValues" dxfId="10705" priority="10929"/>
    <cfRule type="duplicateValues" dxfId="10704" priority="10928"/>
    <cfRule type="duplicateValues" dxfId="10703" priority="10927"/>
    <cfRule type="duplicateValues" dxfId="10702" priority="10926"/>
    <cfRule type="duplicateValues" dxfId="10701" priority="10925"/>
    <cfRule type="duplicateValues" dxfId="10700" priority="10924"/>
    <cfRule type="duplicateValues" dxfId="10699" priority="10923"/>
    <cfRule type="duplicateValues" dxfId="10698" priority="10922"/>
    <cfRule type="duplicateValues" dxfId="10697" priority="10921"/>
    <cfRule type="duplicateValues" dxfId="10696" priority="10920"/>
    <cfRule type="duplicateValues" dxfId="10695" priority="10919"/>
    <cfRule type="duplicateValues" dxfId="10694" priority="10918"/>
    <cfRule type="duplicateValues" dxfId="10693" priority="10917"/>
    <cfRule type="duplicateValues" dxfId="10692" priority="10916"/>
    <cfRule type="duplicateValues" dxfId="10691" priority="10915"/>
    <cfRule type="duplicateValues" dxfId="10690" priority="10914"/>
    <cfRule type="duplicateValues" dxfId="10689" priority="10913"/>
    <cfRule type="duplicateValues" dxfId="10688" priority="10912"/>
    <cfRule type="duplicateValues" dxfId="10687" priority="10911"/>
    <cfRule type="duplicateValues" dxfId="10686" priority="10910"/>
    <cfRule type="duplicateValues" dxfId="10685" priority="10909"/>
    <cfRule type="duplicateValues" dxfId="10684" priority="10908"/>
    <cfRule type="duplicateValues" dxfId="10683" priority="10907"/>
    <cfRule type="duplicateValues" dxfId="10682" priority="10906"/>
    <cfRule type="duplicateValues" dxfId="10681" priority="10905"/>
    <cfRule type="duplicateValues" dxfId="10680" priority="10904"/>
    <cfRule type="duplicateValues" dxfId="10679" priority="10903"/>
    <cfRule type="duplicateValues" dxfId="10678" priority="10902"/>
    <cfRule type="duplicateValues" dxfId="10677" priority="10901"/>
    <cfRule type="duplicateValues" dxfId="10676" priority="10900"/>
    <cfRule type="duplicateValues" dxfId="10675" priority="10899"/>
    <cfRule type="duplicateValues" dxfId="10674" priority="10898"/>
    <cfRule type="duplicateValues" dxfId="10673" priority="10897"/>
    <cfRule type="duplicateValues" dxfId="10672" priority="10896"/>
    <cfRule type="duplicateValues" dxfId="10671" priority="10895"/>
    <cfRule type="duplicateValues" dxfId="10670" priority="10894"/>
    <cfRule type="duplicateValues" dxfId="10669" priority="10893"/>
    <cfRule type="duplicateValues" dxfId="10668" priority="10892"/>
    <cfRule type="duplicateValues" dxfId="10667" priority="10891"/>
    <cfRule type="duplicateValues" dxfId="10666" priority="10890"/>
    <cfRule type="duplicateValues" dxfId="10665" priority="10889"/>
    <cfRule type="duplicateValues" dxfId="10664" priority="10888"/>
    <cfRule type="duplicateValues" dxfId="10663" priority="10887"/>
    <cfRule type="duplicateValues" dxfId="10662" priority="10886"/>
    <cfRule type="duplicateValues" dxfId="10661" priority="10885"/>
    <cfRule type="duplicateValues" dxfId="10660" priority="10884"/>
    <cfRule type="duplicateValues" dxfId="10659" priority="10883"/>
    <cfRule type="duplicateValues" dxfId="10658" priority="10882"/>
    <cfRule type="duplicateValues" dxfId="10657" priority="10881"/>
    <cfRule type="duplicateValues" dxfId="10656" priority="10880"/>
    <cfRule type="duplicateValues" dxfId="10655" priority="10879"/>
    <cfRule type="duplicateValues" dxfId="10654" priority="10878"/>
    <cfRule type="duplicateValues" dxfId="10653" priority="10877"/>
    <cfRule type="duplicateValues" dxfId="10652" priority="10876"/>
    <cfRule type="duplicateValues" dxfId="10651" priority="10875"/>
    <cfRule type="duplicateValues" dxfId="10650" priority="10874"/>
    <cfRule type="duplicateValues" dxfId="10649" priority="10873"/>
    <cfRule type="duplicateValues" dxfId="10648" priority="10872"/>
    <cfRule type="duplicateValues" dxfId="10647" priority="10871"/>
    <cfRule type="duplicateValues" dxfId="10646" priority="10870"/>
    <cfRule type="duplicateValues" dxfId="10645" priority="10869"/>
    <cfRule type="duplicateValues" dxfId="10644" priority="10868"/>
    <cfRule type="duplicateValues" dxfId="10643" priority="10867"/>
    <cfRule type="duplicateValues" dxfId="10642" priority="10866"/>
    <cfRule type="duplicateValues" dxfId="10641" priority="10865"/>
    <cfRule type="duplicateValues" dxfId="10640" priority="10864"/>
    <cfRule type="duplicateValues" dxfId="10639" priority="10863"/>
    <cfRule type="duplicateValues" dxfId="10638" priority="10862"/>
    <cfRule type="duplicateValues" dxfId="10637" priority="10861"/>
    <cfRule type="duplicateValues" dxfId="10636" priority="10860"/>
    <cfRule type="duplicateValues" dxfId="10635" priority="10859"/>
    <cfRule type="duplicateValues" dxfId="10634" priority="10858"/>
    <cfRule type="duplicateValues" dxfId="10633" priority="10857"/>
    <cfRule type="duplicateValues" dxfId="10632" priority="10856"/>
    <cfRule type="duplicateValues" dxfId="10631" priority="10855"/>
    <cfRule type="duplicateValues" dxfId="10630" priority="10854"/>
    <cfRule type="duplicateValues" dxfId="10629" priority="10853"/>
    <cfRule type="duplicateValues" dxfId="10628" priority="10852"/>
    <cfRule type="duplicateValues" dxfId="10627" priority="10851"/>
    <cfRule type="duplicateValues" dxfId="10626" priority="10850"/>
    <cfRule type="duplicateValues" dxfId="10625" priority="10849"/>
    <cfRule type="duplicateValues" dxfId="10624" priority="10848"/>
    <cfRule type="duplicateValues" dxfId="10623" priority="10847"/>
    <cfRule type="duplicateValues" dxfId="10622" priority="10846"/>
    <cfRule type="duplicateValues" dxfId="10621" priority="10845"/>
    <cfRule type="duplicateValues" dxfId="10620" priority="10844"/>
    <cfRule type="duplicateValues" dxfId="10619" priority="10843"/>
    <cfRule type="duplicateValues" dxfId="10618" priority="10842"/>
    <cfRule type="duplicateValues" dxfId="10617" priority="10841"/>
    <cfRule type="duplicateValues" dxfId="10616" priority="10840"/>
    <cfRule type="duplicateValues" dxfId="10615" priority="10839"/>
    <cfRule type="duplicateValues" dxfId="10614" priority="10838"/>
    <cfRule type="duplicateValues" dxfId="10613" priority="10837"/>
    <cfRule type="duplicateValues" dxfId="10612" priority="10836"/>
    <cfRule type="duplicateValues" dxfId="10611" priority="10835"/>
    <cfRule type="duplicateValues" dxfId="10610" priority="10834"/>
    <cfRule type="duplicateValues" dxfId="10609" priority="10833"/>
    <cfRule type="duplicateValues" dxfId="10608" priority="10832"/>
    <cfRule type="duplicateValues" dxfId="10607" priority="10831"/>
    <cfRule type="duplicateValues" dxfId="10606" priority="10830"/>
    <cfRule type="duplicateValues" dxfId="10605" priority="10829"/>
    <cfRule type="duplicateValues" dxfId="10604" priority="10828"/>
    <cfRule type="duplicateValues" dxfId="10603" priority="10827"/>
    <cfRule type="duplicateValues" dxfId="10602" priority="10826"/>
    <cfRule type="duplicateValues" dxfId="10601" priority="10825"/>
    <cfRule type="duplicateValues" dxfId="10600" priority="10824"/>
    <cfRule type="duplicateValues" dxfId="10599" priority="10823"/>
    <cfRule type="duplicateValues" dxfId="10598" priority="10822"/>
    <cfRule type="duplicateValues" dxfId="10597" priority="10821"/>
    <cfRule type="duplicateValues" dxfId="10596" priority="10820"/>
    <cfRule type="duplicateValues" dxfId="10595" priority="10819"/>
    <cfRule type="duplicateValues" dxfId="10594" priority="10818"/>
    <cfRule type="duplicateValues" dxfId="10593" priority="10817"/>
    <cfRule type="duplicateValues" dxfId="10592" priority="10816"/>
    <cfRule type="duplicateValues" dxfId="10591" priority="10815"/>
    <cfRule type="duplicateValues" dxfId="10590" priority="10814"/>
    <cfRule type="duplicateValues" dxfId="10589" priority="10813"/>
    <cfRule type="duplicateValues" dxfId="10588" priority="10812"/>
    <cfRule type="duplicateValues" dxfId="10587" priority="10811"/>
    <cfRule type="duplicateValues" dxfId="10586" priority="10810"/>
    <cfRule type="duplicateValues" dxfId="10585" priority="10809"/>
    <cfRule type="duplicateValues" dxfId="10584" priority="10808"/>
    <cfRule type="duplicateValues" dxfId="10583" priority="10807"/>
    <cfRule type="duplicateValues" dxfId="10582" priority="10806"/>
    <cfRule type="duplicateValues" dxfId="10581" priority="10805"/>
    <cfRule type="duplicateValues" dxfId="10580" priority="10804"/>
    <cfRule type="duplicateValues" dxfId="10579" priority="10803"/>
    <cfRule type="duplicateValues" dxfId="10578" priority="10802"/>
    <cfRule type="duplicateValues" dxfId="10577" priority="10801"/>
    <cfRule type="duplicateValues" dxfId="10576" priority="10800"/>
    <cfRule type="duplicateValues" dxfId="10575" priority="10799"/>
    <cfRule type="duplicateValues" dxfId="10574" priority="10798"/>
    <cfRule type="duplicateValues" dxfId="10573" priority="10797"/>
    <cfRule type="duplicateValues" dxfId="10572" priority="10796"/>
    <cfRule type="duplicateValues" dxfId="10571" priority="10795"/>
    <cfRule type="duplicateValues" dxfId="10570" priority="10794"/>
    <cfRule type="duplicateValues" dxfId="10569" priority="10793"/>
    <cfRule type="duplicateValues" dxfId="10568" priority="10792"/>
    <cfRule type="duplicateValues" dxfId="10567" priority="10791"/>
    <cfRule type="duplicateValues" dxfId="10566" priority="10790"/>
    <cfRule type="duplicateValues" dxfId="10565" priority="10789"/>
    <cfRule type="duplicateValues" dxfId="10564" priority="10788"/>
    <cfRule type="duplicateValues" dxfId="10563" priority="10787"/>
    <cfRule type="duplicateValues" dxfId="10562" priority="10786"/>
    <cfRule type="duplicateValues" dxfId="10561" priority="10785"/>
    <cfRule type="duplicateValues" dxfId="10560" priority="10784"/>
    <cfRule type="duplicateValues" dxfId="10559" priority="10783"/>
    <cfRule type="duplicateValues" dxfId="10558" priority="10782"/>
    <cfRule type="duplicateValues" dxfId="10557" priority="10781"/>
    <cfRule type="duplicateValues" dxfId="10556" priority="10780"/>
    <cfRule type="duplicateValues" dxfId="10555" priority="10779"/>
    <cfRule type="duplicateValues" dxfId="10554" priority="10778"/>
    <cfRule type="duplicateValues" dxfId="10553" priority="10777"/>
    <cfRule type="duplicateValues" dxfId="10552" priority="10776"/>
    <cfRule type="duplicateValues" dxfId="10551" priority="10775"/>
    <cfRule type="duplicateValues" dxfId="10550" priority="10774"/>
    <cfRule type="duplicateValues" dxfId="10549" priority="10773"/>
    <cfRule type="duplicateValues" dxfId="10548" priority="10772"/>
    <cfRule type="duplicateValues" dxfId="10547" priority="10771"/>
    <cfRule type="duplicateValues" dxfId="10546" priority="10770"/>
    <cfRule type="duplicateValues" dxfId="10545" priority="10769"/>
    <cfRule type="duplicateValues" dxfId="10544" priority="10768"/>
    <cfRule type="duplicateValues" dxfId="10543" priority="10767"/>
    <cfRule type="duplicateValues" dxfId="10542" priority="10766"/>
  </conditionalFormatting>
  <conditionalFormatting sqref="P98">
    <cfRule type="duplicateValues" dxfId="10541" priority="19323"/>
    <cfRule type="duplicateValues" dxfId="10540" priority="20058"/>
    <cfRule type="duplicateValues" dxfId="10539" priority="20057"/>
    <cfRule type="duplicateValues" dxfId="10538" priority="20056"/>
    <cfRule type="duplicateValues" dxfId="10537" priority="20055"/>
    <cfRule type="duplicateValues" dxfId="10536" priority="20054"/>
    <cfRule type="duplicateValues" dxfId="10535" priority="20053"/>
    <cfRule type="duplicateValues" dxfId="10534" priority="20052"/>
    <cfRule type="duplicateValues" dxfId="10533" priority="20051"/>
    <cfRule type="duplicateValues" dxfId="10532" priority="20050"/>
    <cfRule type="duplicateValues" dxfId="10531" priority="20049"/>
    <cfRule type="duplicateValues" dxfId="10530" priority="20048"/>
    <cfRule type="duplicateValues" dxfId="10529" priority="20047"/>
    <cfRule type="duplicateValues" dxfId="10528" priority="20046"/>
    <cfRule type="duplicateValues" dxfId="10527" priority="20045"/>
    <cfRule type="duplicateValues" dxfId="10526" priority="20044"/>
    <cfRule type="duplicateValues" dxfId="10525" priority="20043"/>
    <cfRule type="duplicateValues" dxfId="10524" priority="20042"/>
    <cfRule type="duplicateValues" dxfId="10523" priority="20041"/>
    <cfRule type="duplicateValues" dxfId="10522" priority="20040"/>
    <cfRule type="duplicateValues" dxfId="10521" priority="20039"/>
    <cfRule type="duplicateValues" dxfId="10520" priority="20038"/>
    <cfRule type="duplicateValues" dxfId="10519" priority="20037"/>
    <cfRule type="duplicateValues" dxfId="10518" priority="20036"/>
    <cfRule type="duplicateValues" dxfId="10517" priority="20035"/>
    <cfRule type="duplicateValues" dxfId="10516" priority="20034"/>
    <cfRule type="duplicateValues" dxfId="10515" priority="20033"/>
    <cfRule type="duplicateValues" dxfId="10514" priority="20032"/>
    <cfRule type="duplicateValues" dxfId="10513" priority="20031"/>
    <cfRule type="duplicateValues" dxfId="10512" priority="20030"/>
    <cfRule type="duplicateValues" dxfId="10511" priority="20029"/>
    <cfRule type="duplicateValues" dxfId="10510" priority="20028"/>
    <cfRule type="duplicateValues" dxfId="10509" priority="20027"/>
    <cfRule type="duplicateValues" dxfId="10508" priority="20026"/>
    <cfRule type="duplicateValues" dxfId="10507" priority="20025"/>
    <cfRule type="duplicateValues" dxfId="10506" priority="20024"/>
    <cfRule type="duplicateValues" dxfId="10505" priority="20023"/>
    <cfRule type="duplicateValues" dxfId="10504" priority="20022"/>
    <cfRule type="duplicateValues" dxfId="10503" priority="20021"/>
    <cfRule type="duplicateValues" dxfId="10502" priority="20020"/>
    <cfRule type="duplicateValues" dxfId="10501" priority="20019"/>
    <cfRule type="duplicateValues" dxfId="10500" priority="20018"/>
    <cfRule type="duplicateValues" dxfId="10499" priority="20017"/>
    <cfRule type="duplicateValues" dxfId="10498" priority="20016"/>
    <cfRule type="duplicateValues" dxfId="10497" priority="20015"/>
    <cfRule type="duplicateValues" dxfId="10496" priority="20014"/>
    <cfRule type="duplicateValues" dxfId="10495" priority="20013"/>
    <cfRule type="duplicateValues" dxfId="10494" priority="20012"/>
    <cfRule type="duplicateValues" dxfId="10493" priority="20011"/>
    <cfRule type="duplicateValues" dxfId="10492" priority="20010"/>
    <cfRule type="duplicateValues" dxfId="10491" priority="20009"/>
    <cfRule type="duplicateValues" dxfId="10490" priority="20008"/>
    <cfRule type="duplicateValues" dxfId="10489" priority="20007"/>
    <cfRule type="duplicateValues" dxfId="10488" priority="20006"/>
    <cfRule type="duplicateValues" dxfId="10487" priority="20005"/>
    <cfRule type="duplicateValues" dxfId="10486" priority="20004"/>
    <cfRule type="duplicateValues" dxfId="10485" priority="20003"/>
    <cfRule type="duplicateValues" dxfId="10484" priority="20002"/>
    <cfRule type="duplicateValues" dxfId="10483" priority="20001"/>
    <cfRule type="duplicateValues" dxfId="10482" priority="20000"/>
    <cfRule type="duplicateValues" dxfId="10481" priority="19999"/>
    <cfRule type="duplicateValues" dxfId="10480" priority="19998"/>
    <cfRule type="duplicateValues" dxfId="10479" priority="19997"/>
    <cfRule type="duplicateValues" dxfId="10478" priority="19996"/>
    <cfRule type="duplicateValues" dxfId="10477" priority="19995"/>
    <cfRule type="duplicateValues" dxfId="10476" priority="19994"/>
    <cfRule type="duplicateValues" dxfId="10475" priority="19993"/>
    <cfRule type="duplicateValues" dxfId="10474" priority="19992"/>
    <cfRule type="duplicateValues" dxfId="10473" priority="19991"/>
    <cfRule type="duplicateValues" dxfId="10472" priority="19990"/>
    <cfRule type="duplicateValues" dxfId="10471" priority="19989"/>
    <cfRule type="duplicateValues" dxfId="10470" priority="19988"/>
    <cfRule type="duplicateValues" dxfId="10469" priority="19987"/>
    <cfRule type="duplicateValues" dxfId="10468" priority="19986"/>
    <cfRule type="duplicateValues" dxfId="10467" priority="19985"/>
    <cfRule type="duplicateValues" dxfId="10466" priority="19984"/>
    <cfRule type="duplicateValues" dxfId="10465" priority="19983"/>
    <cfRule type="duplicateValues" dxfId="10464" priority="19982"/>
    <cfRule type="duplicateValues" dxfId="10463" priority="19981"/>
    <cfRule type="duplicateValues" dxfId="10462" priority="19980"/>
    <cfRule type="duplicateValues" dxfId="10461" priority="19979"/>
    <cfRule type="duplicateValues" dxfId="10460" priority="19978"/>
    <cfRule type="duplicateValues" dxfId="10459" priority="19977"/>
    <cfRule type="duplicateValues" dxfId="10458" priority="19976"/>
    <cfRule type="duplicateValues" dxfId="10457" priority="19975"/>
    <cfRule type="duplicateValues" dxfId="10456" priority="19974"/>
    <cfRule type="duplicateValues" dxfId="10455" priority="19973"/>
    <cfRule type="duplicateValues" dxfId="10454" priority="19972"/>
    <cfRule type="duplicateValues" dxfId="10453" priority="19971"/>
    <cfRule type="duplicateValues" dxfId="10452" priority="19970"/>
    <cfRule type="duplicateValues" dxfId="10451" priority="19969"/>
    <cfRule type="duplicateValues" dxfId="10450" priority="19968"/>
    <cfRule type="duplicateValues" dxfId="10449" priority="19967"/>
    <cfRule type="duplicateValues" dxfId="10448" priority="19966"/>
    <cfRule type="duplicateValues" dxfId="10447" priority="19965"/>
    <cfRule type="duplicateValues" dxfId="10446" priority="19964"/>
    <cfRule type="duplicateValues" dxfId="10445" priority="19963"/>
    <cfRule type="duplicateValues" dxfId="10444" priority="19962"/>
    <cfRule type="duplicateValues" dxfId="10443" priority="19961"/>
    <cfRule type="duplicateValues" dxfId="10442" priority="19960"/>
    <cfRule type="duplicateValues" dxfId="10441" priority="19959"/>
    <cfRule type="duplicateValues" dxfId="10440" priority="19958"/>
    <cfRule type="duplicateValues" dxfId="10439" priority="19957"/>
    <cfRule type="duplicateValues" dxfId="10438" priority="19956"/>
    <cfRule type="duplicateValues" dxfId="10437" priority="19955"/>
    <cfRule type="duplicateValues" dxfId="10436" priority="19954"/>
    <cfRule type="duplicateValues" dxfId="10435" priority="19953"/>
    <cfRule type="duplicateValues" dxfId="10434" priority="19952"/>
    <cfRule type="duplicateValues" dxfId="10433" priority="19951"/>
    <cfRule type="duplicateValues" dxfId="10432" priority="19950"/>
    <cfRule type="duplicateValues" dxfId="10431" priority="19949"/>
    <cfRule type="duplicateValues" dxfId="10430" priority="19948"/>
    <cfRule type="duplicateValues" dxfId="10429" priority="19947"/>
    <cfRule type="duplicateValues" dxfId="10428" priority="19946"/>
    <cfRule type="duplicateValues" dxfId="10427" priority="19945"/>
    <cfRule type="duplicateValues" dxfId="10426" priority="19944"/>
    <cfRule type="duplicateValues" dxfId="10425" priority="19943"/>
    <cfRule type="duplicateValues" dxfId="10424" priority="19942"/>
    <cfRule type="duplicateValues" dxfId="10423" priority="19941"/>
    <cfRule type="duplicateValues" dxfId="10422" priority="19940"/>
    <cfRule type="duplicateValues" dxfId="10421" priority="19939"/>
    <cfRule type="duplicateValues" dxfId="10420" priority="19938"/>
    <cfRule type="duplicateValues" dxfId="10419" priority="19937"/>
    <cfRule type="duplicateValues" dxfId="10418" priority="19936"/>
    <cfRule type="duplicateValues" dxfId="10417" priority="19935"/>
    <cfRule type="duplicateValues" dxfId="10416" priority="19934"/>
    <cfRule type="duplicateValues" dxfId="10415" priority="19933"/>
    <cfRule type="duplicateValues" dxfId="10414" priority="19932"/>
    <cfRule type="duplicateValues" dxfId="10413" priority="19931"/>
    <cfRule type="duplicateValues" dxfId="10412" priority="19930"/>
    <cfRule type="duplicateValues" dxfId="10411" priority="19929"/>
    <cfRule type="duplicateValues" dxfId="10410" priority="19928"/>
    <cfRule type="duplicateValues" dxfId="10409" priority="19927"/>
    <cfRule type="duplicateValues" dxfId="10408" priority="19926"/>
    <cfRule type="duplicateValues" dxfId="10407" priority="19925"/>
    <cfRule type="duplicateValues" dxfId="10406" priority="19924"/>
    <cfRule type="duplicateValues" dxfId="10405" priority="19923"/>
    <cfRule type="duplicateValues" dxfId="10404" priority="19922"/>
    <cfRule type="duplicateValues" dxfId="10403" priority="19921"/>
    <cfRule type="duplicateValues" dxfId="10402" priority="19920"/>
    <cfRule type="duplicateValues" dxfId="10401" priority="19919"/>
    <cfRule type="duplicateValues" dxfId="10400" priority="19918"/>
    <cfRule type="duplicateValues" dxfId="10399" priority="19917"/>
    <cfRule type="duplicateValues" dxfId="10398" priority="19916"/>
    <cfRule type="duplicateValues" dxfId="10397" priority="19915"/>
    <cfRule type="duplicateValues" dxfId="10396" priority="19914"/>
    <cfRule type="duplicateValues" dxfId="10395" priority="19913"/>
    <cfRule type="duplicateValues" dxfId="10394" priority="19912"/>
    <cfRule type="duplicateValues" dxfId="10393" priority="19911"/>
    <cfRule type="duplicateValues" dxfId="10392" priority="19910"/>
    <cfRule type="duplicateValues" dxfId="10391" priority="19909"/>
    <cfRule type="duplicateValues" dxfId="10390" priority="19908"/>
    <cfRule type="duplicateValues" dxfId="10389" priority="19907"/>
    <cfRule type="duplicateValues" dxfId="10388" priority="19906"/>
    <cfRule type="duplicateValues" dxfId="10387" priority="19905"/>
    <cfRule type="duplicateValues" dxfId="10386" priority="19904"/>
    <cfRule type="duplicateValues" dxfId="10385" priority="19903"/>
    <cfRule type="duplicateValues" dxfId="10384" priority="19902"/>
    <cfRule type="duplicateValues" dxfId="10383" priority="19901"/>
    <cfRule type="duplicateValues" dxfId="10382" priority="19900"/>
    <cfRule type="duplicateValues" dxfId="10381" priority="19899"/>
    <cfRule type="duplicateValues" dxfId="10380" priority="19898"/>
    <cfRule type="duplicateValues" dxfId="10379" priority="19897"/>
    <cfRule type="duplicateValues" dxfId="10378" priority="19896"/>
    <cfRule type="duplicateValues" dxfId="10377" priority="19895"/>
    <cfRule type="duplicateValues" dxfId="10376" priority="19894"/>
    <cfRule type="duplicateValues" dxfId="10375" priority="19893"/>
    <cfRule type="duplicateValues" dxfId="10374" priority="19892"/>
    <cfRule type="duplicateValues" dxfId="10373" priority="19891"/>
    <cfRule type="duplicateValues" dxfId="10372" priority="19890"/>
    <cfRule type="duplicateValues" dxfId="10371" priority="19889"/>
    <cfRule type="duplicateValues" dxfId="10370" priority="19888"/>
    <cfRule type="duplicateValues" dxfId="10369" priority="19887"/>
    <cfRule type="duplicateValues" dxfId="10368" priority="19886"/>
    <cfRule type="duplicateValues" dxfId="10367" priority="19885"/>
    <cfRule type="duplicateValues" dxfId="10366" priority="19884"/>
    <cfRule type="duplicateValues" dxfId="10365" priority="19883"/>
    <cfRule type="duplicateValues" dxfId="10364" priority="19882"/>
    <cfRule type="duplicateValues" dxfId="10363" priority="19881"/>
    <cfRule type="duplicateValues" dxfId="10362" priority="19880"/>
    <cfRule type="duplicateValues" dxfId="10361" priority="19879"/>
    <cfRule type="duplicateValues" dxfId="10360" priority="19878"/>
    <cfRule type="duplicateValues" dxfId="10359" priority="19877"/>
    <cfRule type="duplicateValues" dxfId="10358" priority="19876"/>
    <cfRule type="duplicateValues" dxfId="10357" priority="19875"/>
    <cfRule type="duplicateValues" dxfId="10356" priority="19874"/>
    <cfRule type="duplicateValues" dxfId="10355" priority="19873"/>
    <cfRule type="duplicateValues" dxfId="10354" priority="19872"/>
    <cfRule type="duplicateValues" dxfId="10353" priority="19871"/>
    <cfRule type="duplicateValues" dxfId="10352" priority="19870"/>
    <cfRule type="duplicateValues" dxfId="10351" priority="19869"/>
    <cfRule type="duplicateValues" dxfId="10350" priority="19868"/>
    <cfRule type="duplicateValues" dxfId="10349" priority="19867"/>
    <cfRule type="duplicateValues" dxfId="10348" priority="19866"/>
    <cfRule type="duplicateValues" dxfId="10347" priority="19865"/>
    <cfRule type="duplicateValues" dxfId="10346" priority="19864"/>
    <cfRule type="duplicateValues" dxfId="10345" priority="19863"/>
    <cfRule type="duplicateValues" dxfId="10344" priority="19862"/>
    <cfRule type="duplicateValues" dxfId="10343" priority="19861"/>
    <cfRule type="duplicateValues" dxfId="10342" priority="19860"/>
    <cfRule type="duplicateValues" dxfId="10341" priority="19859"/>
    <cfRule type="duplicateValues" dxfId="10340" priority="19858"/>
    <cfRule type="duplicateValues" dxfId="10339" priority="19857"/>
    <cfRule type="duplicateValues" dxfId="10338" priority="19856"/>
    <cfRule type="duplicateValues" dxfId="10337" priority="19855"/>
    <cfRule type="duplicateValues" dxfId="10336" priority="19854"/>
    <cfRule type="duplicateValues" dxfId="10335" priority="19853"/>
    <cfRule type="duplicateValues" dxfId="10334" priority="19852"/>
    <cfRule type="duplicateValues" dxfId="10333" priority="19851"/>
    <cfRule type="duplicateValues" dxfId="10332" priority="19850"/>
    <cfRule type="duplicateValues" dxfId="10331" priority="19849"/>
    <cfRule type="duplicateValues" dxfId="10330" priority="19848"/>
    <cfRule type="duplicateValues" dxfId="10329" priority="19847"/>
    <cfRule type="duplicateValues" dxfId="10328" priority="19846"/>
    <cfRule type="duplicateValues" dxfId="10327" priority="19845"/>
    <cfRule type="duplicateValues" dxfId="10326" priority="19844"/>
    <cfRule type="duplicateValues" dxfId="10325" priority="19843"/>
    <cfRule type="duplicateValues" dxfId="10324" priority="19842"/>
    <cfRule type="duplicateValues" dxfId="10323" priority="19841"/>
    <cfRule type="duplicateValues" dxfId="10322" priority="19840"/>
    <cfRule type="duplicateValues" dxfId="10321" priority="19839"/>
    <cfRule type="duplicateValues" dxfId="10320" priority="19838"/>
    <cfRule type="duplicateValues" dxfId="10319" priority="19837"/>
    <cfRule type="duplicateValues" dxfId="10318" priority="19836"/>
    <cfRule type="duplicateValues" dxfId="10317" priority="19835"/>
    <cfRule type="duplicateValues" dxfId="10316" priority="19834"/>
    <cfRule type="duplicateValues" dxfId="10315" priority="19833"/>
    <cfRule type="duplicateValues" dxfId="10314" priority="19832"/>
    <cfRule type="duplicateValues" dxfId="10313" priority="19831"/>
    <cfRule type="duplicateValues" dxfId="10312" priority="19830"/>
    <cfRule type="duplicateValues" dxfId="10311" priority="19829"/>
    <cfRule type="duplicateValues" dxfId="10310" priority="19828"/>
    <cfRule type="duplicateValues" dxfId="10309" priority="19827"/>
    <cfRule type="duplicateValues" dxfId="10308" priority="19826"/>
    <cfRule type="duplicateValues" dxfId="10307" priority="19825"/>
    <cfRule type="duplicateValues" dxfId="10306" priority="19824"/>
    <cfRule type="duplicateValues" dxfId="10305" priority="19823"/>
    <cfRule type="duplicateValues" dxfId="10304" priority="19822"/>
    <cfRule type="duplicateValues" dxfId="10303" priority="19821"/>
    <cfRule type="duplicateValues" dxfId="10302" priority="19820"/>
    <cfRule type="duplicateValues" dxfId="10301" priority="19819"/>
    <cfRule type="duplicateValues" dxfId="10300" priority="19818"/>
    <cfRule type="duplicateValues" dxfId="10299" priority="19817"/>
    <cfRule type="duplicateValues" dxfId="10298" priority="19816"/>
    <cfRule type="duplicateValues" dxfId="10297" priority="19815"/>
    <cfRule type="duplicateValues" dxfId="10296" priority="19814"/>
    <cfRule type="duplicateValues" dxfId="10295" priority="19813"/>
    <cfRule type="duplicateValues" dxfId="10294" priority="19812"/>
    <cfRule type="duplicateValues" dxfId="10293" priority="19811"/>
    <cfRule type="duplicateValues" dxfId="10292" priority="19810"/>
    <cfRule type="duplicateValues" dxfId="10291" priority="19809"/>
    <cfRule type="duplicateValues" dxfId="10290" priority="19808"/>
    <cfRule type="duplicateValues" dxfId="10289" priority="19807"/>
    <cfRule type="duplicateValues" dxfId="10288" priority="19806"/>
    <cfRule type="duplicateValues" dxfId="10287" priority="19805"/>
    <cfRule type="duplicateValues" dxfId="10286" priority="19804"/>
    <cfRule type="duplicateValues" dxfId="10285" priority="19148"/>
    <cfRule type="duplicateValues" dxfId="10284" priority="19147"/>
    <cfRule type="duplicateValues" dxfId="10283" priority="19146"/>
    <cfRule type="duplicateValues" dxfId="10282" priority="19145"/>
    <cfRule type="duplicateValues" dxfId="10281" priority="19144"/>
    <cfRule type="duplicateValues" dxfId="10280" priority="19143"/>
    <cfRule type="duplicateValues" dxfId="10279" priority="19142"/>
    <cfRule type="duplicateValues" dxfId="10278" priority="19141"/>
    <cfRule type="duplicateValues" dxfId="10277" priority="19140"/>
    <cfRule type="duplicateValues" dxfId="10276" priority="19139"/>
    <cfRule type="duplicateValues" dxfId="10275" priority="19138"/>
    <cfRule type="duplicateValues" dxfId="10274" priority="19137"/>
    <cfRule type="duplicateValues" dxfId="10273" priority="19136"/>
    <cfRule type="duplicateValues" dxfId="10272" priority="19135"/>
    <cfRule type="duplicateValues" dxfId="10271" priority="19134"/>
    <cfRule type="duplicateValues" dxfId="10270" priority="19133"/>
    <cfRule type="duplicateValues" dxfId="10269" priority="19132"/>
    <cfRule type="duplicateValues" dxfId="10268" priority="19131"/>
    <cfRule type="duplicateValues" dxfId="10267" priority="19130"/>
    <cfRule type="duplicateValues" dxfId="10266" priority="19129"/>
    <cfRule type="duplicateValues" dxfId="10265" priority="19128"/>
    <cfRule type="duplicateValues" dxfId="10264" priority="19127"/>
    <cfRule type="duplicateValues" dxfId="10263" priority="19126"/>
    <cfRule type="duplicateValues" dxfId="10262" priority="19125"/>
    <cfRule type="duplicateValues" dxfId="10261" priority="19124"/>
    <cfRule type="duplicateValues" dxfId="10260" priority="19123"/>
    <cfRule type="duplicateValues" dxfId="10259" priority="19122"/>
    <cfRule type="duplicateValues" dxfId="10258" priority="19121"/>
    <cfRule type="duplicateValues" dxfId="10257" priority="19120"/>
    <cfRule type="duplicateValues" dxfId="10256" priority="19533"/>
    <cfRule type="duplicateValues" dxfId="10255" priority="19118"/>
    <cfRule type="duplicateValues" dxfId="10254" priority="19117"/>
    <cfRule type="duplicateValues" dxfId="10253" priority="19116"/>
    <cfRule type="duplicateValues" dxfId="10252" priority="19115"/>
    <cfRule type="duplicateValues" dxfId="10251" priority="19114"/>
    <cfRule type="duplicateValues" dxfId="10250" priority="19113"/>
    <cfRule type="duplicateValues" dxfId="10249" priority="19112"/>
    <cfRule type="duplicateValues" dxfId="10248" priority="19111"/>
    <cfRule type="duplicateValues" dxfId="10247" priority="19110"/>
    <cfRule type="duplicateValues" dxfId="10246" priority="19109"/>
    <cfRule type="duplicateValues" dxfId="10245" priority="19108"/>
    <cfRule type="duplicateValues" dxfId="10244" priority="19107"/>
    <cfRule type="duplicateValues" dxfId="10243" priority="19106"/>
    <cfRule type="duplicateValues" dxfId="10242" priority="19105"/>
    <cfRule type="duplicateValues" dxfId="10241" priority="19104"/>
    <cfRule type="duplicateValues" dxfId="10240" priority="19103"/>
    <cfRule type="duplicateValues" dxfId="10239" priority="19102"/>
    <cfRule type="duplicateValues" dxfId="10238" priority="19101"/>
    <cfRule type="duplicateValues" dxfId="10237" priority="19100"/>
    <cfRule type="duplicateValues" dxfId="10236" priority="19099"/>
    <cfRule type="duplicateValues" dxfId="10235" priority="19098"/>
    <cfRule type="duplicateValues" dxfId="10234" priority="19097"/>
    <cfRule type="duplicateValues" dxfId="10233" priority="19096"/>
    <cfRule type="duplicateValues" dxfId="10232" priority="19095"/>
    <cfRule type="duplicateValues" dxfId="10231" priority="19094"/>
    <cfRule type="duplicateValues" dxfId="10230" priority="19093"/>
    <cfRule type="duplicateValues" dxfId="10229" priority="19092"/>
    <cfRule type="duplicateValues" dxfId="10228" priority="19091"/>
    <cfRule type="duplicateValues" dxfId="10227" priority="19090"/>
    <cfRule type="duplicateValues" dxfId="10226" priority="19089"/>
    <cfRule type="duplicateValues" dxfId="10225" priority="19088"/>
    <cfRule type="duplicateValues" dxfId="10224" priority="19087"/>
    <cfRule type="duplicateValues" dxfId="10223" priority="19086"/>
    <cfRule type="duplicateValues" dxfId="10222" priority="19085"/>
    <cfRule type="duplicateValues" dxfId="10221" priority="19084"/>
    <cfRule type="duplicateValues" dxfId="10220" priority="19083"/>
    <cfRule type="duplicateValues" dxfId="10219" priority="19082"/>
    <cfRule type="duplicateValues" dxfId="10218" priority="19081"/>
    <cfRule type="duplicateValues" dxfId="10217" priority="19080"/>
    <cfRule type="duplicateValues" dxfId="10216" priority="19079"/>
    <cfRule type="duplicateValues" dxfId="10215" priority="19078"/>
    <cfRule type="duplicateValues" dxfId="10214" priority="19077"/>
    <cfRule type="duplicateValues" dxfId="10213" priority="19076"/>
    <cfRule type="duplicateValues" dxfId="10212" priority="19075"/>
    <cfRule type="duplicateValues" dxfId="10211" priority="19074"/>
    <cfRule type="duplicateValues" dxfId="10210" priority="19073"/>
    <cfRule type="duplicateValues" dxfId="10209" priority="19072"/>
    <cfRule type="duplicateValues" dxfId="10208" priority="19071"/>
    <cfRule type="duplicateValues" dxfId="10207" priority="19070"/>
    <cfRule type="duplicateValues" dxfId="10206" priority="19069"/>
    <cfRule type="duplicateValues" dxfId="10205" priority="19068"/>
    <cfRule type="duplicateValues" dxfId="10204" priority="19067"/>
    <cfRule type="duplicateValues" dxfId="10203" priority="19066"/>
    <cfRule type="duplicateValues" dxfId="10202" priority="19065"/>
    <cfRule type="duplicateValues" dxfId="10201" priority="19064"/>
    <cfRule type="duplicateValues" dxfId="10200" priority="19063"/>
    <cfRule type="duplicateValues" dxfId="10199" priority="19062"/>
    <cfRule type="duplicateValues" dxfId="10198" priority="19061"/>
    <cfRule type="duplicateValues" dxfId="10197" priority="19060"/>
    <cfRule type="duplicateValues" dxfId="10196" priority="19059"/>
    <cfRule type="duplicateValues" dxfId="10195" priority="19058"/>
    <cfRule type="duplicateValues" dxfId="10194" priority="19057"/>
    <cfRule type="duplicateValues" dxfId="10193" priority="19056"/>
    <cfRule type="duplicateValues" dxfId="10192" priority="19055"/>
    <cfRule type="duplicateValues" dxfId="10191" priority="19054"/>
    <cfRule type="duplicateValues" dxfId="10190" priority="19053"/>
    <cfRule type="duplicateValues" dxfId="10189" priority="19052"/>
    <cfRule type="duplicateValues" dxfId="10188" priority="19051"/>
    <cfRule type="duplicateValues" dxfId="10187" priority="19050"/>
    <cfRule type="duplicateValues" dxfId="10186" priority="19049"/>
    <cfRule type="duplicateValues" dxfId="10185" priority="19048"/>
    <cfRule type="duplicateValues" dxfId="10184" priority="19047"/>
    <cfRule type="duplicateValues" dxfId="10183" priority="19046"/>
    <cfRule type="duplicateValues" dxfId="10182" priority="19045"/>
    <cfRule type="duplicateValues" dxfId="10181" priority="19044"/>
    <cfRule type="duplicateValues" dxfId="10180" priority="19043"/>
    <cfRule type="duplicateValues" dxfId="10179" priority="19042"/>
    <cfRule type="duplicateValues" dxfId="10178" priority="19041"/>
    <cfRule type="duplicateValues" dxfId="10177" priority="19040"/>
    <cfRule type="duplicateValues" dxfId="10176" priority="19039"/>
    <cfRule type="duplicateValues" dxfId="10175" priority="19038"/>
    <cfRule type="duplicateValues" dxfId="10174" priority="19037"/>
    <cfRule type="duplicateValues" dxfId="10173" priority="19036"/>
    <cfRule type="duplicateValues" dxfId="10172" priority="19035"/>
    <cfRule type="duplicateValues" dxfId="10171" priority="19034"/>
    <cfRule type="duplicateValues" dxfId="10170" priority="19033"/>
    <cfRule type="duplicateValues" dxfId="10169" priority="19032"/>
    <cfRule type="duplicateValues" dxfId="10168" priority="19031"/>
    <cfRule type="duplicateValues" dxfId="10167" priority="19030"/>
    <cfRule type="duplicateValues" dxfId="10166" priority="19029"/>
    <cfRule type="duplicateValues" dxfId="10165" priority="19028"/>
    <cfRule type="duplicateValues" dxfId="10164" priority="19027"/>
    <cfRule type="duplicateValues" dxfId="10163" priority="19026"/>
    <cfRule type="duplicateValues" dxfId="10162" priority="19025"/>
    <cfRule type="duplicateValues" dxfId="10161" priority="19024"/>
    <cfRule type="duplicateValues" dxfId="10160" priority="19023"/>
    <cfRule type="duplicateValues" dxfId="10159" priority="19022"/>
    <cfRule type="duplicateValues" dxfId="10158" priority="19021"/>
    <cfRule type="duplicateValues" dxfId="10157" priority="19020"/>
    <cfRule type="duplicateValues" dxfId="10156" priority="19019"/>
    <cfRule type="duplicateValues" dxfId="10155" priority="19018"/>
    <cfRule type="duplicateValues" dxfId="10154" priority="19017"/>
    <cfRule type="duplicateValues" dxfId="10153" priority="19016"/>
    <cfRule type="duplicateValues" dxfId="10152" priority="19015"/>
    <cfRule type="duplicateValues" dxfId="10151" priority="19014"/>
    <cfRule type="duplicateValues" dxfId="10150" priority="19013"/>
    <cfRule type="duplicateValues" dxfId="10149" priority="19012"/>
    <cfRule type="duplicateValues" dxfId="10148" priority="19011"/>
    <cfRule type="duplicateValues" dxfId="10147" priority="19010"/>
    <cfRule type="duplicateValues" dxfId="10146" priority="19009"/>
    <cfRule type="duplicateValues" dxfId="10145" priority="19008"/>
    <cfRule type="duplicateValues" dxfId="10144" priority="19007"/>
    <cfRule type="duplicateValues" dxfId="10143" priority="19006"/>
    <cfRule type="duplicateValues" dxfId="10142" priority="19005"/>
    <cfRule type="duplicateValues" dxfId="10141" priority="19004"/>
    <cfRule type="duplicateValues" dxfId="10140" priority="19003"/>
    <cfRule type="duplicateValues" dxfId="10139" priority="19002"/>
    <cfRule type="duplicateValues" dxfId="10138" priority="19001"/>
    <cfRule type="duplicateValues" dxfId="10137" priority="19000"/>
    <cfRule type="duplicateValues" dxfId="10136" priority="18999"/>
    <cfRule type="duplicateValues" dxfId="10135" priority="18998"/>
    <cfRule type="duplicateValues" dxfId="10134" priority="18997"/>
    <cfRule type="duplicateValues" dxfId="10133" priority="18996"/>
    <cfRule type="duplicateValues" dxfId="10132" priority="18995"/>
    <cfRule type="duplicateValues" dxfId="10131" priority="18994"/>
    <cfRule type="duplicateValues" dxfId="10130" priority="18993"/>
    <cfRule type="duplicateValues" dxfId="10129" priority="18992"/>
    <cfRule type="duplicateValues" dxfId="10128" priority="18991"/>
    <cfRule type="duplicateValues" dxfId="10127" priority="18990"/>
    <cfRule type="duplicateValues" dxfId="10126" priority="18989"/>
    <cfRule type="duplicateValues" dxfId="10125" priority="18988"/>
    <cfRule type="duplicateValues" dxfId="10124" priority="18987"/>
    <cfRule type="duplicateValues" dxfId="10123" priority="18986"/>
    <cfRule type="duplicateValues" dxfId="10122" priority="18985"/>
    <cfRule type="duplicateValues" dxfId="10121" priority="18984"/>
    <cfRule type="duplicateValues" dxfId="10120" priority="18983"/>
    <cfRule type="duplicateValues" dxfId="10119" priority="18982"/>
    <cfRule type="duplicateValues" dxfId="10118" priority="18981"/>
    <cfRule type="duplicateValues" dxfId="10117" priority="18980"/>
    <cfRule type="duplicateValues" dxfId="10116" priority="18979"/>
    <cfRule type="duplicateValues" dxfId="10115" priority="18978"/>
    <cfRule type="duplicateValues" dxfId="10114" priority="18977"/>
    <cfRule type="duplicateValues" dxfId="10113" priority="18976"/>
    <cfRule type="duplicateValues" dxfId="10112" priority="18975"/>
    <cfRule type="duplicateValues" dxfId="10111" priority="18974"/>
    <cfRule type="duplicateValues" dxfId="10110" priority="18973"/>
    <cfRule type="duplicateValues" dxfId="10109" priority="18972"/>
    <cfRule type="duplicateValues" dxfId="10108" priority="18971"/>
    <cfRule type="duplicateValues" dxfId="10107" priority="18970"/>
    <cfRule type="duplicateValues" dxfId="10106" priority="18969"/>
    <cfRule type="duplicateValues" dxfId="10105" priority="18968"/>
    <cfRule type="duplicateValues" dxfId="10104" priority="18967"/>
    <cfRule type="duplicateValues" dxfId="10103" priority="18966"/>
    <cfRule type="duplicateValues" dxfId="10102" priority="18965"/>
    <cfRule type="duplicateValues" dxfId="10101" priority="18964"/>
    <cfRule type="duplicateValues" dxfId="10100" priority="18963"/>
    <cfRule type="duplicateValues" dxfId="10099" priority="18962"/>
    <cfRule type="duplicateValues" dxfId="10098" priority="18961"/>
    <cfRule type="duplicateValues" dxfId="10097" priority="18960"/>
    <cfRule type="duplicateValues" dxfId="10096" priority="18959"/>
    <cfRule type="duplicateValues" dxfId="10095" priority="18958"/>
    <cfRule type="duplicateValues" dxfId="10094" priority="18957"/>
    <cfRule type="duplicateValues" dxfId="10093" priority="18956"/>
    <cfRule type="duplicateValues" dxfId="10092" priority="18955"/>
    <cfRule type="duplicateValues" dxfId="10091" priority="18954"/>
    <cfRule type="duplicateValues" dxfId="10090" priority="18953"/>
    <cfRule type="duplicateValues" dxfId="10089" priority="18952"/>
    <cfRule type="duplicateValues" dxfId="10088" priority="18951"/>
    <cfRule type="duplicateValues" dxfId="10087" priority="18950"/>
    <cfRule type="duplicateValues" dxfId="10086" priority="18949"/>
    <cfRule type="duplicateValues" dxfId="10085" priority="18948"/>
    <cfRule type="duplicateValues" dxfId="10084" priority="18947"/>
    <cfRule type="duplicateValues" dxfId="10083" priority="18946"/>
    <cfRule type="duplicateValues" dxfId="10082" priority="18945"/>
    <cfRule type="duplicateValues" dxfId="10081" priority="18944"/>
    <cfRule type="duplicateValues" dxfId="10080" priority="18943"/>
    <cfRule type="duplicateValues" dxfId="10079" priority="18942"/>
    <cfRule type="duplicateValues" dxfId="10078" priority="18941"/>
    <cfRule type="duplicateValues" dxfId="10077" priority="18940"/>
    <cfRule type="duplicateValues" dxfId="10076" priority="18939"/>
    <cfRule type="duplicateValues" dxfId="10075" priority="18938"/>
    <cfRule type="duplicateValues" dxfId="10074" priority="18937"/>
    <cfRule type="duplicateValues" dxfId="10073" priority="18936"/>
    <cfRule type="duplicateValues" dxfId="10072" priority="18935"/>
    <cfRule type="duplicateValues" dxfId="10071" priority="18934"/>
    <cfRule type="duplicateValues" dxfId="10070" priority="18933"/>
    <cfRule type="duplicateValues" dxfId="10069" priority="18932"/>
    <cfRule type="duplicateValues" dxfId="10068" priority="18931"/>
    <cfRule type="duplicateValues" dxfId="10067" priority="18930"/>
    <cfRule type="duplicateValues" dxfId="10066" priority="18929"/>
    <cfRule type="duplicateValues" dxfId="10065" priority="18928"/>
    <cfRule type="duplicateValues" dxfId="10064" priority="18927"/>
    <cfRule type="duplicateValues" dxfId="10063" priority="18926"/>
    <cfRule type="duplicateValues" dxfId="10062" priority="18925"/>
    <cfRule type="duplicateValues" dxfId="10061" priority="18924"/>
    <cfRule type="duplicateValues" dxfId="10060" priority="18923"/>
    <cfRule type="duplicateValues" dxfId="10059" priority="18922"/>
    <cfRule type="duplicateValues" dxfId="10058" priority="18921"/>
    <cfRule type="duplicateValues" dxfId="10057" priority="18920"/>
    <cfRule type="duplicateValues" dxfId="10056" priority="18919"/>
    <cfRule type="duplicateValues" dxfId="10055" priority="18918"/>
    <cfRule type="duplicateValues" dxfId="10054" priority="18917"/>
    <cfRule type="duplicateValues" dxfId="10053" priority="18916"/>
    <cfRule type="duplicateValues" dxfId="10052" priority="18915"/>
    <cfRule type="duplicateValues" dxfId="10051" priority="18914"/>
    <cfRule type="duplicateValues" dxfId="10050" priority="18913"/>
    <cfRule type="duplicateValues" dxfId="10049" priority="18912"/>
    <cfRule type="duplicateValues" dxfId="10048" priority="18911"/>
    <cfRule type="duplicateValues" dxfId="10047" priority="18910"/>
    <cfRule type="duplicateValues" dxfId="10046" priority="18909"/>
    <cfRule type="duplicateValues" dxfId="10045" priority="18908"/>
    <cfRule type="duplicateValues" dxfId="10044" priority="18907"/>
    <cfRule type="duplicateValues" dxfId="10043" priority="18906"/>
    <cfRule type="duplicateValues" dxfId="10042" priority="18905"/>
    <cfRule type="duplicateValues" dxfId="10041" priority="18904"/>
    <cfRule type="duplicateValues" dxfId="10040" priority="18903"/>
    <cfRule type="duplicateValues" dxfId="10039" priority="18902"/>
    <cfRule type="duplicateValues" dxfId="10038" priority="18901"/>
    <cfRule type="duplicateValues" dxfId="10037" priority="18900"/>
    <cfRule type="duplicateValues" dxfId="10036" priority="18899"/>
    <cfRule type="duplicateValues" dxfId="10035" priority="19532"/>
    <cfRule type="duplicateValues" dxfId="10034" priority="19531"/>
    <cfRule type="duplicateValues" dxfId="10033" priority="19530"/>
    <cfRule type="duplicateValues" dxfId="10032" priority="19529"/>
    <cfRule type="duplicateValues" dxfId="10031" priority="19528"/>
    <cfRule type="duplicateValues" dxfId="10030" priority="19527"/>
    <cfRule type="duplicateValues" dxfId="10029" priority="19526"/>
    <cfRule type="duplicateValues" dxfId="10028" priority="19525"/>
    <cfRule type="duplicateValues" dxfId="10027" priority="19524"/>
    <cfRule type="duplicateValues" dxfId="10026" priority="19523"/>
    <cfRule type="duplicateValues" dxfId="10025" priority="19522"/>
    <cfRule type="duplicateValues" dxfId="10024" priority="19521"/>
    <cfRule type="duplicateValues" dxfId="10023" priority="19520"/>
    <cfRule type="duplicateValues" dxfId="10022" priority="19519"/>
    <cfRule type="duplicateValues" dxfId="10021" priority="19518"/>
    <cfRule type="duplicateValues" dxfId="10020" priority="19517"/>
    <cfRule type="duplicateValues" dxfId="10019" priority="19516"/>
    <cfRule type="duplicateValues" dxfId="10018" priority="19515"/>
    <cfRule type="duplicateValues" dxfId="10017" priority="19514"/>
    <cfRule type="duplicateValues" dxfId="10016" priority="19513"/>
    <cfRule type="duplicateValues" dxfId="10015" priority="19512"/>
    <cfRule type="duplicateValues" dxfId="10014" priority="19511"/>
    <cfRule type="duplicateValues" dxfId="10013" priority="19510"/>
    <cfRule type="duplicateValues" dxfId="10012" priority="19509"/>
    <cfRule type="duplicateValues" dxfId="10011" priority="19508"/>
    <cfRule type="duplicateValues" dxfId="10010" priority="19507"/>
    <cfRule type="duplicateValues" dxfId="10009" priority="19506"/>
    <cfRule type="duplicateValues" dxfId="10008" priority="19505"/>
    <cfRule type="duplicateValues" dxfId="10007" priority="19504"/>
    <cfRule type="duplicateValues" dxfId="10006" priority="19503"/>
    <cfRule type="duplicateValues" dxfId="10005" priority="19502"/>
    <cfRule type="duplicateValues" dxfId="10004" priority="19501"/>
    <cfRule type="duplicateValues" dxfId="10003" priority="19500"/>
    <cfRule type="duplicateValues" dxfId="10002" priority="19499"/>
    <cfRule type="duplicateValues" dxfId="10001" priority="19498"/>
    <cfRule type="duplicateValues" dxfId="10000" priority="19497"/>
    <cfRule type="duplicateValues" dxfId="9999" priority="19496"/>
    <cfRule type="duplicateValues" dxfId="9998" priority="19495"/>
    <cfRule type="duplicateValues" dxfId="9997" priority="19494"/>
    <cfRule type="duplicateValues" dxfId="9996" priority="19493"/>
    <cfRule type="duplicateValues" dxfId="9995" priority="19492"/>
    <cfRule type="duplicateValues" dxfId="9994" priority="19491"/>
    <cfRule type="duplicateValues" dxfId="9993" priority="19490"/>
    <cfRule type="duplicateValues" dxfId="9992" priority="19489"/>
    <cfRule type="duplicateValues" dxfId="9991" priority="19488"/>
    <cfRule type="duplicateValues" dxfId="9990" priority="19487"/>
    <cfRule type="duplicateValues" dxfId="9989" priority="19486"/>
    <cfRule type="duplicateValues" dxfId="9988" priority="19485"/>
    <cfRule type="duplicateValues" dxfId="9987" priority="19484"/>
    <cfRule type="duplicateValues" dxfId="9986" priority="19483"/>
    <cfRule type="duplicateValues" dxfId="9985" priority="19482"/>
    <cfRule type="duplicateValues" dxfId="9984" priority="19481"/>
    <cfRule type="duplicateValues" dxfId="9983" priority="19480"/>
    <cfRule type="duplicateValues" dxfId="9982" priority="19479"/>
    <cfRule type="duplicateValues" dxfId="9981" priority="19478"/>
    <cfRule type="duplicateValues" dxfId="9980" priority="19477"/>
    <cfRule type="duplicateValues" dxfId="9979" priority="19476"/>
    <cfRule type="duplicateValues" dxfId="9978" priority="19475"/>
    <cfRule type="duplicateValues" dxfId="9977" priority="19474"/>
    <cfRule type="duplicateValues" dxfId="9976" priority="19473"/>
    <cfRule type="duplicateValues" dxfId="9975" priority="19472"/>
    <cfRule type="duplicateValues" dxfId="9974" priority="19471"/>
    <cfRule type="duplicateValues" dxfId="9973" priority="19470"/>
    <cfRule type="duplicateValues" dxfId="9972" priority="19469"/>
    <cfRule type="duplicateValues" dxfId="9971" priority="19468"/>
    <cfRule type="duplicateValues" dxfId="9970" priority="19467"/>
    <cfRule type="duplicateValues" dxfId="9969" priority="19466"/>
    <cfRule type="duplicateValues" dxfId="9968" priority="19465"/>
    <cfRule type="duplicateValues" dxfId="9967" priority="19464"/>
    <cfRule type="duplicateValues" dxfId="9966" priority="19463"/>
    <cfRule type="duplicateValues" dxfId="9965" priority="19462"/>
    <cfRule type="duplicateValues" dxfId="9964" priority="19461"/>
    <cfRule type="duplicateValues" dxfId="9963" priority="19460"/>
    <cfRule type="duplicateValues" dxfId="9962" priority="19459"/>
    <cfRule type="duplicateValues" dxfId="9961" priority="19458"/>
    <cfRule type="duplicateValues" dxfId="9960" priority="19457"/>
    <cfRule type="duplicateValues" dxfId="9959" priority="19456"/>
    <cfRule type="duplicateValues" dxfId="9958" priority="19455"/>
    <cfRule type="duplicateValues" dxfId="9957" priority="19454"/>
    <cfRule type="duplicateValues" dxfId="9956" priority="19453"/>
    <cfRule type="duplicateValues" dxfId="9955" priority="19452"/>
    <cfRule type="duplicateValues" dxfId="9954" priority="19451"/>
    <cfRule type="duplicateValues" dxfId="9953" priority="19450"/>
    <cfRule type="duplicateValues" dxfId="9952" priority="19449"/>
    <cfRule type="duplicateValues" dxfId="9951" priority="19448"/>
    <cfRule type="duplicateValues" dxfId="9950" priority="19447"/>
    <cfRule type="duplicateValues" dxfId="9949" priority="19446"/>
    <cfRule type="duplicateValues" dxfId="9948" priority="19445"/>
    <cfRule type="duplicateValues" dxfId="9947" priority="19444"/>
    <cfRule type="duplicateValues" dxfId="9946" priority="19443"/>
    <cfRule type="duplicateValues" dxfId="9945" priority="19442"/>
    <cfRule type="duplicateValues" dxfId="9944" priority="19441"/>
    <cfRule type="duplicateValues" dxfId="9943" priority="19440"/>
    <cfRule type="duplicateValues" dxfId="9942" priority="19439"/>
    <cfRule type="duplicateValues" dxfId="9941" priority="19438"/>
    <cfRule type="duplicateValues" dxfId="9940" priority="19437"/>
    <cfRule type="duplicateValues" dxfId="9939" priority="19436"/>
    <cfRule type="duplicateValues" dxfId="9938" priority="19435"/>
    <cfRule type="duplicateValues" dxfId="9937" priority="19434"/>
    <cfRule type="duplicateValues" dxfId="9936" priority="19433"/>
    <cfRule type="duplicateValues" dxfId="9935" priority="19432"/>
    <cfRule type="duplicateValues" dxfId="9934" priority="19431"/>
    <cfRule type="duplicateValues" dxfId="9933" priority="19430"/>
    <cfRule type="duplicateValues" dxfId="9932" priority="19429"/>
    <cfRule type="duplicateValues" dxfId="9931" priority="19428"/>
    <cfRule type="duplicateValues" dxfId="9930" priority="19427"/>
    <cfRule type="duplicateValues" dxfId="9929" priority="19426"/>
    <cfRule type="duplicateValues" dxfId="9928" priority="19425"/>
    <cfRule type="duplicateValues" dxfId="9927" priority="19424"/>
    <cfRule type="duplicateValues" dxfId="9926" priority="19423"/>
    <cfRule type="duplicateValues" dxfId="9925" priority="19422"/>
    <cfRule type="duplicateValues" dxfId="9924" priority="19421"/>
    <cfRule type="duplicateValues" dxfId="9923" priority="19420"/>
    <cfRule type="duplicateValues" dxfId="9922" priority="19419"/>
    <cfRule type="duplicateValues" dxfId="9921" priority="19418"/>
    <cfRule type="duplicateValues" dxfId="9920" priority="19417"/>
    <cfRule type="duplicateValues" dxfId="9919" priority="19416"/>
    <cfRule type="duplicateValues" dxfId="9918" priority="19415"/>
    <cfRule type="duplicateValues" dxfId="9917" priority="19414"/>
    <cfRule type="duplicateValues" dxfId="9916" priority="19413"/>
    <cfRule type="duplicateValues" dxfId="9915" priority="19412"/>
    <cfRule type="duplicateValues" dxfId="9914" priority="19411"/>
    <cfRule type="duplicateValues" dxfId="9913" priority="19410"/>
    <cfRule type="duplicateValues" dxfId="9912" priority="19409"/>
    <cfRule type="duplicateValues" dxfId="9911" priority="19408"/>
    <cfRule type="duplicateValues" dxfId="9910" priority="19407"/>
    <cfRule type="duplicateValues" dxfId="9909" priority="19406"/>
    <cfRule type="duplicateValues" dxfId="9908" priority="19405"/>
    <cfRule type="duplicateValues" dxfId="9907" priority="19404"/>
    <cfRule type="duplicateValues" dxfId="9906" priority="19403"/>
    <cfRule type="duplicateValues" dxfId="9905" priority="19402"/>
    <cfRule type="duplicateValues" dxfId="9904" priority="19725"/>
    <cfRule type="duplicateValues" dxfId="9903" priority="19724"/>
    <cfRule type="duplicateValues" dxfId="9902" priority="19723"/>
    <cfRule type="duplicateValues" dxfId="9901" priority="19722"/>
    <cfRule type="duplicateValues" dxfId="9900" priority="19721"/>
    <cfRule type="duplicateValues" dxfId="9899" priority="19720"/>
    <cfRule type="duplicateValues" dxfId="9898" priority="19719"/>
    <cfRule type="duplicateValues" dxfId="9897" priority="19718"/>
    <cfRule type="duplicateValues" dxfId="9896" priority="19717"/>
    <cfRule type="duplicateValues" dxfId="9895" priority="19716"/>
    <cfRule type="duplicateValues" dxfId="9894" priority="19715"/>
    <cfRule type="duplicateValues" dxfId="9893" priority="19714"/>
    <cfRule type="duplicateValues" dxfId="9892" priority="19713"/>
    <cfRule type="duplicateValues" dxfId="9891" priority="19712"/>
    <cfRule type="duplicateValues" dxfId="9890" priority="19711"/>
    <cfRule type="duplicateValues" dxfId="9889" priority="19710"/>
    <cfRule type="duplicateValues" dxfId="9888" priority="19709"/>
    <cfRule type="duplicateValues" dxfId="9887" priority="19708"/>
    <cfRule type="duplicateValues" dxfId="9886" priority="19707"/>
    <cfRule type="duplicateValues" dxfId="9885" priority="19706"/>
    <cfRule type="duplicateValues" dxfId="9884" priority="19705"/>
    <cfRule type="duplicateValues" dxfId="9883" priority="19704"/>
    <cfRule type="duplicateValues" dxfId="9882" priority="19703"/>
    <cfRule type="duplicateValues" dxfId="9881" priority="19702"/>
    <cfRule type="duplicateValues" dxfId="9880" priority="19701"/>
    <cfRule type="duplicateValues" dxfId="9879" priority="19700"/>
    <cfRule type="duplicateValues" dxfId="9878" priority="19699"/>
    <cfRule type="duplicateValues" dxfId="9877" priority="19698"/>
    <cfRule type="duplicateValues" dxfId="9876" priority="19697"/>
    <cfRule type="duplicateValues" dxfId="9875" priority="19696"/>
    <cfRule type="duplicateValues" dxfId="9874" priority="19695"/>
    <cfRule type="duplicateValues" dxfId="9873" priority="19694"/>
    <cfRule type="duplicateValues" dxfId="9872" priority="19693"/>
    <cfRule type="duplicateValues" dxfId="9871" priority="19692"/>
    <cfRule type="duplicateValues" dxfId="9870" priority="19691"/>
    <cfRule type="duplicateValues" dxfId="9869" priority="19690"/>
    <cfRule type="duplicateValues" dxfId="9868" priority="19689"/>
    <cfRule type="duplicateValues" dxfId="9867" priority="19688"/>
    <cfRule type="duplicateValues" dxfId="9866" priority="19687"/>
    <cfRule type="duplicateValues" dxfId="9865" priority="19686"/>
    <cfRule type="duplicateValues" dxfId="9864" priority="19685"/>
    <cfRule type="duplicateValues" dxfId="9863" priority="19684"/>
    <cfRule type="duplicateValues" dxfId="9862" priority="19683"/>
    <cfRule type="duplicateValues" dxfId="9861" priority="19682"/>
    <cfRule type="duplicateValues" dxfId="9860" priority="19681"/>
    <cfRule type="duplicateValues" dxfId="9859" priority="19680"/>
    <cfRule type="duplicateValues" dxfId="9858" priority="19679"/>
    <cfRule type="duplicateValues" dxfId="9857" priority="19678"/>
    <cfRule type="duplicateValues" dxfId="9856" priority="19677"/>
    <cfRule type="duplicateValues" dxfId="9855" priority="19676"/>
    <cfRule type="duplicateValues" dxfId="9854" priority="19675"/>
    <cfRule type="duplicateValues" dxfId="9853" priority="19674"/>
    <cfRule type="duplicateValues" dxfId="9852" priority="19673"/>
    <cfRule type="duplicateValues" dxfId="9851" priority="19672"/>
    <cfRule type="duplicateValues" dxfId="9850" priority="19671"/>
    <cfRule type="duplicateValues" dxfId="9849" priority="19670"/>
    <cfRule type="duplicateValues" dxfId="9848" priority="19669"/>
    <cfRule type="duplicateValues" dxfId="9847" priority="19668"/>
    <cfRule type="duplicateValues" dxfId="9846" priority="19667"/>
    <cfRule type="duplicateValues" dxfId="9845" priority="19666"/>
    <cfRule type="duplicateValues" dxfId="9844" priority="19665"/>
    <cfRule type="duplicateValues" dxfId="9843" priority="19664"/>
    <cfRule type="duplicateValues" dxfId="9842" priority="19663"/>
    <cfRule type="duplicateValues" dxfId="9841" priority="19662"/>
    <cfRule type="duplicateValues" dxfId="9840" priority="19661"/>
    <cfRule type="duplicateValues" dxfId="9839" priority="19660"/>
    <cfRule type="duplicateValues" dxfId="9838" priority="19659"/>
    <cfRule type="duplicateValues" dxfId="9837" priority="19658"/>
    <cfRule type="duplicateValues" dxfId="9836" priority="19657"/>
    <cfRule type="duplicateValues" dxfId="9835" priority="19656"/>
    <cfRule type="duplicateValues" dxfId="9834" priority="19655"/>
    <cfRule type="duplicateValues" dxfId="9833" priority="19654"/>
    <cfRule type="duplicateValues" dxfId="9832" priority="19653"/>
    <cfRule type="duplicateValues" dxfId="9831" priority="19652"/>
    <cfRule type="duplicateValues" dxfId="9830" priority="19651"/>
    <cfRule type="duplicateValues" dxfId="9829" priority="19650"/>
    <cfRule type="duplicateValues" dxfId="9828" priority="19649"/>
    <cfRule type="duplicateValues" dxfId="9827" priority="19648"/>
    <cfRule type="duplicateValues" dxfId="9826" priority="19647"/>
    <cfRule type="duplicateValues" dxfId="9825" priority="19646"/>
    <cfRule type="duplicateValues" dxfId="9824" priority="19645"/>
    <cfRule type="duplicateValues" dxfId="9823" priority="19644"/>
    <cfRule type="duplicateValues" dxfId="9822" priority="19643"/>
    <cfRule type="duplicateValues" dxfId="9821" priority="19642"/>
    <cfRule type="duplicateValues" dxfId="9820" priority="19641"/>
    <cfRule type="duplicateValues" dxfId="9819" priority="19640"/>
    <cfRule type="duplicateValues" dxfId="9818" priority="19639"/>
    <cfRule type="duplicateValues" dxfId="9817" priority="19638"/>
    <cfRule type="duplicateValues" dxfId="9816" priority="19637"/>
    <cfRule type="duplicateValues" dxfId="9815" priority="19636"/>
    <cfRule type="duplicateValues" dxfId="9814" priority="19635"/>
    <cfRule type="duplicateValues" dxfId="9813" priority="19634"/>
    <cfRule type="duplicateValues" dxfId="9812" priority="19633"/>
    <cfRule type="duplicateValues" dxfId="9811" priority="19632"/>
    <cfRule type="duplicateValues" dxfId="9810" priority="19631"/>
    <cfRule type="duplicateValues" dxfId="9809" priority="19630"/>
    <cfRule type="duplicateValues" dxfId="9808" priority="19629"/>
    <cfRule type="duplicateValues" dxfId="9807" priority="19628"/>
    <cfRule type="duplicateValues" dxfId="9806" priority="19627"/>
    <cfRule type="duplicateValues" dxfId="9805" priority="19626"/>
    <cfRule type="duplicateValues" dxfId="9804" priority="19625"/>
    <cfRule type="duplicateValues" dxfId="9803" priority="19624"/>
    <cfRule type="duplicateValues" dxfId="9802" priority="19623"/>
    <cfRule type="duplicateValues" dxfId="9801" priority="19622"/>
    <cfRule type="duplicateValues" dxfId="9800" priority="19621"/>
    <cfRule type="duplicateValues" dxfId="9799" priority="19620"/>
    <cfRule type="duplicateValues" dxfId="9798" priority="19619"/>
    <cfRule type="duplicateValues" dxfId="9797" priority="19618"/>
    <cfRule type="duplicateValues" dxfId="9796" priority="19617"/>
    <cfRule type="duplicateValues" dxfId="9795" priority="19616"/>
    <cfRule type="duplicateValues" dxfId="9794" priority="19615"/>
    <cfRule type="duplicateValues" dxfId="9793" priority="19614"/>
    <cfRule type="duplicateValues" dxfId="9792" priority="19726"/>
    <cfRule type="duplicateValues" dxfId="9791" priority="19613"/>
    <cfRule type="duplicateValues" dxfId="9790" priority="19612"/>
    <cfRule type="duplicateValues" dxfId="9789" priority="19611"/>
    <cfRule type="duplicateValues" dxfId="9788" priority="19610"/>
    <cfRule type="duplicateValues" dxfId="9787" priority="19609"/>
    <cfRule type="duplicateValues" dxfId="9786" priority="19727"/>
    <cfRule type="duplicateValues" dxfId="9785" priority="19728"/>
    <cfRule type="duplicateValues" dxfId="9784" priority="19729"/>
    <cfRule type="duplicateValues" dxfId="9783" priority="19730"/>
    <cfRule type="duplicateValues" dxfId="9782" priority="19731"/>
    <cfRule type="duplicateValues" dxfId="9781" priority="19732"/>
    <cfRule type="duplicateValues" dxfId="9780" priority="19733"/>
    <cfRule type="duplicateValues" dxfId="9779" priority="19734"/>
    <cfRule type="duplicateValues" dxfId="9778" priority="19735"/>
    <cfRule type="duplicateValues" dxfId="9777" priority="19736"/>
    <cfRule type="duplicateValues" dxfId="9776" priority="19737"/>
    <cfRule type="duplicateValues" dxfId="9775" priority="19738"/>
    <cfRule type="duplicateValues" dxfId="9774" priority="19739"/>
    <cfRule type="duplicateValues" dxfId="9773" priority="19740"/>
    <cfRule type="duplicateValues" dxfId="9772" priority="19741"/>
    <cfRule type="duplicateValues" dxfId="9771" priority="19742"/>
    <cfRule type="duplicateValues" dxfId="9770" priority="19743"/>
    <cfRule type="duplicateValues" dxfId="9769" priority="19744"/>
    <cfRule type="duplicateValues" dxfId="9768" priority="19745"/>
    <cfRule type="duplicateValues" dxfId="9767" priority="19746"/>
    <cfRule type="duplicateValues" dxfId="9766" priority="19747"/>
    <cfRule type="duplicateValues" dxfId="9765" priority="19748"/>
    <cfRule type="duplicateValues" dxfId="9764" priority="19749"/>
    <cfRule type="duplicateValues" dxfId="9763" priority="19750"/>
    <cfRule type="duplicateValues" dxfId="9762" priority="19751"/>
    <cfRule type="duplicateValues" dxfId="9761" priority="19752"/>
    <cfRule type="duplicateValues" dxfId="9760" priority="19753"/>
    <cfRule type="duplicateValues" dxfId="9759" priority="19754"/>
    <cfRule type="duplicateValues" dxfId="9758" priority="19755"/>
    <cfRule type="duplicateValues" dxfId="9757" priority="19756"/>
    <cfRule type="duplicateValues" dxfId="9756" priority="19757"/>
    <cfRule type="duplicateValues" dxfId="9755" priority="19758"/>
    <cfRule type="duplicateValues" dxfId="9754" priority="19759"/>
    <cfRule type="duplicateValues" dxfId="9753" priority="19760"/>
    <cfRule type="duplicateValues" dxfId="9752" priority="19761"/>
    <cfRule type="duplicateValues" dxfId="9751" priority="19762"/>
    <cfRule type="duplicateValues" dxfId="9750" priority="19763"/>
    <cfRule type="duplicateValues" dxfId="9749" priority="19764"/>
    <cfRule type="duplicateValues" dxfId="9748" priority="19765"/>
    <cfRule type="duplicateValues" dxfId="9747" priority="19766"/>
    <cfRule type="duplicateValues" dxfId="9746" priority="19767"/>
    <cfRule type="duplicateValues" dxfId="9745" priority="19768"/>
    <cfRule type="duplicateValues" dxfId="9744" priority="19769"/>
    <cfRule type="duplicateValues" dxfId="9743" priority="19770"/>
    <cfRule type="duplicateValues" dxfId="9742" priority="19771"/>
    <cfRule type="duplicateValues" dxfId="9741" priority="19772"/>
    <cfRule type="duplicateValues" dxfId="9740" priority="19773"/>
    <cfRule type="duplicateValues" dxfId="9739" priority="19774"/>
    <cfRule type="duplicateValues" dxfId="9738" priority="19775"/>
    <cfRule type="duplicateValues" dxfId="9737" priority="19776"/>
    <cfRule type="duplicateValues" dxfId="9736" priority="19777"/>
    <cfRule type="duplicateValues" dxfId="9735" priority="19778"/>
    <cfRule type="duplicateValues" dxfId="9734" priority="19779"/>
    <cfRule type="duplicateValues" dxfId="9733" priority="19780"/>
    <cfRule type="duplicateValues" dxfId="9732" priority="19781"/>
    <cfRule type="duplicateValues" dxfId="9731" priority="19782"/>
    <cfRule type="duplicateValues" dxfId="9730" priority="19783"/>
    <cfRule type="duplicateValues" dxfId="9729" priority="19784"/>
    <cfRule type="duplicateValues" dxfId="9728" priority="19785"/>
    <cfRule type="duplicateValues" dxfId="9727" priority="19786"/>
    <cfRule type="duplicateValues" dxfId="9726" priority="19787"/>
    <cfRule type="duplicateValues" dxfId="9725" priority="19788"/>
    <cfRule type="duplicateValues" dxfId="9724" priority="19789"/>
    <cfRule type="duplicateValues" dxfId="9723" priority="19790"/>
    <cfRule type="duplicateValues" dxfId="9722" priority="19791"/>
    <cfRule type="duplicateValues" dxfId="9721" priority="19792"/>
    <cfRule type="duplicateValues" dxfId="9720" priority="19793"/>
    <cfRule type="duplicateValues" dxfId="9719" priority="19794"/>
    <cfRule type="duplicateValues" dxfId="9718" priority="19795"/>
    <cfRule type="duplicateValues" dxfId="9717" priority="19796"/>
    <cfRule type="duplicateValues" dxfId="9716" priority="19797"/>
    <cfRule type="duplicateValues" dxfId="9715" priority="19798"/>
    <cfRule type="duplicateValues" dxfId="9714" priority="19799"/>
    <cfRule type="duplicateValues" dxfId="9713" priority="19800"/>
    <cfRule type="duplicateValues" dxfId="9712" priority="19801"/>
    <cfRule type="duplicateValues" dxfId="9711" priority="19802"/>
    <cfRule type="duplicateValues" dxfId="9710" priority="19803"/>
    <cfRule type="duplicateValues" dxfId="9709" priority="19608"/>
    <cfRule type="duplicateValues" dxfId="9708" priority="19607"/>
    <cfRule type="duplicateValues" dxfId="9707" priority="19606"/>
    <cfRule type="duplicateValues" dxfId="9706" priority="19605"/>
    <cfRule type="duplicateValues" dxfId="9705" priority="19604"/>
    <cfRule type="duplicateValues" dxfId="9704" priority="19603"/>
    <cfRule type="duplicateValues" dxfId="9703" priority="19602"/>
    <cfRule type="duplicateValues" dxfId="9702" priority="19601"/>
    <cfRule type="duplicateValues" dxfId="9701" priority="19600"/>
    <cfRule type="duplicateValues" dxfId="9700" priority="19599"/>
    <cfRule type="duplicateValues" dxfId="9699" priority="19598"/>
    <cfRule type="duplicateValues" dxfId="9698" priority="19597"/>
    <cfRule type="duplicateValues" dxfId="9697" priority="19596"/>
    <cfRule type="duplicateValues" dxfId="9696" priority="19595"/>
    <cfRule type="duplicateValues" dxfId="9695" priority="19594"/>
    <cfRule type="duplicateValues" dxfId="9694" priority="19593"/>
    <cfRule type="duplicateValues" dxfId="9693" priority="19592"/>
    <cfRule type="duplicateValues" dxfId="9692" priority="19591"/>
    <cfRule type="duplicateValues" dxfId="9691" priority="19590"/>
    <cfRule type="duplicateValues" dxfId="9690" priority="19589"/>
    <cfRule type="duplicateValues" dxfId="9689" priority="19588"/>
    <cfRule type="duplicateValues" dxfId="9688" priority="19587"/>
    <cfRule type="duplicateValues" dxfId="9687" priority="19586"/>
    <cfRule type="duplicateValues" dxfId="9686" priority="19585"/>
    <cfRule type="duplicateValues" dxfId="9685" priority="19584"/>
    <cfRule type="duplicateValues" dxfId="9684" priority="19583"/>
    <cfRule type="duplicateValues" dxfId="9683" priority="19582"/>
    <cfRule type="duplicateValues" dxfId="9682" priority="19581"/>
    <cfRule type="duplicateValues" dxfId="9681" priority="19580"/>
    <cfRule type="duplicateValues" dxfId="9680" priority="19579"/>
    <cfRule type="duplicateValues" dxfId="9679" priority="19578"/>
    <cfRule type="duplicateValues" dxfId="9678" priority="19577"/>
    <cfRule type="duplicateValues" dxfId="9677" priority="19576"/>
    <cfRule type="duplicateValues" dxfId="9676" priority="19575"/>
    <cfRule type="duplicateValues" dxfId="9675" priority="19574"/>
    <cfRule type="duplicateValues" dxfId="9674" priority="19573"/>
    <cfRule type="duplicateValues" dxfId="9673" priority="19572"/>
    <cfRule type="duplicateValues" dxfId="9672" priority="19571"/>
    <cfRule type="duplicateValues" dxfId="9671" priority="19570"/>
    <cfRule type="duplicateValues" dxfId="9670" priority="19569"/>
    <cfRule type="duplicateValues" dxfId="9669" priority="19568"/>
    <cfRule type="duplicateValues" dxfId="9668" priority="19567"/>
    <cfRule type="duplicateValues" dxfId="9667" priority="19566"/>
    <cfRule type="duplicateValues" dxfId="9666" priority="19565"/>
    <cfRule type="duplicateValues" dxfId="9665" priority="19564"/>
    <cfRule type="duplicateValues" dxfId="9664" priority="19563"/>
    <cfRule type="duplicateValues" dxfId="9663" priority="19562"/>
    <cfRule type="duplicateValues" dxfId="9662" priority="19561"/>
    <cfRule type="duplicateValues" dxfId="9661" priority="19560"/>
    <cfRule type="duplicateValues" dxfId="9660" priority="19559"/>
    <cfRule type="duplicateValues" dxfId="9659" priority="19558"/>
    <cfRule type="duplicateValues" dxfId="9658" priority="19557"/>
    <cfRule type="duplicateValues" dxfId="9657" priority="19556"/>
    <cfRule type="duplicateValues" dxfId="9656" priority="19555"/>
    <cfRule type="duplicateValues" dxfId="9655" priority="19554"/>
    <cfRule type="duplicateValues" dxfId="9654" priority="19553"/>
    <cfRule type="duplicateValues" dxfId="9653" priority="19552"/>
    <cfRule type="duplicateValues" dxfId="9652" priority="19551"/>
    <cfRule type="duplicateValues" dxfId="9651" priority="19550"/>
    <cfRule type="duplicateValues" dxfId="9650" priority="19549"/>
    <cfRule type="duplicateValues" dxfId="9649" priority="19548"/>
    <cfRule type="duplicateValues" dxfId="9648" priority="19547"/>
    <cfRule type="duplicateValues" dxfId="9647" priority="19546"/>
    <cfRule type="duplicateValues" dxfId="9646" priority="19545"/>
    <cfRule type="duplicateValues" dxfId="9645" priority="19544"/>
    <cfRule type="duplicateValues" dxfId="9644" priority="19543"/>
    <cfRule type="duplicateValues" dxfId="9643" priority="19542"/>
    <cfRule type="duplicateValues" dxfId="9642" priority="19541"/>
    <cfRule type="duplicateValues" dxfId="9641" priority="19540"/>
    <cfRule type="duplicateValues" dxfId="9640" priority="19539"/>
    <cfRule type="duplicateValues" dxfId="9639" priority="19538"/>
    <cfRule type="duplicateValues" dxfId="9638" priority="19537"/>
    <cfRule type="duplicateValues" dxfId="9637" priority="19536"/>
    <cfRule type="duplicateValues" dxfId="9636" priority="19535"/>
    <cfRule type="duplicateValues" dxfId="9635" priority="19534"/>
    <cfRule type="duplicateValues" dxfId="9634" priority="19401"/>
    <cfRule type="duplicateValues" dxfId="9633" priority="19400"/>
    <cfRule type="duplicateValues" dxfId="9632" priority="19399"/>
    <cfRule type="duplicateValues" dxfId="9631" priority="19398"/>
    <cfRule type="duplicateValues" dxfId="9630" priority="19397"/>
    <cfRule type="duplicateValues" dxfId="9629" priority="19396"/>
    <cfRule type="duplicateValues" dxfId="9628" priority="19395"/>
    <cfRule type="duplicateValues" dxfId="9627" priority="19394"/>
    <cfRule type="duplicateValues" dxfId="9626" priority="19393"/>
    <cfRule type="duplicateValues" dxfId="9625" priority="19392"/>
    <cfRule type="duplicateValues" dxfId="9624" priority="19391"/>
    <cfRule type="duplicateValues" dxfId="9623" priority="19390"/>
    <cfRule type="duplicateValues" dxfId="9622" priority="19389"/>
    <cfRule type="duplicateValues" dxfId="9621" priority="19388"/>
    <cfRule type="duplicateValues" dxfId="9620" priority="19387"/>
    <cfRule type="duplicateValues" dxfId="9619" priority="19386"/>
    <cfRule type="duplicateValues" dxfId="9618" priority="19385"/>
    <cfRule type="duplicateValues" dxfId="9617" priority="19384"/>
    <cfRule type="duplicateValues" dxfId="9616" priority="19383"/>
    <cfRule type="duplicateValues" dxfId="9615" priority="19382"/>
    <cfRule type="duplicateValues" dxfId="9614" priority="19381"/>
    <cfRule type="duplicateValues" dxfId="9613" priority="19380"/>
    <cfRule type="duplicateValues" dxfId="9612" priority="19379"/>
    <cfRule type="duplicateValues" dxfId="9611" priority="19378"/>
    <cfRule type="duplicateValues" dxfId="9610" priority="19377"/>
    <cfRule type="duplicateValues" dxfId="9609" priority="19376"/>
    <cfRule type="duplicateValues" dxfId="9608" priority="19375"/>
    <cfRule type="duplicateValues" dxfId="9607" priority="19374"/>
    <cfRule type="duplicateValues" dxfId="9606" priority="19373"/>
    <cfRule type="duplicateValues" dxfId="9605" priority="19372"/>
    <cfRule type="duplicateValues" dxfId="9604" priority="19371"/>
    <cfRule type="duplicateValues" dxfId="9603" priority="19370"/>
    <cfRule type="duplicateValues" dxfId="9602" priority="19369"/>
    <cfRule type="duplicateValues" dxfId="9601" priority="19368"/>
    <cfRule type="duplicateValues" dxfId="9600" priority="19367"/>
    <cfRule type="duplicateValues" dxfId="9599" priority="19366"/>
    <cfRule type="duplicateValues" dxfId="9598" priority="19365"/>
    <cfRule type="duplicateValues" dxfId="9597" priority="19364"/>
    <cfRule type="duplicateValues" dxfId="9596" priority="19363"/>
    <cfRule type="duplicateValues" dxfId="9595" priority="19362"/>
    <cfRule type="duplicateValues" dxfId="9594" priority="19361"/>
    <cfRule type="duplicateValues" dxfId="9593" priority="19360"/>
    <cfRule type="duplicateValues" dxfId="9592" priority="19359"/>
    <cfRule type="duplicateValues" dxfId="9591" priority="19358"/>
    <cfRule type="duplicateValues" dxfId="9590" priority="19357"/>
    <cfRule type="duplicateValues" dxfId="9589" priority="19356"/>
    <cfRule type="duplicateValues" dxfId="9588" priority="19355"/>
    <cfRule type="duplicateValues" dxfId="9587" priority="19354"/>
    <cfRule type="duplicateValues" dxfId="9586" priority="19353"/>
    <cfRule type="duplicateValues" dxfId="9585" priority="19352"/>
    <cfRule type="duplicateValues" dxfId="9584" priority="19351"/>
    <cfRule type="duplicateValues" dxfId="9583" priority="19350"/>
    <cfRule type="duplicateValues" dxfId="9582" priority="19349"/>
    <cfRule type="duplicateValues" dxfId="9581" priority="19348"/>
    <cfRule type="duplicateValues" dxfId="9580" priority="19347"/>
    <cfRule type="duplicateValues" dxfId="9579" priority="19346"/>
    <cfRule type="duplicateValues" dxfId="9578" priority="19345"/>
    <cfRule type="duplicateValues" dxfId="9577" priority="19344"/>
    <cfRule type="duplicateValues" dxfId="9576" priority="19343"/>
    <cfRule type="duplicateValues" dxfId="9575" priority="19342"/>
    <cfRule type="duplicateValues" dxfId="9574" priority="19341"/>
    <cfRule type="duplicateValues" dxfId="9573" priority="19340"/>
    <cfRule type="duplicateValues" dxfId="9572" priority="19339"/>
    <cfRule type="duplicateValues" dxfId="9571" priority="19338"/>
    <cfRule type="duplicateValues" dxfId="9570" priority="19337"/>
    <cfRule type="duplicateValues" dxfId="9569" priority="19336"/>
    <cfRule type="duplicateValues" dxfId="9568" priority="19335"/>
    <cfRule type="duplicateValues" dxfId="9567" priority="19334"/>
    <cfRule type="duplicateValues" dxfId="9566" priority="19333"/>
    <cfRule type="duplicateValues" dxfId="9565" priority="19332"/>
    <cfRule type="duplicateValues" dxfId="9564" priority="19331"/>
    <cfRule type="duplicateValues" dxfId="9563" priority="19330"/>
    <cfRule type="duplicateValues" dxfId="9562" priority="19329"/>
    <cfRule type="duplicateValues" dxfId="9561" priority="19328"/>
    <cfRule type="duplicateValues" dxfId="9560" priority="19327"/>
    <cfRule type="duplicateValues" dxfId="9559" priority="19326"/>
    <cfRule type="duplicateValues" dxfId="9558" priority="19325"/>
    <cfRule type="duplicateValues" dxfId="9557" priority="19324"/>
    <cfRule type="duplicateValues" dxfId="9556" priority="19322"/>
    <cfRule type="duplicateValues" dxfId="9555" priority="19321"/>
    <cfRule type="duplicateValues" dxfId="9554" priority="19320"/>
    <cfRule type="duplicateValues" dxfId="9553" priority="19319"/>
    <cfRule type="duplicateValues" dxfId="9552" priority="19318"/>
    <cfRule type="duplicateValues" dxfId="9551" priority="19317"/>
    <cfRule type="duplicateValues" dxfId="9550" priority="19316"/>
    <cfRule type="duplicateValues" dxfId="9549" priority="19315"/>
    <cfRule type="duplicateValues" dxfId="9548" priority="19314"/>
    <cfRule type="duplicateValues" dxfId="9547" priority="19313"/>
    <cfRule type="duplicateValues" dxfId="9546" priority="19312"/>
    <cfRule type="duplicateValues" dxfId="9545" priority="19311"/>
    <cfRule type="duplicateValues" dxfId="9544" priority="19310"/>
    <cfRule type="duplicateValues" dxfId="9543" priority="19309"/>
    <cfRule type="duplicateValues" dxfId="9542" priority="19308"/>
    <cfRule type="duplicateValues" dxfId="9541" priority="19307"/>
    <cfRule type="duplicateValues" dxfId="9540" priority="19306"/>
    <cfRule type="duplicateValues" dxfId="9539" priority="19305"/>
    <cfRule type="duplicateValues" dxfId="9538" priority="19304"/>
    <cfRule type="duplicateValues" dxfId="9537" priority="19303"/>
    <cfRule type="duplicateValues" dxfId="9536" priority="19302"/>
    <cfRule type="duplicateValues" dxfId="9535" priority="19301"/>
    <cfRule type="duplicateValues" dxfId="9534" priority="19300"/>
    <cfRule type="duplicateValues" dxfId="9533" priority="19299"/>
    <cfRule type="duplicateValues" dxfId="9532" priority="19298"/>
    <cfRule type="duplicateValues" dxfId="9531" priority="19297"/>
    <cfRule type="duplicateValues" dxfId="9530" priority="19296"/>
    <cfRule type="duplicateValues" dxfId="9529" priority="19295"/>
    <cfRule type="duplicateValues" dxfId="9528" priority="19294"/>
    <cfRule type="duplicateValues" dxfId="9527" priority="19293"/>
    <cfRule type="duplicateValues" dxfId="9526" priority="19292"/>
    <cfRule type="duplicateValues" dxfId="9525" priority="19291"/>
    <cfRule type="duplicateValues" dxfId="9524" priority="19290"/>
    <cfRule type="duplicateValues" dxfId="9523" priority="19289"/>
    <cfRule type="duplicateValues" dxfId="9522" priority="19288"/>
    <cfRule type="duplicateValues" dxfId="9521" priority="19287"/>
    <cfRule type="duplicateValues" dxfId="9520" priority="19286"/>
    <cfRule type="duplicateValues" dxfId="9519" priority="19285"/>
    <cfRule type="duplicateValues" dxfId="9518" priority="19284"/>
    <cfRule type="duplicateValues" dxfId="9517" priority="19283"/>
    <cfRule type="duplicateValues" dxfId="9516" priority="19282"/>
    <cfRule type="duplicateValues" dxfId="9515" priority="19281"/>
    <cfRule type="duplicateValues" dxfId="9514" priority="19280"/>
    <cfRule type="duplicateValues" dxfId="9513" priority="19279"/>
    <cfRule type="duplicateValues" dxfId="9512" priority="19278"/>
    <cfRule type="duplicateValues" dxfId="9511" priority="19277"/>
    <cfRule type="duplicateValues" dxfId="9510" priority="19276"/>
    <cfRule type="duplicateValues" dxfId="9509" priority="19275"/>
    <cfRule type="duplicateValues" dxfId="9508" priority="19274"/>
    <cfRule type="duplicateValues" dxfId="9507" priority="19273"/>
    <cfRule type="duplicateValues" dxfId="9506" priority="19272"/>
    <cfRule type="duplicateValues" dxfId="9505" priority="19271"/>
    <cfRule type="duplicateValues" dxfId="9504" priority="19270"/>
    <cfRule type="duplicateValues" dxfId="9503" priority="19269"/>
    <cfRule type="duplicateValues" dxfId="9502" priority="19268"/>
    <cfRule type="duplicateValues" dxfId="9501" priority="19267"/>
    <cfRule type="duplicateValues" dxfId="9500" priority="19266"/>
    <cfRule type="duplicateValues" dxfId="9499" priority="19265"/>
    <cfRule type="duplicateValues" dxfId="9498" priority="19264"/>
    <cfRule type="duplicateValues" dxfId="9497" priority="19263"/>
    <cfRule type="duplicateValues" dxfId="9496" priority="19262"/>
    <cfRule type="duplicateValues" dxfId="9495" priority="19261"/>
    <cfRule type="duplicateValues" dxfId="9494" priority="19260"/>
    <cfRule type="duplicateValues" dxfId="9493" priority="19259"/>
    <cfRule type="duplicateValues" dxfId="9492" priority="19258"/>
    <cfRule type="duplicateValues" dxfId="9491" priority="19257"/>
    <cfRule type="duplicateValues" dxfId="9490" priority="19256"/>
    <cfRule type="duplicateValues" dxfId="9489" priority="19255"/>
    <cfRule type="duplicateValues" dxfId="9488" priority="19254"/>
    <cfRule type="duplicateValues" dxfId="9487" priority="19253"/>
    <cfRule type="duplicateValues" dxfId="9486" priority="19252"/>
    <cfRule type="duplicateValues" dxfId="9485" priority="19251"/>
    <cfRule type="duplicateValues" dxfId="9484" priority="19250"/>
    <cfRule type="duplicateValues" dxfId="9483" priority="19249"/>
    <cfRule type="duplicateValues" dxfId="9482" priority="19248"/>
    <cfRule type="duplicateValues" dxfId="9481" priority="19247"/>
    <cfRule type="duplicateValues" dxfId="9480" priority="19246"/>
    <cfRule type="duplicateValues" dxfId="9479" priority="19245"/>
    <cfRule type="duplicateValues" dxfId="9478" priority="19244"/>
    <cfRule type="duplicateValues" dxfId="9477" priority="19243"/>
    <cfRule type="duplicateValues" dxfId="9476" priority="19242"/>
    <cfRule type="duplicateValues" dxfId="9475" priority="19241"/>
    <cfRule type="duplicateValues" dxfId="9474" priority="19240"/>
    <cfRule type="duplicateValues" dxfId="9473" priority="19239"/>
    <cfRule type="duplicateValues" dxfId="9472" priority="19238"/>
    <cfRule type="duplicateValues" dxfId="9471" priority="19237"/>
    <cfRule type="duplicateValues" dxfId="9470" priority="19236"/>
    <cfRule type="duplicateValues" dxfId="9469" priority="19235"/>
    <cfRule type="duplicateValues" dxfId="9468" priority="19234"/>
    <cfRule type="duplicateValues" dxfId="9467" priority="19233"/>
    <cfRule type="duplicateValues" dxfId="9466" priority="19232"/>
    <cfRule type="duplicateValues" dxfId="9465" priority="19231"/>
    <cfRule type="duplicateValues" dxfId="9464" priority="19230"/>
    <cfRule type="duplicateValues" dxfId="9463" priority="19229"/>
    <cfRule type="duplicateValues" dxfId="9462" priority="19228"/>
    <cfRule type="duplicateValues" dxfId="9461" priority="19227"/>
    <cfRule type="duplicateValues" dxfId="9460" priority="19226"/>
    <cfRule type="duplicateValues" dxfId="9459" priority="19225"/>
    <cfRule type="duplicateValues" dxfId="9458" priority="19224"/>
    <cfRule type="duplicateValues" dxfId="9457" priority="19223"/>
    <cfRule type="duplicateValues" dxfId="9456" priority="19222"/>
    <cfRule type="duplicateValues" dxfId="9455" priority="19221"/>
    <cfRule type="duplicateValues" dxfId="9454" priority="19220"/>
    <cfRule type="duplicateValues" dxfId="9453" priority="19219"/>
    <cfRule type="duplicateValues" dxfId="9452" priority="19218"/>
    <cfRule type="duplicateValues" dxfId="9451" priority="19217"/>
    <cfRule type="duplicateValues" dxfId="9450" priority="19216"/>
    <cfRule type="duplicateValues" dxfId="9449" priority="19215"/>
    <cfRule type="duplicateValues" dxfId="9448" priority="19214"/>
    <cfRule type="duplicateValues" dxfId="9447" priority="19213"/>
    <cfRule type="duplicateValues" dxfId="9446" priority="19212"/>
    <cfRule type="duplicateValues" dxfId="9445" priority="19211"/>
    <cfRule type="duplicateValues" dxfId="9444" priority="19210"/>
    <cfRule type="duplicateValues" dxfId="9443" priority="19209"/>
    <cfRule type="duplicateValues" dxfId="9442" priority="19208"/>
    <cfRule type="duplicateValues" dxfId="9441" priority="19207"/>
    <cfRule type="duplicateValues" dxfId="9440" priority="19206"/>
    <cfRule type="duplicateValues" dxfId="9439" priority="19205"/>
    <cfRule type="duplicateValues" dxfId="9438" priority="19204"/>
    <cfRule type="duplicateValues" dxfId="9437" priority="19203"/>
    <cfRule type="duplicateValues" dxfId="9436" priority="19202"/>
    <cfRule type="duplicateValues" dxfId="9435" priority="19201"/>
    <cfRule type="duplicateValues" dxfId="9434" priority="19200"/>
    <cfRule type="duplicateValues" dxfId="9433" priority="19199"/>
    <cfRule type="duplicateValues" dxfId="9432" priority="19198"/>
    <cfRule type="duplicateValues" dxfId="9431" priority="19197"/>
    <cfRule type="duplicateValues" dxfId="9430" priority="19196"/>
    <cfRule type="duplicateValues" dxfId="9429" priority="19195"/>
    <cfRule type="duplicateValues" dxfId="9428" priority="19194"/>
    <cfRule type="duplicateValues" dxfId="9427" priority="19193"/>
    <cfRule type="duplicateValues" dxfId="9426" priority="19192"/>
    <cfRule type="duplicateValues" dxfId="9425" priority="19191"/>
    <cfRule type="duplicateValues" dxfId="9424" priority="19190"/>
    <cfRule type="duplicateValues" dxfId="9423" priority="19189"/>
    <cfRule type="duplicateValues" dxfId="9422" priority="19188"/>
    <cfRule type="duplicateValues" dxfId="9421" priority="19187"/>
    <cfRule type="duplicateValues" dxfId="9420" priority="19186"/>
    <cfRule type="duplicateValues" dxfId="9419" priority="19185"/>
    <cfRule type="duplicateValues" dxfId="9418" priority="19184"/>
    <cfRule type="duplicateValues" dxfId="9417" priority="19183"/>
    <cfRule type="duplicateValues" dxfId="9416" priority="19182"/>
    <cfRule type="duplicateValues" dxfId="9415" priority="19181"/>
    <cfRule type="duplicateValues" dxfId="9414" priority="19180"/>
    <cfRule type="duplicateValues" dxfId="9413" priority="19179"/>
    <cfRule type="duplicateValues" dxfId="9412" priority="19178"/>
    <cfRule type="duplicateValues" dxfId="9411" priority="19177"/>
    <cfRule type="duplicateValues" dxfId="9410" priority="19176"/>
    <cfRule type="duplicateValues" dxfId="9409" priority="19175"/>
    <cfRule type="duplicateValues" dxfId="9408" priority="19174"/>
    <cfRule type="duplicateValues" dxfId="9407" priority="19173"/>
    <cfRule type="duplicateValues" dxfId="9406" priority="19172"/>
    <cfRule type="duplicateValues" dxfId="9405" priority="19171"/>
    <cfRule type="duplicateValues" dxfId="9404" priority="19170"/>
    <cfRule type="duplicateValues" dxfId="9403" priority="19169"/>
    <cfRule type="duplicateValues" dxfId="9402" priority="19168"/>
    <cfRule type="duplicateValues" dxfId="9401" priority="19167"/>
    <cfRule type="duplicateValues" dxfId="9400" priority="19166"/>
    <cfRule type="duplicateValues" dxfId="9399" priority="19165"/>
    <cfRule type="duplicateValues" dxfId="9398" priority="19164"/>
    <cfRule type="duplicateValues" dxfId="9397" priority="19163"/>
    <cfRule type="duplicateValues" dxfId="9396" priority="19162"/>
    <cfRule type="duplicateValues" dxfId="9395" priority="19161"/>
    <cfRule type="duplicateValues" dxfId="9394" priority="19160"/>
    <cfRule type="duplicateValues" dxfId="9393" priority="19159"/>
    <cfRule type="duplicateValues" dxfId="9392" priority="19158"/>
    <cfRule type="duplicateValues" dxfId="9391" priority="19157"/>
    <cfRule type="duplicateValues" dxfId="9390" priority="19156"/>
    <cfRule type="duplicateValues" dxfId="9389" priority="19155"/>
    <cfRule type="duplicateValues" dxfId="9388" priority="19154"/>
    <cfRule type="duplicateValues" dxfId="9387" priority="19153"/>
    <cfRule type="duplicateValues" dxfId="9386" priority="19152"/>
    <cfRule type="duplicateValues" dxfId="9385" priority="19151"/>
    <cfRule type="duplicateValues" dxfId="9384" priority="19150"/>
    <cfRule type="duplicateValues" dxfId="9383" priority="19149"/>
    <cfRule type="duplicateValues" dxfId="9382" priority="19119"/>
  </conditionalFormatting>
  <conditionalFormatting sqref="P99">
    <cfRule type="duplicateValues" dxfId="9381" priority="4968"/>
    <cfRule type="duplicateValues" dxfId="9380" priority="4967"/>
    <cfRule type="duplicateValues" dxfId="9379" priority="4966"/>
    <cfRule type="duplicateValues" dxfId="9378" priority="4965"/>
    <cfRule type="duplicateValues" dxfId="9377" priority="4964"/>
    <cfRule type="duplicateValues" dxfId="9376" priority="4963"/>
    <cfRule type="duplicateValues" dxfId="9375" priority="4962"/>
    <cfRule type="duplicateValues" dxfId="9374" priority="4961"/>
    <cfRule type="duplicateValues" dxfId="9373" priority="4960"/>
    <cfRule type="duplicateValues" dxfId="9372" priority="4959"/>
    <cfRule type="duplicateValues" dxfId="9371" priority="4958"/>
    <cfRule type="duplicateValues" dxfId="9370" priority="4957"/>
    <cfRule type="duplicateValues" dxfId="9369" priority="4956"/>
    <cfRule type="duplicateValues" dxfId="9368" priority="4955"/>
    <cfRule type="duplicateValues" dxfId="9367" priority="4954"/>
    <cfRule type="duplicateValues" dxfId="9366" priority="4953"/>
    <cfRule type="duplicateValues" dxfId="9365" priority="4952"/>
    <cfRule type="duplicateValues" dxfId="9364" priority="4951"/>
    <cfRule type="duplicateValues" dxfId="9363" priority="4950"/>
    <cfRule type="duplicateValues" dxfId="9362" priority="4949"/>
    <cfRule type="duplicateValues" dxfId="9361" priority="4948"/>
    <cfRule type="duplicateValues" dxfId="9360" priority="4947"/>
    <cfRule type="duplicateValues" dxfId="9359" priority="4946"/>
    <cfRule type="duplicateValues" dxfId="9358" priority="4945"/>
    <cfRule type="duplicateValues" dxfId="9357" priority="4944"/>
    <cfRule type="duplicateValues" dxfId="9356" priority="4943"/>
    <cfRule type="duplicateValues" dxfId="9355" priority="4942"/>
    <cfRule type="duplicateValues" dxfId="9354" priority="4941"/>
    <cfRule type="duplicateValues" dxfId="9353" priority="4940"/>
    <cfRule type="duplicateValues" dxfId="9352" priority="4939"/>
    <cfRule type="duplicateValues" dxfId="9351" priority="4938"/>
    <cfRule type="duplicateValues" dxfId="9350" priority="4937"/>
    <cfRule type="duplicateValues" dxfId="9349" priority="4936"/>
    <cfRule type="duplicateValues" dxfId="9348" priority="4935"/>
    <cfRule type="duplicateValues" dxfId="9347" priority="4934"/>
    <cfRule type="duplicateValues" dxfId="9346" priority="4933"/>
    <cfRule type="duplicateValues" dxfId="9345" priority="4932"/>
    <cfRule type="duplicateValues" dxfId="9344" priority="4931"/>
    <cfRule type="duplicateValues" dxfId="9343" priority="4930"/>
    <cfRule type="duplicateValues" dxfId="9342" priority="4929"/>
    <cfRule type="duplicateValues" dxfId="9341" priority="4928"/>
    <cfRule type="duplicateValues" dxfId="9340" priority="4927"/>
    <cfRule type="duplicateValues" dxfId="9339" priority="4926"/>
    <cfRule type="duplicateValues" dxfId="9338" priority="4925"/>
    <cfRule type="duplicateValues" dxfId="9337" priority="4924"/>
    <cfRule type="duplicateValues" dxfId="9336" priority="4923"/>
    <cfRule type="duplicateValues" dxfId="9335" priority="4922"/>
    <cfRule type="duplicateValues" dxfId="9334" priority="4921"/>
    <cfRule type="duplicateValues" dxfId="9333" priority="4920"/>
    <cfRule type="duplicateValues" dxfId="9332" priority="4919"/>
    <cfRule type="duplicateValues" dxfId="9331" priority="4918"/>
    <cfRule type="duplicateValues" dxfId="9330" priority="4917"/>
    <cfRule type="duplicateValues" dxfId="9329" priority="4916"/>
    <cfRule type="duplicateValues" dxfId="9328" priority="4915"/>
    <cfRule type="duplicateValues" dxfId="9327" priority="4914"/>
    <cfRule type="duplicateValues" dxfId="9326" priority="4913"/>
    <cfRule type="duplicateValues" dxfId="9325" priority="4912"/>
    <cfRule type="duplicateValues" dxfId="9324" priority="4911"/>
    <cfRule type="duplicateValues" dxfId="9323" priority="4910"/>
    <cfRule type="duplicateValues" dxfId="9322" priority="4909"/>
    <cfRule type="duplicateValues" dxfId="9321" priority="4908"/>
    <cfRule type="duplicateValues" dxfId="9320" priority="4907"/>
    <cfRule type="duplicateValues" dxfId="9319" priority="4906"/>
    <cfRule type="duplicateValues" dxfId="9318" priority="4905"/>
    <cfRule type="duplicateValues" dxfId="9317" priority="4904"/>
    <cfRule type="duplicateValues" dxfId="9316" priority="4903"/>
    <cfRule type="duplicateValues" dxfId="9315" priority="4902"/>
    <cfRule type="duplicateValues" dxfId="9314" priority="4901"/>
    <cfRule type="duplicateValues" dxfId="9313" priority="4900"/>
    <cfRule type="duplicateValues" dxfId="9312" priority="4899"/>
    <cfRule type="duplicateValues" dxfId="9311" priority="4898"/>
    <cfRule type="duplicateValues" dxfId="9310" priority="4897"/>
    <cfRule type="duplicateValues" dxfId="9309" priority="4896"/>
    <cfRule type="duplicateValues" dxfId="9308" priority="4895"/>
    <cfRule type="duplicateValues" dxfId="9307" priority="4894"/>
    <cfRule type="duplicateValues" dxfId="9306" priority="4893"/>
    <cfRule type="duplicateValues" dxfId="9305" priority="4892"/>
    <cfRule type="duplicateValues" dxfId="9304" priority="4891"/>
    <cfRule type="duplicateValues" dxfId="9303" priority="4890"/>
    <cfRule type="duplicateValues" dxfId="9302" priority="4889"/>
    <cfRule type="duplicateValues" dxfId="9301" priority="4888"/>
    <cfRule type="duplicateValues" dxfId="9300" priority="4887"/>
    <cfRule type="duplicateValues" dxfId="9299" priority="4886"/>
    <cfRule type="duplicateValues" dxfId="9298" priority="4885"/>
    <cfRule type="duplicateValues" dxfId="9297" priority="4884"/>
    <cfRule type="duplicateValues" dxfId="9296" priority="4883"/>
    <cfRule type="duplicateValues" dxfId="9295" priority="4882"/>
    <cfRule type="duplicateValues" dxfId="9294" priority="4881"/>
    <cfRule type="duplicateValues" dxfId="9293" priority="4880"/>
    <cfRule type="duplicateValues" dxfId="9292" priority="4879"/>
    <cfRule type="duplicateValues" dxfId="9291" priority="4878"/>
    <cfRule type="duplicateValues" dxfId="9290" priority="4877"/>
    <cfRule type="duplicateValues" dxfId="9289" priority="4876"/>
    <cfRule type="duplicateValues" dxfId="9288" priority="4875"/>
    <cfRule type="duplicateValues" dxfId="9287" priority="4874"/>
    <cfRule type="duplicateValues" dxfId="9286" priority="4873"/>
    <cfRule type="duplicateValues" dxfId="9285" priority="4872"/>
    <cfRule type="duplicateValues" dxfId="9284" priority="4871"/>
    <cfRule type="duplicateValues" dxfId="9283" priority="4870"/>
    <cfRule type="duplicateValues" dxfId="9282" priority="4869"/>
    <cfRule type="duplicateValues" dxfId="9281" priority="4868"/>
    <cfRule type="duplicateValues" dxfId="9280" priority="4867"/>
    <cfRule type="duplicateValues" dxfId="9279" priority="4866"/>
    <cfRule type="duplicateValues" dxfId="9278" priority="4865"/>
    <cfRule type="duplicateValues" dxfId="9277" priority="4864"/>
    <cfRule type="duplicateValues" dxfId="9276" priority="4863"/>
    <cfRule type="duplicateValues" dxfId="9275" priority="4862"/>
    <cfRule type="duplicateValues" dxfId="9274" priority="4861"/>
    <cfRule type="duplicateValues" dxfId="9273" priority="4860"/>
    <cfRule type="duplicateValues" dxfId="9272" priority="4859"/>
    <cfRule type="duplicateValues" dxfId="9271" priority="4858"/>
    <cfRule type="duplicateValues" dxfId="9270" priority="4857"/>
    <cfRule type="duplicateValues" dxfId="9269" priority="4856"/>
    <cfRule type="duplicateValues" dxfId="9268" priority="4855"/>
    <cfRule type="duplicateValues" dxfId="9267" priority="4854"/>
    <cfRule type="duplicateValues" dxfId="9266" priority="4853"/>
    <cfRule type="duplicateValues" dxfId="9265" priority="4852"/>
    <cfRule type="duplicateValues" dxfId="9264" priority="4851"/>
    <cfRule type="duplicateValues" dxfId="9263" priority="4850"/>
    <cfRule type="duplicateValues" dxfId="9262" priority="4849"/>
    <cfRule type="duplicateValues" dxfId="9261" priority="4848"/>
    <cfRule type="duplicateValues" dxfId="9260" priority="4847"/>
    <cfRule type="duplicateValues" dxfId="9259" priority="4846"/>
    <cfRule type="duplicateValues" dxfId="9258" priority="4845"/>
    <cfRule type="duplicateValues" dxfId="9257" priority="4844"/>
    <cfRule type="duplicateValues" dxfId="9256" priority="4843"/>
    <cfRule type="duplicateValues" dxfId="9255" priority="4842"/>
    <cfRule type="duplicateValues" dxfId="9254" priority="4841"/>
    <cfRule type="duplicateValues" dxfId="9253" priority="4840"/>
    <cfRule type="duplicateValues" dxfId="9252" priority="4839"/>
    <cfRule type="duplicateValues" dxfId="9251" priority="4838"/>
    <cfRule type="duplicateValues" dxfId="9250" priority="4837"/>
    <cfRule type="duplicateValues" dxfId="9249" priority="4836"/>
    <cfRule type="duplicateValues" dxfId="9248" priority="4835"/>
    <cfRule type="duplicateValues" dxfId="9247" priority="4834"/>
    <cfRule type="duplicateValues" dxfId="9246" priority="4833"/>
    <cfRule type="duplicateValues" dxfId="9245" priority="4832"/>
    <cfRule type="duplicateValues" dxfId="9244" priority="4831"/>
    <cfRule type="duplicateValues" dxfId="9243" priority="4830"/>
    <cfRule type="duplicateValues" dxfId="9242" priority="4829"/>
    <cfRule type="duplicateValues" dxfId="9241" priority="4828"/>
    <cfRule type="duplicateValues" dxfId="9240" priority="4827"/>
    <cfRule type="duplicateValues" dxfId="9239" priority="4826"/>
    <cfRule type="duplicateValues" dxfId="9238" priority="4825"/>
    <cfRule type="duplicateValues" dxfId="9237" priority="4824"/>
    <cfRule type="duplicateValues" dxfId="9236" priority="4823"/>
    <cfRule type="duplicateValues" dxfId="9235" priority="4822"/>
    <cfRule type="duplicateValues" dxfId="9234" priority="4821"/>
    <cfRule type="duplicateValues" dxfId="9233" priority="4820"/>
    <cfRule type="duplicateValues" dxfId="9232" priority="4819"/>
    <cfRule type="duplicateValues" dxfId="9231" priority="4818"/>
    <cfRule type="duplicateValues" dxfId="9230" priority="4817"/>
    <cfRule type="duplicateValues" dxfId="9229" priority="4816"/>
    <cfRule type="duplicateValues" dxfId="9228" priority="4815"/>
    <cfRule type="duplicateValues" dxfId="9227" priority="4814"/>
    <cfRule type="duplicateValues" dxfId="9226" priority="4813"/>
    <cfRule type="duplicateValues" dxfId="9225" priority="4812"/>
    <cfRule type="duplicateValues" dxfId="9224" priority="4811"/>
    <cfRule type="duplicateValues" dxfId="9223" priority="4810"/>
    <cfRule type="duplicateValues" dxfId="9222" priority="4809"/>
    <cfRule type="duplicateValues" dxfId="9221" priority="4808"/>
    <cfRule type="duplicateValues" dxfId="9220" priority="4807"/>
    <cfRule type="duplicateValues" dxfId="9219" priority="4806"/>
    <cfRule type="duplicateValues" dxfId="9218" priority="4805"/>
    <cfRule type="duplicateValues" dxfId="9217" priority="4804"/>
    <cfRule type="duplicateValues" dxfId="9216" priority="4803"/>
    <cfRule type="duplicateValues" dxfId="9215" priority="4802"/>
    <cfRule type="duplicateValues" dxfId="9214" priority="4801"/>
    <cfRule type="duplicateValues" dxfId="9213" priority="4800"/>
    <cfRule type="duplicateValues" dxfId="9212" priority="4799"/>
    <cfRule type="duplicateValues" dxfId="9211" priority="4798"/>
    <cfRule type="duplicateValues" dxfId="9210" priority="4797"/>
    <cfRule type="duplicateValues" dxfId="9209" priority="4796"/>
    <cfRule type="duplicateValues" dxfId="9208" priority="4795"/>
    <cfRule type="duplicateValues" dxfId="9207" priority="4794"/>
    <cfRule type="duplicateValues" dxfId="9206" priority="4793"/>
    <cfRule type="duplicateValues" dxfId="9205" priority="4792"/>
    <cfRule type="duplicateValues" dxfId="9204" priority="4791"/>
    <cfRule type="duplicateValues" dxfId="9203" priority="4790"/>
    <cfRule type="duplicateValues" dxfId="9202" priority="4789"/>
    <cfRule type="duplicateValues" dxfId="9201" priority="4788"/>
    <cfRule type="duplicateValues" dxfId="9200" priority="4787"/>
    <cfRule type="duplicateValues" dxfId="9199" priority="4786"/>
    <cfRule type="duplicateValues" dxfId="9198" priority="4785"/>
    <cfRule type="duplicateValues" dxfId="9197" priority="4784"/>
    <cfRule type="duplicateValues" dxfId="9196" priority="4783"/>
    <cfRule type="duplicateValues" dxfId="9195" priority="4782"/>
    <cfRule type="duplicateValues" dxfId="9194" priority="4781"/>
    <cfRule type="duplicateValues" dxfId="9193" priority="4780"/>
    <cfRule type="duplicateValues" dxfId="9192" priority="4779"/>
    <cfRule type="duplicateValues" dxfId="9191" priority="4778"/>
    <cfRule type="duplicateValues" dxfId="9190" priority="4777"/>
    <cfRule type="duplicateValues" dxfId="9189" priority="4776"/>
    <cfRule type="duplicateValues" dxfId="9188" priority="4775"/>
    <cfRule type="duplicateValues" dxfId="9187" priority="4774"/>
    <cfRule type="duplicateValues" dxfId="9186" priority="4773"/>
    <cfRule type="duplicateValues" dxfId="9185" priority="4772"/>
    <cfRule type="duplicateValues" dxfId="9184" priority="4771"/>
    <cfRule type="duplicateValues" dxfId="9183" priority="4770"/>
    <cfRule type="duplicateValues" dxfId="9182" priority="4769"/>
    <cfRule type="duplicateValues" dxfId="9181" priority="4768"/>
    <cfRule type="duplicateValues" dxfId="9180" priority="4767"/>
    <cfRule type="duplicateValues" dxfId="9179" priority="4766"/>
    <cfRule type="duplicateValues" dxfId="9178" priority="4765"/>
    <cfRule type="duplicateValues" dxfId="9177" priority="4764"/>
    <cfRule type="duplicateValues" dxfId="9176" priority="4763"/>
    <cfRule type="duplicateValues" dxfId="9175" priority="4762"/>
    <cfRule type="duplicateValues" dxfId="9174" priority="4761"/>
    <cfRule type="duplicateValues" dxfId="9173" priority="4760"/>
    <cfRule type="duplicateValues" dxfId="9172" priority="4759"/>
    <cfRule type="duplicateValues" dxfId="9171" priority="4758"/>
    <cfRule type="duplicateValues" dxfId="9170" priority="4757"/>
    <cfRule type="duplicateValues" dxfId="9169" priority="4756"/>
    <cfRule type="duplicateValues" dxfId="9168" priority="4755"/>
    <cfRule type="duplicateValues" dxfId="9167" priority="4754"/>
    <cfRule type="duplicateValues" dxfId="9166" priority="4753"/>
    <cfRule type="duplicateValues" dxfId="9165" priority="4752"/>
    <cfRule type="duplicateValues" dxfId="9164" priority="4751"/>
    <cfRule type="duplicateValues" dxfId="9163" priority="4750"/>
    <cfRule type="duplicateValues" dxfId="9162" priority="4749"/>
    <cfRule type="duplicateValues" dxfId="9161" priority="4748"/>
    <cfRule type="duplicateValues" dxfId="9160" priority="4747"/>
    <cfRule type="duplicateValues" dxfId="9159" priority="4746"/>
    <cfRule type="duplicateValues" dxfId="9158" priority="4745"/>
    <cfRule type="duplicateValues" dxfId="9157" priority="4744"/>
    <cfRule type="duplicateValues" dxfId="9156" priority="4743"/>
    <cfRule type="duplicateValues" dxfId="9155" priority="4742"/>
    <cfRule type="duplicateValues" dxfId="9154" priority="4741"/>
    <cfRule type="duplicateValues" dxfId="9153" priority="4740"/>
    <cfRule type="duplicateValues" dxfId="9152" priority="4739"/>
    <cfRule type="duplicateValues" dxfId="9151" priority="4738"/>
    <cfRule type="duplicateValues" dxfId="9150" priority="4737"/>
    <cfRule type="duplicateValues" dxfId="9149" priority="4736"/>
    <cfRule type="duplicateValues" dxfId="9148" priority="4735"/>
    <cfRule type="duplicateValues" dxfId="9147" priority="4734"/>
    <cfRule type="duplicateValues" dxfId="9146" priority="4733"/>
    <cfRule type="duplicateValues" dxfId="9145" priority="4732"/>
    <cfRule type="duplicateValues" dxfId="9144" priority="4731"/>
    <cfRule type="duplicateValues" dxfId="9143" priority="4730"/>
    <cfRule type="duplicateValues" dxfId="9142" priority="4729"/>
    <cfRule type="duplicateValues" dxfId="9141" priority="4728"/>
    <cfRule type="duplicateValues" dxfId="9140" priority="4727"/>
    <cfRule type="duplicateValues" dxfId="9139" priority="4726"/>
    <cfRule type="duplicateValues" dxfId="9138" priority="4725"/>
    <cfRule type="duplicateValues" dxfId="9137" priority="4724"/>
    <cfRule type="duplicateValues" dxfId="9136" priority="4723"/>
    <cfRule type="duplicateValues" dxfId="9135" priority="4722"/>
    <cfRule type="duplicateValues" dxfId="9134" priority="4721"/>
    <cfRule type="duplicateValues" dxfId="9133" priority="4720"/>
    <cfRule type="duplicateValues" dxfId="9132" priority="4719"/>
    <cfRule type="duplicateValues" dxfId="9131" priority="4718"/>
    <cfRule type="duplicateValues" dxfId="9130" priority="4717"/>
    <cfRule type="duplicateValues" dxfId="9129" priority="4716"/>
    <cfRule type="duplicateValues" dxfId="9128" priority="4715"/>
    <cfRule type="duplicateValues" dxfId="9127" priority="4714"/>
    <cfRule type="duplicateValues" dxfId="9126" priority="4713"/>
    <cfRule type="duplicateValues" dxfId="9125" priority="4712"/>
    <cfRule type="duplicateValues" dxfId="9124" priority="4711"/>
    <cfRule type="duplicateValues" dxfId="9123" priority="4710"/>
    <cfRule type="duplicateValues" dxfId="9122" priority="4709"/>
    <cfRule type="duplicateValues" dxfId="9121" priority="4708"/>
    <cfRule type="duplicateValues" dxfId="9120" priority="4707"/>
    <cfRule type="duplicateValues" dxfId="9119" priority="4706"/>
    <cfRule type="duplicateValues" dxfId="9118" priority="4705"/>
    <cfRule type="duplicateValues" dxfId="9117" priority="4704"/>
    <cfRule type="duplicateValues" dxfId="9116" priority="4703"/>
    <cfRule type="duplicateValues" dxfId="9115" priority="4702"/>
    <cfRule type="duplicateValues" dxfId="9114" priority="4701"/>
    <cfRule type="duplicateValues" dxfId="9113" priority="4700"/>
    <cfRule type="duplicateValues" dxfId="9112" priority="4699"/>
    <cfRule type="duplicateValues" dxfId="9111" priority="4698"/>
    <cfRule type="duplicateValues" dxfId="9110" priority="4697"/>
    <cfRule type="duplicateValues" dxfId="9109" priority="4696"/>
    <cfRule type="duplicateValues" dxfId="9108" priority="4695"/>
    <cfRule type="duplicateValues" dxfId="9107" priority="4694"/>
    <cfRule type="duplicateValues" dxfId="9106" priority="4693"/>
    <cfRule type="duplicateValues" dxfId="9105" priority="4692"/>
    <cfRule type="duplicateValues" dxfId="9104" priority="4691"/>
    <cfRule type="duplicateValues" dxfId="9103" priority="4690"/>
    <cfRule type="duplicateValues" dxfId="9102" priority="4689"/>
    <cfRule type="duplicateValues" dxfId="9101" priority="4688"/>
    <cfRule type="duplicateValues" dxfId="9100" priority="4687"/>
    <cfRule type="duplicateValues" dxfId="9099" priority="4686"/>
    <cfRule type="duplicateValues" dxfId="9098" priority="4685"/>
    <cfRule type="duplicateValues" dxfId="9097" priority="4684"/>
    <cfRule type="duplicateValues" dxfId="9096" priority="4683"/>
    <cfRule type="duplicateValues" dxfId="9095" priority="4682"/>
    <cfRule type="duplicateValues" dxfId="9094" priority="4681"/>
    <cfRule type="duplicateValues" dxfId="9093" priority="4680"/>
    <cfRule type="duplicateValues" dxfId="9092" priority="4679"/>
    <cfRule type="duplicateValues" dxfId="9091" priority="4678"/>
    <cfRule type="duplicateValues" dxfId="9090" priority="4677"/>
    <cfRule type="duplicateValues" dxfId="9089" priority="4676"/>
    <cfRule type="duplicateValues" dxfId="9088" priority="4675"/>
    <cfRule type="duplicateValues" dxfId="9087" priority="4674"/>
    <cfRule type="duplicateValues" dxfId="9086" priority="4673"/>
    <cfRule type="duplicateValues" dxfId="9085" priority="4672"/>
    <cfRule type="duplicateValues" dxfId="9084" priority="4671"/>
    <cfRule type="duplicateValues" dxfId="9083" priority="4670"/>
    <cfRule type="duplicateValues" dxfId="9082" priority="4669"/>
    <cfRule type="duplicateValues" dxfId="9081" priority="4668"/>
    <cfRule type="duplicateValues" dxfId="9080" priority="4667"/>
    <cfRule type="duplicateValues" dxfId="9079" priority="4666"/>
    <cfRule type="duplicateValues" dxfId="9078" priority="4665"/>
    <cfRule type="duplicateValues" dxfId="9077" priority="4664"/>
    <cfRule type="duplicateValues" dxfId="9076" priority="4663"/>
    <cfRule type="duplicateValues" dxfId="9075" priority="4662"/>
    <cfRule type="duplicateValues" dxfId="9074" priority="4661"/>
    <cfRule type="duplicateValues" dxfId="9073" priority="4660"/>
    <cfRule type="duplicateValues" dxfId="9072" priority="4659"/>
    <cfRule type="duplicateValues" dxfId="9071" priority="4658"/>
    <cfRule type="duplicateValues" dxfId="9070" priority="4657"/>
    <cfRule type="duplicateValues" dxfId="9069" priority="4656"/>
    <cfRule type="duplicateValues" dxfId="9068" priority="4655"/>
    <cfRule type="duplicateValues" dxfId="9067" priority="4654"/>
    <cfRule type="duplicateValues" dxfId="9066" priority="4653"/>
    <cfRule type="duplicateValues" dxfId="9065" priority="4652"/>
    <cfRule type="duplicateValues" dxfId="9064" priority="4651"/>
    <cfRule type="duplicateValues" dxfId="9063" priority="4650"/>
    <cfRule type="duplicateValues" dxfId="9062" priority="4649"/>
    <cfRule type="duplicateValues" dxfId="9061" priority="4648"/>
    <cfRule type="duplicateValues" dxfId="9060" priority="4647"/>
    <cfRule type="duplicateValues" dxfId="9059" priority="4646"/>
    <cfRule type="duplicateValues" dxfId="9058" priority="4645"/>
    <cfRule type="duplicateValues" dxfId="9057" priority="4644"/>
    <cfRule type="duplicateValues" dxfId="9056" priority="4643"/>
    <cfRule type="duplicateValues" dxfId="9055" priority="4642"/>
    <cfRule type="duplicateValues" dxfId="9054" priority="4641"/>
    <cfRule type="duplicateValues" dxfId="9053" priority="4640"/>
    <cfRule type="duplicateValues" dxfId="9052" priority="4639"/>
    <cfRule type="duplicateValues" dxfId="9051" priority="4638"/>
    <cfRule type="duplicateValues" dxfId="9050" priority="4637"/>
    <cfRule type="duplicateValues" dxfId="9049" priority="4636"/>
    <cfRule type="duplicateValues" dxfId="9048" priority="4635"/>
    <cfRule type="duplicateValues" dxfId="9047" priority="4634"/>
    <cfRule type="duplicateValues" dxfId="9046" priority="4633"/>
    <cfRule type="duplicateValues" dxfId="9045" priority="4632"/>
    <cfRule type="duplicateValues" dxfId="9044" priority="4631"/>
    <cfRule type="duplicateValues" dxfId="9043" priority="4630"/>
    <cfRule type="duplicateValues" dxfId="9042" priority="4629"/>
    <cfRule type="duplicateValues" dxfId="9041" priority="4628"/>
    <cfRule type="duplicateValues" dxfId="9040" priority="4627"/>
    <cfRule type="duplicateValues" dxfId="9039" priority="4626"/>
    <cfRule type="duplicateValues" dxfId="9038" priority="4625"/>
    <cfRule type="duplicateValues" dxfId="9037" priority="4624"/>
    <cfRule type="duplicateValues" dxfId="9036" priority="4623"/>
    <cfRule type="duplicateValues" dxfId="9035" priority="4622"/>
    <cfRule type="duplicateValues" dxfId="9034" priority="4621"/>
    <cfRule type="duplicateValues" dxfId="9033" priority="4620"/>
    <cfRule type="duplicateValues" dxfId="9032" priority="4619"/>
    <cfRule type="duplicateValues" dxfId="9031" priority="4618"/>
    <cfRule type="duplicateValues" dxfId="9030" priority="4617"/>
    <cfRule type="duplicateValues" dxfId="9029" priority="4616"/>
    <cfRule type="duplicateValues" dxfId="9028" priority="4615"/>
    <cfRule type="duplicateValues" dxfId="9027" priority="4614"/>
    <cfRule type="duplicateValues" dxfId="9026" priority="4613"/>
    <cfRule type="duplicateValues" dxfId="9025" priority="4612"/>
    <cfRule type="duplicateValues" dxfId="9024" priority="4611"/>
    <cfRule type="duplicateValues" dxfId="9023" priority="4610"/>
    <cfRule type="duplicateValues" dxfId="9022" priority="4609"/>
    <cfRule type="duplicateValues" dxfId="9021" priority="4608"/>
    <cfRule type="duplicateValues" dxfId="9020" priority="4607"/>
    <cfRule type="duplicateValues" dxfId="9019" priority="4606"/>
    <cfRule type="duplicateValues" dxfId="9018" priority="4605"/>
    <cfRule type="duplicateValues" dxfId="9017" priority="4604"/>
    <cfRule type="duplicateValues" dxfId="9016" priority="4603"/>
    <cfRule type="duplicateValues" dxfId="9015" priority="4602"/>
    <cfRule type="duplicateValues" dxfId="9014" priority="4601"/>
    <cfRule type="duplicateValues" dxfId="9013" priority="4600"/>
    <cfRule type="duplicateValues" dxfId="9012" priority="4599"/>
    <cfRule type="duplicateValues" dxfId="9011" priority="4598"/>
    <cfRule type="duplicateValues" dxfId="9010" priority="4597"/>
    <cfRule type="duplicateValues" dxfId="9009" priority="4596"/>
    <cfRule type="duplicateValues" dxfId="9008" priority="4595"/>
    <cfRule type="duplicateValues" dxfId="9007" priority="4594"/>
    <cfRule type="duplicateValues" dxfId="9006" priority="4593"/>
    <cfRule type="duplicateValues" dxfId="9005" priority="4592"/>
    <cfRule type="duplicateValues" dxfId="9004" priority="4591"/>
    <cfRule type="duplicateValues" dxfId="9003" priority="4590"/>
    <cfRule type="duplicateValues" dxfId="9002" priority="4589"/>
    <cfRule type="duplicateValues" dxfId="9001" priority="4588"/>
    <cfRule type="duplicateValues" dxfId="9000" priority="4587"/>
    <cfRule type="duplicateValues" dxfId="8999" priority="4586"/>
    <cfRule type="duplicateValues" dxfId="8998" priority="4585"/>
    <cfRule type="duplicateValues" dxfId="8997" priority="4584"/>
    <cfRule type="duplicateValues" dxfId="8996" priority="4583"/>
    <cfRule type="duplicateValues" dxfId="8995" priority="4582"/>
    <cfRule type="duplicateValues" dxfId="8994" priority="4581"/>
    <cfRule type="duplicateValues" dxfId="8993" priority="4580"/>
    <cfRule type="duplicateValues" dxfId="8992" priority="4579"/>
    <cfRule type="duplicateValues" dxfId="8991" priority="4578"/>
    <cfRule type="duplicateValues" dxfId="8990" priority="4577"/>
    <cfRule type="duplicateValues" dxfId="8989" priority="4576"/>
    <cfRule type="duplicateValues" dxfId="8988" priority="4575"/>
    <cfRule type="duplicateValues" dxfId="8987" priority="4574"/>
    <cfRule type="duplicateValues" dxfId="8986" priority="4573"/>
    <cfRule type="duplicateValues" dxfId="8985" priority="4572"/>
    <cfRule type="duplicateValues" dxfId="8984" priority="4571"/>
    <cfRule type="duplicateValues" dxfId="8983" priority="4570"/>
    <cfRule type="duplicateValues" dxfId="8982" priority="4569"/>
    <cfRule type="duplicateValues" dxfId="8981" priority="4568"/>
    <cfRule type="duplicateValues" dxfId="8980" priority="4567"/>
    <cfRule type="duplicateValues" dxfId="8979" priority="4566"/>
    <cfRule type="duplicateValues" dxfId="8978" priority="4565"/>
    <cfRule type="duplicateValues" dxfId="8977" priority="4564"/>
    <cfRule type="duplicateValues" dxfId="8976" priority="4563"/>
    <cfRule type="duplicateValues" dxfId="8975" priority="4562"/>
    <cfRule type="duplicateValues" dxfId="8974" priority="4561"/>
    <cfRule type="duplicateValues" dxfId="8973" priority="4560"/>
    <cfRule type="duplicateValues" dxfId="8972" priority="4559"/>
    <cfRule type="duplicateValues" dxfId="8971" priority="4558"/>
    <cfRule type="duplicateValues" dxfId="8970" priority="4557"/>
    <cfRule type="duplicateValues" dxfId="8969" priority="4556"/>
    <cfRule type="duplicateValues" dxfId="8968" priority="4555"/>
    <cfRule type="duplicateValues" dxfId="8967" priority="4554"/>
    <cfRule type="duplicateValues" dxfId="8966" priority="4553"/>
    <cfRule type="duplicateValues" dxfId="8965" priority="4552"/>
    <cfRule type="duplicateValues" dxfId="8964" priority="4551"/>
    <cfRule type="duplicateValues" dxfId="8963" priority="4550"/>
    <cfRule type="duplicateValues" dxfId="8962" priority="4549"/>
    <cfRule type="duplicateValues" dxfId="8961" priority="4548"/>
    <cfRule type="duplicateValues" dxfId="8960" priority="4547"/>
    <cfRule type="duplicateValues" dxfId="8959" priority="4546"/>
    <cfRule type="duplicateValues" dxfId="8958" priority="4545"/>
    <cfRule type="duplicateValues" dxfId="8957" priority="4544"/>
    <cfRule type="duplicateValues" dxfId="8956" priority="4543"/>
    <cfRule type="duplicateValues" dxfId="8955" priority="4542"/>
    <cfRule type="duplicateValues" dxfId="8954" priority="4541"/>
    <cfRule type="duplicateValues" dxfId="8953" priority="4540"/>
    <cfRule type="duplicateValues" dxfId="8952" priority="4539"/>
    <cfRule type="duplicateValues" dxfId="8951" priority="4538"/>
    <cfRule type="duplicateValues" dxfId="8950" priority="4537"/>
    <cfRule type="duplicateValues" dxfId="8949" priority="4536"/>
    <cfRule type="duplicateValues" dxfId="8948" priority="4535"/>
    <cfRule type="duplicateValues" dxfId="8947" priority="4534"/>
    <cfRule type="duplicateValues" dxfId="8946" priority="4533"/>
    <cfRule type="duplicateValues" dxfId="8945" priority="4532"/>
    <cfRule type="duplicateValues" dxfId="8944" priority="4531"/>
    <cfRule type="duplicateValues" dxfId="8943" priority="4530"/>
    <cfRule type="duplicateValues" dxfId="8942" priority="4529"/>
    <cfRule type="duplicateValues" dxfId="8941" priority="4528"/>
    <cfRule type="duplicateValues" dxfId="8940" priority="4527"/>
    <cfRule type="duplicateValues" dxfId="8939" priority="4526"/>
    <cfRule type="duplicateValues" dxfId="8938" priority="4525"/>
    <cfRule type="duplicateValues" dxfId="8937" priority="4524"/>
    <cfRule type="duplicateValues" dxfId="8936" priority="4523"/>
    <cfRule type="duplicateValues" dxfId="8935" priority="4522"/>
    <cfRule type="duplicateValues" dxfId="8934" priority="4521"/>
    <cfRule type="duplicateValues" dxfId="8933" priority="4520"/>
    <cfRule type="duplicateValues" dxfId="8932" priority="4519"/>
    <cfRule type="duplicateValues" dxfId="8931" priority="4518"/>
    <cfRule type="duplicateValues" dxfId="8930" priority="4517"/>
    <cfRule type="duplicateValues" dxfId="8929" priority="4516"/>
    <cfRule type="duplicateValues" dxfId="8928" priority="4515"/>
    <cfRule type="duplicateValues" dxfId="8927" priority="4514"/>
    <cfRule type="duplicateValues" dxfId="8926" priority="4513"/>
    <cfRule type="duplicateValues" dxfId="8925" priority="4512"/>
    <cfRule type="duplicateValues" dxfId="8924" priority="4511"/>
    <cfRule type="duplicateValues" dxfId="8923" priority="4510"/>
    <cfRule type="duplicateValues" dxfId="8922" priority="4509"/>
    <cfRule type="duplicateValues" dxfId="8921" priority="4508"/>
    <cfRule type="duplicateValues" dxfId="8920" priority="4507"/>
    <cfRule type="duplicateValues" dxfId="8919" priority="4506"/>
    <cfRule type="duplicateValues" dxfId="8918" priority="4505"/>
    <cfRule type="duplicateValues" dxfId="8917" priority="4504"/>
    <cfRule type="duplicateValues" dxfId="8916" priority="4503"/>
    <cfRule type="duplicateValues" dxfId="8915" priority="4502"/>
    <cfRule type="duplicateValues" dxfId="8914" priority="4501"/>
    <cfRule type="duplicateValues" dxfId="8913" priority="4500"/>
    <cfRule type="duplicateValues" dxfId="8912" priority="4499"/>
    <cfRule type="duplicateValues" dxfId="8911" priority="4498"/>
    <cfRule type="duplicateValues" dxfId="8910" priority="4497"/>
    <cfRule type="duplicateValues" dxfId="8909" priority="4496"/>
    <cfRule type="duplicateValues" dxfId="8908" priority="4495"/>
    <cfRule type="duplicateValues" dxfId="8907" priority="4494"/>
    <cfRule type="duplicateValues" dxfId="8906" priority="4493"/>
    <cfRule type="duplicateValues" dxfId="8905" priority="4492"/>
    <cfRule type="duplicateValues" dxfId="8904" priority="4491"/>
    <cfRule type="duplicateValues" dxfId="8903" priority="4490"/>
    <cfRule type="duplicateValues" dxfId="8902" priority="4489"/>
    <cfRule type="duplicateValues" dxfId="8901" priority="4488"/>
    <cfRule type="duplicateValues" dxfId="8900" priority="4487"/>
    <cfRule type="duplicateValues" dxfId="8899" priority="4486"/>
    <cfRule type="duplicateValues" dxfId="8898" priority="4485"/>
    <cfRule type="duplicateValues" dxfId="8897" priority="4484"/>
    <cfRule type="duplicateValues" dxfId="8896" priority="4483"/>
    <cfRule type="duplicateValues" dxfId="8895" priority="4482"/>
    <cfRule type="duplicateValues" dxfId="8894" priority="4481"/>
    <cfRule type="duplicateValues" dxfId="8893" priority="4480"/>
    <cfRule type="duplicateValues" dxfId="8892" priority="4479"/>
    <cfRule type="duplicateValues" dxfId="8891" priority="4478"/>
    <cfRule type="duplicateValues" dxfId="8890" priority="4477"/>
    <cfRule type="duplicateValues" dxfId="8889" priority="4476"/>
    <cfRule type="duplicateValues" dxfId="8888" priority="4475"/>
    <cfRule type="duplicateValues" dxfId="8887" priority="4474"/>
    <cfRule type="duplicateValues" dxfId="8886" priority="4473"/>
    <cfRule type="duplicateValues" dxfId="8885" priority="4472"/>
    <cfRule type="duplicateValues" dxfId="8884" priority="4471"/>
    <cfRule type="duplicateValues" dxfId="8883" priority="4470"/>
    <cfRule type="duplicateValues" dxfId="8882" priority="4469"/>
    <cfRule type="duplicateValues" dxfId="8881" priority="4468"/>
    <cfRule type="duplicateValues" dxfId="8880" priority="4467"/>
    <cfRule type="duplicateValues" dxfId="8879" priority="4466"/>
    <cfRule type="duplicateValues" dxfId="8878" priority="4465"/>
    <cfRule type="duplicateValues" dxfId="8877" priority="4464"/>
    <cfRule type="duplicateValues" dxfId="8876" priority="4463"/>
    <cfRule type="duplicateValues" dxfId="8875" priority="4462"/>
    <cfRule type="duplicateValues" dxfId="8874" priority="4461"/>
    <cfRule type="duplicateValues" dxfId="8873" priority="4460"/>
    <cfRule type="duplicateValues" dxfId="8872" priority="4459"/>
    <cfRule type="duplicateValues" dxfId="8871" priority="4458"/>
    <cfRule type="duplicateValues" dxfId="8870" priority="4457"/>
    <cfRule type="duplicateValues" dxfId="8869" priority="4456"/>
    <cfRule type="duplicateValues" dxfId="8868" priority="4455"/>
    <cfRule type="duplicateValues" dxfId="8867" priority="4454"/>
    <cfRule type="duplicateValues" dxfId="8866" priority="4453"/>
    <cfRule type="duplicateValues" dxfId="8865" priority="4452"/>
    <cfRule type="duplicateValues" dxfId="8864" priority="4451"/>
    <cfRule type="duplicateValues" dxfId="8863" priority="4450"/>
    <cfRule type="duplicateValues" dxfId="8862" priority="4449"/>
    <cfRule type="duplicateValues" dxfId="8861" priority="4448"/>
    <cfRule type="duplicateValues" dxfId="8860" priority="4447"/>
    <cfRule type="duplicateValues" dxfId="8859" priority="4446"/>
    <cfRule type="duplicateValues" dxfId="8858" priority="4445"/>
    <cfRule type="duplicateValues" dxfId="8857" priority="4444"/>
    <cfRule type="duplicateValues" dxfId="8856" priority="4443"/>
    <cfRule type="duplicateValues" dxfId="8855" priority="4442"/>
    <cfRule type="duplicateValues" dxfId="8854" priority="4441"/>
    <cfRule type="duplicateValues" dxfId="8853" priority="4440"/>
    <cfRule type="duplicateValues" dxfId="8852" priority="4439"/>
    <cfRule type="duplicateValues" dxfId="8851" priority="4438"/>
    <cfRule type="duplicateValues" dxfId="8850" priority="4437"/>
    <cfRule type="duplicateValues" dxfId="8849" priority="4436"/>
    <cfRule type="duplicateValues" dxfId="8848" priority="4435"/>
    <cfRule type="duplicateValues" dxfId="8847" priority="4434"/>
    <cfRule type="duplicateValues" dxfId="8846" priority="4433"/>
    <cfRule type="duplicateValues" dxfId="8845" priority="4432"/>
    <cfRule type="duplicateValues" dxfId="8844" priority="4431"/>
    <cfRule type="duplicateValues" dxfId="8843" priority="4430"/>
    <cfRule type="duplicateValues" dxfId="8842" priority="4429"/>
    <cfRule type="duplicateValues" dxfId="8841" priority="4428"/>
    <cfRule type="duplicateValues" dxfId="8840" priority="4427"/>
    <cfRule type="duplicateValues" dxfId="8839" priority="4426"/>
    <cfRule type="duplicateValues" dxfId="8838" priority="4425"/>
    <cfRule type="duplicateValues" dxfId="8837" priority="4424"/>
    <cfRule type="duplicateValues" dxfId="8836" priority="4423"/>
    <cfRule type="duplicateValues" dxfId="8835" priority="4422"/>
    <cfRule type="duplicateValues" dxfId="8834" priority="4421"/>
    <cfRule type="duplicateValues" dxfId="8833" priority="4420"/>
    <cfRule type="duplicateValues" dxfId="8832" priority="4419"/>
    <cfRule type="duplicateValues" dxfId="8831" priority="4418"/>
    <cfRule type="duplicateValues" dxfId="8830" priority="4417"/>
    <cfRule type="duplicateValues" dxfId="8829" priority="4416"/>
    <cfRule type="duplicateValues" dxfId="8828" priority="4415"/>
    <cfRule type="duplicateValues" dxfId="8827" priority="4414"/>
    <cfRule type="duplicateValues" dxfId="8826" priority="4413"/>
    <cfRule type="duplicateValues" dxfId="8825" priority="4412"/>
    <cfRule type="duplicateValues" dxfId="8824" priority="4411"/>
    <cfRule type="duplicateValues" dxfId="8823" priority="4410"/>
    <cfRule type="duplicateValues" dxfId="8822" priority="4409"/>
    <cfRule type="duplicateValues" dxfId="8821" priority="4408"/>
    <cfRule type="duplicateValues" dxfId="8820" priority="4407"/>
    <cfRule type="duplicateValues" dxfId="8819" priority="4406"/>
    <cfRule type="duplicateValues" dxfId="8818" priority="4405"/>
    <cfRule type="duplicateValues" dxfId="8817" priority="4404"/>
    <cfRule type="duplicateValues" dxfId="8816" priority="4403"/>
    <cfRule type="duplicateValues" dxfId="8815" priority="4402"/>
    <cfRule type="duplicateValues" dxfId="8814" priority="4401"/>
    <cfRule type="duplicateValues" dxfId="8813" priority="4400"/>
    <cfRule type="duplicateValues" dxfId="8812" priority="4399"/>
    <cfRule type="duplicateValues" dxfId="8811" priority="4398"/>
    <cfRule type="duplicateValues" dxfId="8810" priority="4397"/>
    <cfRule type="duplicateValues" dxfId="8809" priority="4396"/>
    <cfRule type="duplicateValues" dxfId="8808" priority="4395"/>
    <cfRule type="duplicateValues" dxfId="8807" priority="4394"/>
    <cfRule type="duplicateValues" dxfId="8806" priority="4393"/>
    <cfRule type="duplicateValues" dxfId="8805" priority="4392"/>
    <cfRule type="duplicateValues" dxfId="8804" priority="4391"/>
    <cfRule type="duplicateValues" dxfId="8803" priority="4390"/>
    <cfRule type="duplicateValues" dxfId="8802" priority="4389"/>
    <cfRule type="duplicateValues" dxfId="8801" priority="4388"/>
    <cfRule type="duplicateValues" dxfId="8800" priority="4387"/>
    <cfRule type="duplicateValues" dxfId="8799" priority="4386"/>
    <cfRule type="duplicateValues" dxfId="8798" priority="4385"/>
    <cfRule type="duplicateValues" dxfId="8797" priority="4384"/>
    <cfRule type="duplicateValues" dxfId="8796" priority="4383"/>
    <cfRule type="duplicateValues" dxfId="8795" priority="4382"/>
    <cfRule type="duplicateValues" dxfId="8794" priority="4240"/>
    <cfRule type="duplicateValues" dxfId="8793" priority="4381"/>
    <cfRule type="duplicateValues" dxfId="8792" priority="4380"/>
    <cfRule type="duplicateValues" dxfId="8791" priority="4379"/>
    <cfRule type="duplicateValues" dxfId="8790" priority="4378"/>
    <cfRule type="duplicateValues" dxfId="8789" priority="4377"/>
    <cfRule type="duplicateValues" dxfId="8788" priority="4376"/>
    <cfRule type="duplicateValues" dxfId="8787" priority="4375"/>
    <cfRule type="duplicateValues" dxfId="8786" priority="4374"/>
    <cfRule type="duplicateValues" dxfId="8785" priority="4373"/>
    <cfRule type="duplicateValues" dxfId="8784" priority="4372"/>
    <cfRule type="duplicateValues" dxfId="8783" priority="4371"/>
    <cfRule type="duplicateValues" dxfId="8782" priority="4370"/>
    <cfRule type="duplicateValues" dxfId="8781" priority="4369"/>
    <cfRule type="duplicateValues" dxfId="8780" priority="4368"/>
    <cfRule type="duplicateValues" dxfId="8779" priority="4367"/>
    <cfRule type="duplicateValues" dxfId="8778" priority="4366"/>
    <cfRule type="duplicateValues" dxfId="8777" priority="4365"/>
    <cfRule type="duplicateValues" dxfId="8776" priority="4364"/>
    <cfRule type="duplicateValues" dxfId="8775" priority="4363"/>
    <cfRule type="duplicateValues" dxfId="8774" priority="4362"/>
    <cfRule type="duplicateValues" dxfId="8773" priority="4361"/>
    <cfRule type="duplicateValues" dxfId="8772" priority="4360"/>
    <cfRule type="duplicateValues" dxfId="8771" priority="4359"/>
    <cfRule type="duplicateValues" dxfId="8770" priority="4358"/>
    <cfRule type="duplicateValues" dxfId="8769" priority="4357"/>
    <cfRule type="duplicateValues" dxfId="8768" priority="4356"/>
    <cfRule type="duplicateValues" dxfId="8767" priority="4355"/>
    <cfRule type="duplicateValues" dxfId="8766" priority="4354"/>
    <cfRule type="duplicateValues" dxfId="8765" priority="4353"/>
    <cfRule type="duplicateValues" dxfId="8764" priority="4352"/>
    <cfRule type="duplicateValues" dxfId="8763" priority="4351"/>
    <cfRule type="duplicateValues" dxfId="8762" priority="4350"/>
    <cfRule type="duplicateValues" dxfId="8761" priority="4349"/>
    <cfRule type="duplicateValues" dxfId="8760" priority="4348"/>
    <cfRule type="duplicateValues" dxfId="8759" priority="4347"/>
    <cfRule type="duplicateValues" dxfId="8758" priority="4346"/>
    <cfRule type="duplicateValues" dxfId="8757" priority="4345"/>
    <cfRule type="duplicateValues" dxfId="8756" priority="4344"/>
    <cfRule type="duplicateValues" dxfId="8755" priority="4343"/>
    <cfRule type="duplicateValues" dxfId="8754" priority="4342"/>
    <cfRule type="duplicateValues" dxfId="8753" priority="4341"/>
    <cfRule type="duplicateValues" dxfId="8752" priority="4340"/>
    <cfRule type="duplicateValues" dxfId="8751" priority="4339"/>
    <cfRule type="duplicateValues" dxfId="8750" priority="4338"/>
    <cfRule type="duplicateValues" dxfId="8749" priority="4337"/>
    <cfRule type="duplicateValues" dxfId="8748" priority="4336"/>
    <cfRule type="duplicateValues" dxfId="8747" priority="4335"/>
    <cfRule type="duplicateValues" dxfId="8746" priority="4334"/>
    <cfRule type="duplicateValues" dxfId="8745" priority="4333"/>
    <cfRule type="duplicateValues" dxfId="8744" priority="4332"/>
    <cfRule type="duplicateValues" dxfId="8743" priority="4331"/>
    <cfRule type="duplicateValues" dxfId="8742" priority="4330"/>
    <cfRule type="duplicateValues" dxfId="8741" priority="4329"/>
    <cfRule type="duplicateValues" dxfId="8740" priority="4328"/>
    <cfRule type="duplicateValues" dxfId="8739" priority="4327"/>
    <cfRule type="duplicateValues" dxfId="8738" priority="4326"/>
    <cfRule type="duplicateValues" dxfId="8737" priority="4325"/>
    <cfRule type="duplicateValues" dxfId="8736" priority="4324"/>
    <cfRule type="duplicateValues" dxfId="8735" priority="4323"/>
    <cfRule type="duplicateValues" dxfId="8734" priority="4322"/>
    <cfRule type="duplicateValues" dxfId="8733" priority="4321"/>
    <cfRule type="duplicateValues" dxfId="8732" priority="4320"/>
    <cfRule type="duplicateValues" dxfId="8731" priority="4319"/>
    <cfRule type="duplicateValues" dxfId="8730" priority="4318"/>
    <cfRule type="duplicateValues" dxfId="8729" priority="4317"/>
    <cfRule type="duplicateValues" dxfId="8728" priority="4316"/>
    <cfRule type="duplicateValues" dxfId="8727" priority="4315"/>
    <cfRule type="duplicateValues" dxfId="8726" priority="4314"/>
    <cfRule type="duplicateValues" dxfId="8725" priority="4313"/>
    <cfRule type="duplicateValues" dxfId="8724" priority="4312"/>
    <cfRule type="duplicateValues" dxfId="8723" priority="4311"/>
    <cfRule type="duplicateValues" dxfId="8722" priority="4310"/>
    <cfRule type="duplicateValues" dxfId="8721" priority="4309"/>
    <cfRule type="duplicateValues" dxfId="8720" priority="4308"/>
    <cfRule type="duplicateValues" dxfId="8719" priority="4307"/>
    <cfRule type="duplicateValues" dxfId="8718" priority="4306"/>
    <cfRule type="duplicateValues" dxfId="8717" priority="4305"/>
    <cfRule type="duplicateValues" dxfId="8716" priority="4304"/>
    <cfRule type="duplicateValues" dxfId="8715" priority="4303"/>
    <cfRule type="duplicateValues" dxfId="8714" priority="4302"/>
    <cfRule type="duplicateValues" dxfId="8713" priority="4301"/>
    <cfRule type="duplicateValues" dxfId="8712" priority="4300"/>
    <cfRule type="duplicateValues" dxfId="8711" priority="4299"/>
    <cfRule type="duplicateValues" dxfId="8710" priority="4298"/>
    <cfRule type="duplicateValues" dxfId="8709" priority="4297"/>
    <cfRule type="duplicateValues" dxfId="8708" priority="4296"/>
    <cfRule type="duplicateValues" dxfId="8707" priority="4295"/>
    <cfRule type="duplicateValues" dxfId="8706" priority="4294"/>
    <cfRule type="duplicateValues" dxfId="8705" priority="4293"/>
    <cfRule type="duplicateValues" dxfId="8704" priority="4292"/>
    <cfRule type="duplicateValues" dxfId="8703" priority="4291"/>
    <cfRule type="duplicateValues" dxfId="8702" priority="4290"/>
    <cfRule type="duplicateValues" dxfId="8701" priority="4289"/>
    <cfRule type="duplicateValues" dxfId="8700" priority="4288"/>
    <cfRule type="duplicateValues" dxfId="8699" priority="4287"/>
    <cfRule type="duplicateValues" dxfId="8698" priority="4286"/>
    <cfRule type="duplicateValues" dxfId="8697" priority="4285"/>
    <cfRule type="duplicateValues" dxfId="8696" priority="4284"/>
    <cfRule type="duplicateValues" dxfId="8695" priority="4283"/>
    <cfRule type="duplicateValues" dxfId="8694" priority="4282"/>
    <cfRule type="duplicateValues" dxfId="8693" priority="4281"/>
    <cfRule type="duplicateValues" dxfId="8692" priority="4280"/>
    <cfRule type="duplicateValues" dxfId="8691" priority="4279"/>
    <cfRule type="duplicateValues" dxfId="8690" priority="4278"/>
    <cfRule type="duplicateValues" dxfId="8689" priority="4277"/>
    <cfRule type="duplicateValues" dxfId="8688" priority="4276"/>
    <cfRule type="duplicateValues" dxfId="8687" priority="4275"/>
    <cfRule type="duplicateValues" dxfId="8686" priority="4274"/>
    <cfRule type="duplicateValues" dxfId="8685" priority="4273"/>
    <cfRule type="duplicateValues" dxfId="8684" priority="4272"/>
    <cfRule type="duplicateValues" dxfId="8683" priority="4271"/>
    <cfRule type="duplicateValues" dxfId="8682" priority="4270"/>
    <cfRule type="duplicateValues" dxfId="8681" priority="4269"/>
    <cfRule type="duplicateValues" dxfId="8680" priority="4268"/>
    <cfRule type="duplicateValues" dxfId="8679" priority="4267"/>
    <cfRule type="duplicateValues" dxfId="8678" priority="4266"/>
    <cfRule type="duplicateValues" dxfId="8677" priority="4265"/>
    <cfRule type="duplicateValues" dxfId="8676" priority="4264"/>
    <cfRule type="duplicateValues" dxfId="8675" priority="4263"/>
    <cfRule type="duplicateValues" dxfId="8674" priority="4262"/>
    <cfRule type="duplicateValues" dxfId="8673" priority="4261"/>
    <cfRule type="duplicateValues" dxfId="8672" priority="4260"/>
    <cfRule type="duplicateValues" dxfId="8671" priority="4259"/>
    <cfRule type="duplicateValues" dxfId="8670" priority="4258"/>
    <cfRule type="duplicateValues" dxfId="8669" priority="4257"/>
    <cfRule type="duplicateValues" dxfId="8668" priority="4256"/>
    <cfRule type="duplicateValues" dxfId="8667" priority="4255"/>
    <cfRule type="duplicateValues" dxfId="8666" priority="4254"/>
    <cfRule type="duplicateValues" dxfId="8665" priority="4253"/>
    <cfRule type="duplicateValues" dxfId="8664" priority="4252"/>
    <cfRule type="duplicateValues" dxfId="8663" priority="4251"/>
    <cfRule type="duplicateValues" dxfId="8662" priority="4250"/>
    <cfRule type="duplicateValues" dxfId="8661" priority="4249"/>
    <cfRule type="duplicateValues" dxfId="8660" priority="4248"/>
    <cfRule type="duplicateValues" dxfId="8659" priority="4247"/>
    <cfRule type="duplicateValues" dxfId="8658" priority="4246"/>
    <cfRule type="duplicateValues" dxfId="8657" priority="4245"/>
    <cfRule type="duplicateValues" dxfId="8656" priority="4244"/>
    <cfRule type="duplicateValues" dxfId="8655" priority="4243"/>
    <cfRule type="duplicateValues" dxfId="8654" priority="4242"/>
    <cfRule type="duplicateValues" dxfId="8653" priority="4241"/>
    <cfRule type="duplicateValues" dxfId="8652" priority="4239"/>
    <cfRule type="duplicateValues" dxfId="8651" priority="4238"/>
    <cfRule type="duplicateValues" dxfId="8650" priority="4237"/>
    <cfRule type="duplicateValues" dxfId="8649" priority="4236"/>
    <cfRule type="duplicateValues" dxfId="8648" priority="4235"/>
    <cfRule type="duplicateValues" dxfId="8647" priority="4234"/>
    <cfRule type="duplicateValues" dxfId="8646" priority="4233"/>
    <cfRule type="duplicateValues" dxfId="8645" priority="4232"/>
    <cfRule type="duplicateValues" dxfId="8644" priority="4231"/>
    <cfRule type="duplicateValues" dxfId="8643" priority="4230"/>
    <cfRule type="duplicateValues" dxfId="8642" priority="4229"/>
    <cfRule type="duplicateValues" dxfId="8641" priority="4228"/>
    <cfRule type="duplicateValues" dxfId="8640" priority="4227"/>
    <cfRule type="duplicateValues" dxfId="8639" priority="4226"/>
    <cfRule type="duplicateValues" dxfId="8638" priority="4225"/>
    <cfRule type="duplicateValues" dxfId="8637" priority="4224"/>
    <cfRule type="duplicateValues" dxfId="8636" priority="4223"/>
    <cfRule type="duplicateValues" dxfId="8635" priority="4222"/>
    <cfRule type="duplicateValues" dxfId="8634" priority="4221"/>
    <cfRule type="duplicateValues" dxfId="8633" priority="4220"/>
    <cfRule type="duplicateValues" dxfId="8632" priority="4219"/>
    <cfRule type="duplicateValues" dxfId="8631" priority="4218"/>
    <cfRule type="duplicateValues" dxfId="8630" priority="4217"/>
    <cfRule type="duplicateValues" dxfId="8629" priority="4216"/>
    <cfRule type="duplicateValues" dxfId="8628" priority="4215"/>
    <cfRule type="duplicateValues" dxfId="8627" priority="4214"/>
    <cfRule type="duplicateValues" dxfId="8626" priority="4213"/>
    <cfRule type="duplicateValues" dxfId="8625" priority="4212"/>
    <cfRule type="duplicateValues" dxfId="8624" priority="4211"/>
    <cfRule type="duplicateValues" dxfId="8623" priority="4210"/>
    <cfRule type="duplicateValues" dxfId="8622" priority="4209"/>
    <cfRule type="duplicateValues" dxfId="8621" priority="4208"/>
    <cfRule type="duplicateValues" dxfId="8620" priority="4207"/>
    <cfRule type="duplicateValues" dxfId="8619" priority="4206"/>
    <cfRule type="duplicateValues" dxfId="8618" priority="4205"/>
    <cfRule type="duplicateValues" dxfId="8617" priority="4204"/>
    <cfRule type="duplicateValues" dxfId="8616" priority="4203"/>
    <cfRule type="duplicateValues" dxfId="8615" priority="4202"/>
    <cfRule type="duplicateValues" dxfId="8614" priority="4201"/>
    <cfRule type="duplicateValues" dxfId="8613" priority="4200"/>
    <cfRule type="duplicateValues" dxfId="8612" priority="4199"/>
    <cfRule type="duplicateValues" dxfId="8611" priority="4198"/>
    <cfRule type="duplicateValues" dxfId="8610" priority="4197"/>
    <cfRule type="duplicateValues" dxfId="8609" priority="4196"/>
    <cfRule type="duplicateValues" dxfId="8608" priority="4195"/>
    <cfRule type="duplicateValues" dxfId="8607" priority="4194"/>
    <cfRule type="duplicateValues" dxfId="8606" priority="4193"/>
    <cfRule type="duplicateValues" dxfId="8605" priority="4192"/>
    <cfRule type="duplicateValues" dxfId="8604" priority="4191"/>
    <cfRule type="duplicateValues" dxfId="8603" priority="4190"/>
    <cfRule type="duplicateValues" dxfId="8602" priority="4189"/>
    <cfRule type="duplicateValues" dxfId="8601" priority="4188"/>
    <cfRule type="duplicateValues" dxfId="8600" priority="4187"/>
    <cfRule type="duplicateValues" dxfId="8599" priority="4186"/>
    <cfRule type="duplicateValues" dxfId="8598" priority="4185"/>
    <cfRule type="duplicateValues" dxfId="8597" priority="4184"/>
    <cfRule type="duplicateValues" dxfId="8596" priority="4183"/>
    <cfRule type="duplicateValues" dxfId="8595" priority="4182"/>
    <cfRule type="duplicateValues" dxfId="8594" priority="4181"/>
    <cfRule type="duplicateValues" dxfId="8593" priority="4180"/>
    <cfRule type="duplicateValues" dxfId="8592" priority="4179"/>
    <cfRule type="duplicateValues" dxfId="8591" priority="4178"/>
    <cfRule type="duplicateValues" dxfId="8590" priority="4177"/>
    <cfRule type="duplicateValues" dxfId="8589" priority="4176"/>
    <cfRule type="duplicateValues" dxfId="8588" priority="4175"/>
    <cfRule type="duplicateValues" dxfId="8587" priority="4174"/>
    <cfRule type="duplicateValues" dxfId="8586" priority="4173"/>
    <cfRule type="duplicateValues" dxfId="8585" priority="4172"/>
    <cfRule type="duplicateValues" dxfId="8584" priority="4171"/>
    <cfRule type="duplicateValues" dxfId="8583" priority="4170"/>
    <cfRule type="duplicateValues" dxfId="8582" priority="4169"/>
    <cfRule type="duplicateValues" dxfId="8581" priority="4168"/>
    <cfRule type="duplicateValues" dxfId="8580" priority="4167"/>
    <cfRule type="duplicateValues" dxfId="8579" priority="4166"/>
    <cfRule type="duplicateValues" dxfId="8578" priority="4165"/>
    <cfRule type="duplicateValues" dxfId="8577" priority="4164"/>
    <cfRule type="duplicateValues" dxfId="8576" priority="4163"/>
    <cfRule type="duplicateValues" dxfId="8575" priority="4162"/>
    <cfRule type="duplicateValues" dxfId="8574" priority="4161"/>
    <cfRule type="duplicateValues" dxfId="8573" priority="4160"/>
    <cfRule type="duplicateValues" dxfId="8572" priority="4159"/>
    <cfRule type="duplicateValues" dxfId="8571" priority="4158"/>
    <cfRule type="duplicateValues" dxfId="8570" priority="4157"/>
    <cfRule type="duplicateValues" dxfId="8569" priority="4156"/>
    <cfRule type="duplicateValues" dxfId="8568" priority="4155"/>
    <cfRule type="duplicateValues" dxfId="8567" priority="4154"/>
    <cfRule type="duplicateValues" dxfId="8566" priority="4153"/>
    <cfRule type="duplicateValues" dxfId="8565" priority="4152"/>
    <cfRule type="duplicateValues" dxfId="8564" priority="4151"/>
    <cfRule type="duplicateValues" dxfId="8563" priority="4150"/>
    <cfRule type="duplicateValues" dxfId="8562" priority="4149"/>
    <cfRule type="duplicateValues" dxfId="8561" priority="4148"/>
    <cfRule type="duplicateValues" dxfId="8560" priority="4147"/>
    <cfRule type="duplicateValues" dxfId="8559" priority="4146"/>
    <cfRule type="duplicateValues" dxfId="8558" priority="4145"/>
    <cfRule type="duplicateValues" dxfId="8557" priority="4144"/>
    <cfRule type="duplicateValues" dxfId="8556" priority="4143"/>
    <cfRule type="duplicateValues" dxfId="8555" priority="4142"/>
    <cfRule type="duplicateValues" dxfId="8554" priority="4141"/>
    <cfRule type="duplicateValues" dxfId="8553" priority="4140"/>
    <cfRule type="duplicateValues" dxfId="8552" priority="4139"/>
    <cfRule type="duplicateValues" dxfId="8551" priority="4138"/>
    <cfRule type="duplicateValues" dxfId="8550" priority="4137"/>
    <cfRule type="duplicateValues" dxfId="8549" priority="4136"/>
    <cfRule type="duplicateValues" dxfId="8548" priority="4135"/>
    <cfRule type="duplicateValues" dxfId="8547" priority="4134"/>
    <cfRule type="duplicateValues" dxfId="8546" priority="4133"/>
    <cfRule type="duplicateValues" dxfId="8545" priority="4132"/>
    <cfRule type="duplicateValues" dxfId="8544" priority="4131"/>
    <cfRule type="duplicateValues" dxfId="8543" priority="4130"/>
    <cfRule type="duplicateValues" dxfId="8542" priority="4129"/>
    <cfRule type="duplicateValues" dxfId="8541" priority="4128"/>
    <cfRule type="duplicateValues" dxfId="8540" priority="4127"/>
    <cfRule type="duplicateValues" dxfId="8539" priority="4126"/>
    <cfRule type="duplicateValues" dxfId="8538" priority="4125"/>
    <cfRule type="duplicateValues" dxfId="8537" priority="4124"/>
    <cfRule type="duplicateValues" dxfId="8536" priority="4123"/>
    <cfRule type="duplicateValues" dxfId="8535" priority="4122"/>
    <cfRule type="duplicateValues" dxfId="8534" priority="4121"/>
    <cfRule type="duplicateValues" dxfId="8533" priority="4120"/>
    <cfRule type="duplicateValues" dxfId="8532" priority="4119"/>
    <cfRule type="duplicateValues" dxfId="8531" priority="4118"/>
    <cfRule type="duplicateValues" dxfId="8530" priority="4117"/>
    <cfRule type="duplicateValues" dxfId="8529" priority="4116"/>
    <cfRule type="duplicateValues" dxfId="8528" priority="4115"/>
    <cfRule type="duplicateValues" dxfId="8527" priority="4114"/>
    <cfRule type="duplicateValues" dxfId="8526" priority="4113"/>
    <cfRule type="duplicateValues" dxfId="8525" priority="4112"/>
    <cfRule type="duplicateValues" dxfId="8524" priority="4111"/>
    <cfRule type="duplicateValues" dxfId="8523" priority="4110"/>
    <cfRule type="duplicateValues" dxfId="8522" priority="4109"/>
    <cfRule type="duplicateValues" dxfId="8521" priority="4108"/>
    <cfRule type="duplicateValues" dxfId="8520" priority="4107"/>
    <cfRule type="duplicateValues" dxfId="8519" priority="4106"/>
    <cfRule type="duplicateValues" dxfId="8518" priority="4105"/>
    <cfRule type="duplicateValues" dxfId="8517" priority="4104"/>
    <cfRule type="duplicateValues" dxfId="8516" priority="4103"/>
    <cfRule type="duplicateValues" dxfId="8515" priority="4102"/>
    <cfRule type="duplicateValues" dxfId="8514" priority="4101"/>
    <cfRule type="duplicateValues" dxfId="8513" priority="4100"/>
    <cfRule type="duplicateValues" dxfId="8512" priority="4099"/>
    <cfRule type="duplicateValues" dxfId="8511" priority="4098"/>
    <cfRule type="duplicateValues" dxfId="8510" priority="4097"/>
    <cfRule type="duplicateValues" dxfId="8509" priority="4096"/>
    <cfRule type="duplicateValues" dxfId="8508" priority="4095"/>
    <cfRule type="duplicateValues" dxfId="8507" priority="4094"/>
    <cfRule type="duplicateValues" dxfId="8506" priority="4093"/>
    <cfRule type="duplicateValues" dxfId="8505" priority="4092"/>
    <cfRule type="duplicateValues" dxfId="8504" priority="4091"/>
    <cfRule type="duplicateValues" dxfId="8503" priority="4090"/>
    <cfRule type="duplicateValues" dxfId="8502" priority="4089"/>
    <cfRule type="duplicateValues" dxfId="8501" priority="4088"/>
    <cfRule type="duplicateValues" dxfId="8500" priority="4087"/>
    <cfRule type="duplicateValues" dxfId="8499" priority="4086"/>
    <cfRule type="duplicateValues" dxfId="8498" priority="4085"/>
    <cfRule type="duplicateValues" dxfId="8497" priority="4084"/>
    <cfRule type="duplicateValues" dxfId="8496" priority="4083"/>
    <cfRule type="duplicateValues" dxfId="8495" priority="4082"/>
    <cfRule type="duplicateValues" dxfId="8494" priority="4081"/>
    <cfRule type="duplicateValues" dxfId="8493" priority="4080"/>
    <cfRule type="duplicateValues" dxfId="8492" priority="4079"/>
    <cfRule type="duplicateValues" dxfId="8491" priority="4078"/>
    <cfRule type="duplicateValues" dxfId="8490" priority="4077"/>
    <cfRule type="duplicateValues" dxfId="8489" priority="4076"/>
    <cfRule type="duplicateValues" dxfId="8488" priority="4075"/>
    <cfRule type="duplicateValues" dxfId="8487" priority="4074"/>
    <cfRule type="duplicateValues" dxfId="8486" priority="4073"/>
    <cfRule type="duplicateValues" dxfId="8485" priority="4072"/>
    <cfRule type="duplicateValues" dxfId="8484" priority="4071"/>
    <cfRule type="duplicateValues" dxfId="8483" priority="4070"/>
    <cfRule type="duplicateValues" dxfId="8482" priority="4069"/>
    <cfRule type="duplicateValues" dxfId="8481" priority="4068"/>
    <cfRule type="duplicateValues" dxfId="8480" priority="4067"/>
    <cfRule type="duplicateValues" dxfId="8479" priority="4066"/>
    <cfRule type="duplicateValues" dxfId="8478" priority="4065"/>
    <cfRule type="duplicateValues" dxfId="8477" priority="4064"/>
    <cfRule type="duplicateValues" dxfId="8476" priority="4063"/>
    <cfRule type="duplicateValues" dxfId="8475" priority="4062"/>
    <cfRule type="duplicateValues" dxfId="8474" priority="4061"/>
    <cfRule type="duplicateValues" dxfId="8473" priority="4060"/>
    <cfRule type="duplicateValues" dxfId="8472" priority="4059"/>
    <cfRule type="duplicateValues" dxfId="8471" priority="4058"/>
    <cfRule type="duplicateValues" dxfId="8470" priority="4057"/>
    <cfRule type="duplicateValues" dxfId="8469" priority="4056"/>
    <cfRule type="duplicateValues" dxfId="8468" priority="4055"/>
    <cfRule type="duplicateValues" dxfId="8467" priority="4054"/>
    <cfRule type="duplicateValues" dxfId="8466" priority="4053"/>
    <cfRule type="duplicateValues" dxfId="8465" priority="4052"/>
    <cfRule type="duplicateValues" dxfId="8464" priority="4051"/>
    <cfRule type="duplicateValues" dxfId="8463" priority="4050"/>
    <cfRule type="duplicateValues" dxfId="8462" priority="4049"/>
    <cfRule type="duplicateValues" dxfId="8461" priority="4048"/>
    <cfRule type="duplicateValues" dxfId="8460" priority="4047"/>
    <cfRule type="duplicateValues" dxfId="8459" priority="4046"/>
    <cfRule type="duplicateValues" dxfId="8458" priority="4045"/>
    <cfRule type="duplicateValues" dxfId="8457" priority="4044"/>
    <cfRule type="duplicateValues" dxfId="8456" priority="4043"/>
    <cfRule type="duplicateValues" dxfId="8455" priority="4042"/>
    <cfRule type="duplicateValues" dxfId="8454" priority="4041"/>
    <cfRule type="duplicateValues" dxfId="8453" priority="4040"/>
    <cfRule type="duplicateValues" dxfId="8452" priority="4039"/>
    <cfRule type="duplicateValues" dxfId="8451" priority="4038"/>
    <cfRule type="duplicateValues" dxfId="8450" priority="4037"/>
    <cfRule type="duplicateValues" dxfId="8449" priority="4036"/>
    <cfRule type="duplicateValues" dxfId="8448" priority="4035"/>
    <cfRule type="duplicateValues" dxfId="8447" priority="4034"/>
    <cfRule type="duplicateValues" dxfId="8446" priority="4033"/>
    <cfRule type="duplicateValues" dxfId="8445" priority="4032"/>
    <cfRule type="duplicateValues" dxfId="8444" priority="4031"/>
    <cfRule type="duplicateValues" dxfId="8443" priority="4030"/>
    <cfRule type="duplicateValues" dxfId="8442" priority="4029"/>
    <cfRule type="duplicateValues" dxfId="8441" priority="4028"/>
    <cfRule type="duplicateValues" dxfId="8440" priority="5187"/>
    <cfRule type="duplicateValues" dxfId="8439" priority="5186"/>
    <cfRule type="duplicateValues" dxfId="8438" priority="5185"/>
    <cfRule type="duplicateValues" dxfId="8437" priority="5184"/>
    <cfRule type="duplicateValues" dxfId="8436" priority="5183"/>
    <cfRule type="duplicateValues" dxfId="8435" priority="5182"/>
    <cfRule type="duplicateValues" dxfId="8434" priority="5181"/>
    <cfRule type="duplicateValues" dxfId="8433" priority="5180"/>
    <cfRule type="duplicateValues" dxfId="8432" priority="5179"/>
    <cfRule type="duplicateValues" dxfId="8431" priority="5178"/>
    <cfRule type="duplicateValues" dxfId="8430" priority="5177"/>
    <cfRule type="duplicateValues" dxfId="8429" priority="5176"/>
    <cfRule type="duplicateValues" dxfId="8428" priority="5175"/>
    <cfRule type="duplicateValues" dxfId="8427" priority="5174"/>
    <cfRule type="duplicateValues" dxfId="8426" priority="5173"/>
    <cfRule type="duplicateValues" dxfId="8425" priority="5172"/>
    <cfRule type="duplicateValues" dxfId="8424" priority="5171"/>
    <cfRule type="duplicateValues" dxfId="8423" priority="5170"/>
    <cfRule type="duplicateValues" dxfId="8422" priority="5169"/>
    <cfRule type="duplicateValues" dxfId="8421" priority="5168"/>
    <cfRule type="duplicateValues" dxfId="8420" priority="5167"/>
    <cfRule type="duplicateValues" dxfId="8419" priority="5166"/>
    <cfRule type="duplicateValues" dxfId="8418" priority="5165"/>
    <cfRule type="duplicateValues" dxfId="8417" priority="5164"/>
    <cfRule type="duplicateValues" dxfId="8416" priority="5163"/>
    <cfRule type="duplicateValues" dxfId="8415" priority="5162"/>
    <cfRule type="duplicateValues" dxfId="8414" priority="5161"/>
    <cfRule type="duplicateValues" dxfId="8413" priority="5160"/>
    <cfRule type="duplicateValues" dxfId="8412" priority="5159"/>
    <cfRule type="duplicateValues" dxfId="8411" priority="5158"/>
    <cfRule type="duplicateValues" dxfId="8410" priority="5157"/>
    <cfRule type="duplicateValues" dxfId="8409" priority="5156"/>
    <cfRule type="duplicateValues" dxfId="8408" priority="5155"/>
    <cfRule type="duplicateValues" dxfId="8407" priority="5154"/>
    <cfRule type="duplicateValues" dxfId="8406" priority="5153"/>
    <cfRule type="duplicateValues" dxfId="8405" priority="5152"/>
    <cfRule type="duplicateValues" dxfId="8404" priority="5151"/>
    <cfRule type="duplicateValues" dxfId="8403" priority="5150"/>
    <cfRule type="duplicateValues" dxfId="8402" priority="5149"/>
    <cfRule type="duplicateValues" dxfId="8401" priority="5148"/>
    <cfRule type="duplicateValues" dxfId="8400" priority="5147"/>
    <cfRule type="duplicateValues" dxfId="8399" priority="5146"/>
    <cfRule type="duplicateValues" dxfId="8398" priority="5145"/>
    <cfRule type="duplicateValues" dxfId="8397" priority="5144"/>
    <cfRule type="duplicateValues" dxfId="8396" priority="5143"/>
    <cfRule type="duplicateValues" dxfId="8395" priority="5142"/>
    <cfRule type="duplicateValues" dxfId="8394" priority="5141"/>
    <cfRule type="duplicateValues" dxfId="8393" priority="5140"/>
    <cfRule type="duplicateValues" dxfId="8392" priority="5139"/>
    <cfRule type="duplicateValues" dxfId="8391" priority="5138"/>
    <cfRule type="duplicateValues" dxfId="8390" priority="5137"/>
    <cfRule type="duplicateValues" dxfId="8389" priority="5136"/>
    <cfRule type="duplicateValues" dxfId="8388" priority="5135"/>
    <cfRule type="duplicateValues" dxfId="8387" priority="5134"/>
    <cfRule type="duplicateValues" dxfId="8386" priority="5133"/>
    <cfRule type="duplicateValues" dxfId="8385" priority="5132"/>
    <cfRule type="duplicateValues" dxfId="8384" priority="5131"/>
    <cfRule type="duplicateValues" dxfId="8383" priority="5130"/>
    <cfRule type="duplicateValues" dxfId="8382" priority="5129"/>
    <cfRule type="duplicateValues" dxfId="8381" priority="5128"/>
    <cfRule type="duplicateValues" dxfId="8380" priority="5127"/>
    <cfRule type="duplicateValues" dxfId="8379" priority="5126"/>
    <cfRule type="duplicateValues" dxfId="8378" priority="5125"/>
    <cfRule type="duplicateValues" dxfId="8377" priority="5124"/>
    <cfRule type="duplicateValues" dxfId="8376" priority="5123"/>
    <cfRule type="duplicateValues" dxfId="8375" priority="5122"/>
    <cfRule type="duplicateValues" dxfId="8374" priority="5121"/>
    <cfRule type="duplicateValues" dxfId="8373" priority="5120"/>
    <cfRule type="duplicateValues" dxfId="8372" priority="5119"/>
    <cfRule type="duplicateValues" dxfId="8371" priority="5118"/>
    <cfRule type="duplicateValues" dxfId="8370" priority="5117"/>
    <cfRule type="duplicateValues" dxfId="8369" priority="5116"/>
    <cfRule type="duplicateValues" dxfId="8368" priority="5115"/>
    <cfRule type="duplicateValues" dxfId="8367" priority="5114"/>
    <cfRule type="duplicateValues" dxfId="8366" priority="5113"/>
    <cfRule type="duplicateValues" dxfId="8365" priority="5112"/>
    <cfRule type="duplicateValues" dxfId="8364" priority="5111"/>
    <cfRule type="duplicateValues" dxfId="8363" priority="5110"/>
    <cfRule type="duplicateValues" dxfId="8362" priority="5109"/>
    <cfRule type="duplicateValues" dxfId="8361" priority="5108"/>
    <cfRule type="duplicateValues" dxfId="8360" priority="5107"/>
    <cfRule type="duplicateValues" dxfId="8359" priority="5106"/>
    <cfRule type="duplicateValues" dxfId="8358" priority="5105"/>
    <cfRule type="duplicateValues" dxfId="8357" priority="5104"/>
    <cfRule type="duplicateValues" dxfId="8356" priority="5103"/>
    <cfRule type="duplicateValues" dxfId="8355" priority="5102"/>
    <cfRule type="duplicateValues" dxfId="8354" priority="5101"/>
    <cfRule type="duplicateValues" dxfId="8353" priority="5100"/>
    <cfRule type="duplicateValues" dxfId="8352" priority="5099"/>
    <cfRule type="duplicateValues" dxfId="8351" priority="5098"/>
    <cfRule type="duplicateValues" dxfId="8350" priority="5097"/>
    <cfRule type="duplicateValues" dxfId="8349" priority="5096"/>
    <cfRule type="duplicateValues" dxfId="8348" priority="5095"/>
    <cfRule type="duplicateValues" dxfId="8347" priority="5094"/>
    <cfRule type="duplicateValues" dxfId="8346" priority="5093"/>
    <cfRule type="duplicateValues" dxfId="8345" priority="5092"/>
    <cfRule type="duplicateValues" dxfId="8344" priority="5091"/>
    <cfRule type="duplicateValues" dxfId="8343" priority="5090"/>
    <cfRule type="duplicateValues" dxfId="8342" priority="5089"/>
    <cfRule type="duplicateValues" dxfId="8341" priority="5088"/>
    <cfRule type="duplicateValues" dxfId="8340" priority="5087"/>
    <cfRule type="duplicateValues" dxfId="8339" priority="5086"/>
    <cfRule type="duplicateValues" dxfId="8338" priority="5085"/>
    <cfRule type="duplicateValues" dxfId="8337" priority="5084"/>
    <cfRule type="duplicateValues" dxfId="8336" priority="5083"/>
    <cfRule type="duplicateValues" dxfId="8335" priority="5082"/>
    <cfRule type="duplicateValues" dxfId="8334" priority="5081"/>
    <cfRule type="duplicateValues" dxfId="8333" priority="5080"/>
    <cfRule type="duplicateValues" dxfId="8332" priority="5079"/>
    <cfRule type="duplicateValues" dxfId="8331" priority="5078"/>
    <cfRule type="duplicateValues" dxfId="8330" priority="5077"/>
    <cfRule type="duplicateValues" dxfId="8329" priority="5076"/>
    <cfRule type="duplicateValues" dxfId="8328" priority="5075"/>
    <cfRule type="duplicateValues" dxfId="8327" priority="5074"/>
    <cfRule type="duplicateValues" dxfId="8326" priority="5073"/>
    <cfRule type="duplicateValues" dxfId="8325" priority="5072"/>
    <cfRule type="duplicateValues" dxfId="8324" priority="5071"/>
    <cfRule type="duplicateValues" dxfId="8323" priority="5070"/>
    <cfRule type="duplicateValues" dxfId="8322" priority="5069"/>
    <cfRule type="duplicateValues" dxfId="8321" priority="5068"/>
    <cfRule type="duplicateValues" dxfId="8320" priority="5067"/>
    <cfRule type="duplicateValues" dxfId="8319" priority="5066"/>
    <cfRule type="duplicateValues" dxfId="8318" priority="5065"/>
    <cfRule type="duplicateValues" dxfId="8317" priority="5064"/>
    <cfRule type="duplicateValues" dxfId="8316" priority="5063"/>
    <cfRule type="duplicateValues" dxfId="8315" priority="5062"/>
    <cfRule type="duplicateValues" dxfId="8314" priority="5061"/>
    <cfRule type="duplicateValues" dxfId="8313" priority="5060"/>
    <cfRule type="duplicateValues" dxfId="8312" priority="5059"/>
    <cfRule type="duplicateValues" dxfId="8311" priority="5058"/>
    <cfRule type="duplicateValues" dxfId="8310" priority="5057"/>
    <cfRule type="duplicateValues" dxfId="8309" priority="5056"/>
    <cfRule type="duplicateValues" dxfId="8308" priority="5055"/>
    <cfRule type="duplicateValues" dxfId="8307" priority="5054"/>
    <cfRule type="duplicateValues" dxfId="8306" priority="5053"/>
    <cfRule type="duplicateValues" dxfId="8305" priority="5052"/>
    <cfRule type="duplicateValues" dxfId="8304" priority="5051"/>
    <cfRule type="duplicateValues" dxfId="8303" priority="5050"/>
    <cfRule type="duplicateValues" dxfId="8302" priority="5049"/>
    <cfRule type="duplicateValues" dxfId="8301" priority="5048"/>
    <cfRule type="duplicateValues" dxfId="8300" priority="5047"/>
    <cfRule type="duplicateValues" dxfId="8299" priority="5046"/>
    <cfRule type="duplicateValues" dxfId="8298" priority="5045"/>
    <cfRule type="duplicateValues" dxfId="8297" priority="5044"/>
    <cfRule type="duplicateValues" dxfId="8296" priority="5043"/>
    <cfRule type="duplicateValues" dxfId="8295" priority="5042"/>
    <cfRule type="duplicateValues" dxfId="8294" priority="5041"/>
    <cfRule type="duplicateValues" dxfId="8293" priority="5040"/>
    <cfRule type="duplicateValues" dxfId="8292" priority="5039"/>
    <cfRule type="duplicateValues" dxfId="8291" priority="5038"/>
    <cfRule type="duplicateValues" dxfId="8290" priority="5037"/>
    <cfRule type="duplicateValues" dxfId="8289" priority="5036"/>
    <cfRule type="duplicateValues" dxfId="8288" priority="5035"/>
    <cfRule type="duplicateValues" dxfId="8287" priority="5034"/>
    <cfRule type="duplicateValues" dxfId="8286" priority="5033"/>
    <cfRule type="duplicateValues" dxfId="8285" priority="5032"/>
    <cfRule type="duplicateValues" dxfId="8284" priority="5031"/>
    <cfRule type="duplicateValues" dxfId="8283" priority="5030"/>
    <cfRule type="duplicateValues" dxfId="8282" priority="5029"/>
    <cfRule type="duplicateValues" dxfId="8281" priority="5028"/>
    <cfRule type="duplicateValues" dxfId="8280" priority="5027"/>
    <cfRule type="duplicateValues" dxfId="8279" priority="5026"/>
    <cfRule type="duplicateValues" dxfId="8278" priority="5025"/>
    <cfRule type="duplicateValues" dxfId="8277" priority="5024"/>
    <cfRule type="duplicateValues" dxfId="8276" priority="5023"/>
    <cfRule type="duplicateValues" dxfId="8275" priority="5022"/>
    <cfRule type="duplicateValues" dxfId="8274" priority="5021"/>
    <cfRule type="duplicateValues" dxfId="8273" priority="5020"/>
    <cfRule type="duplicateValues" dxfId="8272" priority="5019"/>
    <cfRule type="duplicateValues" dxfId="8271" priority="5018"/>
    <cfRule type="duplicateValues" dxfId="8270" priority="5017"/>
    <cfRule type="duplicateValues" dxfId="8269" priority="5016"/>
    <cfRule type="duplicateValues" dxfId="8268" priority="5015"/>
    <cfRule type="duplicateValues" dxfId="8267" priority="5014"/>
    <cfRule type="duplicateValues" dxfId="8266" priority="5013"/>
    <cfRule type="duplicateValues" dxfId="8265" priority="5012"/>
    <cfRule type="duplicateValues" dxfId="8264" priority="5011"/>
    <cfRule type="duplicateValues" dxfId="8263" priority="5010"/>
    <cfRule type="duplicateValues" dxfId="8262" priority="5009"/>
    <cfRule type="duplicateValues" dxfId="8261" priority="5008"/>
    <cfRule type="duplicateValues" dxfId="8260" priority="5007"/>
    <cfRule type="duplicateValues" dxfId="8259" priority="5006"/>
    <cfRule type="duplicateValues" dxfId="8258" priority="5005"/>
    <cfRule type="duplicateValues" dxfId="8257" priority="5004"/>
    <cfRule type="duplicateValues" dxfId="8256" priority="5003"/>
    <cfRule type="duplicateValues" dxfId="8255" priority="5002"/>
    <cfRule type="duplicateValues" dxfId="8254" priority="5001"/>
    <cfRule type="duplicateValues" dxfId="8253" priority="5000"/>
    <cfRule type="duplicateValues" dxfId="8252" priority="4999"/>
    <cfRule type="duplicateValues" dxfId="8251" priority="4998"/>
    <cfRule type="duplicateValues" dxfId="8250" priority="4997"/>
    <cfRule type="duplicateValues" dxfId="8249" priority="4996"/>
    <cfRule type="duplicateValues" dxfId="8248" priority="4995"/>
    <cfRule type="duplicateValues" dxfId="8247" priority="4994"/>
    <cfRule type="duplicateValues" dxfId="8246" priority="4993"/>
    <cfRule type="duplicateValues" dxfId="8245" priority="4992"/>
    <cfRule type="duplicateValues" dxfId="8244" priority="4991"/>
    <cfRule type="duplicateValues" dxfId="8243" priority="4990"/>
    <cfRule type="duplicateValues" dxfId="8242" priority="4989"/>
    <cfRule type="duplicateValues" dxfId="8241" priority="4988"/>
    <cfRule type="duplicateValues" dxfId="8240" priority="4987"/>
    <cfRule type="duplicateValues" dxfId="8239" priority="4986"/>
    <cfRule type="duplicateValues" dxfId="8238" priority="4985"/>
    <cfRule type="duplicateValues" dxfId="8237" priority="4984"/>
    <cfRule type="duplicateValues" dxfId="8236" priority="4983"/>
    <cfRule type="duplicateValues" dxfId="8235" priority="4982"/>
    <cfRule type="duplicateValues" dxfId="8234" priority="4981"/>
    <cfRule type="duplicateValues" dxfId="8233" priority="4980"/>
    <cfRule type="duplicateValues" dxfId="8232" priority="4979"/>
    <cfRule type="duplicateValues" dxfId="8231" priority="4978"/>
    <cfRule type="duplicateValues" dxfId="8230" priority="4977"/>
    <cfRule type="duplicateValues" dxfId="8229" priority="4976"/>
    <cfRule type="duplicateValues" dxfId="8228" priority="4975"/>
    <cfRule type="duplicateValues" dxfId="8227" priority="4974"/>
    <cfRule type="duplicateValues" dxfId="8226" priority="4973"/>
    <cfRule type="duplicateValues" dxfId="8225" priority="4972"/>
    <cfRule type="duplicateValues" dxfId="8224" priority="4971"/>
    <cfRule type="duplicateValues" dxfId="8223" priority="4970"/>
    <cfRule type="duplicateValues" dxfId="8222" priority="4969"/>
  </conditionalFormatting>
  <conditionalFormatting sqref="P100">
    <cfRule type="duplicateValues" dxfId="8221" priority="16990"/>
    <cfRule type="duplicateValues" dxfId="8220" priority="16857"/>
    <cfRule type="duplicateValues" dxfId="8219" priority="16856"/>
    <cfRule type="duplicateValues" dxfId="8218" priority="16855"/>
    <cfRule type="duplicateValues" dxfId="8217" priority="16854"/>
    <cfRule type="duplicateValues" dxfId="8216" priority="16853"/>
    <cfRule type="duplicateValues" dxfId="8215" priority="16852"/>
    <cfRule type="duplicateValues" dxfId="8214" priority="16851"/>
    <cfRule type="duplicateValues" dxfId="8213" priority="16850"/>
    <cfRule type="duplicateValues" dxfId="8212" priority="16849"/>
    <cfRule type="duplicateValues" dxfId="8211" priority="16848"/>
    <cfRule type="duplicateValues" dxfId="8210" priority="16847"/>
    <cfRule type="duplicateValues" dxfId="8209" priority="16846"/>
    <cfRule type="duplicateValues" dxfId="8208" priority="16845"/>
    <cfRule type="duplicateValues" dxfId="8207" priority="16844"/>
    <cfRule type="duplicateValues" dxfId="8206" priority="16843"/>
    <cfRule type="duplicateValues" dxfId="8205" priority="16842"/>
    <cfRule type="duplicateValues" dxfId="8204" priority="16841"/>
    <cfRule type="duplicateValues" dxfId="8203" priority="16840"/>
    <cfRule type="duplicateValues" dxfId="8202" priority="16839"/>
    <cfRule type="duplicateValues" dxfId="8201" priority="16838"/>
    <cfRule type="duplicateValues" dxfId="8200" priority="16837"/>
    <cfRule type="duplicateValues" dxfId="8199" priority="16836"/>
    <cfRule type="duplicateValues" dxfId="8198" priority="16835"/>
    <cfRule type="duplicateValues" dxfId="8197" priority="16834"/>
    <cfRule type="duplicateValues" dxfId="8196" priority="16833"/>
    <cfRule type="duplicateValues" dxfId="8195" priority="16832"/>
    <cfRule type="duplicateValues" dxfId="8194" priority="16831"/>
    <cfRule type="duplicateValues" dxfId="8193" priority="16830"/>
    <cfRule type="duplicateValues" dxfId="8192" priority="16829"/>
    <cfRule type="duplicateValues" dxfId="8191" priority="16828"/>
    <cfRule type="duplicateValues" dxfId="8190" priority="16827"/>
    <cfRule type="duplicateValues" dxfId="8189" priority="16826"/>
    <cfRule type="duplicateValues" dxfId="8188" priority="16825"/>
    <cfRule type="duplicateValues" dxfId="8187" priority="16824"/>
    <cfRule type="duplicateValues" dxfId="8186" priority="16823"/>
    <cfRule type="duplicateValues" dxfId="8185" priority="16822"/>
    <cfRule type="duplicateValues" dxfId="8184" priority="16821"/>
    <cfRule type="duplicateValues" dxfId="8183" priority="16820"/>
    <cfRule type="duplicateValues" dxfId="8182" priority="16819"/>
    <cfRule type="duplicateValues" dxfId="8181" priority="16818"/>
    <cfRule type="duplicateValues" dxfId="8180" priority="16817"/>
    <cfRule type="duplicateValues" dxfId="8179" priority="16816"/>
    <cfRule type="duplicateValues" dxfId="8178" priority="16815"/>
    <cfRule type="duplicateValues" dxfId="8177" priority="16814"/>
    <cfRule type="duplicateValues" dxfId="8176" priority="16813"/>
    <cfRule type="duplicateValues" dxfId="8175" priority="16812"/>
    <cfRule type="duplicateValues" dxfId="8174" priority="16811"/>
    <cfRule type="duplicateValues" dxfId="8173" priority="16810"/>
    <cfRule type="duplicateValues" dxfId="8172" priority="16809"/>
    <cfRule type="duplicateValues" dxfId="8171" priority="16808"/>
    <cfRule type="duplicateValues" dxfId="8170" priority="16807"/>
    <cfRule type="duplicateValues" dxfId="8169" priority="16806"/>
    <cfRule type="duplicateValues" dxfId="8168" priority="16805"/>
    <cfRule type="duplicateValues" dxfId="8167" priority="16804"/>
    <cfRule type="duplicateValues" dxfId="8166" priority="16803"/>
    <cfRule type="duplicateValues" dxfId="8165" priority="16802"/>
    <cfRule type="duplicateValues" dxfId="8164" priority="16801"/>
    <cfRule type="duplicateValues" dxfId="8163" priority="16800"/>
    <cfRule type="duplicateValues" dxfId="8162" priority="16799"/>
    <cfRule type="duplicateValues" dxfId="8161" priority="16798"/>
    <cfRule type="duplicateValues" dxfId="8160" priority="16797"/>
    <cfRule type="duplicateValues" dxfId="8159" priority="16796"/>
    <cfRule type="duplicateValues" dxfId="8158" priority="16795"/>
    <cfRule type="duplicateValues" dxfId="8157" priority="16794"/>
    <cfRule type="duplicateValues" dxfId="8156" priority="16793"/>
    <cfRule type="duplicateValues" dxfId="8155" priority="16792"/>
    <cfRule type="duplicateValues" dxfId="8154" priority="16791"/>
    <cfRule type="duplicateValues" dxfId="8153" priority="16790"/>
    <cfRule type="duplicateValues" dxfId="8152" priority="16789"/>
    <cfRule type="duplicateValues" dxfId="8151" priority="16788"/>
    <cfRule type="duplicateValues" dxfId="8150" priority="16787"/>
    <cfRule type="duplicateValues" dxfId="8149" priority="16786"/>
    <cfRule type="duplicateValues" dxfId="8148" priority="16785"/>
    <cfRule type="duplicateValues" dxfId="8147" priority="16784"/>
    <cfRule type="duplicateValues" dxfId="8146" priority="16783"/>
    <cfRule type="duplicateValues" dxfId="8145" priority="16782"/>
    <cfRule type="duplicateValues" dxfId="8144" priority="16781"/>
    <cfRule type="duplicateValues" dxfId="8143" priority="16780"/>
    <cfRule type="duplicateValues" dxfId="8142" priority="16779"/>
    <cfRule type="duplicateValues" dxfId="8141" priority="16778"/>
    <cfRule type="duplicateValues" dxfId="8140" priority="16777"/>
    <cfRule type="duplicateValues" dxfId="8139" priority="16776"/>
    <cfRule type="duplicateValues" dxfId="8138" priority="16775"/>
    <cfRule type="duplicateValues" dxfId="8137" priority="16774"/>
    <cfRule type="duplicateValues" dxfId="8136" priority="16773"/>
    <cfRule type="duplicateValues" dxfId="8135" priority="16772"/>
    <cfRule type="duplicateValues" dxfId="8134" priority="16771"/>
    <cfRule type="duplicateValues" dxfId="8133" priority="16770"/>
    <cfRule type="duplicateValues" dxfId="8132" priority="16769"/>
    <cfRule type="duplicateValues" dxfId="8131" priority="16768"/>
    <cfRule type="duplicateValues" dxfId="8130" priority="16767"/>
    <cfRule type="duplicateValues" dxfId="8129" priority="16766"/>
    <cfRule type="duplicateValues" dxfId="8128" priority="16765"/>
    <cfRule type="duplicateValues" dxfId="8127" priority="16764"/>
    <cfRule type="duplicateValues" dxfId="8126" priority="16763"/>
    <cfRule type="duplicateValues" dxfId="8125" priority="16762"/>
    <cfRule type="duplicateValues" dxfId="8124" priority="16761"/>
    <cfRule type="duplicateValues" dxfId="8123" priority="16760"/>
    <cfRule type="duplicateValues" dxfId="8122" priority="16759"/>
    <cfRule type="duplicateValues" dxfId="8121" priority="16758"/>
    <cfRule type="duplicateValues" dxfId="8120" priority="16757"/>
    <cfRule type="duplicateValues" dxfId="8119" priority="16756"/>
    <cfRule type="duplicateValues" dxfId="8118" priority="16755"/>
    <cfRule type="duplicateValues" dxfId="8117" priority="16754"/>
    <cfRule type="duplicateValues" dxfId="8116" priority="16753"/>
    <cfRule type="duplicateValues" dxfId="8115" priority="16752"/>
    <cfRule type="duplicateValues" dxfId="8114" priority="16751"/>
    <cfRule type="duplicateValues" dxfId="8113" priority="16750"/>
    <cfRule type="duplicateValues" dxfId="8112" priority="16749"/>
    <cfRule type="duplicateValues" dxfId="8111" priority="16748"/>
    <cfRule type="duplicateValues" dxfId="8110" priority="16747"/>
    <cfRule type="duplicateValues" dxfId="8109" priority="16746"/>
    <cfRule type="duplicateValues" dxfId="8108" priority="16745"/>
    <cfRule type="duplicateValues" dxfId="8107" priority="16744"/>
    <cfRule type="duplicateValues" dxfId="8106" priority="16743"/>
    <cfRule type="duplicateValues" dxfId="8105" priority="16742"/>
    <cfRule type="duplicateValues" dxfId="8104" priority="16741"/>
    <cfRule type="duplicateValues" dxfId="8103" priority="16740"/>
    <cfRule type="duplicateValues" dxfId="8102" priority="16739"/>
    <cfRule type="duplicateValues" dxfId="8101" priority="16738"/>
    <cfRule type="duplicateValues" dxfId="8100" priority="16737"/>
    <cfRule type="duplicateValues" dxfId="8099" priority="16736"/>
    <cfRule type="duplicateValues" dxfId="8098" priority="16735"/>
    <cfRule type="duplicateValues" dxfId="8097" priority="16734"/>
    <cfRule type="duplicateValues" dxfId="8096" priority="16733"/>
    <cfRule type="duplicateValues" dxfId="8095" priority="16732"/>
    <cfRule type="duplicateValues" dxfId="8094" priority="16731"/>
    <cfRule type="duplicateValues" dxfId="8093" priority="16730"/>
    <cfRule type="duplicateValues" dxfId="8092" priority="16729"/>
    <cfRule type="duplicateValues" dxfId="8091" priority="16728"/>
    <cfRule type="duplicateValues" dxfId="8090" priority="16727"/>
    <cfRule type="duplicateValues" dxfId="8089" priority="16726"/>
    <cfRule type="duplicateValues" dxfId="8088" priority="16725"/>
    <cfRule type="duplicateValues" dxfId="8087" priority="16724"/>
    <cfRule type="duplicateValues" dxfId="8086" priority="16723"/>
    <cfRule type="duplicateValues" dxfId="8085" priority="16722"/>
    <cfRule type="duplicateValues" dxfId="8084" priority="16721"/>
    <cfRule type="duplicateValues" dxfId="8083" priority="16720"/>
    <cfRule type="duplicateValues" dxfId="8082" priority="16719"/>
    <cfRule type="duplicateValues" dxfId="8081" priority="16718"/>
    <cfRule type="duplicateValues" dxfId="8080" priority="16717"/>
    <cfRule type="duplicateValues" dxfId="8079" priority="16716"/>
    <cfRule type="duplicateValues" dxfId="8078" priority="16715"/>
    <cfRule type="duplicateValues" dxfId="8077" priority="16714"/>
    <cfRule type="duplicateValues" dxfId="8076" priority="16713"/>
    <cfRule type="duplicateValues" dxfId="8075" priority="16712"/>
    <cfRule type="duplicateValues" dxfId="8074" priority="16711"/>
    <cfRule type="duplicateValues" dxfId="8073" priority="16710"/>
    <cfRule type="duplicateValues" dxfId="8072" priority="16709"/>
    <cfRule type="duplicateValues" dxfId="8071" priority="16708"/>
    <cfRule type="duplicateValues" dxfId="8070" priority="16707"/>
    <cfRule type="duplicateValues" dxfId="8069" priority="16706"/>
    <cfRule type="duplicateValues" dxfId="8068" priority="16705"/>
    <cfRule type="duplicateValues" dxfId="8067" priority="16704"/>
    <cfRule type="duplicateValues" dxfId="8066" priority="16703"/>
    <cfRule type="duplicateValues" dxfId="8065" priority="16702"/>
    <cfRule type="duplicateValues" dxfId="8064" priority="16701"/>
    <cfRule type="duplicateValues" dxfId="8063" priority="16700"/>
    <cfRule type="duplicateValues" dxfId="8062" priority="16699"/>
    <cfRule type="duplicateValues" dxfId="8061" priority="16698"/>
    <cfRule type="duplicateValues" dxfId="8060" priority="16697"/>
    <cfRule type="duplicateValues" dxfId="8059" priority="16696"/>
    <cfRule type="duplicateValues" dxfId="8058" priority="16695"/>
    <cfRule type="duplicateValues" dxfId="8057" priority="16694"/>
    <cfRule type="duplicateValues" dxfId="8056" priority="16693"/>
    <cfRule type="duplicateValues" dxfId="8055" priority="16692"/>
    <cfRule type="duplicateValues" dxfId="8054" priority="16691"/>
    <cfRule type="duplicateValues" dxfId="8053" priority="16690"/>
    <cfRule type="duplicateValues" dxfId="8052" priority="16689"/>
    <cfRule type="duplicateValues" dxfId="8051" priority="16688"/>
    <cfRule type="duplicateValues" dxfId="8050" priority="16687"/>
    <cfRule type="duplicateValues" dxfId="8049" priority="16686"/>
    <cfRule type="duplicateValues" dxfId="8048" priority="16685"/>
    <cfRule type="duplicateValues" dxfId="8047" priority="16684"/>
    <cfRule type="duplicateValues" dxfId="8046" priority="16683"/>
    <cfRule type="duplicateValues" dxfId="8045" priority="16682"/>
    <cfRule type="duplicateValues" dxfId="8044" priority="16681"/>
    <cfRule type="duplicateValues" dxfId="8043" priority="16680"/>
    <cfRule type="duplicateValues" dxfId="8042" priority="16679"/>
    <cfRule type="duplicateValues" dxfId="8041" priority="16678"/>
    <cfRule type="duplicateValues" dxfId="8040" priority="16677"/>
    <cfRule type="duplicateValues" dxfId="8039" priority="16676"/>
    <cfRule type="duplicateValues" dxfId="8038" priority="16675"/>
    <cfRule type="duplicateValues" dxfId="8037" priority="16674"/>
    <cfRule type="duplicateValues" dxfId="8036" priority="16673"/>
    <cfRule type="duplicateValues" dxfId="8035" priority="16672"/>
    <cfRule type="duplicateValues" dxfId="8034" priority="16671"/>
    <cfRule type="duplicateValues" dxfId="8033" priority="16670"/>
    <cfRule type="duplicateValues" dxfId="8032" priority="16669"/>
    <cfRule type="duplicateValues" dxfId="8031" priority="16668"/>
    <cfRule type="duplicateValues" dxfId="8030" priority="16667"/>
    <cfRule type="duplicateValues" dxfId="8029" priority="16666"/>
    <cfRule type="duplicateValues" dxfId="8028" priority="16665"/>
    <cfRule type="duplicateValues" dxfId="8027" priority="16664"/>
    <cfRule type="duplicateValues" dxfId="8026" priority="16663"/>
    <cfRule type="duplicateValues" dxfId="8025" priority="16662"/>
    <cfRule type="duplicateValues" dxfId="8024" priority="16661"/>
    <cfRule type="duplicateValues" dxfId="8023" priority="16660"/>
    <cfRule type="duplicateValues" dxfId="8022" priority="16659"/>
    <cfRule type="duplicateValues" dxfId="8021" priority="16658"/>
    <cfRule type="duplicateValues" dxfId="8020" priority="16657"/>
    <cfRule type="duplicateValues" dxfId="8019" priority="16656"/>
    <cfRule type="duplicateValues" dxfId="8018" priority="16655"/>
    <cfRule type="duplicateValues" dxfId="8017" priority="16654"/>
    <cfRule type="duplicateValues" dxfId="8016" priority="16653"/>
    <cfRule type="duplicateValues" dxfId="8015" priority="16652"/>
    <cfRule type="duplicateValues" dxfId="8014" priority="16651"/>
    <cfRule type="duplicateValues" dxfId="8013" priority="16650"/>
    <cfRule type="duplicateValues" dxfId="8012" priority="16649"/>
    <cfRule type="duplicateValues" dxfId="8011" priority="16648"/>
    <cfRule type="duplicateValues" dxfId="8010" priority="16647"/>
    <cfRule type="duplicateValues" dxfId="8009" priority="16646"/>
    <cfRule type="duplicateValues" dxfId="8008" priority="16645"/>
    <cfRule type="duplicateValues" dxfId="8007" priority="16644"/>
    <cfRule type="duplicateValues" dxfId="8006" priority="16643"/>
    <cfRule type="duplicateValues" dxfId="8005" priority="16642"/>
    <cfRule type="duplicateValues" dxfId="8004" priority="16641"/>
    <cfRule type="duplicateValues" dxfId="8003" priority="16640"/>
    <cfRule type="duplicateValues" dxfId="8002" priority="16639"/>
    <cfRule type="duplicateValues" dxfId="8001" priority="16638"/>
    <cfRule type="duplicateValues" dxfId="8000" priority="16637"/>
    <cfRule type="duplicateValues" dxfId="7999" priority="16636"/>
    <cfRule type="duplicateValues" dxfId="7998" priority="16635"/>
    <cfRule type="duplicateValues" dxfId="7997" priority="16634"/>
    <cfRule type="duplicateValues" dxfId="7996" priority="16633"/>
    <cfRule type="duplicateValues" dxfId="7995" priority="16632"/>
    <cfRule type="duplicateValues" dxfId="7994" priority="16631"/>
    <cfRule type="duplicateValues" dxfId="7993" priority="16630"/>
    <cfRule type="duplicateValues" dxfId="7992" priority="16629"/>
    <cfRule type="duplicateValues" dxfId="7991" priority="16628"/>
    <cfRule type="duplicateValues" dxfId="7990" priority="16627"/>
    <cfRule type="duplicateValues" dxfId="7989" priority="16626"/>
    <cfRule type="duplicateValues" dxfId="7988" priority="16625"/>
    <cfRule type="duplicateValues" dxfId="7987" priority="16624"/>
    <cfRule type="duplicateValues" dxfId="7986" priority="16623"/>
    <cfRule type="duplicateValues" dxfId="7985" priority="16622"/>
    <cfRule type="duplicateValues" dxfId="7984" priority="16621"/>
    <cfRule type="duplicateValues" dxfId="7983" priority="16620"/>
    <cfRule type="duplicateValues" dxfId="7982" priority="16619"/>
    <cfRule type="duplicateValues" dxfId="7981" priority="16618"/>
    <cfRule type="duplicateValues" dxfId="7980" priority="16617"/>
    <cfRule type="duplicateValues" dxfId="7979" priority="16616"/>
    <cfRule type="duplicateValues" dxfId="7978" priority="16615"/>
    <cfRule type="duplicateValues" dxfId="7977" priority="16614"/>
    <cfRule type="duplicateValues" dxfId="7976" priority="16613"/>
    <cfRule type="duplicateValues" dxfId="7975" priority="16612"/>
    <cfRule type="duplicateValues" dxfId="7974" priority="16611"/>
    <cfRule type="duplicateValues" dxfId="7973" priority="16610"/>
    <cfRule type="duplicateValues" dxfId="7972" priority="16609"/>
    <cfRule type="duplicateValues" dxfId="7971" priority="16608"/>
    <cfRule type="duplicateValues" dxfId="7970" priority="16607"/>
    <cfRule type="duplicateValues" dxfId="7969" priority="16606"/>
    <cfRule type="duplicateValues" dxfId="7968" priority="16605"/>
    <cfRule type="duplicateValues" dxfId="7967" priority="16604"/>
    <cfRule type="duplicateValues" dxfId="7966" priority="16603"/>
    <cfRule type="duplicateValues" dxfId="7965" priority="16602"/>
    <cfRule type="duplicateValues" dxfId="7964" priority="16601"/>
    <cfRule type="duplicateValues" dxfId="7963" priority="16600"/>
    <cfRule type="duplicateValues" dxfId="7962" priority="16599"/>
    <cfRule type="duplicateValues" dxfId="7961" priority="16598"/>
    <cfRule type="duplicateValues" dxfId="7960" priority="16597"/>
    <cfRule type="duplicateValues" dxfId="7959" priority="16596"/>
    <cfRule type="duplicateValues" dxfId="7958" priority="16595"/>
    <cfRule type="duplicateValues" dxfId="7957" priority="16594"/>
    <cfRule type="duplicateValues" dxfId="7956" priority="16593"/>
    <cfRule type="duplicateValues" dxfId="7955" priority="16592"/>
    <cfRule type="duplicateValues" dxfId="7954" priority="16591"/>
    <cfRule type="duplicateValues" dxfId="7953" priority="16590"/>
    <cfRule type="duplicateValues" dxfId="7952" priority="16589"/>
    <cfRule type="duplicateValues" dxfId="7951" priority="16588"/>
    <cfRule type="duplicateValues" dxfId="7950" priority="16587"/>
    <cfRule type="duplicateValues" dxfId="7949" priority="16586"/>
    <cfRule type="duplicateValues" dxfId="7948" priority="16585"/>
    <cfRule type="duplicateValues" dxfId="7947" priority="16584"/>
    <cfRule type="duplicateValues" dxfId="7946" priority="16583"/>
    <cfRule type="duplicateValues" dxfId="7945" priority="16582"/>
    <cfRule type="duplicateValues" dxfId="7944" priority="16581"/>
    <cfRule type="duplicateValues" dxfId="7943" priority="16580"/>
    <cfRule type="duplicateValues" dxfId="7942" priority="16579"/>
    <cfRule type="duplicateValues" dxfId="7941" priority="16578"/>
    <cfRule type="duplicateValues" dxfId="7940" priority="16577"/>
    <cfRule type="duplicateValues" dxfId="7939" priority="16576"/>
    <cfRule type="duplicateValues" dxfId="7938" priority="16575"/>
    <cfRule type="duplicateValues" dxfId="7937" priority="16574"/>
    <cfRule type="duplicateValues" dxfId="7936" priority="16573"/>
    <cfRule type="duplicateValues" dxfId="7935" priority="16572"/>
    <cfRule type="duplicateValues" dxfId="7934" priority="16571"/>
    <cfRule type="duplicateValues" dxfId="7933" priority="16570"/>
    <cfRule type="duplicateValues" dxfId="7932" priority="16569"/>
    <cfRule type="duplicateValues" dxfId="7931" priority="16568"/>
    <cfRule type="duplicateValues" dxfId="7930" priority="16567"/>
    <cfRule type="duplicateValues" dxfId="7929" priority="16566"/>
    <cfRule type="duplicateValues" dxfId="7928" priority="16565"/>
    <cfRule type="duplicateValues" dxfId="7927" priority="16564"/>
    <cfRule type="duplicateValues" dxfId="7926" priority="16563"/>
    <cfRule type="duplicateValues" dxfId="7925" priority="16562"/>
    <cfRule type="duplicateValues" dxfId="7924" priority="16561"/>
    <cfRule type="duplicateValues" dxfId="7923" priority="16560"/>
    <cfRule type="duplicateValues" dxfId="7922" priority="16559"/>
    <cfRule type="duplicateValues" dxfId="7921" priority="16558"/>
    <cfRule type="duplicateValues" dxfId="7920" priority="16557"/>
    <cfRule type="duplicateValues" dxfId="7919" priority="16556"/>
    <cfRule type="duplicateValues" dxfId="7918" priority="16555"/>
    <cfRule type="duplicateValues" dxfId="7917" priority="16554"/>
    <cfRule type="duplicateValues" dxfId="7916" priority="16553"/>
    <cfRule type="duplicateValues" dxfId="7915" priority="16552"/>
    <cfRule type="duplicateValues" dxfId="7914" priority="16551"/>
    <cfRule type="duplicateValues" dxfId="7913" priority="16550"/>
    <cfRule type="duplicateValues" dxfId="7912" priority="16549"/>
    <cfRule type="duplicateValues" dxfId="7911" priority="16548"/>
    <cfRule type="duplicateValues" dxfId="7910" priority="16547"/>
    <cfRule type="duplicateValues" dxfId="7909" priority="16546"/>
    <cfRule type="duplicateValues" dxfId="7908" priority="16545"/>
    <cfRule type="duplicateValues" dxfId="7907" priority="16544"/>
    <cfRule type="duplicateValues" dxfId="7906" priority="16543"/>
    <cfRule type="duplicateValues" dxfId="7905" priority="16542"/>
    <cfRule type="duplicateValues" dxfId="7904" priority="16541"/>
    <cfRule type="duplicateValues" dxfId="7903" priority="16540"/>
    <cfRule type="duplicateValues" dxfId="7902" priority="16539"/>
    <cfRule type="duplicateValues" dxfId="7901" priority="16538"/>
    <cfRule type="duplicateValues" dxfId="7900" priority="16537"/>
    <cfRule type="duplicateValues" dxfId="7899" priority="16536"/>
    <cfRule type="duplicateValues" dxfId="7898" priority="16535"/>
    <cfRule type="duplicateValues" dxfId="7897" priority="16534"/>
    <cfRule type="duplicateValues" dxfId="7896" priority="16533"/>
    <cfRule type="duplicateValues" dxfId="7895" priority="16532"/>
    <cfRule type="duplicateValues" dxfId="7894" priority="16531"/>
    <cfRule type="duplicateValues" dxfId="7893" priority="16530"/>
    <cfRule type="duplicateValues" dxfId="7892" priority="16529"/>
    <cfRule type="duplicateValues" dxfId="7891" priority="16528"/>
    <cfRule type="duplicateValues" dxfId="7890" priority="16527"/>
    <cfRule type="duplicateValues" dxfId="7889" priority="16526"/>
    <cfRule type="duplicateValues" dxfId="7888" priority="17351"/>
    <cfRule type="duplicateValues" dxfId="7887" priority="16525"/>
    <cfRule type="duplicateValues" dxfId="7886" priority="16524"/>
    <cfRule type="duplicateValues" dxfId="7885" priority="16523"/>
    <cfRule type="duplicateValues" dxfId="7884" priority="16522"/>
    <cfRule type="duplicateValues" dxfId="7883" priority="16521"/>
    <cfRule type="duplicateValues" dxfId="7882" priority="16520"/>
    <cfRule type="duplicateValues" dxfId="7881" priority="16519"/>
    <cfRule type="duplicateValues" dxfId="7880" priority="16518"/>
    <cfRule type="duplicateValues" dxfId="7879" priority="16517"/>
    <cfRule type="duplicateValues" dxfId="7878" priority="16516"/>
    <cfRule type="duplicateValues" dxfId="7877" priority="16515"/>
    <cfRule type="duplicateValues" dxfId="7876" priority="16514"/>
    <cfRule type="duplicateValues" dxfId="7875" priority="16513"/>
    <cfRule type="duplicateValues" dxfId="7874" priority="16512"/>
    <cfRule type="duplicateValues" dxfId="7873" priority="16511"/>
    <cfRule type="duplicateValues" dxfId="7872" priority="16510"/>
    <cfRule type="duplicateValues" dxfId="7871" priority="16509"/>
    <cfRule type="duplicateValues" dxfId="7870" priority="16508"/>
    <cfRule type="duplicateValues" dxfId="7869" priority="16507"/>
    <cfRule type="duplicateValues" dxfId="7868" priority="16506"/>
    <cfRule type="duplicateValues" dxfId="7867" priority="16505"/>
    <cfRule type="duplicateValues" dxfId="7866" priority="16504"/>
    <cfRule type="duplicateValues" dxfId="7865" priority="16503"/>
    <cfRule type="duplicateValues" dxfId="7864" priority="16502"/>
    <cfRule type="duplicateValues" dxfId="7863" priority="16501"/>
    <cfRule type="duplicateValues" dxfId="7862" priority="16500"/>
    <cfRule type="duplicateValues" dxfId="7861" priority="16499"/>
    <cfRule type="duplicateValues" dxfId="7860" priority="16498"/>
    <cfRule type="duplicateValues" dxfId="7859" priority="16497"/>
    <cfRule type="duplicateValues" dxfId="7858" priority="16496"/>
    <cfRule type="duplicateValues" dxfId="7857" priority="16495"/>
    <cfRule type="duplicateValues" dxfId="7856" priority="16494"/>
    <cfRule type="duplicateValues" dxfId="7855" priority="16493"/>
    <cfRule type="duplicateValues" dxfId="7854" priority="16492"/>
    <cfRule type="duplicateValues" dxfId="7853" priority="16491"/>
    <cfRule type="duplicateValues" dxfId="7852" priority="16490"/>
    <cfRule type="duplicateValues" dxfId="7851" priority="16489"/>
    <cfRule type="duplicateValues" dxfId="7850" priority="16488"/>
    <cfRule type="duplicateValues" dxfId="7849" priority="16487"/>
    <cfRule type="duplicateValues" dxfId="7848" priority="16486"/>
    <cfRule type="duplicateValues" dxfId="7847" priority="16485"/>
    <cfRule type="duplicateValues" dxfId="7846" priority="16484"/>
    <cfRule type="duplicateValues" dxfId="7845" priority="16483"/>
    <cfRule type="duplicateValues" dxfId="7844" priority="16482"/>
    <cfRule type="duplicateValues" dxfId="7843" priority="16481"/>
    <cfRule type="duplicateValues" dxfId="7842" priority="16480"/>
    <cfRule type="duplicateValues" dxfId="7841" priority="16479"/>
    <cfRule type="duplicateValues" dxfId="7840" priority="16478"/>
    <cfRule type="duplicateValues" dxfId="7839" priority="16477"/>
    <cfRule type="duplicateValues" dxfId="7838" priority="16476"/>
    <cfRule type="duplicateValues" dxfId="7837" priority="16475"/>
    <cfRule type="duplicateValues" dxfId="7836" priority="16474"/>
    <cfRule type="duplicateValues" dxfId="7835" priority="16473"/>
    <cfRule type="duplicateValues" dxfId="7834" priority="16472"/>
    <cfRule type="duplicateValues" dxfId="7833" priority="16471"/>
    <cfRule type="duplicateValues" dxfId="7832" priority="16470"/>
    <cfRule type="duplicateValues" dxfId="7831" priority="16469"/>
    <cfRule type="duplicateValues" dxfId="7830" priority="16468"/>
    <cfRule type="duplicateValues" dxfId="7829" priority="16467"/>
    <cfRule type="duplicateValues" dxfId="7828" priority="16466"/>
    <cfRule type="duplicateValues" dxfId="7827" priority="16465"/>
    <cfRule type="duplicateValues" dxfId="7826" priority="16464"/>
    <cfRule type="duplicateValues" dxfId="7825" priority="16463"/>
    <cfRule type="duplicateValues" dxfId="7824" priority="16462"/>
    <cfRule type="duplicateValues" dxfId="7823" priority="16461"/>
    <cfRule type="duplicateValues" dxfId="7822" priority="16460"/>
    <cfRule type="duplicateValues" dxfId="7821" priority="16459"/>
    <cfRule type="duplicateValues" dxfId="7820" priority="16458"/>
    <cfRule type="duplicateValues" dxfId="7819" priority="16457"/>
    <cfRule type="duplicateValues" dxfId="7818" priority="16456"/>
    <cfRule type="duplicateValues" dxfId="7817" priority="16455"/>
    <cfRule type="duplicateValues" dxfId="7816" priority="16454"/>
    <cfRule type="duplicateValues" dxfId="7815" priority="16453"/>
    <cfRule type="duplicateValues" dxfId="7814" priority="16452"/>
    <cfRule type="duplicateValues" dxfId="7813" priority="16451"/>
    <cfRule type="duplicateValues" dxfId="7812" priority="16450"/>
    <cfRule type="duplicateValues" dxfId="7811" priority="16449"/>
    <cfRule type="duplicateValues" dxfId="7810" priority="16448"/>
    <cfRule type="duplicateValues" dxfId="7809" priority="16447"/>
    <cfRule type="duplicateValues" dxfId="7808" priority="16446"/>
    <cfRule type="duplicateValues" dxfId="7807" priority="16445"/>
    <cfRule type="duplicateValues" dxfId="7806" priority="16444"/>
    <cfRule type="duplicateValues" dxfId="7805" priority="16443"/>
    <cfRule type="duplicateValues" dxfId="7804" priority="16442"/>
    <cfRule type="duplicateValues" dxfId="7803" priority="16441"/>
    <cfRule type="duplicateValues" dxfId="7802" priority="16440"/>
    <cfRule type="duplicateValues" dxfId="7801" priority="16439"/>
    <cfRule type="duplicateValues" dxfId="7800" priority="16438"/>
    <cfRule type="duplicateValues" dxfId="7799" priority="16437"/>
    <cfRule type="duplicateValues" dxfId="7798" priority="16436"/>
    <cfRule type="duplicateValues" dxfId="7797" priority="16435"/>
    <cfRule type="duplicateValues" dxfId="7796" priority="16434"/>
    <cfRule type="duplicateValues" dxfId="7795" priority="16433"/>
    <cfRule type="duplicateValues" dxfId="7794" priority="16432"/>
    <cfRule type="duplicateValues" dxfId="7793" priority="16431"/>
    <cfRule type="duplicateValues" dxfId="7792" priority="16430"/>
    <cfRule type="duplicateValues" dxfId="7791" priority="16429"/>
    <cfRule type="duplicateValues" dxfId="7790" priority="16428"/>
    <cfRule type="duplicateValues" dxfId="7789" priority="16427"/>
    <cfRule type="duplicateValues" dxfId="7788" priority="16426"/>
    <cfRule type="duplicateValues" dxfId="7787" priority="16425"/>
    <cfRule type="duplicateValues" dxfId="7786" priority="16424"/>
    <cfRule type="duplicateValues" dxfId="7785" priority="16423"/>
    <cfRule type="duplicateValues" dxfId="7784" priority="16422"/>
    <cfRule type="duplicateValues" dxfId="7783" priority="16421"/>
    <cfRule type="duplicateValues" dxfId="7782" priority="16420"/>
    <cfRule type="duplicateValues" dxfId="7781" priority="16419"/>
    <cfRule type="duplicateValues" dxfId="7780" priority="16418"/>
    <cfRule type="duplicateValues" dxfId="7779" priority="16417"/>
    <cfRule type="duplicateValues" dxfId="7778" priority="16416"/>
    <cfRule type="duplicateValues" dxfId="7777" priority="16415"/>
    <cfRule type="duplicateValues" dxfId="7776" priority="16414"/>
    <cfRule type="duplicateValues" dxfId="7775" priority="16413"/>
    <cfRule type="duplicateValues" dxfId="7774" priority="16412"/>
    <cfRule type="duplicateValues" dxfId="7773" priority="16411"/>
    <cfRule type="duplicateValues" dxfId="7772" priority="16410"/>
    <cfRule type="duplicateValues" dxfId="7771" priority="16409"/>
    <cfRule type="duplicateValues" dxfId="7770" priority="16408"/>
    <cfRule type="duplicateValues" dxfId="7769" priority="16407"/>
    <cfRule type="duplicateValues" dxfId="7768" priority="16406"/>
    <cfRule type="duplicateValues" dxfId="7767" priority="16405"/>
    <cfRule type="duplicateValues" dxfId="7766" priority="16404"/>
    <cfRule type="duplicateValues" dxfId="7765" priority="16403"/>
    <cfRule type="duplicateValues" dxfId="7764" priority="16402"/>
    <cfRule type="duplicateValues" dxfId="7763" priority="16401"/>
    <cfRule type="duplicateValues" dxfId="7762" priority="16400"/>
    <cfRule type="duplicateValues" dxfId="7761" priority="16399"/>
    <cfRule type="duplicateValues" dxfId="7760" priority="16398"/>
    <cfRule type="duplicateValues" dxfId="7759" priority="16397"/>
    <cfRule type="duplicateValues" dxfId="7758" priority="16396"/>
    <cfRule type="duplicateValues" dxfId="7757" priority="16395"/>
    <cfRule type="duplicateValues" dxfId="7756" priority="16394"/>
    <cfRule type="duplicateValues" dxfId="7755" priority="16393"/>
    <cfRule type="duplicateValues" dxfId="7754" priority="16392"/>
    <cfRule type="duplicateValues" dxfId="7753" priority="16391"/>
    <cfRule type="duplicateValues" dxfId="7752" priority="16390"/>
    <cfRule type="duplicateValues" dxfId="7751" priority="16389"/>
    <cfRule type="duplicateValues" dxfId="7750" priority="16388"/>
    <cfRule type="duplicateValues" dxfId="7749" priority="16387"/>
    <cfRule type="duplicateValues" dxfId="7748" priority="16386"/>
    <cfRule type="duplicateValues" dxfId="7747" priority="16385"/>
    <cfRule type="duplicateValues" dxfId="7746" priority="16384"/>
    <cfRule type="duplicateValues" dxfId="7745" priority="16383"/>
    <cfRule type="duplicateValues" dxfId="7744" priority="16382"/>
    <cfRule type="duplicateValues" dxfId="7743" priority="16381"/>
    <cfRule type="duplicateValues" dxfId="7742" priority="16380"/>
    <cfRule type="duplicateValues" dxfId="7741" priority="16379"/>
    <cfRule type="duplicateValues" dxfId="7740" priority="16378"/>
    <cfRule type="duplicateValues" dxfId="7739" priority="16377"/>
    <cfRule type="duplicateValues" dxfId="7738" priority="16376"/>
    <cfRule type="duplicateValues" dxfId="7737" priority="16375"/>
    <cfRule type="duplicateValues" dxfId="7736" priority="16374"/>
    <cfRule type="duplicateValues" dxfId="7735" priority="16373"/>
    <cfRule type="duplicateValues" dxfId="7734" priority="16372"/>
    <cfRule type="duplicateValues" dxfId="7733" priority="16371"/>
    <cfRule type="duplicateValues" dxfId="7732" priority="16370"/>
    <cfRule type="duplicateValues" dxfId="7731" priority="16369"/>
    <cfRule type="duplicateValues" dxfId="7730" priority="16368"/>
    <cfRule type="duplicateValues" dxfId="7729" priority="16367"/>
    <cfRule type="duplicateValues" dxfId="7728" priority="16366"/>
    <cfRule type="duplicateValues" dxfId="7727" priority="16365"/>
    <cfRule type="duplicateValues" dxfId="7726" priority="16364"/>
    <cfRule type="duplicateValues" dxfId="7725" priority="16363"/>
    <cfRule type="duplicateValues" dxfId="7724" priority="16362"/>
    <cfRule type="duplicateValues" dxfId="7723" priority="16361"/>
    <cfRule type="duplicateValues" dxfId="7722" priority="16360"/>
    <cfRule type="duplicateValues" dxfId="7721" priority="16359"/>
    <cfRule type="duplicateValues" dxfId="7720" priority="16358"/>
    <cfRule type="duplicateValues" dxfId="7719" priority="16357"/>
    <cfRule type="duplicateValues" dxfId="7718" priority="16356"/>
    <cfRule type="duplicateValues" dxfId="7717" priority="16355"/>
    <cfRule type="duplicateValues" dxfId="7716" priority="16354"/>
    <cfRule type="duplicateValues" dxfId="7715" priority="16353"/>
    <cfRule type="duplicateValues" dxfId="7714" priority="16352"/>
    <cfRule type="duplicateValues" dxfId="7713" priority="16351"/>
    <cfRule type="duplicateValues" dxfId="7712" priority="16350"/>
    <cfRule type="duplicateValues" dxfId="7711" priority="16349"/>
    <cfRule type="duplicateValues" dxfId="7710" priority="16348"/>
    <cfRule type="duplicateValues" dxfId="7709" priority="16347"/>
    <cfRule type="duplicateValues" dxfId="7708" priority="16346"/>
    <cfRule type="duplicateValues" dxfId="7707" priority="16345"/>
    <cfRule type="duplicateValues" dxfId="7706" priority="16344"/>
    <cfRule type="duplicateValues" dxfId="7705" priority="16343"/>
    <cfRule type="duplicateValues" dxfId="7704" priority="16342"/>
    <cfRule type="duplicateValues" dxfId="7703" priority="16341"/>
    <cfRule type="duplicateValues" dxfId="7702" priority="16340"/>
    <cfRule type="duplicateValues" dxfId="7701" priority="16339"/>
    <cfRule type="duplicateValues" dxfId="7700" priority="16338"/>
    <cfRule type="duplicateValues" dxfId="7699" priority="16337"/>
    <cfRule type="duplicateValues" dxfId="7698" priority="16336"/>
    <cfRule type="duplicateValues" dxfId="7697" priority="16335"/>
    <cfRule type="duplicateValues" dxfId="7696" priority="16334"/>
    <cfRule type="duplicateValues" dxfId="7695" priority="16333"/>
    <cfRule type="duplicateValues" dxfId="7694" priority="16332"/>
    <cfRule type="duplicateValues" dxfId="7693" priority="16331"/>
    <cfRule type="duplicateValues" dxfId="7692" priority="16330"/>
    <cfRule type="duplicateValues" dxfId="7691" priority="16329"/>
    <cfRule type="duplicateValues" dxfId="7690" priority="16328"/>
    <cfRule type="duplicateValues" dxfId="7689" priority="16327"/>
    <cfRule type="duplicateValues" dxfId="7688" priority="16326"/>
    <cfRule type="duplicateValues" dxfId="7687" priority="16325"/>
    <cfRule type="duplicateValues" dxfId="7686" priority="16324"/>
    <cfRule type="duplicateValues" dxfId="7685" priority="16323"/>
    <cfRule type="duplicateValues" dxfId="7684" priority="16322"/>
    <cfRule type="duplicateValues" dxfId="7683" priority="16321"/>
    <cfRule type="duplicateValues" dxfId="7682" priority="16320"/>
    <cfRule type="duplicateValues" dxfId="7681" priority="16319"/>
    <cfRule type="duplicateValues" dxfId="7680" priority="16318"/>
    <cfRule type="duplicateValues" dxfId="7679" priority="16317"/>
    <cfRule type="duplicateValues" dxfId="7678" priority="16316"/>
    <cfRule type="duplicateValues" dxfId="7677" priority="16315"/>
    <cfRule type="duplicateValues" dxfId="7676" priority="16314"/>
    <cfRule type="duplicateValues" dxfId="7675" priority="16313"/>
    <cfRule type="duplicateValues" dxfId="7674" priority="16312"/>
    <cfRule type="duplicateValues" dxfId="7673" priority="16311"/>
    <cfRule type="duplicateValues" dxfId="7672" priority="16310"/>
    <cfRule type="duplicateValues" dxfId="7671" priority="16309"/>
    <cfRule type="duplicateValues" dxfId="7670" priority="16308"/>
    <cfRule type="duplicateValues" dxfId="7669" priority="16307"/>
    <cfRule type="duplicateValues" dxfId="7668" priority="16306"/>
    <cfRule type="duplicateValues" dxfId="7667" priority="16305"/>
    <cfRule type="duplicateValues" dxfId="7666" priority="16304"/>
    <cfRule type="duplicateValues" dxfId="7665" priority="16303"/>
    <cfRule type="duplicateValues" dxfId="7664" priority="16302"/>
    <cfRule type="duplicateValues" dxfId="7663" priority="16301"/>
    <cfRule type="duplicateValues" dxfId="7662" priority="16300"/>
    <cfRule type="duplicateValues" dxfId="7661" priority="16299"/>
    <cfRule type="duplicateValues" dxfId="7660" priority="16298"/>
    <cfRule type="duplicateValues" dxfId="7659" priority="16297"/>
    <cfRule type="duplicateValues" dxfId="7658" priority="16296"/>
    <cfRule type="duplicateValues" dxfId="7657" priority="16295"/>
    <cfRule type="duplicateValues" dxfId="7656" priority="16294"/>
    <cfRule type="duplicateValues" dxfId="7655" priority="16293"/>
    <cfRule type="duplicateValues" dxfId="7654" priority="16292"/>
    <cfRule type="duplicateValues" dxfId="7653" priority="16291"/>
    <cfRule type="duplicateValues" dxfId="7652" priority="16290"/>
    <cfRule type="duplicateValues" dxfId="7651" priority="16289"/>
    <cfRule type="duplicateValues" dxfId="7650" priority="16288"/>
    <cfRule type="duplicateValues" dxfId="7649" priority="16287"/>
    <cfRule type="duplicateValues" dxfId="7648" priority="16286"/>
    <cfRule type="duplicateValues" dxfId="7647" priority="16285"/>
    <cfRule type="duplicateValues" dxfId="7646" priority="16284"/>
    <cfRule type="duplicateValues" dxfId="7645" priority="16283"/>
    <cfRule type="duplicateValues" dxfId="7644" priority="16282"/>
    <cfRule type="duplicateValues" dxfId="7643" priority="16281"/>
    <cfRule type="duplicateValues" dxfId="7642" priority="16280"/>
    <cfRule type="duplicateValues" dxfId="7641" priority="16279"/>
    <cfRule type="duplicateValues" dxfId="7640" priority="16278"/>
    <cfRule type="duplicateValues" dxfId="7639" priority="16277"/>
    <cfRule type="duplicateValues" dxfId="7638" priority="16276"/>
    <cfRule type="duplicateValues" dxfId="7637" priority="17433"/>
    <cfRule type="duplicateValues" dxfId="7636" priority="17432"/>
    <cfRule type="duplicateValues" dxfId="7635" priority="17431"/>
    <cfRule type="duplicateValues" dxfId="7634" priority="17430"/>
    <cfRule type="duplicateValues" dxfId="7633" priority="17429"/>
    <cfRule type="duplicateValues" dxfId="7632" priority="17428"/>
    <cfRule type="duplicateValues" dxfId="7631" priority="17427"/>
    <cfRule type="duplicateValues" dxfId="7630" priority="17426"/>
    <cfRule type="duplicateValues" dxfId="7629" priority="17425"/>
    <cfRule type="duplicateValues" dxfId="7628" priority="17424"/>
    <cfRule type="duplicateValues" dxfId="7627" priority="17423"/>
    <cfRule type="duplicateValues" dxfId="7626" priority="17422"/>
    <cfRule type="duplicateValues" dxfId="7625" priority="17421"/>
    <cfRule type="duplicateValues" dxfId="7624" priority="17420"/>
    <cfRule type="duplicateValues" dxfId="7623" priority="17419"/>
    <cfRule type="duplicateValues" dxfId="7622" priority="17418"/>
    <cfRule type="duplicateValues" dxfId="7621" priority="17417"/>
    <cfRule type="duplicateValues" dxfId="7620" priority="17416"/>
    <cfRule type="duplicateValues" dxfId="7619" priority="17415"/>
    <cfRule type="duplicateValues" dxfId="7618" priority="17414"/>
    <cfRule type="duplicateValues" dxfId="7617" priority="17413"/>
    <cfRule type="duplicateValues" dxfId="7616" priority="17412"/>
    <cfRule type="duplicateValues" dxfId="7615" priority="17411"/>
    <cfRule type="duplicateValues" dxfId="7614" priority="17410"/>
    <cfRule type="duplicateValues" dxfId="7613" priority="17409"/>
    <cfRule type="duplicateValues" dxfId="7612" priority="17408"/>
    <cfRule type="duplicateValues" dxfId="7611" priority="17407"/>
    <cfRule type="duplicateValues" dxfId="7610" priority="17406"/>
    <cfRule type="duplicateValues" dxfId="7609" priority="17405"/>
    <cfRule type="duplicateValues" dxfId="7608" priority="17404"/>
    <cfRule type="duplicateValues" dxfId="7607" priority="17403"/>
    <cfRule type="duplicateValues" dxfId="7606" priority="17402"/>
    <cfRule type="duplicateValues" dxfId="7605" priority="17401"/>
    <cfRule type="duplicateValues" dxfId="7604" priority="17400"/>
    <cfRule type="duplicateValues" dxfId="7603" priority="17399"/>
    <cfRule type="duplicateValues" dxfId="7602" priority="17398"/>
    <cfRule type="duplicateValues" dxfId="7601" priority="17397"/>
    <cfRule type="duplicateValues" dxfId="7600" priority="17396"/>
    <cfRule type="duplicateValues" dxfId="7599" priority="17395"/>
    <cfRule type="duplicateValues" dxfId="7598" priority="17394"/>
    <cfRule type="duplicateValues" dxfId="7597" priority="17393"/>
    <cfRule type="duplicateValues" dxfId="7596" priority="17392"/>
    <cfRule type="duplicateValues" dxfId="7595" priority="17391"/>
    <cfRule type="duplicateValues" dxfId="7594" priority="17390"/>
    <cfRule type="duplicateValues" dxfId="7593" priority="17389"/>
    <cfRule type="duplicateValues" dxfId="7592" priority="17388"/>
    <cfRule type="duplicateValues" dxfId="7591" priority="17387"/>
    <cfRule type="duplicateValues" dxfId="7590" priority="17386"/>
    <cfRule type="duplicateValues" dxfId="7589" priority="17385"/>
    <cfRule type="duplicateValues" dxfId="7588" priority="17384"/>
    <cfRule type="duplicateValues" dxfId="7587" priority="17383"/>
    <cfRule type="duplicateValues" dxfId="7586" priority="17382"/>
    <cfRule type="duplicateValues" dxfId="7585" priority="17381"/>
    <cfRule type="duplicateValues" dxfId="7584" priority="17380"/>
    <cfRule type="duplicateValues" dxfId="7583" priority="17379"/>
    <cfRule type="duplicateValues" dxfId="7582" priority="17378"/>
    <cfRule type="duplicateValues" dxfId="7581" priority="17377"/>
    <cfRule type="duplicateValues" dxfId="7580" priority="17376"/>
    <cfRule type="duplicateValues" dxfId="7579" priority="17375"/>
    <cfRule type="duplicateValues" dxfId="7578" priority="17374"/>
    <cfRule type="duplicateValues" dxfId="7577" priority="17373"/>
    <cfRule type="duplicateValues" dxfId="7576" priority="17372"/>
    <cfRule type="duplicateValues" dxfId="7575" priority="17371"/>
    <cfRule type="duplicateValues" dxfId="7574" priority="17370"/>
    <cfRule type="duplicateValues" dxfId="7573" priority="17369"/>
    <cfRule type="duplicateValues" dxfId="7572" priority="17368"/>
    <cfRule type="duplicateValues" dxfId="7571" priority="17367"/>
    <cfRule type="duplicateValues" dxfId="7570" priority="17366"/>
    <cfRule type="duplicateValues" dxfId="7569" priority="17365"/>
    <cfRule type="duplicateValues" dxfId="7568" priority="17364"/>
    <cfRule type="duplicateValues" dxfId="7567" priority="17363"/>
    <cfRule type="duplicateValues" dxfId="7566" priority="17362"/>
    <cfRule type="duplicateValues" dxfId="7565" priority="17361"/>
    <cfRule type="duplicateValues" dxfId="7564" priority="17360"/>
    <cfRule type="duplicateValues" dxfId="7563" priority="17359"/>
    <cfRule type="duplicateValues" dxfId="7562" priority="17358"/>
    <cfRule type="duplicateValues" dxfId="7561" priority="17357"/>
    <cfRule type="duplicateValues" dxfId="7560" priority="17356"/>
    <cfRule type="duplicateValues" dxfId="7559" priority="17355"/>
    <cfRule type="duplicateValues" dxfId="7558" priority="17354"/>
    <cfRule type="duplicateValues" dxfId="7557" priority="17353"/>
    <cfRule type="duplicateValues" dxfId="7556" priority="17352"/>
    <cfRule type="duplicateValues" dxfId="7555" priority="16275"/>
    <cfRule type="duplicateValues" dxfId="7554" priority="17350"/>
    <cfRule type="duplicateValues" dxfId="7553" priority="17349"/>
    <cfRule type="duplicateValues" dxfId="7552" priority="17348"/>
    <cfRule type="duplicateValues" dxfId="7551" priority="17347"/>
    <cfRule type="duplicateValues" dxfId="7550" priority="17346"/>
    <cfRule type="duplicateValues" dxfId="7549" priority="17345"/>
    <cfRule type="duplicateValues" dxfId="7548" priority="17344"/>
    <cfRule type="duplicateValues" dxfId="7547" priority="17343"/>
    <cfRule type="duplicateValues" dxfId="7546" priority="17342"/>
    <cfRule type="duplicateValues" dxfId="7545" priority="17341"/>
    <cfRule type="duplicateValues" dxfId="7544" priority="17340"/>
    <cfRule type="duplicateValues" dxfId="7543" priority="17339"/>
    <cfRule type="duplicateValues" dxfId="7542" priority="17338"/>
    <cfRule type="duplicateValues" dxfId="7541" priority="17337"/>
    <cfRule type="duplicateValues" dxfId="7540" priority="17336"/>
    <cfRule type="duplicateValues" dxfId="7539" priority="17335"/>
    <cfRule type="duplicateValues" dxfId="7538" priority="17334"/>
    <cfRule type="duplicateValues" dxfId="7537" priority="17333"/>
    <cfRule type="duplicateValues" dxfId="7536" priority="17332"/>
    <cfRule type="duplicateValues" dxfId="7535" priority="17331"/>
    <cfRule type="duplicateValues" dxfId="7534" priority="17330"/>
    <cfRule type="duplicateValues" dxfId="7533" priority="17329"/>
    <cfRule type="duplicateValues" dxfId="7532" priority="17328"/>
    <cfRule type="duplicateValues" dxfId="7531" priority="17327"/>
    <cfRule type="duplicateValues" dxfId="7530" priority="17326"/>
    <cfRule type="duplicateValues" dxfId="7529" priority="17325"/>
    <cfRule type="duplicateValues" dxfId="7528" priority="17324"/>
    <cfRule type="duplicateValues" dxfId="7527" priority="17323"/>
    <cfRule type="duplicateValues" dxfId="7526" priority="17322"/>
    <cfRule type="duplicateValues" dxfId="7525" priority="17321"/>
    <cfRule type="duplicateValues" dxfId="7524" priority="17320"/>
    <cfRule type="duplicateValues" dxfId="7523" priority="17319"/>
    <cfRule type="duplicateValues" dxfId="7522" priority="17318"/>
    <cfRule type="duplicateValues" dxfId="7521" priority="17317"/>
    <cfRule type="duplicateValues" dxfId="7520" priority="17316"/>
    <cfRule type="duplicateValues" dxfId="7519" priority="17315"/>
    <cfRule type="duplicateValues" dxfId="7518" priority="17314"/>
    <cfRule type="duplicateValues" dxfId="7517" priority="17313"/>
    <cfRule type="duplicateValues" dxfId="7516" priority="17312"/>
    <cfRule type="duplicateValues" dxfId="7515" priority="17311"/>
    <cfRule type="duplicateValues" dxfId="7514" priority="17310"/>
    <cfRule type="duplicateValues" dxfId="7513" priority="17309"/>
    <cfRule type="duplicateValues" dxfId="7512" priority="17308"/>
    <cfRule type="duplicateValues" dxfId="7511" priority="17307"/>
    <cfRule type="duplicateValues" dxfId="7510" priority="17306"/>
    <cfRule type="duplicateValues" dxfId="7509" priority="17305"/>
    <cfRule type="duplicateValues" dxfId="7508" priority="17304"/>
    <cfRule type="duplicateValues" dxfId="7507" priority="17303"/>
    <cfRule type="duplicateValues" dxfId="7506" priority="17302"/>
    <cfRule type="duplicateValues" dxfId="7505" priority="17301"/>
    <cfRule type="duplicateValues" dxfId="7504" priority="17300"/>
    <cfRule type="duplicateValues" dxfId="7503" priority="17299"/>
    <cfRule type="duplicateValues" dxfId="7502" priority="17298"/>
    <cfRule type="duplicateValues" dxfId="7501" priority="17297"/>
    <cfRule type="duplicateValues" dxfId="7500" priority="17296"/>
    <cfRule type="duplicateValues" dxfId="7499" priority="17295"/>
    <cfRule type="duplicateValues" dxfId="7498" priority="17294"/>
    <cfRule type="duplicateValues" dxfId="7497" priority="17293"/>
    <cfRule type="duplicateValues" dxfId="7496" priority="17292"/>
    <cfRule type="duplicateValues" dxfId="7495" priority="17291"/>
    <cfRule type="duplicateValues" dxfId="7494" priority="17290"/>
    <cfRule type="duplicateValues" dxfId="7493" priority="17289"/>
    <cfRule type="duplicateValues" dxfId="7492" priority="17288"/>
    <cfRule type="duplicateValues" dxfId="7491" priority="17287"/>
    <cfRule type="duplicateValues" dxfId="7490" priority="17286"/>
    <cfRule type="duplicateValues" dxfId="7489" priority="17285"/>
    <cfRule type="duplicateValues" dxfId="7488" priority="17284"/>
    <cfRule type="duplicateValues" dxfId="7487" priority="17283"/>
    <cfRule type="duplicateValues" dxfId="7486" priority="17282"/>
    <cfRule type="duplicateValues" dxfId="7485" priority="17281"/>
    <cfRule type="duplicateValues" dxfId="7484" priority="17280"/>
    <cfRule type="duplicateValues" dxfId="7483" priority="17279"/>
    <cfRule type="duplicateValues" dxfId="7482" priority="17278"/>
    <cfRule type="duplicateValues" dxfId="7481" priority="17277"/>
    <cfRule type="duplicateValues" dxfId="7480" priority="17276"/>
    <cfRule type="duplicateValues" dxfId="7479" priority="17275"/>
    <cfRule type="duplicateValues" dxfId="7478" priority="17274"/>
    <cfRule type="duplicateValues" dxfId="7477" priority="17273"/>
    <cfRule type="duplicateValues" dxfId="7476" priority="17272"/>
    <cfRule type="duplicateValues" dxfId="7475" priority="17271"/>
    <cfRule type="duplicateValues" dxfId="7474" priority="17270"/>
    <cfRule type="duplicateValues" dxfId="7473" priority="17269"/>
    <cfRule type="duplicateValues" dxfId="7472" priority="17268"/>
    <cfRule type="duplicateValues" dxfId="7471" priority="17267"/>
    <cfRule type="duplicateValues" dxfId="7470" priority="17266"/>
    <cfRule type="duplicateValues" dxfId="7469" priority="17265"/>
    <cfRule type="duplicateValues" dxfId="7468" priority="17264"/>
    <cfRule type="duplicateValues" dxfId="7467" priority="17263"/>
    <cfRule type="duplicateValues" dxfId="7466" priority="17262"/>
    <cfRule type="duplicateValues" dxfId="7465" priority="17261"/>
    <cfRule type="duplicateValues" dxfId="7464" priority="17260"/>
    <cfRule type="duplicateValues" dxfId="7463" priority="17259"/>
    <cfRule type="duplicateValues" dxfId="7462" priority="17258"/>
    <cfRule type="duplicateValues" dxfId="7461" priority="17257"/>
    <cfRule type="duplicateValues" dxfId="7460" priority="17256"/>
    <cfRule type="duplicateValues" dxfId="7459" priority="17255"/>
    <cfRule type="duplicateValues" dxfId="7458" priority="17254"/>
    <cfRule type="duplicateValues" dxfId="7457" priority="17253"/>
    <cfRule type="duplicateValues" dxfId="7456" priority="17252"/>
    <cfRule type="duplicateValues" dxfId="7455" priority="17251"/>
    <cfRule type="duplicateValues" dxfId="7454" priority="17250"/>
    <cfRule type="duplicateValues" dxfId="7453" priority="17249"/>
    <cfRule type="duplicateValues" dxfId="7452" priority="17248"/>
    <cfRule type="duplicateValues" dxfId="7451" priority="17247"/>
    <cfRule type="duplicateValues" dxfId="7450" priority="17246"/>
    <cfRule type="duplicateValues" dxfId="7449" priority="17245"/>
    <cfRule type="duplicateValues" dxfId="7448" priority="17244"/>
    <cfRule type="duplicateValues" dxfId="7447" priority="17243"/>
    <cfRule type="duplicateValues" dxfId="7446" priority="17242"/>
    <cfRule type="duplicateValues" dxfId="7445" priority="17241"/>
    <cfRule type="duplicateValues" dxfId="7444" priority="17240"/>
    <cfRule type="duplicateValues" dxfId="7443" priority="17239"/>
    <cfRule type="duplicateValues" dxfId="7442" priority="17238"/>
    <cfRule type="duplicateValues" dxfId="7441" priority="17237"/>
    <cfRule type="duplicateValues" dxfId="7440" priority="17236"/>
    <cfRule type="duplicateValues" dxfId="7439" priority="17235"/>
    <cfRule type="duplicateValues" dxfId="7438" priority="17234"/>
    <cfRule type="duplicateValues" dxfId="7437" priority="17233"/>
    <cfRule type="duplicateValues" dxfId="7436" priority="17232"/>
    <cfRule type="duplicateValues" dxfId="7435" priority="17231"/>
    <cfRule type="duplicateValues" dxfId="7434" priority="17230"/>
    <cfRule type="duplicateValues" dxfId="7433" priority="17229"/>
    <cfRule type="duplicateValues" dxfId="7432" priority="17228"/>
    <cfRule type="duplicateValues" dxfId="7431" priority="17227"/>
    <cfRule type="duplicateValues" dxfId="7430" priority="17226"/>
    <cfRule type="duplicateValues" dxfId="7429" priority="17225"/>
    <cfRule type="duplicateValues" dxfId="7428" priority="17224"/>
    <cfRule type="duplicateValues" dxfId="7427" priority="17223"/>
    <cfRule type="duplicateValues" dxfId="7426" priority="17222"/>
    <cfRule type="duplicateValues" dxfId="7425" priority="17221"/>
    <cfRule type="duplicateValues" dxfId="7424" priority="17220"/>
    <cfRule type="duplicateValues" dxfId="7423" priority="17219"/>
    <cfRule type="duplicateValues" dxfId="7422" priority="17218"/>
    <cfRule type="duplicateValues" dxfId="7421" priority="17217"/>
    <cfRule type="duplicateValues" dxfId="7420" priority="17216"/>
    <cfRule type="duplicateValues" dxfId="7419" priority="17215"/>
    <cfRule type="duplicateValues" dxfId="7418" priority="17214"/>
    <cfRule type="duplicateValues" dxfId="7417" priority="17213"/>
    <cfRule type="duplicateValues" dxfId="7416" priority="17212"/>
    <cfRule type="duplicateValues" dxfId="7415" priority="17211"/>
    <cfRule type="duplicateValues" dxfId="7414" priority="17210"/>
    <cfRule type="duplicateValues" dxfId="7413" priority="17209"/>
    <cfRule type="duplicateValues" dxfId="7412" priority="17208"/>
    <cfRule type="duplicateValues" dxfId="7411" priority="17207"/>
    <cfRule type="duplicateValues" dxfId="7410" priority="17206"/>
    <cfRule type="duplicateValues" dxfId="7409" priority="17205"/>
    <cfRule type="duplicateValues" dxfId="7408" priority="17204"/>
    <cfRule type="duplicateValues" dxfId="7407" priority="17203"/>
    <cfRule type="duplicateValues" dxfId="7406" priority="17202"/>
    <cfRule type="duplicateValues" dxfId="7405" priority="17201"/>
    <cfRule type="duplicateValues" dxfId="7404" priority="17200"/>
    <cfRule type="duplicateValues" dxfId="7403" priority="17199"/>
    <cfRule type="duplicateValues" dxfId="7402" priority="17198"/>
    <cfRule type="duplicateValues" dxfId="7401" priority="17197"/>
    <cfRule type="duplicateValues" dxfId="7400" priority="17196"/>
    <cfRule type="duplicateValues" dxfId="7399" priority="17195"/>
    <cfRule type="duplicateValues" dxfId="7398" priority="17194"/>
    <cfRule type="duplicateValues" dxfId="7397" priority="17193"/>
    <cfRule type="duplicateValues" dxfId="7396" priority="17192"/>
    <cfRule type="duplicateValues" dxfId="7395" priority="17191"/>
    <cfRule type="duplicateValues" dxfId="7394" priority="17190"/>
    <cfRule type="duplicateValues" dxfId="7393" priority="17189"/>
    <cfRule type="duplicateValues" dxfId="7392" priority="17188"/>
    <cfRule type="duplicateValues" dxfId="7391" priority="17187"/>
    <cfRule type="duplicateValues" dxfId="7390" priority="17186"/>
    <cfRule type="duplicateValues" dxfId="7389" priority="17185"/>
    <cfRule type="duplicateValues" dxfId="7388" priority="17184"/>
    <cfRule type="duplicateValues" dxfId="7387" priority="17183"/>
    <cfRule type="duplicateValues" dxfId="7386" priority="17182"/>
    <cfRule type="duplicateValues" dxfId="7385" priority="17181"/>
    <cfRule type="duplicateValues" dxfId="7384" priority="17180"/>
    <cfRule type="duplicateValues" dxfId="7383" priority="17179"/>
    <cfRule type="duplicateValues" dxfId="7382" priority="17178"/>
    <cfRule type="duplicateValues" dxfId="7381" priority="17177"/>
    <cfRule type="duplicateValues" dxfId="7380" priority="17176"/>
    <cfRule type="duplicateValues" dxfId="7379" priority="17175"/>
    <cfRule type="duplicateValues" dxfId="7378" priority="17174"/>
    <cfRule type="duplicateValues" dxfId="7377" priority="17173"/>
    <cfRule type="duplicateValues" dxfId="7376" priority="17172"/>
    <cfRule type="duplicateValues" dxfId="7375" priority="17171"/>
    <cfRule type="duplicateValues" dxfId="7374" priority="17170"/>
    <cfRule type="duplicateValues" dxfId="7373" priority="17169"/>
    <cfRule type="duplicateValues" dxfId="7372" priority="17168"/>
    <cfRule type="duplicateValues" dxfId="7371" priority="17167"/>
    <cfRule type="duplicateValues" dxfId="7370" priority="17166"/>
    <cfRule type="duplicateValues" dxfId="7369" priority="17165"/>
    <cfRule type="duplicateValues" dxfId="7368" priority="17164"/>
    <cfRule type="duplicateValues" dxfId="7367" priority="17163"/>
    <cfRule type="duplicateValues" dxfId="7366" priority="17162"/>
    <cfRule type="duplicateValues" dxfId="7365" priority="17161"/>
    <cfRule type="duplicateValues" dxfId="7364" priority="17160"/>
    <cfRule type="duplicateValues" dxfId="7363" priority="17159"/>
    <cfRule type="duplicateValues" dxfId="7362" priority="17158"/>
    <cfRule type="duplicateValues" dxfId="7361" priority="17157"/>
    <cfRule type="duplicateValues" dxfId="7360" priority="17156"/>
    <cfRule type="duplicateValues" dxfId="7359" priority="17155"/>
    <cfRule type="duplicateValues" dxfId="7358" priority="17154"/>
    <cfRule type="duplicateValues" dxfId="7357" priority="17153"/>
    <cfRule type="duplicateValues" dxfId="7356" priority="17152"/>
    <cfRule type="duplicateValues" dxfId="7355" priority="17151"/>
    <cfRule type="duplicateValues" dxfId="7354" priority="17150"/>
    <cfRule type="duplicateValues" dxfId="7353" priority="17149"/>
    <cfRule type="duplicateValues" dxfId="7352" priority="17148"/>
    <cfRule type="duplicateValues" dxfId="7351" priority="17147"/>
    <cfRule type="duplicateValues" dxfId="7350" priority="17146"/>
    <cfRule type="duplicateValues" dxfId="7349" priority="17145"/>
    <cfRule type="duplicateValues" dxfId="7348" priority="17144"/>
    <cfRule type="duplicateValues" dxfId="7347" priority="17143"/>
    <cfRule type="duplicateValues" dxfId="7346" priority="17142"/>
    <cfRule type="duplicateValues" dxfId="7345" priority="17141"/>
    <cfRule type="duplicateValues" dxfId="7344" priority="17140"/>
    <cfRule type="duplicateValues" dxfId="7343" priority="17139"/>
    <cfRule type="duplicateValues" dxfId="7342" priority="17138"/>
    <cfRule type="duplicateValues" dxfId="7341" priority="17137"/>
    <cfRule type="duplicateValues" dxfId="7340" priority="17136"/>
    <cfRule type="duplicateValues" dxfId="7339" priority="17135"/>
    <cfRule type="duplicateValues" dxfId="7338" priority="17134"/>
    <cfRule type="duplicateValues" dxfId="7337" priority="17133"/>
    <cfRule type="duplicateValues" dxfId="7336" priority="17132"/>
    <cfRule type="duplicateValues" dxfId="7335" priority="17131"/>
    <cfRule type="duplicateValues" dxfId="7334" priority="17130"/>
    <cfRule type="duplicateValues" dxfId="7333" priority="17129"/>
    <cfRule type="duplicateValues" dxfId="7332" priority="17128"/>
    <cfRule type="duplicateValues" dxfId="7331" priority="17127"/>
    <cfRule type="duplicateValues" dxfId="7330" priority="17126"/>
    <cfRule type="duplicateValues" dxfId="7329" priority="17125"/>
    <cfRule type="duplicateValues" dxfId="7328" priority="17124"/>
    <cfRule type="duplicateValues" dxfId="7327" priority="17123"/>
    <cfRule type="duplicateValues" dxfId="7326" priority="17122"/>
    <cfRule type="duplicateValues" dxfId="7325" priority="17121"/>
    <cfRule type="duplicateValues" dxfId="7324" priority="17120"/>
    <cfRule type="duplicateValues" dxfId="7323" priority="17119"/>
    <cfRule type="duplicateValues" dxfId="7322" priority="17118"/>
    <cfRule type="duplicateValues" dxfId="7321" priority="17117"/>
    <cfRule type="duplicateValues" dxfId="7320" priority="17116"/>
    <cfRule type="duplicateValues" dxfId="7319" priority="17115"/>
    <cfRule type="duplicateValues" dxfId="7318" priority="17114"/>
    <cfRule type="duplicateValues" dxfId="7317" priority="17113"/>
    <cfRule type="duplicateValues" dxfId="7316" priority="17112"/>
    <cfRule type="duplicateValues" dxfId="7315" priority="17111"/>
    <cfRule type="duplicateValues" dxfId="7314" priority="17110"/>
    <cfRule type="duplicateValues" dxfId="7313" priority="17109"/>
    <cfRule type="duplicateValues" dxfId="7312" priority="17108"/>
    <cfRule type="duplicateValues" dxfId="7311" priority="17107"/>
    <cfRule type="duplicateValues" dxfId="7310" priority="17106"/>
    <cfRule type="duplicateValues" dxfId="7309" priority="17105"/>
    <cfRule type="duplicateValues" dxfId="7308" priority="17104"/>
    <cfRule type="duplicateValues" dxfId="7307" priority="17103"/>
    <cfRule type="duplicateValues" dxfId="7306" priority="17102"/>
    <cfRule type="duplicateValues" dxfId="7305" priority="17101"/>
    <cfRule type="duplicateValues" dxfId="7304" priority="17100"/>
    <cfRule type="duplicateValues" dxfId="7303" priority="17099"/>
    <cfRule type="duplicateValues" dxfId="7302" priority="17098"/>
    <cfRule type="duplicateValues" dxfId="7301" priority="17097"/>
    <cfRule type="duplicateValues" dxfId="7300" priority="17096"/>
    <cfRule type="duplicateValues" dxfId="7299" priority="17095"/>
    <cfRule type="duplicateValues" dxfId="7298" priority="17094"/>
    <cfRule type="duplicateValues" dxfId="7297" priority="17093"/>
    <cfRule type="duplicateValues" dxfId="7296" priority="17092"/>
    <cfRule type="duplicateValues" dxfId="7295" priority="17091"/>
    <cfRule type="duplicateValues" dxfId="7294" priority="17090"/>
    <cfRule type="duplicateValues" dxfId="7293" priority="17089"/>
    <cfRule type="duplicateValues" dxfId="7292" priority="17088"/>
    <cfRule type="duplicateValues" dxfId="7291" priority="17087"/>
    <cfRule type="duplicateValues" dxfId="7290" priority="17086"/>
    <cfRule type="duplicateValues" dxfId="7289" priority="17085"/>
    <cfRule type="duplicateValues" dxfId="7288" priority="17084"/>
    <cfRule type="duplicateValues" dxfId="7287" priority="17083"/>
    <cfRule type="duplicateValues" dxfId="7286" priority="17082"/>
    <cfRule type="duplicateValues" dxfId="7285" priority="17081"/>
    <cfRule type="duplicateValues" dxfId="7284" priority="17080"/>
    <cfRule type="duplicateValues" dxfId="7283" priority="17079"/>
    <cfRule type="duplicateValues" dxfId="7282" priority="17078"/>
    <cfRule type="duplicateValues" dxfId="7281" priority="17077"/>
    <cfRule type="duplicateValues" dxfId="7280" priority="17076"/>
    <cfRule type="duplicateValues" dxfId="7279" priority="17075"/>
    <cfRule type="duplicateValues" dxfId="7278" priority="17074"/>
    <cfRule type="duplicateValues" dxfId="7277" priority="17073"/>
    <cfRule type="duplicateValues" dxfId="7276" priority="17072"/>
    <cfRule type="duplicateValues" dxfId="7275" priority="17071"/>
    <cfRule type="duplicateValues" dxfId="7274" priority="17070"/>
    <cfRule type="duplicateValues" dxfId="7273" priority="17069"/>
    <cfRule type="duplicateValues" dxfId="7272" priority="17068"/>
    <cfRule type="duplicateValues" dxfId="7271" priority="17067"/>
    <cfRule type="duplicateValues" dxfId="7270" priority="17066"/>
    <cfRule type="duplicateValues" dxfId="7269" priority="17065"/>
    <cfRule type="duplicateValues" dxfId="7268" priority="17064"/>
    <cfRule type="duplicateValues" dxfId="7267" priority="17063"/>
    <cfRule type="duplicateValues" dxfId="7266" priority="17062"/>
    <cfRule type="duplicateValues" dxfId="7265" priority="17061"/>
    <cfRule type="duplicateValues" dxfId="7264" priority="17060"/>
    <cfRule type="duplicateValues" dxfId="7263" priority="17059"/>
    <cfRule type="duplicateValues" dxfId="7262" priority="17058"/>
    <cfRule type="duplicateValues" dxfId="7261" priority="17057"/>
    <cfRule type="duplicateValues" dxfId="7260" priority="17056"/>
    <cfRule type="duplicateValues" dxfId="7259" priority="17055"/>
    <cfRule type="duplicateValues" dxfId="7258" priority="17054"/>
    <cfRule type="duplicateValues" dxfId="7257" priority="17053"/>
    <cfRule type="duplicateValues" dxfId="7256" priority="17052"/>
    <cfRule type="duplicateValues" dxfId="7255" priority="17051"/>
    <cfRule type="duplicateValues" dxfId="7254" priority="17050"/>
    <cfRule type="duplicateValues" dxfId="7253" priority="17049"/>
    <cfRule type="duplicateValues" dxfId="7252" priority="17048"/>
    <cfRule type="duplicateValues" dxfId="7251" priority="17047"/>
    <cfRule type="duplicateValues" dxfId="7250" priority="17046"/>
    <cfRule type="duplicateValues" dxfId="7249" priority="17045"/>
    <cfRule type="duplicateValues" dxfId="7248" priority="17044"/>
    <cfRule type="duplicateValues" dxfId="7247" priority="17043"/>
    <cfRule type="duplicateValues" dxfId="7246" priority="17042"/>
    <cfRule type="duplicateValues" dxfId="7245" priority="17041"/>
    <cfRule type="duplicateValues" dxfId="7244" priority="17040"/>
    <cfRule type="duplicateValues" dxfId="7243" priority="17039"/>
    <cfRule type="duplicateValues" dxfId="7242" priority="17038"/>
    <cfRule type="duplicateValues" dxfId="7241" priority="17037"/>
    <cfRule type="duplicateValues" dxfId="7240" priority="17036"/>
    <cfRule type="duplicateValues" dxfId="7239" priority="17035"/>
    <cfRule type="duplicateValues" dxfId="7238" priority="17034"/>
    <cfRule type="duplicateValues" dxfId="7237" priority="17033"/>
    <cfRule type="duplicateValues" dxfId="7236" priority="17032"/>
    <cfRule type="duplicateValues" dxfId="7235" priority="17031"/>
    <cfRule type="duplicateValues" dxfId="7234" priority="17030"/>
    <cfRule type="duplicateValues" dxfId="7233" priority="17029"/>
    <cfRule type="duplicateValues" dxfId="7232" priority="17028"/>
    <cfRule type="duplicateValues" dxfId="7231" priority="17027"/>
    <cfRule type="duplicateValues" dxfId="7230" priority="17026"/>
    <cfRule type="duplicateValues" dxfId="7229" priority="17025"/>
    <cfRule type="duplicateValues" dxfId="7228" priority="17024"/>
    <cfRule type="duplicateValues" dxfId="7227" priority="17023"/>
    <cfRule type="duplicateValues" dxfId="7226" priority="17022"/>
    <cfRule type="duplicateValues" dxfId="7225" priority="17021"/>
    <cfRule type="duplicateValues" dxfId="7224" priority="17020"/>
    <cfRule type="duplicateValues" dxfId="7223" priority="17019"/>
    <cfRule type="duplicateValues" dxfId="7222" priority="17018"/>
    <cfRule type="duplicateValues" dxfId="7221" priority="17017"/>
    <cfRule type="duplicateValues" dxfId="7220" priority="17016"/>
    <cfRule type="duplicateValues" dxfId="7219" priority="17015"/>
    <cfRule type="duplicateValues" dxfId="7218" priority="17014"/>
    <cfRule type="duplicateValues" dxfId="7217" priority="17013"/>
    <cfRule type="duplicateValues" dxfId="7216" priority="17012"/>
    <cfRule type="duplicateValues" dxfId="7215" priority="17011"/>
    <cfRule type="duplicateValues" dxfId="7214" priority="17010"/>
    <cfRule type="duplicateValues" dxfId="7213" priority="17009"/>
    <cfRule type="duplicateValues" dxfId="7212" priority="17008"/>
    <cfRule type="duplicateValues" dxfId="7211" priority="17007"/>
    <cfRule type="duplicateValues" dxfId="7210" priority="17006"/>
    <cfRule type="duplicateValues" dxfId="7209" priority="17005"/>
    <cfRule type="duplicateValues" dxfId="7208" priority="17004"/>
    <cfRule type="duplicateValues" dxfId="7207" priority="17003"/>
    <cfRule type="duplicateValues" dxfId="7206" priority="17002"/>
    <cfRule type="duplicateValues" dxfId="7205" priority="17001"/>
    <cfRule type="duplicateValues" dxfId="7204" priority="17000"/>
    <cfRule type="duplicateValues" dxfId="7203" priority="16999"/>
    <cfRule type="duplicateValues" dxfId="7202" priority="16998"/>
    <cfRule type="duplicateValues" dxfId="7201" priority="16997"/>
    <cfRule type="duplicateValues" dxfId="7200" priority="16996"/>
    <cfRule type="duplicateValues" dxfId="7199" priority="16995"/>
    <cfRule type="duplicateValues" dxfId="7198" priority="16994"/>
    <cfRule type="duplicateValues" dxfId="7197" priority="16993"/>
    <cfRule type="duplicateValues" dxfId="7196" priority="16992"/>
    <cfRule type="duplicateValues" dxfId="7195" priority="16991"/>
    <cfRule type="duplicateValues" dxfId="7194" priority="16274"/>
    <cfRule type="duplicateValues" dxfId="7193" priority="16989"/>
    <cfRule type="duplicateValues" dxfId="7192" priority="16988"/>
    <cfRule type="duplicateValues" dxfId="7191" priority="16987"/>
    <cfRule type="duplicateValues" dxfId="7190" priority="16986"/>
    <cfRule type="duplicateValues" dxfId="7189" priority="16985"/>
    <cfRule type="duplicateValues" dxfId="7188" priority="16984"/>
    <cfRule type="duplicateValues" dxfId="7187" priority="16983"/>
    <cfRule type="duplicateValues" dxfId="7186" priority="16982"/>
    <cfRule type="duplicateValues" dxfId="7185" priority="16981"/>
    <cfRule type="duplicateValues" dxfId="7184" priority="16980"/>
    <cfRule type="duplicateValues" dxfId="7183" priority="16979"/>
    <cfRule type="duplicateValues" dxfId="7182" priority="16978"/>
    <cfRule type="duplicateValues" dxfId="7181" priority="16977"/>
    <cfRule type="duplicateValues" dxfId="7180" priority="16976"/>
    <cfRule type="duplicateValues" dxfId="7179" priority="16975"/>
    <cfRule type="duplicateValues" dxfId="7178" priority="16974"/>
    <cfRule type="duplicateValues" dxfId="7177" priority="16973"/>
    <cfRule type="duplicateValues" dxfId="7176" priority="16972"/>
    <cfRule type="duplicateValues" dxfId="7175" priority="16971"/>
    <cfRule type="duplicateValues" dxfId="7174" priority="16970"/>
    <cfRule type="duplicateValues" dxfId="7173" priority="16969"/>
    <cfRule type="duplicateValues" dxfId="7172" priority="16968"/>
    <cfRule type="duplicateValues" dxfId="7171" priority="16967"/>
    <cfRule type="duplicateValues" dxfId="7170" priority="16966"/>
    <cfRule type="duplicateValues" dxfId="7169" priority="16965"/>
    <cfRule type="duplicateValues" dxfId="7168" priority="16964"/>
    <cfRule type="duplicateValues" dxfId="7167" priority="16963"/>
    <cfRule type="duplicateValues" dxfId="7166" priority="16962"/>
    <cfRule type="duplicateValues" dxfId="7165" priority="16961"/>
    <cfRule type="duplicateValues" dxfId="7164" priority="16960"/>
    <cfRule type="duplicateValues" dxfId="7163" priority="16959"/>
    <cfRule type="duplicateValues" dxfId="7162" priority="16958"/>
    <cfRule type="duplicateValues" dxfId="7161" priority="16957"/>
    <cfRule type="duplicateValues" dxfId="7160" priority="16956"/>
    <cfRule type="duplicateValues" dxfId="7159" priority="16955"/>
    <cfRule type="duplicateValues" dxfId="7158" priority="16954"/>
    <cfRule type="duplicateValues" dxfId="7157" priority="16953"/>
    <cfRule type="duplicateValues" dxfId="7156" priority="16952"/>
    <cfRule type="duplicateValues" dxfId="7155" priority="16951"/>
    <cfRule type="duplicateValues" dxfId="7154" priority="16950"/>
    <cfRule type="duplicateValues" dxfId="7153" priority="16949"/>
    <cfRule type="duplicateValues" dxfId="7152" priority="16948"/>
    <cfRule type="duplicateValues" dxfId="7151" priority="16947"/>
    <cfRule type="duplicateValues" dxfId="7150" priority="16946"/>
    <cfRule type="duplicateValues" dxfId="7149" priority="16945"/>
    <cfRule type="duplicateValues" dxfId="7148" priority="16944"/>
    <cfRule type="duplicateValues" dxfId="7147" priority="16943"/>
    <cfRule type="duplicateValues" dxfId="7146" priority="16942"/>
    <cfRule type="duplicateValues" dxfId="7145" priority="16941"/>
    <cfRule type="duplicateValues" dxfId="7144" priority="16940"/>
    <cfRule type="duplicateValues" dxfId="7143" priority="16939"/>
    <cfRule type="duplicateValues" dxfId="7142" priority="16938"/>
    <cfRule type="duplicateValues" dxfId="7141" priority="16937"/>
    <cfRule type="duplicateValues" dxfId="7140" priority="16936"/>
    <cfRule type="duplicateValues" dxfId="7139" priority="16935"/>
    <cfRule type="duplicateValues" dxfId="7138" priority="16934"/>
    <cfRule type="duplicateValues" dxfId="7137" priority="16933"/>
    <cfRule type="duplicateValues" dxfId="7136" priority="16932"/>
    <cfRule type="duplicateValues" dxfId="7135" priority="16931"/>
    <cfRule type="duplicateValues" dxfId="7134" priority="16930"/>
    <cfRule type="duplicateValues" dxfId="7133" priority="16929"/>
    <cfRule type="duplicateValues" dxfId="7132" priority="16928"/>
    <cfRule type="duplicateValues" dxfId="7131" priority="16927"/>
    <cfRule type="duplicateValues" dxfId="7130" priority="16926"/>
    <cfRule type="duplicateValues" dxfId="7129" priority="16925"/>
    <cfRule type="duplicateValues" dxfId="7128" priority="16924"/>
    <cfRule type="duplicateValues" dxfId="7127" priority="16923"/>
    <cfRule type="duplicateValues" dxfId="7126" priority="16922"/>
    <cfRule type="duplicateValues" dxfId="7125" priority="16921"/>
    <cfRule type="duplicateValues" dxfId="7124" priority="16920"/>
    <cfRule type="duplicateValues" dxfId="7123" priority="16919"/>
    <cfRule type="duplicateValues" dxfId="7122" priority="16918"/>
    <cfRule type="duplicateValues" dxfId="7121" priority="16917"/>
    <cfRule type="duplicateValues" dxfId="7120" priority="16916"/>
    <cfRule type="duplicateValues" dxfId="7119" priority="16915"/>
    <cfRule type="duplicateValues" dxfId="7118" priority="16914"/>
    <cfRule type="duplicateValues" dxfId="7117" priority="16913"/>
    <cfRule type="duplicateValues" dxfId="7116" priority="16912"/>
    <cfRule type="duplicateValues" dxfId="7115" priority="16911"/>
    <cfRule type="duplicateValues" dxfId="7114" priority="16910"/>
    <cfRule type="duplicateValues" dxfId="7113" priority="16909"/>
    <cfRule type="duplicateValues" dxfId="7112" priority="16908"/>
    <cfRule type="duplicateValues" dxfId="7111" priority="16907"/>
    <cfRule type="duplicateValues" dxfId="7110" priority="16906"/>
    <cfRule type="duplicateValues" dxfId="7109" priority="16905"/>
    <cfRule type="duplicateValues" dxfId="7108" priority="16904"/>
    <cfRule type="duplicateValues" dxfId="7107" priority="16903"/>
    <cfRule type="duplicateValues" dxfId="7106" priority="16902"/>
    <cfRule type="duplicateValues" dxfId="7105" priority="16901"/>
    <cfRule type="duplicateValues" dxfId="7104" priority="16900"/>
    <cfRule type="duplicateValues" dxfId="7103" priority="16899"/>
    <cfRule type="duplicateValues" dxfId="7102" priority="16898"/>
    <cfRule type="duplicateValues" dxfId="7101" priority="16897"/>
    <cfRule type="duplicateValues" dxfId="7100" priority="16896"/>
    <cfRule type="duplicateValues" dxfId="7099" priority="16895"/>
    <cfRule type="duplicateValues" dxfId="7098" priority="16894"/>
    <cfRule type="duplicateValues" dxfId="7097" priority="16893"/>
    <cfRule type="duplicateValues" dxfId="7096" priority="16892"/>
    <cfRule type="duplicateValues" dxfId="7095" priority="16891"/>
    <cfRule type="duplicateValues" dxfId="7094" priority="16890"/>
    <cfRule type="duplicateValues" dxfId="7093" priority="16889"/>
    <cfRule type="duplicateValues" dxfId="7092" priority="16888"/>
    <cfRule type="duplicateValues" dxfId="7091" priority="16887"/>
    <cfRule type="duplicateValues" dxfId="7090" priority="16886"/>
    <cfRule type="duplicateValues" dxfId="7089" priority="16885"/>
    <cfRule type="duplicateValues" dxfId="7088" priority="16884"/>
    <cfRule type="duplicateValues" dxfId="7087" priority="16883"/>
    <cfRule type="duplicateValues" dxfId="7086" priority="16882"/>
    <cfRule type="duplicateValues" dxfId="7085" priority="16881"/>
    <cfRule type="duplicateValues" dxfId="7084" priority="16880"/>
    <cfRule type="duplicateValues" dxfId="7083" priority="16879"/>
    <cfRule type="duplicateValues" dxfId="7082" priority="16878"/>
    <cfRule type="duplicateValues" dxfId="7081" priority="16877"/>
    <cfRule type="duplicateValues" dxfId="7080" priority="16876"/>
    <cfRule type="duplicateValues" dxfId="7079" priority="16875"/>
    <cfRule type="duplicateValues" dxfId="7078" priority="16874"/>
    <cfRule type="duplicateValues" dxfId="7077" priority="16873"/>
    <cfRule type="duplicateValues" dxfId="7076" priority="16872"/>
    <cfRule type="duplicateValues" dxfId="7075" priority="16871"/>
    <cfRule type="duplicateValues" dxfId="7074" priority="16870"/>
    <cfRule type="duplicateValues" dxfId="7073" priority="16869"/>
    <cfRule type="duplicateValues" dxfId="7072" priority="16868"/>
    <cfRule type="duplicateValues" dxfId="7071" priority="16867"/>
    <cfRule type="duplicateValues" dxfId="7070" priority="16866"/>
    <cfRule type="duplicateValues" dxfId="7069" priority="16865"/>
    <cfRule type="duplicateValues" dxfId="7068" priority="16864"/>
    <cfRule type="duplicateValues" dxfId="7067" priority="16863"/>
    <cfRule type="duplicateValues" dxfId="7066" priority="16862"/>
    <cfRule type="duplicateValues" dxfId="7065" priority="16861"/>
    <cfRule type="duplicateValues" dxfId="7064" priority="16860"/>
    <cfRule type="duplicateValues" dxfId="7063" priority="16859"/>
    <cfRule type="duplicateValues" dxfId="7062" priority="16858"/>
  </conditionalFormatting>
  <conditionalFormatting sqref="P111">
    <cfRule type="duplicateValues" dxfId="7061" priority="3861"/>
    <cfRule type="duplicateValues" dxfId="7060" priority="3860"/>
    <cfRule type="duplicateValues" dxfId="7059" priority="3859"/>
    <cfRule type="duplicateValues" dxfId="7058" priority="3858"/>
    <cfRule type="duplicateValues" dxfId="7057" priority="3857"/>
    <cfRule type="duplicateValues" dxfId="7056" priority="3856"/>
    <cfRule type="duplicateValues" dxfId="7055" priority="3855"/>
    <cfRule type="duplicateValues" dxfId="7054" priority="3854"/>
    <cfRule type="duplicateValues" dxfId="7053" priority="3853"/>
    <cfRule type="duplicateValues" dxfId="7052" priority="3852"/>
    <cfRule type="duplicateValues" dxfId="7051" priority="3851"/>
    <cfRule type="duplicateValues" dxfId="7050" priority="3850"/>
    <cfRule type="duplicateValues" dxfId="7049" priority="3849"/>
    <cfRule type="duplicateValues" dxfId="7048" priority="3848"/>
    <cfRule type="duplicateValues" dxfId="7047" priority="3847"/>
    <cfRule type="duplicateValues" dxfId="7046" priority="3846"/>
    <cfRule type="duplicateValues" dxfId="7045" priority="3845"/>
    <cfRule type="duplicateValues" dxfId="7044" priority="3844"/>
    <cfRule type="duplicateValues" dxfId="7043" priority="3843"/>
    <cfRule type="duplicateValues" dxfId="7042" priority="3842"/>
    <cfRule type="duplicateValues" dxfId="7041" priority="3841"/>
    <cfRule type="duplicateValues" dxfId="7040" priority="3840"/>
    <cfRule type="duplicateValues" dxfId="7039" priority="3839"/>
    <cfRule type="duplicateValues" dxfId="7038" priority="3838"/>
    <cfRule type="duplicateValues" dxfId="7037" priority="3837"/>
    <cfRule type="duplicateValues" dxfId="7036" priority="3836"/>
    <cfRule type="duplicateValues" dxfId="7035" priority="3835"/>
    <cfRule type="duplicateValues" dxfId="7034" priority="3834"/>
    <cfRule type="duplicateValues" dxfId="7033" priority="3833"/>
    <cfRule type="duplicateValues" dxfId="7032" priority="3831"/>
    <cfRule type="duplicateValues" dxfId="7031" priority="3830"/>
    <cfRule type="duplicateValues" dxfId="7030" priority="3829"/>
    <cfRule type="duplicateValues" dxfId="7029" priority="3828"/>
    <cfRule type="duplicateValues" dxfId="7028" priority="3827"/>
    <cfRule type="duplicateValues" dxfId="7027" priority="3945"/>
    <cfRule type="duplicateValues" dxfId="7026" priority="3946"/>
    <cfRule type="duplicateValues" dxfId="7025" priority="3895"/>
    <cfRule type="duplicateValues" dxfId="7024" priority="3862"/>
    <cfRule type="duplicateValues" dxfId="7023" priority="3863"/>
    <cfRule type="duplicateValues" dxfId="7022" priority="3864"/>
    <cfRule type="duplicateValues" dxfId="7021" priority="3865"/>
    <cfRule type="duplicateValues" dxfId="7020" priority="3866"/>
    <cfRule type="duplicateValues" dxfId="7019" priority="3867"/>
    <cfRule type="duplicateValues" dxfId="7018" priority="3868"/>
    <cfRule type="duplicateValues" dxfId="7017" priority="3869"/>
    <cfRule type="duplicateValues" dxfId="7016" priority="3870"/>
    <cfRule type="duplicateValues" dxfId="7015" priority="3871"/>
    <cfRule type="duplicateValues" dxfId="7014" priority="3872"/>
    <cfRule type="duplicateValues" dxfId="7013" priority="3873"/>
    <cfRule type="duplicateValues" dxfId="7012" priority="3874"/>
    <cfRule type="duplicateValues" dxfId="7011" priority="3962"/>
    <cfRule type="duplicateValues" dxfId="7010" priority="3875"/>
    <cfRule type="duplicateValues" dxfId="7009" priority="3876"/>
    <cfRule type="duplicateValues" dxfId="7008" priority="3877"/>
    <cfRule type="duplicateValues" dxfId="7007" priority="3878"/>
    <cfRule type="duplicateValues" dxfId="7006" priority="3879"/>
    <cfRule type="duplicateValues" dxfId="7005" priority="3880"/>
    <cfRule type="duplicateValues" dxfId="7004" priority="3881"/>
    <cfRule type="duplicateValues" dxfId="7003" priority="3882"/>
    <cfRule type="duplicateValues" dxfId="7002" priority="3883"/>
    <cfRule type="duplicateValues" dxfId="7001" priority="3884"/>
    <cfRule type="duplicateValues" dxfId="7000" priority="3885"/>
    <cfRule type="duplicateValues" dxfId="6999" priority="3886"/>
    <cfRule type="duplicateValues" dxfId="6998" priority="3887"/>
    <cfRule type="duplicateValues" dxfId="6997" priority="3888"/>
    <cfRule type="duplicateValues" dxfId="6996" priority="3889"/>
    <cfRule type="duplicateValues" dxfId="6995" priority="3890"/>
    <cfRule type="duplicateValues" dxfId="6994" priority="3891"/>
    <cfRule type="duplicateValues" dxfId="6993" priority="3892"/>
    <cfRule type="duplicateValues" dxfId="6992" priority="3893"/>
    <cfRule type="duplicateValues" dxfId="6991" priority="3894"/>
    <cfRule type="duplicateValues" dxfId="6990" priority="3896"/>
    <cfRule type="duplicateValues" dxfId="6989" priority="3897"/>
    <cfRule type="duplicateValues" dxfId="6988" priority="3898"/>
    <cfRule type="duplicateValues" dxfId="6987" priority="3899"/>
    <cfRule type="duplicateValues" dxfId="6986" priority="3900"/>
    <cfRule type="duplicateValues" dxfId="6985" priority="3901"/>
    <cfRule type="duplicateValues" dxfId="6984" priority="3902"/>
    <cfRule type="duplicateValues" dxfId="6983" priority="3903"/>
    <cfRule type="duplicateValues" dxfId="6982" priority="3904"/>
    <cfRule type="duplicateValues" dxfId="6981" priority="3905"/>
    <cfRule type="duplicateValues" dxfId="6980" priority="3906"/>
    <cfRule type="duplicateValues" dxfId="6979" priority="3980"/>
    <cfRule type="duplicateValues" dxfId="6978" priority="3979"/>
    <cfRule type="duplicateValues" dxfId="6977" priority="3978"/>
    <cfRule type="duplicateValues" dxfId="6976" priority="3977"/>
    <cfRule type="duplicateValues" dxfId="6975" priority="3976"/>
    <cfRule type="duplicateValues" dxfId="6974" priority="3975"/>
    <cfRule type="duplicateValues" dxfId="6973" priority="3974"/>
    <cfRule type="duplicateValues" dxfId="6972" priority="3973"/>
    <cfRule type="duplicateValues" dxfId="6971" priority="3972"/>
    <cfRule type="duplicateValues" dxfId="6970" priority="3971"/>
    <cfRule type="duplicateValues" dxfId="6969" priority="3970"/>
    <cfRule type="duplicateValues" dxfId="6968" priority="3969"/>
    <cfRule type="duplicateValues" dxfId="6967" priority="3968"/>
    <cfRule type="duplicateValues" dxfId="6966" priority="3967"/>
    <cfRule type="duplicateValues" dxfId="6965" priority="3966"/>
    <cfRule type="duplicateValues" dxfId="6964" priority="3965"/>
    <cfRule type="duplicateValues" dxfId="6963" priority="3964"/>
    <cfRule type="duplicateValues" dxfId="6962" priority="3963"/>
    <cfRule type="duplicateValues" dxfId="6961" priority="3907"/>
    <cfRule type="duplicateValues" dxfId="6960" priority="3961"/>
    <cfRule type="duplicateValues" dxfId="6959" priority="3960"/>
    <cfRule type="duplicateValues" dxfId="6958" priority="3959"/>
    <cfRule type="duplicateValues" dxfId="6957" priority="3958"/>
    <cfRule type="duplicateValues" dxfId="6956" priority="3957"/>
    <cfRule type="duplicateValues" dxfId="6955" priority="3956"/>
    <cfRule type="duplicateValues" dxfId="6954" priority="3955"/>
    <cfRule type="duplicateValues" dxfId="6953" priority="3954"/>
    <cfRule type="duplicateValues" dxfId="6952" priority="3953"/>
    <cfRule type="duplicateValues" dxfId="6951" priority="3952"/>
    <cfRule type="duplicateValues" dxfId="6950" priority="3951"/>
    <cfRule type="duplicateValues" dxfId="6949" priority="4009"/>
    <cfRule type="duplicateValues" dxfId="6948" priority="4008"/>
    <cfRule type="duplicateValues" dxfId="6947" priority="4007"/>
    <cfRule type="duplicateValues" dxfId="6946" priority="4006"/>
    <cfRule type="duplicateValues" dxfId="6945" priority="4005"/>
    <cfRule type="duplicateValues" dxfId="6944" priority="4004"/>
    <cfRule type="duplicateValues" dxfId="6943" priority="4003"/>
    <cfRule type="duplicateValues" dxfId="6942" priority="4002"/>
    <cfRule type="duplicateValues" dxfId="6941" priority="3832"/>
    <cfRule type="duplicateValues" dxfId="6940" priority="4001"/>
    <cfRule type="duplicateValues" dxfId="6939" priority="4000"/>
    <cfRule type="duplicateValues" dxfId="6938" priority="3999"/>
    <cfRule type="duplicateValues" dxfId="6937" priority="3998"/>
    <cfRule type="duplicateValues" dxfId="6936" priority="3997"/>
    <cfRule type="duplicateValues" dxfId="6935" priority="3996"/>
    <cfRule type="duplicateValues" dxfId="6934" priority="3995"/>
    <cfRule type="duplicateValues" dxfId="6933" priority="3994"/>
    <cfRule type="duplicateValues" dxfId="6932" priority="3993"/>
    <cfRule type="duplicateValues" dxfId="6931" priority="3992"/>
    <cfRule type="duplicateValues" dxfId="6930" priority="3991"/>
    <cfRule type="duplicateValues" dxfId="6929" priority="3990"/>
    <cfRule type="duplicateValues" dxfId="6928" priority="3989"/>
    <cfRule type="duplicateValues" dxfId="6927" priority="3988"/>
    <cfRule type="duplicateValues" dxfId="6926" priority="3987"/>
    <cfRule type="duplicateValues" dxfId="6925" priority="3986"/>
    <cfRule type="duplicateValues" dxfId="6924" priority="3985"/>
    <cfRule type="duplicateValues" dxfId="6923" priority="3984"/>
    <cfRule type="duplicateValues" dxfId="6922" priority="3983"/>
    <cfRule type="duplicateValues" dxfId="6921" priority="3982"/>
    <cfRule type="duplicateValues" dxfId="6920" priority="3981"/>
    <cfRule type="duplicateValues" dxfId="6919" priority="4010"/>
    <cfRule type="duplicateValues" dxfId="6918" priority="4011"/>
    <cfRule type="duplicateValues" dxfId="6917" priority="4012"/>
    <cfRule type="duplicateValues" dxfId="6916" priority="4013"/>
    <cfRule type="duplicateValues" dxfId="6915" priority="4014"/>
    <cfRule type="duplicateValues" dxfId="6914" priority="4015"/>
    <cfRule type="duplicateValues" dxfId="6913" priority="4016"/>
    <cfRule type="duplicateValues" dxfId="6912" priority="4017"/>
    <cfRule type="duplicateValues" dxfId="6911" priority="4018"/>
    <cfRule type="duplicateValues" dxfId="6910" priority="4019"/>
    <cfRule type="duplicateValues" dxfId="6909" priority="4020"/>
    <cfRule type="duplicateValues" dxfId="6908" priority="4021"/>
    <cfRule type="duplicateValues" dxfId="6907" priority="4022"/>
    <cfRule type="duplicateValues" dxfId="6906" priority="4023"/>
    <cfRule type="duplicateValues" dxfId="6905" priority="4024"/>
    <cfRule type="duplicateValues" dxfId="6904" priority="4025"/>
    <cfRule type="duplicateValues" dxfId="6903" priority="4026"/>
    <cfRule type="duplicateValues" dxfId="6902" priority="4027"/>
    <cfRule type="duplicateValues" dxfId="6901" priority="3908"/>
    <cfRule type="duplicateValues" dxfId="6900" priority="3950"/>
    <cfRule type="duplicateValues" dxfId="6899" priority="3949"/>
    <cfRule type="duplicateValues" dxfId="6898" priority="3948"/>
    <cfRule type="duplicateValues" dxfId="6897" priority="3947"/>
    <cfRule type="duplicateValues" dxfId="6896" priority="3909"/>
    <cfRule type="duplicateValues" dxfId="6895" priority="3910"/>
    <cfRule type="duplicateValues" dxfId="6894" priority="3911"/>
    <cfRule type="duplicateValues" dxfId="6893" priority="3912"/>
    <cfRule type="duplicateValues" dxfId="6892" priority="3913"/>
    <cfRule type="duplicateValues" dxfId="6891" priority="3914"/>
    <cfRule type="duplicateValues" dxfId="6890" priority="3915"/>
    <cfRule type="duplicateValues" dxfId="6889" priority="3916"/>
    <cfRule type="duplicateValues" dxfId="6888" priority="3917"/>
    <cfRule type="duplicateValues" dxfId="6887" priority="3918"/>
    <cfRule type="duplicateValues" dxfId="6886" priority="3919"/>
    <cfRule type="duplicateValues" dxfId="6885" priority="3920"/>
    <cfRule type="duplicateValues" dxfId="6884" priority="3921"/>
    <cfRule type="duplicateValues" dxfId="6883" priority="3922"/>
    <cfRule type="duplicateValues" dxfId="6882" priority="3923"/>
    <cfRule type="duplicateValues" dxfId="6881" priority="3924"/>
    <cfRule type="duplicateValues" dxfId="6880" priority="3925"/>
    <cfRule type="duplicateValues" dxfId="6879" priority="3926"/>
    <cfRule type="duplicateValues" dxfId="6878" priority="3927"/>
    <cfRule type="duplicateValues" dxfId="6877" priority="3928"/>
    <cfRule type="duplicateValues" dxfId="6876" priority="3929"/>
    <cfRule type="duplicateValues" dxfId="6875" priority="3930"/>
    <cfRule type="duplicateValues" dxfId="6874" priority="3931"/>
    <cfRule type="duplicateValues" dxfId="6873" priority="3932"/>
    <cfRule type="duplicateValues" dxfId="6872" priority="3933"/>
    <cfRule type="duplicateValues" dxfId="6871" priority="3934"/>
    <cfRule type="duplicateValues" dxfId="6870" priority="3935"/>
    <cfRule type="duplicateValues" dxfId="6869" priority="3936"/>
    <cfRule type="duplicateValues" dxfId="6868" priority="3937"/>
    <cfRule type="duplicateValues" dxfId="6867" priority="3938"/>
    <cfRule type="duplicateValues" dxfId="6866" priority="3939"/>
    <cfRule type="duplicateValues" dxfId="6865" priority="3940"/>
    <cfRule type="duplicateValues" dxfId="6864" priority="3941"/>
    <cfRule type="duplicateValues" dxfId="6863" priority="3942"/>
    <cfRule type="duplicateValues" dxfId="6862" priority="3943"/>
    <cfRule type="duplicateValues" dxfId="6861" priority="3944"/>
  </conditionalFormatting>
  <conditionalFormatting sqref="P112">
    <cfRule type="duplicateValues" dxfId="6860" priority="5441"/>
    <cfRule type="duplicateValues" dxfId="6859" priority="5443"/>
    <cfRule type="duplicateValues" dxfId="6858" priority="5444"/>
    <cfRule type="duplicateValues" dxfId="6857" priority="5445"/>
    <cfRule type="duplicateValues" dxfId="6856" priority="5446"/>
    <cfRule type="duplicateValues" dxfId="6855" priority="5447"/>
    <cfRule type="duplicateValues" dxfId="6854" priority="5448"/>
    <cfRule type="duplicateValues" dxfId="6853" priority="5449"/>
    <cfRule type="duplicateValues" dxfId="6852" priority="5450"/>
    <cfRule type="duplicateValues" dxfId="6851" priority="5451"/>
    <cfRule type="duplicateValues" dxfId="6850" priority="5452"/>
    <cfRule type="duplicateValues" dxfId="6849" priority="5453"/>
    <cfRule type="duplicateValues" dxfId="6848" priority="5454"/>
    <cfRule type="duplicateValues" dxfId="6847" priority="5455"/>
    <cfRule type="duplicateValues" dxfId="6846" priority="5456"/>
    <cfRule type="duplicateValues" dxfId="6845" priority="5457"/>
    <cfRule type="duplicateValues" dxfId="6844" priority="5459"/>
    <cfRule type="duplicateValues" dxfId="6843" priority="5460"/>
    <cfRule type="duplicateValues" dxfId="6842" priority="5461"/>
    <cfRule type="duplicateValues" dxfId="6841" priority="5462"/>
    <cfRule type="duplicateValues" dxfId="6840" priority="5463"/>
    <cfRule type="duplicateValues" dxfId="6839" priority="5464"/>
    <cfRule type="duplicateValues" dxfId="6838" priority="5465"/>
    <cfRule type="duplicateValues" dxfId="6837" priority="5466"/>
    <cfRule type="duplicateValues" dxfId="6836" priority="5467"/>
    <cfRule type="duplicateValues" dxfId="6835" priority="5468"/>
    <cfRule type="duplicateValues" dxfId="6834" priority="5469"/>
    <cfRule type="duplicateValues" dxfId="6833" priority="5470"/>
    <cfRule type="duplicateValues" dxfId="6832" priority="5471"/>
    <cfRule type="duplicateValues" dxfId="6831" priority="5472"/>
    <cfRule type="duplicateValues" dxfId="6830" priority="5473"/>
    <cfRule type="duplicateValues" dxfId="6829" priority="5474"/>
    <cfRule type="duplicateValues" dxfId="6828" priority="5475"/>
    <cfRule type="duplicateValues" dxfId="6827" priority="5476"/>
    <cfRule type="duplicateValues" dxfId="6826" priority="5477"/>
    <cfRule type="duplicateValues" dxfId="6825" priority="5478"/>
    <cfRule type="duplicateValues" dxfId="6824" priority="5479"/>
    <cfRule type="duplicateValues" dxfId="6823" priority="5480"/>
    <cfRule type="duplicateValues" dxfId="6822" priority="5481"/>
    <cfRule type="duplicateValues" dxfId="6821" priority="5482"/>
    <cfRule type="duplicateValues" dxfId="6820" priority="5483"/>
    <cfRule type="duplicateValues" dxfId="6819" priority="5484"/>
    <cfRule type="duplicateValues" dxfId="6818" priority="5485"/>
    <cfRule type="duplicateValues" dxfId="6817" priority="5486"/>
    <cfRule type="duplicateValues" dxfId="6816" priority="5487"/>
    <cfRule type="duplicateValues" dxfId="6815" priority="5488"/>
    <cfRule type="duplicateValues" dxfId="6814" priority="5489"/>
    <cfRule type="duplicateValues" dxfId="6813" priority="5458"/>
    <cfRule type="duplicateValues" dxfId="6812" priority="5590"/>
    <cfRule type="duplicateValues" dxfId="6811" priority="5442"/>
    <cfRule type="duplicateValues" dxfId="6810" priority="5490"/>
    <cfRule type="duplicateValues" dxfId="6809" priority="5491"/>
    <cfRule type="duplicateValues" dxfId="6808" priority="5492"/>
    <cfRule type="duplicateValues" dxfId="6807" priority="5493"/>
    <cfRule type="duplicateValues" dxfId="6806" priority="5494"/>
    <cfRule type="duplicateValues" dxfId="6805" priority="5495"/>
    <cfRule type="duplicateValues" dxfId="6804" priority="5496"/>
    <cfRule type="duplicateValues" dxfId="6803" priority="5497"/>
    <cfRule type="duplicateValues" dxfId="6802" priority="5498"/>
    <cfRule type="duplicateValues" dxfId="6801" priority="5499"/>
    <cfRule type="duplicateValues" dxfId="6800" priority="5500"/>
    <cfRule type="duplicateValues" dxfId="6799" priority="5501"/>
    <cfRule type="duplicateValues" dxfId="6798" priority="5502"/>
    <cfRule type="duplicateValues" dxfId="6797" priority="5503"/>
    <cfRule type="duplicateValues" dxfId="6796" priority="5504"/>
    <cfRule type="duplicateValues" dxfId="6795" priority="5505"/>
    <cfRule type="duplicateValues" dxfId="6794" priority="5506"/>
    <cfRule type="duplicateValues" dxfId="6793" priority="5507"/>
    <cfRule type="duplicateValues" dxfId="6792" priority="5508"/>
    <cfRule type="duplicateValues" dxfId="6791" priority="5509"/>
    <cfRule type="duplicateValues" dxfId="6790" priority="5510"/>
    <cfRule type="duplicateValues" dxfId="6789" priority="5511"/>
    <cfRule type="duplicateValues" dxfId="6788" priority="5512"/>
    <cfRule type="duplicateValues" dxfId="6787" priority="5513"/>
    <cfRule type="duplicateValues" dxfId="6786" priority="5514"/>
    <cfRule type="duplicateValues" dxfId="6785" priority="5515"/>
    <cfRule type="duplicateValues" dxfId="6784" priority="5516"/>
    <cfRule type="duplicateValues" dxfId="6783" priority="5517"/>
    <cfRule type="duplicateValues" dxfId="6782" priority="5518"/>
    <cfRule type="duplicateValues" dxfId="6781" priority="5519"/>
    <cfRule type="duplicateValues" dxfId="6780" priority="5520"/>
    <cfRule type="duplicateValues" dxfId="6779" priority="5521"/>
    <cfRule type="duplicateValues" dxfId="6778" priority="5522"/>
    <cfRule type="duplicateValues" dxfId="6777" priority="5523"/>
    <cfRule type="duplicateValues" dxfId="6776" priority="5524"/>
    <cfRule type="duplicateValues" dxfId="6775" priority="5612"/>
    <cfRule type="duplicateValues" dxfId="6774" priority="5613"/>
    <cfRule type="duplicateValues" dxfId="6773" priority="5614"/>
    <cfRule type="duplicateValues" dxfId="6772" priority="5615"/>
    <cfRule type="duplicateValues" dxfId="6771" priority="5616"/>
    <cfRule type="duplicateValues" dxfId="6770" priority="5617"/>
    <cfRule type="duplicateValues" dxfId="6769" priority="5618"/>
    <cfRule type="duplicateValues" dxfId="6768" priority="5619"/>
    <cfRule type="duplicateValues" dxfId="6767" priority="5620"/>
    <cfRule type="duplicateValues" dxfId="6766" priority="5621"/>
    <cfRule type="duplicateValues" dxfId="6765" priority="5622"/>
    <cfRule type="duplicateValues" dxfId="6764" priority="5623"/>
    <cfRule type="duplicateValues" dxfId="6763" priority="5624"/>
    <cfRule type="duplicateValues" dxfId="6762" priority="5625"/>
    <cfRule type="duplicateValues" dxfId="6761" priority="5626"/>
    <cfRule type="duplicateValues" dxfId="6760" priority="5527"/>
    <cfRule type="duplicateValues" dxfId="6759" priority="5628"/>
    <cfRule type="duplicateValues" dxfId="6758" priority="5629"/>
    <cfRule type="duplicateValues" dxfId="6757" priority="5630"/>
    <cfRule type="duplicateValues" dxfId="6756" priority="5631"/>
    <cfRule type="duplicateValues" dxfId="6755" priority="5632"/>
    <cfRule type="duplicateValues" dxfId="6754" priority="5633"/>
    <cfRule type="duplicateValues" dxfId="6753" priority="5634"/>
    <cfRule type="duplicateValues" dxfId="6752" priority="5635"/>
    <cfRule type="duplicateValues" dxfId="6751" priority="5636"/>
    <cfRule type="duplicateValues" dxfId="6750" priority="5637"/>
    <cfRule type="duplicateValues" dxfId="6749" priority="5638"/>
    <cfRule type="duplicateValues" dxfId="6748" priority="5556"/>
    <cfRule type="duplicateValues" dxfId="6747" priority="5535"/>
    <cfRule type="duplicateValues" dxfId="6746" priority="5639"/>
    <cfRule type="duplicateValues" dxfId="6745" priority="5640"/>
    <cfRule type="duplicateValues" dxfId="6744" priority="5641"/>
    <cfRule type="duplicateValues" dxfId="6743" priority="5528"/>
    <cfRule type="duplicateValues" dxfId="6742" priority="5529"/>
    <cfRule type="duplicateValues" dxfId="6741" priority="5530"/>
    <cfRule type="duplicateValues" dxfId="6740" priority="5531"/>
    <cfRule type="duplicateValues" dxfId="6739" priority="5532"/>
    <cfRule type="duplicateValues" dxfId="6738" priority="5533"/>
    <cfRule type="duplicateValues" dxfId="6737" priority="5534"/>
    <cfRule type="duplicateValues" dxfId="6736" priority="5536"/>
    <cfRule type="duplicateValues" dxfId="6735" priority="5537"/>
    <cfRule type="duplicateValues" dxfId="6734" priority="5538"/>
    <cfRule type="duplicateValues" dxfId="6733" priority="5539"/>
    <cfRule type="duplicateValues" dxfId="6732" priority="5540"/>
    <cfRule type="duplicateValues" dxfId="6731" priority="5541"/>
    <cfRule type="duplicateValues" dxfId="6730" priority="5542"/>
    <cfRule type="duplicateValues" dxfId="6729" priority="5543"/>
    <cfRule type="duplicateValues" dxfId="6728" priority="5544"/>
    <cfRule type="duplicateValues" dxfId="6727" priority="5545"/>
    <cfRule type="duplicateValues" dxfId="6726" priority="5546"/>
    <cfRule type="duplicateValues" dxfId="6725" priority="5547"/>
    <cfRule type="duplicateValues" dxfId="6724" priority="5548"/>
    <cfRule type="duplicateValues" dxfId="6723" priority="5549"/>
    <cfRule type="duplicateValues" dxfId="6722" priority="5550"/>
    <cfRule type="duplicateValues" dxfId="6721" priority="5551"/>
    <cfRule type="duplicateValues" dxfId="6720" priority="5552"/>
    <cfRule type="duplicateValues" dxfId="6719" priority="5553"/>
    <cfRule type="duplicateValues" dxfId="6718" priority="5554"/>
    <cfRule type="duplicateValues" dxfId="6717" priority="5555"/>
    <cfRule type="duplicateValues" dxfId="6716" priority="5557"/>
    <cfRule type="duplicateValues" dxfId="6715" priority="5558"/>
    <cfRule type="duplicateValues" dxfId="6714" priority="5559"/>
    <cfRule type="duplicateValues" dxfId="6713" priority="5560"/>
    <cfRule type="duplicateValues" dxfId="6712" priority="5561"/>
    <cfRule type="duplicateValues" dxfId="6711" priority="5562"/>
    <cfRule type="duplicateValues" dxfId="6710" priority="5525"/>
    <cfRule type="duplicateValues" dxfId="6709" priority="5563"/>
    <cfRule type="duplicateValues" dxfId="6708" priority="5564"/>
    <cfRule type="duplicateValues" dxfId="6707" priority="5565"/>
    <cfRule type="duplicateValues" dxfId="6706" priority="5566"/>
    <cfRule type="duplicateValues" dxfId="6705" priority="5567"/>
    <cfRule type="duplicateValues" dxfId="6704" priority="5568"/>
    <cfRule type="duplicateValues" dxfId="6703" priority="5569"/>
    <cfRule type="duplicateValues" dxfId="6702" priority="5570"/>
    <cfRule type="duplicateValues" dxfId="6701" priority="5571"/>
    <cfRule type="duplicateValues" dxfId="6700" priority="5572"/>
    <cfRule type="duplicateValues" dxfId="6699" priority="5573"/>
    <cfRule type="duplicateValues" dxfId="6698" priority="5574"/>
    <cfRule type="duplicateValues" dxfId="6697" priority="5575"/>
    <cfRule type="duplicateValues" dxfId="6696" priority="5576"/>
    <cfRule type="duplicateValues" dxfId="6695" priority="5577"/>
    <cfRule type="duplicateValues" dxfId="6694" priority="5578"/>
    <cfRule type="duplicateValues" dxfId="6693" priority="5579"/>
    <cfRule type="duplicateValues" dxfId="6692" priority="5580"/>
    <cfRule type="duplicateValues" dxfId="6691" priority="5581"/>
    <cfRule type="duplicateValues" dxfId="6690" priority="5582"/>
    <cfRule type="duplicateValues" dxfId="6689" priority="5583"/>
    <cfRule type="duplicateValues" dxfId="6688" priority="5584"/>
    <cfRule type="duplicateValues" dxfId="6687" priority="5585"/>
    <cfRule type="duplicateValues" dxfId="6686" priority="5586"/>
    <cfRule type="duplicateValues" dxfId="6685" priority="5587"/>
    <cfRule type="duplicateValues" dxfId="6684" priority="5588"/>
    <cfRule type="duplicateValues" dxfId="6683" priority="5589"/>
    <cfRule type="duplicateValues" dxfId="6682" priority="5526"/>
    <cfRule type="duplicateValues" dxfId="6681" priority="5591"/>
    <cfRule type="duplicateValues" dxfId="6680" priority="5592"/>
    <cfRule type="duplicateValues" dxfId="6679" priority="5593"/>
    <cfRule type="duplicateValues" dxfId="6678" priority="5594"/>
    <cfRule type="duplicateValues" dxfId="6677" priority="5595"/>
    <cfRule type="duplicateValues" dxfId="6676" priority="5596"/>
    <cfRule type="duplicateValues" dxfId="6675" priority="5597"/>
    <cfRule type="duplicateValues" dxfId="6674" priority="5598"/>
    <cfRule type="duplicateValues" dxfId="6673" priority="5599"/>
    <cfRule type="duplicateValues" dxfId="6672" priority="5600"/>
    <cfRule type="duplicateValues" dxfId="6671" priority="5601"/>
    <cfRule type="duplicateValues" dxfId="6670" priority="5602"/>
    <cfRule type="duplicateValues" dxfId="6669" priority="5603"/>
    <cfRule type="duplicateValues" dxfId="6668" priority="5604"/>
    <cfRule type="duplicateValues" dxfId="6667" priority="5605"/>
    <cfRule type="duplicateValues" dxfId="6666" priority="5606"/>
    <cfRule type="duplicateValues" dxfId="6665" priority="5607"/>
    <cfRule type="duplicateValues" dxfId="6664" priority="5608"/>
    <cfRule type="duplicateValues" dxfId="6663" priority="5609"/>
    <cfRule type="duplicateValues" dxfId="6662" priority="5610"/>
    <cfRule type="duplicateValues" dxfId="6661" priority="5611"/>
    <cfRule type="duplicateValues" dxfId="6660" priority="5627"/>
  </conditionalFormatting>
  <conditionalFormatting sqref="P113">
    <cfRule type="duplicateValues" dxfId="6659" priority="6858"/>
    <cfRule type="duplicateValues" dxfId="6658" priority="6857"/>
    <cfRule type="duplicateValues" dxfId="6657" priority="6856"/>
    <cfRule type="duplicateValues" dxfId="6656" priority="6855"/>
    <cfRule type="duplicateValues" dxfId="6655" priority="6854"/>
    <cfRule type="duplicateValues" dxfId="6654" priority="6853"/>
    <cfRule type="duplicateValues" dxfId="6653" priority="6852"/>
    <cfRule type="duplicateValues" dxfId="6652" priority="6851"/>
    <cfRule type="duplicateValues" dxfId="6651" priority="6850"/>
    <cfRule type="duplicateValues" dxfId="6650" priority="6849"/>
    <cfRule type="duplicateValues" dxfId="6649" priority="6848"/>
    <cfRule type="duplicateValues" dxfId="6648" priority="6847"/>
    <cfRule type="duplicateValues" dxfId="6647" priority="6846"/>
    <cfRule type="duplicateValues" dxfId="6646" priority="6845"/>
    <cfRule type="duplicateValues" dxfId="6645" priority="7010"/>
    <cfRule type="duplicateValues" dxfId="6644" priority="7009"/>
    <cfRule type="duplicateValues" dxfId="6643" priority="7008"/>
    <cfRule type="duplicateValues" dxfId="6642" priority="7007"/>
    <cfRule type="duplicateValues" dxfId="6641" priority="7006"/>
    <cfRule type="duplicateValues" dxfId="6640" priority="7005"/>
    <cfRule type="duplicateValues" dxfId="6639" priority="7004"/>
    <cfRule type="duplicateValues" dxfId="6638" priority="7003"/>
    <cfRule type="duplicateValues" dxfId="6637" priority="7002"/>
    <cfRule type="duplicateValues" dxfId="6636" priority="7001"/>
    <cfRule type="duplicateValues" dxfId="6635" priority="7000"/>
    <cfRule type="duplicateValues" dxfId="6634" priority="6999"/>
    <cfRule type="duplicateValues" dxfId="6633" priority="6998"/>
    <cfRule type="duplicateValues" dxfId="6632" priority="6997"/>
    <cfRule type="duplicateValues" dxfId="6631" priority="6996"/>
    <cfRule type="duplicateValues" dxfId="6630" priority="6995"/>
    <cfRule type="duplicateValues" dxfId="6629" priority="6994"/>
    <cfRule type="duplicateValues" dxfId="6628" priority="6993"/>
    <cfRule type="duplicateValues" dxfId="6627" priority="6992"/>
    <cfRule type="duplicateValues" dxfId="6626" priority="6991"/>
    <cfRule type="duplicateValues" dxfId="6625" priority="6990"/>
    <cfRule type="duplicateValues" dxfId="6624" priority="6989"/>
    <cfRule type="duplicateValues" dxfId="6623" priority="6988"/>
    <cfRule type="duplicateValues" dxfId="6622" priority="6987"/>
    <cfRule type="duplicateValues" dxfId="6621" priority="6986"/>
    <cfRule type="duplicateValues" dxfId="6620" priority="6985"/>
    <cfRule type="duplicateValues" dxfId="6619" priority="6984"/>
    <cfRule type="duplicateValues" dxfId="6618" priority="6983"/>
    <cfRule type="duplicateValues" dxfId="6617" priority="6982"/>
    <cfRule type="duplicateValues" dxfId="6616" priority="6981"/>
    <cfRule type="duplicateValues" dxfId="6615" priority="6980"/>
    <cfRule type="duplicateValues" dxfId="6614" priority="6979"/>
    <cfRule type="duplicateValues" dxfId="6613" priority="6978"/>
    <cfRule type="duplicateValues" dxfId="6612" priority="6977"/>
    <cfRule type="duplicateValues" dxfId="6611" priority="6976"/>
    <cfRule type="duplicateValues" dxfId="6610" priority="6975"/>
    <cfRule type="duplicateValues" dxfId="6609" priority="6974"/>
    <cfRule type="duplicateValues" dxfId="6608" priority="6973"/>
    <cfRule type="duplicateValues" dxfId="6607" priority="6972"/>
    <cfRule type="duplicateValues" dxfId="6606" priority="6971"/>
    <cfRule type="duplicateValues" dxfId="6605" priority="6970"/>
    <cfRule type="duplicateValues" dxfId="6604" priority="6969"/>
    <cfRule type="duplicateValues" dxfId="6603" priority="6968"/>
    <cfRule type="duplicateValues" dxfId="6602" priority="6967"/>
    <cfRule type="duplicateValues" dxfId="6601" priority="6966"/>
    <cfRule type="duplicateValues" dxfId="6600" priority="6965"/>
    <cfRule type="duplicateValues" dxfId="6599" priority="6964"/>
    <cfRule type="duplicateValues" dxfId="6598" priority="6963"/>
    <cfRule type="duplicateValues" dxfId="6597" priority="6962"/>
    <cfRule type="duplicateValues" dxfId="6596" priority="6961"/>
    <cfRule type="duplicateValues" dxfId="6595" priority="6960"/>
    <cfRule type="duplicateValues" dxfId="6594" priority="6959"/>
    <cfRule type="duplicateValues" dxfId="6593" priority="6958"/>
    <cfRule type="duplicateValues" dxfId="6592" priority="6957"/>
    <cfRule type="duplicateValues" dxfId="6591" priority="6956"/>
    <cfRule type="duplicateValues" dxfId="6590" priority="6955"/>
    <cfRule type="duplicateValues" dxfId="6589" priority="6954"/>
    <cfRule type="duplicateValues" dxfId="6588" priority="6953"/>
    <cfRule type="duplicateValues" dxfId="6587" priority="6952"/>
    <cfRule type="duplicateValues" dxfId="6586" priority="6951"/>
    <cfRule type="duplicateValues" dxfId="6585" priority="6950"/>
    <cfRule type="duplicateValues" dxfId="6584" priority="6949"/>
    <cfRule type="duplicateValues" dxfId="6583" priority="6948"/>
    <cfRule type="duplicateValues" dxfId="6582" priority="6947"/>
    <cfRule type="duplicateValues" dxfId="6581" priority="6946"/>
    <cfRule type="duplicateValues" dxfId="6580" priority="6945"/>
    <cfRule type="duplicateValues" dxfId="6579" priority="6944"/>
    <cfRule type="duplicateValues" dxfId="6578" priority="6892"/>
    <cfRule type="duplicateValues" dxfId="6577" priority="6843"/>
    <cfRule type="duplicateValues" dxfId="6576" priority="6842"/>
    <cfRule type="duplicateValues" dxfId="6575" priority="6841"/>
    <cfRule type="duplicateValues" dxfId="6574" priority="6840"/>
    <cfRule type="duplicateValues" dxfId="6573" priority="6839"/>
    <cfRule type="duplicateValues" dxfId="6572" priority="6838"/>
    <cfRule type="duplicateValues" dxfId="6571" priority="6837"/>
    <cfRule type="duplicateValues" dxfId="6570" priority="6836"/>
    <cfRule type="duplicateValues" dxfId="6569" priority="6835"/>
    <cfRule type="duplicateValues" dxfId="6568" priority="6834"/>
    <cfRule type="duplicateValues" dxfId="6567" priority="6833"/>
    <cfRule type="duplicateValues" dxfId="6566" priority="6832"/>
    <cfRule type="duplicateValues" dxfId="6565" priority="6831"/>
    <cfRule type="duplicateValues" dxfId="6564" priority="6830"/>
    <cfRule type="duplicateValues" dxfId="6563" priority="6829"/>
    <cfRule type="duplicateValues" dxfId="6562" priority="6828"/>
    <cfRule type="duplicateValues" dxfId="6561" priority="6827"/>
    <cfRule type="duplicateValues" dxfId="6560" priority="6826"/>
    <cfRule type="duplicateValues" dxfId="6559" priority="6825"/>
    <cfRule type="duplicateValues" dxfId="6558" priority="6824"/>
    <cfRule type="duplicateValues" dxfId="6557" priority="6823"/>
    <cfRule type="duplicateValues" dxfId="6556" priority="6822"/>
    <cfRule type="duplicateValues" dxfId="6555" priority="6821"/>
    <cfRule type="duplicateValues" dxfId="6554" priority="6820"/>
    <cfRule type="duplicateValues" dxfId="6553" priority="6819"/>
    <cfRule type="duplicateValues" dxfId="6552" priority="6818"/>
    <cfRule type="duplicateValues" dxfId="6551" priority="6817"/>
    <cfRule type="duplicateValues" dxfId="6550" priority="6816"/>
    <cfRule type="duplicateValues" dxfId="6549" priority="6815"/>
    <cfRule type="duplicateValues" dxfId="6548" priority="6814"/>
    <cfRule type="duplicateValues" dxfId="6547" priority="6813"/>
    <cfRule type="duplicateValues" dxfId="6546" priority="6812"/>
    <cfRule type="duplicateValues" dxfId="6545" priority="6811"/>
    <cfRule type="duplicateValues" dxfId="6544" priority="6810"/>
    <cfRule type="duplicateValues" dxfId="6543" priority="6943"/>
    <cfRule type="duplicateValues" dxfId="6542" priority="6942"/>
    <cfRule type="duplicateValues" dxfId="6541" priority="6941"/>
    <cfRule type="duplicateValues" dxfId="6540" priority="6940"/>
    <cfRule type="duplicateValues" dxfId="6539" priority="6939"/>
    <cfRule type="duplicateValues" dxfId="6538" priority="6938"/>
    <cfRule type="duplicateValues" dxfId="6537" priority="6937"/>
    <cfRule type="duplicateValues" dxfId="6536" priority="6936"/>
    <cfRule type="duplicateValues" dxfId="6535" priority="6935"/>
    <cfRule type="duplicateValues" dxfId="6534" priority="6934"/>
    <cfRule type="duplicateValues" dxfId="6533" priority="6933"/>
    <cfRule type="duplicateValues" dxfId="6532" priority="6932"/>
    <cfRule type="duplicateValues" dxfId="6531" priority="6931"/>
    <cfRule type="duplicateValues" dxfId="6530" priority="6930"/>
    <cfRule type="duplicateValues" dxfId="6529" priority="6929"/>
    <cfRule type="duplicateValues" dxfId="6528" priority="6928"/>
    <cfRule type="duplicateValues" dxfId="6527" priority="6927"/>
    <cfRule type="duplicateValues" dxfId="6526" priority="6926"/>
    <cfRule type="duplicateValues" dxfId="6525" priority="6925"/>
    <cfRule type="duplicateValues" dxfId="6524" priority="6924"/>
    <cfRule type="duplicateValues" dxfId="6523" priority="6923"/>
    <cfRule type="duplicateValues" dxfId="6522" priority="6922"/>
    <cfRule type="duplicateValues" dxfId="6521" priority="6921"/>
    <cfRule type="duplicateValues" dxfId="6520" priority="6920"/>
    <cfRule type="duplicateValues" dxfId="6519" priority="6919"/>
    <cfRule type="duplicateValues" dxfId="6518" priority="6918"/>
    <cfRule type="duplicateValues" dxfId="6517" priority="6917"/>
    <cfRule type="duplicateValues" dxfId="6516" priority="6916"/>
    <cfRule type="duplicateValues" dxfId="6515" priority="6915"/>
    <cfRule type="duplicateValues" dxfId="6514" priority="6914"/>
    <cfRule type="duplicateValues" dxfId="6513" priority="6913"/>
    <cfRule type="duplicateValues" dxfId="6512" priority="6912"/>
    <cfRule type="duplicateValues" dxfId="6511" priority="6911"/>
    <cfRule type="duplicateValues" dxfId="6510" priority="6910"/>
    <cfRule type="duplicateValues" dxfId="6509" priority="6909"/>
    <cfRule type="duplicateValues" dxfId="6508" priority="6908"/>
    <cfRule type="duplicateValues" dxfId="6507" priority="6907"/>
    <cfRule type="duplicateValues" dxfId="6506" priority="6906"/>
    <cfRule type="duplicateValues" dxfId="6505" priority="6905"/>
    <cfRule type="duplicateValues" dxfId="6504" priority="6904"/>
    <cfRule type="duplicateValues" dxfId="6503" priority="6903"/>
    <cfRule type="duplicateValues" dxfId="6502" priority="6902"/>
    <cfRule type="duplicateValues" dxfId="6501" priority="6901"/>
    <cfRule type="duplicateValues" dxfId="6500" priority="6900"/>
    <cfRule type="duplicateValues" dxfId="6499" priority="6899"/>
    <cfRule type="duplicateValues" dxfId="6498" priority="6898"/>
    <cfRule type="duplicateValues" dxfId="6497" priority="6897"/>
    <cfRule type="duplicateValues" dxfId="6496" priority="6896"/>
    <cfRule type="duplicateValues" dxfId="6495" priority="6895"/>
    <cfRule type="duplicateValues" dxfId="6494" priority="6894"/>
    <cfRule type="duplicateValues" dxfId="6493" priority="6893"/>
    <cfRule type="duplicateValues" dxfId="6492" priority="6891"/>
    <cfRule type="duplicateValues" dxfId="6491" priority="6890"/>
    <cfRule type="duplicateValues" dxfId="6490" priority="6889"/>
    <cfRule type="duplicateValues" dxfId="6489" priority="6888"/>
    <cfRule type="duplicateValues" dxfId="6488" priority="6887"/>
    <cfRule type="duplicateValues" dxfId="6487" priority="6886"/>
    <cfRule type="duplicateValues" dxfId="6486" priority="6885"/>
    <cfRule type="duplicateValues" dxfId="6485" priority="6884"/>
    <cfRule type="duplicateValues" dxfId="6484" priority="6883"/>
    <cfRule type="duplicateValues" dxfId="6483" priority="6882"/>
    <cfRule type="duplicateValues" dxfId="6482" priority="6881"/>
    <cfRule type="duplicateValues" dxfId="6481" priority="6880"/>
    <cfRule type="duplicateValues" dxfId="6480" priority="6879"/>
    <cfRule type="duplicateValues" dxfId="6479" priority="6878"/>
    <cfRule type="duplicateValues" dxfId="6478" priority="6877"/>
    <cfRule type="duplicateValues" dxfId="6477" priority="6876"/>
    <cfRule type="duplicateValues" dxfId="6476" priority="6875"/>
    <cfRule type="duplicateValues" dxfId="6475" priority="6874"/>
    <cfRule type="duplicateValues" dxfId="6474" priority="6873"/>
    <cfRule type="duplicateValues" dxfId="6473" priority="6872"/>
    <cfRule type="duplicateValues" dxfId="6472" priority="6871"/>
    <cfRule type="duplicateValues" dxfId="6471" priority="6870"/>
    <cfRule type="duplicateValues" dxfId="6470" priority="6869"/>
    <cfRule type="duplicateValues" dxfId="6469" priority="6868"/>
    <cfRule type="duplicateValues" dxfId="6468" priority="6867"/>
    <cfRule type="duplicateValues" dxfId="6467" priority="6866"/>
    <cfRule type="duplicateValues" dxfId="6466" priority="6865"/>
    <cfRule type="duplicateValues" dxfId="6465" priority="6864"/>
    <cfRule type="duplicateValues" dxfId="6464" priority="6863"/>
    <cfRule type="duplicateValues" dxfId="6463" priority="6862"/>
    <cfRule type="duplicateValues" dxfId="6462" priority="6844"/>
    <cfRule type="duplicateValues" dxfId="6461" priority="6861"/>
    <cfRule type="duplicateValues" dxfId="6460" priority="6860"/>
    <cfRule type="duplicateValues" dxfId="6459" priority="6859"/>
  </conditionalFormatting>
  <conditionalFormatting sqref="P114 P116:P135">
    <cfRule type="duplicateValues" dxfId="6458" priority="105898"/>
    <cfRule type="duplicateValues" dxfId="6457" priority="114000"/>
    <cfRule type="duplicateValues" dxfId="6456" priority="88931"/>
    <cfRule type="duplicateValues" dxfId="6455" priority="89054"/>
    <cfRule type="duplicateValues" dxfId="6454" priority="89162"/>
    <cfRule type="duplicateValues" dxfId="6453" priority="125400"/>
    <cfRule type="duplicateValues" dxfId="6452" priority="125399"/>
    <cfRule type="duplicateValues" dxfId="6451" priority="89337"/>
    <cfRule type="duplicateValues" dxfId="6450" priority="89406"/>
    <cfRule type="duplicateValues" dxfId="6449" priority="89464"/>
    <cfRule type="duplicateValues" dxfId="6448" priority="89570"/>
    <cfRule type="duplicateValues" dxfId="6447" priority="89571"/>
    <cfRule type="duplicateValues" dxfId="6446" priority="89572"/>
    <cfRule type="duplicateValues" dxfId="6445" priority="89573"/>
    <cfRule type="duplicateValues" dxfId="6444" priority="89574"/>
    <cfRule type="duplicateValues" dxfId="6443" priority="89575"/>
    <cfRule type="duplicateValues" dxfId="6442" priority="89576"/>
    <cfRule type="duplicateValues" dxfId="6441" priority="89577"/>
    <cfRule type="duplicateValues" dxfId="6440" priority="89578"/>
    <cfRule type="duplicateValues" dxfId="6439" priority="89579"/>
    <cfRule type="duplicateValues" dxfId="6438" priority="89791"/>
    <cfRule type="duplicateValues" dxfId="6437" priority="114001"/>
    <cfRule type="duplicateValues" dxfId="6436" priority="89806"/>
    <cfRule type="duplicateValues" dxfId="6435" priority="89820"/>
    <cfRule type="duplicateValues" dxfId="6434" priority="89833"/>
    <cfRule type="duplicateValues" dxfId="6433" priority="89845"/>
    <cfRule type="duplicateValues" dxfId="6432" priority="89856"/>
    <cfRule type="duplicateValues" dxfId="6431" priority="89876"/>
    <cfRule type="duplicateValues" dxfId="6430" priority="89885"/>
    <cfRule type="duplicateValues" dxfId="6429" priority="125312"/>
    <cfRule type="duplicateValues" dxfId="6428" priority="125311"/>
    <cfRule type="duplicateValues" dxfId="6427" priority="125309"/>
    <cfRule type="duplicateValues" dxfId="6426" priority="125305"/>
    <cfRule type="duplicateValues" dxfId="6425" priority="125304"/>
    <cfRule type="duplicateValues" dxfId="6424" priority="89893"/>
    <cfRule type="duplicateValues" dxfId="6423" priority="89900"/>
    <cfRule type="duplicateValues" dxfId="6422" priority="89906"/>
    <cfRule type="duplicateValues" dxfId="6421" priority="89916"/>
    <cfRule type="duplicateValues" dxfId="6420" priority="89917"/>
    <cfRule type="duplicateValues" dxfId="6419" priority="89920"/>
    <cfRule type="duplicateValues" dxfId="6418" priority="89922"/>
    <cfRule type="duplicateValues" dxfId="6417" priority="89923"/>
    <cfRule type="duplicateValues" dxfId="6416" priority="105892"/>
    <cfRule type="duplicateValues" dxfId="6415" priority="114002"/>
    <cfRule type="duplicateValues" dxfId="6414" priority="114003"/>
    <cfRule type="duplicateValues" dxfId="6413" priority="114005"/>
    <cfRule type="duplicateValues" dxfId="6412" priority="122753"/>
    <cfRule type="duplicateValues" dxfId="6411" priority="184937"/>
    <cfRule type="duplicateValues" dxfId="6410" priority="99177"/>
    <cfRule type="duplicateValues" dxfId="6409" priority="99271"/>
    <cfRule type="duplicateValues" dxfId="6408" priority="99352"/>
    <cfRule type="duplicateValues" dxfId="6407" priority="99421"/>
    <cfRule type="duplicateValues" dxfId="6406" priority="99479"/>
    <cfRule type="duplicateValues" dxfId="6405" priority="99585"/>
    <cfRule type="duplicateValues" dxfId="6404" priority="99586"/>
    <cfRule type="duplicateValues" dxfId="6403" priority="99587"/>
    <cfRule type="duplicateValues" dxfId="6402" priority="99588"/>
    <cfRule type="duplicateValues" dxfId="6401" priority="99589"/>
    <cfRule type="duplicateValues" dxfId="6400" priority="99590"/>
    <cfRule type="duplicateValues" dxfId="6399" priority="99591"/>
    <cfRule type="duplicateValues" dxfId="6398" priority="99592"/>
    <cfRule type="duplicateValues" dxfId="6397" priority="99593"/>
    <cfRule type="duplicateValues" dxfId="6396" priority="99594"/>
    <cfRule type="duplicateValues" dxfId="6395" priority="102752"/>
    <cfRule type="duplicateValues" dxfId="6394" priority="103143"/>
    <cfRule type="duplicateValues" dxfId="6393" priority="103465"/>
    <cfRule type="duplicateValues" dxfId="6392" priority="103729"/>
    <cfRule type="duplicateValues" dxfId="6391" priority="116354"/>
    <cfRule type="duplicateValues" dxfId="6390" priority="116356"/>
    <cfRule type="duplicateValues" dxfId="6389" priority="104322"/>
    <cfRule type="duplicateValues" dxfId="6388" priority="104323"/>
    <cfRule type="duplicateValues" dxfId="6387" priority="104324"/>
    <cfRule type="duplicateValues" dxfId="6386" priority="104325"/>
    <cfRule type="duplicateValues" dxfId="6385" priority="104326"/>
    <cfRule type="duplicateValues" dxfId="6384" priority="116355"/>
    <cfRule type="duplicateValues" dxfId="6383" priority="104327"/>
    <cfRule type="duplicateValues" dxfId="6382" priority="104328"/>
    <cfRule type="duplicateValues" dxfId="6381" priority="104329"/>
    <cfRule type="duplicateValues" dxfId="6380" priority="104330"/>
    <cfRule type="duplicateValues" dxfId="6379" priority="104331"/>
    <cfRule type="duplicateValues" dxfId="6378" priority="104712"/>
    <cfRule type="duplicateValues" dxfId="6377" priority="105034"/>
    <cfRule type="duplicateValues" dxfId="6376" priority="105298"/>
    <cfRule type="duplicateValues" dxfId="6375" priority="105891"/>
    <cfRule type="duplicateValues" dxfId="6374" priority="184934"/>
    <cfRule type="duplicateValues" dxfId="6373" priority="105893"/>
    <cfRule type="duplicateValues" dxfId="6372" priority="105894"/>
    <cfRule type="duplicateValues" dxfId="6371" priority="105895"/>
    <cfRule type="duplicateValues" dxfId="6370" priority="105896"/>
    <cfRule type="duplicateValues" dxfId="6369" priority="105897"/>
    <cfRule type="duplicateValues" dxfId="6368" priority="184931"/>
    <cfRule type="duplicateValues" dxfId="6367" priority="105899"/>
    <cfRule type="duplicateValues" dxfId="6366" priority="105900"/>
    <cfRule type="duplicateValues" dxfId="6365" priority="114006"/>
    <cfRule type="duplicateValues" dxfId="6364" priority="114004"/>
    <cfRule type="duplicateValues" dxfId="6363" priority="116622"/>
    <cfRule type="duplicateValues" dxfId="6362" priority="113140"/>
    <cfRule type="duplicateValues" dxfId="6361" priority="113404"/>
    <cfRule type="duplicateValues" dxfId="6360" priority="113997"/>
    <cfRule type="duplicateValues" dxfId="6359" priority="113998"/>
    <cfRule type="duplicateValues" dxfId="6358" priority="113999"/>
    <cfRule type="duplicateValues" dxfId="6357" priority="122749"/>
    <cfRule type="duplicateValues" dxfId="6356" priority="122748"/>
    <cfRule type="duplicateValues" dxfId="6355" priority="122728"/>
    <cfRule type="duplicateValues" dxfId="6354" priority="122641"/>
    <cfRule type="duplicateValues" dxfId="6353" priority="124903"/>
    <cfRule type="duplicateValues" dxfId="6352" priority="124920"/>
    <cfRule type="duplicateValues" dxfId="6351" priority="124921"/>
    <cfRule type="duplicateValues" dxfId="6350" priority="124925"/>
    <cfRule type="duplicateValues" dxfId="6349" priority="124927"/>
    <cfRule type="duplicateValues" dxfId="6348" priority="124928"/>
    <cfRule type="duplicateValues" dxfId="6347" priority="122536"/>
    <cfRule type="duplicateValues" dxfId="6346" priority="122408"/>
    <cfRule type="duplicateValues" dxfId="6345" priority="116624"/>
    <cfRule type="duplicateValues" dxfId="6344" priority="116623"/>
    <cfRule type="duplicateValues" dxfId="6343" priority="116621"/>
    <cfRule type="duplicateValues" dxfId="6342" priority="116620"/>
    <cfRule type="duplicateValues" dxfId="6341" priority="116619"/>
    <cfRule type="duplicateValues" dxfId="6340" priority="116618"/>
    <cfRule type="duplicateValues" dxfId="6339" priority="116617"/>
    <cfRule type="duplicateValues" dxfId="6338" priority="116616"/>
    <cfRule type="duplicateValues" dxfId="6337" priority="116615"/>
    <cfRule type="duplicateValues" dxfId="6336" priority="116359"/>
    <cfRule type="duplicateValues" dxfId="6335" priority="116358"/>
    <cfRule type="duplicateValues" dxfId="6334" priority="116357"/>
    <cfRule type="duplicateValues" dxfId="6333" priority="87864"/>
    <cfRule type="duplicateValues" dxfId="6332" priority="87856"/>
    <cfRule type="duplicateValues" dxfId="6331" priority="115757"/>
    <cfRule type="duplicateValues" dxfId="6330" priority="126303"/>
    <cfRule type="duplicateValues" dxfId="6329" priority="126298"/>
    <cfRule type="duplicateValues" dxfId="6328" priority="150159"/>
    <cfRule type="duplicateValues" dxfId="6327" priority="150158"/>
    <cfRule type="duplicateValues" dxfId="6326" priority="126295"/>
    <cfRule type="duplicateValues" dxfId="6325" priority="126294"/>
    <cfRule type="duplicateValues" dxfId="6324" priority="122756"/>
    <cfRule type="duplicateValues" dxfId="6323" priority="122757"/>
    <cfRule type="duplicateValues" dxfId="6322" priority="116350"/>
    <cfRule type="duplicateValues" dxfId="6321" priority="116351"/>
    <cfRule type="duplicateValues" dxfId="6320" priority="116352"/>
    <cfRule type="duplicateValues" dxfId="6319" priority="122798"/>
    <cfRule type="duplicateValues" dxfId="6318" priority="123472"/>
    <cfRule type="duplicateValues" dxfId="6317" priority="123471"/>
    <cfRule type="duplicateValues" dxfId="6316" priority="123469"/>
    <cfRule type="duplicateValues" dxfId="6315" priority="123465"/>
    <cfRule type="duplicateValues" dxfId="6314" priority="123464"/>
    <cfRule type="duplicateValues" dxfId="6313" priority="123447"/>
    <cfRule type="duplicateValues" dxfId="6312" priority="123369"/>
    <cfRule type="duplicateValues" dxfId="6311" priority="122799"/>
    <cfRule type="duplicateValues" dxfId="6310" priority="122800"/>
    <cfRule type="duplicateValues" dxfId="6309" priority="122801"/>
    <cfRule type="duplicateValues" dxfId="6308" priority="122802"/>
    <cfRule type="duplicateValues" dxfId="6307" priority="122803"/>
    <cfRule type="duplicateValues" dxfId="6306" priority="122804"/>
    <cfRule type="duplicateValues" dxfId="6305" priority="122805"/>
    <cfRule type="duplicateValues" dxfId="6304" priority="125490"/>
    <cfRule type="duplicateValues" dxfId="6303" priority="125452"/>
    <cfRule type="duplicateValues" dxfId="6302" priority="125451"/>
    <cfRule type="duplicateValues" dxfId="6301" priority="125447"/>
    <cfRule type="duplicateValues" dxfId="6300" priority="125446"/>
    <cfRule type="duplicateValues" dxfId="6299" priority="125445"/>
    <cfRule type="duplicateValues" dxfId="6298" priority="125444"/>
    <cfRule type="duplicateValues" dxfId="6297" priority="89256"/>
    <cfRule type="duplicateValues" dxfId="6296" priority="125407"/>
    <cfRule type="duplicateValues" dxfId="6295" priority="125406"/>
    <cfRule type="duplicateValues" dxfId="6294" priority="125404"/>
    <cfRule type="duplicateValues" dxfId="6293" priority="116353"/>
    <cfRule type="duplicateValues" dxfId="6292" priority="71395"/>
    <cfRule type="duplicateValues" dxfId="6291" priority="71396"/>
    <cfRule type="duplicateValues" dxfId="6290" priority="71397"/>
    <cfRule type="duplicateValues" dxfId="6289" priority="71398"/>
    <cfRule type="duplicateValues" dxfId="6288" priority="71399"/>
    <cfRule type="duplicateValues" dxfId="6287" priority="71400"/>
    <cfRule type="duplicateValues" dxfId="6286" priority="71401"/>
    <cfRule type="duplicateValues" dxfId="6285" priority="71402"/>
    <cfRule type="duplicateValues" dxfId="6284" priority="71403"/>
    <cfRule type="duplicateValues" dxfId="6283" priority="71404"/>
    <cfRule type="duplicateValues" dxfId="6282" priority="71405"/>
    <cfRule type="duplicateValues" dxfId="6281" priority="71406"/>
    <cfRule type="duplicateValues" dxfId="6280" priority="71407"/>
    <cfRule type="duplicateValues" dxfId="6279" priority="71408"/>
    <cfRule type="duplicateValues" dxfId="6278" priority="71409"/>
    <cfRule type="duplicateValues" dxfId="6277" priority="71410"/>
    <cfRule type="duplicateValues" dxfId="6276" priority="71411"/>
    <cfRule type="duplicateValues" dxfId="6275" priority="71412"/>
    <cfRule type="duplicateValues" dxfId="6274" priority="84435"/>
    <cfRule type="duplicateValues" dxfId="6273" priority="84733"/>
    <cfRule type="duplicateValues" dxfId="6272" priority="85248"/>
    <cfRule type="duplicateValues" dxfId="6271" priority="85814"/>
    <cfRule type="duplicateValues" dxfId="6270" priority="86286"/>
    <cfRule type="duplicateValues" dxfId="6269" priority="86677"/>
    <cfRule type="duplicateValues" dxfId="6268" priority="86999"/>
    <cfRule type="duplicateValues" dxfId="6267" priority="87263"/>
    <cfRule type="duplicateValues" dxfId="6266" priority="87855"/>
    <cfRule type="duplicateValues" dxfId="6265" priority="87857"/>
    <cfRule type="duplicateValues" dxfId="6264" priority="87858"/>
    <cfRule type="duplicateValues" dxfId="6263" priority="87859"/>
    <cfRule type="duplicateValues" dxfId="6262" priority="87860"/>
    <cfRule type="duplicateValues" dxfId="6261" priority="87861"/>
    <cfRule type="duplicateValues" dxfId="6260" priority="87862"/>
    <cfRule type="duplicateValues" dxfId="6259" priority="87863"/>
  </conditionalFormatting>
  <conditionalFormatting sqref="P115">
    <cfRule type="duplicateValues" dxfId="6258" priority="1293"/>
    <cfRule type="duplicateValues" dxfId="6257" priority="1338"/>
    <cfRule type="duplicateValues" dxfId="6256" priority="1294"/>
    <cfRule type="duplicateValues" dxfId="6255" priority="1295"/>
    <cfRule type="duplicateValues" dxfId="6254" priority="1291"/>
    <cfRule type="duplicateValues" dxfId="6253" priority="1296"/>
    <cfRule type="duplicateValues" dxfId="6252" priority="1297"/>
    <cfRule type="duplicateValues" dxfId="6251" priority="1298"/>
    <cfRule type="duplicateValues" dxfId="6250" priority="1299"/>
    <cfRule type="duplicateValues" dxfId="6249" priority="1370"/>
    <cfRule type="duplicateValues" dxfId="6248" priority="1369"/>
    <cfRule type="duplicateValues" dxfId="6247" priority="1301"/>
    <cfRule type="duplicateValues" dxfId="6246" priority="1368"/>
    <cfRule type="duplicateValues" dxfId="6245" priority="1367"/>
    <cfRule type="duplicateValues" dxfId="6244" priority="1366"/>
    <cfRule type="duplicateValues" dxfId="6243" priority="1365"/>
    <cfRule type="duplicateValues" dxfId="6242" priority="1364"/>
    <cfRule type="duplicateValues" dxfId="6241" priority="1363"/>
    <cfRule type="duplicateValues" dxfId="6240" priority="1362"/>
    <cfRule type="duplicateValues" dxfId="6239" priority="1361"/>
    <cfRule type="duplicateValues" dxfId="6238" priority="1359"/>
    <cfRule type="duplicateValues" dxfId="6237" priority="1358"/>
    <cfRule type="duplicateValues" dxfId="6236" priority="1273"/>
    <cfRule type="duplicateValues" dxfId="6235" priority="1272"/>
    <cfRule type="duplicateValues" dxfId="6234" priority="1271"/>
    <cfRule type="duplicateValues" dxfId="6233" priority="1270"/>
    <cfRule type="duplicateValues" dxfId="6232" priority="1269"/>
    <cfRule type="duplicateValues" dxfId="6231" priority="1240"/>
    <cfRule type="duplicateValues" dxfId="6230" priority="1268"/>
    <cfRule type="duplicateValues" dxfId="6229" priority="1267"/>
    <cfRule type="duplicateValues" dxfId="6228" priority="1266"/>
    <cfRule type="duplicateValues" dxfId="6227" priority="1265"/>
    <cfRule type="duplicateValues" dxfId="6226" priority="1264"/>
    <cfRule type="duplicateValues" dxfId="6225" priority="1263"/>
    <cfRule type="duplicateValues" dxfId="6224" priority="1262"/>
    <cfRule type="duplicateValues" dxfId="6223" priority="1261"/>
    <cfRule type="duplicateValues" dxfId="6222" priority="1260"/>
    <cfRule type="duplicateValues" dxfId="6221" priority="1259"/>
    <cfRule type="duplicateValues" dxfId="6220" priority="1258"/>
    <cfRule type="duplicateValues" dxfId="6219" priority="1257"/>
    <cfRule type="duplicateValues" dxfId="6218" priority="1256"/>
    <cfRule type="duplicateValues" dxfId="6217" priority="1255"/>
    <cfRule type="duplicateValues" dxfId="6216" priority="1254"/>
    <cfRule type="duplicateValues" dxfId="6215" priority="1253"/>
    <cfRule type="duplicateValues" dxfId="6214" priority="1252"/>
    <cfRule type="duplicateValues" dxfId="6213" priority="1251"/>
    <cfRule type="duplicateValues" dxfId="6212" priority="1250"/>
    <cfRule type="duplicateValues" dxfId="6211" priority="1249"/>
    <cfRule type="duplicateValues" dxfId="6210" priority="1248"/>
    <cfRule type="duplicateValues" dxfId="6209" priority="1247"/>
    <cfRule type="duplicateValues" dxfId="6208" priority="1246"/>
    <cfRule type="duplicateValues" dxfId="6207" priority="1245"/>
    <cfRule type="duplicateValues" dxfId="6206" priority="1244"/>
    <cfRule type="duplicateValues" dxfId="6205" priority="1243"/>
    <cfRule type="duplicateValues" dxfId="6204" priority="1357"/>
    <cfRule type="duplicateValues" dxfId="6203" priority="1241"/>
    <cfRule type="duplicateValues" dxfId="6202" priority="1356"/>
    <cfRule type="duplicateValues" dxfId="6201" priority="1355"/>
    <cfRule type="duplicateValues" dxfId="6200" priority="1354"/>
    <cfRule type="duplicateValues" dxfId="6199" priority="1353"/>
    <cfRule type="duplicateValues" dxfId="6198" priority="1352"/>
    <cfRule type="duplicateValues" dxfId="6197" priority="1351"/>
    <cfRule type="duplicateValues" dxfId="6196" priority="1350"/>
    <cfRule type="duplicateValues" dxfId="6195" priority="1349"/>
    <cfRule type="duplicateValues" dxfId="6194" priority="1348"/>
    <cfRule type="duplicateValues" dxfId="6193" priority="1347"/>
    <cfRule type="duplicateValues" dxfId="6192" priority="1346"/>
    <cfRule type="duplicateValues" dxfId="6191" priority="1345"/>
    <cfRule type="duplicateValues" dxfId="6190" priority="1344"/>
    <cfRule type="duplicateValues" dxfId="6189" priority="1343"/>
    <cfRule type="duplicateValues" dxfId="6188" priority="1342"/>
    <cfRule type="duplicateValues" dxfId="6187" priority="1341"/>
    <cfRule type="duplicateValues" dxfId="6186" priority="1340"/>
    <cfRule type="duplicateValues" dxfId="6185" priority="1339"/>
    <cfRule type="duplicateValues" dxfId="6184" priority="1337"/>
    <cfRule type="duplicateValues" dxfId="6183" priority="1336"/>
    <cfRule type="duplicateValues" dxfId="6182" priority="1335"/>
    <cfRule type="duplicateValues" dxfId="6181" priority="1334"/>
    <cfRule type="duplicateValues" dxfId="6180" priority="1333"/>
    <cfRule type="duplicateValues" dxfId="6179" priority="1332"/>
    <cfRule type="duplicateValues" dxfId="6178" priority="1331"/>
    <cfRule type="duplicateValues" dxfId="6177" priority="1330"/>
    <cfRule type="duplicateValues" dxfId="6176" priority="1329"/>
    <cfRule type="duplicateValues" dxfId="6175" priority="1328"/>
    <cfRule type="duplicateValues" dxfId="6174" priority="1327"/>
    <cfRule type="duplicateValues" dxfId="6173" priority="1326"/>
    <cfRule type="duplicateValues" dxfId="6172" priority="1325"/>
    <cfRule type="duplicateValues" dxfId="6171" priority="1324"/>
    <cfRule type="duplicateValues" dxfId="6170" priority="1323"/>
    <cfRule type="duplicateValues" dxfId="6169" priority="1322"/>
    <cfRule type="duplicateValues" dxfId="6168" priority="1321"/>
    <cfRule type="duplicateValues" dxfId="6167" priority="1320"/>
    <cfRule type="duplicateValues" dxfId="6166" priority="1319"/>
    <cfRule type="duplicateValues" dxfId="6165" priority="1300"/>
    <cfRule type="duplicateValues" dxfId="6164" priority="1318"/>
    <cfRule type="duplicateValues" dxfId="6163" priority="1242"/>
    <cfRule type="duplicateValues" dxfId="6162" priority="1317"/>
    <cfRule type="duplicateValues" dxfId="6161" priority="1316"/>
    <cfRule type="duplicateValues" dxfId="6160" priority="1315"/>
    <cfRule type="duplicateValues" dxfId="6159" priority="1314"/>
    <cfRule type="duplicateValues" dxfId="6158" priority="1313"/>
    <cfRule type="duplicateValues" dxfId="6157" priority="1312"/>
    <cfRule type="duplicateValues" dxfId="6156" priority="1311"/>
    <cfRule type="duplicateValues" dxfId="6155" priority="1310"/>
    <cfRule type="duplicateValues" dxfId="6154" priority="1309"/>
    <cfRule type="duplicateValues" dxfId="6153" priority="1308"/>
    <cfRule type="duplicateValues" dxfId="6152" priority="1307"/>
    <cfRule type="duplicateValues" dxfId="6151" priority="1306"/>
    <cfRule type="duplicateValues" dxfId="6150" priority="1305"/>
    <cfRule type="duplicateValues" dxfId="6149" priority="1304"/>
    <cfRule type="duplicateValues" dxfId="6148" priority="1303"/>
    <cfRule type="duplicateValues" dxfId="6147" priority="1302"/>
    <cfRule type="duplicateValues" dxfId="6146" priority="1289"/>
    <cfRule type="duplicateValues" dxfId="6145" priority="1288"/>
    <cfRule type="duplicateValues" dxfId="6144" priority="1287"/>
    <cfRule type="duplicateValues" dxfId="6143" priority="1286"/>
    <cfRule type="duplicateValues" dxfId="6142" priority="1285"/>
    <cfRule type="duplicateValues" dxfId="6141" priority="1284"/>
    <cfRule type="duplicateValues" dxfId="6140" priority="1283"/>
    <cfRule type="duplicateValues" dxfId="6139" priority="1282"/>
    <cfRule type="duplicateValues" dxfId="6138" priority="1281"/>
    <cfRule type="duplicateValues" dxfId="6137" priority="1280"/>
    <cfRule type="duplicateValues" dxfId="6136" priority="1279"/>
    <cfRule type="duplicateValues" dxfId="6135" priority="1278"/>
    <cfRule type="duplicateValues" dxfId="6134" priority="1360"/>
    <cfRule type="duplicateValues" dxfId="6133" priority="1277"/>
    <cfRule type="duplicateValues" dxfId="6132" priority="1276"/>
    <cfRule type="duplicateValues" dxfId="6131" priority="1275"/>
    <cfRule type="duplicateValues" dxfId="6130" priority="1274"/>
    <cfRule type="duplicateValues" dxfId="6129" priority="1290"/>
    <cfRule type="duplicateValues" dxfId="6128" priority="1239"/>
    <cfRule type="duplicateValues" dxfId="6127" priority="1292"/>
  </conditionalFormatting>
  <conditionalFormatting sqref="P137">
    <cfRule type="duplicateValues" dxfId="6126" priority="20193"/>
  </conditionalFormatting>
  <conditionalFormatting sqref="P159">
    <cfRule type="duplicateValues" dxfId="6125" priority="28450"/>
    <cfRule type="duplicateValues" dxfId="6124" priority="28451"/>
  </conditionalFormatting>
  <conditionalFormatting sqref="P160">
    <cfRule type="duplicateValues" dxfId="6123" priority="36143"/>
    <cfRule type="duplicateValues" dxfId="6122" priority="36144"/>
  </conditionalFormatting>
  <conditionalFormatting sqref="P161">
    <cfRule type="duplicateValues" dxfId="6121" priority="36156"/>
    <cfRule type="duplicateValues" dxfId="6120" priority="36157"/>
  </conditionalFormatting>
  <conditionalFormatting sqref="P162">
    <cfRule type="duplicateValues" dxfId="6119" priority="154309"/>
  </conditionalFormatting>
  <conditionalFormatting sqref="P175">
    <cfRule type="duplicateValues" dxfId="6118" priority="11245"/>
  </conditionalFormatting>
  <conditionalFormatting sqref="P176">
    <cfRule type="duplicateValues" dxfId="6117" priority="98756"/>
    <cfRule type="duplicateValues" dxfId="6116" priority="98755"/>
    <cfRule type="duplicateValues" dxfId="6115" priority="110526"/>
    <cfRule type="duplicateValues" dxfId="6114" priority="98758"/>
  </conditionalFormatting>
  <conditionalFormatting sqref="P176:P191">
    <cfRule type="duplicateValues" dxfId="6113" priority="98757"/>
    <cfRule type="duplicateValues" dxfId="6112" priority="114213"/>
    <cfRule type="duplicateValues" dxfId="6111" priority="110528"/>
    <cfRule type="duplicateValues" dxfId="6110" priority="110527"/>
    <cfRule type="duplicateValues" dxfId="6109" priority="98760"/>
    <cfRule type="duplicateValues" dxfId="6108" priority="98759"/>
  </conditionalFormatting>
  <conditionalFormatting sqref="P193">
    <cfRule type="duplicateValues" dxfId="6107" priority="46423"/>
    <cfRule type="duplicateValues" dxfId="6106" priority="46424"/>
  </conditionalFormatting>
  <conditionalFormatting sqref="P194">
    <cfRule type="duplicateValues" dxfId="6105" priority="66354"/>
  </conditionalFormatting>
  <conditionalFormatting sqref="P195">
    <cfRule type="duplicateValues" dxfId="6104" priority="66355"/>
    <cfRule type="duplicateValues" dxfId="6103" priority="66356"/>
    <cfRule type="duplicateValues" dxfId="6102" priority="88138"/>
  </conditionalFormatting>
  <conditionalFormatting sqref="P196">
    <cfRule type="duplicateValues" dxfId="6101" priority="66357"/>
    <cfRule type="duplicateValues" dxfId="6100" priority="88139"/>
    <cfRule type="duplicateValues" dxfId="6099" priority="118408"/>
  </conditionalFormatting>
  <conditionalFormatting sqref="P197">
    <cfRule type="duplicateValues" dxfId="6098" priority="118409"/>
  </conditionalFormatting>
  <conditionalFormatting sqref="P222">
    <cfRule type="duplicateValues" dxfId="6097" priority="8765"/>
  </conditionalFormatting>
  <conditionalFormatting sqref="P223">
    <cfRule type="duplicateValues" dxfId="6096" priority="13768"/>
  </conditionalFormatting>
  <conditionalFormatting sqref="P14:Q14">
    <cfRule type="duplicateValues" dxfId="6095" priority="127347"/>
    <cfRule type="duplicateValues" dxfId="6094" priority="127348"/>
    <cfRule type="duplicateValues" dxfId="6093" priority="127349"/>
    <cfRule type="duplicateValues" dxfId="6092" priority="127350"/>
    <cfRule type="duplicateValues" dxfId="6091" priority="127351"/>
    <cfRule type="duplicateValues" dxfId="6090" priority="127352"/>
    <cfRule type="duplicateValues" dxfId="6089" priority="127353"/>
    <cfRule type="duplicateValues" dxfId="6088" priority="127354"/>
    <cfRule type="duplicateValues" dxfId="6087" priority="127355"/>
    <cfRule type="duplicateValues" dxfId="6086" priority="127356"/>
    <cfRule type="duplicateValues" dxfId="6085" priority="127357"/>
    <cfRule type="duplicateValues" dxfId="6084" priority="127358"/>
    <cfRule type="duplicateValues" dxfId="6083" priority="127359"/>
    <cfRule type="duplicateValues" dxfId="6082" priority="127360"/>
    <cfRule type="duplicateValues" dxfId="6081" priority="127361"/>
    <cfRule type="duplicateValues" dxfId="6080" priority="127362"/>
    <cfRule type="duplicateValues" dxfId="6079" priority="127363"/>
    <cfRule type="duplicateValues" dxfId="6078" priority="127364"/>
    <cfRule type="duplicateValues" dxfId="6077" priority="127365"/>
    <cfRule type="duplicateValues" dxfId="6076" priority="127366"/>
    <cfRule type="duplicateValues" dxfId="6075" priority="127367"/>
    <cfRule type="duplicateValues" dxfId="6074" priority="127368"/>
    <cfRule type="duplicateValues" dxfId="6073" priority="127369"/>
    <cfRule type="duplicateValues" dxfId="6072" priority="127370"/>
    <cfRule type="duplicateValues" dxfId="6071" priority="127371"/>
    <cfRule type="duplicateValues" dxfId="6070" priority="127372"/>
    <cfRule type="duplicateValues" dxfId="6069" priority="127373"/>
    <cfRule type="duplicateValues" dxfId="6068" priority="127374"/>
    <cfRule type="duplicateValues" dxfId="6067" priority="127375"/>
    <cfRule type="duplicateValues" dxfId="6066" priority="127376"/>
    <cfRule type="duplicateValues" dxfId="6065" priority="127377"/>
    <cfRule type="duplicateValues" dxfId="6064" priority="127378"/>
    <cfRule type="duplicateValues" dxfId="6063" priority="127379"/>
    <cfRule type="duplicateValues" dxfId="6062" priority="127380"/>
    <cfRule type="duplicateValues" dxfId="6061" priority="127381"/>
    <cfRule type="duplicateValues" dxfId="6060" priority="127382"/>
    <cfRule type="duplicateValues" dxfId="6059" priority="127383"/>
    <cfRule type="duplicateValues" dxfId="6058" priority="127384"/>
    <cfRule type="duplicateValues" dxfId="6057" priority="127385"/>
    <cfRule type="duplicateValues" dxfId="6056" priority="127386"/>
    <cfRule type="duplicateValues" dxfId="6055" priority="127388"/>
    <cfRule type="duplicateValues" dxfId="6054" priority="127389"/>
    <cfRule type="duplicateValues" dxfId="6053" priority="127390"/>
    <cfRule type="duplicateValues" dxfId="6052" priority="127391"/>
    <cfRule type="duplicateValues" dxfId="6051" priority="127392"/>
    <cfRule type="duplicateValues" dxfId="6050" priority="127393"/>
    <cfRule type="duplicateValues" dxfId="6049" priority="127394"/>
    <cfRule type="duplicateValues" dxfId="6048" priority="127395"/>
    <cfRule type="duplicateValues" dxfId="6047" priority="127396"/>
    <cfRule type="duplicateValues" dxfId="6046" priority="127397"/>
    <cfRule type="duplicateValues" dxfId="6045" priority="127398"/>
    <cfRule type="duplicateValues" dxfId="6044" priority="127399"/>
    <cfRule type="duplicateValues" dxfId="6043" priority="127400"/>
    <cfRule type="duplicateValues" dxfId="6042" priority="127401"/>
    <cfRule type="duplicateValues" dxfId="6041" priority="127402"/>
    <cfRule type="duplicateValues" dxfId="6040" priority="127403"/>
    <cfRule type="duplicateValues" dxfId="6039" priority="127153"/>
    <cfRule type="duplicateValues" dxfId="6038" priority="127387"/>
    <cfRule type="duplicateValues" dxfId="6037" priority="127134"/>
    <cfRule type="duplicateValues" dxfId="6036" priority="127135"/>
    <cfRule type="duplicateValues" dxfId="6035" priority="127136"/>
    <cfRule type="duplicateValues" dxfId="6034" priority="127137"/>
    <cfRule type="duplicateValues" dxfId="6033" priority="127138"/>
    <cfRule type="duplicateValues" dxfId="6032" priority="127139"/>
    <cfRule type="duplicateValues" dxfId="6031" priority="127140"/>
    <cfRule type="duplicateValues" dxfId="6030" priority="127141"/>
    <cfRule type="duplicateValues" dxfId="6029" priority="127142"/>
    <cfRule type="duplicateValues" dxfId="6028" priority="127143"/>
    <cfRule type="duplicateValues" dxfId="6027" priority="127144"/>
    <cfRule type="duplicateValues" dxfId="6026" priority="127145"/>
    <cfRule type="duplicateValues" dxfId="6025" priority="127146"/>
    <cfRule type="duplicateValues" dxfId="6024" priority="127147"/>
    <cfRule type="duplicateValues" dxfId="6023" priority="127148"/>
    <cfRule type="duplicateValues" dxfId="6022" priority="127149"/>
    <cfRule type="duplicateValues" dxfId="6021" priority="127150"/>
    <cfRule type="duplicateValues" dxfId="6020" priority="127151"/>
    <cfRule type="duplicateValues" dxfId="6019" priority="127152"/>
    <cfRule type="duplicateValues" dxfId="6018" priority="127154"/>
    <cfRule type="duplicateValues" dxfId="6017" priority="127155"/>
    <cfRule type="duplicateValues" dxfId="6016" priority="127156"/>
    <cfRule type="duplicateValues" dxfId="6015" priority="127157"/>
    <cfRule type="duplicateValues" dxfId="6014" priority="127158"/>
    <cfRule type="duplicateValues" dxfId="6013" priority="127159"/>
    <cfRule type="duplicateValues" dxfId="6012" priority="127160"/>
    <cfRule type="duplicateValues" dxfId="6011" priority="127161"/>
    <cfRule type="duplicateValues" dxfId="6010" priority="127162"/>
    <cfRule type="duplicateValues" dxfId="6009" priority="127163"/>
    <cfRule type="duplicateValues" dxfId="6008" priority="127164"/>
    <cfRule type="duplicateValues" dxfId="6007" priority="127165"/>
    <cfRule type="duplicateValues" dxfId="6006" priority="127166"/>
    <cfRule type="duplicateValues" dxfId="6005" priority="127167"/>
    <cfRule type="duplicateValues" dxfId="6004" priority="127168"/>
    <cfRule type="duplicateValues" dxfId="6003" priority="127169"/>
    <cfRule type="duplicateValues" dxfId="6002" priority="127170"/>
    <cfRule type="duplicateValues" dxfId="6001" priority="127171"/>
    <cfRule type="duplicateValues" dxfId="6000" priority="127172"/>
    <cfRule type="duplicateValues" dxfId="5999" priority="127173"/>
    <cfRule type="duplicateValues" dxfId="5998" priority="127174"/>
    <cfRule type="duplicateValues" dxfId="5997" priority="127175"/>
    <cfRule type="duplicateValues" dxfId="5996" priority="127176"/>
    <cfRule type="duplicateValues" dxfId="5995" priority="127177"/>
    <cfRule type="duplicateValues" dxfId="5994" priority="127178"/>
    <cfRule type="duplicateValues" dxfId="5993" priority="127179"/>
    <cfRule type="duplicateValues" dxfId="5992" priority="127180"/>
    <cfRule type="duplicateValues" dxfId="5991" priority="127181"/>
    <cfRule type="duplicateValues" dxfId="5990" priority="127182"/>
    <cfRule type="duplicateValues" dxfId="5989" priority="127183"/>
    <cfRule type="duplicateValues" dxfId="5988" priority="127184"/>
    <cfRule type="duplicateValues" dxfId="5987" priority="127185"/>
    <cfRule type="duplicateValues" dxfId="5986" priority="127186"/>
    <cfRule type="duplicateValues" dxfId="5985" priority="127187"/>
    <cfRule type="duplicateValues" dxfId="5984" priority="127188"/>
    <cfRule type="duplicateValues" dxfId="5983" priority="127189"/>
    <cfRule type="duplicateValues" dxfId="5982" priority="127190"/>
    <cfRule type="duplicateValues" dxfId="5981" priority="127191"/>
    <cfRule type="duplicateValues" dxfId="5980" priority="127192"/>
    <cfRule type="duplicateValues" dxfId="5979" priority="127193"/>
    <cfRule type="duplicateValues" dxfId="5978" priority="127194"/>
    <cfRule type="duplicateValues" dxfId="5977" priority="127195"/>
    <cfRule type="duplicateValues" dxfId="5976" priority="127196"/>
    <cfRule type="duplicateValues" dxfId="5975" priority="127197"/>
    <cfRule type="duplicateValues" dxfId="5974" priority="127198"/>
    <cfRule type="duplicateValues" dxfId="5973" priority="127199"/>
    <cfRule type="duplicateValues" dxfId="5972" priority="127200"/>
    <cfRule type="duplicateValues" dxfId="5971" priority="127201"/>
    <cfRule type="duplicateValues" dxfId="5970" priority="127202"/>
    <cfRule type="duplicateValues" dxfId="5969" priority="127203"/>
    <cfRule type="duplicateValues" dxfId="5968" priority="127204"/>
    <cfRule type="duplicateValues" dxfId="5967" priority="127205"/>
    <cfRule type="duplicateValues" dxfId="5966" priority="127206"/>
    <cfRule type="duplicateValues" dxfId="5965" priority="127207"/>
    <cfRule type="duplicateValues" dxfId="5964" priority="127208"/>
    <cfRule type="duplicateValues" dxfId="5963" priority="127209"/>
    <cfRule type="duplicateValues" dxfId="5962" priority="127210"/>
    <cfRule type="duplicateValues" dxfId="5961" priority="127211"/>
    <cfRule type="duplicateValues" dxfId="5960" priority="127212"/>
    <cfRule type="duplicateValues" dxfId="5959" priority="127213"/>
    <cfRule type="duplicateValues" dxfId="5958" priority="127214"/>
    <cfRule type="duplicateValues" dxfId="5957" priority="127215"/>
    <cfRule type="duplicateValues" dxfId="5956" priority="127216"/>
    <cfRule type="duplicateValues" dxfId="5955" priority="127217"/>
    <cfRule type="duplicateValues" dxfId="5954" priority="127218"/>
    <cfRule type="duplicateValues" dxfId="5953" priority="127219"/>
    <cfRule type="duplicateValues" dxfId="5952" priority="127220"/>
    <cfRule type="duplicateValues" dxfId="5951" priority="127221"/>
    <cfRule type="duplicateValues" dxfId="5950" priority="127222"/>
    <cfRule type="duplicateValues" dxfId="5949" priority="127223"/>
    <cfRule type="duplicateValues" dxfId="5948" priority="127224"/>
    <cfRule type="duplicateValues" dxfId="5947" priority="127225"/>
    <cfRule type="duplicateValues" dxfId="5946" priority="127226"/>
    <cfRule type="duplicateValues" dxfId="5945" priority="127227"/>
    <cfRule type="duplicateValues" dxfId="5944" priority="127228"/>
    <cfRule type="duplicateValues" dxfId="5943" priority="127229"/>
    <cfRule type="duplicateValues" dxfId="5942" priority="127230"/>
    <cfRule type="duplicateValues" dxfId="5941" priority="127231"/>
    <cfRule type="duplicateValues" dxfId="5940" priority="127232"/>
    <cfRule type="duplicateValues" dxfId="5939" priority="127233"/>
    <cfRule type="duplicateValues" dxfId="5938" priority="127234"/>
    <cfRule type="duplicateValues" dxfId="5937" priority="127235"/>
    <cfRule type="duplicateValues" dxfId="5936" priority="127236"/>
    <cfRule type="duplicateValues" dxfId="5935" priority="127237"/>
    <cfRule type="duplicateValues" dxfId="5934" priority="127238"/>
    <cfRule type="duplicateValues" dxfId="5933" priority="127239"/>
    <cfRule type="duplicateValues" dxfId="5932" priority="127240"/>
    <cfRule type="duplicateValues" dxfId="5931" priority="127241"/>
    <cfRule type="duplicateValues" dxfId="5930" priority="127242"/>
    <cfRule type="duplicateValues" dxfId="5929" priority="127243"/>
    <cfRule type="duplicateValues" dxfId="5928" priority="127244"/>
    <cfRule type="duplicateValues" dxfId="5927" priority="127245"/>
    <cfRule type="duplicateValues" dxfId="5926" priority="127246"/>
    <cfRule type="duplicateValues" dxfId="5925" priority="127247"/>
    <cfRule type="duplicateValues" dxfId="5924" priority="127248"/>
    <cfRule type="duplicateValues" dxfId="5923" priority="127249"/>
    <cfRule type="duplicateValues" dxfId="5922" priority="127250"/>
    <cfRule type="duplicateValues" dxfId="5921" priority="127251"/>
    <cfRule type="duplicateValues" dxfId="5920" priority="127252"/>
    <cfRule type="duplicateValues" dxfId="5919" priority="127253"/>
    <cfRule type="duplicateValues" dxfId="5918" priority="127254"/>
    <cfRule type="duplicateValues" dxfId="5917" priority="127255"/>
    <cfRule type="duplicateValues" dxfId="5916" priority="127256"/>
    <cfRule type="duplicateValues" dxfId="5915" priority="127257"/>
    <cfRule type="duplicateValues" dxfId="5914" priority="127258"/>
    <cfRule type="duplicateValues" dxfId="5913" priority="127259"/>
    <cfRule type="duplicateValues" dxfId="5912" priority="127260"/>
    <cfRule type="duplicateValues" dxfId="5911" priority="127261"/>
    <cfRule type="duplicateValues" dxfId="5910" priority="127262"/>
    <cfRule type="duplicateValues" dxfId="5909" priority="127263"/>
    <cfRule type="duplicateValues" dxfId="5908" priority="127264"/>
    <cfRule type="duplicateValues" dxfId="5907" priority="127265"/>
    <cfRule type="duplicateValues" dxfId="5906" priority="127266"/>
    <cfRule type="duplicateValues" dxfId="5905" priority="127267"/>
    <cfRule type="duplicateValues" dxfId="5904" priority="127268"/>
    <cfRule type="duplicateValues" dxfId="5903" priority="127269"/>
    <cfRule type="duplicateValues" dxfId="5902" priority="127270"/>
    <cfRule type="duplicateValues" dxfId="5901" priority="127271"/>
    <cfRule type="duplicateValues" dxfId="5900" priority="127272"/>
    <cfRule type="duplicateValues" dxfId="5899" priority="127273"/>
    <cfRule type="duplicateValues" dxfId="5898" priority="127274"/>
    <cfRule type="duplicateValues" dxfId="5897" priority="127275"/>
    <cfRule type="duplicateValues" dxfId="5896" priority="127276"/>
    <cfRule type="duplicateValues" dxfId="5895" priority="127277"/>
    <cfRule type="duplicateValues" dxfId="5894" priority="127278"/>
    <cfRule type="duplicateValues" dxfId="5893" priority="127279"/>
    <cfRule type="duplicateValues" dxfId="5892" priority="127280"/>
    <cfRule type="duplicateValues" dxfId="5891" priority="127281"/>
    <cfRule type="duplicateValues" dxfId="5890" priority="127282"/>
    <cfRule type="duplicateValues" dxfId="5889" priority="127283"/>
    <cfRule type="duplicateValues" dxfId="5888" priority="127284"/>
    <cfRule type="duplicateValues" dxfId="5887" priority="127285"/>
    <cfRule type="duplicateValues" dxfId="5886" priority="127286"/>
    <cfRule type="duplicateValues" dxfId="5885" priority="127287"/>
    <cfRule type="duplicateValues" dxfId="5884" priority="127288"/>
    <cfRule type="duplicateValues" dxfId="5883" priority="127289"/>
    <cfRule type="duplicateValues" dxfId="5882" priority="127290"/>
    <cfRule type="duplicateValues" dxfId="5881" priority="127291"/>
    <cfRule type="duplicateValues" dxfId="5880" priority="127292"/>
    <cfRule type="duplicateValues" dxfId="5879" priority="127293"/>
    <cfRule type="duplicateValues" dxfId="5878" priority="127294"/>
    <cfRule type="duplicateValues" dxfId="5877" priority="127295"/>
    <cfRule type="duplicateValues" dxfId="5876" priority="127296"/>
    <cfRule type="duplicateValues" dxfId="5875" priority="127297"/>
    <cfRule type="duplicateValues" dxfId="5874" priority="127298"/>
    <cfRule type="duplicateValues" dxfId="5873" priority="127299"/>
    <cfRule type="duplicateValues" dxfId="5872" priority="127300"/>
    <cfRule type="duplicateValues" dxfId="5871" priority="127301"/>
    <cfRule type="duplicateValues" dxfId="5870" priority="127302"/>
    <cfRule type="duplicateValues" dxfId="5869" priority="127303"/>
    <cfRule type="duplicateValues" dxfId="5868" priority="127304"/>
    <cfRule type="duplicateValues" dxfId="5867" priority="127305"/>
    <cfRule type="duplicateValues" dxfId="5866" priority="127306"/>
    <cfRule type="duplicateValues" dxfId="5865" priority="127307"/>
    <cfRule type="duplicateValues" dxfId="5864" priority="127308"/>
    <cfRule type="duplicateValues" dxfId="5863" priority="127309"/>
    <cfRule type="duplicateValues" dxfId="5862" priority="127310"/>
    <cfRule type="duplicateValues" dxfId="5861" priority="127311"/>
    <cfRule type="duplicateValues" dxfId="5860" priority="127312"/>
    <cfRule type="duplicateValues" dxfId="5859" priority="127313"/>
    <cfRule type="duplicateValues" dxfId="5858" priority="127314"/>
    <cfRule type="duplicateValues" dxfId="5857" priority="127315"/>
    <cfRule type="duplicateValues" dxfId="5856" priority="127316"/>
    <cfRule type="duplicateValues" dxfId="5855" priority="127317"/>
    <cfRule type="duplicateValues" dxfId="5854" priority="127318"/>
    <cfRule type="duplicateValues" dxfId="5853" priority="127319"/>
    <cfRule type="duplicateValues" dxfId="5852" priority="127320"/>
    <cfRule type="duplicateValues" dxfId="5851" priority="127321"/>
    <cfRule type="duplicateValues" dxfId="5850" priority="127322"/>
    <cfRule type="duplicateValues" dxfId="5849" priority="127323"/>
    <cfRule type="duplicateValues" dxfId="5848" priority="127324"/>
    <cfRule type="duplicateValues" dxfId="5847" priority="127325"/>
    <cfRule type="duplicateValues" dxfId="5846" priority="127326"/>
    <cfRule type="duplicateValues" dxfId="5845" priority="127327"/>
    <cfRule type="duplicateValues" dxfId="5844" priority="127328"/>
    <cfRule type="duplicateValues" dxfId="5843" priority="127329"/>
    <cfRule type="duplicateValues" dxfId="5842" priority="127330"/>
    <cfRule type="duplicateValues" dxfId="5841" priority="127331"/>
    <cfRule type="duplicateValues" dxfId="5840" priority="127332"/>
    <cfRule type="duplicateValues" dxfId="5839" priority="127333"/>
    <cfRule type="duplicateValues" dxfId="5838" priority="127334"/>
    <cfRule type="duplicateValues" dxfId="5837" priority="127335"/>
    <cfRule type="duplicateValues" dxfId="5836" priority="127336"/>
    <cfRule type="duplicateValues" dxfId="5835" priority="127337"/>
    <cfRule type="duplicateValues" dxfId="5834" priority="127338"/>
    <cfRule type="duplicateValues" dxfId="5833" priority="127339"/>
    <cfRule type="duplicateValues" dxfId="5832" priority="127340"/>
    <cfRule type="duplicateValues" dxfId="5831" priority="127341"/>
    <cfRule type="duplicateValues" dxfId="5830" priority="127342"/>
    <cfRule type="duplicateValues" dxfId="5829" priority="127343"/>
    <cfRule type="duplicateValues" dxfId="5828" priority="127344"/>
    <cfRule type="duplicateValues" dxfId="5827" priority="127345"/>
    <cfRule type="duplicateValues" dxfId="5826" priority="127346"/>
  </conditionalFormatting>
  <conditionalFormatting sqref="P15:Q15">
    <cfRule type="duplicateValues" dxfId="5825" priority="141732"/>
    <cfRule type="duplicateValues" dxfId="5824" priority="141733"/>
    <cfRule type="duplicateValues" dxfId="5823" priority="141522"/>
    <cfRule type="duplicateValues" dxfId="5822" priority="141523"/>
    <cfRule type="duplicateValues" dxfId="5821" priority="141524"/>
    <cfRule type="duplicateValues" dxfId="5820" priority="141525"/>
    <cfRule type="duplicateValues" dxfId="5819" priority="141526"/>
    <cfRule type="duplicateValues" dxfId="5818" priority="141527"/>
    <cfRule type="duplicateValues" dxfId="5817" priority="141528"/>
    <cfRule type="duplicateValues" dxfId="5816" priority="141529"/>
    <cfRule type="duplicateValues" dxfId="5815" priority="141530"/>
    <cfRule type="duplicateValues" dxfId="5814" priority="141531"/>
    <cfRule type="duplicateValues" dxfId="5813" priority="141532"/>
    <cfRule type="duplicateValues" dxfId="5812" priority="141533"/>
    <cfRule type="duplicateValues" dxfId="5811" priority="141534"/>
    <cfRule type="duplicateValues" dxfId="5810" priority="141535"/>
    <cfRule type="duplicateValues" dxfId="5809" priority="141536"/>
    <cfRule type="duplicateValues" dxfId="5808" priority="141537"/>
    <cfRule type="duplicateValues" dxfId="5807" priority="141538"/>
    <cfRule type="duplicateValues" dxfId="5806" priority="141539"/>
    <cfRule type="duplicateValues" dxfId="5805" priority="141540"/>
    <cfRule type="duplicateValues" dxfId="5804" priority="141541"/>
    <cfRule type="duplicateValues" dxfId="5803" priority="141542"/>
    <cfRule type="duplicateValues" dxfId="5802" priority="141543"/>
    <cfRule type="duplicateValues" dxfId="5801" priority="141544"/>
    <cfRule type="duplicateValues" dxfId="5800" priority="141545"/>
    <cfRule type="duplicateValues" dxfId="5799" priority="141546"/>
    <cfRule type="duplicateValues" dxfId="5798" priority="141547"/>
    <cfRule type="duplicateValues" dxfId="5797" priority="141548"/>
    <cfRule type="duplicateValues" dxfId="5796" priority="141549"/>
    <cfRule type="duplicateValues" dxfId="5795" priority="141550"/>
    <cfRule type="duplicateValues" dxfId="5794" priority="141551"/>
    <cfRule type="duplicateValues" dxfId="5793" priority="141552"/>
    <cfRule type="duplicateValues" dxfId="5792" priority="141553"/>
    <cfRule type="duplicateValues" dxfId="5791" priority="141554"/>
    <cfRule type="duplicateValues" dxfId="5790" priority="141555"/>
    <cfRule type="duplicateValues" dxfId="5789" priority="141556"/>
    <cfRule type="duplicateValues" dxfId="5788" priority="141557"/>
    <cfRule type="duplicateValues" dxfId="5787" priority="141558"/>
    <cfRule type="duplicateValues" dxfId="5786" priority="141559"/>
    <cfRule type="duplicateValues" dxfId="5785" priority="141560"/>
    <cfRule type="duplicateValues" dxfId="5784" priority="141561"/>
    <cfRule type="duplicateValues" dxfId="5783" priority="141562"/>
    <cfRule type="duplicateValues" dxfId="5782" priority="141563"/>
    <cfRule type="duplicateValues" dxfId="5781" priority="141564"/>
    <cfRule type="duplicateValues" dxfId="5780" priority="141565"/>
    <cfRule type="duplicateValues" dxfId="5779" priority="141566"/>
    <cfRule type="duplicateValues" dxfId="5778" priority="141567"/>
    <cfRule type="duplicateValues" dxfId="5777" priority="141568"/>
    <cfRule type="duplicateValues" dxfId="5776" priority="141569"/>
    <cfRule type="duplicateValues" dxfId="5775" priority="141570"/>
    <cfRule type="duplicateValues" dxfId="5774" priority="141571"/>
    <cfRule type="duplicateValues" dxfId="5773" priority="141572"/>
    <cfRule type="duplicateValues" dxfId="5772" priority="141573"/>
    <cfRule type="duplicateValues" dxfId="5771" priority="141574"/>
    <cfRule type="duplicateValues" dxfId="5770" priority="141575"/>
    <cfRule type="duplicateValues" dxfId="5769" priority="141576"/>
    <cfRule type="duplicateValues" dxfId="5768" priority="141577"/>
    <cfRule type="duplicateValues" dxfId="5767" priority="141578"/>
    <cfRule type="duplicateValues" dxfId="5766" priority="141579"/>
    <cfRule type="duplicateValues" dxfId="5765" priority="141580"/>
    <cfRule type="duplicateValues" dxfId="5764" priority="141581"/>
    <cfRule type="duplicateValues" dxfId="5763" priority="141582"/>
    <cfRule type="duplicateValues" dxfId="5762" priority="141583"/>
    <cfRule type="duplicateValues" dxfId="5761" priority="141584"/>
    <cfRule type="duplicateValues" dxfId="5760" priority="141585"/>
    <cfRule type="duplicateValues" dxfId="5759" priority="141586"/>
    <cfRule type="duplicateValues" dxfId="5758" priority="141587"/>
    <cfRule type="duplicateValues" dxfId="5757" priority="141588"/>
    <cfRule type="duplicateValues" dxfId="5756" priority="141589"/>
    <cfRule type="duplicateValues" dxfId="5755" priority="141590"/>
    <cfRule type="duplicateValues" dxfId="5754" priority="141591"/>
    <cfRule type="duplicateValues" dxfId="5753" priority="141592"/>
    <cfRule type="duplicateValues" dxfId="5752" priority="141593"/>
    <cfRule type="duplicateValues" dxfId="5751" priority="141594"/>
    <cfRule type="duplicateValues" dxfId="5750" priority="141595"/>
    <cfRule type="duplicateValues" dxfId="5749" priority="141596"/>
    <cfRule type="duplicateValues" dxfId="5748" priority="141597"/>
    <cfRule type="duplicateValues" dxfId="5747" priority="141598"/>
    <cfRule type="duplicateValues" dxfId="5746" priority="141599"/>
    <cfRule type="duplicateValues" dxfId="5745" priority="141600"/>
    <cfRule type="duplicateValues" dxfId="5744" priority="141649"/>
    <cfRule type="duplicateValues" dxfId="5743" priority="141601"/>
    <cfRule type="duplicateValues" dxfId="5742" priority="141602"/>
    <cfRule type="duplicateValues" dxfId="5741" priority="141603"/>
    <cfRule type="duplicateValues" dxfId="5740" priority="141604"/>
    <cfRule type="duplicateValues" dxfId="5739" priority="141605"/>
    <cfRule type="duplicateValues" dxfId="5738" priority="141606"/>
    <cfRule type="duplicateValues" dxfId="5737" priority="141607"/>
    <cfRule type="duplicateValues" dxfId="5736" priority="141608"/>
    <cfRule type="duplicateValues" dxfId="5735" priority="141609"/>
    <cfRule type="duplicateValues" dxfId="5734" priority="141610"/>
    <cfRule type="duplicateValues" dxfId="5733" priority="141611"/>
    <cfRule type="duplicateValues" dxfId="5732" priority="141612"/>
    <cfRule type="duplicateValues" dxfId="5731" priority="141613"/>
    <cfRule type="duplicateValues" dxfId="5730" priority="141614"/>
    <cfRule type="duplicateValues" dxfId="5729" priority="141615"/>
    <cfRule type="duplicateValues" dxfId="5728" priority="141616"/>
    <cfRule type="duplicateValues" dxfId="5727" priority="141617"/>
    <cfRule type="duplicateValues" dxfId="5726" priority="141618"/>
    <cfRule type="duplicateValues" dxfId="5725" priority="141619"/>
    <cfRule type="duplicateValues" dxfId="5724" priority="141620"/>
    <cfRule type="duplicateValues" dxfId="5723" priority="141621"/>
    <cfRule type="duplicateValues" dxfId="5722" priority="141622"/>
    <cfRule type="duplicateValues" dxfId="5721" priority="141623"/>
    <cfRule type="duplicateValues" dxfId="5720" priority="141624"/>
    <cfRule type="duplicateValues" dxfId="5719" priority="141625"/>
    <cfRule type="duplicateValues" dxfId="5718" priority="141626"/>
    <cfRule type="duplicateValues" dxfId="5717" priority="141627"/>
    <cfRule type="duplicateValues" dxfId="5716" priority="141628"/>
    <cfRule type="duplicateValues" dxfId="5715" priority="141629"/>
    <cfRule type="duplicateValues" dxfId="5714" priority="141630"/>
    <cfRule type="duplicateValues" dxfId="5713" priority="141631"/>
    <cfRule type="duplicateValues" dxfId="5712" priority="141632"/>
    <cfRule type="duplicateValues" dxfId="5711" priority="141633"/>
    <cfRule type="duplicateValues" dxfId="5710" priority="141634"/>
    <cfRule type="duplicateValues" dxfId="5709" priority="141635"/>
    <cfRule type="duplicateValues" dxfId="5708" priority="141636"/>
    <cfRule type="duplicateValues" dxfId="5707" priority="141637"/>
    <cfRule type="duplicateValues" dxfId="5706" priority="141638"/>
    <cfRule type="duplicateValues" dxfId="5705" priority="141639"/>
    <cfRule type="duplicateValues" dxfId="5704" priority="141640"/>
    <cfRule type="duplicateValues" dxfId="5703" priority="141641"/>
    <cfRule type="duplicateValues" dxfId="5702" priority="141642"/>
    <cfRule type="duplicateValues" dxfId="5701" priority="141643"/>
    <cfRule type="duplicateValues" dxfId="5700" priority="141644"/>
    <cfRule type="duplicateValues" dxfId="5699" priority="141645"/>
    <cfRule type="duplicateValues" dxfId="5698" priority="141646"/>
    <cfRule type="duplicateValues" dxfId="5697" priority="141647"/>
    <cfRule type="duplicateValues" dxfId="5696" priority="141648"/>
    <cfRule type="duplicateValues" dxfId="5695" priority="141734"/>
    <cfRule type="duplicateValues" dxfId="5694" priority="141650"/>
    <cfRule type="duplicateValues" dxfId="5693" priority="141651"/>
    <cfRule type="duplicateValues" dxfId="5692" priority="141652"/>
    <cfRule type="duplicateValues" dxfId="5691" priority="141653"/>
    <cfRule type="duplicateValues" dxfId="5690" priority="141654"/>
    <cfRule type="duplicateValues" dxfId="5689" priority="141655"/>
    <cfRule type="duplicateValues" dxfId="5688" priority="141656"/>
    <cfRule type="duplicateValues" dxfId="5687" priority="141657"/>
    <cfRule type="duplicateValues" dxfId="5686" priority="141658"/>
    <cfRule type="duplicateValues" dxfId="5685" priority="141659"/>
    <cfRule type="duplicateValues" dxfId="5684" priority="141660"/>
    <cfRule type="duplicateValues" dxfId="5683" priority="141661"/>
    <cfRule type="duplicateValues" dxfId="5682" priority="141662"/>
    <cfRule type="duplicateValues" dxfId="5681" priority="141663"/>
    <cfRule type="duplicateValues" dxfId="5680" priority="141664"/>
    <cfRule type="duplicateValues" dxfId="5679" priority="141735"/>
    <cfRule type="duplicateValues" dxfId="5678" priority="141736"/>
    <cfRule type="duplicateValues" dxfId="5677" priority="141737"/>
    <cfRule type="duplicateValues" dxfId="5676" priority="141738"/>
    <cfRule type="duplicateValues" dxfId="5675" priority="141697"/>
    <cfRule type="duplicateValues" dxfId="5674" priority="141698"/>
    <cfRule type="duplicateValues" dxfId="5673" priority="141699"/>
    <cfRule type="duplicateValues" dxfId="5672" priority="141700"/>
    <cfRule type="duplicateValues" dxfId="5671" priority="141701"/>
    <cfRule type="duplicateValues" dxfId="5670" priority="141702"/>
    <cfRule type="duplicateValues" dxfId="5669" priority="141703"/>
    <cfRule type="duplicateValues" dxfId="5668" priority="141704"/>
    <cfRule type="duplicateValues" dxfId="5667" priority="141705"/>
    <cfRule type="duplicateValues" dxfId="5666" priority="141706"/>
    <cfRule type="duplicateValues" dxfId="5665" priority="141739"/>
    <cfRule type="duplicateValues" dxfId="5664" priority="141708"/>
    <cfRule type="duplicateValues" dxfId="5663" priority="141709"/>
    <cfRule type="duplicateValues" dxfId="5662" priority="141710"/>
    <cfRule type="duplicateValues" dxfId="5661" priority="141711"/>
    <cfRule type="duplicateValues" dxfId="5660" priority="141712"/>
    <cfRule type="duplicateValues" dxfId="5659" priority="141713"/>
    <cfRule type="duplicateValues" dxfId="5658" priority="141714"/>
    <cfRule type="duplicateValues" dxfId="5657" priority="141715"/>
    <cfRule type="duplicateValues" dxfId="5656" priority="141716"/>
    <cfRule type="duplicateValues" dxfId="5655" priority="141717"/>
    <cfRule type="duplicateValues" dxfId="5654" priority="141718"/>
    <cfRule type="duplicateValues" dxfId="5653" priority="141719"/>
    <cfRule type="duplicateValues" dxfId="5652" priority="141740"/>
    <cfRule type="duplicateValues" dxfId="5651" priority="141721"/>
    <cfRule type="duplicateValues" dxfId="5650" priority="141722"/>
    <cfRule type="duplicateValues" dxfId="5649" priority="141723"/>
    <cfRule type="duplicateValues" dxfId="5648" priority="141724"/>
    <cfRule type="duplicateValues" dxfId="5647" priority="141725"/>
    <cfRule type="duplicateValues" dxfId="5646" priority="141665"/>
    <cfRule type="duplicateValues" dxfId="5645" priority="141666"/>
    <cfRule type="duplicateValues" dxfId="5644" priority="141667"/>
    <cfRule type="duplicateValues" dxfId="5643" priority="141668"/>
    <cfRule type="duplicateValues" dxfId="5642" priority="141669"/>
    <cfRule type="duplicateValues" dxfId="5641" priority="141670"/>
    <cfRule type="duplicateValues" dxfId="5640" priority="141671"/>
    <cfRule type="duplicateValues" dxfId="5639" priority="141672"/>
    <cfRule type="duplicateValues" dxfId="5638" priority="141673"/>
    <cfRule type="duplicateValues" dxfId="5637" priority="141674"/>
    <cfRule type="duplicateValues" dxfId="5636" priority="141675"/>
    <cfRule type="duplicateValues" dxfId="5635" priority="141676"/>
    <cfRule type="duplicateValues" dxfId="5634" priority="141677"/>
    <cfRule type="duplicateValues" dxfId="5633" priority="141678"/>
    <cfRule type="duplicateValues" dxfId="5632" priority="141679"/>
    <cfRule type="duplicateValues" dxfId="5631" priority="141680"/>
    <cfRule type="duplicateValues" dxfId="5630" priority="141681"/>
    <cfRule type="duplicateValues" dxfId="5629" priority="141682"/>
    <cfRule type="duplicateValues" dxfId="5628" priority="141683"/>
    <cfRule type="duplicateValues" dxfId="5627" priority="141684"/>
    <cfRule type="duplicateValues" dxfId="5626" priority="141685"/>
    <cfRule type="duplicateValues" dxfId="5625" priority="141686"/>
    <cfRule type="duplicateValues" dxfId="5624" priority="141687"/>
    <cfRule type="duplicateValues" dxfId="5623" priority="141688"/>
    <cfRule type="duplicateValues" dxfId="5622" priority="141689"/>
    <cfRule type="duplicateValues" dxfId="5621" priority="141690"/>
    <cfRule type="duplicateValues" dxfId="5620" priority="141691"/>
    <cfRule type="duplicateValues" dxfId="5619" priority="141692"/>
    <cfRule type="duplicateValues" dxfId="5618" priority="141693"/>
    <cfRule type="duplicateValues" dxfId="5617" priority="141694"/>
    <cfRule type="duplicateValues" dxfId="5616" priority="141695"/>
    <cfRule type="duplicateValues" dxfId="5615" priority="141696"/>
    <cfRule type="duplicateValues" dxfId="5614" priority="141726"/>
    <cfRule type="duplicateValues" dxfId="5613" priority="141727"/>
    <cfRule type="duplicateValues" dxfId="5612" priority="141728"/>
    <cfRule type="duplicateValues" dxfId="5611" priority="141729"/>
    <cfRule type="duplicateValues" dxfId="5610" priority="141730"/>
    <cfRule type="duplicateValues" dxfId="5609" priority="141731"/>
    <cfRule type="duplicateValues" dxfId="5608" priority="141741"/>
    <cfRule type="duplicateValues" dxfId="5607" priority="141742"/>
    <cfRule type="duplicateValues" dxfId="5606" priority="141743"/>
    <cfRule type="duplicateValues" dxfId="5605" priority="141744"/>
    <cfRule type="duplicateValues" dxfId="5604" priority="141745"/>
    <cfRule type="duplicateValues" dxfId="5603" priority="141746"/>
    <cfRule type="duplicateValues" dxfId="5602" priority="141747"/>
    <cfRule type="duplicateValues" dxfId="5601" priority="141748"/>
    <cfRule type="duplicateValues" dxfId="5600" priority="141749"/>
    <cfRule type="duplicateValues" dxfId="5599" priority="141750"/>
    <cfRule type="duplicateValues" dxfId="5598" priority="141751"/>
    <cfRule type="duplicateValues" dxfId="5597" priority="141752"/>
    <cfRule type="duplicateValues" dxfId="5596" priority="141753"/>
    <cfRule type="duplicateValues" dxfId="5595" priority="141754"/>
    <cfRule type="duplicateValues" dxfId="5594" priority="141755"/>
    <cfRule type="duplicateValues" dxfId="5593" priority="141756"/>
    <cfRule type="duplicateValues" dxfId="5592" priority="141757"/>
    <cfRule type="duplicateValues" dxfId="5591" priority="141758"/>
    <cfRule type="duplicateValues" dxfId="5590" priority="141759"/>
    <cfRule type="duplicateValues" dxfId="5589" priority="141760"/>
    <cfRule type="duplicateValues" dxfId="5588" priority="141761"/>
    <cfRule type="duplicateValues" dxfId="5587" priority="141762"/>
    <cfRule type="duplicateValues" dxfId="5586" priority="141763"/>
    <cfRule type="duplicateValues" dxfId="5585" priority="141764"/>
    <cfRule type="duplicateValues" dxfId="5584" priority="141765"/>
    <cfRule type="duplicateValues" dxfId="5583" priority="141766"/>
    <cfRule type="duplicateValues" dxfId="5582" priority="141767"/>
    <cfRule type="duplicateValues" dxfId="5581" priority="141768"/>
    <cfRule type="duplicateValues" dxfId="5580" priority="141769"/>
    <cfRule type="duplicateValues" dxfId="5579" priority="141770"/>
    <cfRule type="duplicateValues" dxfId="5578" priority="141771"/>
    <cfRule type="duplicateValues" dxfId="5577" priority="141772"/>
    <cfRule type="duplicateValues" dxfId="5576" priority="141773"/>
    <cfRule type="duplicateValues" dxfId="5575" priority="141774"/>
    <cfRule type="duplicateValues" dxfId="5574" priority="141775"/>
    <cfRule type="duplicateValues" dxfId="5573" priority="141776"/>
    <cfRule type="duplicateValues" dxfId="5572" priority="141777"/>
    <cfRule type="duplicateValues" dxfId="5571" priority="141778"/>
    <cfRule type="duplicateValues" dxfId="5570" priority="141779"/>
    <cfRule type="duplicateValues" dxfId="5569" priority="141780"/>
    <cfRule type="duplicateValues" dxfId="5568" priority="141781"/>
    <cfRule type="duplicateValues" dxfId="5567" priority="141782"/>
    <cfRule type="duplicateValues" dxfId="5566" priority="141783"/>
    <cfRule type="duplicateValues" dxfId="5565" priority="141784"/>
    <cfRule type="duplicateValues" dxfId="5564" priority="141785"/>
    <cfRule type="duplicateValues" dxfId="5563" priority="141786"/>
    <cfRule type="duplicateValues" dxfId="5562" priority="141787"/>
    <cfRule type="duplicateValues" dxfId="5561" priority="141707"/>
    <cfRule type="duplicateValues" dxfId="5560" priority="141788"/>
    <cfRule type="duplicateValues" dxfId="5559" priority="141789"/>
    <cfRule type="duplicateValues" dxfId="5558" priority="141790"/>
    <cfRule type="duplicateValues" dxfId="5557" priority="141791"/>
    <cfRule type="duplicateValues" dxfId="5556" priority="141720"/>
  </conditionalFormatting>
  <conditionalFormatting sqref="P16:Q16">
    <cfRule type="duplicateValues" dxfId="5555" priority="145078"/>
    <cfRule type="duplicateValues" dxfId="5554" priority="145079"/>
    <cfRule type="duplicateValues" dxfId="5553" priority="145080"/>
    <cfRule type="duplicateValues" dxfId="5552" priority="145081"/>
    <cfRule type="duplicateValues" dxfId="5551" priority="145082"/>
    <cfRule type="duplicateValues" dxfId="5550" priority="145083"/>
    <cfRule type="duplicateValues" dxfId="5549" priority="145084"/>
    <cfRule type="duplicateValues" dxfId="5548" priority="145085"/>
    <cfRule type="duplicateValues" dxfId="5547" priority="145086"/>
    <cfRule type="duplicateValues" dxfId="5546" priority="145087"/>
    <cfRule type="duplicateValues" dxfId="5545" priority="145088"/>
    <cfRule type="duplicateValues" dxfId="5544" priority="145089"/>
    <cfRule type="duplicateValues" dxfId="5543" priority="145090"/>
    <cfRule type="duplicateValues" dxfId="5542" priority="145091"/>
    <cfRule type="duplicateValues" dxfId="5541" priority="145092"/>
    <cfRule type="duplicateValues" dxfId="5540" priority="145093"/>
    <cfRule type="duplicateValues" dxfId="5539" priority="145094"/>
    <cfRule type="duplicateValues" dxfId="5538" priority="145095"/>
    <cfRule type="duplicateValues" dxfId="5537" priority="145096"/>
    <cfRule type="duplicateValues" dxfId="5536" priority="145097"/>
    <cfRule type="duplicateValues" dxfId="5535" priority="145098"/>
    <cfRule type="duplicateValues" dxfId="5534" priority="145099"/>
    <cfRule type="duplicateValues" dxfId="5533" priority="145100"/>
    <cfRule type="duplicateValues" dxfId="5532" priority="145101"/>
    <cfRule type="duplicateValues" dxfId="5531" priority="145102"/>
    <cfRule type="duplicateValues" dxfId="5530" priority="145103"/>
    <cfRule type="duplicateValues" dxfId="5529" priority="145104"/>
    <cfRule type="duplicateValues" dxfId="5528" priority="145105"/>
    <cfRule type="duplicateValues" dxfId="5527" priority="145106"/>
    <cfRule type="duplicateValues" dxfId="5526" priority="145107"/>
    <cfRule type="duplicateValues" dxfId="5525" priority="145108"/>
    <cfRule type="duplicateValues" dxfId="5524" priority="145109"/>
    <cfRule type="duplicateValues" dxfId="5523" priority="145110"/>
    <cfRule type="duplicateValues" dxfId="5522" priority="145111"/>
    <cfRule type="duplicateValues" dxfId="5521" priority="145112"/>
    <cfRule type="duplicateValues" dxfId="5520" priority="145113"/>
    <cfRule type="duplicateValues" dxfId="5519" priority="145114"/>
    <cfRule type="duplicateValues" dxfId="5518" priority="145115"/>
    <cfRule type="duplicateValues" dxfId="5517" priority="145116"/>
    <cfRule type="duplicateValues" dxfId="5516" priority="145117"/>
    <cfRule type="duplicateValues" dxfId="5515" priority="145118"/>
    <cfRule type="duplicateValues" dxfId="5514" priority="145119"/>
    <cfRule type="duplicateValues" dxfId="5513" priority="145120"/>
    <cfRule type="duplicateValues" dxfId="5512" priority="145121"/>
    <cfRule type="duplicateValues" dxfId="5511" priority="145122"/>
    <cfRule type="duplicateValues" dxfId="5510" priority="145123"/>
    <cfRule type="duplicateValues" dxfId="5509" priority="145124"/>
    <cfRule type="duplicateValues" dxfId="5508" priority="145125"/>
    <cfRule type="duplicateValues" dxfId="5507" priority="145126"/>
    <cfRule type="duplicateValues" dxfId="5506" priority="145127"/>
    <cfRule type="duplicateValues" dxfId="5505" priority="145128"/>
    <cfRule type="duplicateValues" dxfId="5504" priority="145129"/>
    <cfRule type="duplicateValues" dxfId="5503" priority="145130"/>
    <cfRule type="duplicateValues" dxfId="5502" priority="145131"/>
    <cfRule type="duplicateValues" dxfId="5501" priority="145132"/>
    <cfRule type="duplicateValues" dxfId="5500" priority="145133"/>
    <cfRule type="duplicateValues" dxfId="5499" priority="145134"/>
    <cfRule type="duplicateValues" dxfId="5498" priority="145135"/>
    <cfRule type="duplicateValues" dxfId="5497" priority="145136"/>
    <cfRule type="duplicateValues" dxfId="5496" priority="145137"/>
    <cfRule type="duplicateValues" dxfId="5495" priority="145138"/>
    <cfRule type="duplicateValues" dxfId="5494" priority="145139"/>
    <cfRule type="duplicateValues" dxfId="5493" priority="145140"/>
    <cfRule type="duplicateValues" dxfId="5492" priority="145141"/>
    <cfRule type="duplicateValues" dxfId="5491" priority="145142"/>
    <cfRule type="duplicateValues" dxfId="5490" priority="145143"/>
    <cfRule type="duplicateValues" dxfId="5489" priority="145144"/>
    <cfRule type="duplicateValues" dxfId="5488" priority="145145"/>
    <cfRule type="duplicateValues" dxfId="5487" priority="145146"/>
    <cfRule type="duplicateValues" dxfId="5486" priority="145147"/>
    <cfRule type="duplicateValues" dxfId="5485" priority="145148"/>
    <cfRule type="duplicateValues" dxfId="5484" priority="145149"/>
    <cfRule type="duplicateValues" dxfId="5483" priority="145150"/>
    <cfRule type="duplicateValues" dxfId="5482" priority="145151"/>
    <cfRule type="duplicateValues" dxfId="5481" priority="145152"/>
    <cfRule type="duplicateValues" dxfId="5480" priority="145153"/>
    <cfRule type="duplicateValues" dxfId="5479" priority="145154"/>
    <cfRule type="duplicateValues" dxfId="5478" priority="145155"/>
    <cfRule type="duplicateValues" dxfId="5477" priority="145156"/>
    <cfRule type="duplicateValues" dxfId="5476" priority="145157"/>
    <cfRule type="duplicateValues" dxfId="5475" priority="145158"/>
    <cfRule type="duplicateValues" dxfId="5474" priority="145159"/>
    <cfRule type="duplicateValues" dxfId="5473" priority="145160"/>
    <cfRule type="duplicateValues" dxfId="5472" priority="145161"/>
    <cfRule type="duplicateValues" dxfId="5471" priority="145192"/>
    <cfRule type="duplicateValues" dxfId="5470" priority="145193"/>
    <cfRule type="duplicateValues" dxfId="5469" priority="145194"/>
    <cfRule type="duplicateValues" dxfId="5468" priority="145195"/>
    <cfRule type="duplicateValues" dxfId="5467" priority="145196"/>
    <cfRule type="duplicateValues" dxfId="5466" priority="145197"/>
    <cfRule type="duplicateValues" dxfId="5465" priority="145198"/>
    <cfRule type="duplicateValues" dxfId="5464" priority="145199"/>
    <cfRule type="duplicateValues" dxfId="5463" priority="145200"/>
    <cfRule type="duplicateValues" dxfId="5462" priority="145201"/>
    <cfRule type="duplicateValues" dxfId="5461" priority="145202"/>
    <cfRule type="duplicateValues" dxfId="5460" priority="145203"/>
    <cfRule type="duplicateValues" dxfId="5459" priority="145204"/>
    <cfRule type="duplicateValues" dxfId="5458" priority="145205"/>
    <cfRule type="duplicateValues" dxfId="5457" priority="145206"/>
    <cfRule type="duplicateValues" dxfId="5456" priority="145207"/>
    <cfRule type="duplicateValues" dxfId="5455" priority="145208"/>
    <cfRule type="duplicateValues" dxfId="5454" priority="145209"/>
    <cfRule type="duplicateValues" dxfId="5453" priority="145210"/>
    <cfRule type="duplicateValues" dxfId="5452" priority="145211"/>
    <cfRule type="duplicateValues" dxfId="5451" priority="145212"/>
    <cfRule type="duplicateValues" dxfId="5450" priority="145213"/>
    <cfRule type="duplicateValues" dxfId="5449" priority="145214"/>
    <cfRule type="duplicateValues" dxfId="5448" priority="145215"/>
    <cfRule type="duplicateValues" dxfId="5447" priority="145216"/>
    <cfRule type="duplicateValues" dxfId="5446" priority="145217"/>
    <cfRule type="duplicateValues" dxfId="5445" priority="145218"/>
    <cfRule type="duplicateValues" dxfId="5444" priority="145219"/>
    <cfRule type="duplicateValues" dxfId="5443" priority="145220"/>
    <cfRule type="duplicateValues" dxfId="5442" priority="145221"/>
    <cfRule type="duplicateValues" dxfId="5441" priority="145222"/>
    <cfRule type="duplicateValues" dxfId="5440" priority="145223"/>
    <cfRule type="duplicateValues" dxfId="5439" priority="145224"/>
    <cfRule type="duplicateValues" dxfId="5438" priority="145225"/>
    <cfRule type="duplicateValues" dxfId="5437" priority="145226"/>
    <cfRule type="duplicateValues" dxfId="5436" priority="145227"/>
    <cfRule type="duplicateValues" dxfId="5435" priority="145228"/>
    <cfRule type="duplicateValues" dxfId="5434" priority="145229"/>
    <cfRule type="duplicateValues" dxfId="5433" priority="145230"/>
    <cfRule type="duplicateValues" dxfId="5432" priority="145231"/>
    <cfRule type="duplicateValues" dxfId="5431" priority="145232"/>
    <cfRule type="duplicateValues" dxfId="5430" priority="145233"/>
    <cfRule type="duplicateValues" dxfId="5429" priority="145234"/>
    <cfRule type="duplicateValues" dxfId="5428" priority="145235"/>
    <cfRule type="duplicateValues" dxfId="5427" priority="145236"/>
    <cfRule type="duplicateValues" dxfId="5426" priority="145237"/>
    <cfRule type="duplicateValues" dxfId="5425" priority="145238"/>
    <cfRule type="duplicateValues" dxfId="5424" priority="145239"/>
    <cfRule type="duplicateValues" dxfId="5423" priority="145240"/>
    <cfRule type="duplicateValues" dxfId="5422" priority="145241"/>
    <cfRule type="duplicateValues" dxfId="5421" priority="145242"/>
    <cfRule type="duplicateValues" dxfId="5420" priority="145243"/>
    <cfRule type="duplicateValues" dxfId="5419" priority="145244"/>
    <cfRule type="duplicateValues" dxfId="5418" priority="145245"/>
    <cfRule type="duplicateValues" dxfId="5417" priority="145246"/>
    <cfRule type="duplicateValues" dxfId="5416" priority="145247"/>
    <cfRule type="duplicateValues" dxfId="5415" priority="145248"/>
    <cfRule type="duplicateValues" dxfId="5414" priority="145249"/>
    <cfRule type="duplicateValues" dxfId="5413" priority="145250"/>
    <cfRule type="duplicateValues" dxfId="5412" priority="145251"/>
    <cfRule type="duplicateValues" dxfId="5411" priority="145432"/>
    <cfRule type="duplicateValues" dxfId="5410" priority="145433"/>
    <cfRule type="duplicateValues" dxfId="5409" priority="145434"/>
    <cfRule type="duplicateValues" dxfId="5408" priority="145435"/>
    <cfRule type="duplicateValues" dxfId="5407" priority="145436"/>
    <cfRule type="duplicateValues" dxfId="5406" priority="145437"/>
    <cfRule type="duplicateValues" dxfId="5405" priority="145438"/>
    <cfRule type="duplicateValues" dxfId="5404" priority="145439"/>
    <cfRule type="duplicateValues" dxfId="5403" priority="145440"/>
    <cfRule type="duplicateValues" dxfId="5402" priority="145441"/>
    <cfRule type="duplicateValues" dxfId="5401" priority="145442"/>
    <cfRule type="duplicateValues" dxfId="5400" priority="145443"/>
    <cfRule type="duplicateValues" dxfId="5399" priority="145444"/>
    <cfRule type="duplicateValues" dxfId="5398" priority="145445"/>
    <cfRule type="duplicateValues" dxfId="5397" priority="145446"/>
    <cfRule type="duplicateValues" dxfId="5396" priority="145447"/>
    <cfRule type="duplicateValues" dxfId="5395" priority="145448"/>
    <cfRule type="duplicateValues" dxfId="5394" priority="145449"/>
    <cfRule type="duplicateValues" dxfId="5393" priority="145450"/>
    <cfRule type="duplicateValues" dxfId="5392" priority="145451"/>
    <cfRule type="duplicateValues" dxfId="5391" priority="145452"/>
    <cfRule type="duplicateValues" dxfId="5390" priority="145453"/>
    <cfRule type="duplicateValues" dxfId="5389" priority="145454"/>
    <cfRule type="duplicateValues" dxfId="5388" priority="145455"/>
    <cfRule type="duplicateValues" dxfId="5387" priority="145456"/>
    <cfRule type="duplicateValues" dxfId="5386" priority="145457"/>
    <cfRule type="duplicateValues" dxfId="5385" priority="145458"/>
    <cfRule type="duplicateValues" dxfId="5384" priority="145459"/>
    <cfRule type="duplicateValues" dxfId="5383" priority="145460"/>
    <cfRule type="duplicateValues" dxfId="5382" priority="145461"/>
    <cfRule type="duplicateValues" dxfId="5381" priority="145462"/>
    <cfRule type="duplicateValues" dxfId="5380" priority="145463"/>
    <cfRule type="duplicateValues" dxfId="5379" priority="145464"/>
    <cfRule type="duplicateValues" dxfId="5378" priority="145465"/>
    <cfRule type="duplicateValues" dxfId="5377" priority="145466"/>
    <cfRule type="duplicateValues" dxfId="5376" priority="145467"/>
    <cfRule type="duplicateValues" dxfId="5375" priority="145468"/>
    <cfRule type="duplicateValues" dxfId="5374" priority="145469"/>
    <cfRule type="duplicateValues" dxfId="5373" priority="145470"/>
    <cfRule type="duplicateValues" dxfId="5372" priority="145471"/>
    <cfRule type="duplicateValues" dxfId="5371" priority="145472"/>
    <cfRule type="duplicateValues" dxfId="5370" priority="145473"/>
    <cfRule type="duplicateValues" dxfId="5369" priority="145474"/>
    <cfRule type="duplicateValues" dxfId="5368" priority="145475"/>
    <cfRule type="duplicateValues" dxfId="5367" priority="145476"/>
    <cfRule type="duplicateValues" dxfId="5366" priority="145477"/>
    <cfRule type="duplicateValues" dxfId="5365" priority="145478"/>
    <cfRule type="duplicateValues" dxfId="5364" priority="145479"/>
    <cfRule type="duplicateValues" dxfId="5363" priority="145480"/>
    <cfRule type="duplicateValues" dxfId="5362" priority="145481"/>
    <cfRule type="duplicateValues" dxfId="5361" priority="145482"/>
    <cfRule type="duplicateValues" dxfId="5360" priority="145483"/>
    <cfRule type="duplicateValues" dxfId="5359" priority="145484"/>
    <cfRule type="duplicateValues" dxfId="5358" priority="145485"/>
    <cfRule type="duplicateValues" dxfId="5357" priority="145486"/>
    <cfRule type="duplicateValues" dxfId="5356" priority="145487"/>
    <cfRule type="duplicateValues" dxfId="5355" priority="145488"/>
    <cfRule type="duplicateValues" dxfId="5354" priority="145489"/>
    <cfRule type="duplicateValues" dxfId="5353" priority="145490"/>
    <cfRule type="duplicateValues" dxfId="5352" priority="145491"/>
    <cfRule type="duplicateValues" dxfId="5351" priority="145492"/>
    <cfRule type="duplicateValues" dxfId="5350" priority="145493"/>
    <cfRule type="duplicateValues" dxfId="5349" priority="145494"/>
    <cfRule type="duplicateValues" dxfId="5348" priority="145495"/>
    <cfRule type="duplicateValues" dxfId="5347" priority="145496"/>
    <cfRule type="duplicateValues" dxfId="5346" priority="145497"/>
    <cfRule type="duplicateValues" dxfId="5345" priority="145498"/>
    <cfRule type="duplicateValues" dxfId="5344" priority="145499"/>
    <cfRule type="duplicateValues" dxfId="5343" priority="145500"/>
    <cfRule type="duplicateValues" dxfId="5342" priority="145501"/>
    <cfRule type="duplicateValues" dxfId="5341" priority="145502"/>
    <cfRule type="duplicateValues" dxfId="5340" priority="145503"/>
    <cfRule type="duplicateValues" dxfId="5339" priority="145504"/>
    <cfRule type="duplicateValues" dxfId="5338" priority="145505"/>
    <cfRule type="duplicateValues" dxfId="5337" priority="145506"/>
    <cfRule type="duplicateValues" dxfId="5336" priority="145507"/>
    <cfRule type="duplicateValues" dxfId="5335" priority="145508"/>
    <cfRule type="duplicateValues" dxfId="5334" priority="145509"/>
    <cfRule type="duplicateValues" dxfId="5333" priority="145510"/>
    <cfRule type="duplicateValues" dxfId="5332" priority="145511"/>
    <cfRule type="duplicateValues" dxfId="5331" priority="145512"/>
    <cfRule type="duplicateValues" dxfId="5330" priority="145513"/>
    <cfRule type="duplicateValues" dxfId="5329" priority="145514"/>
    <cfRule type="duplicateValues" dxfId="5328" priority="145515"/>
    <cfRule type="duplicateValues" dxfId="5327" priority="145516"/>
    <cfRule type="duplicateValues" dxfId="5326" priority="145517"/>
    <cfRule type="duplicateValues" dxfId="5325" priority="145518"/>
    <cfRule type="duplicateValues" dxfId="5324" priority="145519"/>
    <cfRule type="duplicateValues" dxfId="5323" priority="145520"/>
    <cfRule type="duplicateValues" dxfId="5322" priority="145521"/>
    <cfRule type="duplicateValues" dxfId="5321" priority="145552"/>
    <cfRule type="duplicateValues" dxfId="5320" priority="145553"/>
    <cfRule type="duplicateValues" dxfId="5319" priority="145554"/>
    <cfRule type="duplicateValues" dxfId="5318" priority="145555"/>
    <cfRule type="duplicateValues" dxfId="5317" priority="145556"/>
    <cfRule type="duplicateValues" dxfId="5316" priority="145557"/>
    <cfRule type="duplicateValues" dxfId="5315" priority="145558"/>
    <cfRule type="duplicateValues" dxfId="5314" priority="145559"/>
    <cfRule type="duplicateValues" dxfId="5313" priority="145560"/>
    <cfRule type="duplicateValues" dxfId="5312" priority="145561"/>
    <cfRule type="duplicateValues" dxfId="5311" priority="145562"/>
    <cfRule type="duplicateValues" dxfId="5310" priority="145563"/>
    <cfRule type="duplicateValues" dxfId="5309" priority="145564"/>
    <cfRule type="duplicateValues" dxfId="5308" priority="145565"/>
    <cfRule type="duplicateValues" dxfId="5307" priority="145566"/>
    <cfRule type="duplicateValues" dxfId="5306" priority="145567"/>
    <cfRule type="duplicateValues" dxfId="5305" priority="145568"/>
    <cfRule type="duplicateValues" dxfId="5304" priority="145569"/>
    <cfRule type="duplicateValues" dxfId="5303" priority="145570"/>
    <cfRule type="duplicateValues" dxfId="5302" priority="145571"/>
    <cfRule type="duplicateValues" dxfId="5301" priority="145572"/>
    <cfRule type="duplicateValues" dxfId="5300" priority="145573"/>
    <cfRule type="duplicateValues" dxfId="5299" priority="145574"/>
    <cfRule type="duplicateValues" dxfId="5298" priority="145575"/>
    <cfRule type="duplicateValues" dxfId="5297" priority="145576"/>
    <cfRule type="duplicateValues" dxfId="5296" priority="145577"/>
    <cfRule type="duplicateValues" dxfId="5295" priority="145578"/>
    <cfRule type="duplicateValues" dxfId="5294" priority="145579"/>
    <cfRule type="duplicateValues" dxfId="5293" priority="145580"/>
    <cfRule type="duplicateValues" dxfId="5292" priority="145581"/>
    <cfRule type="duplicateValues" dxfId="5291" priority="145582"/>
    <cfRule type="duplicateValues" dxfId="5290" priority="145583"/>
    <cfRule type="duplicateValues" dxfId="5289" priority="145584"/>
    <cfRule type="duplicateValues" dxfId="5288" priority="145585"/>
    <cfRule type="duplicateValues" dxfId="5287" priority="145586"/>
    <cfRule type="duplicateValues" dxfId="5286" priority="145587"/>
    <cfRule type="duplicateValues" dxfId="5285" priority="145588"/>
    <cfRule type="duplicateValues" dxfId="5284" priority="145589"/>
    <cfRule type="duplicateValues" dxfId="5283" priority="145590"/>
    <cfRule type="duplicateValues" dxfId="5282" priority="145591"/>
    <cfRule type="duplicateValues" dxfId="5281" priority="145592"/>
    <cfRule type="duplicateValues" dxfId="5280" priority="145593"/>
    <cfRule type="duplicateValues" dxfId="5279" priority="145594"/>
    <cfRule type="duplicateValues" dxfId="5278" priority="145595"/>
    <cfRule type="duplicateValues" dxfId="5277" priority="145596"/>
    <cfRule type="duplicateValues" dxfId="5276" priority="145597"/>
    <cfRule type="duplicateValues" dxfId="5275" priority="145598"/>
    <cfRule type="duplicateValues" dxfId="5274" priority="145599"/>
    <cfRule type="duplicateValues" dxfId="5273" priority="145600"/>
    <cfRule type="duplicateValues" dxfId="5272" priority="145601"/>
    <cfRule type="duplicateValues" dxfId="5271" priority="145602"/>
    <cfRule type="duplicateValues" dxfId="5270" priority="145603"/>
    <cfRule type="duplicateValues" dxfId="5269" priority="145604"/>
    <cfRule type="duplicateValues" dxfId="5268" priority="145605"/>
    <cfRule type="duplicateValues" dxfId="5267" priority="145606"/>
    <cfRule type="duplicateValues" dxfId="5266" priority="145607"/>
    <cfRule type="duplicateValues" dxfId="5265" priority="145608"/>
    <cfRule type="duplicateValues" dxfId="5264" priority="145609"/>
    <cfRule type="duplicateValues" dxfId="5263" priority="145610"/>
    <cfRule type="duplicateValues" dxfId="5262" priority="145611"/>
    <cfRule type="duplicateValues" dxfId="5261" priority="147313"/>
    <cfRule type="duplicateValues" dxfId="5260" priority="145732"/>
    <cfRule type="duplicateValues" dxfId="5259" priority="145733"/>
    <cfRule type="duplicateValues" dxfId="5258" priority="145734"/>
    <cfRule type="duplicateValues" dxfId="5257" priority="145735"/>
    <cfRule type="duplicateValues" dxfId="5256" priority="145736"/>
    <cfRule type="duplicateValues" dxfId="5255" priority="145737"/>
    <cfRule type="duplicateValues" dxfId="5254" priority="145738"/>
    <cfRule type="duplicateValues" dxfId="5253" priority="145739"/>
    <cfRule type="duplicateValues" dxfId="5252" priority="145740"/>
    <cfRule type="duplicateValues" dxfId="5251" priority="145741"/>
    <cfRule type="duplicateValues" dxfId="5250" priority="145742"/>
    <cfRule type="duplicateValues" dxfId="5249" priority="145743"/>
    <cfRule type="duplicateValues" dxfId="5248" priority="145744"/>
    <cfRule type="duplicateValues" dxfId="5247" priority="145745"/>
    <cfRule type="duplicateValues" dxfId="5246" priority="145746"/>
    <cfRule type="duplicateValues" dxfId="5245" priority="145747"/>
    <cfRule type="duplicateValues" dxfId="5244" priority="145748"/>
    <cfRule type="duplicateValues" dxfId="5243" priority="145749"/>
    <cfRule type="duplicateValues" dxfId="5242" priority="145750"/>
    <cfRule type="duplicateValues" dxfId="5241" priority="145751"/>
    <cfRule type="duplicateValues" dxfId="5240" priority="145752"/>
    <cfRule type="duplicateValues" dxfId="5239" priority="145753"/>
    <cfRule type="duplicateValues" dxfId="5238" priority="145754"/>
    <cfRule type="duplicateValues" dxfId="5237" priority="145755"/>
    <cfRule type="duplicateValues" dxfId="5236" priority="145756"/>
    <cfRule type="duplicateValues" dxfId="5235" priority="145757"/>
    <cfRule type="duplicateValues" dxfId="5234" priority="145758"/>
    <cfRule type="duplicateValues" dxfId="5233" priority="145759"/>
    <cfRule type="duplicateValues" dxfId="5232" priority="145760"/>
    <cfRule type="duplicateValues" dxfId="5231" priority="145761"/>
    <cfRule type="duplicateValues" dxfId="5230" priority="145762"/>
    <cfRule type="duplicateValues" dxfId="5229" priority="145763"/>
    <cfRule type="duplicateValues" dxfId="5228" priority="145764"/>
    <cfRule type="duplicateValues" dxfId="5227" priority="145765"/>
    <cfRule type="duplicateValues" dxfId="5226" priority="145766"/>
    <cfRule type="duplicateValues" dxfId="5225" priority="145767"/>
    <cfRule type="duplicateValues" dxfId="5224" priority="145768"/>
    <cfRule type="duplicateValues" dxfId="5223" priority="145769"/>
    <cfRule type="duplicateValues" dxfId="5222" priority="145770"/>
    <cfRule type="duplicateValues" dxfId="5221" priority="145771"/>
    <cfRule type="duplicateValues" dxfId="5220" priority="145772"/>
    <cfRule type="duplicateValues" dxfId="5219" priority="145773"/>
    <cfRule type="duplicateValues" dxfId="5218" priority="145774"/>
    <cfRule type="duplicateValues" dxfId="5217" priority="145775"/>
    <cfRule type="duplicateValues" dxfId="5216" priority="145776"/>
    <cfRule type="duplicateValues" dxfId="5215" priority="145777"/>
    <cfRule type="duplicateValues" dxfId="5214" priority="145778"/>
    <cfRule type="duplicateValues" dxfId="5213" priority="145779"/>
    <cfRule type="duplicateValues" dxfId="5212" priority="145781"/>
    <cfRule type="duplicateValues" dxfId="5211" priority="145782"/>
    <cfRule type="duplicateValues" dxfId="5210" priority="145783"/>
    <cfRule type="duplicateValues" dxfId="5209" priority="145784"/>
    <cfRule type="duplicateValues" dxfId="5208" priority="145785"/>
    <cfRule type="duplicateValues" dxfId="5207" priority="145786"/>
    <cfRule type="duplicateValues" dxfId="5206" priority="145787"/>
    <cfRule type="duplicateValues" dxfId="5205" priority="145788"/>
    <cfRule type="duplicateValues" dxfId="5204" priority="145789"/>
    <cfRule type="duplicateValues" dxfId="5203" priority="145791"/>
    <cfRule type="duplicateValues" dxfId="5202" priority="146092"/>
    <cfRule type="duplicateValues" dxfId="5201" priority="146093"/>
    <cfRule type="duplicateValues" dxfId="5200" priority="146094"/>
    <cfRule type="duplicateValues" dxfId="5199" priority="146095"/>
    <cfRule type="duplicateValues" dxfId="5198" priority="146096"/>
    <cfRule type="duplicateValues" dxfId="5197" priority="146097"/>
    <cfRule type="duplicateValues" dxfId="5196" priority="146098"/>
    <cfRule type="duplicateValues" dxfId="5195" priority="146099"/>
    <cfRule type="duplicateValues" dxfId="5194" priority="146100"/>
    <cfRule type="duplicateValues" dxfId="5193" priority="146101"/>
    <cfRule type="duplicateValues" dxfId="5192" priority="146102"/>
    <cfRule type="duplicateValues" dxfId="5191" priority="146103"/>
    <cfRule type="duplicateValues" dxfId="5190" priority="146104"/>
    <cfRule type="duplicateValues" dxfId="5189" priority="146105"/>
    <cfRule type="duplicateValues" dxfId="5188" priority="146106"/>
    <cfRule type="duplicateValues" dxfId="5187" priority="146107"/>
    <cfRule type="duplicateValues" dxfId="5186" priority="146108"/>
    <cfRule type="duplicateValues" dxfId="5185" priority="146109"/>
    <cfRule type="duplicateValues" dxfId="5184" priority="146110"/>
    <cfRule type="duplicateValues" dxfId="5183" priority="146111"/>
    <cfRule type="duplicateValues" dxfId="5182" priority="146112"/>
    <cfRule type="duplicateValues" dxfId="5181" priority="146113"/>
    <cfRule type="duplicateValues" dxfId="5180" priority="146114"/>
    <cfRule type="duplicateValues" dxfId="5179" priority="146115"/>
    <cfRule type="duplicateValues" dxfId="5178" priority="146116"/>
    <cfRule type="duplicateValues" dxfId="5177" priority="146117"/>
    <cfRule type="duplicateValues" dxfId="5176" priority="146118"/>
    <cfRule type="duplicateValues" dxfId="5175" priority="146119"/>
    <cfRule type="duplicateValues" dxfId="5174" priority="146120"/>
    <cfRule type="duplicateValues" dxfId="5173" priority="146121"/>
    <cfRule type="duplicateValues" dxfId="5172" priority="146122"/>
    <cfRule type="duplicateValues" dxfId="5171" priority="146123"/>
    <cfRule type="duplicateValues" dxfId="5170" priority="146124"/>
    <cfRule type="duplicateValues" dxfId="5169" priority="146125"/>
    <cfRule type="duplicateValues" dxfId="5168" priority="146126"/>
    <cfRule type="duplicateValues" dxfId="5167" priority="146127"/>
    <cfRule type="duplicateValues" dxfId="5166" priority="146128"/>
    <cfRule type="duplicateValues" dxfId="5165" priority="146129"/>
    <cfRule type="duplicateValues" dxfId="5164" priority="146130"/>
    <cfRule type="duplicateValues" dxfId="5163" priority="146131"/>
    <cfRule type="duplicateValues" dxfId="5162" priority="146132"/>
    <cfRule type="duplicateValues" dxfId="5161" priority="146133"/>
    <cfRule type="duplicateValues" dxfId="5160" priority="146134"/>
    <cfRule type="duplicateValues" dxfId="5159" priority="146135"/>
    <cfRule type="duplicateValues" dxfId="5158" priority="146136"/>
    <cfRule type="duplicateValues" dxfId="5157" priority="146137"/>
    <cfRule type="duplicateValues" dxfId="5156" priority="146138"/>
    <cfRule type="duplicateValues" dxfId="5155" priority="146139"/>
    <cfRule type="duplicateValues" dxfId="5154" priority="146140"/>
    <cfRule type="duplicateValues" dxfId="5153" priority="146141"/>
    <cfRule type="duplicateValues" dxfId="5152" priority="146142"/>
    <cfRule type="duplicateValues" dxfId="5151" priority="146143"/>
    <cfRule type="duplicateValues" dxfId="5150" priority="146144"/>
    <cfRule type="duplicateValues" dxfId="5149" priority="146145"/>
    <cfRule type="duplicateValues" dxfId="5148" priority="146146"/>
    <cfRule type="duplicateValues" dxfId="5147" priority="146147"/>
    <cfRule type="duplicateValues" dxfId="5146" priority="146148"/>
    <cfRule type="duplicateValues" dxfId="5145" priority="146149"/>
    <cfRule type="duplicateValues" dxfId="5144" priority="146150"/>
    <cfRule type="duplicateValues" dxfId="5143" priority="146151"/>
    <cfRule type="duplicateValues" dxfId="5142" priority="146152"/>
    <cfRule type="duplicateValues" dxfId="5141" priority="146153"/>
    <cfRule type="duplicateValues" dxfId="5140" priority="146154"/>
    <cfRule type="duplicateValues" dxfId="5139" priority="146155"/>
    <cfRule type="duplicateValues" dxfId="5138" priority="146156"/>
    <cfRule type="duplicateValues" dxfId="5137" priority="146157"/>
    <cfRule type="duplicateValues" dxfId="5136" priority="146158"/>
    <cfRule type="duplicateValues" dxfId="5135" priority="146159"/>
    <cfRule type="duplicateValues" dxfId="5134" priority="146160"/>
    <cfRule type="duplicateValues" dxfId="5133" priority="146161"/>
    <cfRule type="duplicateValues" dxfId="5132" priority="146162"/>
    <cfRule type="duplicateValues" dxfId="5131" priority="146163"/>
    <cfRule type="duplicateValues" dxfId="5130" priority="146164"/>
    <cfRule type="duplicateValues" dxfId="5129" priority="146165"/>
    <cfRule type="duplicateValues" dxfId="5128" priority="146166"/>
    <cfRule type="duplicateValues" dxfId="5127" priority="146167"/>
    <cfRule type="duplicateValues" dxfId="5126" priority="146168"/>
    <cfRule type="duplicateValues" dxfId="5125" priority="146169"/>
    <cfRule type="duplicateValues" dxfId="5124" priority="146170"/>
    <cfRule type="duplicateValues" dxfId="5123" priority="146171"/>
    <cfRule type="duplicateValues" dxfId="5122" priority="146172"/>
    <cfRule type="duplicateValues" dxfId="5121" priority="146173"/>
    <cfRule type="duplicateValues" dxfId="5120" priority="146174"/>
    <cfRule type="duplicateValues" dxfId="5119" priority="146175"/>
    <cfRule type="duplicateValues" dxfId="5118" priority="146176"/>
    <cfRule type="duplicateValues" dxfId="5117" priority="146177"/>
    <cfRule type="duplicateValues" dxfId="5116" priority="146178"/>
    <cfRule type="duplicateValues" dxfId="5115" priority="146179"/>
    <cfRule type="duplicateValues" dxfId="5114" priority="146180"/>
    <cfRule type="duplicateValues" dxfId="5113" priority="146181"/>
    <cfRule type="duplicateValues" dxfId="5112" priority="146182"/>
    <cfRule type="duplicateValues" dxfId="5111" priority="146183"/>
    <cfRule type="duplicateValues" dxfId="5110" priority="146184"/>
    <cfRule type="duplicateValues" dxfId="5109" priority="146185"/>
    <cfRule type="duplicateValues" dxfId="5108" priority="146186"/>
    <cfRule type="duplicateValues" dxfId="5107" priority="146187"/>
    <cfRule type="duplicateValues" dxfId="5106" priority="146188"/>
    <cfRule type="duplicateValues" dxfId="5105" priority="146189"/>
    <cfRule type="duplicateValues" dxfId="5104" priority="146190"/>
    <cfRule type="duplicateValues" dxfId="5103" priority="146191"/>
    <cfRule type="duplicateValues" dxfId="5102" priority="146192"/>
    <cfRule type="duplicateValues" dxfId="5101" priority="146193"/>
    <cfRule type="duplicateValues" dxfId="5100" priority="146194"/>
    <cfRule type="duplicateValues" dxfId="5099" priority="146195"/>
    <cfRule type="duplicateValues" dxfId="5098" priority="146196"/>
    <cfRule type="duplicateValues" dxfId="5097" priority="146197"/>
    <cfRule type="duplicateValues" dxfId="5096" priority="146198"/>
    <cfRule type="duplicateValues" dxfId="5095" priority="146199"/>
    <cfRule type="duplicateValues" dxfId="5094" priority="146200"/>
    <cfRule type="duplicateValues" dxfId="5093" priority="146201"/>
    <cfRule type="duplicateValues" dxfId="5092" priority="146202"/>
    <cfRule type="duplicateValues" dxfId="5091" priority="146203"/>
    <cfRule type="duplicateValues" dxfId="5090" priority="146204"/>
    <cfRule type="duplicateValues" dxfId="5089" priority="146205"/>
    <cfRule type="duplicateValues" dxfId="5088" priority="146206"/>
    <cfRule type="duplicateValues" dxfId="5087" priority="146207"/>
    <cfRule type="duplicateValues" dxfId="5086" priority="146208"/>
    <cfRule type="duplicateValues" dxfId="5085" priority="146209"/>
    <cfRule type="duplicateValues" dxfId="5084" priority="146210"/>
    <cfRule type="duplicateValues" dxfId="5083" priority="146211"/>
    <cfRule type="duplicateValues" dxfId="5082" priority="146242"/>
    <cfRule type="duplicateValues" dxfId="5081" priority="146243"/>
    <cfRule type="duplicateValues" dxfId="5080" priority="146244"/>
    <cfRule type="duplicateValues" dxfId="5079" priority="146245"/>
    <cfRule type="duplicateValues" dxfId="5078" priority="146246"/>
    <cfRule type="duplicateValues" dxfId="5077" priority="146247"/>
    <cfRule type="duplicateValues" dxfId="5076" priority="146248"/>
    <cfRule type="duplicateValues" dxfId="5075" priority="146249"/>
    <cfRule type="duplicateValues" dxfId="5074" priority="146250"/>
    <cfRule type="duplicateValues" dxfId="5073" priority="146251"/>
    <cfRule type="duplicateValues" dxfId="5072" priority="146252"/>
    <cfRule type="duplicateValues" dxfId="5071" priority="146253"/>
    <cfRule type="duplicateValues" dxfId="5070" priority="146254"/>
    <cfRule type="duplicateValues" dxfId="5069" priority="146255"/>
    <cfRule type="duplicateValues" dxfId="5068" priority="146256"/>
    <cfRule type="duplicateValues" dxfId="5067" priority="146257"/>
    <cfRule type="duplicateValues" dxfId="5066" priority="146258"/>
    <cfRule type="duplicateValues" dxfId="5065" priority="146259"/>
    <cfRule type="duplicateValues" dxfId="5064" priority="146260"/>
    <cfRule type="duplicateValues" dxfId="5063" priority="146261"/>
    <cfRule type="duplicateValues" dxfId="5062" priority="146262"/>
    <cfRule type="duplicateValues" dxfId="5061" priority="146263"/>
    <cfRule type="duplicateValues" dxfId="5060" priority="146264"/>
    <cfRule type="duplicateValues" dxfId="5059" priority="146265"/>
    <cfRule type="duplicateValues" dxfId="5058" priority="146266"/>
    <cfRule type="duplicateValues" dxfId="5057" priority="146267"/>
    <cfRule type="duplicateValues" dxfId="5056" priority="146268"/>
    <cfRule type="duplicateValues" dxfId="5055" priority="146269"/>
    <cfRule type="duplicateValues" dxfId="5054" priority="146270"/>
    <cfRule type="duplicateValues" dxfId="5053" priority="146271"/>
    <cfRule type="duplicateValues" dxfId="5052" priority="146272"/>
    <cfRule type="duplicateValues" dxfId="5051" priority="146273"/>
    <cfRule type="duplicateValues" dxfId="5050" priority="146274"/>
    <cfRule type="duplicateValues" dxfId="5049" priority="146275"/>
    <cfRule type="duplicateValues" dxfId="5048" priority="146276"/>
    <cfRule type="duplicateValues" dxfId="5047" priority="146277"/>
    <cfRule type="duplicateValues" dxfId="5046" priority="146278"/>
    <cfRule type="duplicateValues" dxfId="5045" priority="146279"/>
    <cfRule type="duplicateValues" dxfId="5044" priority="146280"/>
    <cfRule type="duplicateValues" dxfId="5043" priority="146281"/>
    <cfRule type="duplicateValues" dxfId="5042" priority="146282"/>
    <cfRule type="duplicateValues" dxfId="5041" priority="146283"/>
    <cfRule type="duplicateValues" dxfId="5040" priority="146284"/>
    <cfRule type="duplicateValues" dxfId="5039" priority="146285"/>
    <cfRule type="duplicateValues" dxfId="5038" priority="146286"/>
    <cfRule type="duplicateValues" dxfId="5037" priority="146287"/>
    <cfRule type="duplicateValues" dxfId="5036" priority="146288"/>
    <cfRule type="duplicateValues" dxfId="5035" priority="146289"/>
    <cfRule type="duplicateValues" dxfId="5034" priority="146290"/>
    <cfRule type="duplicateValues" dxfId="5033" priority="146291"/>
    <cfRule type="duplicateValues" dxfId="5032" priority="146292"/>
    <cfRule type="duplicateValues" dxfId="5031" priority="146293"/>
    <cfRule type="duplicateValues" dxfId="5030" priority="146294"/>
    <cfRule type="duplicateValues" dxfId="5029" priority="146295"/>
    <cfRule type="duplicateValues" dxfId="5028" priority="146296"/>
    <cfRule type="duplicateValues" dxfId="5027" priority="146297"/>
    <cfRule type="duplicateValues" dxfId="5026" priority="146298"/>
    <cfRule type="duplicateValues" dxfId="5025" priority="146299"/>
    <cfRule type="duplicateValues" dxfId="5024" priority="146300"/>
    <cfRule type="duplicateValues" dxfId="5023" priority="146301"/>
    <cfRule type="duplicateValues" dxfId="5022" priority="146302"/>
    <cfRule type="duplicateValues" dxfId="5021" priority="146303"/>
    <cfRule type="duplicateValues" dxfId="5020" priority="146304"/>
    <cfRule type="duplicateValues" dxfId="5019" priority="146305"/>
    <cfRule type="duplicateValues" dxfId="5018" priority="146306"/>
    <cfRule type="duplicateValues" dxfId="5017" priority="146307"/>
    <cfRule type="duplicateValues" dxfId="5016" priority="146308"/>
    <cfRule type="duplicateValues" dxfId="5015" priority="146309"/>
    <cfRule type="duplicateValues" dxfId="5014" priority="146310"/>
    <cfRule type="duplicateValues" dxfId="5013" priority="146311"/>
    <cfRule type="duplicateValues" dxfId="5012" priority="146312"/>
    <cfRule type="duplicateValues" dxfId="5011" priority="146313"/>
    <cfRule type="duplicateValues" dxfId="5010" priority="146314"/>
    <cfRule type="duplicateValues" dxfId="5009" priority="146315"/>
    <cfRule type="duplicateValues" dxfId="5008" priority="146316"/>
    <cfRule type="duplicateValues" dxfId="5007" priority="146317"/>
    <cfRule type="duplicateValues" dxfId="5006" priority="146318"/>
    <cfRule type="duplicateValues" dxfId="5005" priority="146319"/>
    <cfRule type="duplicateValues" dxfId="5004" priority="146320"/>
    <cfRule type="duplicateValues" dxfId="5003" priority="146321"/>
    <cfRule type="duplicateValues" dxfId="5002" priority="146322"/>
    <cfRule type="duplicateValues" dxfId="5001" priority="146323"/>
    <cfRule type="duplicateValues" dxfId="5000" priority="146324"/>
    <cfRule type="duplicateValues" dxfId="4999" priority="146325"/>
    <cfRule type="duplicateValues" dxfId="4998" priority="146326"/>
    <cfRule type="duplicateValues" dxfId="4997" priority="146327"/>
    <cfRule type="duplicateValues" dxfId="4996" priority="146328"/>
    <cfRule type="duplicateValues" dxfId="4995" priority="146329"/>
    <cfRule type="duplicateValues" dxfId="4994" priority="146330"/>
    <cfRule type="duplicateValues" dxfId="4993" priority="146331"/>
    <cfRule type="duplicateValues" dxfId="4992" priority="146362"/>
    <cfRule type="duplicateValues" dxfId="4991" priority="146363"/>
    <cfRule type="duplicateValues" dxfId="4990" priority="146364"/>
    <cfRule type="duplicateValues" dxfId="4989" priority="146365"/>
    <cfRule type="duplicateValues" dxfId="4988" priority="146366"/>
    <cfRule type="duplicateValues" dxfId="4987" priority="146367"/>
    <cfRule type="duplicateValues" dxfId="4986" priority="146368"/>
    <cfRule type="duplicateValues" dxfId="4985" priority="146369"/>
    <cfRule type="duplicateValues" dxfId="4984" priority="146370"/>
    <cfRule type="duplicateValues" dxfId="4983" priority="146371"/>
    <cfRule type="duplicateValues" dxfId="4982" priority="146372"/>
    <cfRule type="duplicateValues" dxfId="4981" priority="146373"/>
    <cfRule type="duplicateValues" dxfId="4980" priority="146374"/>
    <cfRule type="duplicateValues" dxfId="4979" priority="146375"/>
    <cfRule type="duplicateValues" dxfId="4978" priority="146376"/>
    <cfRule type="duplicateValues" dxfId="4977" priority="146377"/>
    <cfRule type="duplicateValues" dxfId="4976" priority="146378"/>
    <cfRule type="duplicateValues" dxfId="4975" priority="146379"/>
    <cfRule type="duplicateValues" dxfId="4974" priority="146380"/>
    <cfRule type="duplicateValues" dxfId="4973" priority="146381"/>
    <cfRule type="duplicateValues" dxfId="4972" priority="146382"/>
    <cfRule type="duplicateValues" dxfId="4971" priority="146383"/>
    <cfRule type="duplicateValues" dxfId="4970" priority="146384"/>
    <cfRule type="duplicateValues" dxfId="4969" priority="146385"/>
    <cfRule type="duplicateValues" dxfId="4968" priority="146386"/>
    <cfRule type="duplicateValues" dxfId="4967" priority="146387"/>
    <cfRule type="duplicateValues" dxfId="4966" priority="146388"/>
    <cfRule type="duplicateValues" dxfId="4965" priority="146389"/>
    <cfRule type="duplicateValues" dxfId="4964" priority="146390"/>
    <cfRule type="duplicateValues" dxfId="4963" priority="146391"/>
    <cfRule type="duplicateValues" dxfId="4962" priority="146392"/>
    <cfRule type="duplicateValues" dxfId="4961" priority="146393"/>
    <cfRule type="duplicateValues" dxfId="4960" priority="146394"/>
    <cfRule type="duplicateValues" dxfId="4959" priority="146395"/>
    <cfRule type="duplicateValues" dxfId="4958" priority="146396"/>
    <cfRule type="duplicateValues" dxfId="4957" priority="146397"/>
    <cfRule type="duplicateValues" dxfId="4956" priority="146398"/>
    <cfRule type="duplicateValues" dxfId="4955" priority="146399"/>
    <cfRule type="duplicateValues" dxfId="4954" priority="146400"/>
    <cfRule type="duplicateValues" dxfId="4953" priority="146401"/>
    <cfRule type="duplicateValues" dxfId="4952" priority="146402"/>
    <cfRule type="duplicateValues" dxfId="4951" priority="146403"/>
    <cfRule type="duplicateValues" dxfId="4950" priority="146404"/>
    <cfRule type="duplicateValues" dxfId="4949" priority="146405"/>
    <cfRule type="duplicateValues" dxfId="4948" priority="146406"/>
    <cfRule type="duplicateValues" dxfId="4947" priority="146407"/>
    <cfRule type="duplicateValues" dxfId="4946" priority="146408"/>
    <cfRule type="duplicateValues" dxfId="4945" priority="146409"/>
    <cfRule type="duplicateValues" dxfId="4944" priority="146410"/>
    <cfRule type="duplicateValues" dxfId="4943" priority="146411"/>
    <cfRule type="duplicateValues" dxfId="4942" priority="146412"/>
    <cfRule type="duplicateValues" dxfId="4941" priority="146413"/>
    <cfRule type="duplicateValues" dxfId="4940" priority="146414"/>
    <cfRule type="duplicateValues" dxfId="4939" priority="146415"/>
    <cfRule type="duplicateValues" dxfId="4938" priority="146416"/>
    <cfRule type="duplicateValues" dxfId="4937" priority="146417"/>
    <cfRule type="duplicateValues" dxfId="4936" priority="146418"/>
    <cfRule type="duplicateValues" dxfId="4935" priority="146419"/>
    <cfRule type="duplicateValues" dxfId="4934" priority="146420"/>
    <cfRule type="duplicateValues" dxfId="4933" priority="146421"/>
    <cfRule type="duplicateValues" dxfId="4932" priority="146542"/>
    <cfRule type="duplicateValues" dxfId="4931" priority="146543"/>
    <cfRule type="duplicateValues" dxfId="4930" priority="146544"/>
    <cfRule type="duplicateValues" dxfId="4929" priority="146545"/>
    <cfRule type="duplicateValues" dxfId="4928" priority="146546"/>
    <cfRule type="duplicateValues" dxfId="4927" priority="146547"/>
    <cfRule type="duplicateValues" dxfId="4926" priority="146548"/>
    <cfRule type="duplicateValues" dxfId="4925" priority="146549"/>
    <cfRule type="duplicateValues" dxfId="4924" priority="146550"/>
    <cfRule type="duplicateValues" dxfId="4923" priority="146551"/>
    <cfRule type="duplicateValues" dxfId="4922" priority="146552"/>
    <cfRule type="duplicateValues" dxfId="4921" priority="146553"/>
    <cfRule type="duplicateValues" dxfId="4920" priority="146554"/>
    <cfRule type="duplicateValues" dxfId="4919" priority="146555"/>
    <cfRule type="duplicateValues" dxfId="4918" priority="146556"/>
    <cfRule type="duplicateValues" dxfId="4917" priority="146557"/>
    <cfRule type="duplicateValues" dxfId="4916" priority="146558"/>
    <cfRule type="duplicateValues" dxfId="4915" priority="146559"/>
    <cfRule type="duplicateValues" dxfId="4914" priority="146560"/>
    <cfRule type="duplicateValues" dxfId="4913" priority="146561"/>
    <cfRule type="duplicateValues" dxfId="4912" priority="146562"/>
    <cfRule type="duplicateValues" dxfId="4911" priority="146563"/>
    <cfRule type="duplicateValues" dxfId="4910" priority="146564"/>
    <cfRule type="duplicateValues" dxfId="4909" priority="146565"/>
    <cfRule type="duplicateValues" dxfId="4908" priority="146566"/>
    <cfRule type="duplicateValues" dxfId="4907" priority="146567"/>
    <cfRule type="duplicateValues" dxfId="4906" priority="146568"/>
    <cfRule type="duplicateValues" dxfId="4905" priority="146569"/>
    <cfRule type="duplicateValues" dxfId="4904" priority="146570"/>
    <cfRule type="duplicateValues" dxfId="4903" priority="146571"/>
    <cfRule type="duplicateValues" dxfId="4902" priority="146572"/>
    <cfRule type="duplicateValues" dxfId="4901" priority="146573"/>
    <cfRule type="duplicateValues" dxfId="4900" priority="146574"/>
    <cfRule type="duplicateValues" dxfId="4899" priority="146575"/>
    <cfRule type="duplicateValues" dxfId="4898" priority="146576"/>
    <cfRule type="duplicateValues" dxfId="4897" priority="146577"/>
    <cfRule type="duplicateValues" dxfId="4896" priority="146578"/>
    <cfRule type="duplicateValues" dxfId="4895" priority="146579"/>
    <cfRule type="duplicateValues" dxfId="4894" priority="146580"/>
    <cfRule type="duplicateValues" dxfId="4893" priority="146581"/>
    <cfRule type="duplicateValues" dxfId="4892" priority="146582"/>
    <cfRule type="duplicateValues" dxfId="4891" priority="146583"/>
    <cfRule type="duplicateValues" dxfId="4890" priority="146584"/>
    <cfRule type="duplicateValues" dxfId="4889" priority="146585"/>
    <cfRule type="duplicateValues" dxfId="4888" priority="146586"/>
    <cfRule type="duplicateValues" dxfId="4887" priority="146587"/>
    <cfRule type="duplicateValues" dxfId="4886" priority="146588"/>
    <cfRule type="duplicateValues" dxfId="4885" priority="146589"/>
    <cfRule type="duplicateValues" dxfId="4884" priority="146590"/>
    <cfRule type="duplicateValues" dxfId="4883" priority="146591"/>
    <cfRule type="duplicateValues" dxfId="4882" priority="146592"/>
    <cfRule type="duplicateValues" dxfId="4881" priority="146593"/>
    <cfRule type="duplicateValues" dxfId="4880" priority="146594"/>
    <cfRule type="duplicateValues" dxfId="4879" priority="146595"/>
    <cfRule type="duplicateValues" dxfId="4878" priority="146596"/>
    <cfRule type="duplicateValues" dxfId="4877" priority="146597"/>
    <cfRule type="duplicateValues" dxfId="4876" priority="146598"/>
    <cfRule type="duplicateValues" dxfId="4875" priority="146599"/>
    <cfRule type="duplicateValues" dxfId="4874" priority="146600"/>
    <cfRule type="duplicateValues" dxfId="4873" priority="146601"/>
    <cfRule type="duplicateValues" dxfId="4872" priority="146602"/>
    <cfRule type="duplicateValues" dxfId="4871" priority="146603"/>
    <cfRule type="duplicateValues" dxfId="4870" priority="146604"/>
    <cfRule type="duplicateValues" dxfId="4869" priority="146605"/>
    <cfRule type="duplicateValues" dxfId="4868" priority="146606"/>
    <cfRule type="duplicateValues" dxfId="4867" priority="146607"/>
    <cfRule type="duplicateValues" dxfId="4866" priority="146608"/>
    <cfRule type="duplicateValues" dxfId="4865" priority="146609"/>
    <cfRule type="duplicateValues" dxfId="4864" priority="146610"/>
    <cfRule type="duplicateValues" dxfId="4863" priority="146611"/>
    <cfRule type="duplicateValues" dxfId="4862" priority="146612"/>
    <cfRule type="duplicateValues" dxfId="4861" priority="146613"/>
    <cfRule type="duplicateValues" dxfId="4860" priority="146614"/>
    <cfRule type="duplicateValues" dxfId="4859" priority="146615"/>
    <cfRule type="duplicateValues" dxfId="4858" priority="146616"/>
    <cfRule type="duplicateValues" dxfId="4857" priority="146617"/>
    <cfRule type="duplicateValues" dxfId="4856" priority="146618"/>
    <cfRule type="duplicateValues" dxfId="4855" priority="146619"/>
    <cfRule type="duplicateValues" dxfId="4854" priority="146620"/>
    <cfRule type="duplicateValues" dxfId="4853" priority="146621"/>
    <cfRule type="duplicateValues" dxfId="4852" priority="146622"/>
    <cfRule type="duplicateValues" dxfId="4851" priority="146623"/>
    <cfRule type="duplicateValues" dxfId="4850" priority="146624"/>
    <cfRule type="duplicateValues" dxfId="4849" priority="146625"/>
    <cfRule type="duplicateValues" dxfId="4848" priority="146626"/>
    <cfRule type="duplicateValues" dxfId="4847" priority="146627"/>
    <cfRule type="duplicateValues" dxfId="4846" priority="146628"/>
    <cfRule type="duplicateValues" dxfId="4845" priority="146629"/>
    <cfRule type="duplicateValues" dxfId="4844" priority="146630"/>
    <cfRule type="duplicateValues" dxfId="4843" priority="146631"/>
    <cfRule type="duplicateValues" dxfId="4842" priority="146662"/>
    <cfRule type="duplicateValues" dxfId="4841" priority="146663"/>
    <cfRule type="duplicateValues" dxfId="4840" priority="146664"/>
    <cfRule type="duplicateValues" dxfId="4839" priority="146665"/>
    <cfRule type="duplicateValues" dxfId="4838" priority="146666"/>
    <cfRule type="duplicateValues" dxfId="4837" priority="146667"/>
    <cfRule type="duplicateValues" dxfId="4836" priority="146668"/>
    <cfRule type="duplicateValues" dxfId="4835" priority="146669"/>
    <cfRule type="duplicateValues" dxfId="4834" priority="146670"/>
    <cfRule type="duplicateValues" dxfId="4833" priority="146671"/>
    <cfRule type="duplicateValues" dxfId="4832" priority="146672"/>
    <cfRule type="duplicateValues" dxfId="4831" priority="146673"/>
    <cfRule type="duplicateValues" dxfId="4830" priority="146674"/>
    <cfRule type="duplicateValues" dxfId="4829" priority="146675"/>
    <cfRule type="duplicateValues" dxfId="4828" priority="146676"/>
    <cfRule type="duplicateValues" dxfId="4827" priority="146677"/>
    <cfRule type="duplicateValues" dxfId="4826" priority="146678"/>
    <cfRule type="duplicateValues" dxfId="4825" priority="146679"/>
    <cfRule type="duplicateValues" dxfId="4824" priority="146680"/>
    <cfRule type="duplicateValues" dxfId="4823" priority="146681"/>
    <cfRule type="duplicateValues" dxfId="4822" priority="146682"/>
    <cfRule type="duplicateValues" dxfId="4821" priority="146683"/>
    <cfRule type="duplicateValues" dxfId="4820" priority="146684"/>
    <cfRule type="duplicateValues" dxfId="4819" priority="146685"/>
    <cfRule type="duplicateValues" dxfId="4818" priority="146686"/>
    <cfRule type="duplicateValues" dxfId="4817" priority="146687"/>
    <cfRule type="duplicateValues" dxfId="4816" priority="146688"/>
    <cfRule type="duplicateValues" dxfId="4815" priority="146689"/>
    <cfRule type="duplicateValues" dxfId="4814" priority="146690"/>
    <cfRule type="duplicateValues" dxfId="4813" priority="146691"/>
    <cfRule type="duplicateValues" dxfId="4812" priority="146692"/>
    <cfRule type="duplicateValues" dxfId="4811" priority="146693"/>
    <cfRule type="duplicateValues" dxfId="4810" priority="146694"/>
    <cfRule type="duplicateValues" dxfId="4809" priority="146695"/>
    <cfRule type="duplicateValues" dxfId="4808" priority="144483"/>
    <cfRule type="duplicateValues" dxfId="4807" priority="146696"/>
    <cfRule type="duplicateValues" dxfId="4806" priority="146697"/>
    <cfRule type="duplicateValues" dxfId="4805" priority="146698"/>
    <cfRule type="duplicateValues" dxfId="4804" priority="146699"/>
    <cfRule type="duplicateValues" dxfId="4803" priority="146700"/>
    <cfRule type="duplicateValues" dxfId="4802" priority="146701"/>
    <cfRule type="duplicateValues" dxfId="4801" priority="146702"/>
    <cfRule type="duplicateValues" dxfId="4800" priority="146703"/>
    <cfRule type="duplicateValues" dxfId="4799" priority="146704"/>
    <cfRule type="duplicateValues" dxfId="4798" priority="146705"/>
    <cfRule type="duplicateValues" dxfId="4797" priority="146706"/>
    <cfRule type="duplicateValues" dxfId="4796" priority="146707"/>
    <cfRule type="duplicateValues" dxfId="4795" priority="146708"/>
    <cfRule type="duplicateValues" dxfId="4794" priority="146709"/>
    <cfRule type="duplicateValues" dxfId="4793" priority="146710"/>
    <cfRule type="duplicateValues" dxfId="4792" priority="146711"/>
    <cfRule type="duplicateValues" dxfId="4791" priority="146712"/>
    <cfRule type="duplicateValues" dxfId="4790" priority="146713"/>
    <cfRule type="duplicateValues" dxfId="4789" priority="146714"/>
    <cfRule type="duplicateValues" dxfId="4788" priority="146715"/>
    <cfRule type="duplicateValues" dxfId="4787" priority="146716"/>
    <cfRule type="duplicateValues" dxfId="4786" priority="146717"/>
    <cfRule type="duplicateValues" dxfId="4785" priority="146718"/>
    <cfRule type="duplicateValues" dxfId="4784" priority="146719"/>
    <cfRule type="duplicateValues" dxfId="4783" priority="146720"/>
    <cfRule type="duplicateValues" dxfId="4782" priority="146721"/>
    <cfRule type="duplicateValues" dxfId="4781" priority="146842"/>
    <cfRule type="duplicateValues" dxfId="4780" priority="146843"/>
    <cfRule type="duplicateValues" dxfId="4779" priority="146844"/>
    <cfRule type="duplicateValues" dxfId="4778" priority="146845"/>
    <cfRule type="duplicateValues" dxfId="4777" priority="146846"/>
    <cfRule type="duplicateValues" dxfId="4776" priority="146847"/>
    <cfRule type="duplicateValues" dxfId="4775" priority="146848"/>
    <cfRule type="duplicateValues" dxfId="4774" priority="146849"/>
    <cfRule type="duplicateValues" dxfId="4773" priority="146850"/>
    <cfRule type="duplicateValues" dxfId="4772" priority="146851"/>
    <cfRule type="duplicateValues" dxfId="4771" priority="146852"/>
    <cfRule type="duplicateValues" dxfId="4770" priority="146853"/>
    <cfRule type="duplicateValues" dxfId="4769" priority="146854"/>
    <cfRule type="duplicateValues" dxfId="4768" priority="146855"/>
    <cfRule type="duplicateValues" dxfId="4767" priority="146856"/>
    <cfRule type="duplicateValues" dxfId="4766" priority="146857"/>
    <cfRule type="duplicateValues" dxfId="4765" priority="146858"/>
    <cfRule type="duplicateValues" dxfId="4764" priority="146859"/>
    <cfRule type="duplicateValues" dxfId="4763" priority="146860"/>
    <cfRule type="duplicateValues" dxfId="4762" priority="146861"/>
    <cfRule type="duplicateValues" dxfId="4761" priority="146862"/>
    <cfRule type="duplicateValues" dxfId="4760" priority="146863"/>
    <cfRule type="duplicateValues" dxfId="4759" priority="146864"/>
    <cfRule type="duplicateValues" dxfId="4758" priority="146865"/>
    <cfRule type="duplicateValues" dxfId="4757" priority="146866"/>
    <cfRule type="duplicateValues" dxfId="4756" priority="146867"/>
    <cfRule type="duplicateValues" dxfId="4755" priority="146868"/>
    <cfRule type="duplicateValues" dxfId="4754" priority="146869"/>
    <cfRule type="duplicateValues" dxfId="4753" priority="146870"/>
    <cfRule type="duplicateValues" dxfId="4752" priority="146871"/>
    <cfRule type="duplicateValues" dxfId="4751" priority="146872"/>
    <cfRule type="duplicateValues" dxfId="4750" priority="146873"/>
    <cfRule type="duplicateValues" dxfId="4749" priority="146874"/>
    <cfRule type="duplicateValues" dxfId="4748" priority="146875"/>
    <cfRule type="duplicateValues" dxfId="4747" priority="146876"/>
    <cfRule type="duplicateValues" dxfId="4746" priority="146877"/>
    <cfRule type="duplicateValues" dxfId="4745" priority="146878"/>
    <cfRule type="duplicateValues" dxfId="4744" priority="146879"/>
    <cfRule type="duplicateValues" dxfId="4743" priority="146880"/>
    <cfRule type="duplicateValues" dxfId="4742" priority="146881"/>
    <cfRule type="duplicateValues" dxfId="4741" priority="146882"/>
    <cfRule type="duplicateValues" dxfId="4740" priority="146883"/>
    <cfRule type="duplicateValues" dxfId="4739" priority="146884"/>
    <cfRule type="duplicateValues" dxfId="4738" priority="146885"/>
    <cfRule type="duplicateValues" dxfId="4737" priority="146886"/>
    <cfRule type="duplicateValues" dxfId="4736" priority="146887"/>
    <cfRule type="duplicateValues" dxfId="4735" priority="146888"/>
    <cfRule type="duplicateValues" dxfId="4734" priority="146889"/>
    <cfRule type="duplicateValues" dxfId="4733" priority="146890"/>
    <cfRule type="duplicateValues" dxfId="4732" priority="146891"/>
    <cfRule type="duplicateValues" dxfId="4731" priority="146892"/>
    <cfRule type="duplicateValues" dxfId="4730" priority="146893"/>
    <cfRule type="duplicateValues" dxfId="4729" priority="146894"/>
    <cfRule type="duplicateValues" dxfId="4728" priority="146895"/>
    <cfRule type="duplicateValues" dxfId="4727" priority="146896"/>
    <cfRule type="duplicateValues" dxfId="4726" priority="146897"/>
    <cfRule type="duplicateValues" dxfId="4725" priority="146898"/>
    <cfRule type="duplicateValues" dxfId="4724" priority="146899"/>
    <cfRule type="duplicateValues" dxfId="4723" priority="146900"/>
    <cfRule type="duplicateValues" dxfId="4722" priority="146901"/>
    <cfRule type="duplicateValues" dxfId="4721" priority="147262"/>
    <cfRule type="duplicateValues" dxfId="4720" priority="147263"/>
    <cfRule type="duplicateValues" dxfId="4719" priority="147264"/>
    <cfRule type="duplicateValues" dxfId="4718" priority="147265"/>
    <cfRule type="duplicateValues" dxfId="4717" priority="147266"/>
    <cfRule type="duplicateValues" dxfId="4716" priority="147267"/>
    <cfRule type="duplicateValues" dxfId="4715" priority="147268"/>
    <cfRule type="duplicateValues" dxfId="4714" priority="147269"/>
    <cfRule type="duplicateValues" dxfId="4713" priority="147270"/>
    <cfRule type="duplicateValues" dxfId="4712" priority="147271"/>
    <cfRule type="duplicateValues" dxfId="4711" priority="147272"/>
    <cfRule type="duplicateValues" dxfId="4710" priority="147273"/>
    <cfRule type="duplicateValues" dxfId="4709" priority="147274"/>
    <cfRule type="duplicateValues" dxfId="4708" priority="147275"/>
    <cfRule type="duplicateValues" dxfId="4707" priority="147276"/>
    <cfRule type="duplicateValues" dxfId="4706" priority="147277"/>
    <cfRule type="duplicateValues" dxfId="4705" priority="147278"/>
    <cfRule type="duplicateValues" dxfId="4704" priority="147279"/>
    <cfRule type="duplicateValues" dxfId="4703" priority="147280"/>
    <cfRule type="duplicateValues" dxfId="4702" priority="147281"/>
    <cfRule type="duplicateValues" dxfId="4701" priority="147282"/>
    <cfRule type="duplicateValues" dxfId="4700" priority="147283"/>
    <cfRule type="duplicateValues" dxfId="4699" priority="147284"/>
    <cfRule type="duplicateValues" dxfId="4698" priority="147285"/>
    <cfRule type="duplicateValues" dxfId="4697" priority="147286"/>
    <cfRule type="duplicateValues" dxfId="4696" priority="147287"/>
    <cfRule type="duplicateValues" dxfId="4695" priority="147288"/>
    <cfRule type="duplicateValues" dxfId="4694" priority="147289"/>
    <cfRule type="duplicateValues" dxfId="4693" priority="147290"/>
    <cfRule type="duplicateValues" dxfId="4692" priority="147291"/>
    <cfRule type="duplicateValues" dxfId="4691" priority="147292"/>
    <cfRule type="duplicateValues" dxfId="4690" priority="147293"/>
    <cfRule type="duplicateValues" dxfId="4689" priority="147294"/>
    <cfRule type="duplicateValues" dxfId="4688" priority="147295"/>
    <cfRule type="duplicateValues" dxfId="4687" priority="147296"/>
    <cfRule type="duplicateValues" dxfId="4686" priority="147297"/>
    <cfRule type="duplicateValues" dxfId="4685" priority="147298"/>
    <cfRule type="duplicateValues" dxfId="4684" priority="147299"/>
    <cfRule type="duplicateValues" dxfId="4683" priority="147300"/>
    <cfRule type="duplicateValues" dxfId="4682" priority="147301"/>
    <cfRule type="duplicateValues" dxfId="4681" priority="147302"/>
    <cfRule type="duplicateValues" dxfId="4680" priority="147303"/>
    <cfRule type="duplicateValues" dxfId="4679" priority="147304"/>
    <cfRule type="duplicateValues" dxfId="4678" priority="147305"/>
    <cfRule type="duplicateValues" dxfId="4677" priority="147306"/>
    <cfRule type="duplicateValues" dxfId="4676" priority="147307"/>
    <cfRule type="duplicateValues" dxfId="4675" priority="147308"/>
    <cfRule type="duplicateValues" dxfId="4674" priority="147309"/>
    <cfRule type="duplicateValues" dxfId="4673" priority="147310"/>
    <cfRule type="duplicateValues" dxfId="4672" priority="147311"/>
    <cfRule type="duplicateValues" dxfId="4671" priority="147312"/>
    <cfRule type="duplicateValues" dxfId="4670" priority="145790"/>
    <cfRule type="duplicateValues" dxfId="4669" priority="147314"/>
    <cfRule type="duplicateValues" dxfId="4668" priority="147315"/>
    <cfRule type="duplicateValues" dxfId="4667" priority="147316"/>
    <cfRule type="duplicateValues" dxfId="4666" priority="147317"/>
    <cfRule type="duplicateValues" dxfId="4665" priority="147318"/>
    <cfRule type="duplicateValues" dxfId="4664" priority="147319"/>
    <cfRule type="duplicateValues" dxfId="4663" priority="147320"/>
    <cfRule type="duplicateValues" dxfId="4662" priority="147321"/>
    <cfRule type="duplicateValues" dxfId="4661" priority="147322"/>
    <cfRule type="duplicateValues" dxfId="4660" priority="147323"/>
    <cfRule type="duplicateValues" dxfId="4659" priority="147324"/>
    <cfRule type="duplicateValues" dxfId="4658" priority="147325"/>
    <cfRule type="duplicateValues" dxfId="4657" priority="147326"/>
    <cfRule type="duplicateValues" dxfId="4656" priority="147327"/>
    <cfRule type="duplicateValues" dxfId="4655" priority="147328"/>
    <cfRule type="duplicateValues" dxfId="4654" priority="147329"/>
    <cfRule type="duplicateValues" dxfId="4653" priority="147330"/>
    <cfRule type="duplicateValues" dxfId="4652" priority="147331"/>
    <cfRule type="duplicateValues" dxfId="4651" priority="147332"/>
    <cfRule type="duplicateValues" dxfId="4650" priority="147333"/>
    <cfRule type="duplicateValues" dxfId="4649" priority="147334"/>
    <cfRule type="duplicateValues" dxfId="4648" priority="147335"/>
    <cfRule type="duplicateValues" dxfId="4647" priority="147336"/>
    <cfRule type="duplicateValues" dxfId="4646" priority="147337"/>
    <cfRule type="duplicateValues" dxfId="4645" priority="147338"/>
    <cfRule type="duplicateValues" dxfId="4644" priority="147339"/>
    <cfRule type="duplicateValues" dxfId="4643" priority="147340"/>
    <cfRule type="duplicateValues" dxfId="4642" priority="147341"/>
    <cfRule type="duplicateValues" dxfId="4641" priority="147342"/>
    <cfRule type="duplicateValues" dxfId="4640" priority="147343"/>
    <cfRule type="duplicateValues" dxfId="4639" priority="147344"/>
    <cfRule type="duplicateValues" dxfId="4638" priority="147345"/>
    <cfRule type="duplicateValues" dxfId="4637" priority="147346"/>
    <cfRule type="duplicateValues" dxfId="4636" priority="147347"/>
    <cfRule type="duplicateValues" dxfId="4635" priority="147348"/>
    <cfRule type="duplicateValues" dxfId="4634" priority="147349"/>
    <cfRule type="duplicateValues" dxfId="4633" priority="147350"/>
    <cfRule type="duplicateValues" dxfId="4632" priority="147351"/>
    <cfRule type="duplicateValues" dxfId="4631" priority="147382"/>
    <cfRule type="duplicateValues" dxfId="4630" priority="147383"/>
    <cfRule type="duplicateValues" dxfId="4629" priority="147384"/>
    <cfRule type="duplicateValues" dxfId="4628" priority="147385"/>
    <cfRule type="duplicateValues" dxfId="4627" priority="147386"/>
    <cfRule type="duplicateValues" dxfId="4626" priority="147387"/>
    <cfRule type="duplicateValues" dxfId="4625" priority="147388"/>
    <cfRule type="duplicateValues" dxfId="4624" priority="147389"/>
    <cfRule type="duplicateValues" dxfId="4623" priority="147390"/>
    <cfRule type="duplicateValues" dxfId="4622" priority="147391"/>
    <cfRule type="duplicateValues" dxfId="4621" priority="147392"/>
    <cfRule type="duplicateValues" dxfId="4620" priority="147393"/>
    <cfRule type="duplicateValues" dxfId="4619" priority="147394"/>
    <cfRule type="duplicateValues" dxfId="4618" priority="147395"/>
    <cfRule type="duplicateValues" dxfId="4617" priority="147396"/>
    <cfRule type="duplicateValues" dxfId="4616" priority="147397"/>
    <cfRule type="duplicateValues" dxfId="4615" priority="147398"/>
    <cfRule type="duplicateValues" dxfId="4614" priority="147399"/>
    <cfRule type="duplicateValues" dxfId="4613" priority="147400"/>
    <cfRule type="duplicateValues" dxfId="4612" priority="147401"/>
    <cfRule type="duplicateValues" dxfId="4611" priority="147402"/>
    <cfRule type="duplicateValues" dxfId="4610" priority="147403"/>
    <cfRule type="duplicateValues" dxfId="4609" priority="147404"/>
    <cfRule type="duplicateValues" dxfId="4608" priority="147405"/>
    <cfRule type="duplicateValues" dxfId="4607" priority="147406"/>
    <cfRule type="duplicateValues" dxfId="4606" priority="147407"/>
    <cfRule type="duplicateValues" dxfId="4605" priority="147408"/>
    <cfRule type="duplicateValues" dxfId="4604" priority="147409"/>
    <cfRule type="duplicateValues" dxfId="4603" priority="147410"/>
    <cfRule type="duplicateValues" dxfId="4602" priority="147411"/>
    <cfRule type="duplicateValues" dxfId="4601" priority="147412"/>
    <cfRule type="duplicateValues" dxfId="4600" priority="147413"/>
    <cfRule type="duplicateValues" dxfId="4599" priority="147414"/>
    <cfRule type="duplicateValues" dxfId="4598" priority="147415"/>
    <cfRule type="duplicateValues" dxfId="4597" priority="147416"/>
    <cfRule type="duplicateValues" dxfId="4596" priority="147417"/>
    <cfRule type="duplicateValues" dxfId="4595" priority="147418"/>
    <cfRule type="duplicateValues" dxfId="4594" priority="147419"/>
    <cfRule type="duplicateValues" dxfId="4593" priority="147420"/>
    <cfRule type="duplicateValues" dxfId="4592" priority="147421"/>
    <cfRule type="duplicateValues" dxfId="4591" priority="147422"/>
    <cfRule type="duplicateValues" dxfId="4590" priority="147423"/>
    <cfRule type="duplicateValues" dxfId="4589" priority="147424"/>
    <cfRule type="duplicateValues" dxfId="4588" priority="147425"/>
    <cfRule type="duplicateValues" dxfId="4587" priority="147426"/>
    <cfRule type="duplicateValues" dxfId="4586" priority="147427"/>
    <cfRule type="duplicateValues" dxfId="4585" priority="147428"/>
    <cfRule type="duplicateValues" dxfId="4584" priority="147429"/>
    <cfRule type="duplicateValues" dxfId="4583" priority="147430"/>
    <cfRule type="duplicateValues" dxfId="4582" priority="147431"/>
    <cfRule type="duplicateValues" dxfId="4581" priority="147432"/>
    <cfRule type="duplicateValues" dxfId="4580" priority="147433"/>
    <cfRule type="duplicateValues" dxfId="4579" priority="147434"/>
    <cfRule type="duplicateValues" dxfId="4578" priority="147435"/>
    <cfRule type="duplicateValues" dxfId="4577" priority="147436"/>
    <cfRule type="duplicateValues" dxfId="4576" priority="147437"/>
    <cfRule type="duplicateValues" dxfId="4575" priority="147438"/>
    <cfRule type="duplicateValues" dxfId="4574" priority="147439"/>
    <cfRule type="duplicateValues" dxfId="4573" priority="147440"/>
    <cfRule type="duplicateValues" dxfId="4572" priority="147441"/>
    <cfRule type="duplicateValues" dxfId="4571" priority="147562"/>
    <cfRule type="duplicateValues" dxfId="4570" priority="147563"/>
    <cfRule type="duplicateValues" dxfId="4569" priority="147564"/>
    <cfRule type="duplicateValues" dxfId="4568" priority="147565"/>
    <cfRule type="duplicateValues" dxfId="4567" priority="147566"/>
    <cfRule type="duplicateValues" dxfId="4566" priority="147567"/>
    <cfRule type="duplicateValues" dxfId="4565" priority="147568"/>
    <cfRule type="duplicateValues" dxfId="4564" priority="147569"/>
    <cfRule type="duplicateValues" dxfId="4563" priority="147570"/>
    <cfRule type="duplicateValues" dxfId="4562" priority="147571"/>
    <cfRule type="duplicateValues" dxfId="4561" priority="147572"/>
    <cfRule type="duplicateValues" dxfId="4560" priority="147573"/>
    <cfRule type="duplicateValues" dxfId="4559" priority="147574"/>
    <cfRule type="duplicateValues" dxfId="4558" priority="147575"/>
    <cfRule type="duplicateValues" dxfId="4557" priority="147576"/>
    <cfRule type="duplicateValues" dxfId="4556" priority="147577"/>
    <cfRule type="duplicateValues" dxfId="4555" priority="147578"/>
    <cfRule type="duplicateValues" dxfId="4554" priority="147579"/>
    <cfRule type="duplicateValues" dxfId="4553" priority="147580"/>
    <cfRule type="duplicateValues" dxfId="4552" priority="147581"/>
    <cfRule type="duplicateValues" dxfId="4551" priority="147582"/>
    <cfRule type="duplicateValues" dxfId="4550" priority="147583"/>
    <cfRule type="duplicateValues" dxfId="4549" priority="147584"/>
    <cfRule type="duplicateValues" dxfId="4548" priority="147585"/>
    <cfRule type="duplicateValues" dxfId="4547" priority="147586"/>
    <cfRule type="duplicateValues" dxfId="4546" priority="147587"/>
    <cfRule type="duplicateValues" dxfId="4545" priority="147588"/>
    <cfRule type="duplicateValues" dxfId="4544" priority="147589"/>
    <cfRule type="duplicateValues" dxfId="4543" priority="147590"/>
    <cfRule type="duplicateValues" dxfId="4542" priority="147591"/>
    <cfRule type="duplicateValues" dxfId="4541" priority="147592"/>
    <cfRule type="duplicateValues" dxfId="4540" priority="147593"/>
    <cfRule type="duplicateValues" dxfId="4539" priority="147594"/>
    <cfRule type="duplicateValues" dxfId="4538" priority="147595"/>
    <cfRule type="duplicateValues" dxfId="4537" priority="147596"/>
    <cfRule type="duplicateValues" dxfId="4536" priority="147597"/>
    <cfRule type="duplicateValues" dxfId="4535" priority="147598"/>
    <cfRule type="duplicateValues" dxfId="4534" priority="147599"/>
    <cfRule type="duplicateValues" dxfId="4533" priority="147600"/>
    <cfRule type="duplicateValues" dxfId="4532" priority="147601"/>
    <cfRule type="duplicateValues" dxfId="4531" priority="147602"/>
    <cfRule type="duplicateValues" dxfId="4530" priority="147603"/>
    <cfRule type="duplicateValues" dxfId="4529" priority="147604"/>
    <cfRule type="duplicateValues" dxfId="4528" priority="147605"/>
    <cfRule type="duplicateValues" dxfId="4527" priority="147606"/>
    <cfRule type="duplicateValues" dxfId="4526" priority="147607"/>
    <cfRule type="duplicateValues" dxfId="4525" priority="147608"/>
    <cfRule type="duplicateValues" dxfId="4524" priority="147609"/>
    <cfRule type="duplicateValues" dxfId="4523" priority="147610"/>
    <cfRule type="duplicateValues" dxfId="4522" priority="147611"/>
    <cfRule type="duplicateValues" dxfId="4521" priority="147612"/>
    <cfRule type="duplicateValues" dxfId="4520" priority="147613"/>
    <cfRule type="duplicateValues" dxfId="4519" priority="147614"/>
    <cfRule type="duplicateValues" dxfId="4518" priority="147615"/>
    <cfRule type="duplicateValues" dxfId="4517" priority="147616"/>
    <cfRule type="duplicateValues" dxfId="4516" priority="147617"/>
    <cfRule type="duplicateValues" dxfId="4515" priority="147618"/>
    <cfRule type="duplicateValues" dxfId="4514" priority="147619"/>
    <cfRule type="duplicateValues" dxfId="4513" priority="147620"/>
    <cfRule type="duplicateValues" dxfId="4512" priority="147621"/>
    <cfRule type="duplicateValues" dxfId="4511" priority="147991"/>
    <cfRule type="duplicateValues" dxfId="4510" priority="147992"/>
    <cfRule type="duplicateValues" dxfId="4509" priority="147993"/>
    <cfRule type="duplicateValues" dxfId="4508" priority="147994"/>
    <cfRule type="duplicateValues" dxfId="4507" priority="147995"/>
    <cfRule type="duplicateValues" dxfId="4506" priority="147996"/>
    <cfRule type="duplicateValues" dxfId="4505" priority="147997"/>
    <cfRule type="duplicateValues" dxfId="4504" priority="147998"/>
    <cfRule type="duplicateValues" dxfId="4503" priority="147999"/>
    <cfRule type="duplicateValues" dxfId="4502" priority="148000"/>
    <cfRule type="duplicateValues" dxfId="4501" priority="148001"/>
    <cfRule type="duplicateValues" dxfId="4500" priority="148002"/>
    <cfRule type="duplicateValues" dxfId="4499" priority="148003"/>
    <cfRule type="duplicateValues" dxfId="4498" priority="148004"/>
    <cfRule type="duplicateValues" dxfId="4497" priority="148005"/>
    <cfRule type="duplicateValues" dxfId="4496" priority="148006"/>
    <cfRule type="duplicateValues" dxfId="4495" priority="148007"/>
    <cfRule type="duplicateValues" dxfId="4494" priority="148008"/>
    <cfRule type="duplicateValues" dxfId="4493" priority="148009"/>
    <cfRule type="duplicateValues" dxfId="4492" priority="148010"/>
    <cfRule type="duplicateValues" dxfId="4491" priority="148011"/>
    <cfRule type="duplicateValues" dxfId="4490" priority="148012"/>
    <cfRule type="duplicateValues" dxfId="4489" priority="148013"/>
    <cfRule type="duplicateValues" dxfId="4488" priority="148014"/>
    <cfRule type="duplicateValues" dxfId="4487" priority="148015"/>
    <cfRule type="duplicateValues" dxfId="4486" priority="148016"/>
    <cfRule type="duplicateValues" dxfId="4485" priority="148017"/>
    <cfRule type="duplicateValues" dxfId="4484" priority="148018"/>
    <cfRule type="duplicateValues" dxfId="4483" priority="148019"/>
    <cfRule type="duplicateValues" dxfId="4482" priority="148020"/>
    <cfRule type="duplicateValues" dxfId="4481" priority="148021"/>
    <cfRule type="duplicateValues" dxfId="4480" priority="148022"/>
    <cfRule type="duplicateValues" dxfId="4479" priority="148023"/>
    <cfRule type="duplicateValues" dxfId="4478" priority="148024"/>
    <cfRule type="duplicateValues" dxfId="4477" priority="148025"/>
    <cfRule type="duplicateValues" dxfId="4476" priority="148026"/>
    <cfRule type="duplicateValues" dxfId="4475" priority="148027"/>
    <cfRule type="duplicateValues" dxfId="4474" priority="148028"/>
    <cfRule type="duplicateValues" dxfId="4473" priority="148029"/>
    <cfRule type="duplicateValues" dxfId="4472" priority="148030"/>
    <cfRule type="duplicateValues" dxfId="4471" priority="148031"/>
    <cfRule type="duplicateValues" dxfId="4470" priority="148032"/>
    <cfRule type="duplicateValues" dxfId="4469" priority="148033"/>
    <cfRule type="duplicateValues" dxfId="4468" priority="148034"/>
    <cfRule type="duplicateValues" dxfId="4467" priority="148035"/>
    <cfRule type="duplicateValues" dxfId="4466" priority="148036"/>
    <cfRule type="duplicateValues" dxfId="4465" priority="148037"/>
    <cfRule type="duplicateValues" dxfId="4464" priority="148038"/>
    <cfRule type="duplicateValues" dxfId="4463" priority="148039"/>
    <cfRule type="duplicateValues" dxfId="4462" priority="148040"/>
    <cfRule type="duplicateValues" dxfId="4461" priority="148041"/>
    <cfRule type="duplicateValues" dxfId="4460" priority="148042"/>
    <cfRule type="duplicateValues" dxfId="4459" priority="148043"/>
    <cfRule type="duplicateValues" dxfId="4458" priority="148044"/>
    <cfRule type="duplicateValues" dxfId="4457" priority="148045"/>
    <cfRule type="duplicateValues" dxfId="4456" priority="148046"/>
    <cfRule type="duplicateValues" dxfId="4455" priority="148047"/>
    <cfRule type="duplicateValues" dxfId="4454" priority="148048"/>
    <cfRule type="duplicateValues" dxfId="4453" priority="148049"/>
    <cfRule type="duplicateValues" dxfId="4452" priority="148050"/>
    <cfRule type="duplicateValues" dxfId="4451" priority="143722"/>
    <cfRule type="duplicateValues" dxfId="4450" priority="143723"/>
    <cfRule type="duplicateValues" dxfId="4449" priority="143724"/>
    <cfRule type="duplicateValues" dxfId="4448" priority="143725"/>
    <cfRule type="duplicateValues" dxfId="4447" priority="143726"/>
    <cfRule type="duplicateValues" dxfId="4446" priority="143727"/>
    <cfRule type="duplicateValues" dxfId="4445" priority="143728"/>
    <cfRule type="duplicateValues" dxfId="4444" priority="143729"/>
    <cfRule type="duplicateValues" dxfId="4443" priority="143730"/>
    <cfRule type="duplicateValues" dxfId="4442" priority="143731"/>
    <cfRule type="duplicateValues" dxfId="4441" priority="143732"/>
    <cfRule type="duplicateValues" dxfId="4440" priority="143733"/>
    <cfRule type="duplicateValues" dxfId="4439" priority="143734"/>
    <cfRule type="duplicateValues" dxfId="4438" priority="143735"/>
    <cfRule type="duplicateValues" dxfId="4437" priority="143736"/>
    <cfRule type="duplicateValues" dxfId="4436" priority="143737"/>
    <cfRule type="duplicateValues" dxfId="4435" priority="143738"/>
    <cfRule type="duplicateValues" dxfId="4434" priority="143739"/>
    <cfRule type="duplicateValues" dxfId="4433" priority="143740"/>
    <cfRule type="duplicateValues" dxfId="4432" priority="143741"/>
    <cfRule type="duplicateValues" dxfId="4431" priority="143742"/>
    <cfRule type="duplicateValues" dxfId="4430" priority="143743"/>
    <cfRule type="duplicateValues" dxfId="4429" priority="143744"/>
    <cfRule type="duplicateValues" dxfId="4428" priority="143745"/>
    <cfRule type="duplicateValues" dxfId="4427" priority="143746"/>
    <cfRule type="duplicateValues" dxfId="4426" priority="143747"/>
    <cfRule type="duplicateValues" dxfId="4425" priority="143748"/>
    <cfRule type="duplicateValues" dxfId="4424" priority="143749"/>
    <cfRule type="duplicateValues" dxfId="4423" priority="143750"/>
    <cfRule type="duplicateValues" dxfId="4422" priority="143751"/>
    <cfRule type="duplicateValues" dxfId="4421" priority="143842"/>
    <cfRule type="duplicateValues" dxfId="4420" priority="143843"/>
    <cfRule type="duplicateValues" dxfId="4419" priority="143844"/>
    <cfRule type="duplicateValues" dxfId="4418" priority="143845"/>
    <cfRule type="duplicateValues" dxfId="4417" priority="143846"/>
    <cfRule type="duplicateValues" dxfId="4416" priority="143847"/>
    <cfRule type="duplicateValues" dxfId="4415" priority="143848"/>
    <cfRule type="duplicateValues" dxfId="4414" priority="143849"/>
    <cfRule type="duplicateValues" dxfId="4413" priority="143850"/>
    <cfRule type="duplicateValues" dxfId="4412" priority="143851"/>
    <cfRule type="duplicateValues" dxfId="4411" priority="143852"/>
    <cfRule type="duplicateValues" dxfId="4410" priority="143853"/>
    <cfRule type="duplicateValues" dxfId="4409" priority="143854"/>
    <cfRule type="duplicateValues" dxfId="4408" priority="143855"/>
    <cfRule type="duplicateValues" dxfId="4407" priority="143856"/>
    <cfRule type="duplicateValues" dxfId="4406" priority="143857"/>
    <cfRule type="duplicateValues" dxfId="4405" priority="143858"/>
    <cfRule type="duplicateValues" dxfId="4404" priority="143859"/>
    <cfRule type="duplicateValues" dxfId="4403" priority="143860"/>
    <cfRule type="duplicateValues" dxfId="4402" priority="143861"/>
    <cfRule type="duplicateValues" dxfId="4401" priority="143862"/>
    <cfRule type="duplicateValues" dxfId="4400" priority="143863"/>
    <cfRule type="duplicateValues" dxfId="4399" priority="143864"/>
    <cfRule type="duplicateValues" dxfId="4398" priority="143865"/>
    <cfRule type="duplicateValues" dxfId="4397" priority="143866"/>
    <cfRule type="duplicateValues" dxfId="4396" priority="143867"/>
    <cfRule type="duplicateValues" dxfId="4395" priority="143868"/>
    <cfRule type="duplicateValues" dxfId="4394" priority="143869"/>
    <cfRule type="duplicateValues" dxfId="4393" priority="143870"/>
    <cfRule type="duplicateValues" dxfId="4392" priority="143871"/>
    <cfRule type="duplicateValues" dxfId="4391" priority="143932"/>
    <cfRule type="duplicateValues" dxfId="4390" priority="143933"/>
    <cfRule type="duplicateValues" dxfId="4389" priority="143934"/>
    <cfRule type="duplicateValues" dxfId="4388" priority="143935"/>
    <cfRule type="duplicateValues" dxfId="4387" priority="143936"/>
    <cfRule type="duplicateValues" dxfId="4386" priority="143937"/>
    <cfRule type="duplicateValues" dxfId="4385" priority="143938"/>
    <cfRule type="duplicateValues" dxfId="4384" priority="143939"/>
    <cfRule type="duplicateValues" dxfId="4383" priority="143940"/>
    <cfRule type="duplicateValues" dxfId="4382" priority="143941"/>
    <cfRule type="duplicateValues" dxfId="4381" priority="143942"/>
    <cfRule type="duplicateValues" dxfId="4380" priority="143943"/>
    <cfRule type="duplicateValues" dxfId="4379" priority="143944"/>
    <cfRule type="duplicateValues" dxfId="4378" priority="143945"/>
    <cfRule type="duplicateValues" dxfId="4377" priority="143946"/>
    <cfRule type="duplicateValues" dxfId="4376" priority="143947"/>
    <cfRule type="duplicateValues" dxfId="4375" priority="143948"/>
    <cfRule type="duplicateValues" dxfId="4374" priority="143949"/>
    <cfRule type="duplicateValues" dxfId="4373" priority="143950"/>
    <cfRule type="duplicateValues" dxfId="4372" priority="143951"/>
    <cfRule type="duplicateValues" dxfId="4371" priority="143952"/>
    <cfRule type="duplicateValues" dxfId="4370" priority="143953"/>
    <cfRule type="duplicateValues" dxfId="4369" priority="143954"/>
    <cfRule type="duplicateValues" dxfId="4368" priority="143955"/>
    <cfRule type="duplicateValues" dxfId="4367" priority="143956"/>
    <cfRule type="duplicateValues" dxfId="4366" priority="143957"/>
    <cfRule type="duplicateValues" dxfId="4365" priority="143958"/>
    <cfRule type="duplicateValues" dxfId="4364" priority="143959"/>
    <cfRule type="duplicateValues" dxfId="4363" priority="143960"/>
    <cfRule type="duplicateValues" dxfId="4362" priority="143961"/>
    <cfRule type="duplicateValues" dxfId="4361" priority="143962"/>
    <cfRule type="duplicateValues" dxfId="4360" priority="143963"/>
    <cfRule type="duplicateValues" dxfId="4359" priority="143964"/>
    <cfRule type="duplicateValues" dxfId="4358" priority="143965"/>
    <cfRule type="duplicateValues" dxfId="4357" priority="143966"/>
    <cfRule type="duplicateValues" dxfId="4356" priority="143967"/>
    <cfRule type="duplicateValues" dxfId="4355" priority="143968"/>
    <cfRule type="duplicateValues" dxfId="4354" priority="143969"/>
    <cfRule type="duplicateValues" dxfId="4353" priority="143970"/>
    <cfRule type="duplicateValues" dxfId="4352" priority="143971"/>
    <cfRule type="duplicateValues" dxfId="4351" priority="143972"/>
    <cfRule type="duplicateValues" dxfId="4350" priority="143973"/>
    <cfRule type="duplicateValues" dxfId="4349" priority="143974"/>
    <cfRule type="duplicateValues" dxfId="4348" priority="143975"/>
    <cfRule type="duplicateValues" dxfId="4347" priority="143976"/>
    <cfRule type="duplicateValues" dxfId="4346" priority="143977"/>
    <cfRule type="duplicateValues" dxfId="4345" priority="143978"/>
    <cfRule type="duplicateValues" dxfId="4344" priority="143979"/>
    <cfRule type="duplicateValues" dxfId="4343" priority="143980"/>
    <cfRule type="duplicateValues" dxfId="4342" priority="143981"/>
    <cfRule type="duplicateValues" dxfId="4341" priority="143982"/>
    <cfRule type="duplicateValues" dxfId="4340" priority="143983"/>
    <cfRule type="duplicateValues" dxfId="4339" priority="143984"/>
    <cfRule type="duplicateValues" dxfId="4338" priority="143985"/>
    <cfRule type="duplicateValues" dxfId="4337" priority="143986"/>
    <cfRule type="duplicateValues" dxfId="4336" priority="143987"/>
    <cfRule type="duplicateValues" dxfId="4335" priority="143988"/>
    <cfRule type="duplicateValues" dxfId="4334" priority="143989"/>
    <cfRule type="duplicateValues" dxfId="4333" priority="143990"/>
    <cfRule type="duplicateValues" dxfId="4332" priority="143991"/>
    <cfRule type="duplicateValues" dxfId="4331" priority="143992"/>
    <cfRule type="duplicateValues" dxfId="4330" priority="143993"/>
    <cfRule type="duplicateValues" dxfId="4329" priority="143994"/>
    <cfRule type="duplicateValues" dxfId="4328" priority="143995"/>
    <cfRule type="duplicateValues" dxfId="4327" priority="143996"/>
    <cfRule type="duplicateValues" dxfId="4326" priority="143997"/>
    <cfRule type="duplicateValues" dxfId="4325" priority="143998"/>
    <cfRule type="duplicateValues" dxfId="4324" priority="143999"/>
    <cfRule type="duplicateValues" dxfId="4323" priority="144000"/>
    <cfRule type="duplicateValues" dxfId="4322" priority="144001"/>
    <cfRule type="duplicateValues" dxfId="4321" priority="144002"/>
    <cfRule type="duplicateValues" dxfId="4320" priority="144003"/>
    <cfRule type="duplicateValues" dxfId="4319" priority="144004"/>
    <cfRule type="duplicateValues" dxfId="4318" priority="144005"/>
    <cfRule type="duplicateValues" dxfId="4317" priority="144006"/>
    <cfRule type="duplicateValues" dxfId="4316" priority="144007"/>
    <cfRule type="duplicateValues" dxfId="4315" priority="144008"/>
    <cfRule type="duplicateValues" dxfId="4314" priority="144009"/>
    <cfRule type="duplicateValues" dxfId="4313" priority="144010"/>
    <cfRule type="duplicateValues" dxfId="4312" priority="144011"/>
    <cfRule type="duplicateValues" dxfId="4311" priority="144012"/>
    <cfRule type="duplicateValues" dxfId="4310" priority="144013"/>
    <cfRule type="duplicateValues" dxfId="4309" priority="144014"/>
    <cfRule type="duplicateValues" dxfId="4308" priority="144015"/>
    <cfRule type="duplicateValues" dxfId="4307" priority="144016"/>
    <cfRule type="duplicateValues" dxfId="4306" priority="144017"/>
    <cfRule type="duplicateValues" dxfId="4305" priority="144018"/>
    <cfRule type="duplicateValues" dxfId="4304" priority="144019"/>
    <cfRule type="duplicateValues" dxfId="4303" priority="144020"/>
    <cfRule type="duplicateValues" dxfId="4302" priority="144021"/>
    <cfRule type="duplicateValues" dxfId="4301" priority="144142"/>
    <cfRule type="duplicateValues" dxfId="4300" priority="144143"/>
    <cfRule type="duplicateValues" dxfId="4299" priority="144144"/>
    <cfRule type="duplicateValues" dxfId="4298" priority="144145"/>
    <cfRule type="duplicateValues" dxfId="4297" priority="144146"/>
    <cfRule type="duplicateValues" dxfId="4296" priority="144147"/>
    <cfRule type="duplicateValues" dxfId="4295" priority="144148"/>
    <cfRule type="duplicateValues" dxfId="4294" priority="144149"/>
    <cfRule type="duplicateValues" dxfId="4293" priority="144150"/>
    <cfRule type="duplicateValues" dxfId="4292" priority="144151"/>
    <cfRule type="duplicateValues" dxfId="4291" priority="144152"/>
    <cfRule type="duplicateValues" dxfId="4290" priority="144153"/>
    <cfRule type="duplicateValues" dxfId="4289" priority="144154"/>
    <cfRule type="duplicateValues" dxfId="4288" priority="144155"/>
    <cfRule type="duplicateValues" dxfId="4287" priority="144156"/>
    <cfRule type="duplicateValues" dxfId="4286" priority="144157"/>
    <cfRule type="duplicateValues" dxfId="4285" priority="144158"/>
    <cfRule type="duplicateValues" dxfId="4284" priority="144159"/>
    <cfRule type="duplicateValues" dxfId="4283" priority="144160"/>
    <cfRule type="duplicateValues" dxfId="4282" priority="144161"/>
    <cfRule type="duplicateValues" dxfId="4281" priority="144162"/>
    <cfRule type="duplicateValues" dxfId="4280" priority="144163"/>
    <cfRule type="duplicateValues" dxfId="4279" priority="144164"/>
    <cfRule type="duplicateValues" dxfId="4278" priority="144165"/>
    <cfRule type="duplicateValues" dxfId="4277" priority="144166"/>
    <cfRule type="duplicateValues" dxfId="4276" priority="144167"/>
    <cfRule type="duplicateValues" dxfId="4275" priority="144168"/>
    <cfRule type="duplicateValues" dxfId="4274" priority="144169"/>
    <cfRule type="duplicateValues" dxfId="4273" priority="144170"/>
    <cfRule type="duplicateValues" dxfId="4272" priority="144171"/>
    <cfRule type="duplicateValues" dxfId="4271" priority="144232"/>
    <cfRule type="duplicateValues" dxfId="4270" priority="144233"/>
    <cfRule type="duplicateValues" dxfId="4269" priority="144234"/>
    <cfRule type="duplicateValues" dxfId="4268" priority="144235"/>
    <cfRule type="duplicateValues" dxfId="4267" priority="144236"/>
    <cfRule type="duplicateValues" dxfId="4266" priority="144237"/>
    <cfRule type="duplicateValues" dxfId="4265" priority="144238"/>
    <cfRule type="duplicateValues" dxfId="4264" priority="144239"/>
    <cfRule type="duplicateValues" dxfId="4263" priority="144240"/>
    <cfRule type="duplicateValues" dxfId="4262" priority="144241"/>
    <cfRule type="duplicateValues" dxfId="4261" priority="144242"/>
    <cfRule type="duplicateValues" dxfId="4260" priority="144243"/>
    <cfRule type="duplicateValues" dxfId="4259" priority="144244"/>
    <cfRule type="duplicateValues" dxfId="4258" priority="144245"/>
    <cfRule type="duplicateValues" dxfId="4257" priority="144246"/>
    <cfRule type="duplicateValues" dxfId="4256" priority="144247"/>
    <cfRule type="duplicateValues" dxfId="4255" priority="144248"/>
    <cfRule type="duplicateValues" dxfId="4254" priority="144249"/>
    <cfRule type="duplicateValues" dxfId="4253" priority="144250"/>
    <cfRule type="duplicateValues" dxfId="4252" priority="144251"/>
    <cfRule type="duplicateValues" dxfId="4251" priority="144252"/>
    <cfRule type="duplicateValues" dxfId="4250" priority="144253"/>
    <cfRule type="duplicateValues" dxfId="4249" priority="144254"/>
    <cfRule type="duplicateValues" dxfId="4248" priority="144255"/>
    <cfRule type="duplicateValues" dxfId="4247" priority="144256"/>
    <cfRule type="duplicateValues" dxfId="4246" priority="144257"/>
    <cfRule type="duplicateValues" dxfId="4245" priority="144258"/>
    <cfRule type="duplicateValues" dxfId="4244" priority="144259"/>
    <cfRule type="duplicateValues" dxfId="4243" priority="144260"/>
    <cfRule type="duplicateValues" dxfId="4242" priority="144261"/>
    <cfRule type="duplicateValues" dxfId="4241" priority="144262"/>
    <cfRule type="duplicateValues" dxfId="4240" priority="144263"/>
    <cfRule type="duplicateValues" dxfId="4239" priority="144264"/>
    <cfRule type="duplicateValues" dxfId="4238" priority="144265"/>
    <cfRule type="duplicateValues" dxfId="4237" priority="144266"/>
    <cfRule type="duplicateValues" dxfId="4236" priority="144267"/>
    <cfRule type="duplicateValues" dxfId="4235" priority="144268"/>
    <cfRule type="duplicateValues" dxfId="4234" priority="144269"/>
    <cfRule type="duplicateValues" dxfId="4233" priority="144270"/>
    <cfRule type="duplicateValues" dxfId="4232" priority="144271"/>
    <cfRule type="duplicateValues" dxfId="4231" priority="144272"/>
    <cfRule type="duplicateValues" dxfId="4230" priority="144273"/>
    <cfRule type="duplicateValues" dxfId="4229" priority="144274"/>
    <cfRule type="duplicateValues" dxfId="4228" priority="144275"/>
    <cfRule type="duplicateValues" dxfId="4227" priority="144276"/>
    <cfRule type="duplicateValues" dxfId="4226" priority="144277"/>
    <cfRule type="duplicateValues" dxfId="4225" priority="144278"/>
    <cfRule type="duplicateValues" dxfId="4224" priority="144279"/>
    <cfRule type="duplicateValues" dxfId="4223" priority="144280"/>
    <cfRule type="duplicateValues" dxfId="4222" priority="144281"/>
    <cfRule type="duplicateValues" dxfId="4221" priority="144282"/>
    <cfRule type="duplicateValues" dxfId="4220" priority="144283"/>
    <cfRule type="duplicateValues" dxfId="4219" priority="144284"/>
    <cfRule type="duplicateValues" dxfId="4218" priority="144285"/>
    <cfRule type="duplicateValues" dxfId="4217" priority="144286"/>
    <cfRule type="duplicateValues" dxfId="4216" priority="144287"/>
    <cfRule type="duplicateValues" dxfId="4215" priority="144288"/>
    <cfRule type="duplicateValues" dxfId="4214" priority="144289"/>
    <cfRule type="duplicateValues" dxfId="4213" priority="144290"/>
    <cfRule type="duplicateValues" dxfId="4212" priority="144291"/>
    <cfRule type="duplicateValues" dxfId="4211" priority="144292"/>
    <cfRule type="duplicateValues" dxfId="4210" priority="144293"/>
    <cfRule type="duplicateValues" dxfId="4209" priority="144294"/>
    <cfRule type="duplicateValues" dxfId="4208" priority="144295"/>
    <cfRule type="duplicateValues" dxfId="4207" priority="144296"/>
    <cfRule type="duplicateValues" dxfId="4206" priority="144297"/>
    <cfRule type="duplicateValues" dxfId="4205" priority="144298"/>
    <cfRule type="duplicateValues" dxfId="4204" priority="144299"/>
    <cfRule type="duplicateValues" dxfId="4203" priority="144300"/>
    <cfRule type="duplicateValues" dxfId="4202" priority="144301"/>
    <cfRule type="duplicateValues" dxfId="4201" priority="144302"/>
    <cfRule type="duplicateValues" dxfId="4200" priority="144303"/>
    <cfRule type="duplicateValues" dxfId="4199" priority="144304"/>
    <cfRule type="duplicateValues" dxfId="4198" priority="144305"/>
    <cfRule type="duplicateValues" dxfId="4197" priority="144306"/>
    <cfRule type="duplicateValues" dxfId="4196" priority="144307"/>
    <cfRule type="duplicateValues" dxfId="4195" priority="144308"/>
    <cfRule type="duplicateValues" dxfId="4194" priority="144309"/>
    <cfRule type="duplicateValues" dxfId="4193" priority="144310"/>
    <cfRule type="duplicateValues" dxfId="4192" priority="144311"/>
    <cfRule type="duplicateValues" dxfId="4191" priority="144312"/>
    <cfRule type="duplicateValues" dxfId="4190" priority="144313"/>
    <cfRule type="duplicateValues" dxfId="4189" priority="144314"/>
    <cfRule type="duplicateValues" dxfId="4188" priority="144315"/>
    <cfRule type="duplicateValues" dxfId="4187" priority="144316"/>
    <cfRule type="duplicateValues" dxfId="4186" priority="144317"/>
    <cfRule type="duplicateValues" dxfId="4185" priority="144318"/>
    <cfRule type="duplicateValues" dxfId="4184" priority="144319"/>
    <cfRule type="duplicateValues" dxfId="4183" priority="144320"/>
    <cfRule type="duplicateValues" dxfId="4182" priority="144321"/>
    <cfRule type="duplicateValues" dxfId="4181" priority="144412"/>
    <cfRule type="duplicateValues" dxfId="4180" priority="144413"/>
    <cfRule type="duplicateValues" dxfId="4179" priority="144414"/>
    <cfRule type="duplicateValues" dxfId="4178" priority="144415"/>
    <cfRule type="duplicateValues" dxfId="4177" priority="144416"/>
    <cfRule type="duplicateValues" dxfId="4176" priority="144417"/>
    <cfRule type="duplicateValues" dxfId="4175" priority="144418"/>
    <cfRule type="duplicateValues" dxfId="4174" priority="144419"/>
    <cfRule type="duplicateValues" dxfId="4173" priority="144420"/>
    <cfRule type="duplicateValues" dxfId="4172" priority="144421"/>
    <cfRule type="duplicateValues" dxfId="4171" priority="144422"/>
    <cfRule type="duplicateValues" dxfId="4170" priority="144423"/>
    <cfRule type="duplicateValues" dxfId="4169" priority="144424"/>
    <cfRule type="duplicateValues" dxfId="4168" priority="144425"/>
    <cfRule type="duplicateValues" dxfId="4167" priority="144426"/>
    <cfRule type="duplicateValues" dxfId="4166" priority="144427"/>
    <cfRule type="duplicateValues" dxfId="4165" priority="144428"/>
    <cfRule type="duplicateValues" dxfId="4164" priority="144429"/>
    <cfRule type="duplicateValues" dxfId="4163" priority="144430"/>
    <cfRule type="duplicateValues" dxfId="4162" priority="144431"/>
    <cfRule type="duplicateValues" dxfId="4161" priority="144432"/>
    <cfRule type="duplicateValues" dxfId="4160" priority="144433"/>
    <cfRule type="duplicateValues" dxfId="4159" priority="144434"/>
    <cfRule type="duplicateValues" dxfId="4158" priority="144435"/>
    <cfRule type="duplicateValues" dxfId="4157" priority="144436"/>
    <cfRule type="duplicateValues" dxfId="4156" priority="144437"/>
    <cfRule type="duplicateValues" dxfId="4155" priority="144438"/>
    <cfRule type="duplicateValues" dxfId="4154" priority="144439"/>
    <cfRule type="duplicateValues" dxfId="4153" priority="144440"/>
    <cfRule type="duplicateValues" dxfId="4152" priority="144441"/>
    <cfRule type="duplicateValues" dxfId="4151" priority="144442"/>
    <cfRule type="duplicateValues" dxfId="4150" priority="144443"/>
    <cfRule type="duplicateValues" dxfId="4149" priority="144444"/>
    <cfRule type="duplicateValues" dxfId="4148" priority="144445"/>
    <cfRule type="duplicateValues" dxfId="4147" priority="144446"/>
    <cfRule type="duplicateValues" dxfId="4146" priority="144447"/>
    <cfRule type="duplicateValues" dxfId="4145" priority="144448"/>
    <cfRule type="duplicateValues" dxfId="4144" priority="144449"/>
    <cfRule type="duplicateValues" dxfId="4143" priority="144450"/>
    <cfRule type="duplicateValues" dxfId="4142" priority="144451"/>
    <cfRule type="duplicateValues" dxfId="4141" priority="144452"/>
    <cfRule type="duplicateValues" dxfId="4140" priority="144453"/>
    <cfRule type="duplicateValues" dxfId="4139" priority="144454"/>
    <cfRule type="duplicateValues" dxfId="4138" priority="144455"/>
    <cfRule type="duplicateValues" dxfId="4137" priority="144456"/>
    <cfRule type="duplicateValues" dxfId="4136" priority="144457"/>
    <cfRule type="duplicateValues" dxfId="4135" priority="144458"/>
    <cfRule type="duplicateValues" dxfId="4134" priority="144459"/>
    <cfRule type="duplicateValues" dxfId="4133" priority="144460"/>
    <cfRule type="duplicateValues" dxfId="4132" priority="144461"/>
    <cfRule type="duplicateValues" dxfId="4131" priority="144462"/>
    <cfRule type="duplicateValues" dxfId="4130" priority="144463"/>
    <cfRule type="duplicateValues" dxfId="4129" priority="144464"/>
    <cfRule type="duplicateValues" dxfId="4128" priority="144465"/>
    <cfRule type="duplicateValues" dxfId="4127" priority="144466"/>
    <cfRule type="duplicateValues" dxfId="4126" priority="144467"/>
    <cfRule type="duplicateValues" dxfId="4125" priority="144468"/>
    <cfRule type="duplicateValues" dxfId="4124" priority="144469"/>
    <cfRule type="duplicateValues" dxfId="4123" priority="144470"/>
    <cfRule type="duplicateValues" dxfId="4122" priority="144471"/>
    <cfRule type="duplicateValues" dxfId="4121" priority="144472"/>
    <cfRule type="duplicateValues" dxfId="4120" priority="144473"/>
    <cfRule type="duplicateValues" dxfId="4119" priority="144474"/>
    <cfRule type="duplicateValues" dxfId="4118" priority="144475"/>
    <cfRule type="duplicateValues" dxfId="4117" priority="144476"/>
    <cfRule type="duplicateValues" dxfId="4116" priority="144477"/>
    <cfRule type="duplicateValues" dxfId="4115" priority="144478"/>
    <cfRule type="duplicateValues" dxfId="4114" priority="144479"/>
    <cfRule type="duplicateValues" dxfId="4113" priority="144480"/>
    <cfRule type="duplicateValues" dxfId="4112" priority="144481"/>
    <cfRule type="duplicateValues" dxfId="4111" priority="144482"/>
    <cfRule type="duplicateValues" dxfId="4110" priority="145780"/>
    <cfRule type="duplicateValues" dxfId="4109" priority="144484"/>
    <cfRule type="duplicateValues" dxfId="4108" priority="144485"/>
    <cfRule type="duplicateValues" dxfId="4107" priority="144486"/>
    <cfRule type="duplicateValues" dxfId="4106" priority="144487"/>
    <cfRule type="duplicateValues" dxfId="4105" priority="144488"/>
    <cfRule type="duplicateValues" dxfId="4104" priority="144489"/>
    <cfRule type="duplicateValues" dxfId="4103" priority="144490"/>
    <cfRule type="duplicateValues" dxfId="4102" priority="144491"/>
    <cfRule type="duplicateValues" dxfId="4101" priority="144492"/>
    <cfRule type="duplicateValues" dxfId="4100" priority="144493"/>
    <cfRule type="duplicateValues" dxfId="4099" priority="144494"/>
    <cfRule type="duplicateValues" dxfId="4098" priority="144495"/>
    <cfRule type="duplicateValues" dxfId="4097" priority="144496"/>
    <cfRule type="duplicateValues" dxfId="4096" priority="144497"/>
    <cfRule type="duplicateValues" dxfId="4095" priority="144498"/>
    <cfRule type="duplicateValues" dxfId="4094" priority="144499"/>
    <cfRule type="duplicateValues" dxfId="4093" priority="144500"/>
    <cfRule type="duplicateValues" dxfId="4092" priority="144501"/>
    <cfRule type="duplicateValues" dxfId="4091" priority="144532"/>
    <cfRule type="duplicateValues" dxfId="4090" priority="144533"/>
    <cfRule type="duplicateValues" dxfId="4089" priority="144534"/>
    <cfRule type="duplicateValues" dxfId="4088" priority="144535"/>
    <cfRule type="duplicateValues" dxfId="4087" priority="144536"/>
    <cfRule type="duplicateValues" dxfId="4086" priority="144537"/>
    <cfRule type="duplicateValues" dxfId="4085" priority="144538"/>
    <cfRule type="duplicateValues" dxfId="4084" priority="144539"/>
    <cfRule type="duplicateValues" dxfId="4083" priority="144540"/>
    <cfRule type="duplicateValues" dxfId="4082" priority="144541"/>
    <cfRule type="duplicateValues" dxfId="4081" priority="144542"/>
    <cfRule type="duplicateValues" dxfId="4080" priority="144543"/>
    <cfRule type="duplicateValues" dxfId="4079" priority="144544"/>
    <cfRule type="duplicateValues" dxfId="4078" priority="144545"/>
    <cfRule type="duplicateValues" dxfId="4077" priority="144546"/>
    <cfRule type="duplicateValues" dxfId="4076" priority="144547"/>
    <cfRule type="duplicateValues" dxfId="4075" priority="144548"/>
    <cfRule type="duplicateValues" dxfId="4074" priority="144549"/>
    <cfRule type="duplicateValues" dxfId="4073" priority="144550"/>
    <cfRule type="duplicateValues" dxfId="4072" priority="144551"/>
    <cfRule type="duplicateValues" dxfId="4071" priority="144552"/>
    <cfRule type="duplicateValues" dxfId="4070" priority="144553"/>
    <cfRule type="duplicateValues" dxfId="4069" priority="144554"/>
    <cfRule type="duplicateValues" dxfId="4068" priority="144555"/>
    <cfRule type="duplicateValues" dxfId="4067" priority="144556"/>
    <cfRule type="duplicateValues" dxfId="4066" priority="144557"/>
    <cfRule type="duplicateValues" dxfId="4065" priority="144558"/>
    <cfRule type="duplicateValues" dxfId="4064" priority="144559"/>
    <cfRule type="duplicateValues" dxfId="4063" priority="144560"/>
    <cfRule type="duplicateValues" dxfId="4062" priority="144561"/>
    <cfRule type="duplicateValues" dxfId="4061" priority="144562"/>
    <cfRule type="duplicateValues" dxfId="4060" priority="144563"/>
    <cfRule type="duplicateValues" dxfId="4059" priority="144564"/>
    <cfRule type="duplicateValues" dxfId="4058" priority="144565"/>
    <cfRule type="duplicateValues" dxfId="4057" priority="144566"/>
    <cfRule type="duplicateValues" dxfId="4056" priority="144567"/>
    <cfRule type="duplicateValues" dxfId="4055" priority="144568"/>
    <cfRule type="duplicateValues" dxfId="4054" priority="144569"/>
    <cfRule type="duplicateValues" dxfId="4053" priority="144570"/>
    <cfRule type="duplicateValues" dxfId="4052" priority="144571"/>
    <cfRule type="duplicateValues" dxfId="4051" priority="144572"/>
    <cfRule type="duplicateValues" dxfId="4050" priority="144573"/>
    <cfRule type="duplicateValues" dxfId="4049" priority="144574"/>
    <cfRule type="duplicateValues" dxfId="4048" priority="144575"/>
    <cfRule type="duplicateValues" dxfId="4047" priority="144576"/>
    <cfRule type="duplicateValues" dxfId="4046" priority="144577"/>
    <cfRule type="duplicateValues" dxfId="4045" priority="144578"/>
    <cfRule type="duplicateValues" dxfId="4044" priority="144579"/>
    <cfRule type="duplicateValues" dxfId="4043" priority="144580"/>
    <cfRule type="duplicateValues" dxfId="4042" priority="144581"/>
    <cfRule type="duplicateValues" dxfId="4041" priority="144582"/>
    <cfRule type="duplicateValues" dxfId="4040" priority="144583"/>
    <cfRule type="duplicateValues" dxfId="4039" priority="144584"/>
    <cfRule type="duplicateValues" dxfId="4038" priority="144585"/>
    <cfRule type="duplicateValues" dxfId="4037" priority="144586"/>
    <cfRule type="duplicateValues" dxfId="4036" priority="144587"/>
    <cfRule type="duplicateValues" dxfId="4035" priority="144588"/>
    <cfRule type="duplicateValues" dxfId="4034" priority="144589"/>
    <cfRule type="duplicateValues" dxfId="4033" priority="144590"/>
    <cfRule type="duplicateValues" dxfId="4032" priority="144591"/>
    <cfRule type="duplicateValues" dxfId="4031" priority="144802"/>
    <cfRule type="duplicateValues" dxfId="4030" priority="144803"/>
    <cfRule type="duplicateValues" dxfId="4029" priority="144804"/>
    <cfRule type="duplicateValues" dxfId="4028" priority="144805"/>
    <cfRule type="duplicateValues" dxfId="4027" priority="144806"/>
    <cfRule type="duplicateValues" dxfId="4026" priority="144807"/>
    <cfRule type="duplicateValues" dxfId="4025" priority="144808"/>
    <cfRule type="duplicateValues" dxfId="4024" priority="144809"/>
    <cfRule type="duplicateValues" dxfId="4023" priority="144810"/>
    <cfRule type="duplicateValues" dxfId="4022" priority="144811"/>
    <cfRule type="duplicateValues" dxfId="4021" priority="144812"/>
    <cfRule type="duplicateValues" dxfId="4020" priority="144813"/>
    <cfRule type="duplicateValues" dxfId="4019" priority="144814"/>
    <cfRule type="duplicateValues" dxfId="4018" priority="144815"/>
    <cfRule type="duplicateValues" dxfId="4017" priority="144816"/>
    <cfRule type="duplicateValues" dxfId="4016" priority="144817"/>
    <cfRule type="duplicateValues" dxfId="4015" priority="144818"/>
    <cfRule type="duplicateValues" dxfId="4014" priority="144819"/>
    <cfRule type="duplicateValues" dxfId="4013" priority="144820"/>
    <cfRule type="duplicateValues" dxfId="4012" priority="144821"/>
    <cfRule type="duplicateValues" dxfId="4011" priority="144822"/>
    <cfRule type="duplicateValues" dxfId="4010" priority="144823"/>
    <cfRule type="duplicateValues" dxfId="4009" priority="144824"/>
    <cfRule type="duplicateValues" dxfId="4008" priority="144825"/>
    <cfRule type="duplicateValues" dxfId="4007" priority="144826"/>
    <cfRule type="duplicateValues" dxfId="4006" priority="144827"/>
    <cfRule type="duplicateValues" dxfId="4005" priority="144828"/>
    <cfRule type="duplicateValues" dxfId="4004" priority="144829"/>
    <cfRule type="duplicateValues" dxfId="4003" priority="144830"/>
    <cfRule type="duplicateValues" dxfId="4002" priority="144831"/>
    <cfRule type="duplicateValues" dxfId="4001" priority="144892"/>
    <cfRule type="duplicateValues" dxfId="4000" priority="144893"/>
    <cfRule type="duplicateValues" dxfId="3999" priority="144894"/>
    <cfRule type="duplicateValues" dxfId="3998" priority="144895"/>
    <cfRule type="duplicateValues" dxfId="3997" priority="144896"/>
    <cfRule type="duplicateValues" dxfId="3996" priority="144897"/>
    <cfRule type="duplicateValues" dxfId="3995" priority="144898"/>
    <cfRule type="duplicateValues" dxfId="3994" priority="144899"/>
    <cfRule type="duplicateValues" dxfId="3993" priority="144900"/>
    <cfRule type="duplicateValues" dxfId="3992" priority="144901"/>
    <cfRule type="duplicateValues" dxfId="3991" priority="144902"/>
    <cfRule type="duplicateValues" dxfId="3990" priority="144903"/>
    <cfRule type="duplicateValues" dxfId="3989" priority="144904"/>
    <cfRule type="duplicateValues" dxfId="3988" priority="144905"/>
    <cfRule type="duplicateValues" dxfId="3987" priority="144906"/>
    <cfRule type="duplicateValues" dxfId="3986" priority="144907"/>
    <cfRule type="duplicateValues" dxfId="3985" priority="144908"/>
    <cfRule type="duplicateValues" dxfId="3984" priority="144909"/>
    <cfRule type="duplicateValues" dxfId="3983" priority="144910"/>
    <cfRule type="duplicateValues" dxfId="3982" priority="144911"/>
    <cfRule type="duplicateValues" dxfId="3981" priority="144912"/>
    <cfRule type="duplicateValues" dxfId="3980" priority="144913"/>
    <cfRule type="duplicateValues" dxfId="3979" priority="144914"/>
    <cfRule type="duplicateValues" dxfId="3978" priority="144915"/>
    <cfRule type="duplicateValues" dxfId="3977" priority="144916"/>
    <cfRule type="duplicateValues" dxfId="3976" priority="144917"/>
    <cfRule type="duplicateValues" dxfId="3975" priority="144918"/>
    <cfRule type="duplicateValues" dxfId="3974" priority="144919"/>
    <cfRule type="duplicateValues" dxfId="3973" priority="144920"/>
    <cfRule type="duplicateValues" dxfId="3972" priority="144921"/>
    <cfRule type="duplicateValues" dxfId="3971" priority="144922"/>
    <cfRule type="duplicateValues" dxfId="3970" priority="144923"/>
    <cfRule type="duplicateValues" dxfId="3969" priority="144924"/>
    <cfRule type="duplicateValues" dxfId="3968" priority="144925"/>
    <cfRule type="duplicateValues" dxfId="3967" priority="144926"/>
    <cfRule type="duplicateValues" dxfId="3966" priority="144927"/>
    <cfRule type="duplicateValues" dxfId="3965" priority="144928"/>
    <cfRule type="duplicateValues" dxfId="3964" priority="144929"/>
    <cfRule type="duplicateValues" dxfId="3963" priority="144930"/>
    <cfRule type="duplicateValues" dxfId="3962" priority="144931"/>
    <cfRule type="duplicateValues" dxfId="3961" priority="144932"/>
    <cfRule type="duplicateValues" dxfId="3960" priority="144933"/>
    <cfRule type="duplicateValues" dxfId="3959" priority="144934"/>
    <cfRule type="duplicateValues" dxfId="3958" priority="144935"/>
    <cfRule type="duplicateValues" dxfId="3957" priority="144936"/>
    <cfRule type="duplicateValues" dxfId="3956" priority="144937"/>
    <cfRule type="duplicateValues" dxfId="3955" priority="144938"/>
    <cfRule type="duplicateValues" dxfId="3954" priority="144939"/>
    <cfRule type="duplicateValues" dxfId="3953" priority="144940"/>
    <cfRule type="duplicateValues" dxfId="3952" priority="144941"/>
    <cfRule type="duplicateValues" dxfId="3951" priority="144942"/>
    <cfRule type="duplicateValues" dxfId="3950" priority="144943"/>
    <cfRule type="duplicateValues" dxfId="3949" priority="144944"/>
    <cfRule type="duplicateValues" dxfId="3948" priority="144945"/>
    <cfRule type="duplicateValues" dxfId="3947" priority="144946"/>
    <cfRule type="duplicateValues" dxfId="3946" priority="144947"/>
    <cfRule type="duplicateValues" dxfId="3945" priority="144948"/>
    <cfRule type="duplicateValues" dxfId="3944" priority="144949"/>
    <cfRule type="duplicateValues" dxfId="3943" priority="144950"/>
    <cfRule type="duplicateValues" dxfId="3942" priority="144951"/>
    <cfRule type="duplicateValues" dxfId="3941" priority="144952"/>
    <cfRule type="duplicateValues" dxfId="3940" priority="144953"/>
    <cfRule type="duplicateValues" dxfId="3939" priority="144954"/>
    <cfRule type="duplicateValues" dxfId="3938" priority="144955"/>
    <cfRule type="duplicateValues" dxfId="3937" priority="144956"/>
    <cfRule type="duplicateValues" dxfId="3936" priority="144957"/>
    <cfRule type="duplicateValues" dxfId="3935" priority="144958"/>
    <cfRule type="duplicateValues" dxfId="3934" priority="144959"/>
    <cfRule type="duplicateValues" dxfId="3933" priority="144960"/>
    <cfRule type="duplicateValues" dxfId="3932" priority="144961"/>
    <cfRule type="duplicateValues" dxfId="3931" priority="144962"/>
    <cfRule type="duplicateValues" dxfId="3930" priority="144963"/>
    <cfRule type="duplicateValues" dxfId="3929" priority="144964"/>
    <cfRule type="duplicateValues" dxfId="3928" priority="144965"/>
    <cfRule type="duplicateValues" dxfId="3927" priority="144966"/>
    <cfRule type="duplicateValues" dxfId="3926" priority="144967"/>
    <cfRule type="duplicateValues" dxfId="3925" priority="144968"/>
    <cfRule type="duplicateValues" dxfId="3924" priority="144969"/>
    <cfRule type="duplicateValues" dxfId="3923" priority="144970"/>
    <cfRule type="duplicateValues" dxfId="3922" priority="144971"/>
    <cfRule type="duplicateValues" dxfId="3921" priority="144972"/>
    <cfRule type="duplicateValues" dxfId="3920" priority="144973"/>
    <cfRule type="duplicateValues" dxfId="3919" priority="144974"/>
    <cfRule type="duplicateValues" dxfId="3918" priority="144975"/>
    <cfRule type="duplicateValues" dxfId="3917" priority="144976"/>
    <cfRule type="duplicateValues" dxfId="3916" priority="144977"/>
    <cfRule type="duplicateValues" dxfId="3915" priority="144978"/>
    <cfRule type="duplicateValues" dxfId="3914" priority="144979"/>
    <cfRule type="duplicateValues" dxfId="3913" priority="144980"/>
    <cfRule type="duplicateValues" dxfId="3912" priority="144981"/>
    <cfRule type="duplicateValues" dxfId="3911" priority="145072"/>
    <cfRule type="duplicateValues" dxfId="3910" priority="145073"/>
    <cfRule type="duplicateValues" dxfId="3909" priority="145074"/>
    <cfRule type="duplicateValues" dxfId="3908" priority="145075"/>
    <cfRule type="duplicateValues" dxfId="3907" priority="145076"/>
    <cfRule type="duplicateValues" dxfId="3906" priority="145077"/>
  </conditionalFormatting>
  <conditionalFormatting sqref="P17:Q17">
    <cfRule type="duplicateValues" dxfId="3905" priority="143184"/>
    <cfRule type="duplicateValues" dxfId="3904" priority="144600"/>
    <cfRule type="duplicateValues" dxfId="3903" priority="144601"/>
    <cfRule type="duplicateValues" dxfId="3902" priority="144602"/>
    <cfRule type="duplicateValues" dxfId="3901" priority="144603"/>
    <cfRule type="duplicateValues" dxfId="3900" priority="144604"/>
    <cfRule type="duplicateValues" dxfId="3899" priority="144605"/>
    <cfRule type="duplicateValues" dxfId="3898" priority="144606"/>
    <cfRule type="duplicateValues" dxfId="3897" priority="144607"/>
    <cfRule type="duplicateValues" dxfId="3896" priority="144608"/>
    <cfRule type="duplicateValues" dxfId="3895" priority="144609"/>
    <cfRule type="duplicateValues" dxfId="3894" priority="144610"/>
    <cfRule type="duplicateValues" dxfId="3893" priority="144611"/>
    <cfRule type="duplicateValues" dxfId="3892" priority="144612"/>
    <cfRule type="duplicateValues" dxfId="3891" priority="144613"/>
    <cfRule type="duplicateValues" dxfId="3890" priority="144614"/>
    <cfRule type="duplicateValues" dxfId="3889" priority="144615"/>
    <cfRule type="duplicateValues" dxfId="3888" priority="144616"/>
    <cfRule type="duplicateValues" dxfId="3887" priority="144617"/>
    <cfRule type="duplicateValues" dxfId="3886" priority="144618"/>
    <cfRule type="duplicateValues" dxfId="3885" priority="144619"/>
    <cfRule type="duplicateValues" dxfId="3884" priority="144620"/>
    <cfRule type="duplicateValues" dxfId="3883" priority="146422"/>
    <cfRule type="duplicateValues" dxfId="3882" priority="146423"/>
    <cfRule type="duplicateValues" dxfId="3881" priority="146424"/>
    <cfRule type="duplicateValues" dxfId="3880" priority="146425"/>
    <cfRule type="duplicateValues" dxfId="3879" priority="146426"/>
    <cfRule type="duplicateValues" dxfId="3878" priority="146427"/>
    <cfRule type="duplicateValues" dxfId="3877" priority="146428"/>
    <cfRule type="duplicateValues" dxfId="3876" priority="146429"/>
    <cfRule type="duplicateValues" dxfId="3875" priority="146430"/>
    <cfRule type="duplicateValues" dxfId="3874" priority="146431"/>
    <cfRule type="duplicateValues" dxfId="3873" priority="146432"/>
    <cfRule type="duplicateValues" dxfId="3872" priority="146433"/>
    <cfRule type="duplicateValues" dxfId="3871" priority="146434"/>
    <cfRule type="duplicateValues" dxfId="3870" priority="146435"/>
    <cfRule type="duplicateValues" dxfId="3869" priority="146436"/>
    <cfRule type="duplicateValues" dxfId="3868" priority="146437"/>
    <cfRule type="duplicateValues" dxfId="3867" priority="146438"/>
    <cfRule type="duplicateValues" dxfId="3866" priority="146439"/>
    <cfRule type="duplicateValues" dxfId="3865" priority="146440"/>
    <cfRule type="duplicateValues" dxfId="3864" priority="146441"/>
    <cfRule type="duplicateValues" dxfId="3863" priority="146442"/>
    <cfRule type="duplicateValues" dxfId="3862" priority="146443"/>
    <cfRule type="duplicateValues" dxfId="3861" priority="146444"/>
    <cfRule type="duplicateValues" dxfId="3860" priority="146445"/>
    <cfRule type="duplicateValues" dxfId="3859" priority="146446"/>
    <cfRule type="duplicateValues" dxfId="3858" priority="146447"/>
    <cfRule type="duplicateValues" dxfId="3857" priority="146448"/>
    <cfRule type="duplicateValues" dxfId="3856" priority="146449"/>
    <cfRule type="duplicateValues" dxfId="3855" priority="146450"/>
    <cfRule type="duplicateValues" dxfId="3854" priority="146451"/>
    <cfRule type="duplicateValues" dxfId="3853" priority="146452"/>
    <cfRule type="duplicateValues" dxfId="3852" priority="146453"/>
    <cfRule type="duplicateValues" dxfId="3851" priority="146454"/>
    <cfRule type="duplicateValues" dxfId="3850" priority="146455"/>
    <cfRule type="duplicateValues" dxfId="3849" priority="146456"/>
    <cfRule type="duplicateValues" dxfId="3848" priority="146457"/>
    <cfRule type="duplicateValues" dxfId="3847" priority="146458"/>
    <cfRule type="duplicateValues" dxfId="3846" priority="146459"/>
    <cfRule type="duplicateValues" dxfId="3845" priority="146460"/>
    <cfRule type="duplicateValues" dxfId="3844" priority="146461"/>
    <cfRule type="duplicateValues" dxfId="3843" priority="146462"/>
    <cfRule type="duplicateValues" dxfId="3842" priority="146463"/>
    <cfRule type="duplicateValues" dxfId="3841" priority="146464"/>
    <cfRule type="duplicateValues" dxfId="3840" priority="146465"/>
    <cfRule type="duplicateValues" dxfId="3839" priority="146466"/>
    <cfRule type="duplicateValues" dxfId="3838" priority="146467"/>
    <cfRule type="duplicateValues" dxfId="3837" priority="146468"/>
    <cfRule type="duplicateValues" dxfId="3836" priority="146469"/>
    <cfRule type="duplicateValues" dxfId="3835" priority="146470"/>
    <cfRule type="duplicateValues" dxfId="3834" priority="146471"/>
    <cfRule type="duplicateValues" dxfId="3833" priority="146472"/>
    <cfRule type="duplicateValues" dxfId="3832" priority="146473"/>
    <cfRule type="duplicateValues" dxfId="3831" priority="146474"/>
    <cfRule type="duplicateValues" dxfId="3830" priority="146475"/>
    <cfRule type="duplicateValues" dxfId="3829" priority="146476"/>
    <cfRule type="duplicateValues" dxfId="3828" priority="146477"/>
    <cfRule type="duplicateValues" dxfId="3827" priority="146478"/>
    <cfRule type="duplicateValues" dxfId="3826" priority="146479"/>
    <cfRule type="duplicateValues" dxfId="3825" priority="146480"/>
    <cfRule type="duplicateValues" dxfId="3824" priority="146481"/>
    <cfRule type="duplicateValues" dxfId="3823" priority="146482"/>
    <cfRule type="duplicateValues" dxfId="3822" priority="146483"/>
    <cfRule type="duplicateValues" dxfId="3821" priority="146484"/>
    <cfRule type="duplicateValues" dxfId="3820" priority="146485"/>
    <cfRule type="duplicateValues" dxfId="3819" priority="146486"/>
    <cfRule type="duplicateValues" dxfId="3818" priority="146487"/>
    <cfRule type="duplicateValues" dxfId="3817" priority="146488"/>
    <cfRule type="duplicateValues" dxfId="3816" priority="146489"/>
    <cfRule type="duplicateValues" dxfId="3815" priority="146490"/>
    <cfRule type="duplicateValues" dxfId="3814" priority="146491"/>
    <cfRule type="duplicateValues" dxfId="3813" priority="146492"/>
    <cfRule type="duplicateValues" dxfId="3812" priority="146493"/>
    <cfRule type="duplicateValues" dxfId="3811" priority="146494"/>
    <cfRule type="duplicateValues" dxfId="3810" priority="146495"/>
    <cfRule type="duplicateValues" dxfId="3809" priority="146496"/>
    <cfRule type="duplicateValues" dxfId="3808" priority="146497"/>
    <cfRule type="duplicateValues" dxfId="3807" priority="146498"/>
    <cfRule type="duplicateValues" dxfId="3806" priority="146499"/>
    <cfRule type="duplicateValues" dxfId="3805" priority="146500"/>
    <cfRule type="duplicateValues" dxfId="3804" priority="146501"/>
    <cfRule type="duplicateValues" dxfId="3803" priority="146502"/>
    <cfRule type="duplicateValues" dxfId="3802" priority="146503"/>
    <cfRule type="duplicateValues" dxfId="3801" priority="146504"/>
    <cfRule type="duplicateValues" dxfId="3800" priority="146505"/>
    <cfRule type="duplicateValues" dxfId="3799" priority="146506"/>
    <cfRule type="duplicateValues" dxfId="3798" priority="146507"/>
    <cfRule type="duplicateValues" dxfId="3797" priority="146508"/>
    <cfRule type="duplicateValues" dxfId="3796" priority="146509"/>
    <cfRule type="duplicateValues" dxfId="3795" priority="146510"/>
    <cfRule type="duplicateValues" dxfId="3794" priority="146511"/>
    <cfRule type="duplicateValues" dxfId="3793" priority="144669"/>
    <cfRule type="duplicateValues" dxfId="3792" priority="144670"/>
    <cfRule type="duplicateValues" dxfId="3791" priority="142954"/>
    <cfRule type="duplicateValues" dxfId="3790" priority="144671"/>
    <cfRule type="duplicateValues" dxfId="3789" priority="144672"/>
    <cfRule type="duplicateValues" dxfId="3788" priority="144673"/>
    <cfRule type="duplicateValues" dxfId="3787" priority="144674"/>
    <cfRule type="duplicateValues" dxfId="3786" priority="144675"/>
    <cfRule type="duplicateValues" dxfId="3785" priority="144676"/>
    <cfRule type="duplicateValues" dxfId="3784" priority="144677"/>
    <cfRule type="duplicateValues" dxfId="3783" priority="144678"/>
    <cfRule type="duplicateValues" dxfId="3782" priority="144679"/>
    <cfRule type="duplicateValues" dxfId="3781" priority="144351"/>
    <cfRule type="duplicateValues" dxfId="3780" priority="146902"/>
    <cfRule type="duplicateValues" dxfId="3779" priority="146903"/>
    <cfRule type="duplicateValues" dxfId="3778" priority="146904"/>
    <cfRule type="duplicateValues" dxfId="3777" priority="146905"/>
    <cfRule type="duplicateValues" dxfId="3776" priority="146906"/>
    <cfRule type="duplicateValues" dxfId="3775" priority="146907"/>
    <cfRule type="duplicateValues" dxfId="3774" priority="146908"/>
    <cfRule type="duplicateValues" dxfId="3773" priority="146909"/>
    <cfRule type="duplicateValues" dxfId="3772" priority="146910"/>
    <cfRule type="duplicateValues" dxfId="3771" priority="144623"/>
    <cfRule type="duplicateValues" dxfId="3770" priority="144624"/>
    <cfRule type="duplicateValues" dxfId="3769" priority="144625"/>
    <cfRule type="duplicateValues" dxfId="3768" priority="144626"/>
    <cfRule type="duplicateValues" dxfId="3767" priority="144627"/>
    <cfRule type="duplicateValues" dxfId="3766" priority="144628"/>
    <cfRule type="duplicateValues" dxfId="3765" priority="144629"/>
    <cfRule type="duplicateValues" dxfId="3764" priority="144630"/>
    <cfRule type="duplicateValues" dxfId="3763" priority="144621"/>
    <cfRule type="duplicateValues" dxfId="3762" priority="145162"/>
    <cfRule type="duplicateValues" dxfId="3761" priority="145163"/>
    <cfRule type="duplicateValues" dxfId="3760" priority="145164"/>
    <cfRule type="duplicateValues" dxfId="3759" priority="145165"/>
    <cfRule type="duplicateValues" dxfId="3758" priority="145166"/>
    <cfRule type="duplicateValues" dxfId="3757" priority="145167"/>
    <cfRule type="duplicateValues" dxfId="3756" priority="145168"/>
    <cfRule type="duplicateValues" dxfId="3755" priority="145169"/>
    <cfRule type="duplicateValues" dxfId="3754" priority="145170"/>
    <cfRule type="duplicateValues" dxfId="3753" priority="145171"/>
    <cfRule type="duplicateValues" dxfId="3752" priority="145172"/>
    <cfRule type="duplicateValues" dxfId="3751" priority="145173"/>
    <cfRule type="duplicateValues" dxfId="3750" priority="145174"/>
    <cfRule type="duplicateValues" dxfId="3749" priority="145175"/>
    <cfRule type="duplicateValues" dxfId="3748" priority="145176"/>
    <cfRule type="duplicateValues" dxfId="3747" priority="145177"/>
    <cfRule type="duplicateValues" dxfId="3746" priority="145178"/>
    <cfRule type="duplicateValues" dxfId="3745" priority="145179"/>
    <cfRule type="duplicateValues" dxfId="3744" priority="145180"/>
    <cfRule type="duplicateValues" dxfId="3743" priority="145181"/>
    <cfRule type="duplicateValues" dxfId="3742" priority="145182"/>
    <cfRule type="duplicateValues" dxfId="3741" priority="145183"/>
    <cfRule type="duplicateValues" dxfId="3740" priority="145184"/>
    <cfRule type="duplicateValues" dxfId="3739" priority="145185"/>
    <cfRule type="duplicateValues" dxfId="3738" priority="145186"/>
    <cfRule type="duplicateValues" dxfId="3737" priority="145187"/>
    <cfRule type="duplicateValues" dxfId="3736" priority="145188"/>
    <cfRule type="duplicateValues" dxfId="3735" priority="145189"/>
    <cfRule type="duplicateValues" dxfId="3734" priority="145190"/>
    <cfRule type="duplicateValues" dxfId="3733" priority="145191"/>
    <cfRule type="duplicateValues" dxfId="3732" priority="145612"/>
    <cfRule type="duplicateValues" dxfId="3731" priority="145613"/>
    <cfRule type="duplicateValues" dxfId="3730" priority="145614"/>
    <cfRule type="duplicateValues" dxfId="3729" priority="145615"/>
    <cfRule type="duplicateValues" dxfId="3728" priority="145616"/>
    <cfRule type="duplicateValues" dxfId="3727" priority="145617"/>
    <cfRule type="duplicateValues" dxfId="3726" priority="145618"/>
    <cfRule type="duplicateValues" dxfId="3725" priority="145619"/>
    <cfRule type="duplicateValues" dxfId="3724" priority="145620"/>
    <cfRule type="duplicateValues" dxfId="3723" priority="145621"/>
    <cfRule type="duplicateValues" dxfId="3722" priority="145622"/>
    <cfRule type="duplicateValues" dxfId="3721" priority="145623"/>
    <cfRule type="duplicateValues" dxfId="3720" priority="145624"/>
    <cfRule type="duplicateValues" dxfId="3719" priority="145625"/>
    <cfRule type="duplicateValues" dxfId="3718" priority="145626"/>
    <cfRule type="duplicateValues" dxfId="3717" priority="145627"/>
    <cfRule type="duplicateValues" dxfId="3716" priority="145628"/>
    <cfRule type="duplicateValues" dxfId="3715" priority="145629"/>
    <cfRule type="duplicateValues" dxfId="3714" priority="145630"/>
    <cfRule type="duplicateValues" dxfId="3713" priority="145631"/>
    <cfRule type="duplicateValues" dxfId="3712" priority="145632"/>
    <cfRule type="duplicateValues" dxfId="3711" priority="145633"/>
    <cfRule type="duplicateValues" dxfId="3710" priority="145634"/>
    <cfRule type="duplicateValues" dxfId="3709" priority="145635"/>
    <cfRule type="duplicateValues" dxfId="3708" priority="145636"/>
    <cfRule type="duplicateValues" dxfId="3707" priority="145637"/>
    <cfRule type="duplicateValues" dxfId="3706" priority="145638"/>
    <cfRule type="duplicateValues" dxfId="3705" priority="145639"/>
    <cfRule type="duplicateValues" dxfId="3704" priority="145640"/>
    <cfRule type="duplicateValues" dxfId="3703" priority="145641"/>
    <cfRule type="duplicateValues" dxfId="3702" priority="145642"/>
    <cfRule type="duplicateValues" dxfId="3701" priority="144622"/>
    <cfRule type="duplicateValues" dxfId="3700" priority="145644"/>
    <cfRule type="duplicateValues" dxfId="3699" priority="145645"/>
    <cfRule type="duplicateValues" dxfId="3698" priority="145646"/>
    <cfRule type="duplicateValues" dxfId="3697" priority="145647"/>
    <cfRule type="duplicateValues" dxfId="3696" priority="145648"/>
    <cfRule type="duplicateValues" dxfId="3695" priority="145649"/>
    <cfRule type="duplicateValues" dxfId="3694" priority="145650"/>
    <cfRule type="duplicateValues" dxfId="3693" priority="145651"/>
    <cfRule type="duplicateValues" dxfId="3692" priority="145652"/>
    <cfRule type="duplicateValues" dxfId="3691" priority="145653"/>
    <cfRule type="duplicateValues" dxfId="3690" priority="145654"/>
    <cfRule type="duplicateValues" dxfId="3689" priority="145655"/>
    <cfRule type="duplicateValues" dxfId="3688" priority="145656"/>
    <cfRule type="duplicateValues" dxfId="3687" priority="145657"/>
    <cfRule type="duplicateValues" dxfId="3686" priority="145658"/>
    <cfRule type="duplicateValues" dxfId="3685" priority="145659"/>
    <cfRule type="duplicateValues" dxfId="3684" priority="145660"/>
    <cfRule type="duplicateValues" dxfId="3683" priority="145661"/>
    <cfRule type="duplicateValues" dxfId="3682" priority="145662"/>
    <cfRule type="duplicateValues" dxfId="3681" priority="145663"/>
    <cfRule type="duplicateValues" dxfId="3680" priority="145664"/>
    <cfRule type="duplicateValues" dxfId="3679" priority="145665"/>
    <cfRule type="duplicateValues" dxfId="3678" priority="145666"/>
    <cfRule type="duplicateValues" dxfId="3677" priority="145667"/>
    <cfRule type="duplicateValues" dxfId="3676" priority="145668"/>
    <cfRule type="duplicateValues" dxfId="3675" priority="145669"/>
    <cfRule type="duplicateValues" dxfId="3674" priority="145670"/>
    <cfRule type="duplicateValues" dxfId="3673" priority="146632"/>
    <cfRule type="duplicateValues" dxfId="3672" priority="146633"/>
    <cfRule type="duplicateValues" dxfId="3671" priority="146634"/>
    <cfRule type="duplicateValues" dxfId="3670" priority="146635"/>
    <cfRule type="duplicateValues" dxfId="3669" priority="146636"/>
    <cfRule type="duplicateValues" dxfId="3668" priority="146637"/>
    <cfRule type="duplicateValues" dxfId="3667" priority="146638"/>
    <cfRule type="duplicateValues" dxfId="3666" priority="146639"/>
    <cfRule type="duplicateValues" dxfId="3665" priority="146971"/>
    <cfRule type="duplicateValues" dxfId="3664" priority="146970"/>
    <cfRule type="duplicateValues" dxfId="3663" priority="146969"/>
    <cfRule type="duplicateValues" dxfId="3662" priority="146968"/>
    <cfRule type="duplicateValues" dxfId="3661" priority="146967"/>
    <cfRule type="duplicateValues" dxfId="3660" priority="146966"/>
    <cfRule type="duplicateValues" dxfId="3659" priority="146965"/>
    <cfRule type="duplicateValues" dxfId="3658" priority="146964"/>
    <cfRule type="duplicateValues" dxfId="3657" priority="146963"/>
    <cfRule type="duplicateValues" dxfId="3656" priority="146962"/>
    <cfRule type="duplicateValues" dxfId="3655" priority="146961"/>
    <cfRule type="duplicateValues" dxfId="3654" priority="146960"/>
    <cfRule type="duplicateValues" dxfId="3653" priority="146959"/>
    <cfRule type="duplicateValues" dxfId="3652" priority="146958"/>
    <cfRule type="duplicateValues" dxfId="3651" priority="146957"/>
    <cfRule type="duplicateValues" dxfId="3650" priority="146956"/>
    <cfRule type="duplicateValues" dxfId="3649" priority="146955"/>
    <cfRule type="duplicateValues" dxfId="3648" priority="146954"/>
    <cfRule type="duplicateValues" dxfId="3647" priority="146953"/>
    <cfRule type="duplicateValues" dxfId="3646" priority="146952"/>
    <cfRule type="duplicateValues" dxfId="3645" priority="146951"/>
    <cfRule type="duplicateValues" dxfId="3644" priority="146950"/>
    <cfRule type="duplicateValues" dxfId="3643" priority="146949"/>
    <cfRule type="duplicateValues" dxfId="3642" priority="146948"/>
    <cfRule type="duplicateValues" dxfId="3641" priority="146947"/>
    <cfRule type="duplicateValues" dxfId="3640" priority="146946"/>
    <cfRule type="duplicateValues" dxfId="3639" priority="146945"/>
    <cfRule type="duplicateValues" dxfId="3638" priority="146944"/>
    <cfRule type="duplicateValues" dxfId="3637" priority="146943"/>
    <cfRule type="duplicateValues" dxfId="3636" priority="146942"/>
    <cfRule type="duplicateValues" dxfId="3635" priority="142477"/>
    <cfRule type="duplicateValues" dxfId="3634" priority="142478"/>
    <cfRule type="duplicateValues" dxfId="3633" priority="142479"/>
    <cfRule type="duplicateValues" dxfId="3632" priority="142480"/>
    <cfRule type="duplicateValues" dxfId="3631" priority="142481"/>
    <cfRule type="duplicateValues" dxfId="3630" priority="142482"/>
    <cfRule type="duplicateValues" dxfId="3629" priority="142483"/>
    <cfRule type="duplicateValues" dxfId="3628" priority="142484"/>
    <cfRule type="duplicateValues" dxfId="3627" priority="142485"/>
    <cfRule type="duplicateValues" dxfId="3626" priority="142486"/>
    <cfRule type="duplicateValues" dxfId="3625" priority="142487"/>
    <cfRule type="duplicateValues" dxfId="3624" priority="142488"/>
    <cfRule type="duplicateValues" dxfId="3623" priority="142489"/>
    <cfRule type="duplicateValues" dxfId="3622" priority="142490"/>
    <cfRule type="duplicateValues" dxfId="3621" priority="142491"/>
    <cfRule type="duplicateValues" dxfId="3620" priority="142492"/>
    <cfRule type="duplicateValues" dxfId="3619" priority="142493"/>
    <cfRule type="duplicateValues" dxfId="3618" priority="142494"/>
    <cfRule type="duplicateValues" dxfId="3617" priority="142495"/>
    <cfRule type="duplicateValues" dxfId="3616" priority="142496"/>
    <cfRule type="duplicateValues" dxfId="3615" priority="142497"/>
    <cfRule type="duplicateValues" dxfId="3614" priority="142498"/>
    <cfRule type="duplicateValues" dxfId="3613" priority="142499"/>
    <cfRule type="duplicateValues" dxfId="3612" priority="142500"/>
    <cfRule type="duplicateValues" dxfId="3611" priority="142501"/>
    <cfRule type="duplicateValues" dxfId="3610" priority="142502"/>
    <cfRule type="duplicateValues" dxfId="3609" priority="142503"/>
    <cfRule type="duplicateValues" dxfId="3608" priority="142504"/>
    <cfRule type="duplicateValues" dxfId="3607" priority="142505"/>
    <cfRule type="duplicateValues" dxfId="3606" priority="142506"/>
    <cfRule type="duplicateValues" dxfId="3605" priority="142507"/>
    <cfRule type="duplicateValues" dxfId="3604" priority="142508"/>
    <cfRule type="duplicateValues" dxfId="3603" priority="142509"/>
    <cfRule type="duplicateValues" dxfId="3602" priority="142510"/>
    <cfRule type="duplicateValues" dxfId="3601" priority="142511"/>
    <cfRule type="duplicateValues" dxfId="3600" priority="142512"/>
    <cfRule type="duplicateValues" dxfId="3599" priority="142513"/>
    <cfRule type="duplicateValues" dxfId="3598" priority="142514"/>
    <cfRule type="duplicateValues" dxfId="3597" priority="142515"/>
    <cfRule type="duplicateValues" dxfId="3596" priority="142516"/>
    <cfRule type="duplicateValues" dxfId="3595" priority="142517"/>
    <cfRule type="duplicateValues" dxfId="3594" priority="142518"/>
    <cfRule type="duplicateValues" dxfId="3593" priority="142519"/>
    <cfRule type="duplicateValues" dxfId="3592" priority="142520"/>
    <cfRule type="duplicateValues" dxfId="3591" priority="142521"/>
    <cfRule type="duplicateValues" dxfId="3590" priority="142522"/>
    <cfRule type="duplicateValues" dxfId="3589" priority="142523"/>
    <cfRule type="duplicateValues" dxfId="3588" priority="142524"/>
    <cfRule type="duplicateValues" dxfId="3587" priority="142525"/>
    <cfRule type="duplicateValues" dxfId="3586" priority="142526"/>
    <cfRule type="duplicateValues" dxfId="3585" priority="142527"/>
    <cfRule type="duplicateValues" dxfId="3584" priority="142528"/>
    <cfRule type="duplicateValues" dxfId="3583" priority="142529"/>
    <cfRule type="duplicateValues" dxfId="3582" priority="142530"/>
    <cfRule type="duplicateValues" dxfId="3581" priority="142531"/>
    <cfRule type="duplicateValues" dxfId="3580" priority="142532"/>
    <cfRule type="duplicateValues" dxfId="3579" priority="142533"/>
    <cfRule type="duplicateValues" dxfId="3578" priority="142534"/>
    <cfRule type="duplicateValues" dxfId="3577" priority="142535"/>
    <cfRule type="duplicateValues" dxfId="3576" priority="142536"/>
    <cfRule type="duplicateValues" dxfId="3575" priority="142537"/>
    <cfRule type="duplicateValues" dxfId="3574" priority="142538"/>
    <cfRule type="duplicateValues" dxfId="3573" priority="142539"/>
    <cfRule type="duplicateValues" dxfId="3572" priority="142540"/>
    <cfRule type="duplicateValues" dxfId="3571" priority="142541"/>
    <cfRule type="duplicateValues" dxfId="3570" priority="142542"/>
    <cfRule type="duplicateValues" dxfId="3569" priority="142543"/>
    <cfRule type="duplicateValues" dxfId="3568" priority="142544"/>
    <cfRule type="duplicateValues" dxfId="3567" priority="142545"/>
    <cfRule type="duplicateValues" dxfId="3566" priority="142546"/>
    <cfRule type="duplicateValues" dxfId="3565" priority="142547"/>
    <cfRule type="duplicateValues" dxfId="3564" priority="142548"/>
    <cfRule type="duplicateValues" dxfId="3563" priority="142549"/>
    <cfRule type="duplicateValues" dxfId="3562" priority="142550"/>
    <cfRule type="duplicateValues" dxfId="3561" priority="142551"/>
    <cfRule type="duplicateValues" dxfId="3560" priority="142552"/>
    <cfRule type="duplicateValues" dxfId="3559" priority="142553"/>
    <cfRule type="duplicateValues" dxfId="3558" priority="142554"/>
    <cfRule type="duplicateValues" dxfId="3557" priority="142555"/>
    <cfRule type="duplicateValues" dxfId="3556" priority="142556"/>
    <cfRule type="duplicateValues" dxfId="3555" priority="142557"/>
    <cfRule type="duplicateValues" dxfId="3554" priority="142558"/>
    <cfRule type="duplicateValues" dxfId="3553" priority="142559"/>
    <cfRule type="duplicateValues" dxfId="3552" priority="142560"/>
    <cfRule type="duplicateValues" dxfId="3551" priority="142561"/>
    <cfRule type="duplicateValues" dxfId="3550" priority="142562"/>
    <cfRule type="duplicateValues" dxfId="3549" priority="142563"/>
    <cfRule type="duplicateValues" dxfId="3548" priority="142564"/>
    <cfRule type="duplicateValues" dxfId="3547" priority="142565"/>
    <cfRule type="duplicateValues" dxfId="3546" priority="142566"/>
    <cfRule type="duplicateValues" dxfId="3545" priority="142567"/>
    <cfRule type="duplicateValues" dxfId="3544" priority="142568"/>
    <cfRule type="duplicateValues" dxfId="3543" priority="142569"/>
    <cfRule type="duplicateValues" dxfId="3542" priority="142570"/>
    <cfRule type="duplicateValues" dxfId="3541" priority="142571"/>
    <cfRule type="duplicateValues" dxfId="3540" priority="142572"/>
    <cfRule type="duplicateValues" dxfId="3539" priority="142573"/>
    <cfRule type="duplicateValues" dxfId="3538" priority="142574"/>
    <cfRule type="duplicateValues" dxfId="3537" priority="142575"/>
    <cfRule type="duplicateValues" dxfId="3536" priority="142576"/>
    <cfRule type="duplicateValues" dxfId="3535" priority="142577"/>
    <cfRule type="duplicateValues" dxfId="3534" priority="142578"/>
    <cfRule type="duplicateValues" dxfId="3533" priority="142579"/>
    <cfRule type="duplicateValues" dxfId="3532" priority="142580"/>
    <cfRule type="duplicateValues" dxfId="3531" priority="142581"/>
    <cfRule type="duplicateValues" dxfId="3530" priority="142582"/>
    <cfRule type="duplicateValues" dxfId="3529" priority="142583"/>
    <cfRule type="duplicateValues" dxfId="3528" priority="142584"/>
    <cfRule type="duplicateValues" dxfId="3527" priority="142585"/>
    <cfRule type="duplicateValues" dxfId="3526" priority="142586"/>
    <cfRule type="duplicateValues" dxfId="3525" priority="142587"/>
    <cfRule type="duplicateValues" dxfId="3524" priority="142588"/>
    <cfRule type="duplicateValues" dxfId="3523" priority="142589"/>
    <cfRule type="duplicateValues" dxfId="3522" priority="142590"/>
    <cfRule type="duplicateValues" dxfId="3521" priority="142591"/>
    <cfRule type="duplicateValues" dxfId="3520" priority="142592"/>
    <cfRule type="duplicateValues" dxfId="3519" priority="142593"/>
    <cfRule type="duplicateValues" dxfId="3518" priority="142594"/>
    <cfRule type="duplicateValues" dxfId="3517" priority="142595"/>
    <cfRule type="duplicateValues" dxfId="3516" priority="142596"/>
    <cfRule type="duplicateValues" dxfId="3515" priority="142597"/>
    <cfRule type="duplicateValues" dxfId="3514" priority="142598"/>
    <cfRule type="duplicateValues" dxfId="3513" priority="142599"/>
    <cfRule type="duplicateValues" dxfId="3512" priority="142600"/>
    <cfRule type="duplicateValues" dxfId="3511" priority="142601"/>
    <cfRule type="duplicateValues" dxfId="3510" priority="142602"/>
    <cfRule type="duplicateValues" dxfId="3509" priority="142603"/>
    <cfRule type="duplicateValues" dxfId="3508" priority="142604"/>
    <cfRule type="duplicateValues" dxfId="3507" priority="142605"/>
    <cfRule type="duplicateValues" dxfId="3506" priority="142606"/>
    <cfRule type="duplicateValues" dxfId="3505" priority="142607"/>
    <cfRule type="duplicateValues" dxfId="3504" priority="142608"/>
    <cfRule type="duplicateValues" dxfId="3503" priority="142609"/>
    <cfRule type="duplicateValues" dxfId="3502" priority="142610"/>
    <cfRule type="duplicateValues" dxfId="3501" priority="142611"/>
    <cfRule type="duplicateValues" dxfId="3500" priority="142612"/>
    <cfRule type="duplicateValues" dxfId="3499" priority="142613"/>
    <cfRule type="duplicateValues" dxfId="3498" priority="142614"/>
    <cfRule type="duplicateValues" dxfId="3497" priority="142615"/>
    <cfRule type="duplicateValues" dxfId="3496" priority="142616"/>
    <cfRule type="duplicateValues" dxfId="3495" priority="142617"/>
    <cfRule type="duplicateValues" dxfId="3494" priority="142618"/>
    <cfRule type="duplicateValues" dxfId="3493" priority="142619"/>
    <cfRule type="duplicateValues" dxfId="3492" priority="142620"/>
    <cfRule type="duplicateValues" dxfId="3491" priority="142621"/>
    <cfRule type="duplicateValues" dxfId="3490" priority="142622"/>
    <cfRule type="duplicateValues" dxfId="3489" priority="142623"/>
    <cfRule type="duplicateValues" dxfId="3488" priority="142624"/>
    <cfRule type="duplicateValues" dxfId="3487" priority="142625"/>
    <cfRule type="duplicateValues" dxfId="3486" priority="142626"/>
    <cfRule type="duplicateValues" dxfId="3485" priority="142627"/>
    <cfRule type="duplicateValues" dxfId="3484" priority="142628"/>
    <cfRule type="duplicateValues" dxfId="3483" priority="142629"/>
    <cfRule type="duplicateValues" dxfId="3482" priority="142630"/>
    <cfRule type="duplicateValues" dxfId="3481" priority="142631"/>
    <cfRule type="duplicateValues" dxfId="3480" priority="142632"/>
    <cfRule type="duplicateValues" dxfId="3479" priority="142633"/>
    <cfRule type="duplicateValues" dxfId="3478" priority="142634"/>
    <cfRule type="duplicateValues" dxfId="3477" priority="142635"/>
    <cfRule type="duplicateValues" dxfId="3476" priority="142636"/>
    <cfRule type="duplicateValues" dxfId="3475" priority="142637"/>
    <cfRule type="duplicateValues" dxfId="3474" priority="142638"/>
    <cfRule type="duplicateValues" dxfId="3473" priority="142639"/>
    <cfRule type="duplicateValues" dxfId="3472" priority="142640"/>
    <cfRule type="duplicateValues" dxfId="3471" priority="142641"/>
    <cfRule type="duplicateValues" dxfId="3470" priority="142642"/>
    <cfRule type="duplicateValues" dxfId="3469" priority="142643"/>
    <cfRule type="duplicateValues" dxfId="3468" priority="142644"/>
    <cfRule type="duplicateValues" dxfId="3467" priority="142645"/>
    <cfRule type="duplicateValues" dxfId="3466" priority="142646"/>
    <cfRule type="duplicateValues" dxfId="3465" priority="142647"/>
    <cfRule type="duplicateValues" dxfId="3464" priority="142648"/>
    <cfRule type="duplicateValues" dxfId="3463" priority="142649"/>
    <cfRule type="duplicateValues" dxfId="3462" priority="142650"/>
    <cfRule type="duplicateValues" dxfId="3461" priority="142651"/>
    <cfRule type="duplicateValues" dxfId="3460" priority="142652"/>
    <cfRule type="duplicateValues" dxfId="3459" priority="142653"/>
    <cfRule type="duplicateValues" dxfId="3458" priority="142654"/>
    <cfRule type="duplicateValues" dxfId="3457" priority="142655"/>
    <cfRule type="duplicateValues" dxfId="3456" priority="142656"/>
    <cfRule type="duplicateValues" dxfId="3455" priority="142657"/>
    <cfRule type="duplicateValues" dxfId="3454" priority="142658"/>
    <cfRule type="duplicateValues" dxfId="3453" priority="142659"/>
    <cfRule type="duplicateValues" dxfId="3452" priority="142660"/>
    <cfRule type="duplicateValues" dxfId="3451" priority="142661"/>
    <cfRule type="duplicateValues" dxfId="3450" priority="142662"/>
    <cfRule type="duplicateValues" dxfId="3449" priority="142663"/>
    <cfRule type="duplicateValues" dxfId="3448" priority="142664"/>
    <cfRule type="duplicateValues" dxfId="3447" priority="142665"/>
    <cfRule type="duplicateValues" dxfId="3446" priority="142666"/>
    <cfRule type="duplicateValues" dxfId="3445" priority="142667"/>
    <cfRule type="duplicateValues" dxfId="3444" priority="142668"/>
    <cfRule type="duplicateValues" dxfId="3443" priority="142669"/>
    <cfRule type="duplicateValues" dxfId="3442" priority="142670"/>
    <cfRule type="duplicateValues" dxfId="3441" priority="142671"/>
    <cfRule type="duplicateValues" dxfId="3440" priority="142672"/>
    <cfRule type="duplicateValues" dxfId="3439" priority="142673"/>
    <cfRule type="duplicateValues" dxfId="3438" priority="142674"/>
    <cfRule type="duplicateValues" dxfId="3437" priority="142675"/>
    <cfRule type="duplicateValues" dxfId="3436" priority="142676"/>
    <cfRule type="duplicateValues" dxfId="3435" priority="142677"/>
    <cfRule type="duplicateValues" dxfId="3434" priority="142678"/>
    <cfRule type="duplicateValues" dxfId="3433" priority="142679"/>
    <cfRule type="duplicateValues" dxfId="3432" priority="142680"/>
    <cfRule type="duplicateValues" dxfId="3431" priority="142681"/>
    <cfRule type="duplicateValues" dxfId="3430" priority="142682"/>
    <cfRule type="duplicateValues" dxfId="3429" priority="142683"/>
    <cfRule type="duplicateValues" dxfId="3428" priority="142684"/>
    <cfRule type="duplicateValues" dxfId="3427" priority="142685"/>
    <cfRule type="duplicateValues" dxfId="3426" priority="142686"/>
    <cfRule type="duplicateValues" dxfId="3425" priority="146640"/>
    <cfRule type="duplicateValues" dxfId="3424" priority="146641"/>
    <cfRule type="duplicateValues" dxfId="3423" priority="146642"/>
    <cfRule type="duplicateValues" dxfId="3422" priority="146643"/>
    <cfRule type="duplicateValues" dxfId="3421" priority="146644"/>
    <cfRule type="duplicateValues" dxfId="3420" priority="146645"/>
    <cfRule type="duplicateValues" dxfId="3419" priority="146646"/>
    <cfRule type="duplicateValues" dxfId="3418" priority="146647"/>
    <cfRule type="duplicateValues" dxfId="3417" priority="146911"/>
    <cfRule type="duplicateValues" dxfId="3416" priority="146648"/>
    <cfRule type="duplicateValues" dxfId="3415" priority="146649"/>
    <cfRule type="duplicateValues" dxfId="3414" priority="146650"/>
    <cfRule type="duplicateValues" dxfId="3413" priority="146651"/>
    <cfRule type="duplicateValues" dxfId="3412" priority="146652"/>
    <cfRule type="duplicateValues" dxfId="3411" priority="146653"/>
    <cfRule type="duplicateValues" dxfId="3410" priority="146654"/>
    <cfRule type="duplicateValues" dxfId="3409" priority="146655"/>
    <cfRule type="duplicateValues" dxfId="3408" priority="146656"/>
    <cfRule type="duplicateValues" dxfId="3407" priority="146657"/>
    <cfRule type="duplicateValues" dxfId="3406" priority="146658"/>
    <cfRule type="duplicateValues" dxfId="3405" priority="146659"/>
    <cfRule type="duplicateValues" dxfId="3404" priority="146660"/>
    <cfRule type="duplicateValues" dxfId="3403" priority="146661"/>
    <cfRule type="duplicateValues" dxfId="3402" priority="145671"/>
    <cfRule type="duplicateValues" dxfId="3401" priority="145672"/>
    <cfRule type="duplicateValues" dxfId="3400" priority="145673"/>
    <cfRule type="duplicateValues" dxfId="3399" priority="145674"/>
    <cfRule type="duplicateValues" dxfId="3398" priority="145675"/>
    <cfRule type="duplicateValues" dxfId="3397" priority="145676"/>
    <cfRule type="duplicateValues" dxfId="3396" priority="145677"/>
    <cfRule type="duplicateValues" dxfId="3395" priority="142717"/>
    <cfRule type="duplicateValues" dxfId="3394" priority="142718"/>
    <cfRule type="duplicateValues" dxfId="3393" priority="142719"/>
    <cfRule type="duplicateValues" dxfId="3392" priority="142720"/>
    <cfRule type="duplicateValues" dxfId="3391" priority="142721"/>
    <cfRule type="duplicateValues" dxfId="3390" priority="142722"/>
    <cfRule type="duplicateValues" dxfId="3389" priority="142723"/>
    <cfRule type="duplicateValues" dxfId="3388" priority="142724"/>
    <cfRule type="duplicateValues" dxfId="3387" priority="142725"/>
    <cfRule type="duplicateValues" dxfId="3386" priority="142726"/>
    <cfRule type="duplicateValues" dxfId="3385" priority="142727"/>
    <cfRule type="duplicateValues" dxfId="3384" priority="142728"/>
    <cfRule type="duplicateValues" dxfId="3383" priority="142729"/>
    <cfRule type="duplicateValues" dxfId="3382" priority="142730"/>
    <cfRule type="duplicateValues" dxfId="3381" priority="142731"/>
    <cfRule type="duplicateValues" dxfId="3380" priority="142732"/>
    <cfRule type="duplicateValues" dxfId="3379" priority="142733"/>
    <cfRule type="duplicateValues" dxfId="3378" priority="142734"/>
    <cfRule type="duplicateValues" dxfId="3377" priority="142735"/>
    <cfRule type="duplicateValues" dxfId="3376" priority="142736"/>
    <cfRule type="duplicateValues" dxfId="3375" priority="142737"/>
    <cfRule type="duplicateValues" dxfId="3374" priority="142738"/>
    <cfRule type="duplicateValues" dxfId="3373" priority="142739"/>
    <cfRule type="duplicateValues" dxfId="3372" priority="142740"/>
    <cfRule type="duplicateValues" dxfId="3371" priority="142741"/>
    <cfRule type="duplicateValues" dxfId="3370" priority="142742"/>
    <cfRule type="duplicateValues" dxfId="3369" priority="142743"/>
    <cfRule type="duplicateValues" dxfId="3368" priority="142744"/>
    <cfRule type="duplicateValues" dxfId="3367" priority="142745"/>
    <cfRule type="duplicateValues" dxfId="3366" priority="142746"/>
    <cfRule type="duplicateValues" dxfId="3365" priority="142747"/>
    <cfRule type="duplicateValues" dxfId="3364" priority="142748"/>
    <cfRule type="duplicateValues" dxfId="3363" priority="142749"/>
    <cfRule type="duplicateValues" dxfId="3362" priority="142750"/>
    <cfRule type="duplicateValues" dxfId="3361" priority="142751"/>
    <cfRule type="duplicateValues" dxfId="3360" priority="142752"/>
    <cfRule type="duplicateValues" dxfId="3359" priority="142753"/>
    <cfRule type="duplicateValues" dxfId="3358" priority="142754"/>
    <cfRule type="duplicateValues" dxfId="3357" priority="142755"/>
    <cfRule type="duplicateValues" dxfId="3356" priority="142756"/>
    <cfRule type="duplicateValues" dxfId="3355" priority="142757"/>
    <cfRule type="duplicateValues" dxfId="3354" priority="142758"/>
    <cfRule type="duplicateValues" dxfId="3353" priority="142759"/>
    <cfRule type="duplicateValues" dxfId="3352" priority="142760"/>
    <cfRule type="duplicateValues" dxfId="3351" priority="142761"/>
    <cfRule type="duplicateValues" dxfId="3350" priority="142762"/>
    <cfRule type="duplicateValues" dxfId="3349" priority="142763"/>
    <cfRule type="duplicateValues" dxfId="3348" priority="142764"/>
    <cfRule type="duplicateValues" dxfId="3347" priority="142765"/>
    <cfRule type="duplicateValues" dxfId="3346" priority="142766"/>
    <cfRule type="duplicateValues" dxfId="3345" priority="142767"/>
    <cfRule type="duplicateValues" dxfId="3344" priority="142768"/>
    <cfRule type="duplicateValues" dxfId="3343" priority="142769"/>
    <cfRule type="duplicateValues" dxfId="3342" priority="142770"/>
    <cfRule type="duplicateValues" dxfId="3341" priority="142771"/>
    <cfRule type="duplicateValues" dxfId="3340" priority="142772"/>
    <cfRule type="duplicateValues" dxfId="3339" priority="142773"/>
    <cfRule type="duplicateValues" dxfId="3338" priority="142774"/>
    <cfRule type="duplicateValues" dxfId="3337" priority="142775"/>
    <cfRule type="duplicateValues" dxfId="3336" priority="142776"/>
    <cfRule type="duplicateValues" dxfId="3335" priority="142777"/>
    <cfRule type="duplicateValues" dxfId="3334" priority="142778"/>
    <cfRule type="duplicateValues" dxfId="3333" priority="142779"/>
    <cfRule type="duplicateValues" dxfId="3332" priority="142780"/>
    <cfRule type="duplicateValues" dxfId="3331" priority="142781"/>
    <cfRule type="duplicateValues" dxfId="3330" priority="142782"/>
    <cfRule type="duplicateValues" dxfId="3329" priority="142783"/>
    <cfRule type="duplicateValues" dxfId="3328" priority="142784"/>
    <cfRule type="duplicateValues" dxfId="3327" priority="142785"/>
    <cfRule type="duplicateValues" dxfId="3326" priority="142786"/>
    <cfRule type="duplicateValues" dxfId="3325" priority="142787"/>
    <cfRule type="duplicateValues" dxfId="3324" priority="142788"/>
    <cfRule type="duplicateValues" dxfId="3323" priority="142789"/>
    <cfRule type="duplicateValues" dxfId="3322" priority="142790"/>
    <cfRule type="duplicateValues" dxfId="3321" priority="142791"/>
    <cfRule type="duplicateValues" dxfId="3320" priority="142792"/>
    <cfRule type="duplicateValues" dxfId="3319" priority="142793"/>
    <cfRule type="duplicateValues" dxfId="3318" priority="142794"/>
    <cfRule type="duplicateValues" dxfId="3317" priority="142795"/>
    <cfRule type="duplicateValues" dxfId="3316" priority="142796"/>
    <cfRule type="duplicateValues" dxfId="3315" priority="142797"/>
    <cfRule type="duplicateValues" dxfId="3314" priority="142798"/>
    <cfRule type="duplicateValues" dxfId="3313" priority="142799"/>
    <cfRule type="duplicateValues" dxfId="3312" priority="142800"/>
    <cfRule type="duplicateValues" dxfId="3311" priority="142801"/>
    <cfRule type="duplicateValues" dxfId="3310" priority="142802"/>
    <cfRule type="duplicateValues" dxfId="3309" priority="142803"/>
    <cfRule type="duplicateValues" dxfId="3308" priority="142804"/>
    <cfRule type="duplicateValues" dxfId="3307" priority="142805"/>
    <cfRule type="duplicateValues" dxfId="3306" priority="142806"/>
    <cfRule type="duplicateValues" dxfId="3305" priority="142807"/>
    <cfRule type="duplicateValues" dxfId="3304" priority="142808"/>
    <cfRule type="duplicateValues" dxfId="3303" priority="142809"/>
    <cfRule type="duplicateValues" dxfId="3302" priority="142810"/>
    <cfRule type="duplicateValues" dxfId="3301" priority="142811"/>
    <cfRule type="duplicateValues" dxfId="3300" priority="142812"/>
    <cfRule type="duplicateValues" dxfId="3299" priority="142813"/>
    <cfRule type="duplicateValues" dxfId="3298" priority="142814"/>
    <cfRule type="duplicateValues" dxfId="3297" priority="142815"/>
    <cfRule type="duplicateValues" dxfId="3296" priority="142816"/>
    <cfRule type="duplicateValues" dxfId="3295" priority="142817"/>
    <cfRule type="duplicateValues" dxfId="3294" priority="142818"/>
    <cfRule type="duplicateValues" dxfId="3293" priority="142819"/>
    <cfRule type="duplicateValues" dxfId="3292" priority="142820"/>
    <cfRule type="duplicateValues" dxfId="3291" priority="142821"/>
    <cfRule type="duplicateValues" dxfId="3290" priority="142822"/>
    <cfRule type="duplicateValues" dxfId="3289" priority="142823"/>
    <cfRule type="duplicateValues" dxfId="3288" priority="142824"/>
    <cfRule type="duplicateValues" dxfId="3287" priority="142825"/>
    <cfRule type="duplicateValues" dxfId="3286" priority="142826"/>
    <cfRule type="duplicateValues" dxfId="3285" priority="142827"/>
    <cfRule type="duplicateValues" dxfId="3284" priority="142828"/>
    <cfRule type="duplicateValues" dxfId="3283" priority="142829"/>
    <cfRule type="duplicateValues" dxfId="3282" priority="142830"/>
    <cfRule type="duplicateValues" dxfId="3281" priority="142831"/>
    <cfRule type="duplicateValues" dxfId="3280" priority="142832"/>
    <cfRule type="duplicateValues" dxfId="3279" priority="142833"/>
    <cfRule type="duplicateValues" dxfId="3278" priority="142834"/>
    <cfRule type="duplicateValues" dxfId="3277" priority="142835"/>
    <cfRule type="duplicateValues" dxfId="3276" priority="142836"/>
    <cfRule type="duplicateValues" dxfId="3275" priority="142837"/>
    <cfRule type="duplicateValues" dxfId="3274" priority="142838"/>
    <cfRule type="duplicateValues" dxfId="3273" priority="142839"/>
    <cfRule type="duplicateValues" dxfId="3272" priority="142840"/>
    <cfRule type="duplicateValues" dxfId="3271" priority="142841"/>
    <cfRule type="duplicateValues" dxfId="3270" priority="142842"/>
    <cfRule type="duplicateValues" dxfId="3269" priority="142843"/>
    <cfRule type="duplicateValues" dxfId="3268" priority="142844"/>
    <cfRule type="duplicateValues" dxfId="3267" priority="142845"/>
    <cfRule type="duplicateValues" dxfId="3266" priority="142846"/>
    <cfRule type="duplicateValues" dxfId="3265" priority="142847"/>
    <cfRule type="duplicateValues" dxfId="3264" priority="142848"/>
    <cfRule type="duplicateValues" dxfId="3263" priority="142849"/>
    <cfRule type="duplicateValues" dxfId="3262" priority="142850"/>
    <cfRule type="duplicateValues" dxfId="3261" priority="142851"/>
    <cfRule type="duplicateValues" dxfId="3260" priority="142852"/>
    <cfRule type="duplicateValues" dxfId="3259" priority="142853"/>
    <cfRule type="duplicateValues" dxfId="3258" priority="142854"/>
    <cfRule type="duplicateValues" dxfId="3257" priority="142855"/>
    <cfRule type="duplicateValues" dxfId="3256" priority="142856"/>
    <cfRule type="duplicateValues" dxfId="3255" priority="142857"/>
    <cfRule type="duplicateValues" dxfId="3254" priority="142858"/>
    <cfRule type="duplicateValues" dxfId="3253" priority="142859"/>
    <cfRule type="duplicateValues" dxfId="3252" priority="142860"/>
    <cfRule type="duplicateValues" dxfId="3251" priority="142861"/>
    <cfRule type="duplicateValues" dxfId="3250" priority="142862"/>
    <cfRule type="duplicateValues" dxfId="3249" priority="142863"/>
    <cfRule type="duplicateValues" dxfId="3248" priority="142864"/>
    <cfRule type="duplicateValues" dxfId="3247" priority="142865"/>
    <cfRule type="duplicateValues" dxfId="3246" priority="142866"/>
    <cfRule type="duplicateValues" dxfId="3245" priority="142867"/>
    <cfRule type="duplicateValues" dxfId="3244" priority="142868"/>
    <cfRule type="duplicateValues" dxfId="3243" priority="142869"/>
    <cfRule type="duplicateValues" dxfId="3242" priority="142870"/>
    <cfRule type="duplicateValues" dxfId="3241" priority="142871"/>
    <cfRule type="duplicateValues" dxfId="3240" priority="142872"/>
    <cfRule type="duplicateValues" dxfId="3239" priority="142873"/>
    <cfRule type="duplicateValues" dxfId="3238" priority="142874"/>
    <cfRule type="duplicateValues" dxfId="3237" priority="142875"/>
    <cfRule type="duplicateValues" dxfId="3236" priority="142876"/>
    <cfRule type="duplicateValues" dxfId="3235" priority="142877"/>
    <cfRule type="duplicateValues" dxfId="3234" priority="142878"/>
    <cfRule type="duplicateValues" dxfId="3233" priority="142879"/>
    <cfRule type="duplicateValues" dxfId="3232" priority="142880"/>
    <cfRule type="duplicateValues" dxfId="3231" priority="142881"/>
    <cfRule type="duplicateValues" dxfId="3230" priority="142882"/>
    <cfRule type="duplicateValues" dxfId="3229" priority="142883"/>
    <cfRule type="duplicateValues" dxfId="3228" priority="142884"/>
    <cfRule type="duplicateValues" dxfId="3227" priority="142885"/>
    <cfRule type="duplicateValues" dxfId="3226" priority="142886"/>
    <cfRule type="duplicateValues" dxfId="3225" priority="142887"/>
    <cfRule type="duplicateValues" dxfId="3224" priority="142888"/>
    <cfRule type="duplicateValues" dxfId="3223" priority="142889"/>
    <cfRule type="duplicateValues" dxfId="3222" priority="142890"/>
    <cfRule type="duplicateValues" dxfId="3221" priority="142891"/>
    <cfRule type="duplicateValues" dxfId="3220" priority="142892"/>
    <cfRule type="duplicateValues" dxfId="3219" priority="142893"/>
    <cfRule type="duplicateValues" dxfId="3218" priority="142894"/>
    <cfRule type="duplicateValues" dxfId="3217" priority="142895"/>
    <cfRule type="duplicateValues" dxfId="3216" priority="142896"/>
    <cfRule type="duplicateValues" dxfId="3215" priority="145678"/>
    <cfRule type="duplicateValues" dxfId="3214" priority="145679"/>
    <cfRule type="duplicateValues" dxfId="3213" priority="145680"/>
    <cfRule type="duplicateValues" dxfId="3212" priority="145681"/>
    <cfRule type="duplicateValues" dxfId="3211" priority="145682"/>
    <cfRule type="duplicateValues" dxfId="3210" priority="145683"/>
    <cfRule type="duplicateValues" dxfId="3209" priority="145684"/>
    <cfRule type="duplicateValues" dxfId="3208" priority="145685"/>
    <cfRule type="duplicateValues" dxfId="3207" priority="145686"/>
    <cfRule type="duplicateValues" dxfId="3206" priority="145687"/>
    <cfRule type="duplicateValues" dxfId="3205" priority="145688"/>
    <cfRule type="duplicateValues" dxfId="3204" priority="145689"/>
    <cfRule type="duplicateValues" dxfId="3203" priority="145690"/>
    <cfRule type="duplicateValues" dxfId="3202" priority="145691"/>
    <cfRule type="duplicateValues" dxfId="3201" priority="145692"/>
    <cfRule type="duplicateValues" dxfId="3200" priority="145693"/>
    <cfRule type="duplicateValues" dxfId="3199" priority="145694"/>
    <cfRule type="duplicateValues" dxfId="3198" priority="145695"/>
    <cfRule type="duplicateValues" dxfId="3197" priority="145696"/>
    <cfRule type="duplicateValues" dxfId="3196" priority="145697"/>
    <cfRule type="duplicateValues" dxfId="3195" priority="145698"/>
    <cfRule type="duplicateValues" dxfId="3194" priority="145699"/>
    <cfRule type="duplicateValues" dxfId="3193" priority="145700"/>
    <cfRule type="duplicateValues" dxfId="3192" priority="145701"/>
    <cfRule type="duplicateValues" dxfId="3191" priority="144631"/>
    <cfRule type="duplicateValues" dxfId="3190" priority="144632"/>
    <cfRule type="duplicateValues" dxfId="3189" priority="144633"/>
    <cfRule type="duplicateValues" dxfId="3188" priority="144634"/>
    <cfRule type="duplicateValues" dxfId="3187" priority="144635"/>
    <cfRule type="duplicateValues" dxfId="3186" priority="144636"/>
    <cfRule type="duplicateValues" dxfId="3185" priority="142927"/>
    <cfRule type="duplicateValues" dxfId="3184" priority="142928"/>
    <cfRule type="duplicateValues" dxfId="3183" priority="142929"/>
    <cfRule type="duplicateValues" dxfId="3182" priority="142930"/>
    <cfRule type="duplicateValues" dxfId="3181" priority="142931"/>
    <cfRule type="duplicateValues" dxfId="3180" priority="142932"/>
    <cfRule type="duplicateValues" dxfId="3179" priority="142933"/>
    <cfRule type="duplicateValues" dxfId="3178" priority="142934"/>
    <cfRule type="duplicateValues" dxfId="3177" priority="142935"/>
    <cfRule type="duplicateValues" dxfId="3176" priority="142936"/>
    <cfRule type="duplicateValues" dxfId="3175" priority="142937"/>
    <cfRule type="duplicateValues" dxfId="3174" priority="142938"/>
    <cfRule type="duplicateValues" dxfId="3173" priority="142939"/>
    <cfRule type="duplicateValues" dxfId="3172" priority="142940"/>
    <cfRule type="duplicateValues" dxfId="3171" priority="142941"/>
    <cfRule type="duplicateValues" dxfId="3170" priority="142942"/>
    <cfRule type="duplicateValues" dxfId="3169" priority="142943"/>
    <cfRule type="duplicateValues" dxfId="3168" priority="142944"/>
    <cfRule type="duplicateValues" dxfId="3167" priority="142945"/>
    <cfRule type="duplicateValues" dxfId="3166" priority="142946"/>
    <cfRule type="duplicateValues" dxfId="3165" priority="142947"/>
    <cfRule type="duplicateValues" dxfId="3164" priority="142948"/>
    <cfRule type="duplicateValues" dxfId="3163" priority="142949"/>
    <cfRule type="duplicateValues" dxfId="3162" priority="142950"/>
    <cfRule type="duplicateValues" dxfId="3161" priority="142951"/>
    <cfRule type="duplicateValues" dxfId="3160" priority="142952"/>
    <cfRule type="duplicateValues" dxfId="3159" priority="142953"/>
    <cfRule type="duplicateValues" dxfId="3158" priority="142955"/>
    <cfRule type="duplicateValues" dxfId="3157" priority="142956"/>
    <cfRule type="duplicateValues" dxfId="3156" priority="142957"/>
    <cfRule type="duplicateValues" dxfId="3155" priority="142958"/>
    <cfRule type="duplicateValues" dxfId="3154" priority="142959"/>
    <cfRule type="duplicateValues" dxfId="3153" priority="142960"/>
    <cfRule type="duplicateValues" dxfId="3152" priority="142961"/>
    <cfRule type="duplicateValues" dxfId="3151" priority="142962"/>
    <cfRule type="duplicateValues" dxfId="3150" priority="142963"/>
    <cfRule type="duplicateValues" dxfId="3149" priority="142964"/>
    <cfRule type="duplicateValues" dxfId="3148" priority="142965"/>
    <cfRule type="duplicateValues" dxfId="3147" priority="142966"/>
    <cfRule type="duplicateValues" dxfId="3146" priority="142967"/>
    <cfRule type="duplicateValues" dxfId="3145" priority="142968"/>
    <cfRule type="duplicateValues" dxfId="3144" priority="142969"/>
    <cfRule type="duplicateValues" dxfId="3143" priority="142970"/>
    <cfRule type="duplicateValues" dxfId="3142" priority="142971"/>
    <cfRule type="duplicateValues" dxfId="3141" priority="142972"/>
    <cfRule type="duplicateValues" dxfId="3140" priority="142973"/>
    <cfRule type="duplicateValues" dxfId="3139" priority="142974"/>
    <cfRule type="duplicateValues" dxfId="3138" priority="142975"/>
    <cfRule type="duplicateValues" dxfId="3137" priority="142976"/>
    <cfRule type="duplicateValues" dxfId="3136" priority="142977"/>
    <cfRule type="duplicateValues" dxfId="3135" priority="142978"/>
    <cfRule type="duplicateValues" dxfId="3134" priority="142979"/>
    <cfRule type="duplicateValues" dxfId="3133" priority="142980"/>
    <cfRule type="duplicateValues" dxfId="3132" priority="142981"/>
    <cfRule type="duplicateValues" dxfId="3131" priority="142982"/>
    <cfRule type="duplicateValues" dxfId="3130" priority="142983"/>
    <cfRule type="duplicateValues" dxfId="3129" priority="142984"/>
    <cfRule type="duplicateValues" dxfId="3128" priority="142985"/>
    <cfRule type="duplicateValues" dxfId="3127" priority="142986"/>
    <cfRule type="duplicateValues" dxfId="3126" priority="142987"/>
    <cfRule type="duplicateValues" dxfId="3125" priority="142988"/>
    <cfRule type="duplicateValues" dxfId="3124" priority="142989"/>
    <cfRule type="duplicateValues" dxfId="3123" priority="142990"/>
    <cfRule type="duplicateValues" dxfId="3122" priority="142991"/>
    <cfRule type="duplicateValues" dxfId="3121" priority="142992"/>
    <cfRule type="duplicateValues" dxfId="3120" priority="142993"/>
    <cfRule type="duplicateValues" dxfId="3119" priority="142994"/>
    <cfRule type="duplicateValues" dxfId="3118" priority="142995"/>
    <cfRule type="duplicateValues" dxfId="3117" priority="142996"/>
    <cfRule type="duplicateValues" dxfId="3116" priority="142997"/>
    <cfRule type="duplicateValues" dxfId="3115" priority="142998"/>
    <cfRule type="duplicateValues" dxfId="3114" priority="142999"/>
    <cfRule type="duplicateValues" dxfId="3113" priority="143000"/>
    <cfRule type="duplicateValues" dxfId="3112" priority="143001"/>
    <cfRule type="duplicateValues" dxfId="3111" priority="143002"/>
    <cfRule type="duplicateValues" dxfId="3110" priority="143003"/>
    <cfRule type="duplicateValues" dxfId="3109" priority="143004"/>
    <cfRule type="duplicateValues" dxfId="3108" priority="143005"/>
    <cfRule type="duplicateValues" dxfId="3107" priority="143006"/>
    <cfRule type="duplicateValues" dxfId="3106" priority="143007"/>
    <cfRule type="duplicateValues" dxfId="3105" priority="143008"/>
    <cfRule type="duplicateValues" dxfId="3104" priority="143009"/>
    <cfRule type="duplicateValues" dxfId="3103" priority="143010"/>
    <cfRule type="duplicateValues" dxfId="3102" priority="143011"/>
    <cfRule type="duplicateValues" dxfId="3101" priority="143012"/>
    <cfRule type="duplicateValues" dxfId="3100" priority="143013"/>
    <cfRule type="duplicateValues" dxfId="3099" priority="143014"/>
    <cfRule type="duplicateValues" dxfId="3098" priority="143015"/>
    <cfRule type="duplicateValues" dxfId="3097" priority="143016"/>
    <cfRule type="duplicateValues" dxfId="3096" priority="143017"/>
    <cfRule type="duplicateValues" dxfId="3095" priority="143018"/>
    <cfRule type="duplicateValues" dxfId="3094" priority="143019"/>
    <cfRule type="duplicateValues" dxfId="3093" priority="143020"/>
    <cfRule type="duplicateValues" dxfId="3092" priority="143021"/>
    <cfRule type="duplicateValues" dxfId="3091" priority="143022"/>
    <cfRule type="duplicateValues" dxfId="3090" priority="143023"/>
    <cfRule type="duplicateValues" dxfId="3089" priority="143024"/>
    <cfRule type="duplicateValues" dxfId="3088" priority="143025"/>
    <cfRule type="duplicateValues" dxfId="3087" priority="143026"/>
    <cfRule type="duplicateValues" dxfId="3086" priority="143027"/>
    <cfRule type="duplicateValues" dxfId="3085" priority="143028"/>
    <cfRule type="duplicateValues" dxfId="3084" priority="143029"/>
    <cfRule type="duplicateValues" dxfId="3083" priority="143030"/>
    <cfRule type="duplicateValues" dxfId="3082" priority="143031"/>
    <cfRule type="duplicateValues" dxfId="3081" priority="143032"/>
    <cfRule type="duplicateValues" dxfId="3080" priority="143033"/>
    <cfRule type="duplicateValues" dxfId="3079" priority="143034"/>
    <cfRule type="duplicateValues" dxfId="3078" priority="143035"/>
    <cfRule type="duplicateValues" dxfId="3077" priority="143036"/>
    <cfRule type="duplicateValues" dxfId="3076" priority="143037"/>
    <cfRule type="duplicateValues" dxfId="3075" priority="143038"/>
    <cfRule type="duplicateValues" dxfId="3074" priority="143039"/>
    <cfRule type="duplicateValues" dxfId="3073" priority="143040"/>
    <cfRule type="duplicateValues" dxfId="3072" priority="143041"/>
    <cfRule type="duplicateValues" dxfId="3071" priority="143042"/>
    <cfRule type="duplicateValues" dxfId="3070" priority="143043"/>
    <cfRule type="duplicateValues" dxfId="3069" priority="143044"/>
    <cfRule type="duplicateValues" dxfId="3068" priority="143045"/>
    <cfRule type="duplicateValues" dxfId="3067" priority="143046"/>
    <cfRule type="duplicateValues" dxfId="3066" priority="143047"/>
    <cfRule type="duplicateValues" dxfId="3065" priority="143048"/>
    <cfRule type="duplicateValues" dxfId="3064" priority="143049"/>
    <cfRule type="duplicateValues" dxfId="3063" priority="143050"/>
    <cfRule type="duplicateValues" dxfId="3062" priority="143051"/>
    <cfRule type="duplicateValues" dxfId="3061" priority="143052"/>
    <cfRule type="duplicateValues" dxfId="3060" priority="143053"/>
    <cfRule type="duplicateValues" dxfId="3059" priority="143054"/>
    <cfRule type="duplicateValues" dxfId="3058" priority="143055"/>
    <cfRule type="duplicateValues" dxfId="3057" priority="143056"/>
    <cfRule type="duplicateValues" dxfId="3056" priority="143057"/>
    <cfRule type="duplicateValues" dxfId="3055" priority="143058"/>
    <cfRule type="duplicateValues" dxfId="3054" priority="143059"/>
    <cfRule type="duplicateValues" dxfId="3053" priority="143060"/>
    <cfRule type="duplicateValues" dxfId="3052" priority="143061"/>
    <cfRule type="duplicateValues" dxfId="3051" priority="143062"/>
    <cfRule type="duplicateValues" dxfId="3050" priority="143063"/>
    <cfRule type="duplicateValues" dxfId="3049" priority="143064"/>
    <cfRule type="duplicateValues" dxfId="3048" priority="143065"/>
    <cfRule type="duplicateValues" dxfId="3047" priority="143066"/>
    <cfRule type="duplicateValues" dxfId="3046" priority="143067"/>
    <cfRule type="duplicateValues" dxfId="3045" priority="143068"/>
    <cfRule type="duplicateValues" dxfId="3044" priority="143069"/>
    <cfRule type="duplicateValues" dxfId="3043" priority="143070"/>
    <cfRule type="duplicateValues" dxfId="3042" priority="143071"/>
    <cfRule type="duplicateValues" dxfId="3041" priority="143072"/>
    <cfRule type="duplicateValues" dxfId="3040" priority="143073"/>
    <cfRule type="duplicateValues" dxfId="3039" priority="143074"/>
    <cfRule type="duplicateValues" dxfId="3038" priority="143075"/>
    <cfRule type="duplicateValues" dxfId="3037" priority="143076"/>
    <cfRule type="duplicateValues" dxfId="3036" priority="144637"/>
    <cfRule type="duplicateValues" dxfId="3035" priority="144638"/>
    <cfRule type="duplicateValues" dxfId="3034" priority="144639"/>
    <cfRule type="duplicateValues" dxfId="3033" priority="144640"/>
    <cfRule type="duplicateValues" dxfId="3032" priority="144641"/>
    <cfRule type="duplicateValues" dxfId="3031" priority="144642"/>
    <cfRule type="duplicateValues" dxfId="3030" priority="144643"/>
    <cfRule type="duplicateValues" dxfId="3029" priority="144644"/>
    <cfRule type="duplicateValues" dxfId="3028" priority="144645"/>
    <cfRule type="duplicateValues" dxfId="3027" priority="144646"/>
    <cfRule type="duplicateValues" dxfId="3026" priority="144647"/>
    <cfRule type="duplicateValues" dxfId="3025" priority="144648"/>
    <cfRule type="duplicateValues" dxfId="3024" priority="144649"/>
    <cfRule type="duplicateValues" dxfId="3023" priority="144650"/>
    <cfRule type="duplicateValues" dxfId="3022" priority="144651"/>
    <cfRule type="duplicateValues" dxfId="3021" priority="144652"/>
    <cfRule type="duplicateValues" dxfId="3020" priority="144653"/>
    <cfRule type="duplicateValues" dxfId="3019" priority="144654"/>
    <cfRule type="duplicateValues" dxfId="3018" priority="144655"/>
    <cfRule type="duplicateValues" dxfId="3017" priority="144656"/>
    <cfRule type="duplicateValues" dxfId="3016" priority="144657"/>
    <cfRule type="duplicateValues" dxfId="3015" priority="144658"/>
    <cfRule type="duplicateValues" dxfId="3014" priority="144659"/>
    <cfRule type="duplicateValues" dxfId="3013" priority="146722"/>
    <cfRule type="duplicateValues" dxfId="3012" priority="146723"/>
    <cfRule type="duplicateValues" dxfId="3011" priority="146724"/>
    <cfRule type="duplicateValues" dxfId="3010" priority="146725"/>
    <cfRule type="duplicateValues" dxfId="3009" priority="146726"/>
    <cfRule type="duplicateValues" dxfId="3008" priority="146727"/>
    <cfRule type="duplicateValues" dxfId="3007" priority="146728"/>
    <cfRule type="duplicateValues" dxfId="3006" priority="143107"/>
    <cfRule type="duplicateValues" dxfId="3005" priority="143108"/>
    <cfRule type="duplicateValues" dxfId="3004" priority="143109"/>
    <cfRule type="duplicateValues" dxfId="3003" priority="143110"/>
    <cfRule type="duplicateValues" dxfId="3002" priority="143111"/>
    <cfRule type="duplicateValues" dxfId="3001" priority="143112"/>
    <cfRule type="duplicateValues" dxfId="3000" priority="143113"/>
    <cfRule type="duplicateValues" dxfId="2999" priority="143114"/>
    <cfRule type="duplicateValues" dxfId="2998" priority="143115"/>
    <cfRule type="duplicateValues" dxfId="2997" priority="143116"/>
    <cfRule type="duplicateValues" dxfId="2996" priority="143117"/>
    <cfRule type="duplicateValues" dxfId="2995" priority="143118"/>
    <cfRule type="duplicateValues" dxfId="2994" priority="143119"/>
    <cfRule type="duplicateValues" dxfId="2993" priority="143120"/>
    <cfRule type="duplicateValues" dxfId="2992" priority="143121"/>
    <cfRule type="duplicateValues" dxfId="2991" priority="143122"/>
    <cfRule type="duplicateValues" dxfId="2990" priority="143123"/>
    <cfRule type="duplicateValues" dxfId="2989" priority="143124"/>
    <cfRule type="duplicateValues" dxfId="2988" priority="143125"/>
    <cfRule type="duplicateValues" dxfId="2987" priority="143126"/>
    <cfRule type="duplicateValues" dxfId="2986" priority="143127"/>
    <cfRule type="duplicateValues" dxfId="2985" priority="143128"/>
    <cfRule type="duplicateValues" dxfId="2984" priority="143129"/>
    <cfRule type="duplicateValues" dxfId="2983" priority="143130"/>
    <cfRule type="duplicateValues" dxfId="2982" priority="143131"/>
    <cfRule type="duplicateValues" dxfId="2981" priority="143132"/>
    <cfRule type="duplicateValues" dxfId="2980" priority="143133"/>
    <cfRule type="duplicateValues" dxfId="2979" priority="143134"/>
    <cfRule type="duplicateValues" dxfId="2978" priority="143135"/>
    <cfRule type="duplicateValues" dxfId="2977" priority="143136"/>
    <cfRule type="duplicateValues" dxfId="2976" priority="143137"/>
    <cfRule type="duplicateValues" dxfId="2975" priority="143138"/>
    <cfRule type="duplicateValues" dxfId="2974" priority="143139"/>
    <cfRule type="duplicateValues" dxfId="2973" priority="143140"/>
    <cfRule type="duplicateValues" dxfId="2972" priority="143141"/>
    <cfRule type="duplicateValues" dxfId="2971" priority="143142"/>
    <cfRule type="duplicateValues" dxfId="2970" priority="143143"/>
    <cfRule type="duplicateValues" dxfId="2969" priority="143144"/>
    <cfRule type="duplicateValues" dxfId="2968" priority="143145"/>
    <cfRule type="duplicateValues" dxfId="2967" priority="143146"/>
    <cfRule type="duplicateValues" dxfId="2966" priority="143147"/>
    <cfRule type="duplicateValues" dxfId="2965" priority="143148"/>
    <cfRule type="duplicateValues" dxfId="2964" priority="143149"/>
    <cfRule type="duplicateValues" dxfId="2963" priority="143150"/>
    <cfRule type="duplicateValues" dxfId="2962" priority="143151"/>
    <cfRule type="duplicateValues" dxfId="2961" priority="143152"/>
    <cfRule type="duplicateValues" dxfId="2960" priority="143153"/>
    <cfRule type="duplicateValues" dxfId="2959" priority="143154"/>
    <cfRule type="duplicateValues" dxfId="2958" priority="143155"/>
    <cfRule type="duplicateValues" dxfId="2957" priority="143156"/>
    <cfRule type="duplicateValues" dxfId="2956" priority="143157"/>
    <cfRule type="duplicateValues" dxfId="2955" priority="143158"/>
    <cfRule type="duplicateValues" dxfId="2954" priority="143159"/>
    <cfRule type="duplicateValues" dxfId="2953" priority="143160"/>
    <cfRule type="duplicateValues" dxfId="2952" priority="143161"/>
    <cfRule type="duplicateValues" dxfId="2951" priority="143162"/>
    <cfRule type="duplicateValues" dxfId="2950" priority="143163"/>
    <cfRule type="duplicateValues" dxfId="2949" priority="143164"/>
    <cfRule type="duplicateValues" dxfId="2948" priority="143165"/>
    <cfRule type="duplicateValues" dxfId="2947" priority="143166"/>
    <cfRule type="duplicateValues" dxfId="2946" priority="143167"/>
    <cfRule type="duplicateValues" dxfId="2945" priority="143168"/>
    <cfRule type="duplicateValues" dxfId="2944" priority="143169"/>
    <cfRule type="duplicateValues" dxfId="2943" priority="143170"/>
    <cfRule type="duplicateValues" dxfId="2942" priority="143171"/>
    <cfRule type="duplicateValues" dxfId="2941" priority="143172"/>
    <cfRule type="duplicateValues" dxfId="2940" priority="143173"/>
    <cfRule type="duplicateValues" dxfId="2939" priority="143174"/>
    <cfRule type="duplicateValues" dxfId="2938" priority="143175"/>
    <cfRule type="duplicateValues" dxfId="2937" priority="143176"/>
    <cfRule type="duplicateValues" dxfId="2936" priority="143177"/>
    <cfRule type="duplicateValues" dxfId="2935" priority="143178"/>
    <cfRule type="duplicateValues" dxfId="2934" priority="143179"/>
    <cfRule type="duplicateValues" dxfId="2933" priority="143180"/>
    <cfRule type="duplicateValues" dxfId="2932" priority="143181"/>
    <cfRule type="duplicateValues" dxfId="2931" priority="143182"/>
    <cfRule type="duplicateValues" dxfId="2930" priority="143183"/>
    <cfRule type="duplicateValues" dxfId="2929" priority="146729"/>
    <cfRule type="duplicateValues" dxfId="2928" priority="143185"/>
    <cfRule type="duplicateValues" dxfId="2927" priority="143186"/>
    <cfRule type="duplicateValues" dxfId="2926" priority="143187"/>
    <cfRule type="duplicateValues" dxfId="2925" priority="143188"/>
    <cfRule type="duplicateValues" dxfId="2924" priority="143189"/>
    <cfRule type="duplicateValues" dxfId="2923" priority="143190"/>
    <cfRule type="duplicateValues" dxfId="2922" priority="143191"/>
    <cfRule type="duplicateValues" dxfId="2921" priority="143192"/>
    <cfRule type="duplicateValues" dxfId="2920" priority="143193"/>
    <cfRule type="duplicateValues" dxfId="2919" priority="143194"/>
    <cfRule type="duplicateValues" dxfId="2918" priority="143195"/>
    <cfRule type="duplicateValues" dxfId="2917" priority="143196"/>
    <cfRule type="duplicateValues" dxfId="2916" priority="143197"/>
    <cfRule type="duplicateValues" dxfId="2915" priority="143198"/>
    <cfRule type="duplicateValues" dxfId="2914" priority="143199"/>
    <cfRule type="duplicateValues" dxfId="2913" priority="143200"/>
    <cfRule type="duplicateValues" dxfId="2912" priority="143201"/>
    <cfRule type="duplicateValues" dxfId="2911" priority="143202"/>
    <cfRule type="duplicateValues" dxfId="2910" priority="143203"/>
    <cfRule type="duplicateValues" dxfId="2909" priority="143204"/>
    <cfRule type="duplicateValues" dxfId="2908" priority="143205"/>
    <cfRule type="duplicateValues" dxfId="2907" priority="143206"/>
    <cfRule type="duplicateValues" dxfId="2906" priority="143207"/>
    <cfRule type="duplicateValues" dxfId="2905" priority="143208"/>
    <cfRule type="duplicateValues" dxfId="2904" priority="143209"/>
    <cfRule type="duplicateValues" dxfId="2903" priority="143210"/>
    <cfRule type="duplicateValues" dxfId="2902" priority="143211"/>
    <cfRule type="duplicateValues" dxfId="2901" priority="143212"/>
    <cfRule type="duplicateValues" dxfId="2900" priority="143213"/>
    <cfRule type="duplicateValues" dxfId="2899" priority="143214"/>
    <cfRule type="duplicateValues" dxfId="2898" priority="143215"/>
    <cfRule type="duplicateValues" dxfId="2897" priority="143216"/>
    <cfRule type="duplicateValues" dxfId="2896" priority="143217"/>
    <cfRule type="duplicateValues" dxfId="2895" priority="143218"/>
    <cfRule type="duplicateValues" dxfId="2894" priority="143219"/>
    <cfRule type="duplicateValues" dxfId="2893" priority="143220"/>
    <cfRule type="duplicateValues" dxfId="2892" priority="143221"/>
    <cfRule type="duplicateValues" dxfId="2891" priority="143222"/>
    <cfRule type="duplicateValues" dxfId="2890" priority="143223"/>
    <cfRule type="duplicateValues" dxfId="2889" priority="143224"/>
    <cfRule type="duplicateValues" dxfId="2888" priority="143225"/>
    <cfRule type="duplicateValues" dxfId="2887" priority="143226"/>
    <cfRule type="duplicateValues" dxfId="2886" priority="146730"/>
    <cfRule type="duplicateValues" dxfId="2885" priority="146731"/>
    <cfRule type="duplicateValues" dxfId="2884" priority="146732"/>
    <cfRule type="duplicateValues" dxfId="2883" priority="146733"/>
    <cfRule type="duplicateValues" dxfId="2882" priority="146734"/>
    <cfRule type="duplicateValues" dxfId="2881" priority="146735"/>
    <cfRule type="duplicateValues" dxfId="2880" priority="146736"/>
    <cfRule type="duplicateValues" dxfId="2879" priority="146737"/>
    <cfRule type="duplicateValues" dxfId="2878" priority="146738"/>
    <cfRule type="duplicateValues" dxfId="2877" priority="146739"/>
    <cfRule type="duplicateValues" dxfId="2876" priority="146740"/>
    <cfRule type="duplicateValues" dxfId="2875" priority="146741"/>
    <cfRule type="duplicateValues" dxfId="2874" priority="146742"/>
    <cfRule type="duplicateValues" dxfId="2873" priority="146743"/>
    <cfRule type="duplicateValues" dxfId="2872" priority="146744"/>
    <cfRule type="duplicateValues" dxfId="2871" priority="146745"/>
    <cfRule type="duplicateValues" dxfId="2870" priority="146746"/>
    <cfRule type="duplicateValues" dxfId="2869" priority="146747"/>
    <cfRule type="duplicateValues" dxfId="2868" priority="146748"/>
    <cfRule type="duplicateValues" dxfId="2867" priority="146749"/>
    <cfRule type="duplicateValues" dxfId="2866" priority="146750"/>
    <cfRule type="duplicateValues" dxfId="2865" priority="146751"/>
    <cfRule type="duplicateValues" dxfId="2864" priority="146752"/>
    <cfRule type="duplicateValues" dxfId="2863" priority="146753"/>
    <cfRule type="duplicateValues" dxfId="2862" priority="146754"/>
    <cfRule type="duplicateValues" dxfId="2861" priority="146755"/>
    <cfRule type="duplicateValues" dxfId="2860" priority="146756"/>
    <cfRule type="duplicateValues" dxfId="2859" priority="146757"/>
    <cfRule type="duplicateValues" dxfId="2858" priority="146758"/>
    <cfRule type="duplicateValues" dxfId="2857" priority="146759"/>
    <cfRule type="duplicateValues" dxfId="2856" priority="143257"/>
    <cfRule type="duplicateValues" dxfId="2855" priority="143258"/>
    <cfRule type="duplicateValues" dxfId="2854" priority="143259"/>
    <cfRule type="duplicateValues" dxfId="2853" priority="143260"/>
    <cfRule type="duplicateValues" dxfId="2852" priority="143261"/>
    <cfRule type="duplicateValues" dxfId="2851" priority="143262"/>
    <cfRule type="duplicateValues" dxfId="2850" priority="143263"/>
    <cfRule type="duplicateValues" dxfId="2849" priority="143264"/>
    <cfRule type="duplicateValues" dxfId="2848" priority="143265"/>
    <cfRule type="duplicateValues" dxfId="2847" priority="143266"/>
    <cfRule type="duplicateValues" dxfId="2846" priority="143267"/>
    <cfRule type="duplicateValues" dxfId="2845" priority="143268"/>
    <cfRule type="duplicateValues" dxfId="2844" priority="143269"/>
    <cfRule type="duplicateValues" dxfId="2843" priority="143270"/>
    <cfRule type="duplicateValues" dxfId="2842" priority="143271"/>
    <cfRule type="duplicateValues" dxfId="2841" priority="143272"/>
    <cfRule type="duplicateValues" dxfId="2840" priority="143273"/>
    <cfRule type="duplicateValues" dxfId="2839" priority="143274"/>
    <cfRule type="duplicateValues" dxfId="2838" priority="143275"/>
    <cfRule type="duplicateValues" dxfId="2837" priority="143276"/>
    <cfRule type="duplicateValues" dxfId="2836" priority="143277"/>
    <cfRule type="duplicateValues" dxfId="2835" priority="143278"/>
    <cfRule type="duplicateValues" dxfId="2834" priority="143279"/>
    <cfRule type="duplicateValues" dxfId="2833" priority="143280"/>
    <cfRule type="duplicateValues" dxfId="2832" priority="143281"/>
    <cfRule type="duplicateValues" dxfId="2831" priority="143282"/>
    <cfRule type="duplicateValues" dxfId="2830" priority="143283"/>
    <cfRule type="duplicateValues" dxfId="2829" priority="143284"/>
    <cfRule type="duplicateValues" dxfId="2828" priority="143285"/>
    <cfRule type="duplicateValues" dxfId="2827" priority="143286"/>
    <cfRule type="duplicateValues" dxfId="2826" priority="143287"/>
    <cfRule type="duplicateValues" dxfId="2825" priority="143288"/>
    <cfRule type="duplicateValues" dxfId="2824" priority="143289"/>
    <cfRule type="duplicateValues" dxfId="2823" priority="143290"/>
    <cfRule type="duplicateValues" dxfId="2822" priority="143291"/>
    <cfRule type="duplicateValues" dxfId="2821" priority="143292"/>
    <cfRule type="duplicateValues" dxfId="2820" priority="143293"/>
    <cfRule type="duplicateValues" dxfId="2819" priority="143294"/>
    <cfRule type="duplicateValues" dxfId="2818" priority="143295"/>
    <cfRule type="duplicateValues" dxfId="2817" priority="143296"/>
    <cfRule type="duplicateValues" dxfId="2816" priority="143297"/>
    <cfRule type="duplicateValues" dxfId="2815" priority="143298"/>
    <cfRule type="duplicateValues" dxfId="2814" priority="143299"/>
    <cfRule type="duplicateValues" dxfId="2813" priority="143300"/>
    <cfRule type="duplicateValues" dxfId="2812" priority="143301"/>
    <cfRule type="duplicateValues" dxfId="2811" priority="143302"/>
    <cfRule type="duplicateValues" dxfId="2810" priority="143303"/>
    <cfRule type="duplicateValues" dxfId="2809" priority="143304"/>
    <cfRule type="duplicateValues" dxfId="2808" priority="143305"/>
    <cfRule type="duplicateValues" dxfId="2807" priority="143306"/>
    <cfRule type="duplicateValues" dxfId="2806" priority="143307"/>
    <cfRule type="duplicateValues" dxfId="2805" priority="143308"/>
    <cfRule type="duplicateValues" dxfId="2804" priority="143309"/>
    <cfRule type="duplicateValues" dxfId="2803" priority="143310"/>
    <cfRule type="duplicateValues" dxfId="2802" priority="146760"/>
    <cfRule type="duplicateValues" dxfId="2801" priority="146941"/>
    <cfRule type="duplicateValues" dxfId="2800" priority="146940"/>
    <cfRule type="duplicateValues" dxfId="2799" priority="146939"/>
    <cfRule type="duplicateValues" dxfId="2798" priority="146938"/>
    <cfRule type="duplicateValues" dxfId="2797" priority="146937"/>
    <cfRule type="duplicateValues" dxfId="2796" priority="146936"/>
    <cfRule type="duplicateValues" dxfId="2795" priority="146935"/>
    <cfRule type="duplicateValues" dxfId="2794" priority="146934"/>
    <cfRule type="duplicateValues" dxfId="2793" priority="146933"/>
    <cfRule type="duplicateValues" dxfId="2792" priority="146932"/>
    <cfRule type="duplicateValues" dxfId="2791" priority="146931"/>
    <cfRule type="duplicateValues" dxfId="2790" priority="146930"/>
    <cfRule type="duplicateValues" dxfId="2789" priority="146929"/>
    <cfRule type="duplicateValues" dxfId="2788" priority="146928"/>
    <cfRule type="duplicateValues" dxfId="2787" priority="146927"/>
    <cfRule type="duplicateValues" dxfId="2786" priority="146926"/>
    <cfRule type="duplicateValues" dxfId="2785" priority="146925"/>
    <cfRule type="duplicateValues" dxfId="2784" priority="146924"/>
    <cfRule type="duplicateValues" dxfId="2783" priority="146923"/>
    <cfRule type="duplicateValues" dxfId="2782" priority="146922"/>
    <cfRule type="duplicateValues" dxfId="2781" priority="146921"/>
    <cfRule type="duplicateValues" dxfId="2780" priority="146920"/>
    <cfRule type="duplicateValues" dxfId="2779" priority="146919"/>
    <cfRule type="duplicateValues" dxfId="2778" priority="146918"/>
    <cfRule type="duplicateValues" dxfId="2777" priority="146917"/>
    <cfRule type="duplicateValues" dxfId="2776" priority="146916"/>
    <cfRule type="duplicateValues" dxfId="2775" priority="146915"/>
    <cfRule type="duplicateValues" dxfId="2774" priority="146914"/>
    <cfRule type="duplicateValues" dxfId="2773" priority="146913"/>
    <cfRule type="duplicateValues" dxfId="2772" priority="146912"/>
    <cfRule type="duplicateValues" dxfId="2771" priority="144681"/>
    <cfRule type="duplicateValues" dxfId="2770" priority="145252"/>
    <cfRule type="duplicateValues" dxfId="2769" priority="145253"/>
    <cfRule type="duplicateValues" dxfId="2768" priority="145254"/>
    <cfRule type="duplicateValues" dxfId="2767" priority="145255"/>
    <cfRule type="duplicateValues" dxfId="2766" priority="145256"/>
    <cfRule type="duplicateValues" dxfId="2765" priority="145257"/>
    <cfRule type="duplicateValues" dxfId="2764" priority="145258"/>
    <cfRule type="duplicateValues" dxfId="2763" priority="145259"/>
    <cfRule type="duplicateValues" dxfId="2762" priority="145260"/>
    <cfRule type="duplicateValues" dxfId="2761" priority="145261"/>
    <cfRule type="duplicateValues" dxfId="2760" priority="145262"/>
    <cfRule type="duplicateValues" dxfId="2759" priority="145263"/>
    <cfRule type="duplicateValues" dxfId="2758" priority="145264"/>
    <cfRule type="duplicateValues" dxfId="2757" priority="145265"/>
    <cfRule type="duplicateValues" dxfId="2756" priority="145266"/>
    <cfRule type="duplicateValues" dxfId="2755" priority="145267"/>
    <cfRule type="duplicateValues" dxfId="2754" priority="145268"/>
    <cfRule type="duplicateValues" dxfId="2753" priority="145269"/>
    <cfRule type="duplicateValues" dxfId="2752" priority="145270"/>
    <cfRule type="duplicateValues" dxfId="2751" priority="145271"/>
    <cfRule type="duplicateValues" dxfId="2750" priority="145272"/>
    <cfRule type="duplicateValues" dxfId="2749" priority="145273"/>
    <cfRule type="duplicateValues" dxfId="2748" priority="145274"/>
    <cfRule type="duplicateValues" dxfId="2747" priority="145275"/>
    <cfRule type="duplicateValues" dxfId="2746" priority="145276"/>
    <cfRule type="duplicateValues" dxfId="2745" priority="145277"/>
    <cfRule type="duplicateValues" dxfId="2744" priority="145278"/>
    <cfRule type="duplicateValues" dxfId="2743" priority="145279"/>
    <cfRule type="duplicateValues" dxfId="2742" priority="145280"/>
    <cfRule type="duplicateValues" dxfId="2741" priority="145281"/>
    <cfRule type="duplicateValues" dxfId="2740" priority="145282"/>
    <cfRule type="duplicateValues" dxfId="2739" priority="145283"/>
    <cfRule type="duplicateValues" dxfId="2738" priority="145284"/>
    <cfRule type="duplicateValues" dxfId="2737" priority="145285"/>
    <cfRule type="duplicateValues" dxfId="2736" priority="145286"/>
    <cfRule type="duplicateValues" dxfId="2735" priority="145287"/>
    <cfRule type="duplicateValues" dxfId="2734" priority="145288"/>
    <cfRule type="duplicateValues" dxfId="2733" priority="145289"/>
    <cfRule type="duplicateValues" dxfId="2732" priority="145290"/>
    <cfRule type="duplicateValues" dxfId="2731" priority="145291"/>
    <cfRule type="duplicateValues" dxfId="2730" priority="145292"/>
    <cfRule type="duplicateValues" dxfId="2729" priority="145293"/>
    <cfRule type="duplicateValues" dxfId="2728" priority="145294"/>
    <cfRule type="duplicateValues" dxfId="2727" priority="145295"/>
    <cfRule type="duplicateValues" dxfId="2726" priority="145296"/>
    <cfRule type="duplicateValues" dxfId="2725" priority="145297"/>
    <cfRule type="duplicateValues" dxfId="2724" priority="145298"/>
    <cfRule type="duplicateValues" dxfId="2723" priority="145299"/>
    <cfRule type="duplicateValues" dxfId="2722" priority="145300"/>
    <cfRule type="duplicateValues" dxfId="2721" priority="145301"/>
    <cfRule type="duplicateValues" dxfId="2720" priority="145302"/>
    <cfRule type="duplicateValues" dxfId="2719" priority="145303"/>
    <cfRule type="duplicateValues" dxfId="2718" priority="145304"/>
    <cfRule type="duplicateValues" dxfId="2717" priority="145305"/>
    <cfRule type="duplicateValues" dxfId="2716" priority="145306"/>
    <cfRule type="duplicateValues" dxfId="2715" priority="145307"/>
    <cfRule type="duplicateValues" dxfId="2714" priority="145308"/>
    <cfRule type="duplicateValues" dxfId="2713" priority="145309"/>
    <cfRule type="duplicateValues" dxfId="2712" priority="145310"/>
    <cfRule type="duplicateValues" dxfId="2711" priority="145311"/>
    <cfRule type="duplicateValues" dxfId="2710" priority="145312"/>
    <cfRule type="duplicateValues" dxfId="2709" priority="145313"/>
    <cfRule type="duplicateValues" dxfId="2708" priority="145314"/>
    <cfRule type="duplicateValues" dxfId="2707" priority="145315"/>
    <cfRule type="duplicateValues" dxfId="2706" priority="145316"/>
    <cfRule type="duplicateValues" dxfId="2705" priority="145317"/>
    <cfRule type="duplicateValues" dxfId="2704" priority="145318"/>
    <cfRule type="duplicateValues" dxfId="2703" priority="145319"/>
    <cfRule type="duplicateValues" dxfId="2702" priority="145320"/>
    <cfRule type="duplicateValues" dxfId="2701" priority="145321"/>
    <cfRule type="duplicateValues" dxfId="2700" priority="145322"/>
    <cfRule type="duplicateValues" dxfId="2699" priority="145323"/>
    <cfRule type="duplicateValues" dxfId="2698" priority="145324"/>
    <cfRule type="duplicateValues" dxfId="2697" priority="145325"/>
    <cfRule type="duplicateValues" dxfId="2696" priority="145326"/>
    <cfRule type="duplicateValues" dxfId="2695" priority="145327"/>
    <cfRule type="duplicateValues" dxfId="2694" priority="145328"/>
    <cfRule type="duplicateValues" dxfId="2693" priority="145329"/>
    <cfRule type="duplicateValues" dxfId="2692" priority="145330"/>
    <cfRule type="duplicateValues" dxfId="2691" priority="145331"/>
    <cfRule type="duplicateValues" dxfId="2690" priority="145332"/>
    <cfRule type="duplicateValues" dxfId="2689" priority="145333"/>
    <cfRule type="duplicateValues" dxfId="2688" priority="145334"/>
    <cfRule type="duplicateValues" dxfId="2687" priority="145335"/>
    <cfRule type="duplicateValues" dxfId="2686" priority="145336"/>
    <cfRule type="duplicateValues" dxfId="2685" priority="145337"/>
    <cfRule type="duplicateValues" dxfId="2684" priority="145338"/>
    <cfRule type="duplicateValues" dxfId="2683" priority="145339"/>
    <cfRule type="duplicateValues" dxfId="2682" priority="145340"/>
    <cfRule type="duplicateValues" dxfId="2681" priority="145341"/>
    <cfRule type="duplicateValues" dxfId="2680" priority="146761"/>
    <cfRule type="duplicateValues" dxfId="2679" priority="146762"/>
    <cfRule type="duplicateValues" dxfId="2678" priority="146763"/>
    <cfRule type="duplicateValues" dxfId="2677" priority="146764"/>
    <cfRule type="duplicateValues" dxfId="2676" priority="146765"/>
    <cfRule type="duplicateValues" dxfId="2675" priority="146766"/>
    <cfRule type="duplicateValues" dxfId="2674" priority="146767"/>
    <cfRule type="duplicateValues" dxfId="2673" priority="146768"/>
    <cfRule type="duplicateValues" dxfId="2672" priority="146769"/>
    <cfRule type="duplicateValues" dxfId="2671" priority="146770"/>
    <cfRule type="duplicateValues" dxfId="2670" priority="146771"/>
    <cfRule type="duplicateValues" dxfId="2669" priority="146772"/>
    <cfRule type="duplicateValues" dxfId="2668" priority="146773"/>
    <cfRule type="duplicateValues" dxfId="2667" priority="146774"/>
    <cfRule type="duplicateValues" dxfId="2666" priority="146775"/>
    <cfRule type="duplicateValues" dxfId="2665" priority="146776"/>
    <cfRule type="duplicateValues" dxfId="2664" priority="146777"/>
    <cfRule type="duplicateValues" dxfId="2663" priority="146778"/>
    <cfRule type="duplicateValues" dxfId="2662" priority="146779"/>
    <cfRule type="duplicateValues" dxfId="2661" priority="146780"/>
    <cfRule type="duplicateValues" dxfId="2660" priority="146781"/>
    <cfRule type="duplicateValues" dxfId="2659" priority="146782"/>
    <cfRule type="duplicateValues" dxfId="2658" priority="146783"/>
    <cfRule type="duplicateValues" dxfId="2657" priority="146784"/>
    <cfRule type="duplicateValues" dxfId="2656" priority="146785"/>
    <cfRule type="duplicateValues" dxfId="2655" priority="146786"/>
    <cfRule type="duplicateValues" dxfId="2654" priority="146787"/>
    <cfRule type="duplicateValues" dxfId="2653" priority="146788"/>
    <cfRule type="duplicateValues" dxfId="2652" priority="146789"/>
    <cfRule type="duplicateValues" dxfId="2651" priority="146212"/>
    <cfRule type="duplicateValues" dxfId="2650" priority="146213"/>
    <cfRule type="duplicateValues" dxfId="2649" priority="146214"/>
    <cfRule type="duplicateValues" dxfId="2648" priority="146215"/>
    <cfRule type="duplicateValues" dxfId="2647" priority="146216"/>
    <cfRule type="duplicateValues" dxfId="2646" priority="146217"/>
    <cfRule type="duplicateValues" dxfId="2645" priority="146218"/>
    <cfRule type="duplicateValues" dxfId="2644" priority="146219"/>
    <cfRule type="duplicateValues" dxfId="2643" priority="146220"/>
    <cfRule type="duplicateValues" dxfId="2642" priority="146221"/>
    <cfRule type="duplicateValues" dxfId="2641" priority="146222"/>
    <cfRule type="duplicateValues" dxfId="2640" priority="146223"/>
    <cfRule type="duplicateValues" dxfId="2639" priority="146224"/>
    <cfRule type="duplicateValues" dxfId="2638" priority="146225"/>
    <cfRule type="duplicateValues" dxfId="2637" priority="146226"/>
    <cfRule type="duplicateValues" dxfId="2636" priority="146227"/>
    <cfRule type="duplicateValues" dxfId="2635" priority="146228"/>
    <cfRule type="duplicateValues" dxfId="2634" priority="146229"/>
    <cfRule type="duplicateValues" dxfId="2633" priority="146230"/>
    <cfRule type="duplicateValues" dxfId="2632" priority="146231"/>
    <cfRule type="duplicateValues" dxfId="2631" priority="146232"/>
    <cfRule type="duplicateValues" dxfId="2630" priority="146233"/>
    <cfRule type="duplicateValues" dxfId="2629" priority="146234"/>
    <cfRule type="duplicateValues" dxfId="2628" priority="146235"/>
    <cfRule type="duplicateValues" dxfId="2627" priority="146236"/>
    <cfRule type="duplicateValues" dxfId="2626" priority="146237"/>
    <cfRule type="duplicateValues" dxfId="2625" priority="146238"/>
    <cfRule type="duplicateValues" dxfId="2624" priority="146239"/>
    <cfRule type="duplicateValues" dxfId="2623" priority="146240"/>
    <cfRule type="duplicateValues" dxfId="2622" priority="146241"/>
    <cfRule type="duplicateValues" dxfId="2621" priority="146790"/>
    <cfRule type="duplicateValues" dxfId="2620" priority="144982"/>
    <cfRule type="duplicateValues" dxfId="2619" priority="144983"/>
    <cfRule type="duplicateValues" dxfId="2618" priority="144984"/>
    <cfRule type="duplicateValues" dxfId="2617" priority="144985"/>
    <cfRule type="duplicateValues" dxfId="2616" priority="144986"/>
    <cfRule type="duplicateValues" dxfId="2615" priority="144987"/>
    <cfRule type="duplicateValues" dxfId="2614" priority="144988"/>
    <cfRule type="duplicateValues" dxfId="2613" priority="144989"/>
    <cfRule type="duplicateValues" dxfId="2612" priority="144990"/>
    <cfRule type="duplicateValues" dxfId="2611" priority="144991"/>
    <cfRule type="duplicateValues" dxfId="2610" priority="144992"/>
    <cfRule type="duplicateValues" dxfId="2609" priority="144993"/>
    <cfRule type="duplicateValues" dxfId="2608" priority="144994"/>
    <cfRule type="duplicateValues" dxfId="2607" priority="144995"/>
    <cfRule type="duplicateValues" dxfId="2606" priority="144996"/>
    <cfRule type="duplicateValues" dxfId="2605" priority="144997"/>
    <cfRule type="duplicateValues" dxfId="2604" priority="144998"/>
    <cfRule type="duplicateValues" dxfId="2603" priority="144999"/>
    <cfRule type="duplicateValues" dxfId="2602" priority="145000"/>
    <cfRule type="duplicateValues" dxfId="2601" priority="145001"/>
    <cfRule type="duplicateValues" dxfId="2600" priority="145002"/>
    <cfRule type="duplicateValues" dxfId="2599" priority="145003"/>
    <cfRule type="duplicateValues" dxfId="2598" priority="145004"/>
    <cfRule type="duplicateValues" dxfId="2597" priority="145005"/>
    <cfRule type="duplicateValues" dxfId="2596" priority="145006"/>
    <cfRule type="duplicateValues" dxfId="2595" priority="145007"/>
    <cfRule type="duplicateValues" dxfId="2594" priority="145008"/>
    <cfRule type="duplicateValues" dxfId="2593" priority="145009"/>
    <cfRule type="duplicateValues" dxfId="2592" priority="145010"/>
    <cfRule type="duplicateValues" dxfId="2591" priority="145011"/>
    <cfRule type="duplicateValues" dxfId="2590" priority="146791"/>
    <cfRule type="duplicateValues" dxfId="2589" priority="146792"/>
    <cfRule type="duplicateValues" dxfId="2588" priority="146793"/>
    <cfRule type="duplicateValues" dxfId="2587" priority="146794"/>
    <cfRule type="duplicateValues" dxfId="2586" priority="146795"/>
    <cfRule type="duplicateValues" dxfId="2585" priority="146796"/>
    <cfRule type="duplicateValues" dxfId="2584" priority="146797"/>
    <cfRule type="duplicateValues" dxfId="2583" priority="146798"/>
    <cfRule type="duplicateValues" dxfId="2582" priority="146799"/>
    <cfRule type="duplicateValues" dxfId="2581" priority="146800"/>
    <cfRule type="duplicateValues" dxfId="2580" priority="146801"/>
    <cfRule type="duplicateValues" dxfId="2579" priority="146802"/>
    <cfRule type="duplicateValues" dxfId="2578" priority="146803"/>
    <cfRule type="duplicateValues" dxfId="2577" priority="146804"/>
    <cfRule type="duplicateValues" dxfId="2576" priority="146805"/>
    <cfRule type="duplicateValues" dxfId="2575" priority="146806"/>
    <cfRule type="duplicateValues" dxfId="2574" priority="146807"/>
    <cfRule type="duplicateValues" dxfId="2573" priority="146808"/>
    <cfRule type="duplicateValues" dxfId="2572" priority="146809"/>
    <cfRule type="duplicateValues" dxfId="2571" priority="146810"/>
    <cfRule type="duplicateValues" dxfId="2570" priority="146811"/>
    <cfRule type="duplicateValues" dxfId="2569" priority="144660"/>
    <cfRule type="duplicateValues" dxfId="2568" priority="144661"/>
    <cfRule type="duplicateValues" dxfId="2567" priority="144662"/>
    <cfRule type="duplicateValues" dxfId="2566" priority="144663"/>
    <cfRule type="duplicateValues" dxfId="2565" priority="144664"/>
    <cfRule type="duplicateValues" dxfId="2564" priority="144665"/>
    <cfRule type="duplicateValues" dxfId="2563" priority="144666"/>
    <cfRule type="duplicateValues" dxfId="2562" priority="144667"/>
    <cfRule type="duplicateValues" dxfId="2561" priority="144668"/>
    <cfRule type="duplicateValues" dxfId="2560" priority="144502"/>
    <cfRule type="duplicateValues" dxfId="2559" priority="144503"/>
    <cfRule type="duplicateValues" dxfId="2558" priority="144504"/>
    <cfRule type="duplicateValues" dxfId="2557" priority="144505"/>
    <cfRule type="duplicateValues" dxfId="2556" priority="144506"/>
    <cfRule type="duplicateValues" dxfId="2555" priority="144507"/>
    <cfRule type="duplicateValues" dxfId="2554" priority="144508"/>
    <cfRule type="duplicateValues" dxfId="2553" priority="144509"/>
    <cfRule type="duplicateValues" dxfId="2552" priority="144510"/>
    <cfRule type="duplicateValues" dxfId="2551" priority="144511"/>
    <cfRule type="duplicateValues" dxfId="2550" priority="144512"/>
    <cfRule type="duplicateValues" dxfId="2549" priority="144513"/>
    <cfRule type="duplicateValues" dxfId="2548" priority="144514"/>
    <cfRule type="duplicateValues" dxfId="2547" priority="144515"/>
    <cfRule type="duplicateValues" dxfId="2546" priority="144516"/>
    <cfRule type="duplicateValues" dxfId="2545" priority="144517"/>
    <cfRule type="duplicateValues" dxfId="2544" priority="144518"/>
    <cfRule type="duplicateValues" dxfId="2543" priority="144519"/>
    <cfRule type="duplicateValues" dxfId="2542" priority="144520"/>
    <cfRule type="duplicateValues" dxfId="2541" priority="144521"/>
    <cfRule type="duplicateValues" dxfId="2540" priority="144522"/>
    <cfRule type="duplicateValues" dxfId="2539" priority="144523"/>
    <cfRule type="duplicateValues" dxfId="2538" priority="144524"/>
    <cfRule type="duplicateValues" dxfId="2537" priority="144525"/>
    <cfRule type="duplicateValues" dxfId="2536" priority="144526"/>
    <cfRule type="duplicateValues" dxfId="2535" priority="144527"/>
    <cfRule type="duplicateValues" dxfId="2534" priority="144528"/>
    <cfRule type="duplicateValues" dxfId="2533" priority="144529"/>
    <cfRule type="duplicateValues" dxfId="2532" priority="144530"/>
    <cfRule type="duplicateValues" dxfId="2531" priority="146332"/>
    <cfRule type="duplicateValues" dxfId="2530" priority="146333"/>
    <cfRule type="duplicateValues" dxfId="2529" priority="146334"/>
    <cfRule type="duplicateValues" dxfId="2528" priority="146335"/>
    <cfRule type="duplicateValues" dxfId="2527" priority="146336"/>
    <cfRule type="duplicateValues" dxfId="2526" priority="146337"/>
    <cfRule type="duplicateValues" dxfId="2525" priority="146338"/>
    <cfRule type="duplicateValues" dxfId="2524" priority="146339"/>
    <cfRule type="duplicateValues" dxfId="2523" priority="146340"/>
    <cfRule type="duplicateValues" dxfId="2522" priority="146341"/>
    <cfRule type="duplicateValues" dxfId="2521" priority="146342"/>
    <cfRule type="duplicateValues" dxfId="2520" priority="146343"/>
    <cfRule type="duplicateValues" dxfId="2519" priority="146344"/>
    <cfRule type="duplicateValues" dxfId="2518" priority="146345"/>
    <cfRule type="duplicateValues" dxfId="2517" priority="146346"/>
    <cfRule type="duplicateValues" dxfId="2516" priority="146347"/>
    <cfRule type="duplicateValues" dxfId="2515" priority="146348"/>
    <cfRule type="duplicateValues" dxfId="2514" priority="146349"/>
    <cfRule type="duplicateValues" dxfId="2513" priority="146350"/>
    <cfRule type="duplicateValues" dxfId="2512" priority="146351"/>
    <cfRule type="duplicateValues" dxfId="2511" priority="146352"/>
    <cfRule type="duplicateValues" dxfId="2510" priority="146353"/>
    <cfRule type="duplicateValues" dxfId="2509" priority="146354"/>
    <cfRule type="duplicateValues" dxfId="2508" priority="146355"/>
    <cfRule type="duplicateValues" dxfId="2507" priority="146356"/>
    <cfRule type="duplicateValues" dxfId="2506" priority="146357"/>
    <cfRule type="duplicateValues" dxfId="2505" priority="146358"/>
    <cfRule type="duplicateValues" dxfId="2504" priority="146359"/>
    <cfRule type="duplicateValues" dxfId="2503" priority="146360"/>
    <cfRule type="duplicateValues" dxfId="2502" priority="146361"/>
    <cfRule type="duplicateValues" dxfId="2501" priority="144531"/>
    <cfRule type="duplicateValues" dxfId="2500" priority="145522"/>
    <cfRule type="duplicateValues" dxfId="2499" priority="145523"/>
    <cfRule type="duplicateValues" dxfId="2498" priority="145524"/>
    <cfRule type="duplicateValues" dxfId="2497" priority="145525"/>
    <cfRule type="duplicateValues" dxfId="2496" priority="145526"/>
    <cfRule type="duplicateValues" dxfId="2495" priority="145527"/>
    <cfRule type="duplicateValues" dxfId="2494" priority="145528"/>
    <cfRule type="duplicateValues" dxfId="2493" priority="145529"/>
    <cfRule type="duplicateValues" dxfId="2492" priority="145530"/>
    <cfRule type="duplicateValues" dxfId="2491" priority="145531"/>
    <cfRule type="duplicateValues" dxfId="2490" priority="145532"/>
    <cfRule type="duplicateValues" dxfId="2489" priority="145533"/>
    <cfRule type="duplicateValues" dxfId="2488" priority="145534"/>
    <cfRule type="duplicateValues" dxfId="2487" priority="145535"/>
    <cfRule type="duplicateValues" dxfId="2486" priority="145536"/>
    <cfRule type="duplicateValues" dxfId="2485" priority="145537"/>
    <cfRule type="duplicateValues" dxfId="2484" priority="145538"/>
    <cfRule type="duplicateValues" dxfId="2483" priority="145539"/>
    <cfRule type="duplicateValues" dxfId="2482" priority="145540"/>
    <cfRule type="duplicateValues" dxfId="2481" priority="145541"/>
    <cfRule type="duplicateValues" dxfId="2480" priority="145542"/>
    <cfRule type="duplicateValues" dxfId="2479" priority="145543"/>
    <cfRule type="duplicateValues" dxfId="2478" priority="145544"/>
    <cfRule type="duplicateValues" dxfId="2477" priority="145545"/>
    <cfRule type="duplicateValues" dxfId="2476" priority="145546"/>
    <cfRule type="duplicateValues" dxfId="2475" priority="145547"/>
    <cfRule type="duplicateValues" dxfId="2474" priority="145548"/>
    <cfRule type="duplicateValues" dxfId="2473" priority="145549"/>
    <cfRule type="duplicateValues" dxfId="2472" priority="145550"/>
    <cfRule type="duplicateValues" dxfId="2471" priority="145551"/>
    <cfRule type="duplicateValues" dxfId="2470" priority="144592"/>
    <cfRule type="duplicateValues" dxfId="2469" priority="144593"/>
    <cfRule type="duplicateValues" dxfId="2468" priority="144594"/>
    <cfRule type="duplicateValues" dxfId="2467" priority="144595"/>
    <cfRule type="duplicateValues" dxfId="2466" priority="144596"/>
    <cfRule type="duplicateValues" dxfId="2465" priority="144597"/>
    <cfRule type="duplicateValues" dxfId="2464" priority="144598"/>
    <cfRule type="duplicateValues" dxfId="2463" priority="144599"/>
    <cfRule type="duplicateValues" dxfId="2462" priority="146972"/>
    <cfRule type="duplicateValues" dxfId="2461" priority="146973"/>
    <cfRule type="duplicateValues" dxfId="2460" priority="146974"/>
    <cfRule type="duplicateValues" dxfId="2459" priority="146975"/>
    <cfRule type="duplicateValues" dxfId="2458" priority="146976"/>
    <cfRule type="duplicateValues" dxfId="2457" priority="146977"/>
    <cfRule type="duplicateValues" dxfId="2456" priority="146978"/>
    <cfRule type="duplicateValues" dxfId="2455" priority="146979"/>
    <cfRule type="duplicateValues" dxfId="2454" priority="146980"/>
    <cfRule type="duplicateValues" dxfId="2453" priority="146981"/>
    <cfRule type="duplicateValues" dxfId="2452" priority="146982"/>
    <cfRule type="duplicateValues" dxfId="2451" priority="146983"/>
    <cfRule type="duplicateValues" dxfId="2450" priority="146984"/>
    <cfRule type="duplicateValues" dxfId="2449" priority="146985"/>
    <cfRule type="duplicateValues" dxfId="2448" priority="146986"/>
    <cfRule type="duplicateValues" dxfId="2447" priority="146987"/>
    <cfRule type="duplicateValues" dxfId="2446" priority="146988"/>
    <cfRule type="duplicateValues" dxfId="2445" priority="146989"/>
    <cfRule type="duplicateValues" dxfId="2444" priority="146990"/>
    <cfRule type="duplicateValues" dxfId="2443" priority="146991"/>
    <cfRule type="duplicateValues" dxfId="2442" priority="147022"/>
    <cfRule type="duplicateValues" dxfId="2441" priority="147023"/>
    <cfRule type="duplicateValues" dxfId="2440" priority="147024"/>
    <cfRule type="duplicateValues" dxfId="2439" priority="147025"/>
    <cfRule type="duplicateValues" dxfId="2438" priority="147026"/>
    <cfRule type="duplicateValues" dxfId="2437" priority="147027"/>
    <cfRule type="duplicateValues" dxfId="2436" priority="147028"/>
    <cfRule type="duplicateValues" dxfId="2435" priority="147029"/>
    <cfRule type="duplicateValues" dxfId="2434" priority="147030"/>
    <cfRule type="duplicateValues" dxfId="2433" priority="147031"/>
    <cfRule type="duplicateValues" dxfId="2432" priority="147032"/>
    <cfRule type="duplicateValues" dxfId="2431" priority="147033"/>
    <cfRule type="duplicateValues" dxfId="2430" priority="147034"/>
    <cfRule type="duplicateValues" dxfId="2429" priority="147035"/>
    <cfRule type="duplicateValues" dxfId="2428" priority="147036"/>
    <cfRule type="duplicateValues" dxfId="2427" priority="147037"/>
    <cfRule type="duplicateValues" dxfId="2426" priority="147038"/>
    <cfRule type="duplicateValues" dxfId="2425" priority="147039"/>
    <cfRule type="duplicateValues" dxfId="2424" priority="147040"/>
    <cfRule type="duplicateValues" dxfId="2423" priority="147041"/>
    <cfRule type="duplicateValues" dxfId="2422" priority="147042"/>
    <cfRule type="duplicateValues" dxfId="2421" priority="147043"/>
    <cfRule type="duplicateValues" dxfId="2420" priority="147044"/>
    <cfRule type="duplicateValues" dxfId="2419" priority="147045"/>
    <cfRule type="duplicateValues" dxfId="2418" priority="147046"/>
    <cfRule type="duplicateValues" dxfId="2417" priority="147047"/>
    <cfRule type="duplicateValues" dxfId="2416" priority="147048"/>
    <cfRule type="duplicateValues" dxfId="2415" priority="147049"/>
    <cfRule type="duplicateValues" dxfId="2414" priority="147050"/>
    <cfRule type="duplicateValues" dxfId="2413" priority="147051"/>
    <cfRule type="duplicateValues" dxfId="2412" priority="147052"/>
    <cfRule type="duplicateValues" dxfId="2411" priority="147053"/>
    <cfRule type="duplicateValues" dxfId="2410" priority="147054"/>
    <cfRule type="duplicateValues" dxfId="2409" priority="147055"/>
    <cfRule type="duplicateValues" dxfId="2408" priority="147056"/>
    <cfRule type="duplicateValues" dxfId="2407" priority="147057"/>
    <cfRule type="duplicateValues" dxfId="2406" priority="147058"/>
    <cfRule type="duplicateValues" dxfId="2405" priority="147059"/>
    <cfRule type="duplicateValues" dxfId="2404" priority="147060"/>
    <cfRule type="duplicateValues" dxfId="2403" priority="147061"/>
    <cfRule type="duplicateValues" dxfId="2402" priority="147062"/>
    <cfRule type="duplicateValues" dxfId="2401" priority="147063"/>
    <cfRule type="duplicateValues" dxfId="2400" priority="147064"/>
    <cfRule type="duplicateValues" dxfId="2399" priority="147065"/>
    <cfRule type="duplicateValues" dxfId="2398" priority="147066"/>
    <cfRule type="duplicateValues" dxfId="2397" priority="147067"/>
    <cfRule type="duplicateValues" dxfId="2396" priority="147068"/>
    <cfRule type="duplicateValues" dxfId="2395" priority="147069"/>
    <cfRule type="duplicateValues" dxfId="2394" priority="147070"/>
    <cfRule type="duplicateValues" dxfId="2393" priority="147071"/>
    <cfRule type="duplicateValues" dxfId="2392" priority="147072"/>
    <cfRule type="duplicateValues" dxfId="2391" priority="147073"/>
    <cfRule type="duplicateValues" dxfId="2390" priority="147074"/>
    <cfRule type="duplicateValues" dxfId="2389" priority="147075"/>
    <cfRule type="duplicateValues" dxfId="2388" priority="147076"/>
    <cfRule type="duplicateValues" dxfId="2387" priority="147077"/>
    <cfRule type="duplicateValues" dxfId="2386" priority="147078"/>
    <cfRule type="duplicateValues" dxfId="2385" priority="147079"/>
    <cfRule type="duplicateValues" dxfId="2384" priority="147080"/>
    <cfRule type="duplicateValues" dxfId="2383" priority="147081"/>
    <cfRule type="duplicateValues" dxfId="2382" priority="144680"/>
    <cfRule type="duplicateValues" dxfId="2381" priority="145792"/>
    <cfRule type="duplicateValues" dxfId="2380" priority="145793"/>
    <cfRule type="duplicateValues" dxfId="2379" priority="145794"/>
    <cfRule type="duplicateValues" dxfId="2378" priority="145795"/>
    <cfRule type="duplicateValues" dxfId="2377" priority="145796"/>
    <cfRule type="duplicateValues" dxfId="2376" priority="145797"/>
    <cfRule type="duplicateValues" dxfId="2375" priority="145798"/>
    <cfRule type="duplicateValues" dxfId="2374" priority="145799"/>
    <cfRule type="duplicateValues" dxfId="2373" priority="145800"/>
    <cfRule type="duplicateValues" dxfId="2372" priority="145801"/>
    <cfRule type="duplicateValues" dxfId="2371" priority="145802"/>
    <cfRule type="duplicateValues" dxfId="2370" priority="145803"/>
    <cfRule type="duplicateValues" dxfId="2369" priority="145804"/>
    <cfRule type="duplicateValues" dxfId="2368" priority="145805"/>
    <cfRule type="duplicateValues" dxfId="2367" priority="145806"/>
    <cfRule type="duplicateValues" dxfId="2366" priority="145807"/>
    <cfRule type="duplicateValues" dxfId="2365" priority="145808"/>
    <cfRule type="duplicateValues" dxfId="2364" priority="145809"/>
    <cfRule type="duplicateValues" dxfId="2363" priority="145810"/>
    <cfRule type="duplicateValues" dxfId="2362" priority="145811"/>
    <cfRule type="duplicateValues" dxfId="2361" priority="145812"/>
    <cfRule type="duplicateValues" dxfId="2360" priority="145813"/>
    <cfRule type="duplicateValues" dxfId="2359" priority="145814"/>
    <cfRule type="duplicateValues" dxfId="2358" priority="145815"/>
    <cfRule type="duplicateValues" dxfId="2357" priority="145816"/>
    <cfRule type="duplicateValues" dxfId="2356" priority="145817"/>
    <cfRule type="duplicateValues" dxfId="2355" priority="145818"/>
    <cfRule type="duplicateValues" dxfId="2354" priority="145819"/>
    <cfRule type="duplicateValues" dxfId="2353" priority="145820"/>
    <cfRule type="duplicateValues" dxfId="2352" priority="145821"/>
    <cfRule type="duplicateValues" dxfId="2351" priority="145822"/>
    <cfRule type="duplicateValues" dxfId="2350" priority="145823"/>
    <cfRule type="duplicateValues" dxfId="2349" priority="145824"/>
    <cfRule type="duplicateValues" dxfId="2348" priority="145825"/>
    <cfRule type="duplicateValues" dxfId="2347" priority="145826"/>
    <cfRule type="duplicateValues" dxfId="2346" priority="145827"/>
    <cfRule type="duplicateValues" dxfId="2345" priority="145828"/>
    <cfRule type="duplicateValues" dxfId="2344" priority="145829"/>
    <cfRule type="duplicateValues" dxfId="2343" priority="145830"/>
    <cfRule type="duplicateValues" dxfId="2342" priority="145831"/>
    <cfRule type="duplicateValues" dxfId="2341" priority="145832"/>
    <cfRule type="duplicateValues" dxfId="2340" priority="145833"/>
    <cfRule type="duplicateValues" dxfId="2339" priority="145834"/>
    <cfRule type="duplicateValues" dxfId="2338" priority="145835"/>
    <cfRule type="duplicateValues" dxfId="2337" priority="145836"/>
    <cfRule type="duplicateValues" dxfId="2336" priority="145837"/>
    <cfRule type="duplicateValues" dxfId="2335" priority="145838"/>
    <cfRule type="duplicateValues" dxfId="2334" priority="145839"/>
    <cfRule type="duplicateValues" dxfId="2333" priority="145840"/>
    <cfRule type="duplicateValues" dxfId="2332" priority="145841"/>
    <cfRule type="duplicateValues" dxfId="2331" priority="145842"/>
    <cfRule type="duplicateValues" dxfId="2330" priority="145843"/>
    <cfRule type="duplicateValues" dxfId="2329" priority="145844"/>
    <cfRule type="duplicateValues" dxfId="2328" priority="145845"/>
    <cfRule type="duplicateValues" dxfId="2327" priority="145846"/>
    <cfRule type="duplicateValues" dxfId="2326" priority="145847"/>
    <cfRule type="duplicateValues" dxfId="2325" priority="145848"/>
    <cfRule type="duplicateValues" dxfId="2324" priority="145849"/>
    <cfRule type="duplicateValues" dxfId="2323" priority="145850"/>
    <cfRule type="duplicateValues" dxfId="2322" priority="145851"/>
    <cfRule type="duplicateValues" dxfId="2321" priority="145852"/>
    <cfRule type="duplicateValues" dxfId="2320" priority="145853"/>
    <cfRule type="duplicateValues" dxfId="2319" priority="145854"/>
    <cfRule type="duplicateValues" dxfId="2318" priority="145855"/>
    <cfRule type="duplicateValues" dxfId="2317" priority="145856"/>
    <cfRule type="duplicateValues" dxfId="2316" priority="145857"/>
    <cfRule type="duplicateValues" dxfId="2315" priority="145858"/>
    <cfRule type="duplicateValues" dxfId="2314" priority="145859"/>
    <cfRule type="duplicateValues" dxfId="2313" priority="145860"/>
    <cfRule type="duplicateValues" dxfId="2312" priority="145861"/>
    <cfRule type="duplicateValues" dxfId="2311" priority="145862"/>
    <cfRule type="duplicateValues" dxfId="2310" priority="145863"/>
    <cfRule type="duplicateValues" dxfId="2309" priority="145864"/>
    <cfRule type="duplicateValues" dxfId="2308" priority="145865"/>
    <cfRule type="duplicateValues" dxfId="2307" priority="145866"/>
    <cfRule type="duplicateValues" dxfId="2306" priority="145867"/>
    <cfRule type="duplicateValues" dxfId="2305" priority="145868"/>
    <cfRule type="duplicateValues" dxfId="2304" priority="145869"/>
    <cfRule type="duplicateValues" dxfId="2303" priority="145870"/>
    <cfRule type="duplicateValues" dxfId="2302" priority="145871"/>
    <cfRule type="duplicateValues" dxfId="2301" priority="145872"/>
    <cfRule type="duplicateValues" dxfId="2300" priority="145873"/>
    <cfRule type="duplicateValues" dxfId="2299" priority="145874"/>
    <cfRule type="duplicateValues" dxfId="2298" priority="145875"/>
    <cfRule type="duplicateValues" dxfId="2297" priority="145876"/>
    <cfRule type="duplicateValues" dxfId="2296" priority="145877"/>
    <cfRule type="duplicateValues" dxfId="2295" priority="145878"/>
    <cfRule type="duplicateValues" dxfId="2294" priority="145879"/>
    <cfRule type="duplicateValues" dxfId="2293" priority="145880"/>
    <cfRule type="duplicateValues" dxfId="2292" priority="147352"/>
    <cfRule type="duplicateValues" dxfId="2291" priority="147353"/>
    <cfRule type="duplicateValues" dxfId="2290" priority="147354"/>
    <cfRule type="duplicateValues" dxfId="2289" priority="147355"/>
    <cfRule type="duplicateValues" dxfId="2288" priority="147356"/>
    <cfRule type="duplicateValues" dxfId="2287" priority="147357"/>
    <cfRule type="duplicateValues" dxfId="2286" priority="147358"/>
    <cfRule type="duplicateValues" dxfId="2285" priority="147359"/>
    <cfRule type="duplicateValues" dxfId="2284" priority="147360"/>
    <cfRule type="duplicateValues" dxfId="2283" priority="147361"/>
    <cfRule type="duplicateValues" dxfId="2282" priority="147362"/>
    <cfRule type="duplicateValues" dxfId="2281" priority="147363"/>
    <cfRule type="duplicateValues" dxfId="2280" priority="147364"/>
    <cfRule type="duplicateValues" dxfId="2279" priority="147365"/>
    <cfRule type="duplicateValues" dxfId="2278" priority="147366"/>
    <cfRule type="duplicateValues" dxfId="2277" priority="147367"/>
    <cfRule type="duplicateValues" dxfId="2276" priority="147368"/>
    <cfRule type="duplicateValues" dxfId="2275" priority="147369"/>
    <cfRule type="duplicateValues" dxfId="2274" priority="147370"/>
    <cfRule type="duplicateValues" dxfId="2273" priority="147371"/>
    <cfRule type="duplicateValues" dxfId="2272" priority="147372"/>
    <cfRule type="duplicateValues" dxfId="2271" priority="147373"/>
    <cfRule type="duplicateValues" dxfId="2270" priority="147374"/>
    <cfRule type="duplicateValues" dxfId="2269" priority="147375"/>
    <cfRule type="duplicateValues" dxfId="2268" priority="147376"/>
    <cfRule type="duplicateValues" dxfId="2267" priority="147377"/>
    <cfRule type="duplicateValues" dxfId="2266" priority="147378"/>
    <cfRule type="duplicateValues" dxfId="2265" priority="147379"/>
    <cfRule type="duplicateValues" dxfId="2264" priority="147380"/>
    <cfRule type="duplicateValues" dxfId="2263" priority="147381"/>
    <cfRule type="duplicateValues" dxfId="2262" priority="145881"/>
    <cfRule type="duplicateValues" dxfId="2261" priority="145912"/>
    <cfRule type="duplicateValues" dxfId="2260" priority="145913"/>
    <cfRule type="duplicateValues" dxfId="2259" priority="145914"/>
    <cfRule type="duplicateValues" dxfId="2258" priority="145915"/>
    <cfRule type="duplicateValues" dxfId="2257" priority="145916"/>
    <cfRule type="duplicateValues" dxfId="2256" priority="145917"/>
    <cfRule type="duplicateValues" dxfId="2255" priority="145918"/>
    <cfRule type="duplicateValues" dxfId="2254" priority="145919"/>
    <cfRule type="duplicateValues" dxfId="2253" priority="145920"/>
    <cfRule type="duplicateValues" dxfId="2252" priority="145921"/>
    <cfRule type="duplicateValues" dxfId="2251" priority="145922"/>
    <cfRule type="duplicateValues" dxfId="2250" priority="145923"/>
    <cfRule type="duplicateValues" dxfId="2249" priority="145924"/>
    <cfRule type="duplicateValues" dxfId="2248" priority="145925"/>
    <cfRule type="duplicateValues" dxfId="2247" priority="145926"/>
    <cfRule type="duplicateValues" dxfId="2246" priority="145927"/>
    <cfRule type="duplicateValues" dxfId="2245" priority="145928"/>
    <cfRule type="duplicateValues" dxfId="2244" priority="145929"/>
    <cfRule type="duplicateValues" dxfId="2243" priority="145930"/>
    <cfRule type="duplicateValues" dxfId="2242" priority="145931"/>
    <cfRule type="duplicateValues" dxfId="2241" priority="145932"/>
    <cfRule type="duplicateValues" dxfId="2240" priority="145933"/>
    <cfRule type="duplicateValues" dxfId="2239" priority="145934"/>
    <cfRule type="duplicateValues" dxfId="2238" priority="145935"/>
    <cfRule type="duplicateValues" dxfId="2237" priority="145936"/>
    <cfRule type="duplicateValues" dxfId="2236" priority="145937"/>
    <cfRule type="duplicateValues" dxfId="2235" priority="145938"/>
    <cfRule type="duplicateValues" dxfId="2234" priority="145939"/>
    <cfRule type="duplicateValues" dxfId="2233" priority="145940"/>
    <cfRule type="duplicateValues" dxfId="2232" priority="147442"/>
    <cfRule type="duplicateValues" dxfId="2231" priority="147443"/>
    <cfRule type="duplicateValues" dxfId="2230" priority="147444"/>
    <cfRule type="duplicateValues" dxfId="2229" priority="147445"/>
    <cfRule type="duplicateValues" dxfId="2228" priority="147446"/>
    <cfRule type="duplicateValues" dxfId="2227" priority="147447"/>
    <cfRule type="duplicateValues" dxfId="2226" priority="147448"/>
    <cfRule type="duplicateValues" dxfId="2225" priority="147449"/>
    <cfRule type="duplicateValues" dxfId="2224" priority="147450"/>
    <cfRule type="duplicateValues" dxfId="2223" priority="147451"/>
    <cfRule type="duplicateValues" dxfId="2222" priority="147452"/>
    <cfRule type="duplicateValues" dxfId="2221" priority="147453"/>
    <cfRule type="duplicateValues" dxfId="2220" priority="147454"/>
    <cfRule type="duplicateValues" dxfId="2219" priority="147455"/>
    <cfRule type="duplicateValues" dxfId="2218" priority="147456"/>
    <cfRule type="duplicateValues" dxfId="2217" priority="147457"/>
    <cfRule type="duplicateValues" dxfId="2216" priority="147458"/>
    <cfRule type="duplicateValues" dxfId="2215" priority="147459"/>
    <cfRule type="duplicateValues" dxfId="2214" priority="147460"/>
    <cfRule type="duplicateValues" dxfId="2213" priority="147461"/>
    <cfRule type="duplicateValues" dxfId="2212" priority="147462"/>
    <cfRule type="duplicateValues" dxfId="2211" priority="147463"/>
    <cfRule type="duplicateValues" dxfId="2210" priority="147464"/>
    <cfRule type="duplicateValues" dxfId="2209" priority="147465"/>
    <cfRule type="duplicateValues" dxfId="2208" priority="147466"/>
    <cfRule type="duplicateValues" dxfId="2207" priority="147467"/>
    <cfRule type="duplicateValues" dxfId="2206" priority="147468"/>
    <cfRule type="duplicateValues" dxfId="2205" priority="147469"/>
    <cfRule type="duplicateValues" dxfId="2204" priority="147470"/>
    <cfRule type="duplicateValues" dxfId="2203" priority="147471"/>
    <cfRule type="duplicateValues" dxfId="2202" priority="147472"/>
    <cfRule type="duplicateValues" dxfId="2201" priority="147473"/>
    <cfRule type="duplicateValues" dxfId="2200" priority="147474"/>
    <cfRule type="duplicateValues" dxfId="2199" priority="147475"/>
    <cfRule type="duplicateValues" dxfId="2198" priority="147476"/>
    <cfRule type="duplicateValues" dxfId="2197" priority="147477"/>
    <cfRule type="duplicateValues" dxfId="2196" priority="147478"/>
    <cfRule type="duplicateValues" dxfId="2195" priority="147479"/>
    <cfRule type="duplicateValues" dxfId="2194" priority="147480"/>
    <cfRule type="duplicateValues" dxfId="2193" priority="147481"/>
    <cfRule type="duplicateValues" dxfId="2192" priority="147482"/>
    <cfRule type="duplicateValues" dxfId="2191" priority="147483"/>
    <cfRule type="duplicateValues" dxfId="2190" priority="147484"/>
    <cfRule type="duplicateValues" dxfId="2189" priority="147485"/>
    <cfRule type="duplicateValues" dxfId="2188" priority="147486"/>
    <cfRule type="duplicateValues" dxfId="2187" priority="147487"/>
    <cfRule type="duplicateValues" dxfId="2186" priority="147488"/>
    <cfRule type="duplicateValues" dxfId="2185" priority="147489"/>
    <cfRule type="duplicateValues" dxfId="2184" priority="147490"/>
    <cfRule type="duplicateValues" dxfId="2183" priority="147491"/>
    <cfRule type="duplicateValues" dxfId="2182" priority="147492"/>
    <cfRule type="duplicateValues" dxfId="2181" priority="147493"/>
    <cfRule type="duplicateValues" dxfId="2180" priority="147494"/>
    <cfRule type="duplicateValues" dxfId="2179" priority="147495"/>
    <cfRule type="duplicateValues" dxfId="2178" priority="147496"/>
    <cfRule type="duplicateValues" dxfId="2177" priority="147497"/>
    <cfRule type="duplicateValues" dxfId="2176" priority="147498"/>
    <cfRule type="duplicateValues" dxfId="2175" priority="147499"/>
    <cfRule type="duplicateValues" dxfId="2174" priority="147500"/>
    <cfRule type="duplicateValues" dxfId="2173" priority="147501"/>
    <cfRule type="duplicateValues" dxfId="2172" priority="147502"/>
    <cfRule type="duplicateValues" dxfId="2171" priority="147503"/>
    <cfRule type="duplicateValues" dxfId="2170" priority="147504"/>
    <cfRule type="duplicateValues" dxfId="2169" priority="147505"/>
    <cfRule type="duplicateValues" dxfId="2168" priority="147506"/>
    <cfRule type="duplicateValues" dxfId="2167" priority="147507"/>
    <cfRule type="duplicateValues" dxfId="2166" priority="147508"/>
    <cfRule type="duplicateValues" dxfId="2165" priority="147509"/>
    <cfRule type="duplicateValues" dxfId="2164" priority="147510"/>
    <cfRule type="duplicateValues" dxfId="2163" priority="147511"/>
    <cfRule type="duplicateValues" dxfId="2162" priority="147512"/>
    <cfRule type="duplicateValues" dxfId="2161" priority="147513"/>
    <cfRule type="duplicateValues" dxfId="2160" priority="147514"/>
    <cfRule type="duplicateValues" dxfId="2159" priority="147515"/>
    <cfRule type="duplicateValues" dxfId="2158" priority="147516"/>
    <cfRule type="duplicateValues" dxfId="2157" priority="147517"/>
    <cfRule type="duplicateValues" dxfId="2156" priority="147518"/>
    <cfRule type="duplicateValues" dxfId="2155" priority="147519"/>
    <cfRule type="duplicateValues" dxfId="2154" priority="147520"/>
    <cfRule type="duplicateValues" dxfId="2153" priority="147521"/>
    <cfRule type="duplicateValues" dxfId="2152" priority="147522"/>
    <cfRule type="duplicateValues" dxfId="2151" priority="147523"/>
    <cfRule type="duplicateValues" dxfId="2150" priority="147524"/>
    <cfRule type="duplicateValues" dxfId="2149" priority="147525"/>
    <cfRule type="duplicateValues" dxfId="2148" priority="147526"/>
    <cfRule type="duplicateValues" dxfId="2147" priority="147527"/>
    <cfRule type="duplicateValues" dxfId="2146" priority="147528"/>
    <cfRule type="duplicateValues" dxfId="2145" priority="147529"/>
    <cfRule type="duplicateValues" dxfId="2144" priority="147530"/>
    <cfRule type="duplicateValues" dxfId="2143" priority="147531"/>
    <cfRule type="duplicateValues" dxfId="2142" priority="145941"/>
    <cfRule type="duplicateValues" dxfId="2141" priority="145942"/>
    <cfRule type="duplicateValues" dxfId="2140" priority="145943"/>
    <cfRule type="duplicateValues" dxfId="2139" priority="145944"/>
    <cfRule type="duplicateValues" dxfId="2138" priority="145945"/>
    <cfRule type="duplicateValues" dxfId="2137" priority="145946"/>
    <cfRule type="duplicateValues" dxfId="2136" priority="145947"/>
    <cfRule type="duplicateValues" dxfId="2135" priority="145948"/>
    <cfRule type="duplicateValues" dxfId="2134" priority="145949"/>
    <cfRule type="duplicateValues" dxfId="2133" priority="145950"/>
    <cfRule type="duplicateValues" dxfId="2132" priority="145951"/>
    <cfRule type="duplicateValues" dxfId="2131" priority="145952"/>
    <cfRule type="duplicateValues" dxfId="2130" priority="145953"/>
    <cfRule type="duplicateValues" dxfId="2129" priority="145954"/>
    <cfRule type="duplicateValues" dxfId="2128" priority="145955"/>
    <cfRule type="duplicateValues" dxfId="2127" priority="145956"/>
    <cfRule type="duplicateValues" dxfId="2126" priority="145957"/>
    <cfRule type="duplicateValues" dxfId="2125" priority="145958"/>
    <cfRule type="duplicateValues" dxfId="2124" priority="145959"/>
    <cfRule type="duplicateValues" dxfId="2123" priority="145960"/>
    <cfRule type="duplicateValues" dxfId="2122" priority="145961"/>
    <cfRule type="duplicateValues" dxfId="2121" priority="145962"/>
    <cfRule type="duplicateValues" dxfId="2120" priority="145963"/>
    <cfRule type="duplicateValues" dxfId="2119" priority="145964"/>
    <cfRule type="duplicateValues" dxfId="2118" priority="145965"/>
    <cfRule type="duplicateValues" dxfId="2117" priority="145966"/>
    <cfRule type="duplicateValues" dxfId="2116" priority="145967"/>
    <cfRule type="duplicateValues" dxfId="2115" priority="145968"/>
    <cfRule type="duplicateValues" dxfId="2114" priority="145969"/>
    <cfRule type="duplicateValues" dxfId="2113" priority="145970"/>
    <cfRule type="duplicateValues" dxfId="2112" priority="145971"/>
    <cfRule type="duplicateValues" dxfId="2111" priority="147622"/>
    <cfRule type="duplicateValues" dxfId="2110" priority="147623"/>
    <cfRule type="duplicateValues" dxfId="2109" priority="147624"/>
    <cfRule type="duplicateValues" dxfId="2108" priority="147625"/>
    <cfRule type="duplicateValues" dxfId="2107" priority="147626"/>
    <cfRule type="duplicateValues" dxfId="2106" priority="147627"/>
    <cfRule type="duplicateValues" dxfId="2105" priority="147628"/>
    <cfRule type="duplicateValues" dxfId="2104" priority="147629"/>
    <cfRule type="duplicateValues" dxfId="2103" priority="147630"/>
    <cfRule type="duplicateValues" dxfId="2102" priority="147631"/>
    <cfRule type="duplicateValues" dxfId="2101" priority="147632"/>
    <cfRule type="duplicateValues" dxfId="2100" priority="147633"/>
    <cfRule type="duplicateValues" dxfId="2099" priority="147634"/>
    <cfRule type="duplicateValues" dxfId="2098" priority="147635"/>
    <cfRule type="duplicateValues" dxfId="2097" priority="147636"/>
    <cfRule type="duplicateValues" dxfId="2096" priority="147637"/>
    <cfRule type="duplicateValues" dxfId="2095" priority="147638"/>
    <cfRule type="duplicateValues" dxfId="2094" priority="147639"/>
    <cfRule type="duplicateValues" dxfId="2093" priority="147640"/>
    <cfRule type="duplicateValues" dxfId="2092" priority="147641"/>
    <cfRule type="duplicateValues" dxfId="2091" priority="147642"/>
    <cfRule type="duplicateValues" dxfId="2090" priority="147643"/>
    <cfRule type="duplicateValues" dxfId="2089" priority="147644"/>
    <cfRule type="duplicateValues" dxfId="2088" priority="147645"/>
    <cfRule type="duplicateValues" dxfId="2087" priority="147646"/>
    <cfRule type="duplicateValues" dxfId="2086" priority="147647"/>
    <cfRule type="duplicateValues" dxfId="2085" priority="147648"/>
    <cfRule type="duplicateValues" dxfId="2084" priority="147649"/>
    <cfRule type="duplicateValues" dxfId="2083" priority="147650"/>
    <cfRule type="duplicateValues" dxfId="2082" priority="147651"/>
    <cfRule type="duplicateValues" dxfId="2081" priority="147652"/>
    <cfRule type="duplicateValues" dxfId="2080" priority="147653"/>
    <cfRule type="duplicateValues" dxfId="2079" priority="147654"/>
    <cfRule type="duplicateValues" dxfId="2078" priority="147655"/>
    <cfRule type="duplicateValues" dxfId="2077" priority="147656"/>
    <cfRule type="duplicateValues" dxfId="2076" priority="147657"/>
    <cfRule type="duplicateValues" dxfId="2075" priority="147658"/>
    <cfRule type="duplicateValues" dxfId="2074" priority="147659"/>
    <cfRule type="duplicateValues" dxfId="2073" priority="147660"/>
    <cfRule type="duplicateValues" dxfId="2072" priority="147661"/>
    <cfRule type="duplicateValues" dxfId="2071" priority="147662"/>
    <cfRule type="duplicateValues" dxfId="2070" priority="147663"/>
    <cfRule type="duplicateValues" dxfId="2069" priority="147664"/>
    <cfRule type="duplicateValues" dxfId="2068" priority="147665"/>
    <cfRule type="duplicateValues" dxfId="2067" priority="147666"/>
    <cfRule type="duplicateValues" dxfId="2066" priority="147667"/>
    <cfRule type="duplicateValues" dxfId="2065" priority="147668"/>
    <cfRule type="duplicateValues" dxfId="2064" priority="147669"/>
    <cfRule type="duplicateValues" dxfId="2063" priority="147670"/>
    <cfRule type="duplicateValues" dxfId="2062" priority="147671"/>
    <cfRule type="duplicateValues" dxfId="2061" priority="147672"/>
    <cfRule type="duplicateValues" dxfId="2060" priority="147673"/>
    <cfRule type="duplicateValues" dxfId="2059" priority="147674"/>
    <cfRule type="duplicateValues" dxfId="2058" priority="147675"/>
    <cfRule type="duplicateValues" dxfId="2057" priority="147676"/>
    <cfRule type="duplicateValues" dxfId="2056" priority="147677"/>
    <cfRule type="duplicateValues" dxfId="2055" priority="147678"/>
    <cfRule type="duplicateValues" dxfId="2054" priority="147679"/>
    <cfRule type="duplicateValues" dxfId="2053" priority="147680"/>
    <cfRule type="duplicateValues" dxfId="2052" priority="147681"/>
    <cfRule type="duplicateValues" dxfId="2051" priority="147682"/>
    <cfRule type="duplicateValues" dxfId="2050" priority="147683"/>
    <cfRule type="duplicateValues" dxfId="2049" priority="147684"/>
    <cfRule type="duplicateValues" dxfId="2048" priority="147685"/>
    <cfRule type="duplicateValues" dxfId="2047" priority="147686"/>
    <cfRule type="duplicateValues" dxfId="2046" priority="147687"/>
    <cfRule type="duplicateValues" dxfId="2045" priority="147688"/>
    <cfRule type="duplicateValues" dxfId="2044" priority="147689"/>
    <cfRule type="duplicateValues" dxfId="2043" priority="147690"/>
    <cfRule type="duplicateValues" dxfId="2042" priority="147691"/>
    <cfRule type="duplicateValues" dxfId="2041" priority="147692"/>
    <cfRule type="duplicateValues" dxfId="2040" priority="147693"/>
    <cfRule type="duplicateValues" dxfId="2039" priority="147694"/>
    <cfRule type="duplicateValues" dxfId="2038" priority="147695"/>
    <cfRule type="duplicateValues" dxfId="2037" priority="147696"/>
    <cfRule type="duplicateValues" dxfId="2036" priority="147697"/>
    <cfRule type="duplicateValues" dxfId="2035" priority="147698"/>
    <cfRule type="duplicateValues" dxfId="2034" priority="147699"/>
    <cfRule type="duplicateValues" dxfId="2033" priority="147700"/>
    <cfRule type="duplicateValues" dxfId="2032" priority="147701"/>
    <cfRule type="duplicateValues" dxfId="2031" priority="147702"/>
    <cfRule type="duplicateValues" dxfId="2030" priority="147703"/>
    <cfRule type="duplicateValues" dxfId="2029" priority="147704"/>
    <cfRule type="duplicateValues" dxfId="2028" priority="147705"/>
    <cfRule type="duplicateValues" dxfId="2027" priority="147706"/>
    <cfRule type="duplicateValues" dxfId="2026" priority="147707"/>
    <cfRule type="duplicateValues" dxfId="2025" priority="147708"/>
    <cfRule type="duplicateValues" dxfId="2024" priority="147709"/>
    <cfRule type="duplicateValues" dxfId="2023" priority="147710"/>
    <cfRule type="duplicateValues" dxfId="2022" priority="147711"/>
    <cfRule type="duplicateValues" dxfId="2021" priority="147742"/>
    <cfRule type="duplicateValues" dxfId="2020" priority="147743"/>
    <cfRule type="duplicateValues" dxfId="2019" priority="147744"/>
    <cfRule type="duplicateValues" dxfId="2018" priority="147745"/>
    <cfRule type="duplicateValues" dxfId="2017" priority="147746"/>
    <cfRule type="duplicateValues" dxfId="2016" priority="147747"/>
    <cfRule type="duplicateValues" dxfId="2015" priority="147748"/>
    <cfRule type="duplicateValues" dxfId="2014" priority="147749"/>
    <cfRule type="duplicateValues" dxfId="2013" priority="147750"/>
    <cfRule type="duplicateValues" dxfId="2012" priority="147751"/>
    <cfRule type="duplicateValues" dxfId="2011" priority="147752"/>
    <cfRule type="duplicateValues" dxfId="2010" priority="147753"/>
    <cfRule type="duplicateValues" dxfId="2009" priority="147754"/>
    <cfRule type="duplicateValues" dxfId="2008" priority="147755"/>
    <cfRule type="duplicateValues" dxfId="2007" priority="147756"/>
    <cfRule type="duplicateValues" dxfId="2006" priority="147757"/>
    <cfRule type="duplicateValues" dxfId="2005" priority="147758"/>
    <cfRule type="duplicateValues" dxfId="2004" priority="147759"/>
    <cfRule type="duplicateValues" dxfId="2003" priority="147760"/>
    <cfRule type="duplicateValues" dxfId="2002" priority="147761"/>
    <cfRule type="duplicateValues" dxfId="2001" priority="147762"/>
    <cfRule type="duplicateValues" dxfId="2000" priority="147763"/>
    <cfRule type="duplicateValues" dxfId="1999" priority="147764"/>
    <cfRule type="duplicateValues" dxfId="1998" priority="147765"/>
    <cfRule type="duplicateValues" dxfId="1997" priority="147766"/>
    <cfRule type="duplicateValues" dxfId="1996" priority="147767"/>
    <cfRule type="duplicateValues" dxfId="1995" priority="147768"/>
    <cfRule type="duplicateValues" dxfId="1994" priority="147769"/>
    <cfRule type="duplicateValues" dxfId="1993" priority="147770"/>
    <cfRule type="duplicateValues" dxfId="1992" priority="147771"/>
    <cfRule type="duplicateValues" dxfId="1991" priority="147772"/>
    <cfRule type="duplicateValues" dxfId="1990" priority="147773"/>
    <cfRule type="duplicateValues" dxfId="1989" priority="147774"/>
    <cfRule type="duplicateValues" dxfId="1988" priority="147775"/>
    <cfRule type="duplicateValues" dxfId="1987" priority="147776"/>
    <cfRule type="duplicateValues" dxfId="1986" priority="147777"/>
    <cfRule type="duplicateValues" dxfId="1985" priority="147778"/>
    <cfRule type="duplicateValues" dxfId="1984" priority="147779"/>
    <cfRule type="duplicateValues" dxfId="1983" priority="147780"/>
    <cfRule type="duplicateValues" dxfId="1982" priority="147781"/>
    <cfRule type="duplicateValues" dxfId="1981" priority="147782"/>
    <cfRule type="duplicateValues" dxfId="1980" priority="147783"/>
    <cfRule type="duplicateValues" dxfId="1979" priority="147784"/>
    <cfRule type="duplicateValues" dxfId="1978" priority="147785"/>
    <cfRule type="duplicateValues" dxfId="1977" priority="147786"/>
    <cfRule type="duplicateValues" dxfId="1976" priority="147787"/>
    <cfRule type="duplicateValues" dxfId="1975" priority="147788"/>
    <cfRule type="duplicateValues" dxfId="1974" priority="147789"/>
    <cfRule type="duplicateValues" dxfId="1973" priority="147790"/>
    <cfRule type="duplicateValues" dxfId="1972" priority="147791"/>
    <cfRule type="duplicateValues" dxfId="1971" priority="147792"/>
    <cfRule type="duplicateValues" dxfId="1970" priority="147793"/>
    <cfRule type="duplicateValues" dxfId="1969" priority="147794"/>
    <cfRule type="duplicateValues" dxfId="1968" priority="147795"/>
    <cfRule type="duplicateValues" dxfId="1967" priority="147796"/>
    <cfRule type="duplicateValues" dxfId="1966" priority="147797"/>
    <cfRule type="duplicateValues" dxfId="1965" priority="147798"/>
    <cfRule type="duplicateValues" dxfId="1964" priority="147799"/>
    <cfRule type="duplicateValues" dxfId="1963" priority="147800"/>
    <cfRule type="duplicateValues" dxfId="1962" priority="147801"/>
    <cfRule type="duplicateValues" dxfId="1961" priority="145643"/>
    <cfRule type="duplicateValues" dxfId="1960" priority="144350"/>
    <cfRule type="duplicateValues" dxfId="1959" priority="144349"/>
    <cfRule type="duplicateValues" dxfId="1958" priority="144348"/>
    <cfRule type="duplicateValues" dxfId="1957" priority="144347"/>
    <cfRule type="duplicateValues" dxfId="1956" priority="144346"/>
    <cfRule type="duplicateValues" dxfId="1955" priority="144345"/>
    <cfRule type="duplicateValues" dxfId="1954" priority="144344"/>
    <cfRule type="duplicateValues" dxfId="1953" priority="144343"/>
    <cfRule type="duplicateValues" dxfId="1952" priority="144342"/>
    <cfRule type="duplicateValues" dxfId="1951" priority="144341"/>
    <cfRule type="duplicateValues" dxfId="1950" priority="144340"/>
    <cfRule type="duplicateValues" dxfId="1949" priority="144339"/>
    <cfRule type="duplicateValues" dxfId="1948" priority="144338"/>
    <cfRule type="duplicateValues" dxfId="1947" priority="144337"/>
    <cfRule type="duplicateValues" dxfId="1946" priority="144336"/>
    <cfRule type="duplicateValues" dxfId="1945" priority="144335"/>
    <cfRule type="duplicateValues" dxfId="1944" priority="144334"/>
    <cfRule type="duplicateValues" dxfId="1943" priority="144333"/>
    <cfRule type="duplicateValues" dxfId="1942" priority="144332"/>
    <cfRule type="duplicateValues" dxfId="1941" priority="144331"/>
    <cfRule type="duplicateValues" dxfId="1940" priority="144330"/>
    <cfRule type="duplicateValues" dxfId="1939" priority="144329"/>
    <cfRule type="duplicateValues" dxfId="1938" priority="144328"/>
    <cfRule type="duplicateValues" dxfId="1937" priority="144327"/>
    <cfRule type="duplicateValues" dxfId="1936" priority="144326"/>
    <cfRule type="duplicateValues" dxfId="1935" priority="144325"/>
    <cfRule type="duplicateValues" dxfId="1934" priority="144324"/>
    <cfRule type="duplicateValues" dxfId="1933" priority="144323"/>
    <cfRule type="duplicateValues" dxfId="1932" priority="144322"/>
    <cfRule type="duplicateValues" dxfId="1931" priority="144051"/>
    <cfRule type="duplicateValues" dxfId="1930" priority="144050"/>
    <cfRule type="duplicateValues" dxfId="1929" priority="144049"/>
    <cfRule type="duplicateValues" dxfId="1928" priority="144048"/>
    <cfRule type="duplicateValues" dxfId="1927" priority="144047"/>
    <cfRule type="duplicateValues" dxfId="1926" priority="144046"/>
    <cfRule type="duplicateValues" dxfId="1925" priority="144045"/>
    <cfRule type="duplicateValues" dxfId="1924" priority="144044"/>
    <cfRule type="duplicateValues" dxfId="1923" priority="144043"/>
    <cfRule type="duplicateValues" dxfId="1922" priority="144042"/>
    <cfRule type="duplicateValues" dxfId="1921" priority="144041"/>
    <cfRule type="duplicateValues" dxfId="1920" priority="144040"/>
    <cfRule type="duplicateValues" dxfId="1919" priority="144039"/>
    <cfRule type="duplicateValues" dxfId="1918" priority="144038"/>
    <cfRule type="duplicateValues" dxfId="1917" priority="144037"/>
    <cfRule type="duplicateValues" dxfId="1916" priority="144036"/>
    <cfRule type="duplicateValues" dxfId="1915" priority="144035"/>
    <cfRule type="duplicateValues" dxfId="1914" priority="144034"/>
    <cfRule type="duplicateValues" dxfId="1913" priority="144033"/>
    <cfRule type="duplicateValues" dxfId="1912" priority="144032"/>
    <cfRule type="duplicateValues" dxfId="1911" priority="144031"/>
    <cfRule type="duplicateValues" dxfId="1910" priority="144030"/>
    <cfRule type="duplicateValues" dxfId="1909" priority="144029"/>
    <cfRule type="duplicateValues" dxfId="1908" priority="144028"/>
    <cfRule type="duplicateValues" dxfId="1907" priority="144027"/>
    <cfRule type="duplicateValues" dxfId="1906" priority="144026"/>
    <cfRule type="duplicateValues" dxfId="1905" priority="144025"/>
    <cfRule type="duplicateValues" dxfId="1904" priority="144024"/>
    <cfRule type="duplicateValues" dxfId="1903" priority="144023"/>
    <cfRule type="duplicateValues" dxfId="1902" priority="144022"/>
    <cfRule type="duplicateValues" dxfId="1901" priority="148051"/>
    <cfRule type="duplicateValues" dxfId="1900" priority="148052"/>
    <cfRule type="duplicateValues" dxfId="1899" priority="148053"/>
    <cfRule type="duplicateValues" dxfId="1898" priority="148054"/>
    <cfRule type="duplicateValues" dxfId="1897" priority="148055"/>
    <cfRule type="duplicateValues" dxfId="1896" priority="148056"/>
    <cfRule type="duplicateValues" dxfId="1895" priority="148057"/>
    <cfRule type="duplicateValues" dxfId="1894" priority="148058"/>
    <cfRule type="duplicateValues" dxfId="1893" priority="148059"/>
    <cfRule type="duplicateValues" dxfId="1892" priority="148060"/>
    <cfRule type="duplicateValues" dxfId="1891" priority="148061"/>
    <cfRule type="duplicateValues" dxfId="1890" priority="148062"/>
    <cfRule type="duplicateValues" dxfId="1889" priority="148063"/>
    <cfRule type="duplicateValues" dxfId="1888" priority="148064"/>
    <cfRule type="duplicateValues" dxfId="1887" priority="148065"/>
    <cfRule type="duplicateValues" dxfId="1886" priority="148066"/>
    <cfRule type="duplicateValues" dxfId="1885" priority="148067"/>
    <cfRule type="duplicateValues" dxfId="1884" priority="148068"/>
    <cfRule type="duplicateValues" dxfId="1883" priority="148069"/>
    <cfRule type="duplicateValues" dxfId="1882" priority="148070"/>
    <cfRule type="duplicateValues" dxfId="1881" priority="148071"/>
    <cfRule type="duplicateValues" dxfId="1880" priority="148072"/>
    <cfRule type="duplicateValues" dxfId="1879" priority="148073"/>
    <cfRule type="duplicateValues" dxfId="1878" priority="148074"/>
    <cfRule type="duplicateValues" dxfId="1877" priority="148075"/>
    <cfRule type="duplicateValues" dxfId="1876" priority="148076"/>
    <cfRule type="duplicateValues" dxfId="1875" priority="148077"/>
    <cfRule type="duplicateValues" dxfId="1874" priority="148078"/>
    <cfRule type="duplicateValues" dxfId="1873" priority="148079"/>
    <cfRule type="duplicateValues" dxfId="1872" priority="148080"/>
    <cfRule type="duplicateValues" dxfId="1871" priority="148081"/>
    <cfRule type="duplicateValues" dxfId="1870" priority="148082"/>
    <cfRule type="duplicateValues" dxfId="1869" priority="148083"/>
    <cfRule type="duplicateValues" dxfId="1868" priority="148084"/>
    <cfRule type="duplicateValues" dxfId="1867" priority="148085"/>
    <cfRule type="duplicateValues" dxfId="1866" priority="148086"/>
    <cfRule type="duplicateValues" dxfId="1865" priority="148087"/>
    <cfRule type="duplicateValues" dxfId="1864" priority="148088"/>
    <cfRule type="duplicateValues" dxfId="1863" priority="148089"/>
    <cfRule type="duplicateValues" dxfId="1862" priority="148090"/>
    <cfRule type="duplicateValues" dxfId="1861" priority="148091"/>
    <cfRule type="duplicateValues" dxfId="1860" priority="148092"/>
    <cfRule type="duplicateValues" dxfId="1859" priority="148093"/>
    <cfRule type="duplicateValues" dxfId="1858" priority="148094"/>
    <cfRule type="duplicateValues" dxfId="1857" priority="148095"/>
    <cfRule type="duplicateValues" dxfId="1856" priority="148096"/>
    <cfRule type="duplicateValues" dxfId="1855" priority="148097"/>
    <cfRule type="duplicateValues" dxfId="1854" priority="148098"/>
    <cfRule type="duplicateValues" dxfId="1853" priority="148099"/>
    <cfRule type="duplicateValues" dxfId="1852" priority="148100"/>
    <cfRule type="duplicateValues" dxfId="1851" priority="148101"/>
    <cfRule type="duplicateValues" dxfId="1850" priority="148102"/>
    <cfRule type="duplicateValues" dxfId="1849" priority="148103"/>
    <cfRule type="duplicateValues" dxfId="1848" priority="148104"/>
    <cfRule type="duplicateValues" dxfId="1847" priority="148105"/>
    <cfRule type="duplicateValues" dxfId="1846" priority="148106"/>
    <cfRule type="duplicateValues" dxfId="1845" priority="148107"/>
    <cfRule type="duplicateValues" dxfId="1844" priority="148108"/>
    <cfRule type="duplicateValues" dxfId="1843" priority="148109"/>
    <cfRule type="duplicateValues" dxfId="1842" priority="148110"/>
    <cfRule type="duplicateValues" dxfId="1841" priority="148111"/>
    <cfRule type="duplicateValues" dxfId="1840" priority="148112"/>
    <cfRule type="duplicateValues" dxfId="1839" priority="148113"/>
    <cfRule type="duplicateValues" dxfId="1838" priority="148114"/>
    <cfRule type="duplicateValues" dxfId="1837" priority="148115"/>
    <cfRule type="duplicateValues" dxfId="1836" priority="148116"/>
    <cfRule type="duplicateValues" dxfId="1835" priority="148117"/>
    <cfRule type="duplicateValues" dxfId="1834" priority="148118"/>
    <cfRule type="duplicateValues" dxfId="1833" priority="148119"/>
    <cfRule type="duplicateValues" dxfId="1832" priority="148120"/>
    <cfRule type="duplicateValues" dxfId="1831" priority="148121"/>
    <cfRule type="duplicateValues" dxfId="1830" priority="148122"/>
    <cfRule type="duplicateValues" dxfId="1829" priority="148123"/>
    <cfRule type="duplicateValues" dxfId="1828" priority="148124"/>
    <cfRule type="duplicateValues" dxfId="1827" priority="148125"/>
    <cfRule type="duplicateValues" dxfId="1826" priority="148126"/>
    <cfRule type="duplicateValues" dxfId="1825" priority="148127"/>
    <cfRule type="duplicateValues" dxfId="1824" priority="148128"/>
    <cfRule type="duplicateValues" dxfId="1823" priority="148129"/>
    <cfRule type="duplicateValues" dxfId="1822" priority="148130"/>
    <cfRule type="duplicateValues" dxfId="1821" priority="148131"/>
    <cfRule type="duplicateValues" dxfId="1820" priority="148132"/>
    <cfRule type="duplicateValues" dxfId="1819" priority="148133"/>
    <cfRule type="duplicateValues" dxfId="1818" priority="148134"/>
    <cfRule type="duplicateValues" dxfId="1817" priority="148135"/>
    <cfRule type="duplicateValues" dxfId="1816" priority="148136"/>
    <cfRule type="duplicateValues" dxfId="1815" priority="148137"/>
    <cfRule type="duplicateValues" dxfId="1814" priority="148138"/>
    <cfRule type="duplicateValues" dxfId="1813" priority="148139"/>
    <cfRule type="duplicateValues" dxfId="1812" priority="148140"/>
    <cfRule type="duplicateValues" dxfId="1811" priority="148171"/>
    <cfRule type="duplicateValues" dxfId="1810" priority="148172"/>
    <cfRule type="duplicateValues" dxfId="1809" priority="148173"/>
    <cfRule type="duplicateValues" dxfId="1808" priority="148174"/>
    <cfRule type="duplicateValues" dxfId="1807" priority="148175"/>
    <cfRule type="duplicateValues" dxfId="1806" priority="148176"/>
    <cfRule type="duplicateValues" dxfId="1805" priority="148177"/>
    <cfRule type="duplicateValues" dxfId="1804" priority="148178"/>
    <cfRule type="duplicateValues" dxfId="1803" priority="148179"/>
    <cfRule type="duplicateValues" dxfId="1802" priority="148180"/>
    <cfRule type="duplicateValues" dxfId="1801" priority="148181"/>
    <cfRule type="duplicateValues" dxfId="1800" priority="148182"/>
    <cfRule type="duplicateValues" dxfId="1799" priority="148183"/>
    <cfRule type="duplicateValues" dxfId="1798" priority="148184"/>
    <cfRule type="duplicateValues" dxfId="1797" priority="148185"/>
    <cfRule type="duplicateValues" dxfId="1796" priority="148186"/>
    <cfRule type="duplicateValues" dxfId="1795" priority="148187"/>
    <cfRule type="duplicateValues" dxfId="1794" priority="148188"/>
    <cfRule type="duplicateValues" dxfId="1793" priority="148189"/>
    <cfRule type="duplicateValues" dxfId="1792" priority="148190"/>
    <cfRule type="duplicateValues" dxfId="1791" priority="148191"/>
    <cfRule type="duplicateValues" dxfId="1790" priority="148192"/>
    <cfRule type="duplicateValues" dxfId="1789" priority="148193"/>
    <cfRule type="duplicateValues" dxfId="1788" priority="148194"/>
    <cfRule type="duplicateValues" dxfId="1787" priority="148195"/>
    <cfRule type="duplicateValues" dxfId="1786" priority="148196"/>
    <cfRule type="duplicateValues" dxfId="1785" priority="148197"/>
    <cfRule type="duplicateValues" dxfId="1784" priority="148198"/>
    <cfRule type="duplicateValues" dxfId="1783" priority="148199"/>
    <cfRule type="duplicateValues" dxfId="1782" priority="148200"/>
    <cfRule type="duplicateValues" dxfId="1781" priority="148201"/>
    <cfRule type="duplicateValues" dxfId="1780" priority="148202"/>
    <cfRule type="duplicateValues" dxfId="1779" priority="148203"/>
    <cfRule type="duplicateValues" dxfId="1778" priority="148204"/>
    <cfRule type="duplicateValues" dxfId="1777" priority="148205"/>
    <cfRule type="duplicateValues" dxfId="1776" priority="148206"/>
    <cfRule type="duplicateValues" dxfId="1775" priority="148207"/>
    <cfRule type="duplicateValues" dxfId="1774" priority="148208"/>
    <cfRule type="duplicateValues" dxfId="1773" priority="148209"/>
    <cfRule type="duplicateValues" dxfId="1772" priority="148210"/>
    <cfRule type="duplicateValues" dxfId="1771" priority="148211"/>
    <cfRule type="duplicateValues" dxfId="1770" priority="148212"/>
    <cfRule type="duplicateValues" dxfId="1769" priority="148213"/>
    <cfRule type="duplicateValues" dxfId="1768" priority="148214"/>
    <cfRule type="duplicateValues" dxfId="1767" priority="148215"/>
    <cfRule type="duplicateValues" dxfId="1766" priority="148216"/>
    <cfRule type="duplicateValues" dxfId="1765" priority="148217"/>
    <cfRule type="duplicateValues" dxfId="1764" priority="148218"/>
    <cfRule type="duplicateValues" dxfId="1763" priority="148219"/>
    <cfRule type="duplicateValues" dxfId="1762" priority="148220"/>
    <cfRule type="duplicateValues" dxfId="1761" priority="148221"/>
    <cfRule type="duplicateValues" dxfId="1760" priority="148222"/>
    <cfRule type="duplicateValues" dxfId="1759" priority="148223"/>
    <cfRule type="duplicateValues" dxfId="1758" priority="148224"/>
    <cfRule type="duplicateValues" dxfId="1757" priority="148225"/>
    <cfRule type="duplicateValues" dxfId="1756" priority="148226"/>
    <cfRule type="duplicateValues" dxfId="1755" priority="148227"/>
    <cfRule type="duplicateValues" dxfId="1754" priority="148228"/>
    <cfRule type="duplicateValues" dxfId="1753" priority="148229"/>
    <cfRule type="duplicateValues" dxfId="1752" priority="148230"/>
    <cfRule type="duplicateValues" dxfId="1751" priority="148371"/>
    <cfRule type="duplicateValues" dxfId="1750" priority="148372"/>
    <cfRule type="duplicateValues" dxfId="1749" priority="148373"/>
    <cfRule type="duplicateValues" dxfId="1748" priority="148374"/>
    <cfRule type="duplicateValues" dxfId="1747" priority="148375"/>
    <cfRule type="duplicateValues" dxfId="1746" priority="148376"/>
    <cfRule type="duplicateValues" dxfId="1745" priority="148377"/>
    <cfRule type="duplicateValues" dxfId="1744" priority="148378"/>
    <cfRule type="duplicateValues" dxfId="1743" priority="148379"/>
    <cfRule type="duplicateValues" dxfId="1742" priority="148380"/>
    <cfRule type="duplicateValues" dxfId="1741" priority="148381"/>
    <cfRule type="duplicateValues" dxfId="1740" priority="148382"/>
    <cfRule type="duplicateValues" dxfId="1739" priority="148383"/>
    <cfRule type="duplicateValues" dxfId="1738" priority="148384"/>
    <cfRule type="duplicateValues" dxfId="1737" priority="148385"/>
    <cfRule type="duplicateValues" dxfId="1736" priority="148386"/>
    <cfRule type="duplicateValues" dxfId="1735" priority="148387"/>
    <cfRule type="duplicateValues" dxfId="1734" priority="148388"/>
    <cfRule type="duplicateValues" dxfId="1733" priority="148389"/>
    <cfRule type="duplicateValues" dxfId="1732" priority="148390"/>
    <cfRule type="duplicateValues" dxfId="1731" priority="148391"/>
    <cfRule type="duplicateValues" dxfId="1730" priority="148392"/>
    <cfRule type="duplicateValues" dxfId="1729" priority="148393"/>
    <cfRule type="duplicateValues" dxfId="1728" priority="148394"/>
    <cfRule type="duplicateValues" dxfId="1727" priority="148395"/>
    <cfRule type="duplicateValues" dxfId="1726" priority="148396"/>
    <cfRule type="duplicateValues" dxfId="1725" priority="148397"/>
    <cfRule type="duplicateValues" dxfId="1724" priority="148398"/>
    <cfRule type="duplicateValues" dxfId="1723" priority="148399"/>
    <cfRule type="duplicateValues" dxfId="1722" priority="148400"/>
    <cfRule type="duplicateValues" dxfId="1721" priority="148401"/>
    <cfRule type="duplicateValues" dxfId="1720" priority="148402"/>
    <cfRule type="duplicateValues" dxfId="1719" priority="148403"/>
    <cfRule type="duplicateValues" dxfId="1718" priority="148404"/>
    <cfRule type="duplicateValues" dxfId="1717" priority="148405"/>
    <cfRule type="duplicateValues" dxfId="1716" priority="148406"/>
    <cfRule type="duplicateValues" dxfId="1715" priority="148407"/>
    <cfRule type="duplicateValues" dxfId="1714" priority="148408"/>
    <cfRule type="duplicateValues" dxfId="1713" priority="148409"/>
    <cfRule type="duplicateValues" dxfId="1712" priority="148410"/>
    <cfRule type="duplicateValues" dxfId="1711" priority="148411"/>
    <cfRule type="duplicateValues" dxfId="1710" priority="148412"/>
    <cfRule type="duplicateValues" dxfId="1709" priority="148413"/>
    <cfRule type="duplicateValues" dxfId="1708" priority="148414"/>
    <cfRule type="duplicateValues" dxfId="1707" priority="148415"/>
    <cfRule type="duplicateValues" dxfId="1706" priority="148416"/>
    <cfRule type="duplicateValues" dxfId="1705" priority="148417"/>
    <cfRule type="duplicateValues" dxfId="1704" priority="148418"/>
    <cfRule type="duplicateValues" dxfId="1703" priority="148419"/>
    <cfRule type="duplicateValues" dxfId="1702" priority="148420"/>
    <cfRule type="duplicateValues" dxfId="1701" priority="148421"/>
    <cfRule type="duplicateValues" dxfId="1700" priority="148422"/>
    <cfRule type="duplicateValues" dxfId="1699" priority="148423"/>
    <cfRule type="duplicateValues" dxfId="1698" priority="148424"/>
    <cfRule type="duplicateValues" dxfId="1697" priority="148425"/>
    <cfRule type="duplicateValues" dxfId="1696" priority="148426"/>
    <cfRule type="duplicateValues" dxfId="1695" priority="148427"/>
    <cfRule type="duplicateValues" dxfId="1694" priority="148428"/>
    <cfRule type="duplicateValues" dxfId="1693" priority="148429"/>
    <cfRule type="duplicateValues" dxfId="1692" priority="148430"/>
    <cfRule type="duplicateValues" dxfId="1691" priority="143436"/>
    <cfRule type="duplicateValues" dxfId="1690" priority="143435"/>
    <cfRule type="duplicateValues" dxfId="1689" priority="143434"/>
    <cfRule type="duplicateValues" dxfId="1688" priority="143433"/>
    <cfRule type="duplicateValues" dxfId="1687" priority="143432"/>
    <cfRule type="duplicateValues" dxfId="1686" priority="143431"/>
    <cfRule type="duplicateValues" dxfId="1685" priority="143430"/>
    <cfRule type="duplicateValues" dxfId="1684" priority="143429"/>
    <cfRule type="duplicateValues" dxfId="1683" priority="143428"/>
    <cfRule type="duplicateValues" dxfId="1682" priority="143427"/>
    <cfRule type="duplicateValues" dxfId="1681" priority="143426"/>
    <cfRule type="duplicateValues" dxfId="1680" priority="143425"/>
    <cfRule type="duplicateValues" dxfId="1679" priority="143424"/>
    <cfRule type="duplicateValues" dxfId="1678" priority="143423"/>
    <cfRule type="duplicateValues" dxfId="1677" priority="143422"/>
    <cfRule type="duplicateValues" dxfId="1676" priority="143421"/>
    <cfRule type="duplicateValues" dxfId="1675" priority="143420"/>
    <cfRule type="duplicateValues" dxfId="1674" priority="143419"/>
    <cfRule type="duplicateValues" dxfId="1673" priority="143418"/>
    <cfRule type="duplicateValues" dxfId="1672" priority="143417"/>
    <cfRule type="duplicateValues" dxfId="1671" priority="143416"/>
    <cfRule type="duplicateValues" dxfId="1670" priority="143415"/>
    <cfRule type="duplicateValues" dxfId="1669" priority="143414"/>
    <cfRule type="duplicateValues" dxfId="1668" priority="143413"/>
    <cfRule type="duplicateValues" dxfId="1667" priority="143412"/>
    <cfRule type="duplicateValues" dxfId="1666" priority="143411"/>
    <cfRule type="duplicateValues" dxfId="1665" priority="143410"/>
    <cfRule type="duplicateValues" dxfId="1664" priority="143409"/>
    <cfRule type="duplicateValues" dxfId="1663" priority="143408"/>
    <cfRule type="duplicateValues" dxfId="1662" priority="143407"/>
    <cfRule type="duplicateValues" dxfId="1661" priority="143406"/>
    <cfRule type="duplicateValues" dxfId="1660" priority="143405"/>
    <cfRule type="duplicateValues" dxfId="1659" priority="143404"/>
    <cfRule type="duplicateValues" dxfId="1658" priority="143403"/>
    <cfRule type="duplicateValues" dxfId="1657" priority="143402"/>
    <cfRule type="duplicateValues" dxfId="1656" priority="143401"/>
    <cfRule type="duplicateValues" dxfId="1655" priority="143400"/>
    <cfRule type="duplicateValues" dxfId="1654" priority="143399"/>
    <cfRule type="duplicateValues" dxfId="1653" priority="143398"/>
    <cfRule type="duplicateValues" dxfId="1652" priority="143397"/>
    <cfRule type="duplicateValues" dxfId="1651" priority="143396"/>
    <cfRule type="duplicateValues" dxfId="1650" priority="143395"/>
    <cfRule type="duplicateValues" dxfId="1649" priority="143394"/>
    <cfRule type="duplicateValues" dxfId="1648" priority="143393"/>
    <cfRule type="duplicateValues" dxfId="1647" priority="143392"/>
    <cfRule type="duplicateValues" dxfId="1646" priority="143391"/>
    <cfRule type="duplicateValues" dxfId="1645" priority="143390"/>
    <cfRule type="duplicateValues" dxfId="1644" priority="143389"/>
    <cfRule type="duplicateValues" dxfId="1643" priority="143388"/>
    <cfRule type="duplicateValues" dxfId="1642" priority="143387"/>
    <cfRule type="duplicateValues" dxfId="1641" priority="143386"/>
    <cfRule type="duplicateValues" dxfId="1640" priority="143385"/>
    <cfRule type="duplicateValues" dxfId="1639" priority="143384"/>
    <cfRule type="duplicateValues" dxfId="1638" priority="143383"/>
    <cfRule type="duplicateValues" dxfId="1637" priority="143382"/>
    <cfRule type="duplicateValues" dxfId="1636" priority="143381"/>
    <cfRule type="duplicateValues" dxfId="1635" priority="143380"/>
    <cfRule type="duplicateValues" dxfId="1634" priority="143379"/>
    <cfRule type="duplicateValues" dxfId="1633" priority="143378"/>
    <cfRule type="duplicateValues" dxfId="1632" priority="143377"/>
    <cfRule type="duplicateValues" dxfId="1631" priority="143346"/>
    <cfRule type="duplicateValues" dxfId="1630" priority="143345"/>
    <cfRule type="duplicateValues" dxfId="1629" priority="143344"/>
    <cfRule type="duplicateValues" dxfId="1628" priority="143343"/>
    <cfRule type="duplicateValues" dxfId="1627" priority="143342"/>
    <cfRule type="duplicateValues" dxfId="1626" priority="143341"/>
    <cfRule type="duplicateValues" dxfId="1625" priority="143340"/>
    <cfRule type="duplicateValues" dxfId="1624" priority="143339"/>
    <cfRule type="duplicateValues" dxfId="1623" priority="143338"/>
    <cfRule type="duplicateValues" dxfId="1622" priority="143337"/>
    <cfRule type="duplicateValues" dxfId="1621" priority="143336"/>
    <cfRule type="duplicateValues" dxfId="1620" priority="143335"/>
    <cfRule type="duplicateValues" dxfId="1619" priority="143334"/>
    <cfRule type="duplicateValues" dxfId="1618" priority="143333"/>
    <cfRule type="duplicateValues" dxfId="1617" priority="143332"/>
    <cfRule type="duplicateValues" dxfId="1616" priority="143331"/>
    <cfRule type="duplicateValues" dxfId="1615" priority="143330"/>
    <cfRule type="duplicateValues" dxfId="1614" priority="143329"/>
    <cfRule type="duplicateValues" dxfId="1613" priority="143328"/>
    <cfRule type="duplicateValues" dxfId="1612" priority="143327"/>
    <cfRule type="duplicateValues" dxfId="1611" priority="143326"/>
    <cfRule type="duplicateValues" dxfId="1610" priority="143325"/>
    <cfRule type="duplicateValues" dxfId="1609" priority="143324"/>
    <cfRule type="duplicateValues" dxfId="1608" priority="143323"/>
    <cfRule type="duplicateValues" dxfId="1607" priority="143322"/>
    <cfRule type="duplicateValues" dxfId="1606" priority="143321"/>
    <cfRule type="duplicateValues" dxfId="1605" priority="143320"/>
    <cfRule type="duplicateValues" dxfId="1604" priority="143319"/>
    <cfRule type="duplicateValues" dxfId="1603" priority="143318"/>
    <cfRule type="duplicateValues" dxfId="1602" priority="143317"/>
    <cfRule type="duplicateValues" dxfId="1601" priority="143316"/>
    <cfRule type="duplicateValues" dxfId="1600" priority="143315"/>
    <cfRule type="duplicateValues" dxfId="1599" priority="143314"/>
    <cfRule type="duplicateValues" dxfId="1598" priority="143313"/>
    <cfRule type="duplicateValues" dxfId="1597" priority="143312"/>
    <cfRule type="duplicateValues" dxfId="1596" priority="143311"/>
  </conditionalFormatting>
  <conditionalFormatting sqref="P18:Q18">
    <cfRule type="duplicateValues" dxfId="1595" priority="142333"/>
    <cfRule type="duplicateValues" dxfId="1594" priority="142334"/>
    <cfRule type="duplicateValues" dxfId="1593" priority="142335"/>
    <cfRule type="duplicateValues" dxfId="1592" priority="142336"/>
    <cfRule type="duplicateValues" dxfId="1591" priority="142337"/>
    <cfRule type="duplicateValues" dxfId="1590" priority="142338"/>
    <cfRule type="duplicateValues" dxfId="1589" priority="142339"/>
    <cfRule type="duplicateValues" dxfId="1588" priority="142340"/>
    <cfRule type="duplicateValues" dxfId="1587" priority="142341"/>
    <cfRule type="duplicateValues" dxfId="1586" priority="142342"/>
    <cfRule type="duplicateValues" dxfId="1585" priority="142343"/>
    <cfRule type="duplicateValues" dxfId="1584" priority="142344"/>
    <cfRule type="duplicateValues" dxfId="1583" priority="142345"/>
    <cfRule type="duplicateValues" dxfId="1582" priority="142346"/>
    <cfRule type="duplicateValues" dxfId="1581" priority="142347"/>
    <cfRule type="duplicateValues" dxfId="1580" priority="142348"/>
    <cfRule type="duplicateValues" dxfId="1579" priority="142349"/>
    <cfRule type="duplicateValues" dxfId="1578" priority="142350"/>
    <cfRule type="duplicateValues" dxfId="1577" priority="142351"/>
    <cfRule type="duplicateValues" dxfId="1576" priority="142352"/>
    <cfRule type="duplicateValues" dxfId="1575" priority="142353"/>
    <cfRule type="duplicateValues" dxfId="1574" priority="142354"/>
    <cfRule type="duplicateValues" dxfId="1573" priority="142355"/>
    <cfRule type="duplicateValues" dxfId="1572" priority="142356"/>
    <cfRule type="duplicateValues" dxfId="1571" priority="142357"/>
    <cfRule type="duplicateValues" dxfId="1570" priority="142358"/>
    <cfRule type="duplicateValues" dxfId="1569" priority="142359"/>
    <cfRule type="duplicateValues" dxfId="1568" priority="142360"/>
    <cfRule type="duplicateValues" dxfId="1567" priority="142361"/>
    <cfRule type="duplicateValues" dxfId="1566" priority="142362"/>
    <cfRule type="duplicateValues" dxfId="1565" priority="142363"/>
    <cfRule type="duplicateValues" dxfId="1564" priority="142364"/>
    <cfRule type="duplicateValues" dxfId="1563" priority="142365"/>
    <cfRule type="duplicateValues" dxfId="1562" priority="142687"/>
    <cfRule type="duplicateValues" dxfId="1561" priority="142688"/>
    <cfRule type="duplicateValues" dxfId="1560" priority="142689"/>
    <cfRule type="duplicateValues" dxfId="1559" priority="142690"/>
    <cfRule type="duplicateValues" dxfId="1558" priority="142691"/>
    <cfRule type="duplicateValues" dxfId="1557" priority="142692"/>
    <cfRule type="duplicateValues" dxfId="1556" priority="142693"/>
    <cfRule type="duplicateValues" dxfId="1555" priority="142694"/>
    <cfRule type="duplicateValues" dxfId="1554" priority="142696"/>
    <cfRule type="duplicateValues" dxfId="1553" priority="142697"/>
    <cfRule type="duplicateValues" dxfId="1552" priority="142698"/>
    <cfRule type="duplicateValues" dxfId="1551" priority="142699"/>
    <cfRule type="duplicateValues" dxfId="1550" priority="142700"/>
    <cfRule type="duplicateValues" dxfId="1549" priority="142701"/>
    <cfRule type="duplicateValues" dxfId="1548" priority="142702"/>
    <cfRule type="duplicateValues" dxfId="1547" priority="142703"/>
    <cfRule type="duplicateValues" dxfId="1546" priority="142704"/>
    <cfRule type="duplicateValues" dxfId="1545" priority="142705"/>
    <cfRule type="duplicateValues" dxfId="1544" priority="142706"/>
    <cfRule type="duplicateValues" dxfId="1543" priority="142707"/>
    <cfRule type="duplicateValues" dxfId="1542" priority="142708"/>
    <cfRule type="duplicateValues" dxfId="1541" priority="142709"/>
    <cfRule type="duplicateValues" dxfId="1540" priority="142710"/>
    <cfRule type="duplicateValues" dxfId="1539" priority="142711"/>
    <cfRule type="duplicateValues" dxfId="1538" priority="142712"/>
    <cfRule type="duplicateValues" dxfId="1537" priority="142713"/>
    <cfRule type="duplicateValues" dxfId="1536" priority="142714"/>
    <cfRule type="duplicateValues" dxfId="1535" priority="142715"/>
    <cfRule type="duplicateValues" dxfId="1534" priority="142716"/>
    <cfRule type="duplicateValues" dxfId="1533" priority="142897"/>
    <cfRule type="duplicateValues" dxfId="1532" priority="142898"/>
    <cfRule type="duplicateValues" dxfId="1531" priority="142899"/>
    <cfRule type="duplicateValues" dxfId="1530" priority="142900"/>
    <cfRule type="duplicateValues" dxfId="1529" priority="142901"/>
    <cfRule type="duplicateValues" dxfId="1528" priority="142902"/>
    <cfRule type="duplicateValues" dxfId="1527" priority="142903"/>
    <cfRule type="duplicateValues" dxfId="1526" priority="142904"/>
    <cfRule type="duplicateValues" dxfId="1525" priority="142905"/>
    <cfRule type="duplicateValues" dxfId="1524" priority="142906"/>
    <cfRule type="duplicateValues" dxfId="1523" priority="142907"/>
    <cfRule type="duplicateValues" dxfId="1522" priority="142908"/>
    <cfRule type="duplicateValues" dxfId="1521" priority="142909"/>
    <cfRule type="duplicateValues" dxfId="1520" priority="142910"/>
    <cfRule type="duplicateValues" dxfId="1519" priority="142911"/>
    <cfRule type="duplicateValues" dxfId="1518" priority="142912"/>
    <cfRule type="duplicateValues" dxfId="1517" priority="142913"/>
    <cfRule type="duplicateValues" dxfId="1516" priority="142914"/>
    <cfRule type="duplicateValues" dxfId="1515" priority="142915"/>
    <cfRule type="duplicateValues" dxfId="1514" priority="142916"/>
    <cfRule type="duplicateValues" dxfId="1513" priority="142917"/>
    <cfRule type="duplicateValues" dxfId="1512" priority="142918"/>
    <cfRule type="duplicateValues" dxfId="1511" priority="142919"/>
    <cfRule type="duplicateValues" dxfId="1510" priority="142920"/>
    <cfRule type="duplicateValues" dxfId="1509" priority="142921"/>
    <cfRule type="duplicateValues" dxfId="1508" priority="142922"/>
    <cfRule type="duplicateValues" dxfId="1507" priority="142923"/>
    <cfRule type="duplicateValues" dxfId="1506" priority="142924"/>
    <cfRule type="duplicateValues" dxfId="1505" priority="142925"/>
    <cfRule type="duplicateValues" dxfId="1504" priority="142926"/>
    <cfRule type="duplicateValues" dxfId="1503" priority="143077"/>
    <cfRule type="duplicateValues" dxfId="1502" priority="143078"/>
    <cfRule type="duplicateValues" dxfId="1501" priority="143079"/>
    <cfRule type="duplicateValues" dxfId="1500" priority="143080"/>
    <cfRule type="duplicateValues" dxfId="1499" priority="143081"/>
    <cfRule type="duplicateValues" dxfId="1498" priority="143082"/>
    <cfRule type="duplicateValues" dxfId="1497" priority="143083"/>
    <cfRule type="duplicateValues" dxfId="1496" priority="143084"/>
    <cfRule type="duplicateValues" dxfId="1495" priority="143085"/>
    <cfRule type="duplicateValues" dxfId="1494" priority="143086"/>
    <cfRule type="duplicateValues" dxfId="1493" priority="143087"/>
    <cfRule type="duplicateValues" dxfId="1492" priority="143088"/>
    <cfRule type="duplicateValues" dxfId="1491" priority="143089"/>
    <cfRule type="duplicateValues" dxfId="1490" priority="143090"/>
    <cfRule type="duplicateValues" dxfId="1489" priority="143091"/>
    <cfRule type="duplicateValues" dxfId="1488" priority="143092"/>
    <cfRule type="duplicateValues" dxfId="1487" priority="143093"/>
    <cfRule type="duplicateValues" dxfId="1486" priority="143094"/>
    <cfRule type="duplicateValues" dxfId="1485" priority="143095"/>
    <cfRule type="duplicateValues" dxfId="1484" priority="143096"/>
    <cfRule type="duplicateValues" dxfId="1483" priority="143097"/>
    <cfRule type="duplicateValues" dxfId="1482" priority="143098"/>
    <cfRule type="duplicateValues" dxfId="1481" priority="147532"/>
    <cfRule type="duplicateValues" dxfId="1480" priority="147533"/>
    <cfRule type="duplicateValues" dxfId="1479" priority="147534"/>
    <cfRule type="duplicateValues" dxfId="1478" priority="147535"/>
    <cfRule type="duplicateValues" dxfId="1477" priority="147536"/>
    <cfRule type="duplicateValues" dxfId="1476" priority="147537"/>
    <cfRule type="duplicateValues" dxfId="1475" priority="147538"/>
    <cfRule type="duplicateValues" dxfId="1474" priority="147539"/>
    <cfRule type="duplicateValues" dxfId="1473" priority="147540"/>
    <cfRule type="duplicateValues" dxfId="1472" priority="147541"/>
    <cfRule type="duplicateValues" dxfId="1471" priority="147542"/>
    <cfRule type="duplicateValues" dxfId="1470" priority="147543"/>
    <cfRule type="duplicateValues" dxfId="1469" priority="147544"/>
    <cfRule type="duplicateValues" dxfId="1468" priority="147545"/>
    <cfRule type="duplicateValues" dxfId="1467" priority="147546"/>
    <cfRule type="duplicateValues" dxfId="1466" priority="147547"/>
    <cfRule type="duplicateValues" dxfId="1465" priority="147548"/>
    <cfRule type="duplicateValues" dxfId="1464" priority="147549"/>
    <cfRule type="duplicateValues" dxfId="1463" priority="147550"/>
    <cfRule type="duplicateValues" dxfId="1462" priority="147551"/>
    <cfRule type="duplicateValues" dxfId="1461" priority="147552"/>
    <cfRule type="duplicateValues" dxfId="1460" priority="147553"/>
    <cfRule type="duplicateValues" dxfId="1459" priority="147554"/>
    <cfRule type="duplicateValues" dxfId="1458" priority="147555"/>
    <cfRule type="duplicateValues" dxfId="1457" priority="147556"/>
    <cfRule type="duplicateValues" dxfId="1456" priority="147557"/>
    <cfRule type="duplicateValues" dxfId="1455" priority="147558"/>
    <cfRule type="duplicateValues" dxfId="1454" priority="147559"/>
    <cfRule type="duplicateValues" dxfId="1453" priority="147560"/>
    <cfRule type="duplicateValues" dxfId="1452" priority="147561"/>
    <cfRule type="duplicateValues" dxfId="1451" priority="143099"/>
    <cfRule type="duplicateValues" dxfId="1450" priority="143100"/>
    <cfRule type="duplicateValues" dxfId="1449" priority="143101"/>
    <cfRule type="duplicateValues" dxfId="1448" priority="143102"/>
    <cfRule type="duplicateValues" dxfId="1447" priority="143103"/>
    <cfRule type="duplicateValues" dxfId="1446" priority="143104"/>
    <cfRule type="duplicateValues" dxfId="1445" priority="143105"/>
    <cfRule type="duplicateValues" dxfId="1444" priority="143106"/>
    <cfRule type="duplicateValues" dxfId="1443" priority="142695"/>
    <cfRule type="duplicateValues" dxfId="1442" priority="143227"/>
    <cfRule type="duplicateValues" dxfId="1441" priority="143228"/>
    <cfRule type="duplicateValues" dxfId="1440" priority="143229"/>
    <cfRule type="duplicateValues" dxfId="1439" priority="143230"/>
    <cfRule type="duplicateValues" dxfId="1438" priority="143231"/>
    <cfRule type="duplicateValues" dxfId="1437" priority="143232"/>
    <cfRule type="duplicateValues" dxfId="1436" priority="143233"/>
    <cfRule type="duplicateValues" dxfId="1435" priority="143234"/>
    <cfRule type="duplicateValues" dxfId="1434" priority="143235"/>
    <cfRule type="duplicateValues" dxfId="1433" priority="143236"/>
    <cfRule type="duplicateValues" dxfId="1432" priority="143237"/>
    <cfRule type="duplicateValues" dxfId="1431" priority="143238"/>
    <cfRule type="duplicateValues" dxfId="1430" priority="143239"/>
    <cfRule type="duplicateValues" dxfId="1429" priority="143240"/>
    <cfRule type="duplicateValues" dxfId="1428" priority="143241"/>
    <cfRule type="duplicateValues" dxfId="1427" priority="143242"/>
    <cfRule type="duplicateValues" dxfId="1426" priority="143243"/>
    <cfRule type="duplicateValues" dxfId="1425" priority="143244"/>
    <cfRule type="duplicateValues" dxfId="1424" priority="143245"/>
    <cfRule type="duplicateValues" dxfId="1423" priority="143246"/>
    <cfRule type="duplicateValues" dxfId="1422" priority="143247"/>
    <cfRule type="duplicateValues" dxfId="1421" priority="143248"/>
    <cfRule type="duplicateValues" dxfId="1420" priority="145972"/>
    <cfRule type="duplicateValues" dxfId="1419" priority="145973"/>
    <cfRule type="duplicateValues" dxfId="1418" priority="145974"/>
    <cfRule type="duplicateValues" dxfId="1417" priority="145975"/>
    <cfRule type="duplicateValues" dxfId="1416" priority="145976"/>
    <cfRule type="duplicateValues" dxfId="1415" priority="145977"/>
    <cfRule type="duplicateValues" dxfId="1414" priority="145978"/>
    <cfRule type="duplicateValues" dxfId="1413" priority="145979"/>
    <cfRule type="duplicateValues" dxfId="1412" priority="145980"/>
    <cfRule type="duplicateValues" dxfId="1411" priority="145981"/>
    <cfRule type="duplicateValues" dxfId="1410" priority="145982"/>
    <cfRule type="duplicateValues" dxfId="1409" priority="145983"/>
    <cfRule type="duplicateValues" dxfId="1408" priority="145984"/>
    <cfRule type="duplicateValues" dxfId="1407" priority="145985"/>
    <cfRule type="duplicateValues" dxfId="1406" priority="145986"/>
    <cfRule type="duplicateValues" dxfId="1405" priority="145987"/>
    <cfRule type="duplicateValues" dxfId="1404" priority="145988"/>
    <cfRule type="duplicateValues" dxfId="1403" priority="145989"/>
    <cfRule type="duplicateValues" dxfId="1402" priority="145990"/>
    <cfRule type="duplicateValues" dxfId="1401" priority="145991"/>
    <cfRule type="duplicateValues" dxfId="1400" priority="145992"/>
    <cfRule type="duplicateValues" dxfId="1399" priority="145993"/>
    <cfRule type="duplicateValues" dxfId="1398" priority="145994"/>
    <cfRule type="duplicateValues" dxfId="1397" priority="145995"/>
    <cfRule type="duplicateValues" dxfId="1396" priority="145996"/>
    <cfRule type="duplicateValues" dxfId="1395" priority="145997"/>
    <cfRule type="duplicateValues" dxfId="1394" priority="145998"/>
    <cfRule type="duplicateValues" dxfId="1393" priority="145999"/>
    <cfRule type="duplicateValues" dxfId="1392" priority="146000"/>
    <cfRule type="duplicateValues" dxfId="1391" priority="143249"/>
    <cfRule type="duplicateValues" dxfId="1390" priority="143250"/>
    <cfRule type="duplicateValues" dxfId="1389" priority="143251"/>
    <cfRule type="duplicateValues" dxfId="1388" priority="143252"/>
    <cfRule type="duplicateValues" dxfId="1387" priority="143253"/>
    <cfRule type="duplicateValues" dxfId="1386" priority="143254"/>
    <cfRule type="duplicateValues" dxfId="1385" priority="143255"/>
    <cfRule type="duplicateValues" dxfId="1384" priority="143256"/>
    <cfRule type="duplicateValues" dxfId="1383" priority="146061"/>
    <cfRule type="duplicateValues" dxfId="1382" priority="145342"/>
    <cfRule type="duplicateValues" dxfId="1381" priority="145343"/>
    <cfRule type="duplicateValues" dxfId="1380" priority="145344"/>
    <cfRule type="duplicateValues" dxfId="1379" priority="145345"/>
    <cfRule type="duplicateValues" dxfId="1378" priority="145346"/>
    <cfRule type="duplicateValues" dxfId="1377" priority="145347"/>
    <cfRule type="duplicateValues" dxfId="1376" priority="145348"/>
    <cfRule type="duplicateValues" dxfId="1375" priority="145349"/>
    <cfRule type="duplicateValues" dxfId="1374" priority="145350"/>
    <cfRule type="duplicateValues" dxfId="1373" priority="145351"/>
    <cfRule type="duplicateValues" dxfId="1372" priority="145352"/>
    <cfRule type="duplicateValues" dxfId="1371" priority="145353"/>
    <cfRule type="duplicateValues" dxfId="1370" priority="145354"/>
    <cfRule type="duplicateValues" dxfId="1369" priority="145355"/>
    <cfRule type="duplicateValues" dxfId="1368" priority="145356"/>
    <cfRule type="duplicateValues" dxfId="1367" priority="145357"/>
    <cfRule type="duplicateValues" dxfId="1366" priority="145358"/>
    <cfRule type="duplicateValues" dxfId="1365" priority="145359"/>
    <cfRule type="duplicateValues" dxfId="1364" priority="145360"/>
    <cfRule type="duplicateValues" dxfId="1363" priority="145361"/>
    <cfRule type="duplicateValues" dxfId="1362" priority="145362"/>
    <cfRule type="duplicateValues" dxfId="1361" priority="145363"/>
    <cfRule type="duplicateValues" dxfId="1360" priority="145364"/>
    <cfRule type="duplicateValues" dxfId="1359" priority="145365"/>
    <cfRule type="duplicateValues" dxfId="1358" priority="145366"/>
    <cfRule type="duplicateValues" dxfId="1357" priority="145367"/>
    <cfRule type="duplicateValues" dxfId="1356" priority="145368"/>
    <cfRule type="duplicateValues" dxfId="1355" priority="145369"/>
    <cfRule type="duplicateValues" dxfId="1354" priority="145370"/>
    <cfRule type="duplicateValues" dxfId="1353" priority="145371"/>
    <cfRule type="duplicateValues" dxfId="1352" priority="144682"/>
    <cfRule type="duplicateValues" dxfId="1351" priority="144683"/>
    <cfRule type="duplicateValues" dxfId="1350" priority="144684"/>
    <cfRule type="duplicateValues" dxfId="1349" priority="144685"/>
    <cfRule type="duplicateValues" dxfId="1348" priority="144686"/>
    <cfRule type="duplicateValues" dxfId="1347" priority="144687"/>
    <cfRule type="duplicateValues" dxfId="1346" priority="144688"/>
    <cfRule type="duplicateValues" dxfId="1345" priority="144689"/>
    <cfRule type="duplicateValues" dxfId="1344" priority="144690"/>
    <cfRule type="duplicateValues" dxfId="1343" priority="144691"/>
    <cfRule type="duplicateValues" dxfId="1342" priority="144692"/>
    <cfRule type="duplicateValues" dxfId="1341" priority="144693"/>
    <cfRule type="duplicateValues" dxfId="1340" priority="144694"/>
    <cfRule type="duplicateValues" dxfId="1339" priority="144695"/>
    <cfRule type="duplicateValues" dxfId="1338" priority="144696"/>
    <cfRule type="duplicateValues" dxfId="1337" priority="144697"/>
    <cfRule type="duplicateValues" dxfId="1336" priority="144698"/>
    <cfRule type="duplicateValues" dxfId="1335" priority="144699"/>
    <cfRule type="duplicateValues" dxfId="1334" priority="144700"/>
    <cfRule type="duplicateValues" dxfId="1333" priority="144701"/>
    <cfRule type="duplicateValues" dxfId="1332" priority="144702"/>
    <cfRule type="duplicateValues" dxfId="1331" priority="144703"/>
    <cfRule type="duplicateValues" dxfId="1330" priority="144704"/>
    <cfRule type="duplicateValues" dxfId="1329" priority="144705"/>
    <cfRule type="duplicateValues" dxfId="1328" priority="144706"/>
    <cfRule type="duplicateValues" dxfId="1327" priority="144707"/>
    <cfRule type="duplicateValues" dxfId="1326" priority="144708"/>
    <cfRule type="duplicateValues" dxfId="1325" priority="144709"/>
    <cfRule type="duplicateValues" dxfId="1324" priority="144710"/>
    <cfRule type="duplicateValues" dxfId="1323" priority="144711"/>
    <cfRule type="duplicateValues" dxfId="1322" priority="146512"/>
    <cfRule type="duplicateValues" dxfId="1321" priority="146513"/>
    <cfRule type="duplicateValues" dxfId="1320" priority="146514"/>
    <cfRule type="duplicateValues" dxfId="1319" priority="146515"/>
    <cfRule type="duplicateValues" dxfId="1318" priority="146516"/>
    <cfRule type="duplicateValues" dxfId="1317" priority="146517"/>
    <cfRule type="duplicateValues" dxfId="1316" priority="146518"/>
    <cfRule type="duplicateValues" dxfId="1315" priority="146519"/>
    <cfRule type="duplicateValues" dxfId="1314" priority="146520"/>
    <cfRule type="duplicateValues" dxfId="1313" priority="146521"/>
    <cfRule type="duplicateValues" dxfId="1312" priority="146522"/>
    <cfRule type="duplicateValues" dxfId="1311" priority="146523"/>
    <cfRule type="duplicateValues" dxfId="1310" priority="146524"/>
    <cfRule type="duplicateValues" dxfId="1309" priority="146525"/>
    <cfRule type="duplicateValues" dxfId="1308" priority="146526"/>
    <cfRule type="duplicateValues" dxfId="1307" priority="146527"/>
    <cfRule type="duplicateValues" dxfId="1306" priority="146528"/>
    <cfRule type="duplicateValues" dxfId="1305" priority="146529"/>
    <cfRule type="duplicateValues" dxfId="1304" priority="146530"/>
    <cfRule type="duplicateValues" dxfId="1303" priority="146531"/>
    <cfRule type="duplicateValues" dxfId="1302" priority="146532"/>
    <cfRule type="duplicateValues" dxfId="1301" priority="147712"/>
    <cfRule type="duplicateValues" dxfId="1300" priority="147713"/>
    <cfRule type="duplicateValues" dxfId="1299" priority="147714"/>
    <cfRule type="duplicateValues" dxfId="1298" priority="147715"/>
    <cfRule type="duplicateValues" dxfId="1297" priority="147716"/>
    <cfRule type="duplicateValues" dxfId="1296" priority="147717"/>
    <cfRule type="duplicateValues" dxfId="1295" priority="147718"/>
    <cfRule type="duplicateValues" dxfId="1294" priority="147719"/>
    <cfRule type="duplicateValues" dxfId="1293" priority="147720"/>
    <cfRule type="duplicateValues" dxfId="1292" priority="147721"/>
    <cfRule type="duplicateValues" dxfId="1291" priority="147722"/>
    <cfRule type="duplicateValues" dxfId="1290" priority="147723"/>
    <cfRule type="duplicateValues" dxfId="1289" priority="147724"/>
    <cfRule type="duplicateValues" dxfId="1288" priority="147725"/>
    <cfRule type="duplicateValues" dxfId="1287" priority="147726"/>
    <cfRule type="duplicateValues" dxfId="1286" priority="147727"/>
    <cfRule type="duplicateValues" dxfId="1285" priority="147728"/>
    <cfRule type="duplicateValues" dxfId="1284" priority="147729"/>
    <cfRule type="duplicateValues" dxfId="1283" priority="147730"/>
    <cfRule type="duplicateValues" dxfId="1282" priority="147731"/>
    <cfRule type="duplicateValues" dxfId="1281" priority="147732"/>
    <cfRule type="duplicateValues" dxfId="1280" priority="147733"/>
    <cfRule type="duplicateValues" dxfId="1279" priority="147734"/>
    <cfRule type="duplicateValues" dxfId="1278" priority="147735"/>
    <cfRule type="duplicateValues" dxfId="1277" priority="147736"/>
    <cfRule type="duplicateValues" dxfId="1276" priority="147737"/>
    <cfRule type="duplicateValues" dxfId="1275" priority="147738"/>
    <cfRule type="duplicateValues" dxfId="1274" priority="147739"/>
    <cfRule type="duplicateValues" dxfId="1273" priority="147740"/>
    <cfRule type="duplicateValues" dxfId="1272" priority="147741"/>
    <cfRule type="duplicateValues" dxfId="1271" priority="146533"/>
    <cfRule type="duplicateValues" dxfId="1270" priority="146534"/>
    <cfRule type="duplicateValues" dxfId="1269" priority="146535"/>
    <cfRule type="duplicateValues" dxfId="1268" priority="146536"/>
    <cfRule type="duplicateValues" dxfId="1267" priority="146537"/>
    <cfRule type="duplicateValues" dxfId="1266" priority="146538"/>
    <cfRule type="duplicateValues" dxfId="1265" priority="146539"/>
    <cfRule type="duplicateValues" dxfId="1264" priority="146540"/>
    <cfRule type="duplicateValues" dxfId="1263" priority="146541"/>
    <cfRule type="duplicateValues" dxfId="1262" priority="145702"/>
    <cfRule type="duplicateValues" dxfId="1261" priority="145703"/>
    <cfRule type="duplicateValues" dxfId="1260" priority="145704"/>
    <cfRule type="duplicateValues" dxfId="1259" priority="145705"/>
    <cfRule type="duplicateValues" dxfId="1258" priority="145706"/>
    <cfRule type="duplicateValues" dxfId="1257" priority="145707"/>
    <cfRule type="duplicateValues" dxfId="1256" priority="145708"/>
    <cfRule type="duplicateValues" dxfId="1255" priority="145709"/>
    <cfRule type="duplicateValues" dxfId="1254" priority="145710"/>
    <cfRule type="duplicateValues" dxfId="1253" priority="145711"/>
    <cfRule type="duplicateValues" dxfId="1252" priority="145712"/>
    <cfRule type="duplicateValues" dxfId="1251" priority="145713"/>
    <cfRule type="duplicateValues" dxfId="1250" priority="145714"/>
    <cfRule type="duplicateValues" dxfId="1249" priority="145715"/>
    <cfRule type="duplicateValues" dxfId="1248" priority="145716"/>
    <cfRule type="duplicateValues" dxfId="1247" priority="145717"/>
    <cfRule type="duplicateValues" dxfId="1246" priority="145718"/>
    <cfRule type="duplicateValues" dxfId="1245" priority="145719"/>
    <cfRule type="duplicateValues" dxfId="1244" priority="145720"/>
    <cfRule type="duplicateValues" dxfId="1243" priority="145721"/>
    <cfRule type="duplicateValues" dxfId="1242" priority="145722"/>
    <cfRule type="duplicateValues" dxfId="1241" priority="145723"/>
    <cfRule type="duplicateValues" dxfId="1240" priority="145724"/>
    <cfRule type="duplicateValues" dxfId="1239" priority="145725"/>
    <cfRule type="duplicateValues" dxfId="1238" priority="145726"/>
    <cfRule type="duplicateValues" dxfId="1237" priority="145727"/>
    <cfRule type="duplicateValues" dxfId="1236" priority="145728"/>
    <cfRule type="duplicateValues" dxfId="1235" priority="145729"/>
    <cfRule type="duplicateValues" dxfId="1234" priority="145730"/>
    <cfRule type="duplicateValues" dxfId="1233" priority="146812"/>
    <cfRule type="duplicateValues" dxfId="1232" priority="146813"/>
    <cfRule type="duplicateValues" dxfId="1231" priority="146814"/>
    <cfRule type="duplicateValues" dxfId="1230" priority="146815"/>
    <cfRule type="duplicateValues" dxfId="1229" priority="146816"/>
    <cfRule type="duplicateValues" dxfId="1228" priority="146817"/>
    <cfRule type="duplicateValues" dxfId="1227" priority="146818"/>
    <cfRule type="duplicateValues" dxfId="1226" priority="146819"/>
    <cfRule type="duplicateValues" dxfId="1225" priority="146820"/>
    <cfRule type="duplicateValues" dxfId="1224" priority="146821"/>
    <cfRule type="duplicateValues" dxfId="1223" priority="146822"/>
    <cfRule type="duplicateValues" dxfId="1222" priority="146823"/>
    <cfRule type="duplicateValues" dxfId="1221" priority="146824"/>
    <cfRule type="duplicateValues" dxfId="1220" priority="146825"/>
    <cfRule type="duplicateValues" dxfId="1219" priority="146826"/>
    <cfRule type="duplicateValues" dxfId="1218" priority="146827"/>
    <cfRule type="duplicateValues" dxfId="1217" priority="146828"/>
    <cfRule type="duplicateValues" dxfId="1216" priority="146829"/>
    <cfRule type="duplicateValues" dxfId="1215" priority="146830"/>
    <cfRule type="duplicateValues" dxfId="1214" priority="146831"/>
    <cfRule type="duplicateValues" dxfId="1213" priority="146832"/>
    <cfRule type="duplicateValues" dxfId="1212" priority="146833"/>
    <cfRule type="duplicateValues" dxfId="1211" priority="147802"/>
    <cfRule type="duplicateValues" dxfId="1210" priority="147803"/>
    <cfRule type="duplicateValues" dxfId="1209" priority="147804"/>
    <cfRule type="duplicateValues" dxfId="1208" priority="147805"/>
    <cfRule type="duplicateValues" dxfId="1207" priority="147806"/>
    <cfRule type="duplicateValues" dxfId="1206" priority="147807"/>
    <cfRule type="duplicateValues" dxfId="1205" priority="147808"/>
    <cfRule type="duplicateValues" dxfId="1204" priority="147809"/>
    <cfRule type="duplicateValues" dxfId="1203" priority="147810"/>
    <cfRule type="duplicateValues" dxfId="1202" priority="147811"/>
    <cfRule type="duplicateValues" dxfId="1201" priority="147812"/>
    <cfRule type="duplicateValues" dxfId="1200" priority="147813"/>
    <cfRule type="duplicateValues" dxfId="1199" priority="147814"/>
    <cfRule type="duplicateValues" dxfId="1198" priority="147815"/>
    <cfRule type="duplicateValues" dxfId="1197" priority="147816"/>
    <cfRule type="duplicateValues" dxfId="1196" priority="147817"/>
    <cfRule type="duplicateValues" dxfId="1195" priority="147818"/>
    <cfRule type="duplicateValues" dxfId="1194" priority="147819"/>
    <cfRule type="duplicateValues" dxfId="1193" priority="147820"/>
    <cfRule type="duplicateValues" dxfId="1192" priority="147821"/>
    <cfRule type="duplicateValues" dxfId="1191" priority="147822"/>
    <cfRule type="duplicateValues" dxfId="1190" priority="147823"/>
    <cfRule type="duplicateValues" dxfId="1189" priority="147824"/>
    <cfRule type="duplicateValues" dxfId="1188" priority="147825"/>
    <cfRule type="duplicateValues" dxfId="1187" priority="147826"/>
    <cfRule type="duplicateValues" dxfId="1186" priority="147827"/>
    <cfRule type="duplicateValues" dxfId="1185" priority="147828"/>
    <cfRule type="duplicateValues" dxfId="1184" priority="147829"/>
    <cfRule type="duplicateValues" dxfId="1183" priority="147830"/>
    <cfRule type="duplicateValues" dxfId="1182" priority="147831"/>
    <cfRule type="duplicateValues" dxfId="1181" priority="147832"/>
    <cfRule type="duplicateValues" dxfId="1180" priority="147833"/>
    <cfRule type="duplicateValues" dxfId="1179" priority="147834"/>
    <cfRule type="duplicateValues" dxfId="1178" priority="147835"/>
    <cfRule type="duplicateValues" dxfId="1177" priority="147836"/>
    <cfRule type="duplicateValues" dxfId="1176" priority="147837"/>
    <cfRule type="duplicateValues" dxfId="1175" priority="147838"/>
    <cfRule type="duplicateValues" dxfId="1174" priority="147839"/>
    <cfRule type="duplicateValues" dxfId="1173" priority="147840"/>
    <cfRule type="duplicateValues" dxfId="1172" priority="147841"/>
    <cfRule type="duplicateValues" dxfId="1171" priority="147842"/>
    <cfRule type="duplicateValues" dxfId="1170" priority="147843"/>
    <cfRule type="duplicateValues" dxfId="1169" priority="147844"/>
    <cfRule type="duplicateValues" dxfId="1168" priority="147845"/>
    <cfRule type="duplicateValues" dxfId="1167" priority="147846"/>
    <cfRule type="duplicateValues" dxfId="1166" priority="147847"/>
    <cfRule type="duplicateValues" dxfId="1165" priority="147848"/>
    <cfRule type="duplicateValues" dxfId="1164" priority="147849"/>
    <cfRule type="duplicateValues" dxfId="1163" priority="147850"/>
    <cfRule type="duplicateValues" dxfId="1162" priority="147851"/>
    <cfRule type="duplicateValues" dxfId="1161" priority="147852"/>
    <cfRule type="duplicateValues" dxfId="1160" priority="147853"/>
    <cfRule type="duplicateValues" dxfId="1159" priority="147854"/>
    <cfRule type="duplicateValues" dxfId="1158" priority="147855"/>
    <cfRule type="duplicateValues" dxfId="1157" priority="147856"/>
    <cfRule type="duplicateValues" dxfId="1156" priority="147857"/>
    <cfRule type="duplicateValues" dxfId="1155" priority="147858"/>
    <cfRule type="duplicateValues" dxfId="1154" priority="147859"/>
    <cfRule type="duplicateValues" dxfId="1153" priority="147860"/>
    <cfRule type="duplicateValues" dxfId="1152" priority="147861"/>
    <cfRule type="duplicateValues" dxfId="1151" priority="147862"/>
    <cfRule type="duplicateValues" dxfId="1150" priority="147863"/>
    <cfRule type="duplicateValues" dxfId="1149" priority="147864"/>
    <cfRule type="duplicateValues" dxfId="1148" priority="147865"/>
    <cfRule type="duplicateValues" dxfId="1147" priority="147866"/>
    <cfRule type="duplicateValues" dxfId="1146" priority="147867"/>
    <cfRule type="duplicateValues" dxfId="1145" priority="147868"/>
    <cfRule type="duplicateValues" dxfId="1144" priority="147869"/>
    <cfRule type="duplicateValues" dxfId="1143" priority="147870"/>
    <cfRule type="duplicateValues" dxfId="1142" priority="147871"/>
    <cfRule type="duplicateValues" dxfId="1141" priority="147872"/>
    <cfRule type="duplicateValues" dxfId="1140" priority="147873"/>
    <cfRule type="duplicateValues" dxfId="1139" priority="147874"/>
    <cfRule type="duplicateValues" dxfId="1138" priority="147875"/>
    <cfRule type="duplicateValues" dxfId="1137" priority="147876"/>
    <cfRule type="duplicateValues" dxfId="1136" priority="147877"/>
    <cfRule type="duplicateValues" dxfId="1135" priority="147878"/>
    <cfRule type="duplicateValues" dxfId="1134" priority="147879"/>
    <cfRule type="duplicateValues" dxfId="1133" priority="147880"/>
    <cfRule type="duplicateValues" dxfId="1132" priority="147881"/>
    <cfRule type="duplicateValues" dxfId="1131" priority="147882"/>
    <cfRule type="duplicateValues" dxfId="1130" priority="147883"/>
    <cfRule type="duplicateValues" dxfId="1129" priority="147884"/>
    <cfRule type="duplicateValues" dxfId="1128" priority="147885"/>
    <cfRule type="duplicateValues" dxfId="1127" priority="147886"/>
    <cfRule type="duplicateValues" dxfId="1126" priority="147887"/>
    <cfRule type="duplicateValues" dxfId="1125" priority="147888"/>
    <cfRule type="duplicateValues" dxfId="1124" priority="147889"/>
    <cfRule type="duplicateValues" dxfId="1123" priority="147890"/>
    <cfRule type="duplicateValues" dxfId="1122" priority="147891"/>
    <cfRule type="duplicateValues" dxfId="1121" priority="146834"/>
    <cfRule type="duplicateValues" dxfId="1120" priority="146835"/>
    <cfRule type="duplicateValues" dxfId="1119" priority="146836"/>
    <cfRule type="duplicateValues" dxfId="1118" priority="146837"/>
    <cfRule type="duplicateValues" dxfId="1117" priority="146838"/>
    <cfRule type="duplicateValues" dxfId="1116" priority="146839"/>
    <cfRule type="duplicateValues" dxfId="1115" priority="146840"/>
    <cfRule type="duplicateValues" dxfId="1114" priority="146841"/>
    <cfRule type="duplicateValues" dxfId="1113" priority="145731"/>
    <cfRule type="duplicateValues" dxfId="1112" priority="142126"/>
    <cfRule type="duplicateValues" dxfId="1111" priority="142127"/>
    <cfRule type="duplicateValues" dxfId="1110" priority="142128"/>
    <cfRule type="duplicateValues" dxfId="1109" priority="142129"/>
    <cfRule type="duplicateValues" dxfId="1108" priority="142130"/>
    <cfRule type="duplicateValues" dxfId="1107" priority="142131"/>
    <cfRule type="duplicateValues" dxfId="1106" priority="142132"/>
    <cfRule type="duplicateValues" dxfId="1105" priority="142133"/>
    <cfRule type="duplicateValues" dxfId="1104" priority="142134"/>
    <cfRule type="duplicateValues" dxfId="1103" priority="142135"/>
    <cfRule type="duplicateValues" dxfId="1102" priority="142136"/>
    <cfRule type="duplicateValues" dxfId="1101" priority="142137"/>
    <cfRule type="duplicateValues" dxfId="1100" priority="142138"/>
    <cfRule type="duplicateValues" dxfId="1099" priority="142139"/>
    <cfRule type="duplicateValues" dxfId="1098" priority="142140"/>
    <cfRule type="duplicateValues" dxfId="1097" priority="142141"/>
    <cfRule type="duplicateValues" dxfId="1096" priority="142142"/>
    <cfRule type="duplicateValues" dxfId="1095" priority="142143"/>
    <cfRule type="duplicateValues" dxfId="1094" priority="142144"/>
    <cfRule type="duplicateValues" dxfId="1093" priority="142145"/>
    <cfRule type="duplicateValues" dxfId="1092" priority="142146"/>
    <cfRule type="duplicateValues" dxfId="1091" priority="146992"/>
    <cfRule type="duplicateValues" dxfId="1090" priority="146993"/>
    <cfRule type="duplicateValues" dxfId="1089" priority="146994"/>
    <cfRule type="duplicateValues" dxfId="1088" priority="146995"/>
    <cfRule type="duplicateValues" dxfId="1087" priority="146996"/>
    <cfRule type="duplicateValues" dxfId="1086" priority="146997"/>
    <cfRule type="duplicateValues" dxfId="1085" priority="146998"/>
    <cfRule type="duplicateValues" dxfId="1084" priority="146999"/>
    <cfRule type="duplicateValues" dxfId="1083" priority="147000"/>
    <cfRule type="duplicateValues" dxfId="1082" priority="147001"/>
    <cfRule type="duplicateValues" dxfId="1081" priority="147002"/>
    <cfRule type="duplicateValues" dxfId="1080" priority="147003"/>
    <cfRule type="duplicateValues" dxfId="1079" priority="147004"/>
    <cfRule type="duplicateValues" dxfId="1078" priority="147005"/>
    <cfRule type="duplicateValues" dxfId="1077" priority="147006"/>
    <cfRule type="duplicateValues" dxfId="1076" priority="147007"/>
    <cfRule type="duplicateValues" dxfId="1075" priority="147008"/>
    <cfRule type="duplicateValues" dxfId="1074" priority="147009"/>
    <cfRule type="duplicateValues" dxfId="1073" priority="147010"/>
    <cfRule type="duplicateValues" dxfId="1072" priority="147011"/>
    <cfRule type="duplicateValues" dxfId="1071" priority="147012"/>
    <cfRule type="duplicateValues" dxfId="1070" priority="147013"/>
    <cfRule type="duplicateValues" dxfId="1069" priority="147014"/>
    <cfRule type="duplicateValues" dxfId="1068" priority="147015"/>
    <cfRule type="duplicateValues" dxfId="1067" priority="147016"/>
    <cfRule type="duplicateValues" dxfId="1066" priority="147017"/>
    <cfRule type="duplicateValues" dxfId="1065" priority="147018"/>
    <cfRule type="duplicateValues" dxfId="1064" priority="147019"/>
    <cfRule type="duplicateValues" dxfId="1063" priority="147020"/>
    <cfRule type="duplicateValues" dxfId="1062" priority="147021"/>
    <cfRule type="duplicateValues" dxfId="1061" priority="143526"/>
    <cfRule type="duplicateValues" dxfId="1060" priority="143525"/>
    <cfRule type="duplicateValues" dxfId="1059" priority="143524"/>
    <cfRule type="duplicateValues" dxfId="1058" priority="143523"/>
    <cfRule type="duplicateValues" dxfId="1057" priority="143522"/>
    <cfRule type="duplicateValues" dxfId="1056" priority="143521"/>
    <cfRule type="duplicateValues" dxfId="1055" priority="143520"/>
    <cfRule type="duplicateValues" dxfId="1054" priority="143519"/>
    <cfRule type="duplicateValues" dxfId="1053" priority="143518"/>
    <cfRule type="duplicateValues" dxfId="1052" priority="143517"/>
    <cfRule type="duplicateValues" dxfId="1051" priority="146001"/>
    <cfRule type="duplicateValues" dxfId="1050" priority="146002"/>
    <cfRule type="duplicateValues" dxfId="1049" priority="146003"/>
    <cfRule type="duplicateValues" dxfId="1048" priority="146004"/>
    <cfRule type="duplicateValues" dxfId="1047" priority="146005"/>
    <cfRule type="duplicateValues" dxfId="1046" priority="146006"/>
    <cfRule type="duplicateValues" dxfId="1045" priority="146007"/>
    <cfRule type="duplicateValues" dxfId="1044" priority="146008"/>
    <cfRule type="duplicateValues" dxfId="1043" priority="146009"/>
    <cfRule type="duplicateValues" dxfId="1042" priority="146010"/>
    <cfRule type="duplicateValues" dxfId="1041" priority="146011"/>
    <cfRule type="duplicateValues" dxfId="1040" priority="146012"/>
    <cfRule type="duplicateValues" dxfId="1039" priority="146013"/>
    <cfRule type="duplicateValues" dxfId="1038" priority="146014"/>
    <cfRule type="duplicateValues" dxfId="1037" priority="146015"/>
    <cfRule type="duplicateValues" dxfId="1036" priority="146016"/>
    <cfRule type="duplicateValues" dxfId="1035" priority="146017"/>
    <cfRule type="duplicateValues" dxfId="1034" priority="146018"/>
    <cfRule type="duplicateValues" dxfId="1033" priority="146019"/>
    <cfRule type="duplicateValues" dxfId="1032" priority="146020"/>
    <cfRule type="duplicateValues" dxfId="1031" priority="146021"/>
    <cfRule type="duplicateValues" dxfId="1030" priority="146022"/>
    <cfRule type="duplicateValues" dxfId="1029" priority="146023"/>
    <cfRule type="duplicateValues" dxfId="1028" priority="146024"/>
    <cfRule type="duplicateValues" dxfId="1027" priority="146025"/>
    <cfRule type="duplicateValues" dxfId="1026" priority="146026"/>
    <cfRule type="duplicateValues" dxfId="1025" priority="146027"/>
    <cfRule type="duplicateValues" dxfId="1024" priority="146028"/>
    <cfRule type="duplicateValues" dxfId="1023" priority="146029"/>
    <cfRule type="duplicateValues" dxfId="1022" priority="146030"/>
    <cfRule type="duplicateValues" dxfId="1021" priority="146031"/>
    <cfRule type="duplicateValues" dxfId="1020" priority="146032"/>
    <cfRule type="duplicateValues" dxfId="1019" priority="146033"/>
    <cfRule type="duplicateValues" dxfId="1018" priority="146034"/>
    <cfRule type="duplicateValues" dxfId="1017" priority="146035"/>
    <cfRule type="duplicateValues" dxfId="1016" priority="146036"/>
    <cfRule type="duplicateValues" dxfId="1015" priority="146037"/>
    <cfRule type="duplicateValues" dxfId="1014" priority="146038"/>
    <cfRule type="duplicateValues" dxfId="1013" priority="146039"/>
    <cfRule type="duplicateValues" dxfId="1012" priority="146040"/>
    <cfRule type="duplicateValues" dxfId="1011" priority="146041"/>
    <cfRule type="duplicateValues" dxfId="1010" priority="146042"/>
    <cfRule type="duplicateValues" dxfId="1009" priority="146043"/>
    <cfRule type="duplicateValues" dxfId="1008" priority="146044"/>
    <cfRule type="duplicateValues" dxfId="1007" priority="146045"/>
    <cfRule type="duplicateValues" dxfId="1006" priority="146046"/>
    <cfRule type="duplicateValues" dxfId="1005" priority="146047"/>
    <cfRule type="duplicateValues" dxfId="1004" priority="146048"/>
    <cfRule type="duplicateValues" dxfId="1003" priority="146049"/>
    <cfRule type="duplicateValues" dxfId="1002" priority="146050"/>
    <cfRule type="duplicateValues" dxfId="1001" priority="146051"/>
    <cfRule type="duplicateValues" dxfId="1000" priority="146052"/>
    <cfRule type="duplicateValues" dxfId="999" priority="146053"/>
    <cfRule type="duplicateValues" dxfId="998" priority="146054"/>
    <cfRule type="duplicateValues" dxfId="997" priority="146055"/>
    <cfRule type="duplicateValues" dxfId="996" priority="146056"/>
    <cfRule type="duplicateValues" dxfId="995" priority="146057"/>
    <cfRule type="duplicateValues" dxfId="994" priority="146058"/>
    <cfRule type="duplicateValues" dxfId="993" priority="146059"/>
    <cfRule type="duplicateValues" dxfId="992" priority="146060"/>
    <cfRule type="duplicateValues" dxfId="991" priority="142147"/>
    <cfRule type="duplicateValues" dxfId="990" priority="142148"/>
    <cfRule type="duplicateValues" dxfId="989" priority="142149"/>
    <cfRule type="duplicateValues" dxfId="988" priority="142150"/>
    <cfRule type="duplicateValues" dxfId="987" priority="142151"/>
    <cfRule type="duplicateValues" dxfId="986" priority="142152"/>
    <cfRule type="duplicateValues" dxfId="985" priority="142153"/>
    <cfRule type="duplicateValues" dxfId="984" priority="142154"/>
    <cfRule type="duplicateValues" dxfId="983" priority="142155"/>
    <cfRule type="duplicateValues" dxfId="982" priority="142156"/>
    <cfRule type="duplicateValues" dxfId="981" priority="142157"/>
    <cfRule type="duplicateValues" dxfId="980" priority="142158"/>
    <cfRule type="duplicateValues" dxfId="979" priority="142159"/>
    <cfRule type="duplicateValues" dxfId="978" priority="142160"/>
    <cfRule type="duplicateValues" dxfId="977" priority="142161"/>
    <cfRule type="duplicateValues" dxfId="976" priority="142162"/>
    <cfRule type="duplicateValues" dxfId="975" priority="142163"/>
    <cfRule type="duplicateValues" dxfId="974" priority="142164"/>
    <cfRule type="duplicateValues" dxfId="973" priority="142165"/>
    <cfRule type="duplicateValues" dxfId="972" priority="142166"/>
    <cfRule type="duplicateValues" dxfId="971" priority="142167"/>
    <cfRule type="duplicateValues" dxfId="970" priority="142168"/>
    <cfRule type="duplicateValues" dxfId="969" priority="142169"/>
    <cfRule type="duplicateValues" dxfId="968" priority="142170"/>
    <cfRule type="duplicateValues" dxfId="967" priority="142171"/>
    <cfRule type="duplicateValues" dxfId="966" priority="142172"/>
    <cfRule type="duplicateValues" dxfId="965" priority="142173"/>
    <cfRule type="duplicateValues" dxfId="964" priority="142174"/>
    <cfRule type="duplicateValues" dxfId="963" priority="142175"/>
    <cfRule type="duplicateValues" dxfId="962" priority="142176"/>
    <cfRule type="duplicateValues" dxfId="961" priority="142177"/>
    <cfRule type="duplicateValues" dxfId="960" priority="142178"/>
    <cfRule type="duplicateValues" dxfId="959" priority="142179"/>
    <cfRule type="duplicateValues" dxfId="958" priority="142180"/>
    <cfRule type="duplicateValues" dxfId="957" priority="142181"/>
    <cfRule type="duplicateValues" dxfId="956" priority="142182"/>
    <cfRule type="duplicateValues" dxfId="955" priority="142183"/>
    <cfRule type="duplicateValues" dxfId="954" priority="142184"/>
    <cfRule type="duplicateValues" dxfId="953" priority="142185"/>
    <cfRule type="duplicateValues" dxfId="952" priority="142186"/>
    <cfRule type="duplicateValues" dxfId="951" priority="142187"/>
    <cfRule type="duplicateValues" dxfId="950" priority="142188"/>
    <cfRule type="duplicateValues" dxfId="949" priority="142189"/>
    <cfRule type="duplicateValues" dxfId="948" priority="142190"/>
    <cfRule type="duplicateValues" dxfId="947" priority="142191"/>
    <cfRule type="duplicateValues" dxfId="946" priority="142192"/>
    <cfRule type="duplicateValues" dxfId="945" priority="142193"/>
    <cfRule type="duplicateValues" dxfId="944" priority="142194"/>
    <cfRule type="duplicateValues" dxfId="943" priority="142195"/>
    <cfRule type="duplicateValues" dxfId="942" priority="142196"/>
    <cfRule type="duplicateValues" dxfId="941" priority="142197"/>
    <cfRule type="duplicateValues" dxfId="940" priority="142198"/>
    <cfRule type="duplicateValues" dxfId="939" priority="142199"/>
    <cfRule type="duplicateValues" dxfId="938" priority="142200"/>
    <cfRule type="duplicateValues" dxfId="937" priority="142201"/>
    <cfRule type="duplicateValues" dxfId="936" priority="142202"/>
    <cfRule type="duplicateValues" dxfId="935" priority="142203"/>
    <cfRule type="duplicateValues" dxfId="934" priority="142204"/>
    <cfRule type="duplicateValues" dxfId="933" priority="142205"/>
    <cfRule type="duplicateValues" dxfId="932" priority="142206"/>
    <cfRule type="duplicateValues" dxfId="931" priority="147082"/>
    <cfRule type="duplicateValues" dxfId="930" priority="147083"/>
    <cfRule type="duplicateValues" dxfId="929" priority="147084"/>
    <cfRule type="duplicateValues" dxfId="928" priority="147085"/>
    <cfRule type="duplicateValues" dxfId="927" priority="147086"/>
    <cfRule type="duplicateValues" dxfId="926" priority="147087"/>
    <cfRule type="duplicateValues" dxfId="925" priority="147088"/>
    <cfRule type="duplicateValues" dxfId="924" priority="147089"/>
    <cfRule type="duplicateValues" dxfId="923" priority="147090"/>
    <cfRule type="duplicateValues" dxfId="922" priority="147091"/>
    <cfRule type="duplicateValues" dxfId="921" priority="147092"/>
    <cfRule type="duplicateValues" dxfId="920" priority="147093"/>
    <cfRule type="duplicateValues" dxfId="919" priority="147094"/>
    <cfRule type="duplicateValues" dxfId="918" priority="147095"/>
    <cfRule type="duplicateValues" dxfId="917" priority="147096"/>
    <cfRule type="duplicateValues" dxfId="916" priority="147097"/>
    <cfRule type="duplicateValues" dxfId="915" priority="147098"/>
    <cfRule type="duplicateValues" dxfId="914" priority="147099"/>
    <cfRule type="duplicateValues" dxfId="913" priority="147100"/>
    <cfRule type="duplicateValues" dxfId="912" priority="147101"/>
    <cfRule type="duplicateValues" dxfId="911" priority="147102"/>
    <cfRule type="duplicateValues" dxfId="910" priority="147103"/>
    <cfRule type="duplicateValues" dxfId="909" priority="147104"/>
    <cfRule type="duplicateValues" dxfId="908" priority="147105"/>
    <cfRule type="duplicateValues" dxfId="907" priority="147106"/>
    <cfRule type="duplicateValues" dxfId="906" priority="147107"/>
    <cfRule type="duplicateValues" dxfId="905" priority="147108"/>
    <cfRule type="duplicateValues" dxfId="904" priority="147109"/>
    <cfRule type="duplicateValues" dxfId="903" priority="147110"/>
    <cfRule type="duplicateValues" dxfId="902" priority="147111"/>
    <cfRule type="duplicateValues" dxfId="901" priority="148141"/>
    <cfRule type="duplicateValues" dxfId="900" priority="148142"/>
    <cfRule type="duplicateValues" dxfId="899" priority="148143"/>
    <cfRule type="duplicateValues" dxfId="898" priority="148144"/>
    <cfRule type="duplicateValues" dxfId="897" priority="148145"/>
    <cfRule type="duplicateValues" dxfId="896" priority="148146"/>
    <cfRule type="duplicateValues" dxfId="895" priority="148147"/>
    <cfRule type="duplicateValues" dxfId="894" priority="148148"/>
    <cfRule type="duplicateValues" dxfId="893" priority="148149"/>
    <cfRule type="duplicateValues" dxfId="892" priority="148150"/>
    <cfRule type="duplicateValues" dxfId="891" priority="148151"/>
    <cfRule type="duplicateValues" dxfId="890" priority="148152"/>
    <cfRule type="duplicateValues" dxfId="889" priority="148153"/>
    <cfRule type="duplicateValues" dxfId="888" priority="148154"/>
    <cfRule type="duplicateValues" dxfId="887" priority="148155"/>
    <cfRule type="duplicateValues" dxfId="886" priority="148156"/>
    <cfRule type="duplicateValues" dxfId="885" priority="148157"/>
    <cfRule type="duplicateValues" dxfId="884" priority="148158"/>
    <cfRule type="duplicateValues" dxfId="883" priority="148159"/>
    <cfRule type="duplicateValues" dxfId="882" priority="148160"/>
    <cfRule type="duplicateValues" dxfId="881" priority="148161"/>
    <cfRule type="duplicateValues" dxfId="880" priority="148162"/>
    <cfRule type="duplicateValues" dxfId="879" priority="148163"/>
    <cfRule type="duplicateValues" dxfId="878" priority="148164"/>
    <cfRule type="duplicateValues" dxfId="877" priority="148165"/>
    <cfRule type="duplicateValues" dxfId="876" priority="148166"/>
    <cfRule type="duplicateValues" dxfId="875" priority="148167"/>
    <cfRule type="duplicateValues" dxfId="874" priority="148168"/>
    <cfRule type="duplicateValues" dxfId="873" priority="148169"/>
    <cfRule type="duplicateValues" dxfId="872" priority="148170"/>
    <cfRule type="duplicateValues" dxfId="871" priority="147112"/>
    <cfRule type="duplicateValues" dxfId="870" priority="147113"/>
    <cfRule type="duplicateValues" dxfId="869" priority="147114"/>
    <cfRule type="duplicateValues" dxfId="868" priority="147115"/>
    <cfRule type="duplicateValues" dxfId="867" priority="147116"/>
    <cfRule type="duplicateValues" dxfId="866" priority="147117"/>
    <cfRule type="duplicateValues" dxfId="865" priority="147118"/>
    <cfRule type="duplicateValues" dxfId="864" priority="147119"/>
    <cfRule type="duplicateValues" dxfId="863" priority="147120"/>
    <cfRule type="duplicateValues" dxfId="862" priority="147121"/>
    <cfRule type="duplicateValues" dxfId="861" priority="147122"/>
    <cfRule type="duplicateValues" dxfId="860" priority="147123"/>
    <cfRule type="duplicateValues" dxfId="859" priority="147124"/>
    <cfRule type="duplicateValues" dxfId="858" priority="147125"/>
    <cfRule type="duplicateValues" dxfId="857" priority="147126"/>
    <cfRule type="duplicateValues" dxfId="856" priority="147127"/>
    <cfRule type="duplicateValues" dxfId="855" priority="147128"/>
    <cfRule type="duplicateValues" dxfId="854" priority="147129"/>
    <cfRule type="duplicateValues" dxfId="853" priority="147130"/>
    <cfRule type="duplicateValues" dxfId="852" priority="147131"/>
    <cfRule type="duplicateValues" dxfId="851" priority="147132"/>
    <cfRule type="duplicateValues" dxfId="850" priority="147133"/>
    <cfRule type="duplicateValues" dxfId="849" priority="147134"/>
    <cfRule type="duplicateValues" dxfId="848" priority="147135"/>
    <cfRule type="duplicateValues" dxfId="847" priority="147136"/>
    <cfRule type="duplicateValues" dxfId="846" priority="147137"/>
    <cfRule type="duplicateValues" dxfId="845" priority="147138"/>
    <cfRule type="duplicateValues" dxfId="844" priority="147139"/>
    <cfRule type="duplicateValues" dxfId="843" priority="147140"/>
    <cfRule type="duplicateValues" dxfId="842" priority="147141"/>
    <cfRule type="duplicateValues" dxfId="841" priority="147142"/>
    <cfRule type="duplicateValues" dxfId="840" priority="147143"/>
    <cfRule type="duplicateValues" dxfId="839" priority="147144"/>
    <cfRule type="duplicateValues" dxfId="838" priority="147145"/>
    <cfRule type="duplicateValues" dxfId="837" priority="147146"/>
    <cfRule type="duplicateValues" dxfId="836" priority="147147"/>
    <cfRule type="duplicateValues" dxfId="835" priority="147148"/>
    <cfRule type="duplicateValues" dxfId="834" priority="147149"/>
    <cfRule type="duplicateValues" dxfId="833" priority="147150"/>
    <cfRule type="duplicateValues" dxfId="832" priority="147151"/>
    <cfRule type="duplicateValues" dxfId="831" priority="147152"/>
    <cfRule type="duplicateValues" dxfId="830" priority="147153"/>
    <cfRule type="duplicateValues" dxfId="829" priority="147154"/>
    <cfRule type="duplicateValues" dxfId="828" priority="147155"/>
    <cfRule type="duplicateValues" dxfId="827" priority="147156"/>
    <cfRule type="duplicateValues" dxfId="826" priority="147157"/>
    <cfRule type="duplicateValues" dxfId="825" priority="147158"/>
    <cfRule type="duplicateValues" dxfId="824" priority="147159"/>
    <cfRule type="duplicateValues" dxfId="823" priority="147160"/>
    <cfRule type="duplicateValues" dxfId="822" priority="147161"/>
    <cfRule type="duplicateValues" dxfId="821" priority="147162"/>
    <cfRule type="duplicateValues" dxfId="820" priority="147163"/>
    <cfRule type="duplicateValues" dxfId="819" priority="147164"/>
    <cfRule type="duplicateValues" dxfId="818" priority="147165"/>
    <cfRule type="duplicateValues" dxfId="817" priority="147166"/>
    <cfRule type="duplicateValues" dxfId="816" priority="147167"/>
    <cfRule type="duplicateValues" dxfId="815" priority="147168"/>
    <cfRule type="duplicateValues" dxfId="814" priority="147169"/>
    <cfRule type="duplicateValues" dxfId="813" priority="147170"/>
    <cfRule type="duplicateValues" dxfId="812" priority="147171"/>
    <cfRule type="duplicateValues" dxfId="811" priority="148231"/>
    <cfRule type="duplicateValues" dxfId="810" priority="148232"/>
    <cfRule type="duplicateValues" dxfId="809" priority="148233"/>
    <cfRule type="duplicateValues" dxfId="808" priority="148234"/>
    <cfRule type="duplicateValues" dxfId="807" priority="148235"/>
    <cfRule type="duplicateValues" dxfId="806" priority="148236"/>
    <cfRule type="duplicateValues" dxfId="805" priority="148237"/>
    <cfRule type="duplicateValues" dxfId="804" priority="148238"/>
    <cfRule type="duplicateValues" dxfId="803" priority="148239"/>
    <cfRule type="duplicateValues" dxfId="802" priority="148240"/>
    <cfRule type="duplicateValues" dxfId="801" priority="148241"/>
    <cfRule type="duplicateValues" dxfId="800" priority="148242"/>
    <cfRule type="duplicateValues" dxfId="799" priority="148243"/>
    <cfRule type="duplicateValues" dxfId="798" priority="148244"/>
    <cfRule type="duplicateValues" dxfId="797" priority="148245"/>
    <cfRule type="duplicateValues" dxfId="796" priority="148246"/>
    <cfRule type="duplicateValues" dxfId="795" priority="148247"/>
    <cfRule type="duplicateValues" dxfId="794" priority="148248"/>
    <cfRule type="duplicateValues" dxfId="793" priority="148249"/>
    <cfRule type="duplicateValues" dxfId="792" priority="148250"/>
    <cfRule type="duplicateValues" dxfId="791" priority="148251"/>
    <cfRule type="duplicateValues" dxfId="790" priority="148252"/>
    <cfRule type="duplicateValues" dxfId="789" priority="148253"/>
    <cfRule type="duplicateValues" dxfId="788" priority="148254"/>
    <cfRule type="duplicateValues" dxfId="787" priority="148255"/>
    <cfRule type="duplicateValues" dxfId="786" priority="148256"/>
    <cfRule type="duplicateValues" dxfId="785" priority="148257"/>
    <cfRule type="duplicateValues" dxfId="784" priority="148258"/>
    <cfRule type="duplicateValues" dxfId="783" priority="148259"/>
    <cfRule type="duplicateValues" dxfId="782" priority="148260"/>
    <cfRule type="duplicateValues" dxfId="781" priority="148261"/>
    <cfRule type="duplicateValues" dxfId="780" priority="148262"/>
    <cfRule type="duplicateValues" dxfId="779" priority="148263"/>
    <cfRule type="duplicateValues" dxfId="778" priority="148264"/>
    <cfRule type="duplicateValues" dxfId="777" priority="148265"/>
    <cfRule type="duplicateValues" dxfId="776" priority="148266"/>
    <cfRule type="duplicateValues" dxfId="775" priority="148267"/>
    <cfRule type="duplicateValues" dxfId="774" priority="148268"/>
    <cfRule type="duplicateValues" dxfId="773" priority="148269"/>
    <cfRule type="duplicateValues" dxfId="772" priority="148270"/>
    <cfRule type="duplicateValues" dxfId="771" priority="148271"/>
    <cfRule type="duplicateValues" dxfId="770" priority="148272"/>
    <cfRule type="duplicateValues" dxfId="769" priority="148273"/>
    <cfRule type="duplicateValues" dxfId="768" priority="148274"/>
    <cfRule type="duplicateValues" dxfId="767" priority="148275"/>
    <cfRule type="duplicateValues" dxfId="766" priority="148276"/>
    <cfRule type="duplicateValues" dxfId="765" priority="148277"/>
    <cfRule type="duplicateValues" dxfId="764" priority="148278"/>
    <cfRule type="duplicateValues" dxfId="763" priority="148279"/>
    <cfRule type="duplicateValues" dxfId="762" priority="148280"/>
    <cfRule type="duplicateValues" dxfId="761" priority="148281"/>
    <cfRule type="duplicateValues" dxfId="760" priority="148282"/>
    <cfRule type="duplicateValues" dxfId="759" priority="148283"/>
    <cfRule type="duplicateValues" dxfId="758" priority="148284"/>
    <cfRule type="duplicateValues" dxfId="757" priority="148285"/>
    <cfRule type="duplicateValues" dxfId="756" priority="148286"/>
    <cfRule type="duplicateValues" dxfId="755" priority="148287"/>
    <cfRule type="duplicateValues" dxfId="754" priority="148288"/>
    <cfRule type="duplicateValues" dxfId="753" priority="148289"/>
    <cfRule type="duplicateValues" dxfId="752" priority="148290"/>
    <cfRule type="duplicateValues" dxfId="751" priority="148291"/>
    <cfRule type="duplicateValues" dxfId="750" priority="148292"/>
    <cfRule type="duplicateValues" dxfId="749" priority="148293"/>
    <cfRule type="duplicateValues" dxfId="748" priority="148294"/>
    <cfRule type="duplicateValues" dxfId="747" priority="148295"/>
    <cfRule type="duplicateValues" dxfId="746" priority="148296"/>
    <cfRule type="duplicateValues" dxfId="745" priority="148297"/>
    <cfRule type="duplicateValues" dxfId="744" priority="148298"/>
    <cfRule type="duplicateValues" dxfId="743" priority="148299"/>
    <cfRule type="duplicateValues" dxfId="742" priority="148300"/>
    <cfRule type="duplicateValues" dxfId="741" priority="148301"/>
    <cfRule type="duplicateValues" dxfId="740" priority="148302"/>
    <cfRule type="duplicateValues" dxfId="739" priority="148303"/>
    <cfRule type="duplicateValues" dxfId="738" priority="148304"/>
    <cfRule type="duplicateValues" dxfId="737" priority="148305"/>
    <cfRule type="duplicateValues" dxfId="736" priority="148306"/>
    <cfRule type="duplicateValues" dxfId="735" priority="148307"/>
    <cfRule type="duplicateValues" dxfId="734" priority="148308"/>
    <cfRule type="duplicateValues" dxfId="733" priority="148309"/>
    <cfRule type="duplicateValues" dxfId="732" priority="148310"/>
    <cfRule type="duplicateValues" dxfId="731" priority="148311"/>
    <cfRule type="duplicateValues" dxfId="730" priority="148312"/>
    <cfRule type="duplicateValues" dxfId="729" priority="148313"/>
    <cfRule type="duplicateValues" dxfId="728" priority="148314"/>
    <cfRule type="duplicateValues" dxfId="727" priority="148315"/>
    <cfRule type="duplicateValues" dxfId="726" priority="148316"/>
    <cfRule type="duplicateValues" dxfId="725" priority="148317"/>
    <cfRule type="duplicateValues" dxfId="724" priority="148318"/>
    <cfRule type="duplicateValues" dxfId="723" priority="148319"/>
    <cfRule type="duplicateValues" dxfId="722" priority="148320"/>
    <cfRule type="duplicateValues" dxfId="721" priority="142207"/>
    <cfRule type="duplicateValues" dxfId="720" priority="142208"/>
    <cfRule type="duplicateValues" dxfId="719" priority="142209"/>
    <cfRule type="duplicateValues" dxfId="718" priority="142210"/>
    <cfRule type="duplicateValues" dxfId="717" priority="142211"/>
    <cfRule type="duplicateValues" dxfId="716" priority="142212"/>
    <cfRule type="duplicateValues" dxfId="715" priority="142213"/>
    <cfRule type="duplicateValues" dxfId="714" priority="142214"/>
    <cfRule type="duplicateValues" dxfId="713" priority="142215"/>
    <cfRule type="duplicateValues" dxfId="712" priority="142216"/>
    <cfRule type="duplicateValues" dxfId="711" priority="142217"/>
    <cfRule type="duplicateValues" dxfId="710" priority="142218"/>
    <cfRule type="duplicateValues" dxfId="709" priority="142219"/>
    <cfRule type="duplicateValues" dxfId="708" priority="142220"/>
    <cfRule type="duplicateValues" dxfId="707" priority="142221"/>
    <cfRule type="duplicateValues" dxfId="706" priority="142222"/>
    <cfRule type="duplicateValues" dxfId="705" priority="142223"/>
    <cfRule type="duplicateValues" dxfId="704" priority="142224"/>
    <cfRule type="duplicateValues" dxfId="703" priority="142225"/>
    <cfRule type="duplicateValues" dxfId="702" priority="142226"/>
    <cfRule type="duplicateValues" dxfId="701" priority="142227"/>
    <cfRule type="duplicateValues" dxfId="700" priority="142228"/>
    <cfRule type="duplicateValues" dxfId="699" priority="142229"/>
    <cfRule type="duplicateValues" dxfId="698" priority="142230"/>
    <cfRule type="duplicateValues" dxfId="697" priority="142231"/>
    <cfRule type="duplicateValues" dxfId="696" priority="142232"/>
    <cfRule type="duplicateValues" dxfId="695" priority="142233"/>
    <cfRule type="duplicateValues" dxfId="694" priority="142234"/>
    <cfRule type="duplicateValues" dxfId="693" priority="142235"/>
    <cfRule type="duplicateValues" dxfId="692" priority="142236"/>
    <cfRule type="duplicateValues" dxfId="691" priority="142237"/>
    <cfRule type="duplicateValues" dxfId="690" priority="142238"/>
    <cfRule type="duplicateValues" dxfId="689" priority="142239"/>
    <cfRule type="duplicateValues" dxfId="688" priority="142240"/>
    <cfRule type="duplicateValues" dxfId="687" priority="142241"/>
    <cfRule type="duplicateValues" dxfId="686" priority="142242"/>
    <cfRule type="duplicateValues" dxfId="685" priority="142243"/>
    <cfRule type="duplicateValues" dxfId="684" priority="142244"/>
    <cfRule type="duplicateValues" dxfId="683" priority="142245"/>
    <cfRule type="duplicateValues" dxfId="682" priority="142246"/>
    <cfRule type="duplicateValues" dxfId="681" priority="142247"/>
    <cfRule type="duplicateValues" dxfId="680" priority="142248"/>
    <cfRule type="duplicateValues" dxfId="679" priority="142249"/>
    <cfRule type="duplicateValues" dxfId="678" priority="142250"/>
    <cfRule type="duplicateValues" dxfId="677" priority="142251"/>
    <cfRule type="duplicateValues" dxfId="676" priority="142252"/>
    <cfRule type="duplicateValues" dxfId="675" priority="142253"/>
    <cfRule type="duplicateValues" dxfId="674" priority="142254"/>
    <cfRule type="duplicateValues" dxfId="673" priority="142255"/>
    <cfRule type="duplicateValues" dxfId="672" priority="142256"/>
    <cfRule type="duplicateValues" dxfId="671" priority="142257"/>
    <cfRule type="duplicateValues" dxfId="670" priority="142258"/>
    <cfRule type="duplicateValues" dxfId="669" priority="142259"/>
    <cfRule type="duplicateValues" dxfId="668" priority="142260"/>
    <cfRule type="duplicateValues" dxfId="667" priority="142261"/>
    <cfRule type="duplicateValues" dxfId="666" priority="142262"/>
    <cfRule type="duplicateValues" dxfId="665" priority="142263"/>
    <cfRule type="duplicateValues" dxfId="664" priority="142264"/>
    <cfRule type="duplicateValues" dxfId="663" priority="142265"/>
    <cfRule type="duplicateValues" dxfId="662" priority="142266"/>
    <cfRule type="duplicateValues" dxfId="661" priority="148431"/>
    <cfRule type="duplicateValues" dxfId="660" priority="148432"/>
    <cfRule type="duplicateValues" dxfId="659" priority="148433"/>
    <cfRule type="duplicateValues" dxfId="658" priority="148434"/>
    <cfRule type="duplicateValues" dxfId="657" priority="148435"/>
    <cfRule type="duplicateValues" dxfId="656" priority="148436"/>
    <cfRule type="duplicateValues" dxfId="655" priority="148437"/>
    <cfRule type="duplicateValues" dxfId="654" priority="148438"/>
    <cfRule type="duplicateValues" dxfId="653" priority="148439"/>
    <cfRule type="duplicateValues" dxfId="652" priority="148440"/>
    <cfRule type="duplicateValues" dxfId="651" priority="148441"/>
    <cfRule type="duplicateValues" dxfId="650" priority="148442"/>
    <cfRule type="duplicateValues" dxfId="649" priority="148443"/>
    <cfRule type="duplicateValues" dxfId="648" priority="148444"/>
    <cfRule type="duplicateValues" dxfId="647" priority="148445"/>
    <cfRule type="duplicateValues" dxfId="646" priority="148446"/>
    <cfRule type="duplicateValues" dxfId="645" priority="148447"/>
    <cfRule type="duplicateValues" dxfId="644" priority="148448"/>
    <cfRule type="duplicateValues" dxfId="643" priority="148449"/>
    <cfRule type="duplicateValues" dxfId="642" priority="148450"/>
    <cfRule type="duplicateValues" dxfId="641" priority="148451"/>
    <cfRule type="duplicateValues" dxfId="640" priority="148452"/>
    <cfRule type="duplicateValues" dxfId="639" priority="148453"/>
    <cfRule type="duplicateValues" dxfId="638" priority="148454"/>
    <cfRule type="duplicateValues" dxfId="637" priority="148455"/>
    <cfRule type="duplicateValues" dxfId="636" priority="148456"/>
    <cfRule type="duplicateValues" dxfId="635" priority="148457"/>
    <cfRule type="duplicateValues" dxfId="634" priority="148458"/>
    <cfRule type="duplicateValues" dxfId="633" priority="148459"/>
    <cfRule type="duplicateValues" dxfId="632" priority="148460"/>
    <cfRule type="duplicateValues" dxfId="631" priority="148461"/>
    <cfRule type="duplicateValues" dxfId="630" priority="148462"/>
    <cfRule type="duplicateValues" dxfId="629" priority="148463"/>
    <cfRule type="duplicateValues" dxfId="628" priority="148464"/>
    <cfRule type="duplicateValues" dxfId="627" priority="148465"/>
    <cfRule type="duplicateValues" dxfId="626" priority="148466"/>
    <cfRule type="duplicateValues" dxfId="625" priority="148467"/>
    <cfRule type="duplicateValues" dxfId="624" priority="148468"/>
    <cfRule type="duplicateValues" dxfId="623" priority="148469"/>
    <cfRule type="duplicateValues" dxfId="622" priority="148470"/>
    <cfRule type="duplicateValues" dxfId="621" priority="148471"/>
    <cfRule type="duplicateValues" dxfId="620" priority="148472"/>
    <cfRule type="duplicateValues" dxfId="619" priority="148473"/>
    <cfRule type="duplicateValues" dxfId="618" priority="148474"/>
    <cfRule type="duplicateValues" dxfId="617" priority="148475"/>
    <cfRule type="duplicateValues" dxfId="616" priority="148476"/>
    <cfRule type="duplicateValues" dxfId="615" priority="148477"/>
    <cfRule type="duplicateValues" dxfId="614" priority="148478"/>
    <cfRule type="duplicateValues" dxfId="613" priority="148479"/>
    <cfRule type="duplicateValues" dxfId="612" priority="148480"/>
    <cfRule type="duplicateValues" dxfId="611" priority="148481"/>
    <cfRule type="duplicateValues" dxfId="610" priority="148482"/>
    <cfRule type="duplicateValues" dxfId="609" priority="148483"/>
    <cfRule type="duplicateValues" dxfId="608" priority="148484"/>
    <cfRule type="duplicateValues" dxfId="607" priority="148485"/>
    <cfRule type="duplicateValues" dxfId="606" priority="148486"/>
    <cfRule type="duplicateValues" dxfId="605" priority="148487"/>
    <cfRule type="duplicateValues" dxfId="604" priority="148488"/>
    <cfRule type="duplicateValues" dxfId="603" priority="148489"/>
    <cfRule type="duplicateValues" dxfId="602" priority="148490"/>
    <cfRule type="duplicateValues" dxfId="601" priority="148491"/>
    <cfRule type="duplicateValues" dxfId="600" priority="148492"/>
    <cfRule type="duplicateValues" dxfId="599" priority="148493"/>
    <cfRule type="duplicateValues" dxfId="598" priority="148494"/>
    <cfRule type="duplicateValues" dxfId="597" priority="148495"/>
    <cfRule type="duplicateValues" dxfId="596" priority="148496"/>
    <cfRule type="duplicateValues" dxfId="595" priority="148497"/>
    <cfRule type="duplicateValues" dxfId="594" priority="148498"/>
    <cfRule type="duplicateValues" dxfId="593" priority="148499"/>
    <cfRule type="duplicateValues" dxfId="592" priority="148500"/>
    <cfRule type="duplicateValues" dxfId="591" priority="148501"/>
    <cfRule type="duplicateValues" dxfId="590" priority="148502"/>
    <cfRule type="duplicateValues" dxfId="589" priority="148503"/>
    <cfRule type="duplicateValues" dxfId="588" priority="148504"/>
    <cfRule type="duplicateValues" dxfId="587" priority="148505"/>
    <cfRule type="duplicateValues" dxfId="586" priority="148506"/>
    <cfRule type="duplicateValues" dxfId="585" priority="148507"/>
    <cfRule type="duplicateValues" dxfId="584" priority="148508"/>
    <cfRule type="duplicateValues" dxfId="583" priority="148509"/>
    <cfRule type="duplicateValues" dxfId="582" priority="148510"/>
    <cfRule type="duplicateValues" dxfId="581" priority="148511"/>
    <cfRule type="duplicateValues" dxfId="580" priority="148512"/>
    <cfRule type="duplicateValues" dxfId="579" priority="148513"/>
    <cfRule type="duplicateValues" dxfId="578" priority="148514"/>
    <cfRule type="duplicateValues" dxfId="577" priority="148515"/>
    <cfRule type="duplicateValues" dxfId="576" priority="148516"/>
    <cfRule type="duplicateValues" dxfId="575" priority="148517"/>
    <cfRule type="duplicateValues" dxfId="574" priority="148518"/>
    <cfRule type="duplicateValues" dxfId="573" priority="148519"/>
    <cfRule type="duplicateValues" dxfId="572" priority="148520"/>
    <cfRule type="duplicateValues" dxfId="571" priority="148551"/>
    <cfRule type="duplicateValues" dxfId="570" priority="148552"/>
    <cfRule type="duplicateValues" dxfId="569" priority="148553"/>
    <cfRule type="duplicateValues" dxfId="568" priority="148554"/>
    <cfRule type="duplicateValues" dxfId="567" priority="148555"/>
    <cfRule type="duplicateValues" dxfId="566" priority="148556"/>
    <cfRule type="duplicateValues" dxfId="565" priority="148557"/>
    <cfRule type="duplicateValues" dxfId="564" priority="148558"/>
    <cfRule type="duplicateValues" dxfId="563" priority="148559"/>
    <cfRule type="duplicateValues" dxfId="562" priority="148560"/>
    <cfRule type="duplicateValues" dxfId="561" priority="148561"/>
    <cfRule type="duplicateValues" dxfId="560" priority="148562"/>
    <cfRule type="duplicateValues" dxfId="559" priority="148563"/>
    <cfRule type="duplicateValues" dxfId="558" priority="148564"/>
    <cfRule type="duplicateValues" dxfId="557" priority="148565"/>
    <cfRule type="duplicateValues" dxfId="556" priority="148566"/>
    <cfRule type="duplicateValues" dxfId="555" priority="148567"/>
    <cfRule type="duplicateValues" dxfId="554" priority="148568"/>
    <cfRule type="duplicateValues" dxfId="553" priority="148569"/>
    <cfRule type="duplicateValues" dxfId="552" priority="148570"/>
    <cfRule type="duplicateValues" dxfId="551" priority="148571"/>
    <cfRule type="duplicateValues" dxfId="550" priority="148572"/>
    <cfRule type="duplicateValues" dxfId="549" priority="148573"/>
    <cfRule type="duplicateValues" dxfId="548" priority="148574"/>
    <cfRule type="duplicateValues" dxfId="547" priority="148575"/>
    <cfRule type="duplicateValues" dxfId="546" priority="148576"/>
    <cfRule type="duplicateValues" dxfId="545" priority="148577"/>
    <cfRule type="duplicateValues" dxfId="544" priority="148578"/>
    <cfRule type="duplicateValues" dxfId="543" priority="148579"/>
    <cfRule type="duplicateValues" dxfId="542" priority="148580"/>
    <cfRule type="duplicateValues" dxfId="541" priority="148581"/>
    <cfRule type="duplicateValues" dxfId="540" priority="148582"/>
    <cfRule type="duplicateValues" dxfId="539" priority="148583"/>
    <cfRule type="duplicateValues" dxfId="538" priority="148584"/>
    <cfRule type="duplicateValues" dxfId="537" priority="148585"/>
    <cfRule type="duplicateValues" dxfId="536" priority="148586"/>
    <cfRule type="duplicateValues" dxfId="535" priority="148587"/>
    <cfRule type="duplicateValues" dxfId="534" priority="148588"/>
    <cfRule type="duplicateValues" dxfId="533" priority="148589"/>
    <cfRule type="duplicateValues" dxfId="532" priority="148590"/>
    <cfRule type="duplicateValues" dxfId="531" priority="148591"/>
    <cfRule type="duplicateValues" dxfId="530" priority="148592"/>
    <cfRule type="duplicateValues" dxfId="529" priority="148593"/>
    <cfRule type="duplicateValues" dxfId="528" priority="148594"/>
    <cfRule type="duplicateValues" dxfId="527" priority="148595"/>
    <cfRule type="duplicateValues" dxfId="526" priority="148596"/>
    <cfRule type="duplicateValues" dxfId="525" priority="148597"/>
    <cfRule type="duplicateValues" dxfId="524" priority="148598"/>
    <cfRule type="duplicateValues" dxfId="523" priority="148599"/>
    <cfRule type="duplicateValues" dxfId="522" priority="148600"/>
    <cfRule type="duplicateValues" dxfId="521" priority="148601"/>
    <cfRule type="duplicateValues" dxfId="520" priority="148602"/>
    <cfRule type="duplicateValues" dxfId="519" priority="148603"/>
    <cfRule type="duplicateValues" dxfId="518" priority="148604"/>
    <cfRule type="duplicateValues" dxfId="517" priority="148605"/>
    <cfRule type="duplicateValues" dxfId="516" priority="148606"/>
    <cfRule type="duplicateValues" dxfId="515" priority="148607"/>
    <cfRule type="duplicateValues" dxfId="514" priority="148608"/>
    <cfRule type="duplicateValues" dxfId="513" priority="148609"/>
    <cfRule type="duplicateValues" dxfId="512" priority="148610"/>
    <cfRule type="duplicateValues" dxfId="511" priority="143516"/>
    <cfRule type="duplicateValues" dxfId="510" priority="143515"/>
    <cfRule type="duplicateValues" dxfId="509" priority="143514"/>
    <cfRule type="duplicateValues" dxfId="508" priority="143513"/>
    <cfRule type="duplicateValues" dxfId="507" priority="143512"/>
    <cfRule type="duplicateValues" dxfId="506" priority="143511"/>
    <cfRule type="duplicateValues" dxfId="505" priority="143510"/>
    <cfRule type="duplicateValues" dxfId="504" priority="143509"/>
    <cfRule type="duplicateValues" dxfId="503" priority="143508"/>
    <cfRule type="duplicateValues" dxfId="502" priority="143507"/>
    <cfRule type="duplicateValues" dxfId="501" priority="143506"/>
    <cfRule type="duplicateValues" dxfId="500" priority="143505"/>
    <cfRule type="duplicateValues" dxfId="499" priority="143504"/>
    <cfRule type="duplicateValues" dxfId="498" priority="143503"/>
    <cfRule type="duplicateValues" dxfId="497" priority="143502"/>
    <cfRule type="duplicateValues" dxfId="496" priority="143501"/>
    <cfRule type="duplicateValues" dxfId="495" priority="143500"/>
    <cfRule type="duplicateValues" dxfId="494" priority="143499"/>
    <cfRule type="duplicateValues" dxfId="493" priority="143498"/>
    <cfRule type="duplicateValues" dxfId="492" priority="143497"/>
    <cfRule type="duplicateValues" dxfId="491" priority="143496"/>
    <cfRule type="duplicateValues" dxfId="490" priority="143495"/>
    <cfRule type="duplicateValues" dxfId="489" priority="143494"/>
    <cfRule type="duplicateValues" dxfId="488" priority="143493"/>
    <cfRule type="duplicateValues" dxfId="487" priority="143492"/>
    <cfRule type="duplicateValues" dxfId="486" priority="143491"/>
    <cfRule type="duplicateValues" dxfId="485" priority="143490"/>
    <cfRule type="duplicateValues" dxfId="484" priority="143489"/>
    <cfRule type="duplicateValues" dxfId="483" priority="143488"/>
    <cfRule type="duplicateValues" dxfId="482" priority="143487"/>
    <cfRule type="duplicateValues" dxfId="481" priority="143486"/>
    <cfRule type="duplicateValues" dxfId="480" priority="143485"/>
    <cfRule type="duplicateValues" dxfId="479" priority="143484"/>
    <cfRule type="duplicateValues" dxfId="478" priority="143483"/>
    <cfRule type="duplicateValues" dxfId="477" priority="143482"/>
    <cfRule type="duplicateValues" dxfId="476" priority="143481"/>
    <cfRule type="duplicateValues" dxfId="475" priority="143480"/>
    <cfRule type="duplicateValues" dxfId="474" priority="143479"/>
    <cfRule type="duplicateValues" dxfId="473" priority="143478"/>
    <cfRule type="duplicateValues" dxfId="472" priority="143477"/>
    <cfRule type="duplicateValues" dxfId="471" priority="143476"/>
    <cfRule type="duplicateValues" dxfId="470" priority="143475"/>
    <cfRule type="duplicateValues" dxfId="469" priority="143474"/>
    <cfRule type="duplicateValues" dxfId="468" priority="143473"/>
    <cfRule type="duplicateValues" dxfId="467" priority="143472"/>
    <cfRule type="duplicateValues" dxfId="466" priority="143471"/>
    <cfRule type="duplicateValues" dxfId="465" priority="143470"/>
    <cfRule type="duplicateValues" dxfId="464" priority="143469"/>
    <cfRule type="duplicateValues" dxfId="463" priority="143468"/>
    <cfRule type="duplicateValues" dxfId="462" priority="143467"/>
    <cfRule type="duplicateValues" dxfId="461" priority="143466"/>
    <cfRule type="duplicateValues" dxfId="460" priority="143465"/>
    <cfRule type="duplicateValues" dxfId="459" priority="143464"/>
    <cfRule type="duplicateValues" dxfId="458" priority="143463"/>
    <cfRule type="duplicateValues" dxfId="457" priority="143462"/>
    <cfRule type="duplicateValues" dxfId="456" priority="143461"/>
    <cfRule type="duplicateValues" dxfId="455" priority="143460"/>
    <cfRule type="duplicateValues" dxfId="454" priority="143459"/>
    <cfRule type="duplicateValues" dxfId="453" priority="143458"/>
    <cfRule type="duplicateValues" dxfId="452" priority="143457"/>
    <cfRule type="duplicateValues" dxfId="451" priority="143456"/>
    <cfRule type="duplicateValues" dxfId="450" priority="143455"/>
    <cfRule type="duplicateValues" dxfId="449" priority="143454"/>
    <cfRule type="duplicateValues" dxfId="448" priority="143453"/>
    <cfRule type="duplicateValues" dxfId="447" priority="143452"/>
    <cfRule type="duplicateValues" dxfId="446" priority="143451"/>
    <cfRule type="duplicateValues" dxfId="445" priority="143450"/>
    <cfRule type="duplicateValues" dxfId="444" priority="143449"/>
    <cfRule type="duplicateValues" dxfId="443" priority="143448"/>
    <cfRule type="duplicateValues" dxfId="442" priority="143447"/>
    <cfRule type="duplicateValues" dxfId="441" priority="143446"/>
    <cfRule type="duplicateValues" dxfId="440" priority="143445"/>
    <cfRule type="duplicateValues" dxfId="439" priority="143444"/>
    <cfRule type="duplicateValues" dxfId="438" priority="143443"/>
    <cfRule type="duplicateValues" dxfId="437" priority="143442"/>
    <cfRule type="duplicateValues" dxfId="436" priority="143441"/>
    <cfRule type="duplicateValues" dxfId="435" priority="143440"/>
    <cfRule type="duplicateValues" dxfId="434" priority="143439"/>
    <cfRule type="duplicateValues" dxfId="433" priority="143438"/>
    <cfRule type="duplicateValues" dxfId="432" priority="143437"/>
    <cfRule type="duplicateValues" dxfId="431" priority="142267"/>
    <cfRule type="duplicateValues" dxfId="430" priority="142268"/>
    <cfRule type="duplicateValues" dxfId="429" priority="142269"/>
    <cfRule type="duplicateValues" dxfId="428" priority="142270"/>
    <cfRule type="duplicateValues" dxfId="427" priority="142271"/>
    <cfRule type="duplicateValues" dxfId="426" priority="142272"/>
    <cfRule type="duplicateValues" dxfId="425" priority="142273"/>
    <cfRule type="duplicateValues" dxfId="424" priority="142274"/>
    <cfRule type="duplicateValues" dxfId="423" priority="142275"/>
    <cfRule type="duplicateValues" dxfId="422" priority="142276"/>
    <cfRule type="duplicateValues" dxfId="421" priority="142277"/>
    <cfRule type="duplicateValues" dxfId="420" priority="142278"/>
    <cfRule type="duplicateValues" dxfId="419" priority="142279"/>
    <cfRule type="duplicateValues" dxfId="418" priority="142280"/>
    <cfRule type="duplicateValues" dxfId="417" priority="142281"/>
    <cfRule type="duplicateValues" dxfId="416" priority="142282"/>
    <cfRule type="duplicateValues" dxfId="415" priority="142283"/>
    <cfRule type="duplicateValues" dxfId="414" priority="142284"/>
    <cfRule type="duplicateValues" dxfId="413" priority="142285"/>
    <cfRule type="duplicateValues" dxfId="412" priority="142286"/>
    <cfRule type="duplicateValues" dxfId="411" priority="142287"/>
    <cfRule type="duplicateValues" dxfId="410" priority="142288"/>
    <cfRule type="duplicateValues" dxfId="409" priority="142289"/>
    <cfRule type="duplicateValues" dxfId="408" priority="142290"/>
    <cfRule type="duplicateValues" dxfId="407" priority="142291"/>
    <cfRule type="duplicateValues" dxfId="406" priority="142292"/>
    <cfRule type="duplicateValues" dxfId="405" priority="142293"/>
    <cfRule type="duplicateValues" dxfId="404" priority="142294"/>
    <cfRule type="duplicateValues" dxfId="403" priority="142295"/>
    <cfRule type="duplicateValues" dxfId="402" priority="142296"/>
    <cfRule type="duplicateValues" dxfId="401" priority="142297"/>
    <cfRule type="duplicateValues" dxfId="400" priority="142298"/>
    <cfRule type="duplicateValues" dxfId="399" priority="142299"/>
    <cfRule type="duplicateValues" dxfId="398" priority="142300"/>
    <cfRule type="duplicateValues" dxfId="397" priority="142301"/>
    <cfRule type="duplicateValues" dxfId="396" priority="142302"/>
    <cfRule type="duplicateValues" dxfId="395" priority="142303"/>
    <cfRule type="duplicateValues" dxfId="394" priority="142304"/>
    <cfRule type="duplicateValues" dxfId="393" priority="142305"/>
    <cfRule type="duplicateValues" dxfId="392" priority="142306"/>
    <cfRule type="duplicateValues" dxfId="391" priority="142307"/>
    <cfRule type="duplicateValues" dxfId="390" priority="142308"/>
    <cfRule type="duplicateValues" dxfId="389" priority="142309"/>
    <cfRule type="duplicateValues" dxfId="388" priority="142310"/>
    <cfRule type="duplicateValues" dxfId="387" priority="142311"/>
    <cfRule type="duplicateValues" dxfId="386" priority="142312"/>
    <cfRule type="duplicateValues" dxfId="385" priority="142313"/>
    <cfRule type="duplicateValues" dxfId="384" priority="142314"/>
    <cfRule type="duplicateValues" dxfId="383" priority="142315"/>
    <cfRule type="duplicateValues" dxfId="382" priority="142316"/>
    <cfRule type="duplicateValues" dxfId="381" priority="142317"/>
    <cfRule type="duplicateValues" dxfId="380" priority="142318"/>
    <cfRule type="duplicateValues" dxfId="379" priority="142319"/>
    <cfRule type="duplicateValues" dxfId="378" priority="142320"/>
    <cfRule type="duplicateValues" dxfId="377" priority="142321"/>
    <cfRule type="duplicateValues" dxfId="376" priority="142322"/>
    <cfRule type="duplicateValues" dxfId="375" priority="142323"/>
    <cfRule type="duplicateValues" dxfId="374" priority="142324"/>
    <cfRule type="duplicateValues" dxfId="373" priority="142325"/>
    <cfRule type="duplicateValues" dxfId="372" priority="142326"/>
    <cfRule type="duplicateValues" dxfId="371" priority="143376"/>
    <cfRule type="duplicateValues" dxfId="370" priority="143375"/>
    <cfRule type="duplicateValues" dxfId="369" priority="143374"/>
    <cfRule type="duplicateValues" dxfId="368" priority="143373"/>
    <cfRule type="duplicateValues" dxfId="367" priority="143372"/>
    <cfRule type="duplicateValues" dxfId="366" priority="143371"/>
    <cfRule type="duplicateValues" dxfId="365" priority="143370"/>
    <cfRule type="duplicateValues" dxfId="364" priority="143369"/>
    <cfRule type="duplicateValues" dxfId="363" priority="143368"/>
    <cfRule type="duplicateValues" dxfId="362" priority="143367"/>
    <cfRule type="duplicateValues" dxfId="361" priority="143366"/>
    <cfRule type="duplicateValues" dxfId="360" priority="143365"/>
    <cfRule type="duplicateValues" dxfId="359" priority="143364"/>
    <cfRule type="duplicateValues" dxfId="358" priority="143363"/>
    <cfRule type="duplicateValues" dxfId="357" priority="143362"/>
    <cfRule type="duplicateValues" dxfId="356" priority="143361"/>
    <cfRule type="duplicateValues" dxfId="355" priority="143360"/>
    <cfRule type="duplicateValues" dxfId="354" priority="143359"/>
    <cfRule type="duplicateValues" dxfId="353" priority="143358"/>
    <cfRule type="duplicateValues" dxfId="352" priority="143357"/>
    <cfRule type="duplicateValues" dxfId="351" priority="143356"/>
    <cfRule type="duplicateValues" dxfId="350" priority="143355"/>
    <cfRule type="duplicateValues" dxfId="349" priority="143354"/>
    <cfRule type="duplicateValues" dxfId="348" priority="143353"/>
    <cfRule type="duplicateValues" dxfId="347" priority="143352"/>
    <cfRule type="duplicateValues" dxfId="346" priority="143351"/>
    <cfRule type="duplicateValues" dxfId="345" priority="143350"/>
    <cfRule type="duplicateValues" dxfId="344" priority="143349"/>
    <cfRule type="duplicateValues" dxfId="343" priority="143348"/>
    <cfRule type="duplicateValues" dxfId="342" priority="143347"/>
    <cfRule type="duplicateValues" dxfId="341" priority="142327"/>
    <cfRule type="duplicateValues" dxfId="340" priority="145882"/>
    <cfRule type="duplicateValues" dxfId="339" priority="145883"/>
    <cfRule type="duplicateValues" dxfId="338" priority="145884"/>
    <cfRule type="duplicateValues" dxfId="337" priority="145885"/>
    <cfRule type="duplicateValues" dxfId="336" priority="145886"/>
    <cfRule type="duplicateValues" dxfId="335" priority="145887"/>
    <cfRule type="duplicateValues" dxfId="334" priority="145888"/>
    <cfRule type="duplicateValues" dxfId="333" priority="145889"/>
    <cfRule type="duplicateValues" dxfId="332" priority="145890"/>
    <cfRule type="duplicateValues" dxfId="331" priority="145891"/>
    <cfRule type="duplicateValues" dxfId="330" priority="145892"/>
    <cfRule type="duplicateValues" dxfId="329" priority="145893"/>
    <cfRule type="duplicateValues" dxfId="328" priority="145894"/>
    <cfRule type="duplicateValues" dxfId="327" priority="145895"/>
    <cfRule type="duplicateValues" dxfId="326" priority="145896"/>
    <cfRule type="duplicateValues" dxfId="325" priority="145897"/>
    <cfRule type="duplicateValues" dxfId="324" priority="145898"/>
    <cfRule type="duplicateValues" dxfId="323" priority="145899"/>
    <cfRule type="duplicateValues" dxfId="322" priority="145900"/>
    <cfRule type="duplicateValues" dxfId="321" priority="145901"/>
    <cfRule type="duplicateValues" dxfId="320" priority="145902"/>
    <cfRule type="duplicateValues" dxfId="319" priority="145903"/>
    <cfRule type="duplicateValues" dxfId="318" priority="145904"/>
    <cfRule type="duplicateValues" dxfId="317" priority="145905"/>
    <cfRule type="duplicateValues" dxfId="316" priority="145906"/>
    <cfRule type="duplicateValues" dxfId="315" priority="145907"/>
    <cfRule type="duplicateValues" dxfId="314" priority="145908"/>
    <cfRule type="duplicateValues" dxfId="313" priority="145909"/>
    <cfRule type="duplicateValues" dxfId="312" priority="145910"/>
    <cfRule type="duplicateValues" dxfId="311" priority="145911"/>
    <cfRule type="duplicateValues" dxfId="310" priority="142328"/>
    <cfRule type="duplicateValues" dxfId="309" priority="142329"/>
    <cfRule type="duplicateValues" dxfId="308" priority="142330"/>
    <cfRule type="duplicateValues" dxfId="307" priority="142331"/>
    <cfRule type="duplicateValues" dxfId="306" priority="142332"/>
  </conditionalFormatting>
  <conditionalFormatting sqref="P19:Q19">
    <cfRule type="duplicateValues" dxfId="305" priority="148638"/>
    <cfRule type="duplicateValues" dxfId="304" priority="148639"/>
    <cfRule type="duplicateValues" dxfId="303" priority="148640"/>
    <cfRule type="duplicateValues" dxfId="302" priority="148641"/>
    <cfRule type="duplicateValues" dxfId="301" priority="148642"/>
    <cfRule type="duplicateValues" dxfId="300" priority="148643"/>
    <cfRule type="duplicateValues" dxfId="299" priority="148644"/>
    <cfRule type="duplicateValues" dxfId="298" priority="148645"/>
    <cfRule type="duplicateValues" dxfId="297" priority="148646"/>
    <cfRule type="duplicateValues" dxfId="296" priority="148647"/>
    <cfRule type="duplicateValues" dxfId="295" priority="148648"/>
    <cfRule type="duplicateValues" dxfId="294" priority="148649"/>
    <cfRule type="duplicateValues" dxfId="293" priority="148650"/>
    <cfRule type="duplicateValues" dxfId="292" priority="148651"/>
    <cfRule type="duplicateValues" dxfId="291" priority="148652"/>
    <cfRule type="duplicateValues" dxfId="290" priority="148653"/>
    <cfRule type="duplicateValues" dxfId="289" priority="148654"/>
    <cfRule type="duplicateValues" dxfId="288" priority="148655"/>
    <cfRule type="duplicateValues" dxfId="287" priority="148656"/>
    <cfRule type="duplicateValues" dxfId="286" priority="148657"/>
    <cfRule type="duplicateValues" dxfId="285" priority="148658"/>
    <cfRule type="duplicateValues" dxfId="284" priority="148659"/>
    <cfRule type="duplicateValues" dxfId="283" priority="148660"/>
    <cfRule type="duplicateValues" dxfId="282" priority="148661"/>
    <cfRule type="duplicateValues" dxfId="281" priority="148662"/>
    <cfRule type="duplicateValues" dxfId="280" priority="148663"/>
    <cfRule type="duplicateValues" dxfId="279" priority="148664"/>
    <cfRule type="duplicateValues" dxfId="278" priority="148665"/>
    <cfRule type="duplicateValues" dxfId="277" priority="148666"/>
    <cfRule type="duplicateValues" dxfId="276" priority="148667"/>
    <cfRule type="duplicateValues" dxfId="275" priority="148668"/>
    <cfRule type="duplicateValues" dxfId="274" priority="148669"/>
    <cfRule type="duplicateValues" dxfId="273" priority="148670"/>
    <cfRule type="duplicateValues" dxfId="272" priority="148671"/>
    <cfRule type="duplicateValues" dxfId="271" priority="148672"/>
    <cfRule type="duplicateValues" dxfId="270" priority="148673"/>
    <cfRule type="duplicateValues" dxfId="269" priority="148674"/>
    <cfRule type="duplicateValues" dxfId="268" priority="148675"/>
    <cfRule type="duplicateValues" dxfId="267" priority="148676"/>
    <cfRule type="duplicateValues" dxfId="266" priority="148677"/>
    <cfRule type="duplicateValues" dxfId="265" priority="148678"/>
    <cfRule type="duplicateValues" dxfId="264" priority="148679"/>
    <cfRule type="duplicateValues" dxfId="263" priority="148680"/>
    <cfRule type="duplicateValues" dxfId="262" priority="148681"/>
    <cfRule type="duplicateValues" dxfId="261" priority="148682"/>
    <cfRule type="duplicateValues" dxfId="260" priority="148683"/>
    <cfRule type="duplicateValues" dxfId="259" priority="148684"/>
    <cfRule type="duplicateValues" dxfId="258" priority="148685"/>
    <cfRule type="duplicateValues" dxfId="257" priority="148686"/>
    <cfRule type="duplicateValues" dxfId="256" priority="148687"/>
    <cfRule type="duplicateValues" dxfId="255" priority="148688"/>
    <cfRule type="duplicateValues" dxfId="254" priority="148689"/>
    <cfRule type="duplicateValues" dxfId="253" priority="148690"/>
    <cfRule type="duplicateValues" dxfId="252" priority="148691"/>
    <cfRule type="duplicateValues" dxfId="251" priority="148692"/>
    <cfRule type="duplicateValues" dxfId="250" priority="148693"/>
    <cfRule type="duplicateValues" dxfId="249" priority="148694"/>
    <cfRule type="duplicateValues" dxfId="248" priority="148695"/>
    <cfRule type="duplicateValues" dxfId="247" priority="148696"/>
    <cfRule type="duplicateValues" dxfId="246" priority="148697"/>
    <cfRule type="duplicateValues" dxfId="245" priority="148698"/>
    <cfRule type="duplicateValues" dxfId="244" priority="148699"/>
    <cfRule type="duplicateValues" dxfId="243" priority="148700"/>
    <cfRule type="duplicateValues" dxfId="242" priority="147906"/>
    <cfRule type="duplicateValues" dxfId="241" priority="147907"/>
    <cfRule type="duplicateValues" dxfId="240" priority="147908"/>
    <cfRule type="duplicateValues" dxfId="239" priority="147909"/>
    <cfRule type="duplicateValues" dxfId="238" priority="147910"/>
    <cfRule type="duplicateValues" dxfId="237" priority="147911"/>
    <cfRule type="duplicateValues" dxfId="236" priority="147912"/>
    <cfRule type="duplicateValues" dxfId="235" priority="147913"/>
    <cfRule type="duplicateValues" dxfId="234" priority="147914"/>
    <cfRule type="duplicateValues" dxfId="233" priority="147915"/>
    <cfRule type="duplicateValues" dxfId="232" priority="147916"/>
    <cfRule type="duplicateValues" dxfId="231" priority="147917"/>
    <cfRule type="duplicateValues" dxfId="230" priority="147918"/>
    <cfRule type="duplicateValues" dxfId="229" priority="147919"/>
    <cfRule type="duplicateValues" dxfId="228" priority="147920"/>
    <cfRule type="duplicateValues" dxfId="227" priority="147921"/>
    <cfRule type="duplicateValues" dxfId="226" priority="146070"/>
    <cfRule type="duplicateValues" dxfId="225" priority="146069"/>
    <cfRule type="duplicateValues" dxfId="224" priority="146068"/>
    <cfRule type="duplicateValues" dxfId="223" priority="146067"/>
    <cfRule type="duplicateValues" dxfId="222" priority="146066"/>
    <cfRule type="duplicateValues" dxfId="221" priority="146065"/>
    <cfRule type="duplicateValues" dxfId="220" priority="146064"/>
    <cfRule type="duplicateValues" dxfId="219" priority="146063"/>
    <cfRule type="duplicateValues" dxfId="218" priority="146062"/>
    <cfRule type="duplicateValues" dxfId="217" priority="142395"/>
    <cfRule type="duplicateValues" dxfId="216" priority="142394"/>
    <cfRule type="duplicateValues" dxfId="215" priority="142393"/>
    <cfRule type="duplicateValues" dxfId="214" priority="142392"/>
    <cfRule type="duplicateValues" dxfId="213" priority="142391"/>
    <cfRule type="duplicateValues" dxfId="212" priority="142390"/>
    <cfRule type="duplicateValues" dxfId="211" priority="142389"/>
    <cfRule type="duplicateValues" dxfId="210" priority="142388"/>
    <cfRule type="duplicateValues" dxfId="209" priority="142387"/>
    <cfRule type="duplicateValues" dxfId="208" priority="142386"/>
    <cfRule type="duplicateValues" dxfId="207" priority="142385"/>
    <cfRule type="duplicateValues" dxfId="206" priority="142384"/>
    <cfRule type="duplicateValues" dxfId="205" priority="142383"/>
    <cfRule type="duplicateValues" dxfId="204" priority="142382"/>
    <cfRule type="duplicateValues" dxfId="203" priority="142381"/>
    <cfRule type="duplicateValues" dxfId="202" priority="148637"/>
    <cfRule type="duplicateValues" dxfId="201" priority="147896"/>
    <cfRule type="duplicateValues" dxfId="200" priority="142380"/>
    <cfRule type="duplicateValues" dxfId="199" priority="142379"/>
    <cfRule type="duplicateValues" dxfId="198" priority="142378"/>
    <cfRule type="duplicateValues" dxfId="197" priority="142377"/>
    <cfRule type="duplicateValues" dxfId="196" priority="142376"/>
    <cfRule type="duplicateValues" dxfId="195" priority="142375"/>
    <cfRule type="duplicateValues" dxfId="194" priority="142374"/>
    <cfRule type="duplicateValues" dxfId="193" priority="142373"/>
    <cfRule type="duplicateValues" dxfId="192" priority="142372"/>
    <cfRule type="duplicateValues" dxfId="191" priority="142371"/>
    <cfRule type="duplicateValues" dxfId="190" priority="142370"/>
    <cfRule type="duplicateValues" dxfId="189" priority="142369"/>
    <cfRule type="duplicateValues" dxfId="188" priority="142368"/>
    <cfRule type="duplicateValues" dxfId="187" priority="142367"/>
    <cfRule type="duplicateValues" dxfId="186" priority="142366"/>
    <cfRule type="duplicateValues" dxfId="185" priority="146091"/>
    <cfRule type="duplicateValues" dxfId="184" priority="146090"/>
    <cfRule type="duplicateValues" dxfId="183" priority="146089"/>
    <cfRule type="duplicateValues" dxfId="182" priority="148321"/>
    <cfRule type="duplicateValues" dxfId="181" priority="148322"/>
    <cfRule type="duplicateValues" dxfId="180" priority="148323"/>
    <cfRule type="duplicateValues" dxfId="179" priority="148324"/>
    <cfRule type="duplicateValues" dxfId="178" priority="148325"/>
    <cfRule type="duplicateValues" dxfId="177" priority="148326"/>
    <cfRule type="duplicateValues" dxfId="176" priority="148327"/>
    <cfRule type="duplicateValues" dxfId="175" priority="148328"/>
    <cfRule type="duplicateValues" dxfId="174" priority="148329"/>
    <cfRule type="duplicateValues" dxfId="173" priority="148330"/>
    <cfRule type="duplicateValues" dxfId="172" priority="148331"/>
    <cfRule type="duplicateValues" dxfId="171" priority="148332"/>
    <cfRule type="duplicateValues" dxfId="170" priority="148333"/>
    <cfRule type="duplicateValues" dxfId="169" priority="148334"/>
    <cfRule type="duplicateValues" dxfId="168" priority="148335"/>
    <cfRule type="duplicateValues" dxfId="167" priority="148336"/>
    <cfRule type="duplicateValues" dxfId="166" priority="148337"/>
    <cfRule type="duplicateValues" dxfId="165" priority="148338"/>
    <cfRule type="duplicateValues" dxfId="164" priority="148339"/>
    <cfRule type="duplicateValues" dxfId="163" priority="148340"/>
    <cfRule type="duplicateValues" dxfId="162" priority="148341"/>
    <cfRule type="duplicateValues" dxfId="161" priority="148342"/>
    <cfRule type="duplicateValues" dxfId="160" priority="148343"/>
    <cfRule type="duplicateValues" dxfId="159" priority="148344"/>
    <cfRule type="duplicateValues" dxfId="158" priority="148345"/>
    <cfRule type="duplicateValues" dxfId="157" priority="148346"/>
    <cfRule type="duplicateValues" dxfId="156" priority="148347"/>
    <cfRule type="duplicateValues" dxfId="155" priority="148348"/>
    <cfRule type="duplicateValues" dxfId="154" priority="148349"/>
    <cfRule type="duplicateValues" dxfId="153" priority="148350"/>
    <cfRule type="duplicateValues" dxfId="152" priority="146088"/>
    <cfRule type="duplicateValues" dxfId="151" priority="148521"/>
    <cfRule type="duplicateValues" dxfId="150" priority="148522"/>
    <cfRule type="duplicateValues" dxfId="149" priority="148523"/>
    <cfRule type="duplicateValues" dxfId="148" priority="148524"/>
    <cfRule type="duplicateValues" dxfId="147" priority="148525"/>
    <cfRule type="duplicateValues" dxfId="146" priority="148526"/>
    <cfRule type="duplicateValues" dxfId="145" priority="148527"/>
    <cfRule type="duplicateValues" dxfId="144" priority="148528"/>
    <cfRule type="duplicateValues" dxfId="143" priority="148529"/>
    <cfRule type="duplicateValues" dxfId="142" priority="148530"/>
    <cfRule type="duplicateValues" dxfId="141" priority="148531"/>
    <cfRule type="duplicateValues" dxfId="140" priority="148532"/>
    <cfRule type="duplicateValues" dxfId="139" priority="148533"/>
    <cfRule type="duplicateValues" dxfId="138" priority="148534"/>
    <cfRule type="duplicateValues" dxfId="137" priority="148535"/>
    <cfRule type="duplicateValues" dxfId="136" priority="148536"/>
    <cfRule type="duplicateValues" dxfId="135" priority="148537"/>
    <cfRule type="duplicateValues" dxfId="134" priority="148538"/>
    <cfRule type="duplicateValues" dxfId="133" priority="148539"/>
    <cfRule type="duplicateValues" dxfId="132" priority="148540"/>
    <cfRule type="duplicateValues" dxfId="131" priority="148541"/>
    <cfRule type="duplicateValues" dxfId="130" priority="148542"/>
    <cfRule type="duplicateValues" dxfId="129" priority="148543"/>
    <cfRule type="duplicateValues" dxfId="128" priority="148544"/>
    <cfRule type="duplicateValues" dxfId="127" priority="148545"/>
    <cfRule type="duplicateValues" dxfId="126" priority="148546"/>
    <cfRule type="duplicateValues" dxfId="125" priority="148547"/>
    <cfRule type="duplicateValues" dxfId="124" priority="148548"/>
    <cfRule type="duplicateValues" dxfId="123" priority="148549"/>
    <cfRule type="duplicateValues" dxfId="122" priority="148550"/>
    <cfRule type="duplicateValues" dxfId="121" priority="146087"/>
    <cfRule type="duplicateValues" dxfId="120" priority="146086"/>
    <cfRule type="duplicateValues" dxfId="119" priority="146085"/>
    <cfRule type="duplicateValues" dxfId="118" priority="146084"/>
    <cfRule type="duplicateValues" dxfId="117" priority="146083"/>
    <cfRule type="duplicateValues" dxfId="116" priority="146082"/>
    <cfRule type="duplicateValues" dxfId="115" priority="146081"/>
    <cfRule type="duplicateValues" dxfId="114" priority="146080"/>
    <cfRule type="duplicateValues" dxfId="113" priority="146079"/>
    <cfRule type="duplicateValues" dxfId="112" priority="146078"/>
    <cfRule type="duplicateValues" dxfId="111" priority="146077"/>
    <cfRule type="duplicateValues" dxfId="110" priority="146076"/>
    <cfRule type="duplicateValues" dxfId="109" priority="146075"/>
    <cfRule type="duplicateValues" dxfId="108" priority="146074"/>
    <cfRule type="duplicateValues" dxfId="107" priority="146073"/>
    <cfRule type="duplicateValues" dxfId="106" priority="146072"/>
    <cfRule type="duplicateValues" dxfId="105" priority="147172"/>
    <cfRule type="duplicateValues" dxfId="104" priority="147173"/>
    <cfRule type="duplicateValues" dxfId="103" priority="147174"/>
    <cfRule type="duplicateValues" dxfId="102" priority="147175"/>
    <cfRule type="duplicateValues" dxfId="101" priority="147176"/>
    <cfRule type="duplicateValues" dxfId="100" priority="147177"/>
    <cfRule type="duplicateValues" dxfId="99" priority="147178"/>
    <cfRule type="duplicateValues" dxfId="98" priority="147179"/>
    <cfRule type="duplicateValues" dxfId="97" priority="147180"/>
    <cfRule type="duplicateValues" dxfId="96" priority="147181"/>
    <cfRule type="duplicateValues" dxfId="95" priority="147182"/>
    <cfRule type="duplicateValues" dxfId="94" priority="147183"/>
    <cfRule type="duplicateValues" dxfId="93" priority="147184"/>
    <cfRule type="duplicateValues" dxfId="92" priority="147185"/>
    <cfRule type="duplicateValues" dxfId="91" priority="147186"/>
    <cfRule type="duplicateValues" dxfId="90" priority="147187"/>
    <cfRule type="duplicateValues" dxfId="89" priority="147188"/>
    <cfRule type="duplicateValues" dxfId="88" priority="147189"/>
    <cfRule type="duplicateValues" dxfId="87" priority="147190"/>
    <cfRule type="duplicateValues" dxfId="86" priority="147191"/>
    <cfRule type="duplicateValues" dxfId="85" priority="147192"/>
    <cfRule type="duplicateValues" dxfId="84" priority="147193"/>
    <cfRule type="duplicateValues" dxfId="83" priority="147194"/>
    <cfRule type="duplicateValues" dxfId="82" priority="147195"/>
    <cfRule type="duplicateValues" dxfId="81" priority="147196"/>
    <cfRule type="duplicateValues" dxfId="80" priority="147197"/>
    <cfRule type="duplicateValues" dxfId="79" priority="147198"/>
    <cfRule type="duplicateValues" dxfId="78" priority="147199"/>
    <cfRule type="duplicateValues" dxfId="77" priority="147200"/>
    <cfRule type="duplicateValues" dxfId="76" priority="147201"/>
    <cfRule type="duplicateValues" dxfId="75" priority="147892"/>
    <cfRule type="duplicateValues" dxfId="74" priority="147893"/>
    <cfRule type="duplicateValues" dxfId="73" priority="147894"/>
    <cfRule type="duplicateValues" dxfId="72" priority="147895"/>
    <cfRule type="duplicateValues" dxfId="71" priority="146071"/>
    <cfRule type="duplicateValues" dxfId="70" priority="147897"/>
    <cfRule type="duplicateValues" dxfId="69" priority="147898"/>
    <cfRule type="duplicateValues" dxfId="68" priority="147899"/>
    <cfRule type="duplicateValues" dxfId="67" priority="147900"/>
    <cfRule type="duplicateValues" dxfId="66" priority="147901"/>
    <cfRule type="duplicateValues" dxfId="65" priority="147902"/>
    <cfRule type="duplicateValues" dxfId="64" priority="147903"/>
    <cfRule type="duplicateValues" dxfId="63" priority="147904"/>
    <cfRule type="duplicateValues" dxfId="62" priority="147905"/>
    <cfRule type="duplicateValues" dxfId="61" priority="148611"/>
    <cfRule type="duplicateValues" dxfId="60" priority="148612"/>
    <cfRule type="duplicateValues" dxfId="59" priority="148613"/>
    <cfRule type="duplicateValues" dxfId="58" priority="148614"/>
    <cfRule type="duplicateValues" dxfId="57" priority="148615"/>
    <cfRule type="duplicateValues" dxfId="56" priority="148616"/>
    <cfRule type="duplicateValues" dxfId="55" priority="148617"/>
    <cfRule type="duplicateValues" dxfId="54" priority="148618"/>
    <cfRule type="duplicateValues" dxfId="53" priority="148619"/>
    <cfRule type="duplicateValues" dxfId="52" priority="148620"/>
    <cfRule type="duplicateValues" dxfId="51" priority="148621"/>
    <cfRule type="duplicateValues" dxfId="50" priority="148622"/>
    <cfRule type="duplicateValues" dxfId="49" priority="148623"/>
    <cfRule type="duplicateValues" dxfId="48" priority="148624"/>
    <cfRule type="duplicateValues" dxfId="47" priority="148625"/>
    <cfRule type="duplicateValues" dxfId="46" priority="148626"/>
    <cfRule type="duplicateValues" dxfId="45" priority="148627"/>
    <cfRule type="duplicateValues" dxfId="44" priority="148628"/>
    <cfRule type="duplicateValues" dxfId="43" priority="148629"/>
    <cfRule type="duplicateValues" dxfId="42" priority="148630"/>
    <cfRule type="duplicateValues" dxfId="41" priority="148631"/>
    <cfRule type="duplicateValues" dxfId="40" priority="148632"/>
    <cfRule type="duplicateValues" dxfId="39" priority="148633"/>
    <cfRule type="duplicateValues" dxfId="38" priority="148634"/>
    <cfRule type="duplicateValues" dxfId="37" priority="148635"/>
    <cfRule type="duplicateValues" dxfId="36" priority="148636"/>
  </conditionalFormatting>
  <conditionalFormatting sqref="P20:Q20">
    <cfRule type="duplicateValues" dxfId="35" priority="150064"/>
    <cfRule type="duplicateValues" dxfId="34" priority="150065"/>
    <cfRule type="duplicateValues" dxfId="33" priority="153808"/>
    <cfRule type="duplicateValues" dxfId="32" priority="153809"/>
    <cfRule type="duplicateValues" dxfId="31" priority="153580"/>
    <cfRule type="duplicateValues" dxfId="30" priority="152858"/>
    <cfRule type="duplicateValues" dxfId="29" priority="152702"/>
    <cfRule type="duplicateValues" dxfId="28" priority="152857"/>
    <cfRule type="duplicateValues" dxfId="27" priority="153579"/>
    <cfRule type="duplicateValues" dxfId="26" priority="153784"/>
    <cfRule type="duplicateValues" dxfId="25" priority="153785"/>
    <cfRule type="duplicateValues" dxfId="24" priority="152971"/>
    <cfRule type="duplicateValues" dxfId="23" priority="153657"/>
    <cfRule type="duplicateValues" dxfId="22" priority="154108"/>
    <cfRule type="duplicateValues" dxfId="21" priority="154110"/>
    <cfRule type="duplicateValues" dxfId="20" priority="153658"/>
    <cfRule type="duplicateValues" dxfId="19" priority="152972"/>
    <cfRule type="duplicateValues" dxfId="18" priority="154116"/>
    <cfRule type="duplicateValues" dxfId="17" priority="154118"/>
    <cfRule type="duplicateValues" dxfId="16" priority="154131"/>
    <cfRule type="duplicateValues" dxfId="15" priority="153270"/>
    <cfRule type="duplicateValues" dxfId="14" priority="154133"/>
    <cfRule type="duplicateValues" dxfId="13" priority="153271"/>
    <cfRule type="duplicateValues" dxfId="12" priority="153724"/>
    <cfRule type="duplicateValues" dxfId="11" priority="153725"/>
    <cfRule type="duplicateValues" dxfId="10" priority="151763"/>
    <cfRule type="duplicateValues" dxfId="9" priority="153357"/>
    <cfRule type="duplicateValues" dxfId="8" priority="153358"/>
    <cfRule type="duplicateValues" dxfId="7" priority="151762"/>
    <cfRule type="duplicateValues" dxfId="6" priority="152701"/>
  </conditionalFormatting>
  <conditionalFormatting sqref="P46:Q46">
    <cfRule type="duplicateValues" dxfId="5" priority="154229"/>
    <cfRule type="duplicateValues" dxfId="4" priority="154230"/>
    <cfRule type="duplicateValues" dxfId="3" priority="154231"/>
    <cfRule type="duplicateValues" dxfId="2" priority="154232"/>
  </conditionalFormatting>
  <conditionalFormatting sqref="R9:U12">
    <cfRule type="duplicateValues" dxfId="1" priority="153818"/>
  </conditionalFormatting>
  <conditionalFormatting sqref="R26:U27">
    <cfRule type="duplicateValues" dxfId="0" priority="154787"/>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9"/>
  </sheetPr>
  <dimension ref="A2:R31"/>
  <sheetViews>
    <sheetView zoomScale="80" zoomScaleNormal="80" workbookViewId="0">
      <selection activeCell="AB18" sqref="AB18"/>
    </sheetView>
  </sheetViews>
  <sheetFormatPr defaultRowHeight="15" x14ac:dyDescent="0.25"/>
  <cols>
    <col min="1" max="1" width="28" customWidth="1"/>
    <col min="3" max="4" width="9.140625" customWidth="1"/>
    <col min="5" max="5" width="13.85546875" customWidth="1"/>
    <col min="6" max="6" width="14.42578125" customWidth="1"/>
    <col min="7" max="7" width="13.7109375" customWidth="1"/>
    <col min="8" max="8" width="12.7109375" customWidth="1"/>
    <col min="9" max="9" width="11.42578125" customWidth="1"/>
    <col min="10" max="10" width="13.5703125" customWidth="1"/>
    <col min="11" max="11" width="12.28515625" customWidth="1"/>
    <col min="12" max="12" width="13.85546875" customWidth="1"/>
    <col min="13" max="13" width="18.85546875" customWidth="1"/>
    <col min="14" max="14" width="12.140625" customWidth="1"/>
    <col min="16" max="16" width="12.7109375" customWidth="1"/>
    <col min="17" max="17" width="11.42578125" customWidth="1"/>
  </cols>
  <sheetData>
    <row r="2" spans="1:18" ht="15.75" thickBot="1" x14ac:dyDescent="0.3"/>
    <row r="3" spans="1:18" ht="32.25" customHeight="1" x14ac:dyDescent="0.4">
      <c r="A3" s="28" t="s">
        <v>6328</v>
      </c>
      <c r="B3" s="28" t="s">
        <v>6329</v>
      </c>
      <c r="E3" s="418" t="str">
        <f ca="1">'Final List'!A1</f>
        <v>ACTIVE WORKINGPLACES JUNE 2026</v>
      </c>
      <c r="F3" s="419"/>
      <c r="G3" s="419"/>
      <c r="H3" s="419"/>
      <c r="I3" s="419"/>
      <c r="J3" s="419"/>
      <c r="K3" s="419"/>
      <c r="L3" s="419"/>
      <c r="M3" s="419"/>
      <c r="N3" s="419"/>
      <c r="O3" s="420"/>
    </row>
    <row r="4" spans="1:18" x14ac:dyDescent="0.25">
      <c r="A4" s="1" t="s">
        <v>6330</v>
      </c>
      <c r="B4" s="28">
        <f>I19-COUNTIF('Final List'!$H$14:$H$220,"*ISL*")</f>
        <v>20</v>
      </c>
      <c r="E4" s="39"/>
      <c r="O4" s="40"/>
    </row>
    <row r="5" spans="1:18" ht="15.75" thickBot="1" x14ac:dyDescent="0.3">
      <c r="A5" s="1" t="s">
        <v>6331</v>
      </c>
      <c r="B5" s="28">
        <f>L19</f>
        <v>7</v>
      </c>
      <c r="E5" s="39"/>
      <c r="O5" s="40"/>
    </row>
    <row r="6" spans="1:18" ht="16.5" thickBot="1" x14ac:dyDescent="0.3">
      <c r="A6" s="1" t="s">
        <v>6332</v>
      </c>
      <c r="B6" s="28">
        <f>COUNTIF('Final List'!$H$14:$H$220,"*ISL*")</f>
        <v>4</v>
      </c>
      <c r="E6" s="36" t="s">
        <v>440</v>
      </c>
      <c r="F6" s="37" t="s">
        <v>211</v>
      </c>
      <c r="G6" s="37" t="s">
        <v>23</v>
      </c>
      <c r="H6" s="37" t="s">
        <v>438</v>
      </c>
      <c r="I6" s="37" t="s">
        <v>18</v>
      </c>
      <c r="J6" s="37" t="s">
        <v>19</v>
      </c>
      <c r="K6" s="37" t="s">
        <v>20</v>
      </c>
      <c r="L6" s="37" t="s">
        <v>21</v>
      </c>
      <c r="M6" s="37" t="s">
        <v>22</v>
      </c>
      <c r="N6" s="44" t="s">
        <v>62</v>
      </c>
      <c r="O6" s="34" t="s">
        <v>439</v>
      </c>
      <c r="P6" s="284" t="s">
        <v>2708</v>
      </c>
      <c r="Q6" s="284" t="s">
        <v>9329</v>
      </c>
      <c r="R6" s="284" t="s">
        <v>2707</v>
      </c>
    </row>
    <row r="7" spans="1:18" ht="16.5" thickBot="1" x14ac:dyDescent="0.3">
      <c r="A7" s="1" t="s">
        <v>6333</v>
      </c>
      <c r="B7" s="28">
        <f>'Final List'!B252-COUNTIF('Final List'!B14:B192,"*WINZE*")</f>
        <v>7</v>
      </c>
      <c r="E7" s="33" t="s">
        <v>8904</v>
      </c>
      <c r="F7" s="35">
        <f>CONTROLLER!P4</f>
        <v>0</v>
      </c>
      <c r="G7" s="35">
        <f>CONTROLLER!Q4</f>
        <v>0</v>
      </c>
      <c r="H7" s="35">
        <f>CONTROLLER!R4</f>
        <v>0</v>
      </c>
      <c r="I7" s="35">
        <f>CONTROLLER!S4</f>
        <v>0</v>
      </c>
      <c r="J7" s="35">
        <f>CONTROLLER!T4</f>
        <v>0</v>
      </c>
      <c r="K7" s="35">
        <f>CONTROLLER!U4</f>
        <v>0</v>
      </c>
      <c r="L7" s="35">
        <f>CONTROLLER!V4</f>
        <v>0</v>
      </c>
      <c r="M7" s="35">
        <f>CONTROLLER!W4</f>
        <v>1</v>
      </c>
      <c r="N7" s="35">
        <f>CONTROLLER!X4</f>
        <v>1</v>
      </c>
      <c r="O7" s="38">
        <f t="shared" ref="O7:O17" si="0">SUM(F7:N7)</f>
        <v>2</v>
      </c>
      <c r="P7" s="285">
        <f>COUNTIFS('Final List'!$H$14:$H$191,"*ISL*",'Final List'!$H$14:$H$191,"*L03*")</f>
        <v>0</v>
      </c>
      <c r="Q7" s="286">
        <f>COUNTIFS('Final List'!$AC$4:$AC$252,"RobC 80",'Final List'!$P$4:$P$252,"*L03*")</f>
        <v>0</v>
      </c>
      <c r="R7" s="35">
        <f>N7-Q7</f>
        <v>1</v>
      </c>
    </row>
    <row r="8" spans="1:18" ht="15.75" customHeight="1" thickBot="1" x14ac:dyDescent="0.3">
      <c r="A8" s="1" t="s">
        <v>6334</v>
      </c>
      <c r="B8" s="28">
        <f>'Final List'!D252-COUNTIF('Final List'!D14:D220,"*WINZE*")</f>
        <v>20</v>
      </c>
      <c r="E8" s="33" t="s">
        <v>91</v>
      </c>
      <c r="F8" s="35">
        <f>CONTROLLER!P5</f>
        <v>0</v>
      </c>
      <c r="G8" s="35">
        <f>CONTROLLER!Q5</f>
        <v>0</v>
      </c>
      <c r="H8" s="35">
        <f>CONTROLLER!R5</f>
        <v>0</v>
      </c>
      <c r="I8" s="35">
        <f>CONTROLLER!S5</f>
        <v>0</v>
      </c>
      <c r="J8" s="35">
        <f>CONTROLLER!T5</f>
        <v>0</v>
      </c>
      <c r="K8" s="35">
        <f>CONTROLLER!U5</f>
        <v>0</v>
      </c>
      <c r="L8" s="35">
        <f>CONTROLLER!V5</f>
        <v>0</v>
      </c>
      <c r="M8" s="35">
        <f>CONTROLLER!W5</f>
        <v>0</v>
      </c>
      <c r="N8" s="35">
        <f>CONTROLLER!X5</f>
        <v>0</v>
      </c>
      <c r="O8" s="38">
        <f t="shared" si="0"/>
        <v>0</v>
      </c>
      <c r="P8" s="287">
        <f>COUNTIFS('Final List'!$H$14:$H$191,"*ISL*",'Final List'!$H$14:$H$191,"*L04*")</f>
        <v>0</v>
      </c>
      <c r="Q8" s="286">
        <f>COUNTIFS('Final List'!$AC$4:$AC$252,"RobC 80",'Final List'!$P$4:$P$252,"*L04*")</f>
        <v>0</v>
      </c>
      <c r="R8" s="35">
        <f t="shared" ref="R8:R16" si="1">N8-Q8</f>
        <v>0</v>
      </c>
    </row>
    <row r="9" spans="1:18" ht="16.5" thickBot="1" x14ac:dyDescent="0.3">
      <c r="A9" s="1" t="s">
        <v>6335</v>
      </c>
      <c r="B9" s="28">
        <f>'Final List'!F252-COUNTIF('Final List'!F14:F220,"*WINZE*")</f>
        <v>2</v>
      </c>
      <c r="E9" s="33" t="s">
        <v>92</v>
      </c>
      <c r="F9" s="35">
        <f>CONTROLLER!P6</f>
        <v>0</v>
      </c>
      <c r="G9" s="35">
        <f>CONTROLLER!Q6</f>
        <v>0</v>
      </c>
      <c r="H9" s="35">
        <f>CONTROLLER!R6</f>
        <v>0</v>
      </c>
      <c r="I9" s="35">
        <f>CONTROLLER!S6</f>
        <v>0</v>
      </c>
      <c r="J9" s="35">
        <f>CONTROLLER!T6</f>
        <v>0</v>
      </c>
      <c r="K9" s="35">
        <f>CONTROLLER!U6</f>
        <v>0</v>
      </c>
      <c r="L9" s="35">
        <f>CONTROLLER!V6</f>
        <v>0</v>
      </c>
      <c r="M9" s="35">
        <f>CONTROLLER!W6</f>
        <v>0</v>
      </c>
      <c r="N9" s="35">
        <f>CONTROLLER!X6</f>
        <v>0</v>
      </c>
      <c r="O9" s="38">
        <f t="shared" si="0"/>
        <v>0</v>
      </c>
      <c r="P9" s="35">
        <f>COUNTIFS('Final List'!$H$14:$H$191,"*ISL*",'Final List'!$H$14:$H$191,"*L05*")</f>
        <v>0</v>
      </c>
      <c r="Q9" s="35">
        <f>COUNTIFS('Final List'!$AC$4:$AC$252,"RobC 80",'Final List'!$P$4:$P$252,"*L05*")</f>
        <v>0</v>
      </c>
      <c r="R9" s="35">
        <f t="shared" si="1"/>
        <v>0</v>
      </c>
    </row>
    <row r="10" spans="1:18" ht="16.5" thickBot="1" x14ac:dyDescent="0.3">
      <c r="A10" s="1" t="s">
        <v>6336</v>
      </c>
      <c r="B10" s="28">
        <f>COUNTIF('Final List'!B14:B220,"*WINZE*")</f>
        <v>1</v>
      </c>
      <c r="E10" s="33" t="s">
        <v>93</v>
      </c>
      <c r="F10" s="35">
        <f>CONTROLLER!P7</f>
        <v>0</v>
      </c>
      <c r="G10" s="35">
        <f>CONTROLLER!Q7</f>
        <v>0</v>
      </c>
      <c r="H10" s="35">
        <f>CONTROLLER!R7</f>
        <v>0</v>
      </c>
      <c r="I10" s="35">
        <f>CONTROLLER!S7</f>
        <v>0</v>
      </c>
      <c r="J10" s="35">
        <f>CONTROLLER!T7</f>
        <v>0</v>
      </c>
      <c r="K10" s="35">
        <f>CONTROLLER!U7</f>
        <v>0</v>
      </c>
      <c r="L10" s="35">
        <f>CONTROLLER!V7</f>
        <v>0</v>
      </c>
      <c r="M10" s="35">
        <f>CONTROLLER!W7</f>
        <v>0</v>
      </c>
      <c r="N10" s="35">
        <f>CONTROLLER!X7</f>
        <v>0</v>
      </c>
      <c r="O10" s="38">
        <f t="shared" si="0"/>
        <v>0</v>
      </c>
      <c r="P10" s="35">
        <f>COUNTIFS('Final List'!$H$14:$H$191,"*ISL*",'Final List'!$H$14:$H$191,"*L06*")</f>
        <v>0</v>
      </c>
      <c r="Q10" s="35">
        <f>COUNTIFS('Final List'!$AC$4:$AC$252,"RobC 80",'Final List'!$P$4:$P$252,"*L06*")</f>
        <v>0</v>
      </c>
      <c r="R10" s="35">
        <f t="shared" si="1"/>
        <v>0</v>
      </c>
    </row>
    <row r="11" spans="1:18" ht="16.5" thickBot="1" x14ac:dyDescent="0.3">
      <c r="A11" s="1" t="s">
        <v>6337</v>
      </c>
      <c r="B11" s="28">
        <f>COUNTIF('Final List'!D14:D220,"*WINZE*")</f>
        <v>4</v>
      </c>
      <c r="E11" s="33" t="s">
        <v>94</v>
      </c>
      <c r="F11" s="35">
        <f>CONTROLLER!P8</f>
        <v>0</v>
      </c>
      <c r="G11" s="35">
        <f>CONTROLLER!Q8</f>
        <v>0</v>
      </c>
      <c r="H11" s="35">
        <f>CONTROLLER!R8</f>
        <v>0</v>
      </c>
      <c r="I11" s="35">
        <f>CONTROLLER!S8</f>
        <v>0</v>
      </c>
      <c r="J11" s="35">
        <f>CONTROLLER!T8</f>
        <v>0</v>
      </c>
      <c r="K11" s="35">
        <f>CONTROLLER!U8</f>
        <v>0</v>
      </c>
      <c r="L11" s="35">
        <f>CONTROLLER!V8</f>
        <v>0</v>
      </c>
      <c r="M11" s="35">
        <f>CONTROLLER!W8</f>
        <v>1</v>
      </c>
      <c r="N11" s="35">
        <f>CONTROLLER!X8</f>
        <v>0</v>
      </c>
      <c r="O11" s="38">
        <f t="shared" si="0"/>
        <v>1</v>
      </c>
      <c r="P11" s="35">
        <f>COUNTIFS('Final List'!$H$14:$H$191,"*ISL*",'Final List'!$H$14:$H$191,"*L07*")</f>
        <v>0</v>
      </c>
      <c r="Q11" s="35">
        <f>COUNTIFS('Final List'!$AC$4:$AC$252,"RobC 80",'Final List'!$P$4:$P$252,"*L07*")</f>
        <v>0</v>
      </c>
      <c r="R11" s="35">
        <f t="shared" si="1"/>
        <v>0</v>
      </c>
    </row>
    <row r="12" spans="1:18" ht="16.5" thickBot="1" x14ac:dyDescent="0.3">
      <c r="A12" s="1" t="s">
        <v>6338</v>
      </c>
      <c r="B12" s="28">
        <f>COUNTIF('Final List'!F14:F220,"*WINZE*")</f>
        <v>0</v>
      </c>
      <c r="E12" s="33" t="s">
        <v>95</v>
      </c>
      <c r="F12" s="35">
        <f>CONTROLLER!P9</f>
        <v>3</v>
      </c>
      <c r="G12" s="35">
        <f>CONTROLLER!Q9</f>
        <v>3</v>
      </c>
      <c r="H12" s="35">
        <f>CONTROLLER!R9</f>
        <v>0</v>
      </c>
      <c r="I12" s="35">
        <f>CONTROLLER!S9</f>
        <v>1</v>
      </c>
      <c r="J12" s="35">
        <f>CONTROLLER!T9</f>
        <v>0</v>
      </c>
      <c r="K12" s="35">
        <f>CONTROLLER!U9</f>
        <v>2</v>
      </c>
      <c r="L12" s="35">
        <f>CONTROLLER!V9</f>
        <v>1</v>
      </c>
      <c r="M12" s="35">
        <f>CONTROLLER!W9</f>
        <v>3</v>
      </c>
      <c r="N12" s="35">
        <f>CONTROLLER!X9</f>
        <v>5</v>
      </c>
      <c r="O12" s="38">
        <f t="shared" si="0"/>
        <v>18</v>
      </c>
      <c r="P12" s="35">
        <f>COUNTIFS('Final List'!$H$14:$H$191,"*ISL*",'Final List'!$H$14:$H$191,"*L08*")</f>
        <v>1</v>
      </c>
      <c r="Q12" s="35">
        <f>COUNTIFS('Final List'!$AC$4:$AC$252,"RobC 80",'Final List'!$P$4:$P$252,"L08*")</f>
        <v>1</v>
      </c>
      <c r="R12" s="35">
        <f t="shared" si="1"/>
        <v>4</v>
      </c>
    </row>
    <row r="13" spans="1:18" ht="16.5" thickBot="1" x14ac:dyDescent="0.3">
      <c r="A13" s="1" t="s">
        <v>6339</v>
      </c>
      <c r="B13" s="28">
        <f>J19+COUNTIF('Final List'!$J$14:$J$220,"*NR*")-COUNTIF('Final List'!$J$14:$J$220,"*ISL*")</f>
        <v>9</v>
      </c>
      <c r="E13" s="33" t="s">
        <v>96</v>
      </c>
      <c r="F13" s="35">
        <f>CONTROLLER!P10</f>
        <v>0</v>
      </c>
      <c r="G13" s="35">
        <f>CONTROLLER!Q10</f>
        <v>1</v>
      </c>
      <c r="H13" s="35">
        <f>CONTROLLER!R10</f>
        <v>0</v>
      </c>
      <c r="I13" s="35">
        <f>CONTROLLER!S10</f>
        <v>2</v>
      </c>
      <c r="J13" s="35">
        <f>CONTROLLER!T10</f>
        <v>0</v>
      </c>
      <c r="K13" s="35">
        <f>CONTROLLER!U10</f>
        <v>0</v>
      </c>
      <c r="L13" s="35">
        <f>CONTROLLER!V10</f>
        <v>0</v>
      </c>
      <c r="M13" s="35">
        <f>CONTROLLER!W10</f>
        <v>1</v>
      </c>
      <c r="N13" s="35">
        <f>CONTROLLER!X10</f>
        <v>7</v>
      </c>
      <c r="O13" s="38">
        <f t="shared" si="0"/>
        <v>11</v>
      </c>
      <c r="P13" s="35">
        <f>COUNTIFS('Final List'!$H$14:$H$191,"*ISL*",'Final List'!$H$14:$H$191,"*L09*")</f>
        <v>2</v>
      </c>
      <c r="Q13" s="35">
        <f>COUNTIFS('Final List'!$AC$4:$AC$252,"RobC 80",'Final List'!$P$4:$P$252,"*L09*")</f>
        <v>1</v>
      </c>
      <c r="R13" s="35">
        <f>N13-Q13</f>
        <v>6</v>
      </c>
    </row>
    <row r="14" spans="1:18" ht="16.5" thickBot="1" x14ac:dyDescent="0.3">
      <c r="A14" s="1" t="s">
        <v>6473</v>
      </c>
      <c r="B14" s="28">
        <f>COUNTIF('Final List'!$J$14:$J$220,"*ISL*")</f>
        <v>0</v>
      </c>
      <c r="E14" s="33" t="s">
        <v>258</v>
      </c>
      <c r="F14" s="35">
        <f>CONTROLLER!P11</f>
        <v>0</v>
      </c>
      <c r="G14" s="35">
        <f>CONTROLLER!Q11</f>
        <v>3</v>
      </c>
      <c r="H14" s="35">
        <f>CONTROLLER!R11</f>
        <v>0</v>
      </c>
      <c r="I14" s="35">
        <f>CONTROLLER!S11</f>
        <v>1</v>
      </c>
      <c r="J14" s="35">
        <f>CONTROLLER!T11</f>
        <v>0</v>
      </c>
      <c r="K14" s="35">
        <f>CONTROLLER!U11</f>
        <v>0</v>
      </c>
      <c r="L14" s="35">
        <f>CONTROLLER!V11</f>
        <v>1</v>
      </c>
      <c r="M14" s="35">
        <f>CONTROLLER!W11</f>
        <v>1</v>
      </c>
      <c r="N14" s="35">
        <f>CONTROLLER!X11</f>
        <v>1</v>
      </c>
      <c r="O14" s="38">
        <f t="shared" si="0"/>
        <v>7</v>
      </c>
      <c r="P14" s="35">
        <f>COUNTIFS('Final List'!$H$14:$H$191,"*ISL*",'Final List'!$H$14:$H$191,"*L10*")</f>
        <v>0</v>
      </c>
      <c r="Q14" s="35">
        <f>COUNTIFS('Final List'!$AC$4:$AC$252,"RobC 80",'Final List'!$P$4:$P$252,"*L10*")</f>
        <v>0</v>
      </c>
      <c r="R14" s="35">
        <f t="shared" si="1"/>
        <v>1</v>
      </c>
    </row>
    <row r="15" spans="1:18" ht="16.5" thickBot="1" x14ac:dyDescent="0.3">
      <c r="A15" s="1" t="s">
        <v>6340</v>
      </c>
      <c r="B15" s="28">
        <f>K19</f>
        <v>7</v>
      </c>
      <c r="E15" s="33" t="s">
        <v>1166</v>
      </c>
      <c r="F15" s="35">
        <f>CONTROLLER!P12</f>
        <v>0</v>
      </c>
      <c r="G15" s="35">
        <f>CONTROLLER!Q12</f>
        <v>6</v>
      </c>
      <c r="H15" s="35">
        <f>CONTROLLER!R12</f>
        <v>0</v>
      </c>
      <c r="I15" s="35">
        <f>CONTROLLER!S12</f>
        <v>5</v>
      </c>
      <c r="J15" s="35">
        <f>CONTROLLER!T12</f>
        <v>2</v>
      </c>
      <c r="K15" s="35">
        <f>CONTROLLER!U12</f>
        <v>3</v>
      </c>
      <c r="L15" s="35">
        <f>CONTROLLER!V12</f>
        <v>0</v>
      </c>
      <c r="M15" s="35">
        <f>CONTROLLER!W12</f>
        <v>0</v>
      </c>
      <c r="N15" s="35">
        <f>CONTROLLER!X12</f>
        <v>0</v>
      </c>
      <c r="O15" s="38">
        <f t="shared" si="0"/>
        <v>16</v>
      </c>
      <c r="P15" s="35">
        <f>COUNTIFS('Final List'!$H$14:$H$191,"*ISL*",'Final List'!$H$14:$H$191,"*L11*")</f>
        <v>0</v>
      </c>
      <c r="Q15" s="35">
        <f>COUNTIFS('Final List'!$AC$4:$AC$252,"RobC 80",'Final List'!$P$4:$P$252,"*L11*")</f>
        <v>0</v>
      </c>
      <c r="R15" s="35">
        <f t="shared" si="1"/>
        <v>0</v>
      </c>
    </row>
    <row r="16" spans="1:18" ht="16.5" thickBot="1" x14ac:dyDescent="0.3">
      <c r="A16" s="1" t="s">
        <v>6341</v>
      </c>
      <c r="B16" s="28">
        <f>COUNTIF('Final List'!$AC$4:$AC$220,"RobS 79")</f>
        <v>12</v>
      </c>
      <c r="E16" s="33" t="s">
        <v>1167</v>
      </c>
      <c r="F16" s="35">
        <f>CONTROLLER!P13</f>
        <v>3</v>
      </c>
      <c r="G16" s="35">
        <f>CONTROLLER!Q13</f>
        <v>4</v>
      </c>
      <c r="H16" s="35">
        <f>CONTROLLER!R13</f>
        <v>0</v>
      </c>
      <c r="I16" s="35">
        <f>CONTROLLER!S13</f>
        <v>4</v>
      </c>
      <c r="J16" s="35">
        <f>CONTROLLER!T13</f>
        <v>1</v>
      </c>
      <c r="K16" s="35">
        <f>CONTROLLER!U13</f>
        <v>0</v>
      </c>
      <c r="L16" s="35">
        <f>CONTROLLER!V13</f>
        <v>1</v>
      </c>
      <c r="M16" s="35">
        <f>CONTROLLER!W13</f>
        <v>1</v>
      </c>
      <c r="N16" s="35">
        <f>CONTROLLER!X13</f>
        <v>0</v>
      </c>
      <c r="O16" s="38">
        <f t="shared" si="0"/>
        <v>14</v>
      </c>
      <c r="P16" s="35">
        <f>COUNTIFS('Final List'!$H$14:$H$191,"*ISL*",'Final List'!$H$14:$H$191,"*L12*")</f>
        <v>1</v>
      </c>
      <c r="Q16" s="35">
        <f>COUNTIFS('Final List'!$AC$4:$AC$252,"RobC 80",'Final List'!$P$4:$P$252,"*L12*")</f>
        <v>0</v>
      </c>
      <c r="R16" s="35">
        <f t="shared" si="1"/>
        <v>0</v>
      </c>
    </row>
    <row r="17" spans="1:18" ht="16.5" thickBot="1" x14ac:dyDescent="0.3">
      <c r="A17" s="1" t="s">
        <v>6342</v>
      </c>
      <c r="B17" s="28">
        <f>COUNTIF('Final List'!$AC$5:$AC$221,"RobC 80")</f>
        <v>2</v>
      </c>
      <c r="E17" s="33" t="s">
        <v>12320</v>
      </c>
      <c r="F17" s="35">
        <f>CONTROLLER!P14</f>
        <v>2</v>
      </c>
      <c r="G17" s="35">
        <f>CONTROLLER!Q14</f>
        <v>7</v>
      </c>
      <c r="H17" s="35">
        <f>CONTROLLER!R14</f>
        <v>2</v>
      </c>
      <c r="I17" s="35">
        <f>CONTROLLER!S14</f>
        <v>6</v>
      </c>
      <c r="J17" s="35">
        <f>CONTROLLER!T14</f>
        <v>5</v>
      </c>
      <c r="K17" s="35">
        <f>CONTROLLER!U14</f>
        <v>2</v>
      </c>
      <c r="L17" s="35">
        <f>CONTROLLER!V14</f>
        <v>2</v>
      </c>
      <c r="M17" s="35">
        <f>CONTROLLER!W14</f>
        <v>0</v>
      </c>
      <c r="N17" s="35">
        <f>CONTROLLER!X14</f>
        <v>0</v>
      </c>
      <c r="O17" s="38">
        <f t="shared" si="0"/>
        <v>26</v>
      </c>
      <c r="P17" s="35">
        <f>COUNTIFS('Final List'!$H$14:$H$191,"*ISL*",'Final List'!$H$14:$H$191,"*L425*")</f>
        <v>0</v>
      </c>
      <c r="Q17" s="35">
        <f>COUNTIFS('Final List'!$AC$4:$AC$252,"RobC 80",'Final List'!$P$4:$P$252,"*L425*")</f>
        <v>0</v>
      </c>
      <c r="R17" s="35">
        <f>N17-Q17</f>
        <v>0</v>
      </c>
    </row>
    <row r="18" spans="1:18" ht="16.5" thickBot="1" x14ac:dyDescent="0.3">
      <c r="A18" s="1" t="s">
        <v>6343</v>
      </c>
      <c r="B18" s="28">
        <f>COUNTIF('Final List'!$AC$4:$AC$250,"Dhoz 71")+COUNTIF('Final List'!$AC$4:$AC$250,"DVR 72")+COUNTIF('Final List'!$AC$4:$AC$250,"DVS 75")+COUNTIF('Final List'!$AC$4:$AC$250,"DVA 73")+COUNTIF('Final List'!$AC$4:$AC$250,"DVW 74")</f>
        <v>8</v>
      </c>
      <c r="E18" s="33" t="s">
        <v>14095</v>
      </c>
      <c r="F18" s="35">
        <f>CONTROLLER!P15</f>
        <v>0</v>
      </c>
      <c r="G18" s="35">
        <f>CONTROLLER!Q15</f>
        <v>0</v>
      </c>
      <c r="H18" s="35">
        <f>CONTROLLER!R15</f>
        <v>0</v>
      </c>
      <c r="I18" s="35">
        <f>CONTROLLER!S15</f>
        <v>5</v>
      </c>
      <c r="J18" s="35">
        <f>CONTROLLER!T15</f>
        <v>1</v>
      </c>
      <c r="K18" s="35">
        <f>CONTROLLER!U15</f>
        <v>0</v>
      </c>
      <c r="L18" s="35">
        <f>CONTROLLER!V15</f>
        <v>2</v>
      </c>
      <c r="M18" s="35">
        <f>CONTROLLER!W15</f>
        <v>0</v>
      </c>
      <c r="N18" s="35">
        <f>CONTROLLER!X15</f>
        <v>0</v>
      </c>
      <c r="O18" s="38">
        <f>SUM(F18:N18)</f>
        <v>8</v>
      </c>
      <c r="P18" s="35">
        <f>COUNTIFS('Final List'!$H$14:$H$191,"*ISL*",'Final List'!$H$14:$H$191,"*L425*")</f>
        <v>0</v>
      </c>
      <c r="Q18" s="35">
        <f>COUNTIFS('Final List'!$AC$4:$AC$252,"RobC 80",'Final List'!$P$4:$P$252,"*L425*")</f>
        <v>0</v>
      </c>
      <c r="R18" s="35">
        <f>N18-Q18</f>
        <v>0</v>
      </c>
    </row>
    <row r="19" spans="1:18" ht="16.5" thickBot="1" x14ac:dyDescent="0.3">
      <c r="A19" s="11" t="s">
        <v>509</v>
      </c>
      <c r="B19" s="28">
        <f>IF(SUM(B4:B18)=O19,SUM(B4:B18),"CHECK")</f>
        <v>103</v>
      </c>
      <c r="E19" s="38" t="s">
        <v>439</v>
      </c>
      <c r="F19" s="38">
        <f>SUM(F7:F18)</f>
        <v>8</v>
      </c>
      <c r="G19" s="38">
        <f>SUM(G7:G18)</f>
        <v>24</v>
      </c>
      <c r="H19" s="38">
        <f>SUM(H7:H18)</f>
        <v>2</v>
      </c>
      <c r="I19" s="38">
        <f>SUM(I7:I18)</f>
        <v>24</v>
      </c>
      <c r="J19" s="38">
        <f>SUM(J7:J18)</f>
        <v>9</v>
      </c>
      <c r="K19" s="38">
        <f t="shared" ref="K19:R19" si="2">SUM(K7:K18)</f>
        <v>7</v>
      </c>
      <c r="L19" s="38">
        <f t="shared" si="2"/>
        <v>7</v>
      </c>
      <c r="M19" s="38">
        <f>SUM(M7:M18)</f>
        <v>8</v>
      </c>
      <c r="N19" s="38">
        <f t="shared" si="2"/>
        <v>14</v>
      </c>
      <c r="O19" s="35">
        <f t="shared" si="2"/>
        <v>103</v>
      </c>
      <c r="P19" s="38">
        <f t="shared" si="2"/>
        <v>4</v>
      </c>
      <c r="Q19" s="38">
        <f t="shared" si="2"/>
        <v>2</v>
      </c>
      <c r="R19" s="38">
        <f t="shared" si="2"/>
        <v>12</v>
      </c>
    </row>
    <row r="20" spans="1:18" ht="15.75" thickBot="1" x14ac:dyDescent="0.3">
      <c r="E20" s="39"/>
      <c r="L20" s="19"/>
      <c r="O20" s="40"/>
    </row>
    <row r="21" spans="1:18" ht="24" thickBot="1" x14ac:dyDescent="0.4">
      <c r="E21" s="41" t="s">
        <v>14</v>
      </c>
      <c r="F21" s="83">
        <f>SUM(F19:N19)</f>
        <v>103</v>
      </c>
      <c r="G21" s="42"/>
      <c r="H21" s="42"/>
      <c r="I21" s="42"/>
      <c r="J21" s="42"/>
      <c r="K21" s="42"/>
      <c r="L21" s="42"/>
      <c r="M21" s="42" t="s">
        <v>396</v>
      </c>
      <c r="N21" s="42"/>
      <c r="O21" s="43"/>
    </row>
    <row r="24" spans="1:18" ht="15.75" thickBot="1" x14ac:dyDescent="0.3">
      <c r="E24" s="170" t="s">
        <v>6162</v>
      </c>
      <c r="F24" s="170"/>
      <c r="G24" s="170"/>
      <c r="H24" s="170"/>
      <c r="I24" s="170"/>
      <c r="J24" s="170"/>
      <c r="K24" s="170"/>
      <c r="L24" s="170"/>
      <c r="M24" s="170"/>
      <c r="N24" s="170"/>
      <c r="O24" s="170"/>
      <c r="P24" s="170"/>
    </row>
    <row r="25" spans="1:18" ht="36" x14ac:dyDescent="0.25">
      <c r="E25" s="171" t="s">
        <v>6163</v>
      </c>
      <c r="F25" s="171" t="s">
        <v>211</v>
      </c>
      <c r="G25" s="171" t="s">
        <v>250</v>
      </c>
      <c r="H25" s="171" t="s">
        <v>1184</v>
      </c>
      <c r="I25" s="359" t="s">
        <v>221</v>
      </c>
      <c r="J25" s="359" t="s">
        <v>18</v>
      </c>
      <c r="K25" s="171" t="s">
        <v>19</v>
      </c>
      <c r="L25" s="172" t="s">
        <v>20</v>
      </c>
      <c r="M25" s="172" t="s">
        <v>6164</v>
      </c>
      <c r="N25" s="171" t="s">
        <v>6165</v>
      </c>
      <c r="O25" s="171" t="s">
        <v>6166</v>
      </c>
      <c r="P25" s="171" t="s">
        <v>6167</v>
      </c>
    </row>
    <row r="26" spans="1:18" x14ac:dyDescent="0.25">
      <c r="E26" s="1" t="str">
        <f ca="1">RIGHT(E3,9)</f>
        <v>JUNE 2026</v>
      </c>
      <c r="F26" s="27">
        <f>'Final List'!B252-COUNTIF('Final List'!B4:B250,"PREP")</f>
        <v>8</v>
      </c>
      <c r="G26" s="27">
        <f>'Final List'!D252-COUNTIF('Final List'!D4:D250,"*WINZE*")+COUNTIF('Final List'!$AC$4:$AC$250,"RobS 79")</f>
        <v>32</v>
      </c>
      <c r="H26" s="27">
        <f>'Final List'!F252-COUNTIF('Final List'!F4:F250,"STOPE")</f>
        <v>2</v>
      </c>
      <c r="I26" s="81">
        <f>COUNTIF('Final List'!D4:D252,"*WINZE*")+COUNTIF('Final List'!$H$4:$H$250,"*ISL*")+COUNTIF('Final List'!$AC$4:$AC$250,"RobC 80")+COUNTIF('Final List'!$J$4:$J$250,"*ISL*")</f>
        <v>10</v>
      </c>
      <c r="J26" s="81">
        <f>I19+L19-COUNTIF('Final List'!$H$4:$H$252,"*ISL*")+COUNTIF('Final List'!$AC$4:$AC$252,"Dhoz 71")</f>
        <v>32</v>
      </c>
      <c r="K26" s="27">
        <f>J19+COUNTIF('Final List'!$AC$4:$AC$252,"DVR 72")-COUNTIF('Final List'!$J$4:$J$252,"*ISL*")</f>
        <v>9</v>
      </c>
      <c r="L26" s="27">
        <f>K19+COUNTIF('Final List'!$AC$4:$AC$250,"DVS 75")+COUNTIF('Final List'!$AC$4:$AC$250,"DVW 74")</f>
        <v>7</v>
      </c>
      <c r="M26" s="27"/>
      <c r="N26" s="27" t="s">
        <v>47</v>
      </c>
      <c r="O26" s="173">
        <f t="array" ref="O26:O28">'LEVEL QUOTA'!W18:W20</f>
        <v>0.51006220519396928</v>
      </c>
      <c r="P26" s="27" t="str">
        <f>IF(F21=SUM(F26:L26),F21,"Check")</f>
        <v>Check</v>
      </c>
    </row>
    <row r="27" spans="1:18" x14ac:dyDescent="0.25">
      <c r="O27" s="174">
        <v>0</v>
      </c>
      <c r="P27" s="174"/>
    </row>
    <row r="28" spans="1:18" x14ac:dyDescent="0.25">
      <c r="O28" s="174">
        <v>0</v>
      </c>
      <c r="P28" s="174"/>
    </row>
    <row r="29" spans="1:18" x14ac:dyDescent="0.25">
      <c r="F29" s="58"/>
      <c r="O29" s="174"/>
      <c r="P29" s="174"/>
    </row>
    <row r="30" spans="1:18" x14ac:dyDescent="0.25">
      <c r="F30" s="58"/>
    </row>
    <row r="31" spans="1:18" x14ac:dyDescent="0.25">
      <c r="E31" s="175"/>
    </row>
  </sheetData>
  <customSheetViews>
    <customSheetView guid="{80854372-D2ED-4B6A-8325-BF67270E20DC}">
      <selection activeCell="D30" sqref="D30"/>
      <pageMargins left="0.5" right="0.7" top="0.5" bottom="0.5" header="0.3" footer="0.24"/>
      <printOptions horizontalCentered="1"/>
      <pageSetup scale="80" orientation="landscape" r:id="rId1"/>
    </customSheetView>
    <customSheetView guid="{AF6A22A6-5407-4536-A5A9-9818B972C404}">
      <selection activeCell="D30" sqref="D30"/>
      <pageMargins left="0.5" right="0.7" top="0.5" bottom="0.5" header="0.3" footer="0.24"/>
      <printOptions horizontalCentered="1"/>
      <pageSetup scale="80" orientation="landscape" r:id="rId2"/>
    </customSheetView>
  </customSheetViews>
  <mergeCells count="1">
    <mergeCell ref="E3:O3"/>
  </mergeCells>
  <phoneticPr fontId="23" type="noConversion"/>
  <printOptions horizontalCentered="1"/>
  <pageMargins left="0.5" right="0.7" top="0.5" bottom="0.5" header="0.3" footer="0.24"/>
  <pageSetup scale="80" orientation="landscap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AO4151"/>
  <sheetViews>
    <sheetView topLeftCell="B1" zoomScale="85" zoomScaleNormal="85" workbookViewId="0">
      <pane ySplit="1" topLeftCell="A4121" activePane="bottomLeft" state="frozen"/>
      <selection pane="bottomLeft" activeCell="J4138" sqref="J4138"/>
    </sheetView>
  </sheetViews>
  <sheetFormatPr defaultRowHeight="15" x14ac:dyDescent="0.25"/>
  <cols>
    <col min="1" max="1" width="22.85546875" hidden="1" customWidth="1"/>
    <col min="2" max="2" width="9.140625" style="169"/>
    <col min="3" max="3" width="10" style="169" customWidth="1"/>
    <col min="4" max="4" width="9.140625" style="169"/>
    <col min="5" max="5" width="23.42578125" style="169" customWidth="1"/>
    <col min="6" max="6" width="11.28515625" style="245" bestFit="1" customWidth="1"/>
    <col min="7" max="7" width="17.42578125" style="169" customWidth="1"/>
    <col min="8" max="8" width="19.85546875" style="169" customWidth="1"/>
    <col min="9" max="9" width="36.140625" style="169" customWidth="1"/>
    <col min="10" max="10" width="33.42578125" style="169" customWidth="1"/>
    <col min="11" max="11" width="12.5703125" style="169" customWidth="1"/>
    <col min="12" max="12" width="9.85546875" style="169" customWidth="1"/>
    <col min="13" max="13" width="9.140625" style="169" customWidth="1"/>
    <col min="14" max="14" width="5.7109375" style="169" customWidth="1"/>
    <col min="15" max="15" width="6.5703125" style="169" customWidth="1"/>
    <col min="16" max="16" width="6.7109375" style="169" customWidth="1"/>
    <col min="17" max="18" width="7" style="169" customWidth="1"/>
    <col min="19" max="20" width="9.140625" style="169" customWidth="1"/>
    <col min="21" max="21" width="9.140625" style="169"/>
    <col min="22" max="22" width="19.7109375" style="169" bestFit="1" customWidth="1"/>
    <col min="23" max="23" width="9.140625" style="169"/>
  </cols>
  <sheetData>
    <row r="1" spans="1:25" ht="90" x14ac:dyDescent="0.25">
      <c r="A1" s="50" t="s">
        <v>537</v>
      </c>
      <c r="B1" s="153"/>
      <c r="C1" s="154"/>
      <c r="D1" s="155"/>
      <c r="E1" s="76"/>
      <c r="F1" s="244" t="s">
        <v>67</v>
      </c>
      <c r="G1" s="76" t="s">
        <v>420</v>
      </c>
      <c r="H1" s="76" t="s">
        <v>66</v>
      </c>
      <c r="I1" s="84"/>
      <c r="J1" s="59" t="s">
        <v>4544</v>
      </c>
      <c r="K1" s="76" t="s">
        <v>211</v>
      </c>
      <c r="L1" s="76" t="s">
        <v>216</v>
      </c>
      <c r="M1" s="76" t="s">
        <v>49</v>
      </c>
      <c r="N1" s="76" t="s">
        <v>50</v>
      </c>
      <c r="O1" s="76" t="s">
        <v>51</v>
      </c>
      <c r="P1" s="76" t="s">
        <v>52</v>
      </c>
      <c r="Q1" s="76" t="s">
        <v>53</v>
      </c>
      <c r="R1" s="76" t="s">
        <v>54</v>
      </c>
      <c r="S1" s="53" t="s">
        <v>64</v>
      </c>
      <c r="T1" s="76" t="s">
        <v>69</v>
      </c>
      <c r="U1" s="76"/>
      <c r="V1" s="53" t="s">
        <v>571</v>
      </c>
      <c r="W1" s="53" t="s">
        <v>739</v>
      </c>
      <c r="X1" s="45" t="s">
        <v>1161</v>
      </c>
      <c r="Y1" s="45" t="s">
        <v>68</v>
      </c>
    </row>
    <row r="2" spans="1:25" x14ac:dyDescent="0.25">
      <c r="B2" s="169" t="s">
        <v>258</v>
      </c>
      <c r="C2" s="169" t="s">
        <v>45</v>
      </c>
      <c r="D2" s="169" t="s">
        <v>11064</v>
      </c>
      <c r="E2" s="169" t="s">
        <v>36</v>
      </c>
      <c r="F2" s="245" t="str">
        <f>IF(OR(E2="XCN",E2="DE",E2="DW",E2="DN",E2="XCS",E2="XCE",E2="XCW",E2="SUMP",E2="BYPASS",E2="CHAMBER",E2="DRAIN HOLE",E2="DRILLING CHAMBER",E2="DE_ISL",E2="DW_ISL",E2="REHAB"),"Dhoz 71",IF(OR(E2="RAISE",E2="RAISE_ISL"),"DVR 72",IF(E2="ALIMAK","DVA 73",IF(E2="WINZE","DVW 74",IF(E2="SHAFT","DVS 75",IF(AND(E2="WINZE STOPE",T2="S"),"RobC 80",IF(AND(E2="STOPE",T2="S"),"StpS 77",IF(AND(E2="WINZE STOPE",T2="L"),"RobC 80",IF(AND(E2="STOPE",T2="L"),"StpL 78",IF(AND(E2="WINZE STOPE PREP",T2="S"),"RobC 80",IF(AND(E2="STOPE PREP",T2="S"),"StpS 77",IF(AND(E2="WINZE STOPE PREP",T2="L"),"RobC 80",IF(AND(E2="STOPE PREP",T2="L"),"StpL 78",IF(AND(E2="ROBBING",T2="L"),"RobC 80",IF(AND(E2="ROBBING",T2="S"),"RobS 79",0)))))))))))))))</f>
        <v>StpS 77</v>
      </c>
      <c r="G2" s="169" t="s">
        <v>5703</v>
      </c>
      <c r="I2" s="169" t="str">
        <f t="shared" ref="I2:I65" si="0">CONCATENATE(B2,"_",C2,"_",D2,"_",E2)</f>
        <v>L10_DPVE_099E_STOPE</v>
      </c>
      <c r="J2" s="169" t="s">
        <v>11693</v>
      </c>
      <c r="K2" s="169">
        <f>IFERROR(MATCH(J2,'Final List'!$B$4:$B$252,0),0)</f>
        <v>0</v>
      </c>
      <c r="L2" s="169">
        <f>IFERROR(MATCH(J2,'Final List'!$D$4:$D$252,0),0)</f>
        <v>0</v>
      </c>
      <c r="M2" s="169">
        <f>IFERROR(MATCH(J2,'Final List'!$F$4:$F$251,0),0)</f>
        <v>0</v>
      </c>
      <c r="N2" s="169">
        <f>IFERROR(MATCH(J2,'Final List'!$H$4:$H$252,0),0)</f>
        <v>0</v>
      </c>
      <c r="O2" s="169">
        <f>IFERROR(MATCH(J2,'Final List'!$J$4:$J$252,0),0)</f>
        <v>0</v>
      </c>
      <c r="P2" s="169">
        <f>IFERROR(MATCH(J2,'Final List'!$L$4:$L$252,0),0)</f>
        <v>0</v>
      </c>
      <c r="Q2" s="169">
        <f>IFERROR(MATCH(J2,'Final List'!$N$4:$N$252,0),0)</f>
        <v>0</v>
      </c>
      <c r="R2" s="169">
        <f>IFERROR(MATCH(J2,'Final List'!$P$4:$P$252,0),0)</f>
        <v>0</v>
      </c>
      <c r="S2" s="169">
        <f>SUM(K2:R2)</f>
        <v>0</v>
      </c>
      <c r="T2" s="169" t="s">
        <v>68</v>
      </c>
      <c r="V2" s="169" t="str">
        <f t="shared" ref="V2:V65" si="1">IF(H2="",G2,H2)</f>
        <v>OLIVEROS 2</v>
      </c>
      <c r="W2" s="169" t="s">
        <v>2711</v>
      </c>
    </row>
    <row r="3" spans="1:25" x14ac:dyDescent="0.25">
      <c r="B3" s="169" t="s">
        <v>258</v>
      </c>
      <c r="C3" s="169" t="s">
        <v>43</v>
      </c>
      <c r="D3" s="169" t="s">
        <v>870</v>
      </c>
      <c r="E3" s="169" t="s">
        <v>36</v>
      </c>
      <c r="F3" s="245" t="str">
        <f t="shared" ref="F3:F66" si="2">IF(OR(E3="XCN",E3="DE",E3="DW",E3="DN",E3="XCS",E3="XCE",E3="XCW",E3="SUMP",E3="BYPASS",E3="CHAMBER",E3="DRAIN HOLE",E3="DRILLING CHAMBER",E3="DE_ISL",E3="DW_ISL",E3="REHAB"),"Dhoz 71",IF(OR(E3="RAISE",E3="RAISE_ISL"),"DVR 72",IF(E3="ALIMAK","DVA 73",IF(E3="WINZE","DVW 74",IF(E3="SHAFT","DVS 75",IF(AND(E3="WINZE STOPE",T3="S"),"RobC 80",IF(AND(E3="STOPE",T3="S"),"StpS 77",IF(AND(E3="WINZE STOPE",T3="L"),"RobC 80",IF(AND(E3="STOPE",T3="L"),"StpL 78",IF(AND(E3="WINZE STOPE PREP",T3="S"),"RobC 80",IF(AND(E3="STOPE PREP",T3="S"),"StpS 77",IF(AND(E3="WINZE STOPE PREP",T3="L"),"RobC 80",IF(AND(E3="STOPE PREP",T3="L"),"StpL 78",IF(AND(E3="ROBBING",T3="L"),"RobC 80",IF(AND(E3="ROBBING",T3="S"),"RobS 79",0)))))))))))))))</f>
        <v>StpS 77</v>
      </c>
      <c r="G3" s="169" t="s">
        <v>10893</v>
      </c>
      <c r="I3" s="169" t="str">
        <f t="shared" si="0"/>
        <v>L10_GHVSPLIT_073E_STOPE</v>
      </c>
      <c r="J3" s="169" t="s">
        <v>11566</v>
      </c>
      <c r="K3" s="169">
        <f>IFERROR(MATCH(J3,'Final List'!$B$4:$B$252,0),0)</f>
        <v>0</v>
      </c>
      <c r="L3" s="169">
        <f>IFERROR(MATCH(J3,'Final List'!$D$4:$D$252,0),0)</f>
        <v>0</v>
      </c>
      <c r="M3" s="169">
        <f>IFERROR(MATCH(J3,'Final List'!$F$4:$F$251,0),0)</f>
        <v>0</v>
      </c>
      <c r="N3" s="169">
        <f>IFERROR(MATCH(J3,'Final List'!$H$4:$H$252,0),0)</f>
        <v>0</v>
      </c>
      <c r="O3" s="169">
        <f>IFERROR(MATCH(J3,'Final List'!$J$4:$J$252,0),0)</f>
        <v>0</v>
      </c>
      <c r="P3" s="169">
        <f>IFERROR(MATCH(J3,'Final List'!$L$4:$L$252,0),0)</f>
        <v>0</v>
      </c>
      <c r="Q3" s="169">
        <f>IFERROR(MATCH(J3,'Final List'!$N$4:$N$252,0),0)</f>
        <v>0</v>
      </c>
      <c r="R3" s="169">
        <f>IFERROR(MATCH(J3,'Final List'!$P$4:$P$252,0),0)</f>
        <v>0</v>
      </c>
      <c r="S3" s="169">
        <f t="shared" ref="S3:S66" si="3">SUM(K3:R3)</f>
        <v>0</v>
      </c>
      <c r="T3" s="169" t="s">
        <v>68</v>
      </c>
      <c r="V3" s="169" t="str">
        <f t="shared" si="1"/>
        <v>SHEPHERD BB 1</v>
      </c>
      <c r="W3" s="169" t="s">
        <v>2713</v>
      </c>
    </row>
    <row r="4" spans="1:25" x14ac:dyDescent="0.25">
      <c r="B4" s="169" t="s">
        <v>258</v>
      </c>
      <c r="C4" s="169" t="s">
        <v>43</v>
      </c>
      <c r="D4" s="169" t="s">
        <v>146</v>
      </c>
      <c r="E4" s="169" t="s">
        <v>36</v>
      </c>
      <c r="F4" s="245" t="str">
        <f t="shared" si="2"/>
        <v>StpS 77</v>
      </c>
      <c r="G4" s="169" t="s">
        <v>5701</v>
      </c>
      <c r="I4" s="169" t="str">
        <f t="shared" si="0"/>
        <v>L10_GHVSPLIT_030E_STOPE</v>
      </c>
      <c r="J4" s="169" t="s">
        <v>11513</v>
      </c>
      <c r="K4" s="169">
        <f>IFERROR(MATCH(J4,'Final List'!$B$4:$B$252,0),0)</f>
        <v>0</v>
      </c>
      <c r="L4" s="169">
        <f>IFERROR(MATCH(J4,'Final List'!$D$4:$D$252,0),0)</f>
        <v>0</v>
      </c>
      <c r="M4" s="169">
        <f>IFERROR(MATCH(J4,'Final List'!$F$4:$F$251,0),0)</f>
        <v>0</v>
      </c>
      <c r="N4" s="169">
        <f>IFERROR(MATCH(J4,'Final List'!$H$4:$H$252,0),0)</f>
        <v>0</v>
      </c>
      <c r="O4" s="169">
        <f>IFERROR(MATCH(J4,'Final List'!$J$4:$J$252,0),0)</f>
        <v>0</v>
      </c>
      <c r="P4" s="169">
        <f>IFERROR(MATCH(J4,'Final List'!$L$4:$L$252,0),0)</f>
        <v>0</v>
      </c>
      <c r="Q4" s="169">
        <f>IFERROR(MATCH(J4,'Final List'!$N$4:$N$252,0),0)</f>
        <v>0</v>
      </c>
      <c r="R4" s="169">
        <f>IFERROR(MATCH(J4,'Final List'!$P$4:$P$252,0),0)</f>
        <v>0</v>
      </c>
      <c r="S4" s="169">
        <f t="shared" si="3"/>
        <v>0</v>
      </c>
      <c r="T4" s="169" t="s">
        <v>68</v>
      </c>
      <c r="V4" s="169" t="str">
        <f t="shared" si="1"/>
        <v>LARGO 2</v>
      </c>
      <c r="W4" s="169" t="s">
        <v>2713</v>
      </c>
    </row>
    <row r="5" spans="1:25" x14ac:dyDescent="0.25">
      <c r="B5" s="169" t="s">
        <v>96</v>
      </c>
      <c r="C5" s="169" t="s">
        <v>57</v>
      </c>
      <c r="D5" s="169" t="s">
        <v>870</v>
      </c>
      <c r="E5" s="169" t="s">
        <v>221</v>
      </c>
      <c r="F5" s="245" t="str">
        <f t="shared" si="2"/>
        <v>RobC 80</v>
      </c>
      <c r="G5" s="169" t="s">
        <v>8202</v>
      </c>
      <c r="I5" s="169" t="str">
        <f t="shared" si="0"/>
        <v>L09_JVSPLIT_073E_WINZE STOPE</v>
      </c>
      <c r="J5" s="169" t="s">
        <v>11603</v>
      </c>
      <c r="K5" s="169">
        <f>IFERROR(MATCH(J5,'Final List'!$B$4:$B$252,0),0)</f>
        <v>0</v>
      </c>
      <c r="L5" s="169">
        <f>IFERROR(MATCH(J5,'Final List'!$D$4:$D$252,0),0)</f>
        <v>0</v>
      </c>
      <c r="M5" s="169">
        <f>IFERROR(MATCH(J5,'Final List'!$F$4:$F$251,0),0)</f>
        <v>0</v>
      </c>
      <c r="N5" s="169">
        <f>IFERROR(MATCH(J5,'Final List'!$H$4:$H$252,0),0)</f>
        <v>0</v>
      </c>
      <c r="O5" s="169">
        <f>IFERROR(MATCH(J5,'Final List'!$J$4:$J$252,0),0)</f>
        <v>0</v>
      </c>
      <c r="P5" s="169">
        <f>IFERROR(MATCH(J5,'Final List'!$L$4:$L$252,0),0)</f>
        <v>0</v>
      </c>
      <c r="Q5" s="169">
        <f>IFERROR(MATCH(J5,'Final List'!$N$4:$N$252,0),0)</f>
        <v>0</v>
      </c>
      <c r="R5" s="169">
        <f>IFERROR(MATCH(J5,'Final List'!$P$4:$P$252,0),0)</f>
        <v>0</v>
      </c>
      <c r="S5" s="169">
        <f t="shared" si="3"/>
        <v>0</v>
      </c>
      <c r="T5" s="169" t="s">
        <v>68</v>
      </c>
      <c r="V5" s="169" t="str">
        <f t="shared" si="1"/>
        <v>PANSIT, NORMAN 2</v>
      </c>
      <c r="W5" s="169" t="s">
        <v>2719</v>
      </c>
    </row>
    <row r="6" spans="1:25" x14ac:dyDescent="0.25">
      <c r="B6" s="169" t="s">
        <v>96</v>
      </c>
      <c r="C6" s="169" t="s">
        <v>57</v>
      </c>
      <c r="D6" s="169" t="s">
        <v>178</v>
      </c>
      <c r="E6" s="169" t="s">
        <v>441</v>
      </c>
      <c r="F6" s="245" t="str">
        <f t="shared" si="2"/>
        <v>RobC 80</v>
      </c>
      <c r="G6" s="169" t="s">
        <v>5706</v>
      </c>
      <c r="I6" s="169" t="str">
        <f t="shared" si="0"/>
        <v>L09_JVSPLIT_048E_WINZE STOPE PREP</v>
      </c>
      <c r="J6" s="169" t="s">
        <v>11437</v>
      </c>
      <c r="K6" s="169">
        <f>IFERROR(MATCH(J6,'Final List'!$B$4:$B$252,0),0)</f>
        <v>0</v>
      </c>
      <c r="L6" s="169">
        <f>IFERROR(MATCH(J6,'Final List'!$D$4:$D$252,0),0)</f>
        <v>0</v>
      </c>
      <c r="M6" s="169">
        <f>IFERROR(MATCH(J6,'Final List'!$F$4:$F$251,0),0)</f>
        <v>0</v>
      </c>
      <c r="N6" s="169">
        <f>IFERROR(MATCH(J6,'Final List'!$H$4:$H$252,0),0)</f>
        <v>0</v>
      </c>
      <c r="O6" s="169">
        <f>IFERROR(MATCH(J6,'Final List'!$J$4:$J$252,0),0)</f>
        <v>0</v>
      </c>
      <c r="P6" s="169">
        <f>IFERROR(MATCH(J6,'Final List'!$L$4:$L$252,0),0)</f>
        <v>0</v>
      </c>
      <c r="Q6" s="169">
        <f>IFERROR(MATCH(J6,'Final List'!$N$4:$N$252,0),0)</f>
        <v>0</v>
      </c>
      <c r="R6" s="169">
        <f>IFERROR(MATCH(J6,'Final List'!$P$4:$P$252,0),0)</f>
        <v>0</v>
      </c>
      <c r="S6" s="169">
        <f t="shared" si="3"/>
        <v>0</v>
      </c>
      <c r="T6" s="169" t="s">
        <v>68</v>
      </c>
      <c r="V6" s="169" t="str">
        <f t="shared" si="1"/>
        <v>SHEPHERD AF 1</v>
      </c>
      <c r="W6" s="169" t="s">
        <v>2716</v>
      </c>
    </row>
    <row r="7" spans="1:25" x14ac:dyDescent="0.25">
      <c r="B7" s="169" t="s">
        <v>95</v>
      </c>
      <c r="C7" s="169" t="s">
        <v>45</v>
      </c>
      <c r="D7" s="169" t="s">
        <v>141</v>
      </c>
      <c r="E7" s="169" t="s">
        <v>221</v>
      </c>
      <c r="F7" s="245" t="str">
        <f t="shared" si="2"/>
        <v>RobC 80</v>
      </c>
      <c r="G7" s="169" t="s">
        <v>577</v>
      </c>
      <c r="I7" s="169" t="str">
        <f t="shared" si="0"/>
        <v>L08_DPVE_029E_WINZE STOPE</v>
      </c>
      <c r="J7" s="169" t="s">
        <v>11551</v>
      </c>
      <c r="K7" s="169">
        <f>IFERROR(MATCH(J7,'Final List'!$B$4:$B$252,0),0)</f>
        <v>0</v>
      </c>
      <c r="L7" s="169">
        <f>IFERROR(MATCH(J7,'Final List'!$D$4:$D$252,0),0)</f>
        <v>0</v>
      </c>
      <c r="M7" s="169">
        <f>IFERROR(MATCH(J7,'Final List'!$F$4:$F$251,0),0)</f>
        <v>0</v>
      </c>
      <c r="N7" s="169">
        <f>IFERROR(MATCH(J7,'Final List'!$H$4:$H$252,0),0)</f>
        <v>0</v>
      </c>
      <c r="O7" s="169">
        <f>IFERROR(MATCH(J7,'Final List'!$J$4:$J$252,0),0)</f>
        <v>0</v>
      </c>
      <c r="P7" s="169">
        <f>IFERROR(MATCH(J7,'Final List'!$L$4:$L$252,0),0)</f>
        <v>0</v>
      </c>
      <c r="Q7" s="169">
        <f>IFERROR(MATCH(J7,'Final List'!$N$4:$N$252,0),0)</f>
        <v>0</v>
      </c>
      <c r="R7" s="169">
        <f>IFERROR(MATCH(J7,'Final List'!$P$4:$P$252,0),0)</f>
        <v>0</v>
      </c>
      <c r="S7" s="169">
        <f t="shared" si="3"/>
        <v>0</v>
      </c>
      <c r="T7" s="169" t="s">
        <v>68</v>
      </c>
      <c r="V7" s="169" t="str">
        <f t="shared" si="1"/>
        <v>CARIKITAN 1</v>
      </c>
      <c r="W7" s="169" t="s">
        <v>2719</v>
      </c>
    </row>
    <row r="8" spans="1:25" s="74" customFormat="1" x14ac:dyDescent="0.25">
      <c r="B8" s="214" t="s">
        <v>95</v>
      </c>
      <c r="C8" s="214" t="s">
        <v>57</v>
      </c>
      <c r="D8" s="214" t="s">
        <v>226</v>
      </c>
      <c r="E8" s="214" t="s">
        <v>221</v>
      </c>
      <c r="F8" s="214" t="str">
        <f t="shared" si="2"/>
        <v>RobC 80</v>
      </c>
      <c r="G8" s="214" t="s">
        <v>583</v>
      </c>
      <c r="H8" s="214"/>
      <c r="I8" s="214" t="str">
        <f t="shared" si="0"/>
        <v>L08_JVSPLIT_074E_WINZE STOPE</v>
      </c>
      <c r="J8" s="214" t="s">
        <v>11645</v>
      </c>
      <c r="K8" s="214">
        <f>IFERROR(MATCH(J8,'Final List'!$B$4:$B$252,0),0)</f>
        <v>0</v>
      </c>
      <c r="L8" s="214">
        <f>IFERROR(MATCH(J8,'Final List'!$D$4:$D$252,0),0)</f>
        <v>0</v>
      </c>
      <c r="M8" s="214">
        <f>IFERROR(MATCH(J8,'Final List'!$F$4:$F$251,0),0)</f>
        <v>0</v>
      </c>
      <c r="N8" s="214">
        <f>IFERROR(MATCH(J8,'Final List'!$H$4:$H$252,0),0)</f>
        <v>0</v>
      </c>
      <c r="O8" s="214">
        <f>IFERROR(MATCH(J8,'Final List'!$J$4:$J$252,0),0)</f>
        <v>0</v>
      </c>
      <c r="P8" s="214">
        <f>IFERROR(MATCH(J8,'Final List'!$L$4:$L$252,0),0)</f>
        <v>0</v>
      </c>
      <c r="Q8" s="214">
        <f>IFERROR(MATCH(J8,'Final List'!$N$4:$N$252,0),0)</f>
        <v>0</v>
      </c>
      <c r="R8" s="214">
        <f>IFERROR(MATCH(J8,'Final List'!$P$4:$P$252,0),0)</f>
        <v>0</v>
      </c>
      <c r="S8" s="214">
        <f t="shared" si="3"/>
        <v>0</v>
      </c>
      <c r="T8" s="169" t="s">
        <v>68</v>
      </c>
      <c r="U8" s="214"/>
      <c r="V8" s="214" t="str">
        <f t="shared" si="1"/>
        <v>VILLARANTE 1</v>
      </c>
      <c r="W8" s="214" t="s">
        <v>2719</v>
      </c>
    </row>
    <row r="9" spans="1:25" x14ac:dyDescent="0.25">
      <c r="B9" s="169" t="s">
        <v>92</v>
      </c>
      <c r="C9" s="169" t="s">
        <v>45</v>
      </c>
      <c r="D9" s="169" t="s">
        <v>5602</v>
      </c>
      <c r="E9" s="169" t="s">
        <v>221</v>
      </c>
      <c r="F9" s="245" t="str">
        <f t="shared" si="2"/>
        <v>RobC 80</v>
      </c>
      <c r="G9" s="169" t="s">
        <v>367</v>
      </c>
      <c r="I9" s="169" t="str">
        <f t="shared" si="0"/>
        <v>L05_DPVE_053E_WINZE STOPE</v>
      </c>
      <c r="J9" s="169" t="s">
        <v>11641</v>
      </c>
      <c r="K9" s="169">
        <f>IFERROR(MATCH(J9,'Final List'!$B$4:$B$252,0),0)</f>
        <v>0</v>
      </c>
      <c r="L9" s="169">
        <f>IFERROR(MATCH(J9,'Final List'!$D$4:$D$252,0),0)</f>
        <v>0</v>
      </c>
      <c r="M9" s="169">
        <f>IFERROR(MATCH(J9,'Final List'!$F$4:$F$251,0),0)</f>
        <v>0</v>
      </c>
      <c r="N9" s="169">
        <f>IFERROR(MATCH(J9,'Final List'!$H$4:$H$252,0),0)</f>
        <v>0</v>
      </c>
      <c r="O9" s="169">
        <f>IFERROR(MATCH(J9,'Final List'!$J$4:$J$252,0),0)</f>
        <v>0</v>
      </c>
      <c r="P9" s="169">
        <f>IFERROR(MATCH(J9,'Final List'!$L$4:$L$252,0),0)</f>
        <v>0</v>
      </c>
      <c r="Q9" s="169">
        <f>IFERROR(MATCH(J9,'Final List'!$N$4:$N$252,0),0)</f>
        <v>0</v>
      </c>
      <c r="R9" s="169">
        <f>IFERROR(MATCH(J9,'Final List'!$P$4:$P$252,0),0)</f>
        <v>0</v>
      </c>
      <c r="S9" s="169">
        <f t="shared" si="3"/>
        <v>0</v>
      </c>
      <c r="T9" s="169" t="s">
        <v>68</v>
      </c>
      <c r="V9" s="169" t="str">
        <f t="shared" si="1"/>
        <v>LERIO 1</v>
      </c>
      <c r="W9" s="169" t="s">
        <v>2705</v>
      </c>
    </row>
    <row r="10" spans="1:25" x14ac:dyDescent="0.25">
      <c r="B10" s="169" t="s">
        <v>91</v>
      </c>
      <c r="C10" s="169" t="s">
        <v>41</v>
      </c>
      <c r="D10" s="169" t="s">
        <v>7301</v>
      </c>
      <c r="E10" s="169" t="s">
        <v>221</v>
      </c>
      <c r="F10" s="245" t="str">
        <f t="shared" si="2"/>
        <v>RobC 80</v>
      </c>
      <c r="G10" s="169" t="s">
        <v>10087</v>
      </c>
      <c r="I10" s="169" t="str">
        <f t="shared" si="0"/>
        <v>L04_CTV_010W_WINZE STOPE</v>
      </c>
      <c r="J10" s="169" t="s">
        <v>11572</v>
      </c>
      <c r="K10" s="169">
        <f>IFERROR(MATCH(J10,'Final List'!$B$4:$B$252,0),0)</f>
        <v>0</v>
      </c>
      <c r="L10" s="169">
        <f>IFERROR(MATCH(J10,'Final List'!$D$4:$D$252,0),0)</f>
        <v>0</v>
      </c>
      <c r="M10" s="169">
        <f>IFERROR(MATCH(J10,'Final List'!$F$4:$F$251,0),0)</f>
        <v>0</v>
      </c>
      <c r="N10" s="169">
        <f>IFERROR(MATCH(J10,'Final List'!$H$4:$H$252,0),0)</f>
        <v>0</v>
      </c>
      <c r="O10" s="169">
        <f>IFERROR(MATCH(J10,'Final List'!$J$4:$J$252,0),0)</f>
        <v>0</v>
      </c>
      <c r="P10" s="169">
        <f>IFERROR(MATCH(J10,'Final List'!$L$4:$L$252,0),0)</f>
        <v>0</v>
      </c>
      <c r="Q10" s="169">
        <f>IFERROR(MATCH(J10,'Final List'!$N$4:$N$252,0),0)</f>
        <v>0</v>
      </c>
      <c r="R10" s="169">
        <f>IFERROR(MATCH(J10,'Final List'!$P$4:$P$252,0),0)</f>
        <v>0</v>
      </c>
      <c r="S10" s="169">
        <f t="shared" si="3"/>
        <v>0</v>
      </c>
      <c r="T10" s="169" t="s">
        <v>68</v>
      </c>
      <c r="V10" s="169" t="str">
        <f t="shared" si="1"/>
        <v>MARTINEZ, DN 3</v>
      </c>
      <c r="W10" s="169" t="s">
        <v>2719</v>
      </c>
    </row>
    <row r="11" spans="1:25" x14ac:dyDescent="0.25">
      <c r="B11" s="169" t="s">
        <v>91</v>
      </c>
      <c r="C11" s="169" t="s">
        <v>41</v>
      </c>
      <c r="D11" s="169" t="s">
        <v>116</v>
      </c>
      <c r="E11" s="169" t="s">
        <v>221</v>
      </c>
      <c r="F11" s="245" t="str">
        <f t="shared" si="2"/>
        <v>RobC 80</v>
      </c>
      <c r="G11" s="169" t="s">
        <v>3277</v>
      </c>
      <c r="I11" s="169" t="str">
        <f t="shared" si="0"/>
        <v>L04_CTV_021W_WINZE STOPE</v>
      </c>
      <c r="J11" s="169" t="s">
        <v>11574</v>
      </c>
      <c r="K11" s="169">
        <f>IFERROR(MATCH(J11,'Final List'!$B$4:$B$252,0),0)</f>
        <v>0</v>
      </c>
      <c r="L11" s="169">
        <f>IFERROR(MATCH(J11,'Final List'!$D$4:$D$252,0),0)</f>
        <v>0</v>
      </c>
      <c r="M11" s="169">
        <f>IFERROR(MATCH(J11,'Final List'!$F$4:$F$251,0),0)</f>
        <v>0</v>
      </c>
      <c r="N11" s="169">
        <f>IFERROR(MATCH(J11,'Final List'!$H$4:$H$252,0),0)</f>
        <v>0</v>
      </c>
      <c r="O11" s="169">
        <f>IFERROR(MATCH(J11,'Final List'!$J$4:$J$252,0),0)</f>
        <v>0</v>
      </c>
      <c r="P11" s="169">
        <f>IFERROR(MATCH(J11,'Final List'!$L$4:$L$252,0),0)</f>
        <v>0</v>
      </c>
      <c r="Q11" s="169">
        <f>IFERROR(MATCH(J11,'Final List'!$N$4:$N$252,0),0)</f>
        <v>0</v>
      </c>
      <c r="R11" s="169">
        <f>IFERROR(MATCH(J11,'Final List'!$P$4:$P$252,0),0)</f>
        <v>0</v>
      </c>
      <c r="S11" s="169">
        <f t="shared" si="3"/>
        <v>0</v>
      </c>
      <c r="T11" s="169" t="s">
        <v>68</v>
      </c>
      <c r="V11" s="169" t="str">
        <f t="shared" si="1"/>
        <v>MARTINEZ, DN 2</v>
      </c>
      <c r="W11" s="169" t="s">
        <v>2719</v>
      </c>
    </row>
    <row r="12" spans="1:25" x14ac:dyDescent="0.25">
      <c r="B12" s="77" t="s">
        <v>91</v>
      </c>
      <c r="C12" s="77" t="s">
        <v>41</v>
      </c>
      <c r="D12" s="77" t="s">
        <v>100</v>
      </c>
      <c r="E12" s="77" t="s">
        <v>62</v>
      </c>
      <c r="F12" s="245" t="str">
        <f t="shared" si="2"/>
        <v>RobS 79</v>
      </c>
      <c r="G12" s="77" t="s">
        <v>298</v>
      </c>
      <c r="H12" s="77"/>
      <c r="I12" s="77" t="str">
        <f t="shared" si="0"/>
        <v>L04_CTV_020W_ROBBING</v>
      </c>
      <c r="J12" s="77" t="s">
        <v>4668</v>
      </c>
      <c r="K12" s="169">
        <f>IFERROR(MATCH(J12,'Final List'!$B$4:$B$252,0),0)</f>
        <v>0</v>
      </c>
      <c r="L12" s="169">
        <f>IFERROR(MATCH(J12,'Final List'!$D$4:$D$252,0),0)</f>
        <v>0</v>
      </c>
      <c r="M12" s="169">
        <f>IFERROR(MATCH(J12,'Final List'!$F$4:$F$251,0),0)</f>
        <v>0</v>
      </c>
      <c r="N12" s="169">
        <f>IFERROR(MATCH(J12,'Final List'!$H$4:$H$252,0),0)</f>
        <v>0</v>
      </c>
      <c r="O12" s="169">
        <f>IFERROR(MATCH(J12,'Final List'!$J$4:$J$252,0),0)</f>
        <v>0</v>
      </c>
      <c r="P12" s="169">
        <f>IFERROR(MATCH(J12,'Final List'!$L$4:$L$252,0),0)</f>
        <v>0</v>
      </c>
      <c r="Q12" s="169">
        <f>IFERROR(MATCH(J12,'Final List'!$N$4:$N$252,0),0)</f>
        <v>0</v>
      </c>
      <c r="R12" s="169">
        <f>IFERROR(MATCH(J12,'Final List'!$P$4:$P$252,0),0)</f>
        <v>0</v>
      </c>
      <c r="S12" s="169">
        <f t="shared" si="3"/>
        <v>0</v>
      </c>
      <c r="T12" s="116" t="s">
        <v>68</v>
      </c>
      <c r="U12" s="116"/>
      <c r="V12" s="116" t="str">
        <f t="shared" si="1"/>
        <v>NOCOS 1</v>
      </c>
      <c r="W12" s="116" t="s">
        <v>2707</v>
      </c>
    </row>
    <row r="13" spans="1:25" x14ac:dyDescent="0.25">
      <c r="B13" s="77" t="s">
        <v>91</v>
      </c>
      <c r="C13" s="77" t="s">
        <v>42</v>
      </c>
      <c r="D13" s="77" t="s">
        <v>105</v>
      </c>
      <c r="E13" s="77" t="s">
        <v>62</v>
      </c>
      <c r="F13" s="245" t="str">
        <f t="shared" si="2"/>
        <v>RobS 79</v>
      </c>
      <c r="G13" s="77" t="s">
        <v>5714</v>
      </c>
      <c r="H13" s="77"/>
      <c r="I13" s="77" t="str">
        <f t="shared" si="0"/>
        <v>L04_JV_055W_ROBBING</v>
      </c>
      <c r="J13" s="77" t="s">
        <v>4681</v>
      </c>
      <c r="K13" s="169">
        <f>IFERROR(MATCH(J13,'Final List'!$B$4:$B$252,0),0)</f>
        <v>0</v>
      </c>
      <c r="L13" s="169">
        <f>IFERROR(MATCH(J13,'Final List'!$D$4:$D$252,0),0)</f>
        <v>0</v>
      </c>
      <c r="M13" s="169">
        <f>IFERROR(MATCH(J13,'Final List'!$F$4:$F$251,0),0)</f>
        <v>0</v>
      </c>
      <c r="N13" s="169">
        <f>IFERROR(MATCH(J13,'Final List'!$H$4:$H$252,0),0)</f>
        <v>0</v>
      </c>
      <c r="O13" s="169">
        <f>IFERROR(MATCH(J13,'Final List'!$J$4:$J$252,0),0)</f>
        <v>0</v>
      </c>
      <c r="P13" s="169">
        <f>IFERROR(MATCH(J13,'Final List'!$L$4:$L$252,0),0)</f>
        <v>0</v>
      </c>
      <c r="Q13" s="169">
        <f>IFERROR(MATCH(J13,'Final List'!$N$4:$N$252,0),0)</f>
        <v>0</v>
      </c>
      <c r="R13" s="169">
        <f>IFERROR(MATCH(J13,'Final List'!$P$4:$P$252,0),0)</f>
        <v>0</v>
      </c>
      <c r="S13" s="169">
        <f t="shared" si="3"/>
        <v>0</v>
      </c>
      <c r="T13" s="116" t="s">
        <v>68</v>
      </c>
      <c r="U13" s="116"/>
      <c r="V13" s="116" t="str">
        <f t="shared" si="1"/>
        <v>MARTINEZ, RON 2</v>
      </c>
      <c r="W13" s="116" t="s">
        <v>2707</v>
      </c>
    </row>
    <row r="14" spans="1:25" x14ac:dyDescent="0.25">
      <c r="B14" s="77" t="s">
        <v>91</v>
      </c>
      <c r="C14" s="77" t="s">
        <v>39</v>
      </c>
      <c r="D14" s="77" t="s">
        <v>118</v>
      </c>
      <c r="E14" s="77" t="s">
        <v>221</v>
      </c>
      <c r="F14" s="245" t="str">
        <f t="shared" si="2"/>
        <v>RobC 80</v>
      </c>
      <c r="G14" s="77" t="s">
        <v>3712</v>
      </c>
      <c r="H14" s="77"/>
      <c r="I14" s="77" t="str">
        <f t="shared" si="0"/>
        <v>L04_JVHW_014E_WINZE STOPE</v>
      </c>
      <c r="J14" s="77" t="s">
        <v>4468</v>
      </c>
      <c r="K14" s="169">
        <f>IFERROR(MATCH(J14,'Final List'!$B$4:$B$252,0),0)</f>
        <v>0</v>
      </c>
      <c r="L14" s="169">
        <f>IFERROR(MATCH(J14,'Final List'!$D$4:$D$252,0),0)</f>
        <v>0</v>
      </c>
      <c r="M14" s="169">
        <f>IFERROR(MATCH(J14,'Final List'!$F$4:$F$251,0),0)</f>
        <v>0</v>
      </c>
      <c r="N14" s="169">
        <f>IFERROR(MATCH(J14,'Final List'!$H$4:$H$252,0),0)</f>
        <v>0</v>
      </c>
      <c r="O14" s="169">
        <f>IFERROR(MATCH(J14,'Final List'!$J$4:$J$252,0),0)</f>
        <v>0</v>
      </c>
      <c r="P14" s="169">
        <f>IFERROR(MATCH(J14,'Final List'!$L$4:$L$252,0),0)</f>
        <v>0</v>
      </c>
      <c r="Q14" s="169">
        <f>IFERROR(MATCH(J14,'Final List'!$N$4:$N$252,0),0)</f>
        <v>0</v>
      </c>
      <c r="R14" s="169">
        <f>IFERROR(MATCH(J14,'Final List'!$P$4:$P$252,0),0)</f>
        <v>0</v>
      </c>
      <c r="S14" s="169">
        <f t="shared" si="3"/>
        <v>0</v>
      </c>
      <c r="T14" s="116" t="s">
        <v>48</v>
      </c>
      <c r="U14" s="116"/>
      <c r="V14" s="116" t="str">
        <f t="shared" si="1"/>
        <v xml:space="preserve">COMAINGKING 3 </v>
      </c>
      <c r="W14" s="116" t="s">
        <v>2719</v>
      </c>
    </row>
    <row r="15" spans="1:25" x14ac:dyDescent="0.25">
      <c r="B15" s="77" t="s">
        <v>92</v>
      </c>
      <c r="C15" s="77" t="s">
        <v>87</v>
      </c>
      <c r="D15" s="77" t="s">
        <v>112</v>
      </c>
      <c r="E15" s="77" t="s">
        <v>72</v>
      </c>
      <c r="F15" s="245" t="str">
        <f t="shared" si="2"/>
        <v>Dhoz 71</v>
      </c>
      <c r="G15" s="77" t="s">
        <v>3967</v>
      </c>
      <c r="H15" s="77" t="s">
        <v>3659</v>
      </c>
      <c r="I15" s="77" t="str">
        <f t="shared" si="0"/>
        <v>L05_NONE_018E_CHAMBER</v>
      </c>
      <c r="J15" s="77" t="s">
        <v>2863</v>
      </c>
      <c r="K15" s="169">
        <f>IFERROR(MATCH(J15,'Final List'!$B$4:$B$252,0),0)</f>
        <v>0</v>
      </c>
      <c r="L15" s="169">
        <f>IFERROR(MATCH(J15,'Final List'!$D$4:$D$252,0),0)</f>
        <v>0</v>
      </c>
      <c r="M15" s="169">
        <f>IFERROR(MATCH(J15,'Final List'!$F$4:$F$251,0),0)</f>
        <v>0</v>
      </c>
      <c r="N15" s="169">
        <f>IFERROR(MATCH(J15,'Final List'!$H$4:$H$252,0),0)</f>
        <v>0</v>
      </c>
      <c r="O15" s="169">
        <f>IFERROR(MATCH(J15,'Final List'!$J$4:$J$252,0),0)</f>
        <v>0</v>
      </c>
      <c r="P15" s="169">
        <f>IFERROR(MATCH(J15,'Final List'!$L$4:$L$252,0),0)</f>
        <v>0</v>
      </c>
      <c r="Q15" s="169">
        <f>IFERROR(MATCH(J15,'Final List'!$N$4:$N$252,0),0)</f>
        <v>0</v>
      </c>
      <c r="R15" s="169">
        <f>IFERROR(MATCH(J15,'Final List'!$P$4:$P$252,0),0)</f>
        <v>0</v>
      </c>
      <c r="S15" s="169">
        <f t="shared" si="3"/>
        <v>0</v>
      </c>
      <c r="T15" s="116"/>
      <c r="U15" s="116"/>
      <c r="V15" s="116" t="str">
        <f t="shared" si="1"/>
        <v>SHEPHERD AD 2</v>
      </c>
      <c r="W15" s="116" t="s">
        <v>2714</v>
      </c>
    </row>
    <row r="16" spans="1:25" x14ac:dyDescent="0.25">
      <c r="B16" s="77" t="s">
        <v>92</v>
      </c>
      <c r="C16" s="77" t="s">
        <v>41</v>
      </c>
      <c r="D16" s="77" t="s">
        <v>107</v>
      </c>
      <c r="E16" s="77" t="s">
        <v>221</v>
      </c>
      <c r="F16" s="245" t="str">
        <f t="shared" si="2"/>
        <v>RobC 80</v>
      </c>
      <c r="G16" s="77" t="s">
        <v>5706</v>
      </c>
      <c r="H16" s="77"/>
      <c r="I16" s="77" t="str">
        <f t="shared" si="0"/>
        <v>L05_CTV_032W_WINZE STOPE</v>
      </c>
      <c r="J16" s="77" t="s">
        <v>5206</v>
      </c>
      <c r="K16" s="169">
        <f>IFERROR(MATCH(J16,'Final List'!$B$4:$B$252,0),0)</f>
        <v>0</v>
      </c>
      <c r="L16" s="169">
        <f>IFERROR(MATCH(J16,'Final List'!$D$4:$D$252,0),0)</f>
        <v>0</v>
      </c>
      <c r="M16" s="169">
        <f>IFERROR(MATCH(J16,'Final List'!$F$4:$F$251,0),0)</f>
        <v>0</v>
      </c>
      <c r="N16" s="169">
        <f>IFERROR(MATCH(J16,'Final List'!$H$4:$H$252,0),0)</f>
        <v>0</v>
      </c>
      <c r="O16" s="169">
        <f>IFERROR(MATCH(J16,'Final List'!$J$4:$J$252,0),0)</f>
        <v>0</v>
      </c>
      <c r="P16" s="169">
        <f>IFERROR(MATCH(J16,'Final List'!$L$4:$L$252,0),0)</f>
        <v>0</v>
      </c>
      <c r="Q16" s="169">
        <f>IFERROR(MATCH(J16,'Final List'!$N$4:$N$252,0),0)</f>
        <v>0</v>
      </c>
      <c r="R16" s="169">
        <f>IFERROR(MATCH(J16,'Final List'!$P$4:$P$252,0),0)</f>
        <v>0</v>
      </c>
      <c r="S16" s="169">
        <f t="shared" si="3"/>
        <v>0</v>
      </c>
      <c r="T16" s="116" t="s">
        <v>68</v>
      </c>
      <c r="U16" s="116"/>
      <c r="V16" s="116" t="str">
        <f t="shared" si="1"/>
        <v>SHEPHERD AF 1</v>
      </c>
      <c r="W16" s="116" t="s">
        <v>2705</v>
      </c>
    </row>
    <row r="17" spans="2:35" x14ac:dyDescent="0.25">
      <c r="B17" s="77" t="s">
        <v>92</v>
      </c>
      <c r="C17" s="77" t="s">
        <v>55</v>
      </c>
      <c r="D17" s="77" t="s">
        <v>98</v>
      </c>
      <c r="E17" s="77" t="s">
        <v>221</v>
      </c>
      <c r="F17" s="245" t="str">
        <f t="shared" si="2"/>
        <v>RobC 80</v>
      </c>
      <c r="G17" s="77" t="s">
        <v>5538</v>
      </c>
      <c r="H17" s="77" t="s">
        <v>5716</v>
      </c>
      <c r="I17" s="77" t="str">
        <f t="shared" si="0"/>
        <v>L05_JVFW_014W_WINZE STOPE</v>
      </c>
      <c r="J17" s="77" t="s">
        <v>5104</v>
      </c>
      <c r="K17" s="169">
        <f>IFERROR(MATCH(J17,'Final List'!$B$4:$B$252,0),0)</f>
        <v>0</v>
      </c>
      <c r="L17" s="169">
        <f>IFERROR(MATCH(J17,'Final List'!$D$4:$D$252,0),0)</f>
        <v>0</v>
      </c>
      <c r="M17" s="169">
        <f>IFERROR(MATCH(J17,'Final List'!$F$4:$F$251,0),0)</f>
        <v>0</v>
      </c>
      <c r="N17" s="169">
        <f>IFERROR(MATCH(J17,'Final List'!$H$4:$H$252,0),0)</f>
        <v>0</v>
      </c>
      <c r="O17" s="169">
        <f>IFERROR(MATCH(J17,'Final List'!$J$4:$J$252,0),0)</f>
        <v>0</v>
      </c>
      <c r="P17" s="169">
        <f>IFERROR(MATCH(J17,'Final List'!$L$4:$L$252,0),0)</f>
        <v>0</v>
      </c>
      <c r="Q17" s="169">
        <f>IFERROR(MATCH(J17,'Final List'!$N$4:$N$252,0),0)</f>
        <v>0</v>
      </c>
      <c r="R17" s="169">
        <f>IFERROR(MATCH(J17,'Final List'!$P$4:$P$252,0),0)</f>
        <v>0</v>
      </c>
      <c r="S17" s="169">
        <f t="shared" si="3"/>
        <v>0</v>
      </c>
      <c r="T17" s="116" t="s">
        <v>68</v>
      </c>
      <c r="U17" s="116"/>
      <c r="V17" s="116" t="str">
        <f t="shared" si="1"/>
        <v>SHEPHERD AB 1</v>
      </c>
      <c r="W17" s="116" t="s">
        <v>2719</v>
      </c>
    </row>
    <row r="18" spans="2:35" x14ac:dyDescent="0.25">
      <c r="B18" s="77" t="s">
        <v>93</v>
      </c>
      <c r="C18" s="77" t="s">
        <v>38</v>
      </c>
      <c r="D18" s="77" t="s">
        <v>5601</v>
      </c>
      <c r="E18" s="77" t="s">
        <v>19</v>
      </c>
      <c r="F18" s="245" t="str">
        <f t="shared" si="2"/>
        <v>DVR 72</v>
      </c>
      <c r="G18" s="77" t="s">
        <v>5778</v>
      </c>
      <c r="H18" s="77"/>
      <c r="I18" s="77" t="str">
        <f t="shared" si="0"/>
        <v>L06_GHV_026E_RAISE</v>
      </c>
      <c r="J18" s="77" t="s">
        <v>5590</v>
      </c>
      <c r="K18" s="169">
        <f>IFERROR(MATCH(J18,'Final List'!$B$4:$B$252,0),0)</f>
        <v>0</v>
      </c>
      <c r="L18" s="169">
        <f>IFERROR(MATCH(J18,'Final List'!$D$4:$D$252,0),0)</f>
        <v>0</v>
      </c>
      <c r="M18" s="169">
        <f>IFERROR(MATCH(J18,'Final List'!$F$4:$F$251,0),0)</f>
        <v>0</v>
      </c>
      <c r="N18" s="169">
        <f>IFERROR(MATCH(J18,'Final List'!$H$4:$H$252,0),0)</f>
        <v>0</v>
      </c>
      <c r="O18" s="169">
        <f>IFERROR(MATCH(J18,'Final List'!$J$4:$J$252,0),0)</f>
        <v>0</v>
      </c>
      <c r="P18" s="169">
        <f>IFERROR(MATCH(J18,'Final List'!$L$4:$L$252,0),0)</f>
        <v>0</v>
      </c>
      <c r="Q18" s="169">
        <f>IFERROR(MATCH(J18,'Final List'!$N$4:$N$252,0),0)</f>
        <v>0</v>
      </c>
      <c r="R18" s="169">
        <f>IFERROR(MATCH(J18,'Final List'!$P$4:$P$252,0),0)</f>
        <v>0</v>
      </c>
      <c r="S18" s="169">
        <f t="shared" si="3"/>
        <v>0</v>
      </c>
      <c r="T18" s="116"/>
      <c r="U18" s="116"/>
      <c r="V18" s="116" t="str">
        <f t="shared" si="1"/>
        <v>REBOTE, JONATHAN 1</v>
      </c>
      <c r="W18" s="116" t="s">
        <v>2710</v>
      </c>
    </row>
    <row r="19" spans="2:35" x14ac:dyDescent="0.25">
      <c r="B19" s="77" t="s">
        <v>93</v>
      </c>
      <c r="C19" s="77" t="s">
        <v>41</v>
      </c>
      <c r="D19" s="77" t="s">
        <v>109</v>
      </c>
      <c r="E19" s="77" t="s">
        <v>36</v>
      </c>
      <c r="F19" s="245" t="str">
        <f t="shared" si="2"/>
        <v>StpS 77</v>
      </c>
      <c r="G19" s="77" t="s">
        <v>355</v>
      </c>
      <c r="H19" s="77"/>
      <c r="I19" s="77" t="str">
        <f t="shared" si="0"/>
        <v>L06_CTV_002W_STOPE</v>
      </c>
      <c r="J19" s="77" t="s">
        <v>5210</v>
      </c>
      <c r="K19" s="169">
        <f>IFERROR(MATCH(J19,'Final List'!$B$4:$B$252,0),0)</f>
        <v>0</v>
      </c>
      <c r="L19" s="169">
        <f>IFERROR(MATCH(J19,'Final List'!$D$4:$D$252,0),0)</f>
        <v>0</v>
      </c>
      <c r="M19" s="169">
        <f>IFERROR(MATCH(J19,'Final List'!$F$4:$F$251,0),0)</f>
        <v>0</v>
      </c>
      <c r="N19" s="169">
        <f>IFERROR(MATCH(J19,'Final List'!$H$4:$H$252,0),0)</f>
        <v>0</v>
      </c>
      <c r="O19" s="169">
        <f>IFERROR(MATCH(J19,'Final List'!$J$4:$J$252,0),0)</f>
        <v>0</v>
      </c>
      <c r="P19" s="169">
        <f>IFERROR(MATCH(J19,'Final List'!$L$4:$L$252,0),0)</f>
        <v>0</v>
      </c>
      <c r="Q19" s="169">
        <f>IFERROR(MATCH(J19,'Final List'!$N$4:$N$252,0),0)</f>
        <v>0</v>
      </c>
      <c r="R19" s="169">
        <f>IFERROR(MATCH(J19,'Final List'!$P$4:$P$252,0),0)</f>
        <v>0</v>
      </c>
      <c r="S19" s="169">
        <f t="shared" si="3"/>
        <v>0</v>
      </c>
      <c r="T19" s="116" t="s">
        <v>68</v>
      </c>
      <c r="U19" s="116"/>
      <c r="V19" s="116" t="str">
        <f t="shared" si="1"/>
        <v>BAÑEZ 2</v>
      </c>
      <c r="W19" s="116" t="s">
        <v>2713</v>
      </c>
    </row>
    <row r="20" spans="2:35" x14ac:dyDescent="0.25">
      <c r="B20" s="77" t="s">
        <v>93</v>
      </c>
      <c r="C20" s="77" t="s">
        <v>55</v>
      </c>
      <c r="D20" s="77" t="s">
        <v>133</v>
      </c>
      <c r="E20" s="77" t="s">
        <v>20</v>
      </c>
      <c r="F20" s="245" t="str">
        <f t="shared" si="2"/>
        <v>DVW 74</v>
      </c>
      <c r="G20" s="77" t="s">
        <v>2969</v>
      </c>
      <c r="H20" s="77" t="s">
        <v>379</v>
      </c>
      <c r="I20" s="77" t="str">
        <f t="shared" si="0"/>
        <v>L06_JVFW_037E_WINZE</v>
      </c>
      <c r="J20" s="77" t="s">
        <v>5622</v>
      </c>
      <c r="K20" s="169">
        <f>IFERROR(MATCH(J20,'Final List'!$B$4:$B$252,0),0)</f>
        <v>0</v>
      </c>
      <c r="L20" s="169">
        <f>IFERROR(MATCH(J20,'Final List'!$D$4:$D$252,0),0)</f>
        <v>0</v>
      </c>
      <c r="M20" s="169">
        <f>IFERROR(MATCH(J20,'Final List'!$F$4:$F$251,0),0)</f>
        <v>0</v>
      </c>
      <c r="N20" s="169">
        <f>IFERROR(MATCH(J20,'Final List'!$H$4:$H$252,0),0)</f>
        <v>0</v>
      </c>
      <c r="O20" s="169">
        <f>IFERROR(MATCH(J20,'Final List'!$J$4:$J$252,0),0)</f>
        <v>0</v>
      </c>
      <c r="P20" s="169">
        <f>IFERROR(MATCH(J20,'Final List'!$L$4:$L$252,0),0)</f>
        <v>0</v>
      </c>
      <c r="Q20" s="169">
        <f>IFERROR(MATCH(J20,'Final List'!$N$4:$N$252,0),0)</f>
        <v>0</v>
      </c>
      <c r="R20" s="169">
        <f>IFERROR(MATCH(J20,'Final List'!$P$4:$P$252,0),0)</f>
        <v>0</v>
      </c>
      <c r="S20" s="169">
        <f t="shared" si="3"/>
        <v>0</v>
      </c>
      <c r="T20" s="116"/>
      <c r="U20" s="116"/>
      <c r="V20" s="116" t="str">
        <f t="shared" si="1"/>
        <v>GUNAY 3</v>
      </c>
      <c r="W20" s="116" t="s">
        <v>2717</v>
      </c>
    </row>
    <row r="21" spans="2:35" x14ac:dyDescent="0.25">
      <c r="B21" s="77" t="s">
        <v>94</v>
      </c>
      <c r="C21" s="77" t="s">
        <v>38</v>
      </c>
      <c r="D21" s="77" t="s">
        <v>99</v>
      </c>
      <c r="E21" s="77" t="s">
        <v>60</v>
      </c>
      <c r="F21" s="245" t="str">
        <f t="shared" si="2"/>
        <v>Dhoz 71</v>
      </c>
      <c r="G21" s="77" t="s">
        <v>5718</v>
      </c>
      <c r="H21" s="77"/>
      <c r="I21" s="77" t="str">
        <f t="shared" si="0"/>
        <v>L07_GHV_028W_DE</v>
      </c>
      <c r="J21" s="77" t="s">
        <v>5394</v>
      </c>
      <c r="K21" s="169">
        <f>IFERROR(MATCH(J21,'Final List'!$B$4:$B$252,0),0)</f>
        <v>0</v>
      </c>
      <c r="L21" s="169">
        <f>IFERROR(MATCH(J21,'Final List'!$D$4:$D$252,0),0)</f>
        <v>0</v>
      </c>
      <c r="M21" s="169">
        <f>IFERROR(MATCH(J21,'Final List'!$F$4:$F$251,0),0)</f>
        <v>0</v>
      </c>
      <c r="N21" s="169">
        <f>IFERROR(MATCH(J21,'Final List'!$H$4:$H$252,0),0)</f>
        <v>0</v>
      </c>
      <c r="O21" s="169">
        <f>IFERROR(MATCH(J21,'Final List'!$J$4:$J$252,0),0)</f>
        <v>0</v>
      </c>
      <c r="P21" s="169">
        <f>IFERROR(MATCH(J21,'Final List'!$L$4:$L$252,0),0)</f>
        <v>0</v>
      </c>
      <c r="Q21" s="169">
        <f>IFERROR(MATCH(J21,'Final List'!$N$4:$N$252,0),0)</f>
        <v>0</v>
      </c>
      <c r="R21" s="169">
        <f>IFERROR(MATCH(J21,'Final List'!$P$4:$P$252,0),0)</f>
        <v>0</v>
      </c>
      <c r="S21" s="169">
        <f t="shared" si="3"/>
        <v>0</v>
      </c>
      <c r="T21" s="116"/>
      <c r="U21" s="116"/>
      <c r="V21" s="116" t="str">
        <f t="shared" si="1"/>
        <v>FERNANDEZ 2</v>
      </c>
      <c r="W21" s="116" t="s">
        <v>8895</v>
      </c>
    </row>
    <row r="22" spans="2:35" x14ac:dyDescent="0.25">
      <c r="B22" s="77" t="s">
        <v>94</v>
      </c>
      <c r="C22" s="77" t="s">
        <v>41</v>
      </c>
      <c r="D22" s="77" t="s">
        <v>120</v>
      </c>
      <c r="E22" s="77" t="s">
        <v>61</v>
      </c>
      <c r="F22" s="245" t="str">
        <f t="shared" si="2"/>
        <v>Dhoz 71</v>
      </c>
      <c r="G22" s="77" t="s">
        <v>344</v>
      </c>
      <c r="H22" s="77" t="s">
        <v>5720</v>
      </c>
      <c r="I22" s="77" t="str">
        <f t="shared" si="0"/>
        <v>L07_CTV_015E_DW</v>
      </c>
      <c r="J22" s="77" t="s">
        <v>5877</v>
      </c>
      <c r="K22" s="169">
        <f>IFERROR(MATCH(J22,'Final List'!$B$4:$B$252,0),0)</f>
        <v>0</v>
      </c>
      <c r="L22" s="169">
        <f>IFERROR(MATCH(J22,'Final List'!$D$4:$D$252,0),0)</f>
        <v>0</v>
      </c>
      <c r="M22" s="169">
        <f>IFERROR(MATCH(J22,'Final List'!$F$4:$F$251,0),0)</f>
        <v>0</v>
      </c>
      <c r="N22" s="169">
        <f>IFERROR(MATCH(J22,'Final List'!$H$4:$H$252,0),0)</f>
        <v>0</v>
      </c>
      <c r="O22" s="169">
        <f>IFERROR(MATCH(J22,'Final List'!$J$4:$J$252,0),0)</f>
        <v>0</v>
      </c>
      <c r="P22" s="169">
        <f>IFERROR(MATCH(J22,'Final List'!$L$4:$L$252,0),0)</f>
        <v>0</v>
      </c>
      <c r="Q22" s="169">
        <f>IFERROR(MATCH(J22,'Final List'!$N$4:$N$252,0),0)</f>
        <v>0</v>
      </c>
      <c r="R22" s="169">
        <f>IFERROR(MATCH(J22,'Final List'!$P$4:$P$252,0),0)</f>
        <v>0</v>
      </c>
      <c r="S22" s="169">
        <f t="shared" si="3"/>
        <v>0</v>
      </c>
      <c r="T22" s="116"/>
      <c r="U22" s="116"/>
      <c r="V22" s="116" t="str">
        <f t="shared" si="1"/>
        <v>TURRA 1</v>
      </c>
      <c r="W22" s="116" t="s">
        <v>2708</v>
      </c>
    </row>
    <row r="23" spans="2:35" x14ac:dyDescent="0.25">
      <c r="B23" s="77" t="s">
        <v>94</v>
      </c>
      <c r="C23" s="77" t="s">
        <v>45</v>
      </c>
      <c r="D23" s="77" t="s">
        <v>180</v>
      </c>
      <c r="E23" s="77" t="s">
        <v>6154</v>
      </c>
      <c r="F23" s="245" t="str">
        <f t="shared" si="2"/>
        <v>Dhoz 71</v>
      </c>
      <c r="G23" s="77" t="s">
        <v>358</v>
      </c>
      <c r="H23" s="77"/>
      <c r="I23" s="77" t="str">
        <f t="shared" si="0"/>
        <v>L07_DPVE_041E_DW_ISL</v>
      </c>
      <c r="J23" s="77" t="s">
        <v>6835</v>
      </c>
      <c r="K23" s="169">
        <f>IFERROR(MATCH(J23,'Final List'!$B$4:$B$252,0),0)</f>
        <v>0</v>
      </c>
      <c r="L23" s="169">
        <f>IFERROR(MATCH(J23,'Final List'!$D$4:$D$252,0),0)</f>
        <v>0</v>
      </c>
      <c r="M23" s="169">
        <f>IFERROR(MATCH(J23,'Final List'!$F$4:$F$251,0),0)</f>
        <v>0</v>
      </c>
      <c r="N23" s="169">
        <f>IFERROR(MATCH(J23,'Final List'!$H$4:$H$252,0),0)</f>
        <v>0</v>
      </c>
      <c r="O23" s="169">
        <f>IFERROR(MATCH(J23,'Final List'!$J$4:$J$252,0),0)</f>
        <v>0</v>
      </c>
      <c r="P23" s="169">
        <f>IFERROR(MATCH(J23,'Final List'!$L$4:$L$252,0),0)</f>
        <v>0</v>
      </c>
      <c r="Q23" s="169">
        <f>IFERROR(MATCH(J23,'Final List'!$N$4:$N$252,0),0)</f>
        <v>0</v>
      </c>
      <c r="R23" s="169">
        <f>IFERROR(MATCH(J23,'Final List'!$P$4:$P$252,0),0)</f>
        <v>0</v>
      </c>
      <c r="S23" s="169">
        <f t="shared" si="3"/>
        <v>0</v>
      </c>
      <c r="T23" s="116"/>
      <c r="U23" s="116"/>
      <c r="V23" s="116" t="str">
        <f t="shared" si="1"/>
        <v>ALEÑAR 1</v>
      </c>
      <c r="W23" s="116" t="s">
        <v>2708</v>
      </c>
    </row>
    <row r="24" spans="2:35" x14ac:dyDescent="0.25">
      <c r="B24" s="77" t="s">
        <v>94</v>
      </c>
      <c r="C24" s="77" t="s">
        <v>87</v>
      </c>
      <c r="D24" s="77" t="s">
        <v>146</v>
      </c>
      <c r="E24" s="77" t="s">
        <v>19</v>
      </c>
      <c r="F24" s="245" t="str">
        <f t="shared" si="2"/>
        <v>DVR 72</v>
      </c>
      <c r="G24" s="77" t="s">
        <v>511</v>
      </c>
      <c r="H24" s="77"/>
      <c r="I24" s="77" t="str">
        <f t="shared" si="0"/>
        <v>L07_NONE_030E_RAISE</v>
      </c>
      <c r="J24" s="77" t="s">
        <v>1907</v>
      </c>
      <c r="K24" s="169">
        <f>IFERROR(MATCH(J24,'Final List'!$B$4:$B$252,0),0)</f>
        <v>0</v>
      </c>
      <c r="L24" s="169">
        <f>IFERROR(MATCH(J24,'Final List'!$D$4:$D$252,0),0)</f>
        <v>0</v>
      </c>
      <c r="M24" s="169">
        <f>IFERROR(MATCH(J24,'Final List'!$F$4:$F$251,0),0)</f>
        <v>0</v>
      </c>
      <c r="N24" s="169">
        <f>IFERROR(MATCH(J24,'Final List'!$H$4:$H$252,0),0)</f>
        <v>0</v>
      </c>
      <c r="O24" s="169">
        <f>IFERROR(MATCH(J24,'Final List'!$J$4:$J$252,0),0)</f>
        <v>0</v>
      </c>
      <c r="P24" s="169">
        <f>IFERROR(MATCH(J24,'Final List'!$L$4:$L$252,0),0)</f>
        <v>0</v>
      </c>
      <c r="Q24" s="169">
        <f>IFERROR(MATCH(J24,'Final List'!$N$4:$N$252,0),0)</f>
        <v>0</v>
      </c>
      <c r="R24" s="169">
        <f>IFERROR(MATCH(J24,'Final List'!$P$4:$P$252,0),0)</f>
        <v>0</v>
      </c>
      <c r="S24" s="169">
        <f t="shared" si="3"/>
        <v>0</v>
      </c>
      <c r="T24" s="116"/>
      <c r="U24" s="116"/>
      <c r="V24" s="116" t="str">
        <f t="shared" si="1"/>
        <v>PMC MINERS 1</v>
      </c>
      <c r="W24" s="116" t="s">
        <v>2714</v>
      </c>
    </row>
    <row r="25" spans="2:35" x14ac:dyDescent="0.25">
      <c r="B25" s="77" t="s">
        <v>94</v>
      </c>
      <c r="C25" s="77" t="s">
        <v>38</v>
      </c>
      <c r="D25" s="77" t="s">
        <v>102</v>
      </c>
      <c r="E25" s="77" t="s">
        <v>36</v>
      </c>
      <c r="F25" s="245" t="str">
        <f t="shared" si="2"/>
        <v>StpS 77</v>
      </c>
      <c r="G25" s="77" t="s">
        <v>1507</v>
      </c>
      <c r="H25" s="77"/>
      <c r="I25" s="77" t="str">
        <f t="shared" si="0"/>
        <v>L07_GHV_034W_STOPE</v>
      </c>
      <c r="J25" s="77" t="s">
        <v>5110</v>
      </c>
      <c r="K25" s="169">
        <f>IFERROR(MATCH(J25,'Final List'!$B$4:$B$252,0),0)</f>
        <v>0</v>
      </c>
      <c r="L25" s="169">
        <f>IFERROR(MATCH(J25,'Final List'!$D$4:$D$252,0),0)</f>
        <v>0</v>
      </c>
      <c r="M25" s="169">
        <f>IFERROR(MATCH(J25,'Final List'!$F$4:$F$251,0),0)</f>
        <v>0</v>
      </c>
      <c r="N25" s="169">
        <f>IFERROR(MATCH(J25,'Final List'!$H$4:$H$252,0),0)</f>
        <v>0</v>
      </c>
      <c r="O25" s="169">
        <f>IFERROR(MATCH(J25,'Final List'!$J$4:$J$252,0),0)</f>
        <v>0</v>
      </c>
      <c r="P25" s="169">
        <f>IFERROR(MATCH(J25,'Final List'!$L$4:$L$252,0),0)</f>
        <v>0</v>
      </c>
      <c r="Q25" s="169">
        <f>IFERROR(MATCH(J25,'Final List'!$N$4:$N$252,0),0)</f>
        <v>0</v>
      </c>
      <c r="R25" s="169">
        <f>IFERROR(MATCH(J25,'Final List'!$P$4:$P$252,0),0)</f>
        <v>0</v>
      </c>
      <c r="S25" s="169">
        <f t="shared" si="3"/>
        <v>0</v>
      </c>
      <c r="T25" s="116" t="s">
        <v>68</v>
      </c>
      <c r="U25" s="116"/>
      <c r="V25" s="116" t="str">
        <f t="shared" si="1"/>
        <v>FERNANDEZ 1</v>
      </c>
      <c r="W25" s="116" t="s">
        <v>2713</v>
      </c>
      <c r="AG25" t="e">
        <f>+V10-LIST2!W2304SPV26</f>
        <v>#VALUE!</v>
      </c>
    </row>
    <row r="26" spans="2:35" x14ac:dyDescent="0.25">
      <c r="B26" s="77" t="s">
        <v>94</v>
      </c>
      <c r="C26" s="77" t="s">
        <v>57</v>
      </c>
      <c r="D26" s="77" t="s">
        <v>143</v>
      </c>
      <c r="E26" s="77" t="s">
        <v>221</v>
      </c>
      <c r="F26" s="245" t="str">
        <f t="shared" si="2"/>
        <v>RobC 80</v>
      </c>
      <c r="G26" s="77" t="s">
        <v>577</v>
      </c>
      <c r="H26" s="77" t="s">
        <v>5719</v>
      </c>
      <c r="I26" s="77" t="str">
        <f t="shared" si="0"/>
        <v>L07_JVSPLIT_032E_WINZE STOPE</v>
      </c>
      <c r="J26" s="77" t="s">
        <v>4828</v>
      </c>
      <c r="K26" s="169">
        <f>IFERROR(MATCH(J26,'Final List'!$B$4:$B$252,0),0)</f>
        <v>0</v>
      </c>
      <c r="L26" s="169">
        <f>IFERROR(MATCH(J26,'Final List'!$D$4:$D$252,0),0)</f>
        <v>0</v>
      </c>
      <c r="M26" s="169">
        <f>IFERROR(MATCH(J26,'Final List'!$F$4:$F$251,0),0)</f>
        <v>0</v>
      </c>
      <c r="N26" s="169">
        <f>IFERROR(MATCH(J26,'Final List'!$H$4:$H$252,0),0)</f>
        <v>0</v>
      </c>
      <c r="O26" s="169">
        <f>IFERROR(MATCH(J26,'Final List'!$J$4:$J$252,0),0)</f>
        <v>0</v>
      </c>
      <c r="P26" s="169">
        <f>IFERROR(MATCH(J26,'Final List'!$L$4:$L$252,0),0)</f>
        <v>0</v>
      </c>
      <c r="Q26" s="169">
        <f>IFERROR(MATCH(J26,'Final List'!$N$4:$N$252,0),0)</f>
        <v>0</v>
      </c>
      <c r="R26" s="169">
        <f>IFERROR(MATCH(J26,'Final List'!$P$4:$P$252,0),0)</f>
        <v>0</v>
      </c>
      <c r="S26" s="169">
        <f t="shared" si="3"/>
        <v>0</v>
      </c>
      <c r="T26" s="116" t="s">
        <v>68</v>
      </c>
      <c r="U26" s="116"/>
      <c r="V26" s="116" t="str">
        <f t="shared" si="1"/>
        <v>DAVOCOL 1</v>
      </c>
      <c r="W26" s="116" t="s">
        <v>2719</v>
      </c>
      <c r="AC26" t="e">
        <f>+R11-LIST2!1725:174547</f>
        <v>#VALUE!</v>
      </c>
      <c r="AD26" t="e">
        <f>+S11-LIST2!B1717L1S27</f>
        <v>#NAME?</v>
      </c>
      <c r="AE26" t="e">
        <f>+T10-LIST2!W327426</f>
        <v>#VALUE!</v>
      </c>
    </row>
    <row r="27" spans="2:35" x14ac:dyDescent="0.25">
      <c r="B27" s="77" t="s">
        <v>95</v>
      </c>
      <c r="C27" s="77" t="s">
        <v>45</v>
      </c>
      <c r="D27" s="77" t="s">
        <v>1230</v>
      </c>
      <c r="E27" s="77" t="s">
        <v>60</v>
      </c>
      <c r="F27" s="245" t="str">
        <f t="shared" si="2"/>
        <v>Dhoz 71</v>
      </c>
      <c r="G27" s="77" t="s">
        <v>306</v>
      </c>
      <c r="H27" s="77" t="s">
        <v>1024</v>
      </c>
      <c r="I27" s="77" t="str">
        <f t="shared" si="0"/>
        <v>L08_DPVE_075E_DE</v>
      </c>
      <c r="J27" s="77" t="s">
        <v>5522</v>
      </c>
      <c r="K27" s="169">
        <f>IFERROR(MATCH(J27,'Final List'!$B$4:$B$252,0),0)</f>
        <v>0</v>
      </c>
      <c r="L27" s="169">
        <f>IFERROR(MATCH(J27,'Final List'!$D$4:$D$252,0),0)</f>
        <v>0</v>
      </c>
      <c r="M27" s="169">
        <f>IFERROR(MATCH(J27,'Final List'!$F$4:$F$251,0),0)</f>
        <v>0</v>
      </c>
      <c r="N27" s="169">
        <f>IFERROR(MATCH(J27,'Final List'!$H$4:$H$252,0),0)</f>
        <v>0</v>
      </c>
      <c r="O27" s="169">
        <f>IFERROR(MATCH(J27,'Final List'!$J$4:$J$252,0),0)</f>
        <v>0</v>
      </c>
      <c r="P27" s="169">
        <f>IFERROR(MATCH(J27,'Final List'!$L$4:$L$252,0),0)</f>
        <v>0</v>
      </c>
      <c r="Q27" s="169">
        <f>IFERROR(MATCH(J27,'Final List'!$N$4:$N$252,0),0)</f>
        <v>0</v>
      </c>
      <c r="R27" s="169">
        <f>IFERROR(MATCH(J27,'Final List'!$P$4:$P$252,0),0)</f>
        <v>0</v>
      </c>
      <c r="S27" s="169">
        <f t="shared" si="3"/>
        <v>0</v>
      </c>
      <c r="T27" s="116"/>
      <c r="U27" s="116"/>
      <c r="V27" s="116" t="str">
        <f t="shared" si="1"/>
        <v>SHEPHERD X 1</v>
      </c>
      <c r="W27" s="116" t="s">
        <v>2708</v>
      </c>
    </row>
    <row r="28" spans="2:35" x14ac:dyDescent="0.25">
      <c r="B28" s="77" t="s">
        <v>95</v>
      </c>
      <c r="C28" s="77" t="s">
        <v>38</v>
      </c>
      <c r="D28" s="77" t="s">
        <v>159</v>
      </c>
      <c r="E28" s="77" t="s">
        <v>60</v>
      </c>
      <c r="F28" s="245" t="str">
        <f t="shared" si="2"/>
        <v>Dhoz 71</v>
      </c>
      <c r="G28" s="77" t="s">
        <v>467</v>
      </c>
      <c r="H28" s="77"/>
      <c r="I28" s="77" t="str">
        <f t="shared" si="0"/>
        <v>L08_GHV_023E_DE</v>
      </c>
      <c r="J28" s="77" t="s">
        <v>5523</v>
      </c>
      <c r="K28" s="169">
        <f>IFERROR(MATCH(J28,'Final List'!$B$4:$B$252,0),0)</f>
        <v>0</v>
      </c>
      <c r="L28" s="169">
        <f>IFERROR(MATCH(J28,'Final List'!$D$4:$D$252,0),0)</f>
        <v>0</v>
      </c>
      <c r="M28" s="169">
        <f>IFERROR(MATCH(J28,'Final List'!$F$4:$F$251,0),0)</f>
        <v>0</v>
      </c>
      <c r="N28" s="169">
        <f>IFERROR(MATCH(J28,'Final List'!$H$4:$H$252,0),0)</f>
        <v>0</v>
      </c>
      <c r="O28" s="169">
        <f>IFERROR(MATCH(J28,'Final List'!$J$4:$J$252,0),0)</f>
        <v>0</v>
      </c>
      <c r="P28" s="169">
        <f>IFERROR(MATCH(J28,'Final List'!$L$4:$L$252,0),0)</f>
        <v>0</v>
      </c>
      <c r="Q28" s="169">
        <f>IFERROR(MATCH(J28,'Final List'!$N$4:$N$252,0),0)</f>
        <v>0</v>
      </c>
      <c r="R28" s="169">
        <f>IFERROR(MATCH(J28,'Final List'!$P$4:$P$252,0),0)</f>
        <v>0</v>
      </c>
      <c r="S28" s="169">
        <f t="shared" si="3"/>
        <v>0</v>
      </c>
      <c r="T28" s="116"/>
      <c r="U28" s="116"/>
      <c r="V28" s="116" t="str">
        <f t="shared" si="1"/>
        <v>AGLOLO 2</v>
      </c>
      <c r="W28" s="116" t="s">
        <v>2708</v>
      </c>
      <c r="AI28">
        <f>+X12-LIST2!X29</f>
        <v>0</v>
      </c>
    </row>
    <row r="29" spans="2:35" x14ac:dyDescent="0.25">
      <c r="B29" s="77" t="s">
        <v>95</v>
      </c>
      <c r="C29" s="77" t="s">
        <v>59</v>
      </c>
      <c r="D29" s="77" t="s">
        <v>161</v>
      </c>
      <c r="E29" s="77" t="s">
        <v>19</v>
      </c>
      <c r="F29" s="245" t="str">
        <f t="shared" si="2"/>
        <v>DVR 72</v>
      </c>
      <c r="G29" s="77" t="s">
        <v>367</v>
      </c>
      <c r="H29" s="77"/>
      <c r="I29" s="77" t="str">
        <f t="shared" si="0"/>
        <v>L08_GHVHW_044E_RAISE</v>
      </c>
      <c r="J29" s="77" t="s">
        <v>5017</v>
      </c>
      <c r="K29" s="169">
        <f>IFERROR(MATCH(J29,'Final List'!$B$4:$B$252,0),0)</f>
        <v>0</v>
      </c>
      <c r="L29" s="169">
        <f>IFERROR(MATCH(J29,'Final List'!$D$4:$D$252,0),0)</f>
        <v>0</v>
      </c>
      <c r="M29" s="169">
        <f>IFERROR(MATCH(J29,'Final List'!$F$4:$F$251,0),0)</f>
        <v>0</v>
      </c>
      <c r="N29" s="169">
        <f>IFERROR(MATCH(J29,'Final List'!$H$4:$H$252,0),0)</f>
        <v>0</v>
      </c>
      <c r="O29" s="169">
        <f>IFERROR(MATCH(J29,'Final List'!$J$4:$J$252,0),0)</f>
        <v>0</v>
      </c>
      <c r="P29" s="169">
        <f>IFERROR(MATCH(J29,'Final List'!$L$4:$L$252,0),0)</f>
        <v>0</v>
      </c>
      <c r="Q29" s="169">
        <f>IFERROR(MATCH(J29,'Final List'!$N$4:$N$252,0),0)</f>
        <v>0</v>
      </c>
      <c r="R29" s="169">
        <f>IFERROR(MATCH(J29,'Final List'!$P$4:$P$252,0),0)</f>
        <v>0</v>
      </c>
      <c r="S29" s="169">
        <f t="shared" si="3"/>
        <v>0</v>
      </c>
      <c r="T29" s="116"/>
      <c r="U29" s="116"/>
      <c r="V29" s="116" t="str">
        <f t="shared" si="1"/>
        <v>LERIO 1</v>
      </c>
      <c r="W29" s="116" t="s">
        <v>2710</v>
      </c>
    </row>
    <row r="30" spans="2:35" x14ac:dyDescent="0.25">
      <c r="B30" s="77" t="s">
        <v>95</v>
      </c>
      <c r="C30" s="77" t="s">
        <v>87</v>
      </c>
      <c r="D30" s="77" t="s">
        <v>143</v>
      </c>
      <c r="E30" s="77" t="s">
        <v>19</v>
      </c>
      <c r="F30" s="245" t="str">
        <f t="shared" si="2"/>
        <v>DVR 72</v>
      </c>
      <c r="G30" s="77" t="s">
        <v>274</v>
      </c>
      <c r="H30" s="77"/>
      <c r="I30" s="77" t="str">
        <f t="shared" si="0"/>
        <v>L08_NONE_032E_RAISE</v>
      </c>
      <c r="J30" s="77" t="s">
        <v>1243</v>
      </c>
      <c r="K30" s="169">
        <f>IFERROR(MATCH(J30,'Final List'!$B$4:$B$252,0),0)</f>
        <v>0</v>
      </c>
      <c r="L30" s="169">
        <f>IFERROR(MATCH(J30,'Final List'!$D$4:$D$252,0),0)</f>
        <v>0</v>
      </c>
      <c r="M30" s="169">
        <f>IFERROR(MATCH(J30,'Final List'!$F$4:$F$251,0),0)</f>
        <v>0</v>
      </c>
      <c r="N30" s="169">
        <f>IFERROR(MATCH(J30,'Final List'!$H$4:$H$252,0),0)</f>
        <v>0</v>
      </c>
      <c r="O30" s="169">
        <f>IFERROR(MATCH(J30,'Final List'!$J$4:$J$252,0),0)</f>
        <v>0</v>
      </c>
      <c r="P30" s="169">
        <f>IFERROR(MATCH(J30,'Final List'!$L$4:$L$252,0),0)</f>
        <v>0</v>
      </c>
      <c r="Q30" s="169">
        <f>IFERROR(MATCH(J30,'Final List'!$N$4:$N$252,0),0)</f>
        <v>0</v>
      </c>
      <c r="R30" s="169">
        <f>IFERROR(MATCH(J30,'Final List'!$P$4:$P$252,0),0)</f>
        <v>0</v>
      </c>
      <c r="S30" s="169">
        <f t="shared" si="3"/>
        <v>0</v>
      </c>
      <c r="T30" s="116"/>
      <c r="U30" s="116"/>
      <c r="V30" s="116" t="str">
        <f t="shared" si="1"/>
        <v>PMC MINERS 2</v>
      </c>
      <c r="W30" s="116" t="s">
        <v>2714</v>
      </c>
    </row>
    <row r="31" spans="2:35" x14ac:dyDescent="0.25">
      <c r="B31" s="77" t="s">
        <v>95</v>
      </c>
      <c r="C31" s="77" t="s">
        <v>38</v>
      </c>
      <c r="D31" s="77" t="s">
        <v>106</v>
      </c>
      <c r="E31" s="77" t="s">
        <v>36</v>
      </c>
      <c r="F31" s="245" t="str">
        <f t="shared" si="2"/>
        <v>StpS 77</v>
      </c>
      <c r="G31" s="77" t="s">
        <v>475</v>
      </c>
      <c r="H31" s="77"/>
      <c r="I31" s="77" t="str">
        <f t="shared" si="0"/>
        <v>L08_GHV_033W_STOPE</v>
      </c>
      <c r="J31" s="77" t="s">
        <v>4413</v>
      </c>
      <c r="K31" s="169">
        <f>IFERROR(MATCH(J31,'Final List'!$B$4:$B$252,0),0)</f>
        <v>0</v>
      </c>
      <c r="L31" s="169">
        <f>IFERROR(MATCH(J31,'Final List'!$D$4:$D$252,0),0)</f>
        <v>0</v>
      </c>
      <c r="M31" s="169">
        <f>IFERROR(MATCH(J31,'Final List'!$F$4:$F$251,0),0)</f>
        <v>0</v>
      </c>
      <c r="N31" s="169">
        <f>IFERROR(MATCH(J31,'Final List'!$H$4:$H$252,0),0)</f>
        <v>0</v>
      </c>
      <c r="O31" s="169">
        <f>IFERROR(MATCH(J31,'Final List'!$J$4:$J$252,0),0)</f>
        <v>0</v>
      </c>
      <c r="P31" s="169">
        <f>IFERROR(MATCH(J31,'Final List'!$L$4:$L$252,0),0)</f>
        <v>0</v>
      </c>
      <c r="Q31" s="169">
        <f>IFERROR(MATCH(J31,'Final List'!$N$4:$N$252,0),0)</f>
        <v>0</v>
      </c>
      <c r="R31" s="169">
        <f>IFERROR(MATCH(J31,'Final List'!$P$4:$P$252,0),0)</f>
        <v>0</v>
      </c>
      <c r="S31" s="169">
        <f t="shared" si="3"/>
        <v>0</v>
      </c>
      <c r="T31" s="116" t="s">
        <v>68</v>
      </c>
      <c r="U31" s="116"/>
      <c r="V31" s="116" t="str">
        <f t="shared" si="1"/>
        <v>TORMIS 2</v>
      </c>
      <c r="W31" s="116" t="s">
        <v>2713</v>
      </c>
    </row>
    <row r="32" spans="2:35" x14ac:dyDescent="0.25">
      <c r="B32" s="77" t="s">
        <v>95</v>
      </c>
      <c r="C32" s="77" t="s">
        <v>38</v>
      </c>
      <c r="D32" s="77" t="s">
        <v>102</v>
      </c>
      <c r="E32" s="77" t="s">
        <v>36</v>
      </c>
      <c r="F32" s="245" t="str">
        <f t="shared" si="2"/>
        <v>StpS 77</v>
      </c>
      <c r="G32" s="77" t="s">
        <v>476</v>
      </c>
      <c r="H32" s="77" t="s">
        <v>306</v>
      </c>
      <c r="I32" s="77" t="str">
        <f t="shared" si="0"/>
        <v>L08_GHV_034W_STOPE</v>
      </c>
      <c r="J32" s="77" t="s">
        <v>4598</v>
      </c>
      <c r="K32" s="169">
        <f>IFERROR(MATCH(J32,'Final List'!$B$4:$B$252,0),0)</f>
        <v>0</v>
      </c>
      <c r="L32" s="169">
        <f>IFERROR(MATCH(J32,'Final List'!$D$4:$D$252,0),0)</f>
        <v>0</v>
      </c>
      <c r="M32" s="169">
        <f>IFERROR(MATCH(J32,'Final List'!$F$4:$F$251,0),0)</f>
        <v>0</v>
      </c>
      <c r="N32" s="169">
        <f>IFERROR(MATCH(J32,'Final List'!$H$4:$H$252,0),0)</f>
        <v>0</v>
      </c>
      <c r="O32" s="169">
        <f>IFERROR(MATCH(J32,'Final List'!$J$4:$J$252,0),0)</f>
        <v>0</v>
      </c>
      <c r="P32" s="169">
        <f>IFERROR(MATCH(J32,'Final List'!$L$4:$L$252,0),0)</f>
        <v>0</v>
      </c>
      <c r="Q32" s="169">
        <f>IFERROR(MATCH(J32,'Final List'!$N$4:$N$252,0),0)</f>
        <v>0</v>
      </c>
      <c r="R32" s="169">
        <f>IFERROR(MATCH(J32,'Final List'!$P$4:$P$252,0),0)</f>
        <v>0</v>
      </c>
      <c r="S32" s="169">
        <f t="shared" si="3"/>
        <v>0</v>
      </c>
      <c r="T32" s="116" t="s">
        <v>280</v>
      </c>
      <c r="U32" s="116"/>
      <c r="V32" s="116" t="str">
        <f t="shared" si="1"/>
        <v>CABONITA 2</v>
      </c>
      <c r="W32" s="116" t="s">
        <v>2713</v>
      </c>
    </row>
    <row r="33" spans="2:23" x14ac:dyDescent="0.25">
      <c r="B33" s="77" t="s">
        <v>95</v>
      </c>
      <c r="C33" s="77" t="s">
        <v>45</v>
      </c>
      <c r="D33" s="77" t="s">
        <v>197</v>
      </c>
      <c r="E33" s="77" t="s">
        <v>221</v>
      </c>
      <c r="F33" s="245" t="str">
        <f t="shared" si="2"/>
        <v>RobC 80</v>
      </c>
      <c r="G33" s="77" t="s">
        <v>305</v>
      </c>
      <c r="H33" s="77"/>
      <c r="I33" s="77" t="str">
        <f t="shared" si="0"/>
        <v>L08_DPVE_070E_WINZE STOPE</v>
      </c>
      <c r="J33" s="77" t="s">
        <v>5133</v>
      </c>
      <c r="K33" s="169">
        <f>IFERROR(MATCH(J33,'Final List'!$B$4:$B$252,0),0)</f>
        <v>0</v>
      </c>
      <c r="L33" s="169">
        <f>IFERROR(MATCH(J33,'Final List'!$D$4:$D$252,0),0)</f>
        <v>0</v>
      </c>
      <c r="M33" s="169">
        <f>IFERROR(MATCH(J33,'Final List'!$F$4:$F$251,0),0)</f>
        <v>0</v>
      </c>
      <c r="N33" s="169">
        <f>IFERROR(MATCH(J33,'Final List'!$H$4:$H$252,0),0)</f>
        <v>0</v>
      </c>
      <c r="O33" s="169">
        <f>IFERROR(MATCH(J33,'Final List'!$J$4:$J$252,0),0)</f>
        <v>0</v>
      </c>
      <c r="P33" s="169">
        <f>IFERROR(MATCH(J33,'Final List'!$L$4:$L$252,0),0)</f>
        <v>0</v>
      </c>
      <c r="Q33" s="169">
        <f>IFERROR(MATCH(J33,'Final List'!$N$4:$N$252,0),0)</f>
        <v>0</v>
      </c>
      <c r="R33" s="169">
        <f>IFERROR(MATCH(J33,'Final List'!$P$4:$P$252,0),0)</f>
        <v>0</v>
      </c>
      <c r="S33" s="169">
        <f t="shared" si="3"/>
        <v>0</v>
      </c>
      <c r="T33" s="116" t="s">
        <v>68</v>
      </c>
      <c r="U33" s="116"/>
      <c r="V33" s="116" t="str">
        <f t="shared" si="1"/>
        <v>CABONITA 1</v>
      </c>
      <c r="W33" s="77" t="s">
        <v>2705</v>
      </c>
    </row>
    <row r="34" spans="2:23" x14ac:dyDescent="0.25">
      <c r="B34" s="77" t="s">
        <v>96</v>
      </c>
      <c r="C34" s="77" t="s">
        <v>46</v>
      </c>
      <c r="D34" s="77" t="s">
        <v>247</v>
      </c>
      <c r="E34" s="77" t="s">
        <v>36</v>
      </c>
      <c r="F34" s="245" t="str">
        <f t="shared" si="2"/>
        <v>StpS 77</v>
      </c>
      <c r="G34" s="77" t="s">
        <v>4122</v>
      </c>
      <c r="H34" s="77"/>
      <c r="I34" s="77" t="str">
        <f t="shared" si="0"/>
        <v>L09_DPVE2_080E_STOPE</v>
      </c>
      <c r="J34" s="77" t="s">
        <v>4980</v>
      </c>
      <c r="K34" s="169">
        <f>IFERROR(MATCH(J34,'Final List'!$B$4:$B$252,0),0)</f>
        <v>0</v>
      </c>
      <c r="L34" s="169">
        <f>IFERROR(MATCH(J34,'Final List'!$D$4:$D$252,0),0)</f>
        <v>0</v>
      </c>
      <c r="M34" s="169">
        <f>IFERROR(MATCH(J34,'Final List'!$F$4:$F$251,0),0)</f>
        <v>0</v>
      </c>
      <c r="N34" s="169">
        <f>IFERROR(MATCH(J34,'Final List'!$H$4:$H$252,0),0)</f>
        <v>0</v>
      </c>
      <c r="O34" s="169">
        <f>IFERROR(MATCH(J34,'Final List'!$J$4:$J$252,0),0)</f>
        <v>0</v>
      </c>
      <c r="P34" s="169">
        <f>IFERROR(MATCH(J34,'Final List'!$L$4:$L$252,0),0)</f>
        <v>0</v>
      </c>
      <c r="Q34" s="169">
        <f>IFERROR(MATCH(J34,'Final List'!$N$4:$N$252,0),0)</f>
        <v>0</v>
      </c>
      <c r="R34" s="169">
        <f>IFERROR(MATCH(J34,'Final List'!$P$4:$P$252,0),0)</f>
        <v>0</v>
      </c>
      <c r="S34" s="169">
        <f t="shared" si="3"/>
        <v>0</v>
      </c>
      <c r="T34" s="116" t="s">
        <v>68</v>
      </c>
      <c r="U34" s="116"/>
      <c r="V34" s="116" t="str">
        <f t="shared" si="1"/>
        <v>PANCIT NOEL 2</v>
      </c>
      <c r="W34" s="116" t="s">
        <v>2713</v>
      </c>
    </row>
    <row r="35" spans="2:23" x14ac:dyDescent="0.25">
      <c r="B35" s="77" t="s">
        <v>96</v>
      </c>
      <c r="C35" s="77" t="s">
        <v>46</v>
      </c>
      <c r="D35" s="77" t="s">
        <v>4482</v>
      </c>
      <c r="E35" s="77" t="s">
        <v>36</v>
      </c>
      <c r="F35" s="245" t="str">
        <f t="shared" si="2"/>
        <v>StpS 77</v>
      </c>
      <c r="G35" s="77" t="s">
        <v>363</v>
      </c>
      <c r="H35" s="77"/>
      <c r="I35" s="77" t="str">
        <f t="shared" si="0"/>
        <v>L09_DPVE2_084E_STOPE</v>
      </c>
      <c r="J35" s="77" t="s">
        <v>5221</v>
      </c>
      <c r="K35" s="169">
        <f>IFERROR(MATCH(J35,'Final List'!$B$4:$B$252,0),0)</f>
        <v>0</v>
      </c>
      <c r="L35" s="169">
        <f>IFERROR(MATCH(J35,'Final List'!$D$4:$D$252,0),0)</f>
        <v>0</v>
      </c>
      <c r="M35" s="169">
        <f>IFERROR(MATCH(J35,'Final List'!$F$4:$F$251,0),0)</f>
        <v>0</v>
      </c>
      <c r="N35" s="169">
        <f>IFERROR(MATCH(J35,'Final List'!$H$4:$H$252,0),0)</f>
        <v>0</v>
      </c>
      <c r="O35" s="169">
        <f>IFERROR(MATCH(J35,'Final List'!$J$4:$J$252,0),0)</f>
        <v>0</v>
      </c>
      <c r="P35" s="169">
        <f>IFERROR(MATCH(J35,'Final List'!$L$4:$L$252,0),0)</f>
        <v>0</v>
      </c>
      <c r="Q35" s="169">
        <f>IFERROR(MATCH(J35,'Final List'!$N$4:$N$252,0),0)</f>
        <v>0</v>
      </c>
      <c r="R35" s="169">
        <f>IFERROR(MATCH(J35,'Final List'!$P$4:$P$252,0),0)</f>
        <v>0</v>
      </c>
      <c r="S35" s="169">
        <f t="shared" si="3"/>
        <v>0</v>
      </c>
      <c r="T35" s="116" t="s">
        <v>68</v>
      </c>
      <c r="U35" s="116"/>
      <c r="V35" s="116" t="str">
        <f t="shared" si="1"/>
        <v>BABOR 2</v>
      </c>
      <c r="W35" s="116" t="s">
        <v>2713</v>
      </c>
    </row>
    <row r="36" spans="2:23" x14ac:dyDescent="0.25">
      <c r="B36" s="77" t="s">
        <v>96</v>
      </c>
      <c r="C36" s="77" t="s">
        <v>87</v>
      </c>
      <c r="D36" s="77" t="s">
        <v>177</v>
      </c>
      <c r="E36" s="77" t="s">
        <v>63</v>
      </c>
      <c r="F36" s="245" t="str">
        <f t="shared" si="2"/>
        <v>Dhoz 71</v>
      </c>
      <c r="G36" s="77" t="s">
        <v>747</v>
      </c>
      <c r="H36" s="77" t="s">
        <v>5057</v>
      </c>
      <c r="I36" s="77" t="str">
        <f t="shared" si="0"/>
        <v>L09_NONE_054E_XCS</v>
      </c>
      <c r="J36" s="77" t="s">
        <v>896</v>
      </c>
      <c r="K36" s="169">
        <f>IFERROR(MATCH(J36,'Final List'!$B$4:$B$252,0),0)</f>
        <v>0</v>
      </c>
      <c r="L36" s="169">
        <f>IFERROR(MATCH(J36,'Final List'!$D$4:$D$252,0),0)</f>
        <v>0</v>
      </c>
      <c r="M36" s="169">
        <f>IFERROR(MATCH(J36,'Final List'!$F$4:$F$251,0),0)</f>
        <v>0</v>
      </c>
      <c r="N36" s="169">
        <f>IFERROR(MATCH(J36,'Final List'!$H$4:$H$252,0),0)</f>
        <v>0</v>
      </c>
      <c r="O36" s="169">
        <f>IFERROR(MATCH(J36,'Final List'!$J$4:$J$252,0),0)</f>
        <v>0</v>
      </c>
      <c r="P36" s="169">
        <f>IFERROR(MATCH(J36,'Final List'!$L$4:$L$252,0),0)</f>
        <v>0</v>
      </c>
      <c r="Q36" s="169">
        <f>IFERROR(MATCH(J36,'Final List'!$N$4:$N$252,0),0)</f>
        <v>0</v>
      </c>
      <c r="R36" s="169">
        <f>IFERROR(MATCH(J36,'Final List'!$P$4:$P$252,0),0)</f>
        <v>0</v>
      </c>
      <c r="S36" s="169">
        <f t="shared" si="3"/>
        <v>0</v>
      </c>
      <c r="T36" s="116"/>
      <c r="U36" s="116"/>
      <c r="V36" s="116" t="str">
        <f t="shared" si="1"/>
        <v>DELOS REYES V 1</v>
      </c>
      <c r="W36" s="116" t="s">
        <v>8898</v>
      </c>
    </row>
    <row r="37" spans="2:23" x14ac:dyDescent="0.25">
      <c r="B37" s="77" t="s">
        <v>258</v>
      </c>
      <c r="C37" s="77" t="s">
        <v>56</v>
      </c>
      <c r="D37" s="77" t="s">
        <v>198</v>
      </c>
      <c r="E37" s="77" t="s">
        <v>60</v>
      </c>
      <c r="F37" s="245" t="str">
        <f t="shared" si="2"/>
        <v>Dhoz 71</v>
      </c>
      <c r="G37" s="77" t="s">
        <v>296</v>
      </c>
      <c r="H37" s="77" t="s">
        <v>5704</v>
      </c>
      <c r="I37" s="77" t="str">
        <f t="shared" si="0"/>
        <v>L10_GHVFW_069E_DE</v>
      </c>
      <c r="J37" s="77" t="s">
        <v>5558</v>
      </c>
      <c r="K37" s="169">
        <f>IFERROR(MATCH(J37,'Final List'!$B$4:$B$252,0),0)</f>
        <v>0</v>
      </c>
      <c r="L37" s="169">
        <f>IFERROR(MATCH(J37,'Final List'!$D$4:$D$252,0),0)</f>
        <v>0</v>
      </c>
      <c r="M37" s="169">
        <f>IFERROR(MATCH(J37,'Final List'!$F$4:$F$251,0),0)</f>
        <v>0</v>
      </c>
      <c r="N37" s="169">
        <f>IFERROR(MATCH(J37,'Final List'!$H$4:$H$252,0),0)</f>
        <v>0</v>
      </c>
      <c r="O37" s="169">
        <f>IFERROR(MATCH(J37,'Final List'!$J$4:$J$252,0),0)</f>
        <v>0</v>
      </c>
      <c r="P37" s="169">
        <f>IFERROR(MATCH(J37,'Final List'!$L$4:$L$252,0),0)</f>
        <v>0</v>
      </c>
      <c r="Q37" s="169">
        <f>IFERROR(MATCH(J37,'Final List'!$N$4:$N$252,0),0)</f>
        <v>0</v>
      </c>
      <c r="R37" s="169">
        <f>IFERROR(MATCH(J37,'Final List'!$P$4:$P$252,0),0)</f>
        <v>0</v>
      </c>
      <c r="S37" s="169">
        <f t="shared" si="3"/>
        <v>0</v>
      </c>
      <c r="T37" s="116"/>
      <c r="U37" s="116"/>
      <c r="V37" s="116" t="str">
        <f t="shared" si="1"/>
        <v>OLIVEROS 3</v>
      </c>
      <c r="W37" s="116" t="s">
        <v>8896</v>
      </c>
    </row>
    <row r="38" spans="2:23" x14ac:dyDescent="0.25">
      <c r="B38" s="77" t="s">
        <v>258</v>
      </c>
      <c r="C38" s="77" t="s">
        <v>45</v>
      </c>
      <c r="D38" s="77" t="s">
        <v>180</v>
      </c>
      <c r="E38" s="77" t="s">
        <v>61</v>
      </c>
      <c r="F38" s="245" t="str">
        <f t="shared" si="2"/>
        <v>Dhoz 71</v>
      </c>
      <c r="G38" s="77" t="s">
        <v>373</v>
      </c>
      <c r="H38" s="77" t="s">
        <v>5926</v>
      </c>
      <c r="I38" s="77" t="str">
        <f t="shared" si="0"/>
        <v>L10_DPVE_041E_DW</v>
      </c>
      <c r="J38" s="77" t="s">
        <v>5093</v>
      </c>
      <c r="K38" s="169">
        <f>IFERROR(MATCH(J38,'Final List'!$B$4:$B$252,0),0)</f>
        <v>0</v>
      </c>
      <c r="L38" s="169">
        <f>IFERROR(MATCH(J38,'Final List'!$D$4:$D$252,0),0)</f>
        <v>0</v>
      </c>
      <c r="M38" s="169">
        <f>IFERROR(MATCH(J38,'Final List'!$F$4:$F$251,0),0)</f>
        <v>0</v>
      </c>
      <c r="N38" s="169">
        <f>IFERROR(MATCH(J38,'Final List'!$H$4:$H$252,0),0)</f>
        <v>0</v>
      </c>
      <c r="O38" s="169">
        <f>IFERROR(MATCH(J38,'Final List'!$J$4:$J$252,0),0)</f>
        <v>0</v>
      </c>
      <c r="P38" s="169">
        <f>IFERROR(MATCH(J38,'Final List'!$L$4:$L$252,0),0)</f>
        <v>0</v>
      </c>
      <c r="Q38" s="169">
        <f>IFERROR(MATCH(J38,'Final List'!$N$4:$N$252,0),0)</f>
        <v>0</v>
      </c>
      <c r="R38" s="169">
        <f>IFERROR(MATCH(J38,'Final List'!$P$4:$P$252,0),0)</f>
        <v>0</v>
      </c>
      <c r="S38" s="169">
        <f t="shared" si="3"/>
        <v>0</v>
      </c>
      <c r="T38" s="116"/>
      <c r="U38" s="116"/>
      <c r="V38" s="116" t="str">
        <f t="shared" si="1"/>
        <v>ALMASA</v>
      </c>
      <c r="W38" s="116" t="s">
        <v>8896</v>
      </c>
    </row>
    <row r="39" spans="2:23" x14ac:dyDescent="0.25">
      <c r="B39" s="77" t="s">
        <v>258</v>
      </c>
      <c r="C39" s="77" t="s">
        <v>59</v>
      </c>
      <c r="D39" s="77" t="s">
        <v>176</v>
      </c>
      <c r="E39" s="77" t="s">
        <v>61</v>
      </c>
      <c r="F39" s="245" t="str">
        <f t="shared" si="2"/>
        <v>Dhoz 71</v>
      </c>
      <c r="G39" s="77" t="s">
        <v>4155</v>
      </c>
      <c r="H39" s="77" t="s">
        <v>5701</v>
      </c>
      <c r="I39" s="77" t="str">
        <f t="shared" si="0"/>
        <v>L10_GHVHW_057E_DW</v>
      </c>
      <c r="J39" s="77" t="s">
        <v>6730</v>
      </c>
      <c r="K39" s="169">
        <f>IFERROR(MATCH(J39,'Final List'!$B$4:$B$252,0),0)</f>
        <v>0</v>
      </c>
      <c r="L39" s="169">
        <f>IFERROR(MATCH(J39,'Final List'!$D$4:$D$252,0),0)</f>
        <v>0</v>
      </c>
      <c r="M39" s="169">
        <f>IFERROR(MATCH(J39,'Final List'!$F$4:$F$251,0),0)</f>
        <v>0</v>
      </c>
      <c r="N39" s="169">
        <f>IFERROR(MATCH(J39,'Final List'!$H$4:$H$252,0),0)</f>
        <v>0</v>
      </c>
      <c r="O39" s="169">
        <f>IFERROR(MATCH(J39,'Final List'!$J$4:$J$252,0),0)</f>
        <v>0</v>
      </c>
      <c r="P39" s="169">
        <f>IFERROR(MATCH(J39,'Final List'!$L$4:$L$252,0),0)</f>
        <v>0</v>
      </c>
      <c r="Q39" s="169">
        <f>IFERROR(MATCH(J39,'Final List'!$N$4:$N$252,0),0)</f>
        <v>0</v>
      </c>
      <c r="R39" s="169">
        <f>IFERROR(MATCH(J39,'Final List'!$P$4:$P$252,0),0)</f>
        <v>0</v>
      </c>
      <c r="S39" s="169">
        <f t="shared" si="3"/>
        <v>0</v>
      </c>
      <c r="T39" s="116" t="s">
        <v>48</v>
      </c>
      <c r="U39" s="116"/>
      <c r="V39" s="116" t="str">
        <f t="shared" si="1"/>
        <v>LARGO 2</v>
      </c>
      <c r="W39" s="116" t="s">
        <v>8896</v>
      </c>
    </row>
    <row r="40" spans="2:23" x14ac:dyDescent="0.25">
      <c r="B40" s="77" t="s">
        <v>258</v>
      </c>
      <c r="C40" s="77" t="s">
        <v>45</v>
      </c>
      <c r="D40" s="77" t="s">
        <v>168</v>
      </c>
      <c r="E40" s="77" t="s">
        <v>19</v>
      </c>
      <c r="F40" s="245" t="str">
        <f t="shared" si="2"/>
        <v>DVR 72</v>
      </c>
      <c r="G40" s="77" t="s">
        <v>373</v>
      </c>
      <c r="H40" s="77"/>
      <c r="I40" s="77" t="str">
        <f t="shared" si="0"/>
        <v>L10_DPVE_047E_RAISE</v>
      </c>
      <c r="J40" s="77" t="s">
        <v>5018</v>
      </c>
      <c r="K40" s="169">
        <f>IFERROR(MATCH(J40,'Final List'!$B$4:$B$252,0),0)</f>
        <v>0</v>
      </c>
      <c r="L40" s="169">
        <f>IFERROR(MATCH(J40,'Final List'!$D$4:$D$252,0),0)</f>
        <v>0</v>
      </c>
      <c r="M40" s="169">
        <f>IFERROR(MATCH(J40,'Final List'!$F$4:$F$251,0),0)</f>
        <v>0</v>
      </c>
      <c r="N40" s="169">
        <f>IFERROR(MATCH(J40,'Final List'!$H$4:$H$252,0),0)</f>
        <v>0</v>
      </c>
      <c r="O40" s="169">
        <f>IFERROR(MATCH(J40,'Final List'!$J$4:$J$252,0),0)</f>
        <v>0</v>
      </c>
      <c r="P40" s="169">
        <f>IFERROR(MATCH(J40,'Final List'!$L$4:$L$252,0),0)</f>
        <v>0</v>
      </c>
      <c r="Q40" s="169">
        <f>IFERROR(MATCH(J40,'Final List'!$N$4:$N$252,0),0)</f>
        <v>0</v>
      </c>
      <c r="R40" s="169">
        <f>IFERROR(MATCH(J40,'Final List'!$P$4:$P$252,0),0)</f>
        <v>0</v>
      </c>
      <c r="S40" s="169">
        <f t="shared" si="3"/>
        <v>0</v>
      </c>
      <c r="T40" s="116"/>
      <c r="U40" s="116"/>
      <c r="V40" s="116" t="str">
        <f t="shared" si="1"/>
        <v>TAÑEZA 5</v>
      </c>
      <c r="W40" s="116" t="s">
        <v>2715</v>
      </c>
    </row>
    <row r="41" spans="2:23" x14ac:dyDescent="0.25">
      <c r="B41" s="77" t="s">
        <v>258</v>
      </c>
      <c r="C41" s="77" t="s">
        <v>45</v>
      </c>
      <c r="D41" s="77" t="s">
        <v>167</v>
      </c>
      <c r="E41" s="77" t="s">
        <v>19</v>
      </c>
      <c r="F41" s="245" t="str">
        <f t="shared" si="2"/>
        <v>DVR 72</v>
      </c>
      <c r="G41" s="77" t="s">
        <v>447</v>
      </c>
      <c r="H41" s="77" t="s">
        <v>13214</v>
      </c>
      <c r="I41" s="77" t="str">
        <f t="shared" si="0"/>
        <v>L10_DPVE_058E_RAISE</v>
      </c>
      <c r="J41" s="77" t="s">
        <v>3666</v>
      </c>
      <c r="K41" s="169">
        <f>IFERROR(MATCH(J41,'Final List'!$B$4:$B$252,0),0)</f>
        <v>0</v>
      </c>
      <c r="L41" s="169">
        <f>IFERROR(MATCH(J41,'Final List'!$D$4:$D$252,0),0)</f>
        <v>0</v>
      </c>
      <c r="M41" s="169">
        <f>IFERROR(MATCH(J41,'Final List'!$F$4:$F$251,0),0)</f>
        <v>0</v>
      </c>
      <c r="N41" s="169">
        <f>IFERROR(MATCH(J41,'Final List'!$H$4:$H$252,0),0)</f>
        <v>0</v>
      </c>
      <c r="O41" s="169">
        <f>IFERROR(MATCH(J41,'Final List'!$J$4:$J$252,0),0)</f>
        <v>0</v>
      </c>
      <c r="P41" s="169">
        <f>IFERROR(MATCH(J41,'Final List'!$L$4:$L$252,0),0)</f>
        <v>0</v>
      </c>
      <c r="Q41" s="169">
        <f>IFERROR(MATCH(J41,'Final List'!$N$4:$N$252,0),0)</f>
        <v>0</v>
      </c>
      <c r="R41" s="169">
        <f>IFERROR(MATCH(J41,'Final List'!$P$4:$P$252,0),0)</f>
        <v>0</v>
      </c>
      <c r="S41" s="169">
        <f t="shared" si="3"/>
        <v>0</v>
      </c>
      <c r="T41" s="116"/>
      <c r="U41" s="116"/>
      <c r="V41" s="116" t="str">
        <f t="shared" si="1"/>
        <v>NITRO AY 2</v>
      </c>
      <c r="W41" s="116" t="s">
        <v>2710</v>
      </c>
    </row>
    <row r="42" spans="2:23" x14ac:dyDescent="0.25">
      <c r="B42" s="77" t="s">
        <v>258</v>
      </c>
      <c r="C42" s="77" t="s">
        <v>45</v>
      </c>
      <c r="D42" s="77" t="s">
        <v>289</v>
      </c>
      <c r="E42" s="77" t="s">
        <v>19</v>
      </c>
      <c r="F42" s="245" t="str">
        <f t="shared" si="2"/>
        <v>DVR 72</v>
      </c>
      <c r="G42" s="77" t="s">
        <v>965</v>
      </c>
      <c r="H42" s="77" t="s">
        <v>448</v>
      </c>
      <c r="I42" s="77" t="str">
        <f t="shared" si="0"/>
        <v>L10_DPVE_059E_RAISE</v>
      </c>
      <c r="J42" s="77" t="s">
        <v>4261</v>
      </c>
      <c r="K42" s="169">
        <f>IFERROR(MATCH(J42,'Final List'!$B$4:$B$252,0),0)</f>
        <v>0</v>
      </c>
      <c r="L42" s="169">
        <f>IFERROR(MATCH(J42,'Final List'!$D$4:$D$252,0),0)</f>
        <v>0</v>
      </c>
      <c r="M42" s="169">
        <f>IFERROR(MATCH(J42,'Final List'!$F$4:$F$251,0),0)</f>
        <v>0</v>
      </c>
      <c r="N42" s="169">
        <f>IFERROR(MATCH(J42,'Final List'!$H$4:$H$252,0),0)</f>
        <v>0</v>
      </c>
      <c r="O42" s="169">
        <f>IFERROR(MATCH(J42,'Final List'!$J$4:$J$252,0),0)</f>
        <v>0</v>
      </c>
      <c r="P42" s="169">
        <f>IFERROR(MATCH(J42,'Final List'!$L$4:$L$252,0),0)</f>
        <v>0</v>
      </c>
      <c r="Q42" s="169">
        <f>IFERROR(MATCH(J42,'Final List'!$N$4:$N$252,0),0)</f>
        <v>0</v>
      </c>
      <c r="R42" s="169">
        <f>IFERROR(MATCH(J42,'Final List'!$P$4:$P$252,0),0)</f>
        <v>0</v>
      </c>
      <c r="S42" s="169">
        <f t="shared" si="3"/>
        <v>0</v>
      </c>
      <c r="T42" s="116"/>
      <c r="U42" s="116"/>
      <c r="V42" s="116" t="str">
        <f t="shared" si="1"/>
        <v>COMAINGKING 2</v>
      </c>
      <c r="W42" s="116" t="s">
        <v>2715</v>
      </c>
    </row>
    <row r="43" spans="2:23" x14ac:dyDescent="0.25">
      <c r="B43" s="77" t="s">
        <v>258</v>
      </c>
      <c r="C43" s="77" t="s">
        <v>59</v>
      </c>
      <c r="D43" s="77" t="s">
        <v>142</v>
      </c>
      <c r="E43" s="77" t="s">
        <v>19</v>
      </c>
      <c r="F43" s="245" t="str">
        <f t="shared" si="2"/>
        <v>DVR 72</v>
      </c>
      <c r="G43" s="77" t="s">
        <v>927</v>
      </c>
      <c r="H43" s="77" t="s">
        <v>5697</v>
      </c>
      <c r="I43" s="77" t="str">
        <f t="shared" si="0"/>
        <v>L10_GHVHW_038E_RAISE</v>
      </c>
      <c r="J43" s="77" t="s">
        <v>5761</v>
      </c>
      <c r="K43" s="169">
        <f>IFERROR(MATCH(J43,'Final List'!$B$4:$B$252,0),0)</f>
        <v>0</v>
      </c>
      <c r="L43" s="169">
        <f>IFERROR(MATCH(J43,'Final List'!$D$4:$D$252,0),0)</f>
        <v>0</v>
      </c>
      <c r="M43" s="169">
        <f>IFERROR(MATCH(J43,'Final List'!$F$4:$F$251,0),0)</f>
        <v>0</v>
      </c>
      <c r="N43" s="169">
        <f>IFERROR(MATCH(J43,'Final List'!$H$4:$H$252,0),0)</f>
        <v>0</v>
      </c>
      <c r="O43" s="169">
        <f>IFERROR(MATCH(J43,'Final List'!$J$4:$J$252,0),0)</f>
        <v>0</v>
      </c>
      <c r="P43" s="169">
        <f>IFERROR(MATCH(J43,'Final List'!$L$4:$L$252,0),0)</f>
        <v>0</v>
      </c>
      <c r="Q43" s="169">
        <f>IFERROR(MATCH(J43,'Final List'!$N$4:$N$252,0),0)</f>
        <v>0</v>
      </c>
      <c r="R43" s="169">
        <f>IFERROR(MATCH(J43,'Final List'!$P$4:$P$252,0),0)</f>
        <v>0</v>
      </c>
      <c r="S43" s="169">
        <f t="shared" si="3"/>
        <v>0</v>
      </c>
      <c r="T43" s="116"/>
      <c r="U43" s="116"/>
      <c r="V43" s="116" t="str">
        <f t="shared" si="1"/>
        <v>OLIVEROS 1</v>
      </c>
      <c r="W43" s="116" t="s">
        <v>2715</v>
      </c>
    </row>
    <row r="44" spans="2:23" x14ac:dyDescent="0.25">
      <c r="B44" s="77" t="s">
        <v>258</v>
      </c>
      <c r="C44" s="77" t="s">
        <v>45</v>
      </c>
      <c r="D44" s="77" t="s">
        <v>123</v>
      </c>
      <c r="E44" s="77" t="s">
        <v>36</v>
      </c>
      <c r="F44" s="245" t="str">
        <f t="shared" si="2"/>
        <v>StpL 78</v>
      </c>
      <c r="G44" s="77" t="s">
        <v>375</v>
      </c>
      <c r="H44" s="77"/>
      <c r="I44" s="77" t="str">
        <f t="shared" si="0"/>
        <v>L10_DPVE_031E_STOPE</v>
      </c>
      <c r="J44" s="77" t="s">
        <v>5213</v>
      </c>
      <c r="K44" s="169">
        <f>IFERROR(MATCH(J44,'Final List'!$B$4:$B$252,0),0)</f>
        <v>0</v>
      </c>
      <c r="L44" s="169">
        <f>IFERROR(MATCH(J44,'Final List'!$D$4:$D$252,0),0)</f>
        <v>0</v>
      </c>
      <c r="M44" s="169">
        <f>IFERROR(MATCH(J44,'Final List'!$F$4:$F$251,0),0)</f>
        <v>0</v>
      </c>
      <c r="N44" s="169">
        <f>IFERROR(MATCH(J44,'Final List'!$H$4:$H$252,0),0)</f>
        <v>0</v>
      </c>
      <c r="O44" s="169">
        <f>IFERROR(MATCH(J44,'Final List'!$J$4:$J$252,0),0)</f>
        <v>0</v>
      </c>
      <c r="P44" s="169">
        <f>IFERROR(MATCH(J44,'Final List'!$L$4:$L$252,0),0)</f>
        <v>0</v>
      </c>
      <c r="Q44" s="169">
        <f>IFERROR(MATCH(J44,'Final List'!$N$4:$N$252,0),0)</f>
        <v>0</v>
      </c>
      <c r="R44" s="169">
        <f>IFERROR(MATCH(J44,'Final List'!$P$4:$P$252,0),0)</f>
        <v>0</v>
      </c>
      <c r="S44" s="169">
        <f t="shared" si="3"/>
        <v>0</v>
      </c>
      <c r="T44" s="116" t="s">
        <v>48</v>
      </c>
      <c r="U44" s="116"/>
      <c r="V44" s="116" t="str">
        <f t="shared" si="1"/>
        <v>TAÑEZA 7</v>
      </c>
      <c r="W44" s="116" t="s">
        <v>2713</v>
      </c>
    </row>
    <row r="45" spans="2:23" x14ac:dyDescent="0.25">
      <c r="B45" s="77" t="s">
        <v>258</v>
      </c>
      <c r="C45" s="77" t="s">
        <v>38</v>
      </c>
      <c r="D45" s="77" t="s">
        <v>110</v>
      </c>
      <c r="E45" s="77" t="s">
        <v>36</v>
      </c>
      <c r="F45" s="245" t="str">
        <f t="shared" si="2"/>
        <v>StpS 77</v>
      </c>
      <c r="G45" s="77" t="s">
        <v>2994</v>
      </c>
      <c r="H45" s="77" t="s">
        <v>5700</v>
      </c>
      <c r="I45" s="77" t="str">
        <f t="shared" si="0"/>
        <v>L10_GHV_004E_STOPE</v>
      </c>
      <c r="J45" s="77" t="s">
        <v>1050</v>
      </c>
      <c r="K45" s="169">
        <f>IFERROR(MATCH(J45,'Final List'!$B$4:$B$252,0),0)</f>
        <v>0</v>
      </c>
      <c r="L45" s="169">
        <f>IFERROR(MATCH(J45,'Final List'!$D$4:$D$252,0),0)</f>
        <v>0</v>
      </c>
      <c r="M45" s="169">
        <f>IFERROR(MATCH(J45,'Final List'!$F$4:$F$251,0),0)</f>
        <v>0</v>
      </c>
      <c r="N45" s="169">
        <f>IFERROR(MATCH(J45,'Final List'!$H$4:$H$252,0),0)</f>
        <v>0</v>
      </c>
      <c r="O45" s="169">
        <f>IFERROR(MATCH(J45,'Final List'!$J$4:$J$252,0),0)</f>
        <v>0</v>
      </c>
      <c r="P45" s="169">
        <f>IFERROR(MATCH(J45,'Final List'!$L$4:$L$252,0),0)</f>
        <v>0</v>
      </c>
      <c r="Q45" s="169">
        <f>IFERROR(MATCH(J45,'Final List'!$N$4:$N$252,0),0)</f>
        <v>0</v>
      </c>
      <c r="R45" s="169">
        <f>IFERROR(MATCH(J45,'Final List'!$P$4:$P$252,0),0)</f>
        <v>0</v>
      </c>
      <c r="S45" s="169">
        <f t="shared" si="3"/>
        <v>0</v>
      </c>
      <c r="T45" s="116" t="s">
        <v>68</v>
      </c>
      <c r="U45" s="116"/>
      <c r="V45" s="116" t="str">
        <f t="shared" si="1"/>
        <v>LARGO 1</v>
      </c>
      <c r="W45" s="116" t="s">
        <v>2713</v>
      </c>
    </row>
    <row r="46" spans="2:23" x14ac:dyDescent="0.25">
      <c r="B46" s="77" t="s">
        <v>258</v>
      </c>
      <c r="C46" s="77" t="s">
        <v>38</v>
      </c>
      <c r="D46" s="77" t="s">
        <v>165</v>
      </c>
      <c r="E46" s="77" t="s">
        <v>36</v>
      </c>
      <c r="F46" s="245" t="str">
        <f t="shared" si="2"/>
        <v>StpS 77</v>
      </c>
      <c r="G46" s="77" t="s">
        <v>316</v>
      </c>
      <c r="H46" s="77"/>
      <c r="I46" s="77" t="str">
        <f t="shared" si="0"/>
        <v>L10_GHV_056E_STOPE</v>
      </c>
      <c r="J46" s="77" t="s">
        <v>3206</v>
      </c>
      <c r="K46" s="169">
        <f>IFERROR(MATCH(J46,'Final List'!$B$4:$B$252,0),0)</f>
        <v>0</v>
      </c>
      <c r="L46" s="169">
        <f>IFERROR(MATCH(J46,'Final List'!$D$4:$D$252,0),0)</f>
        <v>0</v>
      </c>
      <c r="M46" s="169">
        <f>IFERROR(MATCH(J46,'Final List'!$F$4:$F$251,0),0)</f>
        <v>0</v>
      </c>
      <c r="N46" s="169">
        <f>IFERROR(MATCH(J46,'Final List'!$H$4:$H$252,0),0)</f>
        <v>0</v>
      </c>
      <c r="O46" s="169">
        <f>IFERROR(MATCH(J46,'Final List'!$J$4:$J$252,0),0)</f>
        <v>0</v>
      </c>
      <c r="P46" s="169">
        <f>IFERROR(MATCH(J46,'Final List'!$L$4:$L$252,0),0)</f>
        <v>0</v>
      </c>
      <c r="Q46" s="169">
        <f>IFERROR(MATCH(J46,'Final List'!$N$4:$N$252,0),0)</f>
        <v>0</v>
      </c>
      <c r="R46" s="169">
        <f>IFERROR(MATCH(J46,'Final List'!$P$4:$P$252,0),0)</f>
        <v>0</v>
      </c>
      <c r="S46" s="169">
        <f t="shared" si="3"/>
        <v>0</v>
      </c>
      <c r="T46" s="116" t="s">
        <v>68</v>
      </c>
      <c r="U46" s="116"/>
      <c r="V46" s="116" t="str">
        <f t="shared" si="1"/>
        <v>PARAGUYA 1</v>
      </c>
      <c r="W46" s="116" t="s">
        <v>2713</v>
      </c>
    </row>
    <row r="47" spans="2:23" x14ac:dyDescent="0.25">
      <c r="B47" s="77" t="s">
        <v>258</v>
      </c>
      <c r="C47" s="77" t="s">
        <v>38</v>
      </c>
      <c r="D47" s="77" t="s">
        <v>197</v>
      </c>
      <c r="E47" s="77" t="s">
        <v>36</v>
      </c>
      <c r="F47" s="245" t="str">
        <f t="shared" si="2"/>
        <v>StpS 77</v>
      </c>
      <c r="G47" s="77" t="s">
        <v>318</v>
      </c>
      <c r="H47" s="77"/>
      <c r="I47" s="77" t="str">
        <f t="shared" si="0"/>
        <v>L10_GHV_070E_STOPE</v>
      </c>
      <c r="J47" s="77" t="s">
        <v>4274</v>
      </c>
      <c r="K47" s="169">
        <f>IFERROR(MATCH(J47,'Final List'!$B$4:$B$252,0),0)</f>
        <v>0</v>
      </c>
      <c r="L47" s="169">
        <f>IFERROR(MATCH(J47,'Final List'!$D$4:$D$252,0),0)</f>
        <v>0</v>
      </c>
      <c r="M47" s="169">
        <f>IFERROR(MATCH(J47,'Final List'!$F$4:$F$251,0),0)</f>
        <v>0</v>
      </c>
      <c r="N47" s="169">
        <f>IFERROR(MATCH(J47,'Final List'!$H$4:$H$252,0),0)</f>
        <v>0</v>
      </c>
      <c r="O47" s="169">
        <f>IFERROR(MATCH(J47,'Final List'!$J$4:$J$252,0),0)</f>
        <v>0</v>
      </c>
      <c r="P47" s="169">
        <f>IFERROR(MATCH(J47,'Final List'!$L$4:$L$252,0),0)</f>
        <v>0</v>
      </c>
      <c r="Q47" s="169">
        <f>IFERROR(MATCH(J47,'Final List'!$N$4:$N$252,0),0)</f>
        <v>0</v>
      </c>
      <c r="R47" s="169">
        <f>IFERROR(MATCH(J47,'Final List'!$P$4:$P$252,0),0)</f>
        <v>0</v>
      </c>
      <c r="S47" s="169">
        <f t="shared" si="3"/>
        <v>0</v>
      </c>
      <c r="T47" s="116" t="s">
        <v>68</v>
      </c>
      <c r="U47" s="116"/>
      <c r="V47" s="116" t="str">
        <f t="shared" si="1"/>
        <v>PARAGUYA 3</v>
      </c>
      <c r="W47" s="116" t="s">
        <v>2713</v>
      </c>
    </row>
    <row r="48" spans="2:23" x14ac:dyDescent="0.25">
      <c r="B48" s="77" t="s">
        <v>258</v>
      </c>
      <c r="C48" s="77" t="s">
        <v>56</v>
      </c>
      <c r="D48" s="77" t="s">
        <v>146</v>
      </c>
      <c r="E48" s="77" t="s">
        <v>36</v>
      </c>
      <c r="F48" s="245" t="str">
        <f t="shared" si="2"/>
        <v>StpL 78</v>
      </c>
      <c r="G48" s="77" t="s">
        <v>372</v>
      </c>
      <c r="H48" s="77"/>
      <c r="I48" s="77" t="str">
        <f t="shared" si="0"/>
        <v>L10_GHVFW_030E_STOPE</v>
      </c>
      <c r="J48" s="77" t="s">
        <v>3869</v>
      </c>
      <c r="K48" s="169">
        <f>IFERROR(MATCH(J48,'Final List'!$B$4:$B$252,0),0)</f>
        <v>0</v>
      </c>
      <c r="L48" s="169">
        <f>IFERROR(MATCH(J48,'Final List'!$D$4:$D$252,0),0)</f>
        <v>0</v>
      </c>
      <c r="M48" s="169">
        <f>IFERROR(MATCH(J48,'Final List'!$F$4:$F$251,0),0)</f>
        <v>0</v>
      </c>
      <c r="N48" s="169">
        <f>IFERROR(MATCH(J48,'Final List'!$H$4:$H$252,0),0)</f>
        <v>0</v>
      </c>
      <c r="O48" s="169">
        <f>IFERROR(MATCH(J48,'Final List'!$J$4:$J$252,0),0)</f>
        <v>0</v>
      </c>
      <c r="P48" s="169">
        <f>IFERROR(MATCH(J48,'Final List'!$L$4:$L$252,0),0)</f>
        <v>0</v>
      </c>
      <c r="Q48" s="169">
        <f>IFERROR(MATCH(J48,'Final List'!$N$4:$N$252,0),0)</f>
        <v>0</v>
      </c>
      <c r="R48" s="169">
        <f>IFERROR(MATCH(J48,'Final List'!$P$4:$P$252,0),0)</f>
        <v>0</v>
      </c>
      <c r="S48" s="169">
        <f t="shared" si="3"/>
        <v>0</v>
      </c>
      <c r="T48" s="116" t="s">
        <v>48</v>
      </c>
      <c r="U48" s="116"/>
      <c r="V48" s="116" t="str">
        <f t="shared" si="1"/>
        <v>TAÑEZA 4</v>
      </c>
      <c r="W48" s="116" t="s">
        <v>2713</v>
      </c>
    </row>
    <row r="49" spans="2:23" x14ac:dyDescent="0.25">
      <c r="B49" s="77" t="s">
        <v>258</v>
      </c>
      <c r="C49" s="77" t="s">
        <v>57</v>
      </c>
      <c r="D49" s="77" t="s">
        <v>870</v>
      </c>
      <c r="E49" s="77" t="s">
        <v>36</v>
      </c>
      <c r="F49" s="245" t="str">
        <f t="shared" si="2"/>
        <v>StpS 77</v>
      </c>
      <c r="G49" s="77" t="s">
        <v>307</v>
      </c>
      <c r="H49" s="77"/>
      <c r="I49" s="77" t="str">
        <f t="shared" si="0"/>
        <v>L10_JVSPLIT_073E_STOPE</v>
      </c>
      <c r="J49" s="77" t="s">
        <v>4728</v>
      </c>
      <c r="K49" s="169">
        <f>IFERROR(MATCH(J49,'Final List'!$B$4:$B$252,0),0)</f>
        <v>0</v>
      </c>
      <c r="L49" s="169">
        <f>IFERROR(MATCH(J49,'Final List'!$D$4:$D$252,0),0)</f>
        <v>0</v>
      </c>
      <c r="M49" s="169">
        <f>IFERROR(MATCH(J49,'Final List'!$F$4:$F$251,0),0)</f>
        <v>0</v>
      </c>
      <c r="N49" s="169">
        <f>IFERROR(MATCH(J49,'Final List'!$H$4:$H$252,0),0)</f>
        <v>0</v>
      </c>
      <c r="O49" s="169">
        <f>IFERROR(MATCH(J49,'Final List'!$J$4:$J$252,0),0)</f>
        <v>0</v>
      </c>
      <c r="P49" s="169">
        <f>IFERROR(MATCH(J49,'Final List'!$L$4:$L$252,0),0)</f>
        <v>0</v>
      </c>
      <c r="Q49" s="169">
        <f>IFERROR(MATCH(J49,'Final List'!$N$4:$N$252,0),0)</f>
        <v>0</v>
      </c>
      <c r="R49" s="169">
        <f>IFERROR(MATCH(J49,'Final List'!$P$4:$P$252,0),0)</f>
        <v>0</v>
      </c>
      <c r="S49" s="169">
        <f t="shared" si="3"/>
        <v>0</v>
      </c>
      <c r="T49" s="116" t="s">
        <v>68</v>
      </c>
      <c r="U49" s="116"/>
      <c r="V49" s="116" t="str">
        <f t="shared" si="1"/>
        <v>DUHIG 1</v>
      </c>
      <c r="W49" s="116" t="s">
        <v>2713</v>
      </c>
    </row>
    <row r="50" spans="2:23" x14ac:dyDescent="0.25">
      <c r="B50" s="77" t="s">
        <v>258</v>
      </c>
      <c r="C50" s="77" t="s">
        <v>59</v>
      </c>
      <c r="D50" s="77" t="s">
        <v>170</v>
      </c>
      <c r="E50" s="77" t="s">
        <v>20</v>
      </c>
      <c r="F50" s="245" t="str">
        <f t="shared" si="2"/>
        <v>DVW 74</v>
      </c>
      <c r="G50" s="77" t="s">
        <v>655</v>
      </c>
      <c r="H50" s="77"/>
      <c r="I50" s="77" t="str">
        <f t="shared" si="0"/>
        <v>L10_GHVHW_071E_WINZE</v>
      </c>
      <c r="J50" s="77" t="s">
        <v>5084</v>
      </c>
      <c r="K50" s="169">
        <f>IFERROR(MATCH(J50,'Final List'!$B$4:$B$252,0),0)</f>
        <v>0</v>
      </c>
      <c r="L50" s="169">
        <f>IFERROR(MATCH(J50,'Final List'!$D$4:$D$252,0),0)</f>
        <v>0</v>
      </c>
      <c r="M50" s="169">
        <f>IFERROR(MATCH(J50,'Final List'!$F$4:$F$251,0),0)</f>
        <v>0</v>
      </c>
      <c r="N50" s="169">
        <f>IFERROR(MATCH(J50,'Final List'!$H$4:$H$252,0),0)</f>
        <v>0</v>
      </c>
      <c r="O50" s="169">
        <f>IFERROR(MATCH(J50,'Final List'!$J$4:$J$252,0),0)</f>
        <v>0</v>
      </c>
      <c r="P50" s="169">
        <f>IFERROR(MATCH(J50,'Final List'!$L$4:$L$252,0),0)</f>
        <v>0</v>
      </c>
      <c r="Q50" s="169">
        <f>IFERROR(MATCH(J50,'Final List'!$N$4:$N$252,0),0)</f>
        <v>0</v>
      </c>
      <c r="R50" s="169">
        <f>IFERROR(MATCH(J50,'Final List'!$P$4:$P$252,0),0)</f>
        <v>0</v>
      </c>
      <c r="S50" s="169">
        <f t="shared" si="3"/>
        <v>0</v>
      </c>
      <c r="T50" s="116"/>
      <c r="U50" s="116"/>
      <c r="V50" s="116" t="str">
        <f t="shared" si="1"/>
        <v>MAPAYO 3</v>
      </c>
      <c r="W50" s="116" t="s">
        <v>2706</v>
      </c>
    </row>
    <row r="51" spans="2:23" x14ac:dyDescent="0.25">
      <c r="B51" s="77" t="s">
        <v>1167</v>
      </c>
      <c r="C51" s="77" t="s">
        <v>87</v>
      </c>
      <c r="D51" s="77" t="s">
        <v>174</v>
      </c>
      <c r="E51" s="77" t="s">
        <v>72</v>
      </c>
      <c r="F51" s="245" t="str">
        <f t="shared" si="2"/>
        <v>Dhoz 71</v>
      </c>
      <c r="G51" s="77" t="s">
        <v>5231</v>
      </c>
      <c r="H51" s="77"/>
      <c r="I51" s="77" t="str">
        <f t="shared" si="0"/>
        <v>L12_NONE_052E_CHAMBER</v>
      </c>
      <c r="J51" s="77" t="s">
        <v>5225</v>
      </c>
      <c r="K51" s="169">
        <f>IFERROR(MATCH(J51,'Final List'!$B$4:$B$252,0),0)</f>
        <v>0</v>
      </c>
      <c r="L51" s="169">
        <f>IFERROR(MATCH(J51,'Final List'!$D$4:$D$252,0),0)</f>
        <v>0</v>
      </c>
      <c r="M51" s="169">
        <f>IFERROR(MATCH(J51,'Final List'!$F$4:$F$251,0),0)</f>
        <v>0</v>
      </c>
      <c r="N51" s="169">
        <f>IFERROR(MATCH(J51,'Final List'!$H$4:$H$252,0),0)</f>
        <v>0</v>
      </c>
      <c r="O51" s="169">
        <f>IFERROR(MATCH(J51,'Final List'!$J$4:$J$252,0),0)</f>
        <v>0</v>
      </c>
      <c r="P51" s="169">
        <f>IFERROR(MATCH(J51,'Final List'!$L$4:$L$252,0),0)</f>
        <v>0</v>
      </c>
      <c r="Q51" s="169">
        <f>IFERROR(MATCH(J51,'Final List'!$N$4:$N$252,0),0)</f>
        <v>0</v>
      </c>
      <c r="R51" s="169">
        <f>IFERROR(MATCH(J51,'Final List'!$P$4:$P$252,0),0)</f>
        <v>0</v>
      </c>
      <c r="S51" s="169">
        <f t="shared" si="3"/>
        <v>0</v>
      </c>
      <c r="T51" s="116"/>
      <c r="U51" s="116"/>
      <c r="V51" s="116" t="str">
        <f t="shared" si="1"/>
        <v>DUHIG 5</v>
      </c>
      <c r="W51" s="116" t="s">
        <v>2714</v>
      </c>
    </row>
    <row r="52" spans="2:23" x14ac:dyDescent="0.25">
      <c r="B52" s="77" t="s">
        <v>1167</v>
      </c>
      <c r="C52" s="77" t="s">
        <v>57</v>
      </c>
      <c r="D52" s="77" t="s">
        <v>180</v>
      </c>
      <c r="E52" s="77" t="s">
        <v>61</v>
      </c>
      <c r="F52" s="245" t="str">
        <f t="shared" si="2"/>
        <v>Dhoz 71</v>
      </c>
      <c r="G52" s="77" t="s">
        <v>6932</v>
      </c>
      <c r="H52" s="77"/>
      <c r="I52" s="77" t="str">
        <f t="shared" si="0"/>
        <v>L12_JVSPLIT_041E_DW</v>
      </c>
      <c r="J52" s="77" t="s">
        <v>5116</v>
      </c>
      <c r="K52" s="169">
        <f>IFERROR(MATCH(J52,'Final List'!$B$4:$B$252,0),0)</f>
        <v>0</v>
      </c>
      <c r="L52" s="169">
        <f>IFERROR(MATCH(J52,'Final List'!$D$4:$D$252,0),0)</f>
        <v>0</v>
      </c>
      <c r="M52" s="169">
        <f>IFERROR(MATCH(J52,'Final List'!$F$4:$F$251,0),0)</f>
        <v>0</v>
      </c>
      <c r="N52" s="169">
        <f>IFERROR(MATCH(J52,'Final List'!$H$4:$H$252,0),0)</f>
        <v>0</v>
      </c>
      <c r="O52" s="169">
        <f>IFERROR(MATCH(J52,'Final List'!$J$4:$J$252,0),0)</f>
        <v>0</v>
      </c>
      <c r="P52" s="169">
        <f>IFERROR(MATCH(J52,'Final List'!$L$4:$L$252,0),0)</f>
        <v>0</v>
      </c>
      <c r="Q52" s="169">
        <f>IFERROR(MATCH(J52,'Final List'!$N$4:$N$252,0),0)</f>
        <v>0</v>
      </c>
      <c r="R52" s="169">
        <f>IFERROR(MATCH(J52,'Final List'!$P$4:$P$252,0),0)</f>
        <v>0</v>
      </c>
      <c r="S52" s="169">
        <f t="shared" si="3"/>
        <v>0</v>
      </c>
      <c r="T52" s="116"/>
      <c r="U52" s="116"/>
      <c r="V52" s="116" t="str">
        <f t="shared" si="1"/>
        <v>DUHIG, P3</v>
      </c>
      <c r="W52" s="116" t="s">
        <v>8896</v>
      </c>
    </row>
    <row r="53" spans="2:23" x14ac:dyDescent="0.25">
      <c r="B53" s="77" t="s">
        <v>92</v>
      </c>
      <c r="C53" s="77" t="s">
        <v>45</v>
      </c>
      <c r="D53" s="77" t="s">
        <v>132</v>
      </c>
      <c r="E53" s="77" t="s">
        <v>211</v>
      </c>
      <c r="F53" s="245" t="str">
        <f t="shared" si="2"/>
        <v>StpL 78</v>
      </c>
      <c r="G53" s="77" t="s">
        <v>551</v>
      </c>
      <c r="H53" s="77"/>
      <c r="I53" s="77" t="str">
        <f t="shared" si="0"/>
        <v>L05_DPVE_033E_STOPE PREP</v>
      </c>
      <c r="J53" s="77" t="s">
        <v>5298</v>
      </c>
      <c r="K53" s="169">
        <f>IFERROR(MATCH(J53,'Final List'!$B$4:$B$252,0),0)</f>
        <v>0</v>
      </c>
      <c r="L53" s="169">
        <f>IFERROR(MATCH(J53,'Final List'!$D$4:$D$252,0),0)</f>
        <v>0</v>
      </c>
      <c r="M53" s="169">
        <f>IFERROR(MATCH(J53,'Final List'!$F$4:$F$251,0),0)</f>
        <v>0</v>
      </c>
      <c r="N53" s="169">
        <f>IFERROR(MATCH(J53,'Final List'!$H$4:$H$252,0),0)</f>
        <v>0</v>
      </c>
      <c r="O53" s="169">
        <f>IFERROR(MATCH(J53,'Final List'!$J$4:$J$252,0),0)</f>
        <v>0</v>
      </c>
      <c r="P53" s="169">
        <f>IFERROR(MATCH(J53,'Final List'!$L$4:$L$252,0),0)</f>
        <v>0</v>
      </c>
      <c r="Q53" s="169">
        <f>IFERROR(MATCH(J53,'Final List'!$N$4:$N$252,0),0)</f>
        <v>0</v>
      </c>
      <c r="R53" s="169">
        <f>IFERROR(MATCH(J53,'Final List'!$P$4:$P$252,0),0)</f>
        <v>0</v>
      </c>
      <c r="S53" s="169">
        <f t="shared" si="3"/>
        <v>0</v>
      </c>
      <c r="T53" s="116" t="s">
        <v>48</v>
      </c>
      <c r="U53" s="116"/>
      <c r="V53" s="116" t="str">
        <f t="shared" si="1"/>
        <v>PANCIT, NOEL 3</v>
      </c>
      <c r="W53" s="116" t="s">
        <v>2712</v>
      </c>
    </row>
    <row r="54" spans="2:23" x14ac:dyDescent="0.25">
      <c r="B54" s="77" t="s">
        <v>96</v>
      </c>
      <c r="C54" s="77" t="s">
        <v>46</v>
      </c>
      <c r="D54" s="77" t="s">
        <v>173</v>
      </c>
      <c r="E54" s="77" t="s">
        <v>19</v>
      </c>
      <c r="F54" s="245" t="str">
        <f t="shared" si="2"/>
        <v>DVR 72</v>
      </c>
      <c r="G54" s="77" t="s">
        <v>1606</v>
      </c>
      <c r="H54" s="77" t="s">
        <v>5363</v>
      </c>
      <c r="I54" s="77" t="str">
        <f t="shared" si="0"/>
        <v>L09_DPVE2_049E_RAISE</v>
      </c>
      <c r="J54" s="77" t="s">
        <v>5293</v>
      </c>
      <c r="K54" s="169">
        <f>IFERROR(MATCH(J54,'Final List'!$B$4:$B$252,0),0)</f>
        <v>0</v>
      </c>
      <c r="L54" s="169">
        <f>IFERROR(MATCH(J54,'Final List'!$D$4:$D$252,0),0)</f>
        <v>0</v>
      </c>
      <c r="M54" s="169">
        <f>IFERROR(MATCH(J54,'Final List'!$F$4:$F$251,0),0)</f>
        <v>0</v>
      </c>
      <c r="N54" s="169">
        <f>IFERROR(MATCH(J54,'Final List'!$H$4:$H$252,0),0)</f>
        <v>0</v>
      </c>
      <c r="O54" s="169">
        <f>IFERROR(MATCH(J54,'Final List'!$J$4:$J$252,0),0)</f>
        <v>0</v>
      </c>
      <c r="P54" s="169">
        <f>IFERROR(MATCH(J54,'Final List'!$L$4:$L$252,0),0)</f>
        <v>0</v>
      </c>
      <c r="Q54" s="169">
        <f>IFERROR(MATCH(J54,'Final List'!$N$4:$N$252,0),0)</f>
        <v>0</v>
      </c>
      <c r="R54" s="169">
        <f>IFERROR(MATCH(J54,'Final List'!$P$4:$P$252,0),0)</f>
        <v>0</v>
      </c>
      <c r="S54" s="169">
        <f t="shared" si="3"/>
        <v>0</v>
      </c>
      <c r="T54" s="116"/>
      <c r="U54" s="116"/>
      <c r="V54" s="116" t="str">
        <f t="shared" si="1"/>
        <v>PANCIT NOEL</v>
      </c>
      <c r="W54" s="116" t="s">
        <v>2715</v>
      </c>
    </row>
    <row r="55" spans="2:23" x14ac:dyDescent="0.25">
      <c r="B55" s="77" t="s">
        <v>94</v>
      </c>
      <c r="C55" s="77" t="s">
        <v>41</v>
      </c>
      <c r="D55" s="77" t="s">
        <v>129</v>
      </c>
      <c r="E55" s="77" t="s">
        <v>20</v>
      </c>
      <c r="F55" s="245" t="str">
        <f t="shared" si="2"/>
        <v>DVW 74</v>
      </c>
      <c r="G55" s="77" t="s">
        <v>344</v>
      </c>
      <c r="H55" s="77"/>
      <c r="I55" s="77" t="str">
        <f t="shared" si="0"/>
        <v>L07_CTV_010E_WINZE</v>
      </c>
      <c r="J55" s="77" t="s">
        <v>5296</v>
      </c>
      <c r="K55" s="169">
        <f>IFERROR(MATCH(J55,'Final List'!$B$4:$B$252,0),0)</f>
        <v>0</v>
      </c>
      <c r="L55" s="169">
        <f>IFERROR(MATCH(J55,'Final List'!$D$4:$D$252,0),0)</f>
        <v>0</v>
      </c>
      <c r="M55" s="169">
        <f>IFERROR(MATCH(J55,'Final List'!$F$4:$F$251,0),0)</f>
        <v>0</v>
      </c>
      <c r="N55" s="169">
        <f>IFERROR(MATCH(J55,'Final List'!$H$4:$H$252,0),0)</f>
        <v>0</v>
      </c>
      <c r="O55" s="169">
        <f>IFERROR(MATCH(J55,'Final List'!$J$4:$J$252,0),0)</f>
        <v>0</v>
      </c>
      <c r="P55" s="169">
        <f>IFERROR(MATCH(J55,'Final List'!$L$4:$L$252,0),0)</f>
        <v>0</v>
      </c>
      <c r="Q55" s="169">
        <f>IFERROR(MATCH(J55,'Final List'!$N$4:$N$252,0),0)</f>
        <v>0</v>
      </c>
      <c r="R55" s="169">
        <f>IFERROR(MATCH(J55,'Final List'!$P$4:$P$252,0),0)</f>
        <v>0</v>
      </c>
      <c r="S55" s="169">
        <f t="shared" si="3"/>
        <v>0</v>
      </c>
      <c r="T55" s="116"/>
      <c r="U55" s="116"/>
      <c r="V55" s="116" t="str">
        <f t="shared" si="1"/>
        <v>UDLOS 1</v>
      </c>
      <c r="W55" s="116" t="s">
        <v>2706</v>
      </c>
    </row>
    <row r="56" spans="2:23" x14ac:dyDescent="0.25">
      <c r="B56" s="77" t="s">
        <v>91</v>
      </c>
      <c r="C56" s="77" t="s">
        <v>41</v>
      </c>
      <c r="D56" s="77" t="s">
        <v>116</v>
      </c>
      <c r="E56" s="77" t="s">
        <v>62</v>
      </c>
      <c r="F56" s="245" t="str">
        <f t="shared" si="2"/>
        <v>RobS 79</v>
      </c>
      <c r="G56" s="77" t="s">
        <v>9886</v>
      </c>
      <c r="H56" s="77" t="s">
        <v>11469</v>
      </c>
      <c r="I56" s="77" t="str">
        <f t="shared" si="0"/>
        <v>L04_CTV_021W_ROBBING</v>
      </c>
      <c r="J56" s="77" t="s">
        <v>5333</v>
      </c>
      <c r="K56" s="169">
        <f>IFERROR(MATCH(J56,'Final List'!$B$4:$B$252,0),0)</f>
        <v>0</v>
      </c>
      <c r="L56" s="169">
        <f>IFERROR(MATCH(J56,'Final List'!$D$4:$D$252,0),0)</f>
        <v>0</v>
      </c>
      <c r="M56" s="169">
        <f>IFERROR(MATCH(J56,'Final List'!$F$4:$F$251,0),0)</f>
        <v>0</v>
      </c>
      <c r="N56" s="169">
        <f>IFERROR(MATCH(J56,'Final List'!$H$4:$H$252,0),0)</f>
        <v>0</v>
      </c>
      <c r="O56" s="169">
        <f>IFERROR(MATCH(J56,'Final List'!$J$4:$J$252,0),0)</f>
        <v>0</v>
      </c>
      <c r="P56" s="169">
        <f>IFERROR(MATCH(J56,'Final List'!$L$4:$L$252,0),0)</f>
        <v>0</v>
      </c>
      <c r="Q56" s="169">
        <f>IFERROR(MATCH(J56,'Final List'!$N$4:$N$252,0),0)</f>
        <v>0</v>
      </c>
      <c r="R56" s="169">
        <f>IFERROR(MATCH(J56,'Final List'!$P$4:$P$252,0),0)</f>
        <v>0</v>
      </c>
      <c r="S56" s="169">
        <f t="shared" si="3"/>
        <v>0</v>
      </c>
      <c r="T56" s="116" t="s">
        <v>68</v>
      </c>
      <c r="U56" s="116"/>
      <c r="V56" s="116" t="str">
        <f t="shared" si="1"/>
        <v>MARTINEZ, DN 5</v>
      </c>
      <c r="W56" s="116" t="s">
        <v>2707</v>
      </c>
    </row>
    <row r="57" spans="2:23" x14ac:dyDescent="0.25">
      <c r="B57" s="77" t="s">
        <v>92</v>
      </c>
      <c r="C57" s="77" t="s">
        <v>87</v>
      </c>
      <c r="D57" s="77" t="s">
        <v>97</v>
      </c>
      <c r="E57" s="77" t="s">
        <v>70</v>
      </c>
      <c r="F57" s="245" t="str">
        <f t="shared" si="2"/>
        <v>Dhoz 71</v>
      </c>
      <c r="G57" s="77" t="s">
        <v>4804</v>
      </c>
      <c r="H57" s="77"/>
      <c r="I57" s="77" t="str">
        <f t="shared" si="0"/>
        <v>L05_NONE_012W_SUMP</v>
      </c>
      <c r="J57" s="77" t="s">
        <v>5342</v>
      </c>
      <c r="K57" s="169">
        <f>IFERROR(MATCH(J57,'Final List'!$B$4:$B$252,0),0)</f>
        <v>0</v>
      </c>
      <c r="L57" s="169">
        <f>IFERROR(MATCH(J57,'Final List'!$D$4:$D$252,0),0)</f>
        <v>0</v>
      </c>
      <c r="M57" s="169">
        <f>IFERROR(MATCH(J57,'Final List'!$F$4:$F$251,0),0)</f>
        <v>0</v>
      </c>
      <c r="N57" s="169">
        <f>IFERROR(MATCH(J57,'Final List'!$H$4:$H$252,0),0)</f>
        <v>0</v>
      </c>
      <c r="O57" s="169">
        <f>IFERROR(MATCH(J57,'Final List'!$J$4:$J$252,0),0)</f>
        <v>0</v>
      </c>
      <c r="P57" s="169">
        <f>IFERROR(MATCH(J57,'Final List'!$L$4:$L$252,0),0)</f>
        <v>0</v>
      </c>
      <c r="Q57" s="169">
        <f>IFERROR(MATCH(J57,'Final List'!$N$4:$N$252,0),0)</f>
        <v>0</v>
      </c>
      <c r="R57" s="169">
        <f>IFERROR(MATCH(J57,'Final List'!$P$4:$P$252,0),0)</f>
        <v>0</v>
      </c>
      <c r="S57" s="169">
        <f t="shared" si="3"/>
        <v>0</v>
      </c>
      <c r="T57" s="116"/>
      <c r="U57" s="116"/>
      <c r="V57" s="116" t="str">
        <f t="shared" si="1"/>
        <v>SHEPHERD AD 3</v>
      </c>
      <c r="W57" s="116" t="s">
        <v>2714</v>
      </c>
    </row>
    <row r="58" spans="2:23" x14ac:dyDescent="0.25">
      <c r="B58" s="77" t="s">
        <v>96</v>
      </c>
      <c r="C58" s="77" t="s">
        <v>46</v>
      </c>
      <c r="D58" s="77" t="s">
        <v>5078</v>
      </c>
      <c r="E58" s="77" t="s">
        <v>36</v>
      </c>
      <c r="F58" s="245" t="str">
        <f t="shared" si="2"/>
        <v>StpS 77</v>
      </c>
      <c r="G58" s="77" t="s">
        <v>5268</v>
      </c>
      <c r="H58" s="77"/>
      <c r="I58" s="77" t="str">
        <f t="shared" si="0"/>
        <v>L09_DPVE2_086E_STOPE</v>
      </c>
      <c r="J58" s="77" t="s">
        <v>5348</v>
      </c>
      <c r="K58" s="169">
        <f>IFERROR(MATCH(J58,'Final List'!$B$4:$B$252,0),0)</f>
        <v>0</v>
      </c>
      <c r="L58" s="169">
        <f>IFERROR(MATCH(J58,'Final List'!$D$4:$D$252,0),0)</f>
        <v>0</v>
      </c>
      <c r="M58" s="169">
        <f>IFERROR(MATCH(J58,'Final List'!$F$4:$F$251,0),0)</f>
        <v>0</v>
      </c>
      <c r="N58" s="169">
        <f>IFERROR(MATCH(J58,'Final List'!$H$4:$H$252,0),0)</f>
        <v>0</v>
      </c>
      <c r="O58" s="169">
        <f>IFERROR(MATCH(J58,'Final List'!$J$4:$J$252,0),0)</f>
        <v>0</v>
      </c>
      <c r="P58" s="169">
        <f>IFERROR(MATCH(J58,'Final List'!$L$4:$L$252,0),0)</f>
        <v>0</v>
      </c>
      <c r="Q58" s="169">
        <f>IFERROR(MATCH(J58,'Final List'!$N$4:$N$252,0),0)</f>
        <v>0</v>
      </c>
      <c r="R58" s="169">
        <f>IFERROR(MATCH(J58,'Final List'!$P$4:$P$252,0),0)</f>
        <v>0</v>
      </c>
      <c r="S58" s="169">
        <f t="shared" si="3"/>
        <v>0</v>
      </c>
      <c r="T58" s="116" t="s">
        <v>68</v>
      </c>
      <c r="U58" s="116"/>
      <c r="V58" s="116" t="str">
        <f t="shared" si="1"/>
        <v xml:space="preserve"> BALANGHIG</v>
      </c>
      <c r="W58" s="116" t="s">
        <v>2713</v>
      </c>
    </row>
    <row r="59" spans="2:23" x14ac:dyDescent="0.25">
      <c r="B59" s="77" t="s">
        <v>94</v>
      </c>
      <c r="C59" s="77" t="s">
        <v>56</v>
      </c>
      <c r="D59" s="77" t="s">
        <v>104</v>
      </c>
      <c r="E59" s="77" t="s">
        <v>36</v>
      </c>
      <c r="F59" s="245" t="str">
        <f t="shared" si="2"/>
        <v>StpS 77</v>
      </c>
      <c r="G59" s="77" t="s">
        <v>376</v>
      </c>
      <c r="H59" s="77"/>
      <c r="I59" s="77" t="str">
        <f t="shared" si="0"/>
        <v>L07_GHVFW_029W_STOPE</v>
      </c>
      <c r="J59" s="77" t="s">
        <v>5337</v>
      </c>
      <c r="K59" s="169">
        <f>IFERROR(MATCH(J59,'Final List'!$B$4:$B$252,0),0)</f>
        <v>0</v>
      </c>
      <c r="L59" s="169">
        <f>IFERROR(MATCH(J59,'Final List'!$D$4:$D$252,0),0)</f>
        <v>0</v>
      </c>
      <c r="M59" s="169">
        <f>IFERROR(MATCH(J59,'Final List'!$F$4:$F$251,0),0)</f>
        <v>0</v>
      </c>
      <c r="N59" s="169">
        <f>IFERROR(MATCH(J59,'Final List'!$H$4:$H$252,0),0)</f>
        <v>0</v>
      </c>
      <c r="O59" s="169">
        <f>IFERROR(MATCH(J59,'Final List'!$J$4:$J$252,0),0)</f>
        <v>0</v>
      </c>
      <c r="P59" s="169">
        <f>IFERROR(MATCH(J59,'Final List'!$L$4:$L$252,0),0)</f>
        <v>0</v>
      </c>
      <c r="Q59" s="169">
        <f>IFERROR(MATCH(J59,'Final List'!$N$4:$N$252,0),0)</f>
        <v>0</v>
      </c>
      <c r="R59" s="169">
        <f>IFERROR(MATCH(J59,'Final List'!$P$4:$P$252,0),0)</f>
        <v>0</v>
      </c>
      <c r="S59" s="169">
        <f t="shared" si="3"/>
        <v>0</v>
      </c>
      <c r="T59" s="116" t="s">
        <v>68</v>
      </c>
      <c r="U59" s="116"/>
      <c r="V59" s="116" t="str">
        <f t="shared" si="1"/>
        <v>BORERO 2</v>
      </c>
      <c r="W59" s="116" t="s">
        <v>2713</v>
      </c>
    </row>
    <row r="60" spans="2:23" x14ac:dyDescent="0.25">
      <c r="B60" s="77" t="s">
        <v>96</v>
      </c>
      <c r="C60" s="77" t="s">
        <v>39</v>
      </c>
      <c r="D60" s="77" t="s">
        <v>119</v>
      </c>
      <c r="E60" s="77" t="s">
        <v>19</v>
      </c>
      <c r="F60" s="245" t="str">
        <f t="shared" si="2"/>
        <v>DVR 72</v>
      </c>
      <c r="G60" s="77" t="s">
        <v>1023</v>
      </c>
      <c r="H60" s="77" t="s">
        <v>460</v>
      </c>
      <c r="I60" s="77" t="str">
        <f t="shared" si="0"/>
        <v>L09_JVHW_012E_RAISE</v>
      </c>
      <c r="J60" s="77" t="s">
        <v>5353</v>
      </c>
      <c r="K60" s="169">
        <f>IFERROR(MATCH(J60,'Final List'!$B$4:$B$252,0),0)</f>
        <v>0</v>
      </c>
      <c r="L60" s="169">
        <f>IFERROR(MATCH(J60,'Final List'!$D$4:$D$252,0),0)</f>
        <v>0</v>
      </c>
      <c r="M60" s="169">
        <f>IFERROR(MATCH(J60,'Final List'!$F$4:$F$251,0),0)</f>
        <v>0</v>
      </c>
      <c r="N60" s="169">
        <f>IFERROR(MATCH(J60,'Final List'!$H$4:$H$252,0),0)</f>
        <v>0</v>
      </c>
      <c r="O60" s="169">
        <f>IFERROR(MATCH(J60,'Final List'!$J$4:$J$252,0),0)</f>
        <v>0</v>
      </c>
      <c r="P60" s="169">
        <f>IFERROR(MATCH(J60,'Final List'!$L$4:$L$252,0),0)</f>
        <v>0</v>
      </c>
      <c r="Q60" s="169">
        <f>IFERROR(MATCH(J60,'Final List'!$N$4:$N$252,0),0)</f>
        <v>0</v>
      </c>
      <c r="R60" s="169">
        <f>IFERROR(MATCH(J60,'Final List'!$P$4:$P$252,0),0)</f>
        <v>0</v>
      </c>
      <c r="S60" s="169">
        <f t="shared" si="3"/>
        <v>0</v>
      </c>
      <c r="T60" s="116"/>
      <c r="U60" s="116"/>
      <c r="V60" s="116" t="str">
        <f t="shared" si="1"/>
        <v>PANSIT 5</v>
      </c>
      <c r="W60" s="116" t="s">
        <v>2715</v>
      </c>
    </row>
    <row r="61" spans="2:23" x14ac:dyDescent="0.25">
      <c r="B61" s="77" t="s">
        <v>95</v>
      </c>
      <c r="C61" s="77" t="s">
        <v>57</v>
      </c>
      <c r="D61" s="77" t="s">
        <v>284</v>
      </c>
      <c r="E61" s="77" t="s">
        <v>36</v>
      </c>
      <c r="F61" s="245" t="str">
        <f t="shared" si="2"/>
        <v>StpS 77</v>
      </c>
      <c r="G61" s="77" t="s">
        <v>380</v>
      </c>
      <c r="H61" s="77"/>
      <c r="I61" s="77" t="str">
        <f t="shared" si="0"/>
        <v>L08_JVSPLIT_061E_STOPE</v>
      </c>
      <c r="J61" s="77" t="s">
        <v>5362</v>
      </c>
      <c r="K61" s="169">
        <f>IFERROR(MATCH(J61,'Final List'!$B$4:$B$252,0),0)</f>
        <v>0</v>
      </c>
      <c r="L61" s="169">
        <f>IFERROR(MATCH(J61,'Final List'!$D$4:$D$252,0),0)</f>
        <v>0</v>
      </c>
      <c r="M61" s="169">
        <f>IFERROR(MATCH(J61,'Final List'!$F$4:$F$251,0),0)</f>
        <v>0</v>
      </c>
      <c r="N61" s="169">
        <f>IFERROR(MATCH(J61,'Final List'!$H$4:$H$252,0),0)</f>
        <v>0</v>
      </c>
      <c r="O61" s="169">
        <f>IFERROR(MATCH(J61,'Final List'!$J$4:$J$252,0),0)</f>
        <v>0</v>
      </c>
      <c r="P61" s="169">
        <f>IFERROR(MATCH(J61,'Final List'!$L$4:$L$252,0),0)</f>
        <v>0</v>
      </c>
      <c r="Q61" s="169">
        <f>IFERROR(MATCH(J61,'Final List'!$N$4:$N$252,0),0)</f>
        <v>0</v>
      </c>
      <c r="R61" s="169">
        <f>IFERROR(MATCH(J61,'Final List'!$P$4:$P$252,0),0)</f>
        <v>0</v>
      </c>
      <c r="S61" s="169">
        <f t="shared" si="3"/>
        <v>0</v>
      </c>
      <c r="T61" s="116" t="s">
        <v>68</v>
      </c>
      <c r="U61" s="116"/>
      <c r="V61" s="116" t="str">
        <f t="shared" si="1"/>
        <v>AGLOLO 1</v>
      </c>
      <c r="W61" s="116" t="s">
        <v>2711</v>
      </c>
    </row>
    <row r="62" spans="2:23" x14ac:dyDescent="0.25">
      <c r="B62" s="77" t="s">
        <v>92</v>
      </c>
      <c r="C62" s="77" t="s">
        <v>42</v>
      </c>
      <c r="D62" s="77" t="s">
        <v>128</v>
      </c>
      <c r="E62" s="77" t="s">
        <v>60</v>
      </c>
      <c r="F62" s="245" t="str">
        <f t="shared" si="2"/>
        <v>Dhoz 71</v>
      </c>
      <c r="G62" s="77" t="s">
        <v>387</v>
      </c>
      <c r="H62" s="77"/>
      <c r="I62" s="77" t="str">
        <f t="shared" si="0"/>
        <v>L05_JV_027E_DE</v>
      </c>
      <c r="J62" s="77" t="s">
        <v>5375</v>
      </c>
      <c r="K62" s="169">
        <f>IFERROR(MATCH(J62,'Final List'!$B$4:$B$252,0),0)</f>
        <v>0</v>
      </c>
      <c r="L62" s="169">
        <f>IFERROR(MATCH(J62,'Final List'!$D$4:$D$252,0),0)</f>
        <v>0</v>
      </c>
      <c r="M62" s="169">
        <f>IFERROR(MATCH(J62,'Final List'!$F$4:$F$251,0),0)</f>
        <v>0</v>
      </c>
      <c r="N62" s="169">
        <f>IFERROR(MATCH(J62,'Final List'!$H$4:$H$252,0),0)</f>
        <v>0</v>
      </c>
      <c r="O62" s="169">
        <f>IFERROR(MATCH(J62,'Final List'!$J$4:$J$252,0),0)</f>
        <v>0</v>
      </c>
      <c r="P62" s="169">
        <f>IFERROR(MATCH(J62,'Final List'!$L$4:$L$252,0),0)</f>
        <v>0</v>
      </c>
      <c r="Q62" s="169">
        <f>IFERROR(MATCH(J62,'Final List'!$N$4:$N$252,0),0)</f>
        <v>0</v>
      </c>
      <c r="R62" s="169">
        <f>IFERROR(MATCH(J62,'Final List'!$P$4:$P$252,0),0)</f>
        <v>0</v>
      </c>
      <c r="S62" s="169">
        <f t="shared" si="3"/>
        <v>0</v>
      </c>
      <c r="T62" s="116"/>
      <c r="U62" s="116"/>
      <c r="V62" s="116" t="str">
        <f t="shared" si="1"/>
        <v>MAPAYO 1</v>
      </c>
      <c r="W62" s="116" t="s">
        <v>2708</v>
      </c>
    </row>
    <row r="63" spans="2:23" x14ac:dyDescent="0.25">
      <c r="B63" s="77" t="s">
        <v>96</v>
      </c>
      <c r="C63" s="77" t="s">
        <v>38</v>
      </c>
      <c r="D63" s="77" t="s">
        <v>197</v>
      </c>
      <c r="E63" s="77" t="s">
        <v>60</v>
      </c>
      <c r="F63" s="245" t="str">
        <f t="shared" si="2"/>
        <v>Dhoz 71</v>
      </c>
      <c r="G63" s="77" t="s">
        <v>389</v>
      </c>
      <c r="H63" s="77"/>
      <c r="I63" s="77" t="str">
        <f t="shared" si="0"/>
        <v>L09_GHV_070E_DE</v>
      </c>
      <c r="J63" s="77" t="s">
        <v>5397</v>
      </c>
      <c r="K63" s="169">
        <f>IFERROR(MATCH(J63,'Final List'!$B$4:$B$252,0),0)</f>
        <v>0</v>
      </c>
      <c r="L63" s="169">
        <f>IFERROR(MATCH(J63,'Final List'!$D$4:$D$252,0),0)</f>
        <v>0</v>
      </c>
      <c r="M63" s="169">
        <f>IFERROR(MATCH(J63,'Final List'!$F$4:$F$251,0),0)</f>
        <v>0</v>
      </c>
      <c r="N63" s="169">
        <f>IFERROR(MATCH(J63,'Final List'!$H$4:$H$252,0),0)</f>
        <v>0</v>
      </c>
      <c r="O63" s="169">
        <f>IFERROR(MATCH(J63,'Final List'!$J$4:$J$252,0),0)</f>
        <v>0</v>
      </c>
      <c r="P63" s="169">
        <f>IFERROR(MATCH(J63,'Final List'!$L$4:$L$252,0),0)</f>
        <v>0</v>
      </c>
      <c r="Q63" s="169">
        <f>IFERROR(MATCH(J63,'Final List'!$N$4:$N$252,0),0)</f>
        <v>0</v>
      </c>
      <c r="R63" s="169">
        <f>IFERROR(MATCH(J63,'Final List'!$P$4:$P$252,0),0)</f>
        <v>0</v>
      </c>
      <c r="S63" s="169">
        <f t="shared" si="3"/>
        <v>0</v>
      </c>
      <c r="T63" s="116"/>
      <c r="U63" s="116"/>
      <c r="V63" s="116" t="str">
        <f t="shared" si="1"/>
        <v>CAPPUYO 1</v>
      </c>
      <c r="W63" s="116" t="s">
        <v>8896</v>
      </c>
    </row>
    <row r="64" spans="2:23" x14ac:dyDescent="0.25">
      <c r="B64" s="77" t="s">
        <v>95</v>
      </c>
      <c r="C64" s="77" t="s">
        <v>59</v>
      </c>
      <c r="D64" s="77" t="s">
        <v>100</v>
      </c>
      <c r="E64" s="77" t="s">
        <v>19</v>
      </c>
      <c r="F64" s="245" t="str">
        <f t="shared" si="2"/>
        <v>DVR 72</v>
      </c>
      <c r="G64" s="77" t="s">
        <v>5711</v>
      </c>
      <c r="H64" s="77"/>
      <c r="I64" s="77" t="str">
        <f t="shared" si="0"/>
        <v>L08_GHVHW_020W_RAISE</v>
      </c>
      <c r="J64" s="77" t="s">
        <v>5409</v>
      </c>
      <c r="K64" s="169">
        <f>IFERROR(MATCH(J64,'Final List'!$B$4:$B$252,0),0)</f>
        <v>0</v>
      </c>
      <c r="L64" s="169">
        <f>IFERROR(MATCH(J64,'Final List'!$D$4:$D$252,0),0)</f>
        <v>0</v>
      </c>
      <c r="M64" s="169">
        <f>IFERROR(MATCH(J64,'Final List'!$F$4:$F$251,0),0)</f>
        <v>0</v>
      </c>
      <c r="N64" s="169">
        <f>IFERROR(MATCH(J64,'Final List'!$H$4:$H$252,0),0)</f>
        <v>0</v>
      </c>
      <c r="O64" s="169">
        <f>IFERROR(MATCH(J64,'Final List'!$J$4:$J$252,0),0)</f>
        <v>0</v>
      </c>
      <c r="P64" s="169">
        <f>IFERROR(MATCH(J64,'Final List'!$L$4:$L$252,0),0)</f>
        <v>0</v>
      </c>
      <c r="Q64" s="169">
        <f>IFERROR(MATCH(J64,'Final List'!$N$4:$N$252,0),0)</f>
        <v>0</v>
      </c>
      <c r="R64" s="169">
        <f>IFERROR(MATCH(J64,'Final List'!$P$4:$P$252,0),0)</f>
        <v>0</v>
      </c>
      <c r="S64" s="169">
        <f t="shared" si="3"/>
        <v>0</v>
      </c>
      <c r="T64" s="116"/>
      <c r="U64" s="116"/>
      <c r="V64" s="116" t="str">
        <f t="shared" si="1"/>
        <v>SHEPHERD Q 1</v>
      </c>
      <c r="W64" s="116" t="s">
        <v>2715</v>
      </c>
    </row>
    <row r="65" spans="2:23" x14ac:dyDescent="0.25">
      <c r="B65" s="77" t="s">
        <v>258</v>
      </c>
      <c r="C65" s="77" t="s">
        <v>45</v>
      </c>
      <c r="D65" s="77" t="s">
        <v>218</v>
      </c>
      <c r="E65" s="77" t="s">
        <v>19</v>
      </c>
      <c r="F65" s="245" t="str">
        <f t="shared" si="2"/>
        <v>DVR 72</v>
      </c>
      <c r="G65" s="77" t="s">
        <v>5703</v>
      </c>
      <c r="H65" s="77"/>
      <c r="I65" s="77" t="str">
        <f t="shared" si="0"/>
        <v>L10_DPVE_062E_RAISE</v>
      </c>
      <c r="J65" s="77" t="s">
        <v>5412</v>
      </c>
      <c r="K65" s="169">
        <f>IFERROR(MATCH(J65,'Final List'!$B$4:$B$252,0),0)</f>
        <v>0</v>
      </c>
      <c r="L65" s="169">
        <f>IFERROR(MATCH(J65,'Final List'!$D$4:$D$252,0),0)</f>
        <v>0</v>
      </c>
      <c r="M65" s="169">
        <f>IFERROR(MATCH(J65,'Final List'!$F$4:$F$251,0),0)</f>
        <v>0</v>
      </c>
      <c r="N65" s="169">
        <f>IFERROR(MATCH(J65,'Final List'!$H$4:$H$252,0),0)</f>
        <v>0</v>
      </c>
      <c r="O65" s="169">
        <f>IFERROR(MATCH(J65,'Final List'!$J$4:$J$252,0),0)</f>
        <v>0</v>
      </c>
      <c r="P65" s="169">
        <f>IFERROR(MATCH(J65,'Final List'!$L$4:$L$252,0),0)</f>
        <v>0</v>
      </c>
      <c r="Q65" s="169">
        <f>IFERROR(MATCH(J65,'Final List'!$N$4:$N$252,0),0)</f>
        <v>0</v>
      </c>
      <c r="R65" s="169">
        <f>IFERROR(MATCH(J65,'Final List'!$P$4:$P$252,0),0)</f>
        <v>0</v>
      </c>
      <c r="S65" s="169">
        <f t="shared" si="3"/>
        <v>0</v>
      </c>
      <c r="T65" s="116"/>
      <c r="U65" s="116"/>
      <c r="V65" s="116" t="str">
        <f t="shared" si="1"/>
        <v>OLIVEROS 2</v>
      </c>
      <c r="W65" s="116" t="s">
        <v>2715</v>
      </c>
    </row>
    <row r="66" spans="2:23" x14ac:dyDescent="0.25">
      <c r="B66" s="77" t="s">
        <v>91</v>
      </c>
      <c r="C66" s="77" t="s">
        <v>87</v>
      </c>
      <c r="D66" s="77" t="s">
        <v>140</v>
      </c>
      <c r="E66" s="77" t="s">
        <v>70</v>
      </c>
      <c r="F66" s="245" t="str">
        <f t="shared" si="2"/>
        <v>Dhoz 71</v>
      </c>
      <c r="G66" s="77" t="s">
        <v>447</v>
      </c>
      <c r="H66" s="77"/>
      <c r="I66" s="77" t="str">
        <f t="shared" ref="I66:I129" si="4">CONCATENATE(B66,"_",C66,"_",D66,"_",E66)</f>
        <v>L04_NONE_005W_SUMP</v>
      </c>
      <c r="J66" s="77" t="s">
        <v>5406</v>
      </c>
      <c r="K66" s="169">
        <f>IFERROR(MATCH(J66,'Final List'!$B$4:$B$252,0),0)</f>
        <v>0</v>
      </c>
      <c r="L66" s="169">
        <f>IFERROR(MATCH(J66,'Final List'!$D$4:$D$252,0),0)</f>
        <v>0</v>
      </c>
      <c r="M66" s="169">
        <f>IFERROR(MATCH(J66,'Final List'!$F$4:$F$251,0),0)</f>
        <v>0</v>
      </c>
      <c r="N66" s="169">
        <f>IFERROR(MATCH(J66,'Final List'!$H$4:$H$252,0),0)</f>
        <v>0</v>
      </c>
      <c r="O66" s="169">
        <f>IFERROR(MATCH(J66,'Final List'!$J$4:$J$252,0),0)</f>
        <v>0</v>
      </c>
      <c r="P66" s="169">
        <f>IFERROR(MATCH(J66,'Final List'!$L$4:$L$252,0),0)</f>
        <v>0</v>
      </c>
      <c r="Q66" s="169">
        <f>IFERROR(MATCH(J66,'Final List'!$N$4:$N$252,0),0)</f>
        <v>0</v>
      </c>
      <c r="R66" s="169">
        <f>IFERROR(MATCH(J66,'Final List'!$P$4:$P$252,0),0)</f>
        <v>0</v>
      </c>
      <c r="S66" s="169">
        <f t="shared" si="3"/>
        <v>0</v>
      </c>
      <c r="T66" s="116"/>
      <c r="U66" s="116"/>
      <c r="V66" s="116" t="str">
        <f t="shared" ref="V66:V129" si="5">IF(H66="",G66,H66)</f>
        <v>COMAINGKING 1</v>
      </c>
      <c r="W66" s="116" t="s">
        <v>2714</v>
      </c>
    </row>
    <row r="67" spans="2:23" x14ac:dyDescent="0.25">
      <c r="B67" s="77" t="s">
        <v>94</v>
      </c>
      <c r="C67" s="77" t="s">
        <v>38</v>
      </c>
      <c r="D67" s="77" t="s">
        <v>114</v>
      </c>
      <c r="E67" s="77" t="s">
        <v>19</v>
      </c>
      <c r="F67" s="245" t="str">
        <f t="shared" ref="F67:F130" si="6">IF(OR(E67="XCN",E67="DE",E67="DW",E67="DN",E67="XCS",E67="XCE",E67="XCW",E67="SUMP",E67="BYPASS",E67="CHAMBER",E67="DRAIN HOLE",E67="DRILLING CHAMBER",E67="DE_ISL",E67="DW_ISL",E67="REHAB"),"Dhoz 71",IF(OR(E67="RAISE",E67="RAISE_ISL"),"DVR 72",IF(E67="ALIMAK","DVA 73",IF(E67="WINZE","DVW 74",IF(E67="SHAFT","DVS 75",IF(AND(E67="WINZE STOPE",T67="S"),"RobC 80",IF(AND(E67="STOPE",T67="S"),"StpS 77",IF(AND(E67="WINZE STOPE",T67="L"),"RobC 80",IF(AND(E67="STOPE",T67="L"),"StpL 78",IF(AND(E67="WINZE STOPE PREP",T67="S"),"RobC 80",IF(AND(E67="STOPE PREP",T67="S"),"StpS 77",IF(AND(E67="WINZE STOPE PREP",T67="L"),"RobC 80",IF(AND(E67="STOPE PREP",T67="L"),"StpL 78",IF(AND(E67="ROBBING",T67="L"),"RobC 80",IF(AND(E67="ROBBING",T67="S"),"RobS 79",0)))))))))))))))</f>
        <v>DVR 72</v>
      </c>
      <c r="G67" s="77" t="s">
        <v>5770</v>
      </c>
      <c r="H67" s="77"/>
      <c r="I67" s="77" t="str">
        <f t="shared" si="4"/>
        <v>L07_GHV_025W_RAISE</v>
      </c>
      <c r="J67" s="77" t="s">
        <v>5385</v>
      </c>
      <c r="K67" s="169">
        <f>IFERROR(MATCH(J67,'Final List'!$B$4:$B$252,0),0)</f>
        <v>0</v>
      </c>
      <c r="L67" s="169">
        <f>IFERROR(MATCH(J67,'Final List'!$D$4:$D$252,0),0)</f>
        <v>0</v>
      </c>
      <c r="M67" s="169">
        <f>IFERROR(MATCH(J67,'Final List'!$F$4:$F$251,0),0)</f>
        <v>0</v>
      </c>
      <c r="N67" s="169">
        <f>IFERROR(MATCH(J67,'Final List'!$H$4:$H$252,0),0)</f>
        <v>0</v>
      </c>
      <c r="O67" s="169">
        <f>IFERROR(MATCH(J67,'Final List'!$J$4:$J$252,0),0)</f>
        <v>0</v>
      </c>
      <c r="P67" s="169">
        <f>IFERROR(MATCH(J67,'Final List'!$L$4:$L$252,0),0)</f>
        <v>0</v>
      </c>
      <c r="Q67" s="169">
        <f>IFERROR(MATCH(J67,'Final List'!$N$4:$N$252,0),0)</f>
        <v>0</v>
      </c>
      <c r="R67" s="169">
        <f>IFERROR(MATCH(J67,'Final List'!$P$4:$P$252,0),0)</f>
        <v>0</v>
      </c>
      <c r="S67" s="169">
        <f t="shared" ref="S67:S130" si="7">SUM(K67:R67)</f>
        <v>0</v>
      </c>
      <c r="T67" s="116"/>
      <c r="U67" s="116"/>
      <c r="V67" s="116" t="str">
        <f t="shared" si="5"/>
        <v>SHEPHERD AK 2</v>
      </c>
      <c r="W67" s="116" t="s">
        <v>2715</v>
      </c>
    </row>
    <row r="68" spans="2:23" x14ac:dyDescent="0.25">
      <c r="B68" s="77" t="s">
        <v>94</v>
      </c>
      <c r="C68" s="77" t="s">
        <v>42</v>
      </c>
      <c r="D68" s="77" t="s">
        <v>176</v>
      </c>
      <c r="E68" s="77" t="s">
        <v>62</v>
      </c>
      <c r="F68" s="245" t="str">
        <f t="shared" si="6"/>
        <v>RobS 79</v>
      </c>
      <c r="G68" s="77" t="s">
        <v>2972</v>
      </c>
      <c r="H68" s="77"/>
      <c r="I68" s="77" t="str">
        <f t="shared" si="4"/>
        <v>L07_JV_057E_ROBBING</v>
      </c>
      <c r="J68" s="77" t="s">
        <v>5466</v>
      </c>
      <c r="K68" s="169">
        <f>IFERROR(MATCH(J68,'Final List'!$B$4:$B$252,0),0)</f>
        <v>0</v>
      </c>
      <c r="L68" s="169">
        <f>IFERROR(MATCH(J68,'Final List'!$D$4:$D$252,0),0)</f>
        <v>0</v>
      </c>
      <c r="M68" s="169">
        <f>IFERROR(MATCH(J68,'Final List'!$F$4:$F$251,0),0)</f>
        <v>0</v>
      </c>
      <c r="N68" s="169">
        <f>IFERROR(MATCH(J68,'Final List'!$H$4:$H$252,0),0)</f>
        <v>0</v>
      </c>
      <c r="O68" s="169">
        <f>IFERROR(MATCH(J68,'Final List'!$J$4:$J$252,0),0)</f>
        <v>0</v>
      </c>
      <c r="P68" s="169">
        <f>IFERROR(MATCH(J68,'Final List'!$L$4:$L$252,0),0)</f>
        <v>0</v>
      </c>
      <c r="Q68" s="169">
        <f>IFERROR(MATCH(J68,'Final List'!$N$4:$N$252,0),0)</f>
        <v>0</v>
      </c>
      <c r="R68" s="169">
        <f>IFERROR(MATCH(J68,'Final List'!$P$4:$P$252,0),0)</f>
        <v>0</v>
      </c>
      <c r="S68" s="169">
        <f t="shared" si="7"/>
        <v>0</v>
      </c>
      <c r="T68" s="116" t="s">
        <v>68</v>
      </c>
      <c r="U68" s="116"/>
      <c r="V68" s="116" t="str">
        <f t="shared" si="5"/>
        <v>FABROA 1</v>
      </c>
      <c r="W68" s="116" t="s">
        <v>2707</v>
      </c>
    </row>
    <row r="69" spans="2:23" x14ac:dyDescent="0.25">
      <c r="B69" s="77" t="s">
        <v>258</v>
      </c>
      <c r="C69" s="77" t="s">
        <v>59</v>
      </c>
      <c r="D69" s="77" t="s">
        <v>130</v>
      </c>
      <c r="E69" s="77" t="s">
        <v>19</v>
      </c>
      <c r="F69" s="245" t="str">
        <f t="shared" si="6"/>
        <v>DVR 72</v>
      </c>
      <c r="G69" s="77" t="s">
        <v>5704</v>
      </c>
      <c r="H69" s="77"/>
      <c r="I69" s="77" t="str">
        <f t="shared" si="4"/>
        <v>L10_GHVHW_036E_RAISE</v>
      </c>
      <c r="J69" s="77" t="s">
        <v>5441</v>
      </c>
      <c r="K69" s="169">
        <f>IFERROR(MATCH(J69,'Final List'!$B$4:$B$252,0),0)</f>
        <v>0</v>
      </c>
      <c r="L69" s="169">
        <f>IFERROR(MATCH(J69,'Final List'!$D$4:$D$252,0),0)</f>
        <v>0</v>
      </c>
      <c r="M69" s="169">
        <f>IFERROR(MATCH(J69,'Final List'!$F$4:$F$251,0),0)</f>
        <v>0</v>
      </c>
      <c r="N69" s="169">
        <f>IFERROR(MATCH(J69,'Final List'!$H$4:$H$252,0),0)</f>
        <v>0</v>
      </c>
      <c r="O69" s="169">
        <f>IFERROR(MATCH(J69,'Final List'!$J$4:$J$252,0),0)</f>
        <v>0</v>
      </c>
      <c r="P69" s="169">
        <f>IFERROR(MATCH(J69,'Final List'!$L$4:$L$252,0),0)</f>
        <v>0</v>
      </c>
      <c r="Q69" s="169">
        <f>IFERROR(MATCH(J69,'Final List'!$N$4:$N$252,0),0)</f>
        <v>0</v>
      </c>
      <c r="R69" s="169">
        <f>IFERROR(MATCH(J69,'Final List'!$P$4:$P$252,0),0)</f>
        <v>0</v>
      </c>
      <c r="S69" s="169">
        <f t="shared" si="7"/>
        <v>0</v>
      </c>
      <c r="T69" s="116"/>
      <c r="U69" s="116"/>
      <c r="V69" s="116" t="str">
        <f t="shared" si="5"/>
        <v>OLIVEROS 3</v>
      </c>
      <c r="W69" s="116" t="s">
        <v>2715</v>
      </c>
    </row>
    <row r="70" spans="2:23" x14ac:dyDescent="0.25">
      <c r="B70" s="77" t="s">
        <v>258</v>
      </c>
      <c r="C70" s="77" t="s">
        <v>45</v>
      </c>
      <c r="D70" s="77" t="s">
        <v>133</v>
      </c>
      <c r="E70" s="77" t="s">
        <v>61</v>
      </c>
      <c r="F70" s="245" t="str">
        <f t="shared" si="6"/>
        <v>Dhoz 71</v>
      </c>
      <c r="G70" s="77" t="s">
        <v>5775</v>
      </c>
      <c r="H70" s="77" t="s">
        <v>352</v>
      </c>
      <c r="I70" s="77" t="str">
        <f t="shared" si="4"/>
        <v>L10_DPVE_037E_DW</v>
      </c>
      <c r="J70" s="77" t="s">
        <v>5451</v>
      </c>
      <c r="K70" s="169">
        <f>IFERROR(MATCH(J70,'Final List'!$B$4:$B$252,0),0)</f>
        <v>0</v>
      </c>
      <c r="L70" s="169">
        <f>IFERROR(MATCH(J70,'Final List'!$D$4:$D$252,0),0)</f>
        <v>0</v>
      </c>
      <c r="M70" s="169">
        <f>IFERROR(MATCH(J70,'Final List'!$F$4:$F$251,0),0)</f>
        <v>0</v>
      </c>
      <c r="N70" s="169">
        <f>IFERROR(MATCH(J70,'Final List'!$H$4:$H$252,0),0)</f>
        <v>0</v>
      </c>
      <c r="O70" s="169">
        <f>IFERROR(MATCH(J70,'Final List'!$J$4:$J$252,0),0)</f>
        <v>0</v>
      </c>
      <c r="P70" s="169">
        <f>IFERROR(MATCH(J70,'Final List'!$L$4:$L$252,0),0)</f>
        <v>0</v>
      </c>
      <c r="Q70" s="169">
        <f>IFERROR(MATCH(J70,'Final List'!$N$4:$N$252,0),0)</f>
        <v>0</v>
      </c>
      <c r="R70" s="169">
        <f>IFERROR(MATCH(J70,'Final List'!$P$4:$P$252,0),0)</f>
        <v>0</v>
      </c>
      <c r="S70" s="169">
        <f t="shared" si="7"/>
        <v>0</v>
      </c>
      <c r="T70" s="116"/>
      <c r="U70" s="116"/>
      <c r="V70" s="116" t="str">
        <f t="shared" si="5"/>
        <v>BAÑEZ 5</v>
      </c>
      <c r="W70" s="116" t="s">
        <v>8896</v>
      </c>
    </row>
    <row r="71" spans="2:23" x14ac:dyDescent="0.25">
      <c r="B71" s="77" t="s">
        <v>258</v>
      </c>
      <c r="C71" s="77" t="s">
        <v>45</v>
      </c>
      <c r="D71" s="77" t="s">
        <v>177</v>
      </c>
      <c r="E71" s="77" t="s">
        <v>19</v>
      </c>
      <c r="F71" s="245" t="str">
        <f t="shared" si="6"/>
        <v>DVR 72</v>
      </c>
      <c r="G71" s="77" t="s">
        <v>5776</v>
      </c>
      <c r="H71" s="77" t="s">
        <v>6255</v>
      </c>
      <c r="I71" s="77" t="str">
        <f t="shared" si="4"/>
        <v>L10_DPVE_054E_RAISE</v>
      </c>
      <c r="J71" s="77" t="s">
        <v>5458</v>
      </c>
      <c r="K71" s="169">
        <f>IFERROR(MATCH(J71,'Final List'!$B$4:$B$252,0),0)</f>
        <v>0</v>
      </c>
      <c r="L71" s="169">
        <f>IFERROR(MATCH(J71,'Final List'!$D$4:$D$252,0),0)</f>
        <v>0</v>
      </c>
      <c r="M71" s="169">
        <f>IFERROR(MATCH(J71,'Final List'!$F$4:$F$251,0),0)</f>
        <v>0</v>
      </c>
      <c r="N71" s="169">
        <f>IFERROR(MATCH(J71,'Final List'!$H$4:$H$252,0),0)</f>
        <v>0</v>
      </c>
      <c r="O71" s="169">
        <f>IFERROR(MATCH(J71,'Final List'!$J$4:$J$252,0),0)</f>
        <v>0</v>
      </c>
      <c r="P71" s="169">
        <f>IFERROR(MATCH(J71,'Final List'!$L$4:$L$252,0),0)</f>
        <v>0</v>
      </c>
      <c r="Q71" s="169">
        <f>IFERROR(MATCH(J71,'Final List'!$N$4:$N$252,0),0)</f>
        <v>0</v>
      </c>
      <c r="R71" s="169">
        <f>IFERROR(MATCH(J71,'Final List'!$P$4:$P$252,0),0)</f>
        <v>0</v>
      </c>
      <c r="S71" s="169">
        <f t="shared" si="7"/>
        <v>0</v>
      </c>
      <c r="T71" s="116"/>
      <c r="U71" s="116"/>
      <c r="V71" s="116" t="str">
        <f t="shared" si="5"/>
        <v xml:space="preserve">LARGO 2 </v>
      </c>
      <c r="W71" s="116" t="s">
        <v>2715</v>
      </c>
    </row>
    <row r="72" spans="2:23" x14ac:dyDescent="0.25">
      <c r="B72" s="77" t="s">
        <v>96</v>
      </c>
      <c r="C72" s="77" t="s">
        <v>59</v>
      </c>
      <c r="D72" s="77" t="s">
        <v>198</v>
      </c>
      <c r="E72" s="77" t="s">
        <v>60</v>
      </c>
      <c r="F72" s="245" t="str">
        <f t="shared" si="6"/>
        <v>Dhoz 71</v>
      </c>
      <c r="G72" s="77" t="s">
        <v>587</v>
      </c>
      <c r="H72" s="77" t="s">
        <v>389</v>
      </c>
      <c r="I72" s="77" t="str">
        <f t="shared" si="4"/>
        <v>L09_GHVHW_069E_DE</v>
      </c>
      <c r="J72" s="77" t="s">
        <v>5462</v>
      </c>
      <c r="K72" s="169">
        <f>IFERROR(MATCH(J72,'Final List'!$B$4:$B$252,0),0)</f>
        <v>0</v>
      </c>
      <c r="L72" s="169">
        <f>IFERROR(MATCH(J72,'Final List'!$D$4:$D$252,0),0)</f>
        <v>0</v>
      </c>
      <c r="M72" s="169">
        <f>IFERROR(MATCH(J72,'Final List'!$F$4:$F$251,0),0)</f>
        <v>0</v>
      </c>
      <c r="N72" s="169">
        <f>IFERROR(MATCH(J72,'Final List'!$H$4:$H$252,0),0)</f>
        <v>0</v>
      </c>
      <c r="O72" s="169">
        <f>IFERROR(MATCH(J72,'Final List'!$J$4:$J$252,0),0)</f>
        <v>0</v>
      </c>
      <c r="P72" s="169">
        <f>IFERROR(MATCH(J72,'Final List'!$L$4:$L$252,0),0)</f>
        <v>0</v>
      </c>
      <c r="Q72" s="169">
        <f>IFERROR(MATCH(J72,'Final List'!$N$4:$N$252,0),0)</f>
        <v>0</v>
      </c>
      <c r="R72" s="169">
        <f>IFERROR(MATCH(J72,'Final List'!$P$4:$P$252,0),0)</f>
        <v>0</v>
      </c>
      <c r="S72" s="169">
        <f t="shared" si="7"/>
        <v>0</v>
      </c>
      <c r="T72" s="116"/>
      <c r="U72" s="116"/>
      <c r="V72" s="116" t="str">
        <f t="shared" si="5"/>
        <v>CAPPUYO 1</v>
      </c>
      <c r="W72" s="116" t="s">
        <v>8896</v>
      </c>
    </row>
    <row r="73" spans="2:23" x14ac:dyDescent="0.25">
      <c r="B73" s="77" t="s">
        <v>94</v>
      </c>
      <c r="C73" s="77" t="s">
        <v>41</v>
      </c>
      <c r="D73" s="77" t="s">
        <v>129</v>
      </c>
      <c r="E73" s="77" t="s">
        <v>6154</v>
      </c>
      <c r="F73" s="245" t="str">
        <f t="shared" si="6"/>
        <v>Dhoz 71</v>
      </c>
      <c r="G73" s="77" t="s">
        <v>358</v>
      </c>
      <c r="H73" s="77"/>
      <c r="I73" s="77" t="str">
        <f t="shared" si="4"/>
        <v>L07_CTV_010E_DW_ISL</v>
      </c>
      <c r="J73" s="77" t="str">
        <f>CONCATENATE(B73,"_",C73,"_",D73,"_",E73)</f>
        <v>L07_CTV_010E_DW_ISL</v>
      </c>
      <c r="K73" s="169">
        <f>IFERROR(MATCH(J73,'Final List'!$B$4:$B$252,0),0)</f>
        <v>0</v>
      </c>
      <c r="L73" s="169">
        <f>IFERROR(MATCH(J73,'Final List'!$D$4:$D$252,0),0)</f>
        <v>0</v>
      </c>
      <c r="M73" s="169">
        <f>IFERROR(MATCH(J73,'Final List'!$F$4:$F$251,0),0)</f>
        <v>0</v>
      </c>
      <c r="N73" s="169">
        <f>IFERROR(MATCH(J73,'Final List'!$H$4:$H$252,0),0)</f>
        <v>0</v>
      </c>
      <c r="O73" s="169">
        <f>IFERROR(MATCH(J73,'Final List'!$J$4:$J$252,0),0)</f>
        <v>0</v>
      </c>
      <c r="P73" s="169">
        <f>IFERROR(MATCH(J73,'Final List'!$L$4:$L$252,0),0)</f>
        <v>0</v>
      </c>
      <c r="Q73" s="169">
        <f>IFERROR(MATCH(J73,'Final List'!$N$4:$N$252,0),0)</f>
        <v>0</v>
      </c>
      <c r="R73" s="169">
        <f>IFERROR(MATCH(J73,'Final List'!$P$4:$P$252,0),0)</f>
        <v>0</v>
      </c>
      <c r="S73" s="169">
        <f t="shared" si="7"/>
        <v>0</v>
      </c>
      <c r="T73" s="116"/>
      <c r="U73" s="116"/>
      <c r="V73" s="116" t="str">
        <f t="shared" si="5"/>
        <v>ALEÑAR 1</v>
      </c>
      <c r="W73" s="116" t="s">
        <v>2708</v>
      </c>
    </row>
    <row r="74" spans="2:23" x14ac:dyDescent="0.25">
      <c r="B74" s="77" t="s">
        <v>94</v>
      </c>
      <c r="C74" s="77" t="s">
        <v>39</v>
      </c>
      <c r="D74" s="77" t="s">
        <v>164</v>
      </c>
      <c r="E74" s="77" t="s">
        <v>62</v>
      </c>
      <c r="F74" s="245" t="str">
        <f t="shared" si="6"/>
        <v>RobC 80</v>
      </c>
      <c r="G74" s="77" t="s">
        <v>324</v>
      </c>
      <c r="H74" s="77"/>
      <c r="I74" s="77" t="str">
        <f t="shared" si="4"/>
        <v>L07_JVHW_064E_ROBBING</v>
      </c>
      <c r="J74" s="77" t="s">
        <v>5465</v>
      </c>
      <c r="K74" s="169">
        <f>IFERROR(MATCH(J74,'Final List'!$B$4:$B$252,0),0)</f>
        <v>0</v>
      </c>
      <c r="L74" s="169">
        <f>IFERROR(MATCH(J74,'Final List'!$D$4:$D$252,0),0)</f>
        <v>0</v>
      </c>
      <c r="M74" s="169">
        <f>IFERROR(MATCH(J74,'Final List'!$F$4:$F$251,0),0)</f>
        <v>0</v>
      </c>
      <c r="N74" s="169">
        <f>IFERROR(MATCH(J74,'Final List'!$H$4:$H$252,0),0)</f>
        <v>0</v>
      </c>
      <c r="O74" s="169">
        <f>IFERROR(MATCH(J74,'Final List'!$J$4:$J$252,0),0)</f>
        <v>0</v>
      </c>
      <c r="P74" s="169">
        <f>IFERROR(MATCH(J74,'Final List'!$L$4:$L$252,0),0)</f>
        <v>0</v>
      </c>
      <c r="Q74" s="169">
        <f>IFERROR(MATCH(J74,'Final List'!$N$4:$N$252,0),0)</f>
        <v>0</v>
      </c>
      <c r="R74" s="169">
        <f>IFERROR(MATCH(J74,'Final List'!$P$4:$P$252,0),0)</f>
        <v>0</v>
      </c>
      <c r="S74" s="169">
        <f t="shared" si="7"/>
        <v>0</v>
      </c>
      <c r="T74" s="116" t="s">
        <v>48</v>
      </c>
      <c r="U74" s="116"/>
      <c r="V74" s="116" t="str">
        <f t="shared" si="5"/>
        <v>CAYABAS 1</v>
      </c>
      <c r="W74" s="116" t="s">
        <v>236</v>
      </c>
    </row>
    <row r="75" spans="2:23" x14ac:dyDescent="0.25">
      <c r="B75" s="77" t="s">
        <v>91</v>
      </c>
      <c r="C75" s="77" t="s">
        <v>43</v>
      </c>
      <c r="D75" s="77" t="s">
        <v>99</v>
      </c>
      <c r="E75" s="77" t="s">
        <v>60</v>
      </c>
      <c r="F75" s="245" t="str">
        <f t="shared" si="6"/>
        <v>Dhoz 71</v>
      </c>
      <c r="G75" s="77" t="s">
        <v>352</v>
      </c>
      <c r="H75" s="77"/>
      <c r="I75" s="77" t="str">
        <f t="shared" si="4"/>
        <v>L04_GHVSPLIT_028W_DE</v>
      </c>
      <c r="J75" s="77" t="s">
        <v>5470</v>
      </c>
      <c r="K75" s="169">
        <f>IFERROR(MATCH(J75,'Final List'!$B$4:$B$252,0),0)</f>
        <v>0</v>
      </c>
      <c r="L75" s="169">
        <f>IFERROR(MATCH(J75,'Final List'!$D$4:$D$252,0),0)</f>
        <v>0</v>
      </c>
      <c r="M75" s="169">
        <f>IFERROR(MATCH(J75,'Final List'!$F$4:$F$251,0),0)</f>
        <v>0</v>
      </c>
      <c r="N75" s="169">
        <f>IFERROR(MATCH(J75,'Final List'!$H$4:$H$252,0),0)</f>
        <v>0</v>
      </c>
      <c r="O75" s="169">
        <f>IFERROR(MATCH(J75,'Final List'!$J$4:$J$252,0),0)</f>
        <v>0</v>
      </c>
      <c r="P75" s="169">
        <f>IFERROR(MATCH(J75,'Final List'!$L$4:$L$252,0),0)</f>
        <v>0</v>
      </c>
      <c r="Q75" s="169">
        <f>IFERROR(MATCH(J75,'Final List'!$N$4:$N$252,0),0)</f>
        <v>0</v>
      </c>
      <c r="R75" s="169">
        <f>IFERROR(MATCH(J75,'Final List'!$P$4:$P$252,0),0)</f>
        <v>0</v>
      </c>
      <c r="S75" s="169">
        <f t="shared" si="7"/>
        <v>0</v>
      </c>
      <c r="T75" s="116"/>
      <c r="U75" s="116"/>
      <c r="V75" s="116" t="str">
        <f t="shared" si="5"/>
        <v>BAÑEZ 5</v>
      </c>
      <c r="W75" s="116" t="s">
        <v>8895</v>
      </c>
    </row>
    <row r="76" spans="2:23" x14ac:dyDescent="0.25">
      <c r="B76" s="77" t="s">
        <v>95</v>
      </c>
      <c r="C76" s="77" t="s">
        <v>87</v>
      </c>
      <c r="D76" s="77" t="s">
        <v>118</v>
      </c>
      <c r="E76" s="77" t="s">
        <v>72</v>
      </c>
      <c r="F76" s="245" t="str">
        <f t="shared" si="6"/>
        <v>Dhoz 71</v>
      </c>
      <c r="G76" s="77" t="s">
        <v>385</v>
      </c>
      <c r="H76" s="77"/>
      <c r="I76" s="77" t="str">
        <f t="shared" si="4"/>
        <v>L08_NONE_014E_CHAMBER</v>
      </c>
      <c r="J76" s="77" t="s">
        <v>5474</v>
      </c>
      <c r="K76" s="169">
        <f>IFERROR(MATCH(J76,'Final List'!$B$4:$B$252,0),0)</f>
        <v>0</v>
      </c>
      <c r="L76" s="169">
        <f>IFERROR(MATCH(J76,'Final List'!$D$4:$D$252,0),0)</f>
        <v>0</v>
      </c>
      <c r="M76" s="169">
        <f>IFERROR(MATCH(J76,'Final List'!$F$4:$F$251,0),0)</f>
        <v>0</v>
      </c>
      <c r="N76" s="169">
        <f>IFERROR(MATCH(J76,'Final List'!$H$4:$H$252,0),0)</f>
        <v>0</v>
      </c>
      <c r="O76" s="169">
        <f>IFERROR(MATCH(J76,'Final List'!$J$4:$J$252,0),0)</f>
        <v>0</v>
      </c>
      <c r="P76" s="169">
        <f>IFERROR(MATCH(J76,'Final List'!$L$4:$L$252,0),0)</f>
        <v>0</v>
      </c>
      <c r="Q76" s="169">
        <f>IFERROR(MATCH(J76,'Final List'!$N$4:$N$252,0),0)</f>
        <v>0</v>
      </c>
      <c r="R76" s="169">
        <f>IFERROR(MATCH(J76,'Final List'!$P$4:$P$252,0),0)</f>
        <v>0</v>
      </c>
      <c r="S76" s="169">
        <f t="shared" si="7"/>
        <v>0</v>
      </c>
      <c r="T76" s="116"/>
      <c r="U76" s="116"/>
      <c r="V76" s="116" t="str">
        <f t="shared" si="5"/>
        <v>SILVOZA 1</v>
      </c>
      <c r="W76" s="116" t="s">
        <v>2714</v>
      </c>
    </row>
    <row r="77" spans="2:23" x14ac:dyDescent="0.25">
      <c r="B77" s="77" t="s">
        <v>258</v>
      </c>
      <c r="C77" s="77" t="s">
        <v>55</v>
      </c>
      <c r="D77" s="77" t="s">
        <v>289</v>
      </c>
      <c r="E77" s="77" t="s">
        <v>60</v>
      </c>
      <c r="F77" s="245" t="str">
        <f t="shared" si="6"/>
        <v>Dhoz 71</v>
      </c>
      <c r="G77" s="77" t="s">
        <v>1744</v>
      </c>
      <c r="H77" s="77"/>
      <c r="I77" s="77" t="str">
        <f t="shared" si="4"/>
        <v>L10_JVFW_059E_DE</v>
      </c>
      <c r="J77" s="77" t="s">
        <v>5481</v>
      </c>
      <c r="K77" s="169">
        <f>IFERROR(MATCH(J77,'Final List'!$B$4:$B$252,0),0)</f>
        <v>0</v>
      </c>
      <c r="L77" s="169">
        <f>IFERROR(MATCH(J77,'Final List'!$D$4:$D$252,0),0)</f>
        <v>0</v>
      </c>
      <c r="M77" s="169">
        <f>IFERROR(MATCH(J77,'Final List'!$F$4:$F$251,0),0)</f>
        <v>0</v>
      </c>
      <c r="N77" s="169">
        <f>IFERROR(MATCH(J77,'Final List'!$H$4:$H$252,0),0)</f>
        <v>0</v>
      </c>
      <c r="O77" s="169">
        <f>IFERROR(MATCH(J77,'Final List'!$J$4:$J$252,0),0)</f>
        <v>0</v>
      </c>
      <c r="P77" s="169">
        <f>IFERROR(MATCH(J77,'Final List'!$L$4:$L$252,0),0)</f>
        <v>0</v>
      </c>
      <c r="Q77" s="169">
        <f>IFERROR(MATCH(J77,'Final List'!$N$4:$N$252,0),0)</f>
        <v>0</v>
      </c>
      <c r="R77" s="169">
        <f>IFERROR(MATCH(J77,'Final List'!$P$4:$P$252,0),0)</f>
        <v>0</v>
      </c>
      <c r="S77" s="169">
        <f t="shared" si="7"/>
        <v>0</v>
      </c>
      <c r="T77" s="116"/>
      <c r="U77" s="116"/>
      <c r="V77" s="116" t="str">
        <f t="shared" si="5"/>
        <v>SHEPHERD W</v>
      </c>
      <c r="W77" s="116" t="s">
        <v>8896</v>
      </c>
    </row>
    <row r="78" spans="2:23" x14ac:dyDescent="0.25">
      <c r="B78" s="77" t="s">
        <v>96</v>
      </c>
      <c r="C78" s="77" t="s">
        <v>42</v>
      </c>
      <c r="D78" s="77" t="s">
        <v>289</v>
      </c>
      <c r="E78" s="77" t="s">
        <v>36</v>
      </c>
      <c r="F78" s="245" t="str">
        <f t="shared" si="6"/>
        <v>StpS 77</v>
      </c>
      <c r="G78" s="77" t="s">
        <v>587</v>
      </c>
      <c r="H78" s="77" t="s">
        <v>363</v>
      </c>
      <c r="I78" s="77" t="str">
        <f t="shared" si="4"/>
        <v>L09_JV_059E_STOPE</v>
      </c>
      <c r="J78" s="77" t="s">
        <v>5490</v>
      </c>
      <c r="K78" s="169">
        <f>IFERROR(MATCH(J78,'Final List'!$B$4:$B$252,0),0)</f>
        <v>0</v>
      </c>
      <c r="L78" s="169">
        <f>IFERROR(MATCH(J78,'Final List'!$D$4:$D$252,0),0)</f>
        <v>0</v>
      </c>
      <c r="M78" s="169">
        <f>IFERROR(MATCH(J78,'Final List'!$F$4:$F$251,0),0)</f>
        <v>0</v>
      </c>
      <c r="N78" s="169">
        <f>IFERROR(MATCH(J78,'Final List'!$H$4:$H$252,0),0)</f>
        <v>0</v>
      </c>
      <c r="O78" s="169">
        <f>IFERROR(MATCH(J78,'Final List'!$J$4:$J$252,0),0)</f>
        <v>0</v>
      </c>
      <c r="P78" s="169">
        <f>IFERROR(MATCH(J78,'Final List'!$L$4:$L$252,0),0)</f>
        <v>0</v>
      </c>
      <c r="Q78" s="169">
        <f>IFERROR(MATCH(J78,'Final List'!$N$4:$N$252,0),0)</f>
        <v>0</v>
      </c>
      <c r="R78" s="169">
        <f>IFERROR(MATCH(J78,'Final List'!$P$4:$P$252,0),0)</f>
        <v>0</v>
      </c>
      <c r="S78" s="169">
        <f t="shared" si="7"/>
        <v>0</v>
      </c>
      <c r="T78" s="116" t="s">
        <v>68</v>
      </c>
      <c r="U78" s="116"/>
      <c r="V78" s="116" t="str">
        <f t="shared" si="5"/>
        <v>BABOR 2</v>
      </c>
      <c r="W78" s="116" t="s">
        <v>2713</v>
      </c>
    </row>
    <row r="79" spans="2:23" x14ac:dyDescent="0.25">
      <c r="B79" s="77" t="s">
        <v>92</v>
      </c>
      <c r="C79" s="77" t="s">
        <v>38</v>
      </c>
      <c r="D79" s="77" t="s">
        <v>101</v>
      </c>
      <c r="E79" s="77" t="s">
        <v>221</v>
      </c>
      <c r="F79" s="245" t="str">
        <f t="shared" si="6"/>
        <v>RobC 80</v>
      </c>
      <c r="G79" s="77" t="s">
        <v>5707</v>
      </c>
      <c r="H79" s="77"/>
      <c r="I79" s="77" t="str">
        <f t="shared" si="4"/>
        <v>L05_GHV_023W_WINZE STOPE</v>
      </c>
      <c r="J79" s="77" t="s">
        <v>5504</v>
      </c>
      <c r="K79" s="169">
        <f>IFERROR(MATCH(J79,'Final List'!$B$4:$B$252,0),0)</f>
        <v>0</v>
      </c>
      <c r="L79" s="169">
        <f>IFERROR(MATCH(J79,'Final List'!$D$4:$D$252,0),0)</f>
        <v>0</v>
      </c>
      <c r="M79" s="169">
        <f>IFERROR(MATCH(J79,'Final List'!$F$4:$F$251,0),0)</f>
        <v>0</v>
      </c>
      <c r="N79" s="169">
        <f>IFERROR(MATCH(J79,'Final List'!$H$4:$H$252,0),0)</f>
        <v>0</v>
      </c>
      <c r="O79" s="169">
        <f>IFERROR(MATCH(J79,'Final List'!$J$4:$J$252,0),0)</f>
        <v>0</v>
      </c>
      <c r="P79" s="169">
        <f>IFERROR(MATCH(J79,'Final List'!$L$4:$L$252,0),0)</f>
        <v>0</v>
      </c>
      <c r="Q79" s="169">
        <f>IFERROR(MATCH(J79,'Final List'!$N$4:$N$252,0),0)</f>
        <v>0</v>
      </c>
      <c r="R79" s="169">
        <f>IFERROR(MATCH(J79,'Final List'!$P$4:$P$252,0),0)</f>
        <v>0</v>
      </c>
      <c r="S79" s="169">
        <f t="shared" si="7"/>
        <v>0</v>
      </c>
      <c r="T79" s="116" t="s">
        <v>68</v>
      </c>
      <c r="U79" s="116"/>
      <c r="V79" s="116" t="str">
        <f t="shared" si="5"/>
        <v>SHEPHERD AF 2</v>
      </c>
      <c r="W79" s="116" t="s">
        <v>2719</v>
      </c>
    </row>
    <row r="80" spans="2:23" x14ac:dyDescent="0.25">
      <c r="B80" s="77" t="s">
        <v>96</v>
      </c>
      <c r="C80" s="77" t="s">
        <v>57</v>
      </c>
      <c r="D80" s="77" t="s">
        <v>103</v>
      </c>
      <c r="E80" s="77" t="s">
        <v>19</v>
      </c>
      <c r="F80" s="245" t="str">
        <f t="shared" si="6"/>
        <v>DVR 72</v>
      </c>
      <c r="G80" s="77" t="s">
        <v>551</v>
      </c>
      <c r="H80" s="77"/>
      <c r="I80" s="77" t="str">
        <f t="shared" si="4"/>
        <v>L09_JVSPLIT_005E_RAISE</v>
      </c>
      <c r="J80" s="77" t="s">
        <v>5491</v>
      </c>
      <c r="K80" s="169">
        <f>IFERROR(MATCH(J80,'Final List'!$B$4:$B$252,0),0)</f>
        <v>0</v>
      </c>
      <c r="L80" s="169">
        <f>IFERROR(MATCH(J80,'Final List'!$D$4:$D$252,0),0)</f>
        <v>0</v>
      </c>
      <c r="M80" s="169">
        <f>IFERROR(MATCH(J80,'Final List'!$F$4:$F$251,0),0)</f>
        <v>0</v>
      </c>
      <c r="N80" s="169">
        <f>IFERROR(MATCH(J80,'Final List'!$H$4:$H$252,0),0)</f>
        <v>0</v>
      </c>
      <c r="O80" s="169">
        <f>IFERROR(MATCH(J80,'Final List'!$J$4:$J$252,0),0)</f>
        <v>0</v>
      </c>
      <c r="P80" s="169">
        <f>IFERROR(MATCH(J80,'Final List'!$L$4:$L$252,0),0)</f>
        <v>0</v>
      </c>
      <c r="Q80" s="169">
        <f>IFERROR(MATCH(J80,'Final List'!$N$4:$N$252,0),0)</f>
        <v>0</v>
      </c>
      <c r="R80" s="169">
        <f>IFERROR(MATCH(J80,'Final List'!$P$4:$P$252,0),0)</f>
        <v>0</v>
      </c>
      <c r="S80" s="169">
        <f t="shared" si="7"/>
        <v>0</v>
      </c>
      <c r="T80" s="116"/>
      <c r="U80" s="116"/>
      <c r="V80" s="116" t="str">
        <f t="shared" si="5"/>
        <v>PANCIT, NOEL 3</v>
      </c>
      <c r="W80" s="116" t="s">
        <v>2715</v>
      </c>
    </row>
    <row r="81" spans="2:23" x14ac:dyDescent="0.25">
      <c r="B81" s="77" t="s">
        <v>96</v>
      </c>
      <c r="C81" s="77" t="s">
        <v>38</v>
      </c>
      <c r="D81" s="77" t="s">
        <v>595</v>
      </c>
      <c r="E81" s="77" t="s">
        <v>19</v>
      </c>
      <c r="F81" s="245" t="str">
        <f t="shared" si="6"/>
        <v>DVR 72</v>
      </c>
      <c r="G81" s="77" t="s">
        <v>5780</v>
      </c>
      <c r="H81" s="77"/>
      <c r="I81" s="77" t="str">
        <f t="shared" si="4"/>
        <v>L09_GHV_072E_RAISE</v>
      </c>
      <c r="J81" s="77" t="s">
        <v>5528</v>
      </c>
      <c r="K81" s="169">
        <f>IFERROR(MATCH(J81,'Final List'!$B$4:$B$252,0),0)</f>
        <v>0</v>
      </c>
      <c r="L81" s="169">
        <f>IFERROR(MATCH(J81,'Final List'!$D$4:$D$252,0),0)</f>
        <v>0</v>
      </c>
      <c r="M81" s="169">
        <f>IFERROR(MATCH(J81,'Final List'!$F$4:$F$251,0),0)</f>
        <v>0</v>
      </c>
      <c r="N81" s="169">
        <f>IFERROR(MATCH(J81,'Final List'!$H$4:$H$252,0),0)</f>
        <v>0</v>
      </c>
      <c r="O81" s="169">
        <f>IFERROR(MATCH(J81,'Final List'!$J$4:$J$252,0),0)</f>
        <v>0</v>
      </c>
      <c r="P81" s="169">
        <f>IFERROR(MATCH(J81,'Final List'!$L$4:$L$252,0),0)</f>
        <v>0</v>
      </c>
      <c r="Q81" s="169">
        <f>IFERROR(MATCH(J81,'Final List'!$N$4:$N$252,0),0)</f>
        <v>0</v>
      </c>
      <c r="R81" s="169">
        <f>IFERROR(MATCH(J81,'Final List'!$P$4:$P$252,0),0)</f>
        <v>0</v>
      </c>
      <c r="S81" s="169">
        <f t="shared" si="7"/>
        <v>0</v>
      </c>
      <c r="T81" s="116"/>
      <c r="U81" s="116"/>
      <c r="V81" s="116" t="str">
        <f t="shared" si="5"/>
        <v>REBOTE, JONATHAN 3</v>
      </c>
      <c r="W81" s="116" t="s">
        <v>2710</v>
      </c>
    </row>
    <row r="82" spans="2:23" x14ac:dyDescent="0.25">
      <c r="B82" s="77" t="s">
        <v>1166</v>
      </c>
      <c r="C82" s="77" t="s">
        <v>55</v>
      </c>
      <c r="D82" s="77" t="s">
        <v>175</v>
      </c>
      <c r="E82" s="77" t="s">
        <v>60</v>
      </c>
      <c r="F82" s="245" t="str">
        <f t="shared" si="6"/>
        <v>Dhoz 71</v>
      </c>
      <c r="G82" s="77" t="s">
        <v>340</v>
      </c>
      <c r="H82" s="77" t="s">
        <v>481</v>
      </c>
      <c r="I82" s="77" t="str">
        <f t="shared" si="4"/>
        <v>L11_JVFW_060E_DE</v>
      </c>
      <c r="J82" s="77" t="s">
        <v>5530</v>
      </c>
      <c r="K82" s="169">
        <f>IFERROR(MATCH(J82,'Final List'!$B$4:$B$252,0),0)</f>
        <v>0</v>
      </c>
      <c r="L82" s="169">
        <f>IFERROR(MATCH(J82,'Final List'!$D$4:$D$252,0),0)</f>
        <v>0</v>
      </c>
      <c r="M82" s="169">
        <f>IFERROR(MATCH(J82,'Final List'!$F$4:$F$251,0),0)</f>
        <v>0</v>
      </c>
      <c r="N82" s="169">
        <f>IFERROR(MATCH(J82,'Final List'!$H$4:$H$252,0),0)</f>
        <v>0</v>
      </c>
      <c r="O82" s="169">
        <f>IFERROR(MATCH(J82,'Final List'!$J$4:$J$252,0),0)</f>
        <v>0</v>
      </c>
      <c r="P82" s="169">
        <f>IFERROR(MATCH(J82,'Final List'!$L$4:$L$252,0),0)</f>
        <v>0</v>
      </c>
      <c r="Q82" s="169">
        <f>IFERROR(MATCH(J82,'Final List'!$N$4:$N$252,0),0)</f>
        <v>0</v>
      </c>
      <c r="R82" s="169">
        <f>IFERROR(MATCH(J82,'Final List'!$P$4:$P$252,0),0)</f>
        <v>0</v>
      </c>
      <c r="S82" s="169">
        <f t="shared" si="7"/>
        <v>0</v>
      </c>
      <c r="T82" s="116"/>
      <c r="U82" s="116"/>
      <c r="V82" s="116" t="str">
        <f t="shared" si="5"/>
        <v>DUHIG 4</v>
      </c>
      <c r="W82" s="116" t="s">
        <v>8896</v>
      </c>
    </row>
    <row r="83" spans="2:23" x14ac:dyDescent="0.25">
      <c r="B83" s="77" t="s">
        <v>91</v>
      </c>
      <c r="C83" s="77" t="s">
        <v>41</v>
      </c>
      <c r="D83" s="77" t="s">
        <v>162</v>
      </c>
      <c r="E83" s="77" t="s">
        <v>19</v>
      </c>
      <c r="F83" s="245" t="str">
        <f t="shared" si="6"/>
        <v>DVR 72</v>
      </c>
      <c r="G83" s="77" t="s">
        <v>5767</v>
      </c>
      <c r="H83" s="77"/>
      <c r="I83" s="77" t="str">
        <f t="shared" si="4"/>
        <v>L04_CTV_008E_RAISE</v>
      </c>
      <c r="J83" s="77" t="s">
        <v>5532</v>
      </c>
      <c r="K83" s="169">
        <f>IFERROR(MATCH(J83,'Final List'!$B$4:$B$252,0),0)</f>
        <v>0</v>
      </c>
      <c r="L83" s="169">
        <f>IFERROR(MATCH(J83,'Final List'!$D$4:$D$252,0),0)</f>
        <v>0</v>
      </c>
      <c r="M83" s="169">
        <f>IFERROR(MATCH(J83,'Final List'!$F$4:$F$251,0),0)</f>
        <v>0</v>
      </c>
      <c r="N83" s="169">
        <f>IFERROR(MATCH(J83,'Final List'!$H$4:$H$252,0),0)</f>
        <v>0</v>
      </c>
      <c r="O83" s="169">
        <f>IFERROR(MATCH(J83,'Final List'!$J$4:$J$252,0),0)</f>
        <v>0</v>
      </c>
      <c r="P83" s="169">
        <f>IFERROR(MATCH(J83,'Final List'!$L$4:$L$252,0),0)</f>
        <v>0</v>
      </c>
      <c r="Q83" s="169">
        <f>IFERROR(MATCH(J83,'Final List'!$N$4:$N$252,0),0)</f>
        <v>0</v>
      </c>
      <c r="R83" s="169">
        <f>IFERROR(MATCH(J83,'Final List'!$P$4:$P$252,0),0)</f>
        <v>0</v>
      </c>
      <c r="S83" s="169">
        <f t="shared" si="7"/>
        <v>0</v>
      </c>
      <c r="T83" s="116"/>
      <c r="U83" s="116"/>
      <c r="V83" s="116" t="str">
        <f t="shared" si="5"/>
        <v>MARTINEZ, RON 3</v>
      </c>
      <c r="W83" s="116" t="s">
        <v>2710</v>
      </c>
    </row>
    <row r="84" spans="2:23" x14ac:dyDescent="0.25">
      <c r="B84" s="77" t="s">
        <v>258</v>
      </c>
      <c r="C84" s="77" t="s">
        <v>87</v>
      </c>
      <c r="D84" s="77" t="s">
        <v>131</v>
      </c>
      <c r="E84" s="77" t="s">
        <v>37</v>
      </c>
      <c r="F84" s="245" t="str">
        <f t="shared" si="6"/>
        <v>Dhoz 71</v>
      </c>
      <c r="G84" s="77" t="s">
        <v>9959</v>
      </c>
      <c r="H84" s="77"/>
      <c r="I84" s="77" t="str">
        <f t="shared" si="4"/>
        <v>L10_NONE_011E_XCN</v>
      </c>
      <c r="J84" s="77" t="s">
        <v>5542</v>
      </c>
      <c r="K84" s="169">
        <f>IFERROR(MATCH(J84,'Final List'!$B$4:$B$252,0),0)</f>
        <v>0</v>
      </c>
      <c r="L84" s="169">
        <f>IFERROR(MATCH(J84,'Final List'!$D$4:$D$252,0),0)</f>
        <v>0</v>
      </c>
      <c r="M84" s="169">
        <f>IFERROR(MATCH(J84,'Final List'!$F$4:$F$251,0),0)</f>
        <v>0</v>
      </c>
      <c r="N84" s="169">
        <f>IFERROR(MATCH(J84,'Final List'!$H$4:$H$252,0),0)</f>
        <v>0</v>
      </c>
      <c r="O84" s="169">
        <f>IFERROR(MATCH(J84,'Final List'!$J$4:$J$252,0),0)</f>
        <v>0</v>
      </c>
      <c r="P84" s="169">
        <f>IFERROR(MATCH(J84,'Final List'!$L$4:$L$252,0),0)</f>
        <v>0</v>
      </c>
      <c r="Q84" s="169">
        <f>IFERROR(MATCH(J84,'Final List'!$N$4:$N$252,0),0)</f>
        <v>0</v>
      </c>
      <c r="R84" s="169">
        <f>IFERROR(MATCH(J84,'Final List'!$P$4:$P$252,0),0)</f>
        <v>0</v>
      </c>
      <c r="S84" s="169">
        <f t="shared" si="7"/>
        <v>0</v>
      </c>
      <c r="T84" s="116"/>
      <c r="U84" s="116"/>
      <c r="V84" s="116" t="str">
        <f t="shared" si="5"/>
        <v>SHEPHERD BC</v>
      </c>
      <c r="W84" s="116" t="s">
        <v>8898</v>
      </c>
    </row>
    <row r="85" spans="2:23" x14ac:dyDescent="0.25">
      <c r="B85" s="77" t="s">
        <v>95</v>
      </c>
      <c r="C85" s="77" t="s">
        <v>87</v>
      </c>
      <c r="D85" s="77" t="s">
        <v>130</v>
      </c>
      <c r="E85" s="77" t="s">
        <v>37</v>
      </c>
      <c r="F85" s="245" t="str">
        <f t="shared" si="6"/>
        <v>Dhoz 71</v>
      </c>
      <c r="G85" s="77" t="s">
        <v>14152</v>
      </c>
      <c r="H85" s="77"/>
      <c r="I85" s="77" t="str">
        <f t="shared" si="4"/>
        <v>L08_NONE_036E_XCN</v>
      </c>
      <c r="J85" s="77" t="s">
        <v>5537</v>
      </c>
      <c r="K85" s="169">
        <f>IFERROR(MATCH(J85,'Final List'!$B$4:$B$252,0),0)</f>
        <v>0</v>
      </c>
      <c r="L85" s="169">
        <f>IFERROR(MATCH(J85,'Final List'!$D$4:$D$252,0),0)</f>
        <v>0</v>
      </c>
      <c r="M85" s="169">
        <f>IFERROR(MATCH(J85,'Final List'!$F$4:$F$251,0),0)</f>
        <v>0</v>
      </c>
      <c r="N85" s="169">
        <f>IFERROR(MATCH(J85,'Final List'!$H$4:$H$252,0),0)</f>
        <v>0</v>
      </c>
      <c r="O85" s="169">
        <f>IFERROR(MATCH(J85,'Final List'!$J$4:$J$252,0),0)</f>
        <v>0</v>
      </c>
      <c r="P85" s="169">
        <f>IFERROR(MATCH(J85,'Final List'!$L$4:$L$252,0),0)</f>
        <v>0</v>
      </c>
      <c r="Q85" s="169">
        <f>IFERROR(MATCH(J85,'Final List'!$N$4:$N$252,0),0)</f>
        <v>0</v>
      </c>
      <c r="R85" s="169">
        <f>IFERROR(MATCH(J85,'Final List'!$P$4:$P$252,0),0)</f>
        <v>0</v>
      </c>
      <c r="S85" s="169">
        <f t="shared" si="7"/>
        <v>0</v>
      </c>
      <c r="T85" s="116"/>
      <c r="U85" s="116"/>
      <c r="V85" s="116" t="str">
        <f t="shared" si="5"/>
        <v>NITRO CF1</v>
      </c>
      <c r="W85" s="116" t="s">
        <v>8897</v>
      </c>
    </row>
    <row r="86" spans="2:23" x14ac:dyDescent="0.25">
      <c r="B86" s="77" t="s">
        <v>91</v>
      </c>
      <c r="C86" s="77" t="s">
        <v>41</v>
      </c>
      <c r="D86" s="77" t="s">
        <v>115</v>
      </c>
      <c r="E86" s="77" t="s">
        <v>211</v>
      </c>
      <c r="F86" s="245" t="str">
        <f t="shared" si="6"/>
        <v>StpS 77</v>
      </c>
      <c r="G86" s="77" t="s">
        <v>1744</v>
      </c>
      <c r="H86" s="77" t="s">
        <v>5712</v>
      </c>
      <c r="I86" s="77" t="str">
        <f t="shared" si="4"/>
        <v>L04_CTV_019W_STOPE PREP</v>
      </c>
      <c r="J86" s="77" t="s">
        <v>5544</v>
      </c>
      <c r="K86" s="169">
        <f>IFERROR(MATCH(J86,'Final List'!$B$4:$B$252,0),0)</f>
        <v>0</v>
      </c>
      <c r="L86" s="169">
        <f>IFERROR(MATCH(J86,'Final List'!$D$4:$D$252,0),0)</f>
        <v>0</v>
      </c>
      <c r="M86" s="169">
        <f>IFERROR(MATCH(J86,'Final List'!$F$4:$F$251,0),0)</f>
        <v>0</v>
      </c>
      <c r="N86" s="169">
        <f>IFERROR(MATCH(J86,'Final List'!$H$4:$H$252,0),0)</f>
        <v>0</v>
      </c>
      <c r="O86" s="169">
        <f>IFERROR(MATCH(J86,'Final List'!$J$4:$J$252,0),0)</f>
        <v>0</v>
      </c>
      <c r="P86" s="169">
        <f>IFERROR(MATCH(J86,'Final List'!$L$4:$L$252,0),0)</f>
        <v>0</v>
      </c>
      <c r="Q86" s="169">
        <f>IFERROR(MATCH(J86,'Final List'!$N$4:$N$252,0),0)</f>
        <v>0</v>
      </c>
      <c r="R86" s="169">
        <f>IFERROR(MATCH(J86,'Final List'!$P$4:$P$252,0),0)</f>
        <v>0</v>
      </c>
      <c r="S86" s="169">
        <f t="shared" si="7"/>
        <v>0</v>
      </c>
      <c r="T86" s="116" t="s">
        <v>68</v>
      </c>
      <c r="U86" s="116"/>
      <c r="V86" s="116" t="str">
        <f t="shared" si="5"/>
        <v>SHEPHERD AN 1</v>
      </c>
      <c r="W86" s="116" t="s">
        <v>2712</v>
      </c>
    </row>
    <row r="87" spans="2:23" x14ac:dyDescent="0.25">
      <c r="B87" s="77" t="s">
        <v>258</v>
      </c>
      <c r="C87" s="77" t="s">
        <v>45</v>
      </c>
      <c r="D87" s="77" t="s">
        <v>148</v>
      </c>
      <c r="E87" s="77" t="s">
        <v>211</v>
      </c>
      <c r="F87" s="245" t="str">
        <f t="shared" si="6"/>
        <v>StpL 78</v>
      </c>
      <c r="G87" s="77" t="s">
        <v>5957</v>
      </c>
      <c r="H87" s="77"/>
      <c r="I87" s="77" t="str">
        <f t="shared" si="4"/>
        <v>L10_DPVE_039E_STOPE PREP</v>
      </c>
      <c r="J87" s="77" t="s">
        <v>5548</v>
      </c>
      <c r="K87" s="169">
        <f>IFERROR(MATCH(J87,'Final List'!$B$4:$B$252,0),0)</f>
        <v>0</v>
      </c>
      <c r="L87" s="169">
        <f>IFERROR(MATCH(J87,'Final List'!$D$4:$D$252,0),0)</f>
        <v>0</v>
      </c>
      <c r="M87" s="169">
        <f>IFERROR(MATCH(J87,'Final List'!$F$4:$F$251,0),0)</f>
        <v>0</v>
      </c>
      <c r="N87" s="169">
        <f>IFERROR(MATCH(J87,'Final List'!$H$4:$H$252,0),0)</f>
        <v>0</v>
      </c>
      <c r="O87" s="169">
        <f>IFERROR(MATCH(J87,'Final List'!$J$4:$J$252,0),0)</f>
        <v>0</v>
      </c>
      <c r="P87" s="169">
        <f>IFERROR(MATCH(J87,'Final List'!$L$4:$L$252,0),0)</f>
        <v>0</v>
      </c>
      <c r="Q87" s="169">
        <f>IFERROR(MATCH(J87,'Final List'!$N$4:$N$252,0),0)</f>
        <v>0</v>
      </c>
      <c r="R87" s="169">
        <f>IFERROR(MATCH(J87,'Final List'!$P$4:$P$252,0),0)</f>
        <v>0</v>
      </c>
      <c r="S87" s="169">
        <f t="shared" si="7"/>
        <v>0</v>
      </c>
      <c r="T87" s="116" t="s">
        <v>48</v>
      </c>
      <c r="U87" s="116"/>
      <c r="V87" s="116" t="str">
        <f t="shared" si="5"/>
        <v>ALMASA 3</v>
      </c>
      <c r="W87" s="116" t="s">
        <v>2712</v>
      </c>
    </row>
    <row r="88" spans="2:23" x14ac:dyDescent="0.25">
      <c r="B88" s="77" t="s">
        <v>258</v>
      </c>
      <c r="C88" s="77" t="s">
        <v>45</v>
      </c>
      <c r="D88" s="77" t="s">
        <v>144</v>
      </c>
      <c r="E88" s="77" t="s">
        <v>60</v>
      </c>
      <c r="F88" s="245" t="str">
        <f t="shared" si="6"/>
        <v>Dhoz 71</v>
      </c>
      <c r="G88" s="77" t="s">
        <v>5957</v>
      </c>
      <c r="H88" s="77" t="s">
        <v>352</v>
      </c>
      <c r="I88" s="77" t="str">
        <f t="shared" si="4"/>
        <v>L10_DPVE_043E_DE</v>
      </c>
      <c r="J88" s="77" t="s">
        <v>5551</v>
      </c>
      <c r="K88" s="169">
        <f>IFERROR(MATCH(J88,'Final List'!$B$4:$B$252,0),0)</f>
        <v>0</v>
      </c>
      <c r="L88" s="169">
        <f>IFERROR(MATCH(J88,'Final List'!$D$4:$D$252,0),0)</f>
        <v>0</v>
      </c>
      <c r="M88" s="169">
        <f>IFERROR(MATCH(J88,'Final List'!$F$4:$F$251,0),0)</f>
        <v>0</v>
      </c>
      <c r="N88" s="169">
        <f>IFERROR(MATCH(J88,'Final List'!$H$4:$H$252,0),0)</f>
        <v>0</v>
      </c>
      <c r="O88" s="169">
        <f>IFERROR(MATCH(J88,'Final List'!$J$4:$J$252,0),0)</f>
        <v>0</v>
      </c>
      <c r="P88" s="169">
        <f>IFERROR(MATCH(J88,'Final List'!$L$4:$L$252,0),0)</f>
        <v>0</v>
      </c>
      <c r="Q88" s="169">
        <f>IFERROR(MATCH(J88,'Final List'!$N$4:$N$252,0),0)</f>
        <v>0</v>
      </c>
      <c r="R88" s="169">
        <f>IFERROR(MATCH(J88,'Final List'!$P$4:$P$252,0),0)</f>
        <v>0</v>
      </c>
      <c r="S88" s="169">
        <f t="shared" si="7"/>
        <v>0</v>
      </c>
      <c r="T88" s="116"/>
      <c r="U88" s="116"/>
      <c r="V88" s="116" t="str">
        <f t="shared" si="5"/>
        <v>BAÑEZ 5</v>
      </c>
      <c r="W88" s="116" t="s">
        <v>8896</v>
      </c>
    </row>
    <row r="89" spans="2:23" x14ac:dyDescent="0.25">
      <c r="B89" s="77" t="s">
        <v>91</v>
      </c>
      <c r="C89" s="77" t="s">
        <v>41</v>
      </c>
      <c r="D89" s="77" t="s">
        <v>108</v>
      </c>
      <c r="E89" s="77" t="s">
        <v>62</v>
      </c>
      <c r="F89" s="245" t="str">
        <f t="shared" si="6"/>
        <v>RobS 79</v>
      </c>
      <c r="G89" s="77" t="s">
        <v>5715</v>
      </c>
      <c r="H89" s="77"/>
      <c r="I89" s="77" t="str">
        <f t="shared" si="4"/>
        <v>L04_CTV_007W_ROBBING</v>
      </c>
      <c r="J89" s="77" t="s">
        <v>5885</v>
      </c>
      <c r="K89" s="169">
        <f>IFERROR(MATCH(J89,'Final List'!$B$4:$B$252,0),0)</f>
        <v>0</v>
      </c>
      <c r="L89" s="169">
        <f>IFERROR(MATCH(J89,'Final List'!$D$4:$D$252,0),0)</f>
        <v>0</v>
      </c>
      <c r="M89" s="169">
        <f>IFERROR(MATCH(J89,'Final List'!$F$4:$F$251,0),0)</f>
        <v>0</v>
      </c>
      <c r="N89" s="169">
        <f>IFERROR(MATCH(J89,'Final List'!$H$4:$H$252,0),0)</f>
        <v>0</v>
      </c>
      <c r="O89" s="169">
        <f>IFERROR(MATCH(J89,'Final List'!$J$4:$J$252,0),0)</f>
        <v>0</v>
      </c>
      <c r="P89" s="169">
        <f>IFERROR(MATCH(J89,'Final List'!$L$4:$L$252,0),0)</f>
        <v>0</v>
      </c>
      <c r="Q89" s="169">
        <f>IFERROR(MATCH(J89,'Final List'!$N$4:$N$252,0),0)</f>
        <v>0</v>
      </c>
      <c r="R89" s="169">
        <f>IFERROR(MATCH(J89,'Final List'!$P$4:$P$252,0),0)</f>
        <v>0</v>
      </c>
      <c r="S89" s="169">
        <f t="shared" si="7"/>
        <v>0</v>
      </c>
      <c r="T89" s="116" t="s">
        <v>68</v>
      </c>
      <c r="U89" s="116"/>
      <c r="V89" s="116" t="str">
        <f t="shared" si="5"/>
        <v>MARTINEZ, RON 1</v>
      </c>
      <c r="W89" s="116" t="s">
        <v>2707</v>
      </c>
    </row>
    <row r="90" spans="2:23" x14ac:dyDescent="0.25">
      <c r="B90" s="77" t="s">
        <v>95</v>
      </c>
      <c r="C90" s="77" t="s">
        <v>38</v>
      </c>
      <c r="D90" s="77" t="s">
        <v>104</v>
      </c>
      <c r="E90" s="77" t="s">
        <v>211</v>
      </c>
      <c r="F90" s="245" t="str">
        <f t="shared" si="6"/>
        <v>StpS 77</v>
      </c>
      <c r="G90" s="77" t="s">
        <v>584</v>
      </c>
      <c r="H90" s="77"/>
      <c r="I90" s="77" t="str">
        <f t="shared" si="4"/>
        <v>L08_GHV_029W_STOPE PREP</v>
      </c>
      <c r="J90" s="77" t="s">
        <v>5557</v>
      </c>
      <c r="K90" s="169">
        <f>IFERROR(MATCH(J90,'Final List'!$B$4:$B$252,0),0)</f>
        <v>0</v>
      </c>
      <c r="L90" s="169">
        <f>IFERROR(MATCH(J90,'Final List'!$D$4:$D$252,0),0)</f>
        <v>0</v>
      </c>
      <c r="M90" s="169">
        <f>IFERROR(MATCH(J90,'Final List'!$F$4:$F$251,0),0)</f>
        <v>0</v>
      </c>
      <c r="N90" s="169">
        <f>IFERROR(MATCH(J90,'Final List'!$H$4:$H$252,0),0)</f>
        <v>0</v>
      </c>
      <c r="O90" s="169">
        <f>IFERROR(MATCH(J90,'Final List'!$J$4:$J$252,0),0)</f>
        <v>0</v>
      </c>
      <c r="P90" s="169">
        <f>IFERROR(MATCH(J90,'Final List'!$L$4:$L$252,0),0)</f>
        <v>0</v>
      </c>
      <c r="Q90" s="169">
        <f>IFERROR(MATCH(J90,'Final List'!$N$4:$N$252,0),0)</f>
        <v>0</v>
      </c>
      <c r="R90" s="169">
        <f>IFERROR(MATCH(J90,'Final List'!$P$4:$P$252,0),0)</f>
        <v>0</v>
      </c>
      <c r="S90" s="169">
        <f t="shared" si="7"/>
        <v>0</v>
      </c>
      <c r="T90" s="116" t="s">
        <v>68</v>
      </c>
      <c r="U90" s="116"/>
      <c r="V90" s="116" t="str">
        <f t="shared" si="5"/>
        <v>VILLARANTE 2</v>
      </c>
      <c r="W90" s="116" t="s">
        <v>2712</v>
      </c>
    </row>
    <row r="91" spans="2:23" x14ac:dyDescent="0.25">
      <c r="B91" s="77" t="s">
        <v>95</v>
      </c>
      <c r="C91" s="77" t="s">
        <v>38</v>
      </c>
      <c r="D91" s="77" t="s">
        <v>128</v>
      </c>
      <c r="E91" s="77" t="s">
        <v>441</v>
      </c>
      <c r="F91" s="245" t="str">
        <f t="shared" si="6"/>
        <v>RobC 80</v>
      </c>
      <c r="G91" s="77" t="s">
        <v>583</v>
      </c>
      <c r="H91" s="77"/>
      <c r="I91" s="77" t="str">
        <f t="shared" si="4"/>
        <v>L08_GHV_027E_WINZE STOPE PREP</v>
      </c>
      <c r="J91" s="77" t="s">
        <v>5556</v>
      </c>
      <c r="K91" s="169">
        <f>IFERROR(MATCH(J91,'Final List'!$B$4:$B$252,0),0)</f>
        <v>0</v>
      </c>
      <c r="L91" s="169">
        <f>IFERROR(MATCH(J91,'Final List'!$D$4:$D$252,0),0)</f>
        <v>0</v>
      </c>
      <c r="M91" s="169">
        <f>IFERROR(MATCH(J91,'Final List'!$F$4:$F$251,0),0)</f>
        <v>0</v>
      </c>
      <c r="N91" s="169">
        <f>IFERROR(MATCH(J91,'Final List'!$H$4:$H$252,0),0)</f>
        <v>0</v>
      </c>
      <c r="O91" s="169">
        <f>IFERROR(MATCH(J91,'Final List'!$J$4:$J$252,0),0)</f>
        <v>0</v>
      </c>
      <c r="P91" s="169">
        <f>IFERROR(MATCH(J91,'Final List'!$L$4:$L$252,0),0)</f>
        <v>0</v>
      </c>
      <c r="Q91" s="169">
        <f>IFERROR(MATCH(J91,'Final List'!$N$4:$N$252,0),0)</f>
        <v>0</v>
      </c>
      <c r="R91" s="169">
        <f>IFERROR(MATCH(J91,'Final List'!$P$4:$P$252,0),0)</f>
        <v>0</v>
      </c>
      <c r="S91" s="169">
        <f t="shared" si="7"/>
        <v>0</v>
      </c>
      <c r="T91" s="116" t="s">
        <v>48</v>
      </c>
      <c r="U91" s="116"/>
      <c r="V91" s="116" t="str">
        <f t="shared" si="5"/>
        <v>VILLARANTE 1</v>
      </c>
      <c r="W91" s="116" t="s">
        <v>2716</v>
      </c>
    </row>
    <row r="92" spans="2:23" x14ac:dyDescent="0.25">
      <c r="B92" s="77" t="s">
        <v>95</v>
      </c>
      <c r="C92" s="77" t="s">
        <v>43</v>
      </c>
      <c r="D92" s="77" t="s">
        <v>195</v>
      </c>
      <c r="E92" s="77" t="s">
        <v>441</v>
      </c>
      <c r="F92" s="245" t="str">
        <f t="shared" si="6"/>
        <v>RobC 80</v>
      </c>
      <c r="G92" s="77" t="s">
        <v>942</v>
      </c>
      <c r="H92" s="77"/>
      <c r="I92" s="77" t="str">
        <f t="shared" si="4"/>
        <v>L08_GHVSPLIT_008W_WINZE STOPE PREP</v>
      </c>
      <c r="J92" s="77" t="s">
        <v>5555</v>
      </c>
      <c r="K92" s="169">
        <f>IFERROR(MATCH(J92,'Final List'!$B$4:$B$252,0),0)</f>
        <v>0</v>
      </c>
      <c r="L92" s="169">
        <f>IFERROR(MATCH(J92,'Final List'!$D$4:$D$252,0),0)</f>
        <v>0</v>
      </c>
      <c r="M92" s="169">
        <f>IFERROR(MATCH(J92,'Final List'!$F$4:$F$251,0),0)</f>
        <v>0</v>
      </c>
      <c r="N92" s="169">
        <f>IFERROR(MATCH(J92,'Final List'!$H$4:$H$252,0),0)</f>
        <v>0</v>
      </c>
      <c r="O92" s="169">
        <f>IFERROR(MATCH(J92,'Final List'!$J$4:$J$252,0),0)</f>
        <v>0</v>
      </c>
      <c r="P92" s="169">
        <f>IFERROR(MATCH(J92,'Final List'!$L$4:$L$252,0),0)</f>
        <v>0</v>
      </c>
      <c r="Q92" s="169">
        <f>IFERROR(MATCH(J92,'Final List'!$N$4:$N$252,0),0)</f>
        <v>0</v>
      </c>
      <c r="R92" s="169">
        <f>IFERROR(MATCH(J92,'Final List'!$P$4:$P$252,0),0)</f>
        <v>0</v>
      </c>
      <c r="S92" s="169">
        <f t="shared" si="7"/>
        <v>0</v>
      </c>
      <c r="T92" s="116" t="s">
        <v>48</v>
      </c>
      <c r="U92" s="116"/>
      <c r="V92" s="116" t="str">
        <f t="shared" si="5"/>
        <v>AGLOLO 3</v>
      </c>
      <c r="W92" s="116" t="s">
        <v>2716</v>
      </c>
    </row>
    <row r="93" spans="2:23" x14ac:dyDescent="0.25">
      <c r="B93" s="77" t="s">
        <v>96</v>
      </c>
      <c r="C93" s="77" t="s">
        <v>46</v>
      </c>
      <c r="D93" s="77" t="s">
        <v>168</v>
      </c>
      <c r="E93" s="77" t="s">
        <v>211</v>
      </c>
      <c r="F93" s="245" t="str">
        <f t="shared" si="6"/>
        <v>StpS 77</v>
      </c>
      <c r="G93" s="77" t="s">
        <v>5779</v>
      </c>
      <c r="H93" s="77"/>
      <c r="I93" s="77" t="str">
        <f t="shared" si="4"/>
        <v>L09_DPVE2_047E_STOPE PREP</v>
      </c>
      <c r="J93" s="77" t="s">
        <v>5561</v>
      </c>
      <c r="K93" s="169">
        <f>IFERROR(MATCH(J93,'Final List'!$B$4:$B$252,0),0)</f>
        <v>0</v>
      </c>
      <c r="L93" s="169">
        <f>IFERROR(MATCH(J93,'Final List'!$D$4:$D$252,0),0)</f>
        <v>0</v>
      </c>
      <c r="M93" s="169">
        <f>IFERROR(MATCH(J93,'Final List'!$F$4:$F$251,0),0)</f>
        <v>0</v>
      </c>
      <c r="N93" s="169">
        <f>IFERROR(MATCH(J93,'Final List'!$H$4:$H$252,0),0)</f>
        <v>0</v>
      </c>
      <c r="O93" s="169">
        <f>IFERROR(MATCH(J93,'Final List'!$J$4:$J$252,0),0)</f>
        <v>0</v>
      </c>
      <c r="P93" s="169">
        <f>IFERROR(MATCH(J93,'Final List'!$L$4:$L$252,0),0)</f>
        <v>0</v>
      </c>
      <c r="Q93" s="169">
        <f>IFERROR(MATCH(J93,'Final List'!$N$4:$N$252,0),0)</f>
        <v>0</v>
      </c>
      <c r="R93" s="169">
        <f>IFERROR(MATCH(J93,'Final List'!$P$4:$P$252,0),0)</f>
        <v>0</v>
      </c>
      <c r="S93" s="169">
        <f t="shared" si="7"/>
        <v>0</v>
      </c>
      <c r="T93" s="116" t="s">
        <v>68</v>
      </c>
      <c r="U93" s="116"/>
      <c r="V93" s="116" t="str">
        <f t="shared" si="5"/>
        <v>REBOTE, JONATHAN 2</v>
      </c>
      <c r="W93" s="116" t="s">
        <v>2712</v>
      </c>
    </row>
    <row r="94" spans="2:23" x14ac:dyDescent="0.25">
      <c r="B94" s="77" t="s">
        <v>258</v>
      </c>
      <c r="C94" s="77" t="s">
        <v>45</v>
      </c>
      <c r="D94" s="77" t="s">
        <v>160</v>
      </c>
      <c r="E94" s="77" t="s">
        <v>60</v>
      </c>
      <c r="F94" s="245" t="str">
        <f t="shared" si="6"/>
        <v>Dhoz 71</v>
      </c>
      <c r="G94" s="77" t="s">
        <v>308</v>
      </c>
      <c r="H94" s="77"/>
      <c r="I94" s="77" t="str">
        <f t="shared" si="4"/>
        <v>L10_DPVE_042E_DE</v>
      </c>
      <c r="J94" s="77" t="s">
        <v>5559</v>
      </c>
      <c r="K94" s="169">
        <f>IFERROR(MATCH(J94,'Final List'!$B$4:$B$252,0),0)</f>
        <v>0</v>
      </c>
      <c r="L94" s="169">
        <f>IFERROR(MATCH(J94,'Final List'!$D$4:$D$252,0),0)</f>
        <v>0</v>
      </c>
      <c r="M94" s="169">
        <f>IFERROR(MATCH(J94,'Final List'!$F$4:$F$251,0),0)</f>
        <v>0</v>
      </c>
      <c r="N94" s="169">
        <f>IFERROR(MATCH(J94,'Final List'!$H$4:$H$252,0),0)</f>
        <v>0</v>
      </c>
      <c r="O94" s="169">
        <f>IFERROR(MATCH(J94,'Final List'!$J$4:$J$252,0),0)</f>
        <v>0</v>
      </c>
      <c r="P94" s="169">
        <f>IFERROR(MATCH(J94,'Final List'!$L$4:$L$252,0),0)</f>
        <v>0</v>
      </c>
      <c r="Q94" s="169">
        <f>IFERROR(MATCH(J94,'Final List'!$N$4:$N$252,0),0)</f>
        <v>0</v>
      </c>
      <c r="R94" s="169">
        <f>IFERROR(MATCH(J94,'Final List'!$P$4:$P$252,0),0)</f>
        <v>0</v>
      </c>
      <c r="S94" s="169">
        <f t="shared" si="7"/>
        <v>0</v>
      </c>
      <c r="T94" s="116"/>
      <c r="U94" s="116"/>
      <c r="V94" s="116" t="str">
        <f t="shared" si="5"/>
        <v>DUHIG 2</v>
      </c>
      <c r="W94" s="116" t="s">
        <v>8896</v>
      </c>
    </row>
    <row r="95" spans="2:23" x14ac:dyDescent="0.25">
      <c r="B95" s="77" t="s">
        <v>96</v>
      </c>
      <c r="C95" s="77" t="s">
        <v>46</v>
      </c>
      <c r="D95" s="77" t="s">
        <v>870</v>
      </c>
      <c r="E95" s="77" t="s">
        <v>36</v>
      </c>
      <c r="F95" s="245" t="str">
        <f t="shared" si="6"/>
        <v>StpL 78</v>
      </c>
      <c r="G95" s="77" t="s">
        <v>348</v>
      </c>
      <c r="H95" s="77"/>
      <c r="I95" s="77" t="str">
        <f t="shared" si="4"/>
        <v>L09_DPVE2_073E_STOPE</v>
      </c>
      <c r="J95" s="77" t="s">
        <v>5592</v>
      </c>
      <c r="K95" s="169">
        <f>IFERROR(MATCH(J95,'Final List'!$B$4:$B$252,0),0)</f>
        <v>0</v>
      </c>
      <c r="L95" s="169">
        <f>IFERROR(MATCH(J95,'Final List'!$D$4:$D$252,0),0)</f>
        <v>0</v>
      </c>
      <c r="M95" s="169">
        <f>IFERROR(MATCH(J95,'Final List'!$F$4:$F$251,0),0)</f>
        <v>0</v>
      </c>
      <c r="N95" s="169">
        <f>IFERROR(MATCH(J95,'Final List'!$H$4:$H$252,0),0)</f>
        <v>0</v>
      </c>
      <c r="O95" s="169">
        <f>IFERROR(MATCH(J95,'Final List'!$J$4:$J$252,0),0)</f>
        <v>0</v>
      </c>
      <c r="P95" s="169">
        <f>IFERROR(MATCH(J95,'Final List'!$L$4:$L$252,0),0)</f>
        <v>0</v>
      </c>
      <c r="Q95" s="169">
        <f>IFERROR(MATCH(J95,'Final List'!$N$4:$N$252,0),0)</f>
        <v>0</v>
      </c>
      <c r="R95" s="169">
        <f>IFERROR(MATCH(J95,'Final List'!$P$4:$P$252,0),0)</f>
        <v>0</v>
      </c>
      <c r="S95" s="169">
        <f t="shared" si="7"/>
        <v>0</v>
      </c>
      <c r="T95" s="116" t="s">
        <v>48</v>
      </c>
      <c r="U95" s="116"/>
      <c r="V95" s="116" t="str">
        <f t="shared" si="5"/>
        <v>QUIJANO 3</v>
      </c>
      <c r="W95" s="116" t="s">
        <v>2711</v>
      </c>
    </row>
    <row r="96" spans="2:23" x14ac:dyDescent="0.25">
      <c r="B96" s="77" t="s">
        <v>96</v>
      </c>
      <c r="C96" s="77" t="s">
        <v>38</v>
      </c>
      <c r="D96" s="77" t="s">
        <v>218</v>
      </c>
      <c r="E96" s="77" t="s">
        <v>36</v>
      </c>
      <c r="F96" s="245" t="str">
        <f t="shared" si="6"/>
        <v>StpS 77</v>
      </c>
      <c r="G96" s="77" t="s">
        <v>4655</v>
      </c>
      <c r="H96" s="77" t="s">
        <v>5773</v>
      </c>
      <c r="I96" s="77" t="str">
        <f t="shared" si="4"/>
        <v>L09_GHV_062E_STOPE</v>
      </c>
      <c r="J96" s="77" t="s">
        <v>5565</v>
      </c>
      <c r="K96" s="169">
        <f>IFERROR(MATCH(J96,'Final List'!$B$4:$B$252,0),0)</f>
        <v>0</v>
      </c>
      <c r="L96" s="169">
        <f>IFERROR(MATCH(J96,'Final List'!$D$4:$D$252,0),0)</f>
        <v>0</v>
      </c>
      <c r="M96" s="169">
        <f>IFERROR(MATCH(J96,'Final List'!$F$4:$F$251,0),0)</f>
        <v>0</v>
      </c>
      <c r="N96" s="169">
        <f>IFERROR(MATCH(J96,'Final List'!$H$4:$H$252,0),0)</f>
        <v>0</v>
      </c>
      <c r="O96" s="169">
        <f>IFERROR(MATCH(J96,'Final List'!$J$4:$J$252,0),0)</f>
        <v>0</v>
      </c>
      <c r="P96" s="169">
        <f>IFERROR(MATCH(J96,'Final List'!$L$4:$L$252,0),0)</f>
        <v>0</v>
      </c>
      <c r="Q96" s="169">
        <f>IFERROR(MATCH(J96,'Final List'!$N$4:$N$252,0),0)</f>
        <v>0</v>
      </c>
      <c r="R96" s="169">
        <f>IFERROR(MATCH(J96,'Final List'!$P$4:$P$252,0),0)</f>
        <v>0</v>
      </c>
      <c r="S96" s="169">
        <f t="shared" si="7"/>
        <v>0</v>
      </c>
      <c r="T96" s="116" t="s">
        <v>68</v>
      </c>
      <c r="U96" s="116"/>
      <c r="V96" s="116" t="str">
        <f t="shared" si="5"/>
        <v>PARAN 3</v>
      </c>
      <c r="W96" s="116" t="s">
        <v>2713</v>
      </c>
    </row>
    <row r="97" spans="2:23" x14ac:dyDescent="0.25">
      <c r="B97" s="77" t="s">
        <v>94</v>
      </c>
      <c r="C97" s="77" t="s">
        <v>39</v>
      </c>
      <c r="D97" s="77" t="s">
        <v>142</v>
      </c>
      <c r="E97" s="77" t="s">
        <v>6143</v>
      </c>
      <c r="F97" s="245" t="str">
        <f t="shared" si="6"/>
        <v>Dhoz 71</v>
      </c>
      <c r="G97" s="77" t="s">
        <v>2970</v>
      </c>
      <c r="H97" s="77"/>
      <c r="I97" s="77" t="str">
        <f t="shared" si="4"/>
        <v>L07_JVHW_038E_DE_ISL</v>
      </c>
      <c r="J97" s="77" t="s">
        <v>6858</v>
      </c>
      <c r="K97" s="169">
        <f>IFERROR(MATCH(J97,'Final List'!$B$4:$B$252,0),0)</f>
        <v>0</v>
      </c>
      <c r="L97" s="169">
        <f>IFERROR(MATCH(J97,'Final List'!$D$4:$D$252,0),0)</f>
        <v>0</v>
      </c>
      <c r="M97" s="169">
        <f>IFERROR(MATCH(J97,'Final List'!$F$4:$F$251,0),0)</f>
        <v>0</v>
      </c>
      <c r="N97" s="169">
        <f>IFERROR(MATCH(J97,'Final List'!$H$4:$H$252,0),0)</f>
        <v>0</v>
      </c>
      <c r="O97" s="169">
        <f>IFERROR(MATCH(J97,'Final List'!$J$4:$J$252,0),0)</f>
        <v>0</v>
      </c>
      <c r="P97" s="169">
        <f>IFERROR(MATCH(J97,'Final List'!$L$4:$L$252,0),0)</f>
        <v>0</v>
      </c>
      <c r="Q97" s="169">
        <f>IFERROR(MATCH(J97,'Final List'!$N$4:$N$252,0),0)</f>
        <v>0</v>
      </c>
      <c r="R97" s="169">
        <f>IFERROR(MATCH(J97,'Final List'!$P$4:$P$252,0),0)</f>
        <v>0</v>
      </c>
      <c r="S97" s="169">
        <f t="shared" si="7"/>
        <v>0</v>
      </c>
      <c r="T97" s="116"/>
      <c r="U97" s="116"/>
      <c r="V97" s="116" t="str">
        <f t="shared" si="5"/>
        <v>FABROA 2</v>
      </c>
      <c r="W97" s="116" t="s">
        <v>2708</v>
      </c>
    </row>
    <row r="98" spans="2:23" x14ac:dyDescent="0.25">
      <c r="B98" s="77" t="s">
        <v>94</v>
      </c>
      <c r="C98" s="77" t="s">
        <v>87</v>
      </c>
      <c r="D98" s="77" t="s">
        <v>121</v>
      </c>
      <c r="E98" s="77" t="s">
        <v>72</v>
      </c>
      <c r="F98" s="245" t="str">
        <f t="shared" si="6"/>
        <v>Dhoz 71</v>
      </c>
      <c r="G98" s="77" t="s">
        <v>577</v>
      </c>
      <c r="H98" s="77"/>
      <c r="I98" s="77" t="str">
        <f t="shared" si="4"/>
        <v>L07_NONE_022E_CHAMBER</v>
      </c>
      <c r="J98" s="77" t="s">
        <v>5569</v>
      </c>
      <c r="K98" s="169">
        <f>IFERROR(MATCH(J98,'Final List'!$B$4:$B$252,0),0)</f>
        <v>0</v>
      </c>
      <c r="L98" s="169">
        <f>IFERROR(MATCH(J98,'Final List'!$D$4:$D$252,0),0)</f>
        <v>0</v>
      </c>
      <c r="M98" s="169">
        <f>IFERROR(MATCH(J98,'Final List'!$F$4:$F$251,0),0)</f>
        <v>0</v>
      </c>
      <c r="N98" s="169">
        <f>IFERROR(MATCH(J98,'Final List'!$H$4:$H$252,0),0)</f>
        <v>0</v>
      </c>
      <c r="O98" s="169">
        <f>IFERROR(MATCH(J98,'Final List'!$J$4:$J$252,0),0)</f>
        <v>0</v>
      </c>
      <c r="P98" s="169">
        <f>IFERROR(MATCH(J98,'Final List'!$L$4:$L$252,0),0)</f>
        <v>0</v>
      </c>
      <c r="Q98" s="169">
        <f>IFERROR(MATCH(J98,'Final List'!$N$4:$N$252,0),0)</f>
        <v>0</v>
      </c>
      <c r="R98" s="169">
        <f>IFERROR(MATCH(J98,'Final List'!$P$4:$P$252,0),0)</f>
        <v>0</v>
      </c>
      <c r="S98" s="169">
        <f t="shared" si="7"/>
        <v>0</v>
      </c>
      <c r="T98" s="116"/>
      <c r="U98" s="116"/>
      <c r="V98" s="116" t="str">
        <f t="shared" si="5"/>
        <v>CARIKITAN 1</v>
      </c>
      <c r="W98" s="116" t="s">
        <v>2714</v>
      </c>
    </row>
    <row r="99" spans="2:23" x14ac:dyDescent="0.25">
      <c r="B99" s="77" t="s">
        <v>95</v>
      </c>
      <c r="C99" s="77" t="s">
        <v>57</v>
      </c>
      <c r="D99" s="77" t="s">
        <v>175</v>
      </c>
      <c r="E99" s="77" t="s">
        <v>19</v>
      </c>
      <c r="F99" s="245" t="str">
        <f t="shared" si="6"/>
        <v>DVR 72</v>
      </c>
      <c r="G99" s="77" t="s">
        <v>303</v>
      </c>
      <c r="H99" s="169" t="s">
        <v>5708</v>
      </c>
      <c r="I99" s="77" t="str">
        <f t="shared" si="4"/>
        <v>L08_JVSPLIT_060E_RAISE</v>
      </c>
      <c r="J99" s="77" t="s">
        <v>7181</v>
      </c>
      <c r="K99" s="169">
        <f>IFERROR(MATCH(J99,'Final List'!$B$4:$B$252,0),0)</f>
        <v>0</v>
      </c>
      <c r="L99" s="169">
        <f>IFERROR(MATCH(J99,'Final List'!$D$4:$D$252,0),0)</f>
        <v>0</v>
      </c>
      <c r="M99" s="169">
        <f>IFERROR(MATCH(J99,'Final List'!$F$4:$F$251,0),0)</f>
        <v>0</v>
      </c>
      <c r="N99" s="169">
        <f>IFERROR(MATCH(J99,'Final List'!$H$4:$H$252,0),0)</f>
        <v>0</v>
      </c>
      <c r="O99" s="169">
        <f>IFERROR(MATCH(J99,'Final List'!$J$4:$J$252,0),0)</f>
        <v>0</v>
      </c>
      <c r="P99" s="169">
        <f>IFERROR(MATCH(J99,'Final List'!$L$4:$L$252,0),0)</f>
        <v>0</v>
      </c>
      <c r="Q99" s="169">
        <f>IFERROR(MATCH(J99,'Final List'!$N$4:$N$252,0),0)</f>
        <v>0</v>
      </c>
      <c r="R99" s="169">
        <f>IFERROR(MATCH(J99,'Final List'!$P$4:$P$252,0),0)</f>
        <v>0</v>
      </c>
      <c r="S99" s="169">
        <f t="shared" si="7"/>
        <v>0</v>
      </c>
      <c r="T99" s="116"/>
      <c r="U99" s="116"/>
      <c r="V99" s="116" t="str">
        <f t="shared" si="5"/>
        <v>SHEPHERD AJ 1</v>
      </c>
      <c r="W99" s="116" t="s">
        <v>2715</v>
      </c>
    </row>
    <row r="100" spans="2:23" x14ac:dyDescent="0.25">
      <c r="B100" s="77" t="s">
        <v>96</v>
      </c>
      <c r="C100" s="77" t="s">
        <v>87</v>
      </c>
      <c r="D100" s="77" t="s">
        <v>5602</v>
      </c>
      <c r="E100" s="77" t="s">
        <v>72</v>
      </c>
      <c r="F100" s="245" t="str">
        <f t="shared" si="6"/>
        <v>Dhoz 71</v>
      </c>
      <c r="G100" s="77" t="s">
        <v>532</v>
      </c>
      <c r="H100" s="77"/>
      <c r="I100" s="77" t="str">
        <f t="shared" si="4"/>
        <v>L09_NONE_053E_CHAMBER</v>
      </c>
      <c r="J100" s="77" t="s">
        <v>5595</v>
      </c>
      <c r="K100" s="169">
        <f>IFERROR(MATCH(J100,'Final List'!$B$4:$B$252,0),0)</f>
        <v>0</v>
      </c>
      <c r="L100" s="169">
        <f>IFERROR(MATCH(J100,'Final List'!$D$4:$D$252,0),0)</f>
        <v>0</v>
      </c>
      <c r="M100" s="169">
        <f>IFERROR(MATCH(J100,'Final List'!$F$4:$F$251,0),0)</f>
        <v>0</v>
      </c>
      <c r="N100" s="169">
        <f>IFERROR(MATCH(J100,'Final List'!$H$4:$H$252,0),0)</f>
        <v>0</v>
      </c>
      <c r="O100" s="169">
        <f>IFERROR(MATCH(J100,'Final List'!$J$4:$J$252,0),0)</f>
        <v>0</v>
      </c>
      <c r="P100" s="169">
        <f>IFERROR(MATCH(J100,'Final List'!$L$4:$L$252,0),0)</f>
        <v>0</v>
      </c>
      <c r="Q100" s="169">
        <f>IFERROR(MATCH(J100,'Final List'!$N$4:$N$252,0),0)</f>
        <v>0</v>
      </c>
      <c r="R100" s="169">
        <f>IFERROR(MATCH(J100,'Final List'!$P$4:$P$252,0),0)</f>
        <v>0</v>
      </c>
      <c r="S100" s="169">
        <f t="shared" si="7"/>
        <v>0</v>
      </c>
      <c r="T100" s="116"/>
      <c r="U100" s="116"/>
      <c r="V100" s="116" t="str">
        <f t="shared" si="5"/>
        <v>PMC MINERS 3</v>
      </c>
      <c r="W100" s="116" t="s">
        <v>2714</v>
      </c>
    </row>
    <row r="101" spans="2:23" x14ac:dyDescent="0.25">
      <c r="B101" s="77" t="s">
        <v>96</v>
      </c>
      <c r="C101" s="77" t="s">
        <v>39</v>
      </c>
      <c r="D101" s="77" t="s">
        <v>129</v>
      </c>
      <c r="E101" s="77" t="s">
        <v>60</v>
      </c>
      <c r="F101" s="245" t="str">
        <f t="shared" si="6"/>
        <v>Dhoz 71</v>
      </c>
      <c r="G101" s="77" t="s">
        <v>461</v>
      </c>
      <c r="H101" s="77"/>
      <c r="I101" s="77" t="str">
        <f t="shared" si="4"/>
        <v>L09_JVHW_010E_DE</v>
      </c>
      <c r="J101" s="77" t="s">
        <v>5566</v>
      </c>
      <c r="K101" s="169">
        <f>IFERROR(MATCH(J101,'Final List'!$B$4:$B$252,0),0)</f>
        <v>0</v>
      </c>
      <c r="L101" s="169">
        <f>IFERROR(MATCH(J101,'Final List'!$D$4:$D$252,0),0)</f>
        <v>0</v>
      </c>
      <c r="M101" s="169">
        <f>IFERROR(MATCH(J101,'Final List'!$F$4:$F$251,0),0)</f>
        <v>0</v>
      </c>
      <c r="N101" s="169">
        <f>IFERROR(MATCH(J101,'Final List'!$H$4:$H$252,0),0)</f>
        <v>0</v>
      </c>
      <c r="O101" s="169">
        <f>IFERROR(MATCH(J101,'Final List'!$J$4:$J$252,0),0)</f>
        <v>0</v>
      </c>
      <c r="P101" s="169">
        <f>IFERROR(MATCH(J101,'Final List'!$L$4:$L$252,0),0)</f>
        <v>0</v>
      </c>
      <c r="Q101" s="169">
        <f>IFERROR(MATCH(J101,'Final List'!$N$4:$N$252,0),0)</f>
        <v>0</v>
      </c>
      <c r="R101" s="169">
        <f>IFERROR(MATCH(J101,'Final List'!$P$4:$P$252,0),0)</f>
        <v>0</v>
      </c>
      <c r="S101" s="169">
        <f t="shared" si="7"/>
        <v>0</v>
      </c>
      <c r="T101" s="116"/>
      <c r="U101" s="116"/>
      <c r="V101" s="116" t="str">
        <f t="shared" si="5"/>
        <v>PANSIT 4</v>
      </c>
      <c r="W101" s="116" t="s">
        <v>8896</v>
      </c>
    </row>
    <row r="102" spans="2:23" x14ac:dyDescent="0.25">
      <c r="B102" s="77" t="s">
        <v>258</v>
      </c>
      <c r="C102" s="77" t="s">
        <v>57</v>
      </c>
      <c r="D102" s="77" t="s">
        <v>595</v>
      </c>
      <c r="E102" s="77" t="s">
        <v>211</v>
      </c>
      <c r="F102" s="245" t="str">
        <f t="shared" si="6"/>
        <v>StpS 77</v>
      </c>
      <c r="G102" s="77" t="s">
        <v>5698</v>
      </c>
      <c r="H102" s="77" t="s">
        <v>1719</v>
      </c>
      <c r="I102" s="77" t="str">
        <f t="shared" si="4"/>
        <v>L10_JVSPLIT_072E_STOPE PREP</v>
      </c>
      <c r="J102" s="77" t="s">
        <v>5572</v>
      </c>
      <c r="K102" s="169">
        <f>IFERROR(MATCH(J102,'Final List'!$B$4:$B$252,0),0)</f>
        <v>0</v>
      </c>
      <c r="L102" s="169">
        <f>IFERROR(MATCH(J102,'Final List'!$D$4:$D$252,0),0)</f>
        <v>0</v>
      </c>
      <c r="M102" s="169">
        <f>IFERROR(MATCH(J102,'Final List'!$F$4:$F$251,0),0)</f>
        <v>0</v>
      </c>
      <c r="N102" s="169">
        <f>IFERROR(MATCH(J102,'Final List'!$H$4:$H$252,0),0)</f>
        <v>0</v>
      </c>
      <c r="O102" s="169">
        <f>IFERROR(MATCH(J102,'Final List'!$J$4:$J$252,0),0)</f>
        <v>0</v>
      </c>
      <c r="P102" s="169">
        <f>IFERROR(MATCH(J102,'Final List'!$L$4:$L$252,0),0)</f>
        <v>0</v>
      </c>
      <c r="Q102" s="169">
        <f>IFERROR(MATCH(J102,'Final List'!$N$4:$N$252,0),0)</f>
        <v>0</v>
      </c>
      <c r="R102" s="169">
        <f>IFERROR(MATCH(J102,'Final List'!$P$4:$P$252,0),0)</f>
        <v>0</v>
      </c>
      <c r="S102" s="169">
        <f t="shared" si="7"/>
        <v>0</v>
      </c>
      <c r="T102" s="116" t="s">
        <v>68</v>
      </c>
      <c r="U102" s="116"/>
      <c r="V102" s="116" t="str">
        <f t="shared" si="5"/>
        <v>SHEPHERD W 1</v>
      </c>
      <c r="W102" s="116" t="s">
        <v>2712</v>
      </c>
    </row>
    <row r="103" spans="2:23" x14ac:dyDescent="0.25">
      <c r="B103" s="77" t="s">
        <v>258</v>
      </c>
      <c r="C103" s="77" t="s">
        <v>45</v>
      </c>
      <c r="D103" s="77" t="s">
        <v>166</v>
      </c>
      <c r="E103" s="77" t="s">
        <v>19</v>
      </c>
      <c r="F103" s="245" t="str">
        <f t="shared" si="6"/>
        <v>DVR 72</v>
      </c>
      <c r="G103" s="77" t="s">
        <v>360</v>
      </c>
      <c r="H103" s="77"/>
      <c r="I103" s="77" t="str">
        <f t="shared" si="4"/>
        <v>L10_DPVE_068E_RAISE</v>
      </c>
      <c r="J103" s="77" t="s">
        <v>3667</v>
      </c>
      <c r="K103" s="169">
        <f>IFERROR(MATCH(J103,'Final List'!$B$4:$B$252,0),0)</f>
        <v>0</v>
      </c>
      <c r="L103" s="169">
        <f>IFERROR(MATCH(J103,'Final List'!$D$4:$D$252,0),0)</f>
        <v>0</v>
      </c>
      <c r="M103" s="169">
        <f>IFERROR(MATCH(J103,'Final List'!$F$4:$F$251,0),0)</f>
        <v>0</v>
      </c>
      <c r="N103" s="169">
        <f>IFERROR(MATCH(J103,'Final List'!$H$4:$H$252,0),0)</f>
        <v>0</v>
      </c>
      <c r="O103" s="169">
        <f>IFERROR(MATCH(J103,'Final List'!$J$4:$J$252,0),0)</f>
        <v>0</v>
      </c>
      <c r="P103" s="169">
        <f>IFERROR(MATCH(J103,'Final List'!$L$4:$L$252,0),0)</f>
        <v>0</v>
      </c>
      <c r="Q103" s="169">
        <f>IFERROR(MATCH(J103,'Final List'!$N$4:$N$252,0),0)</f>
        <v>0</v>
      </c>
      <c r="R103" s="169">
        <f>IFERROR(MATCH(J103,'Final List'!$P$4:$P$252,0),0)</f>
        <v>0</v>
      </c>
      <c r="S103" s="169">
        <f t="shared" si="7"/>
        <v>0</v>
      </c>
      <c r="T103" s="116" t="s">
        <v>68</v>
      </c>
      <c r="U103" s="116"/>
      <c r="V103" s="116" t="str">
        <f t="shared" si="5"/>
        <v>ALMASA 1</v>
      </c>
      <c r="W103" s="116" t="s">
        <v>2715</v>
      </c>
    </row>
    <row r="104" spans="2:23" x14ac:dyDescent="0.25">
      <c r="B104" s="77" t="s">
        <v>93</v>
      </c>
      <c r="C104" s="77" t="s">
        <v>41</v>
      </c>
      <c r="D104" s="77" t="s">
        <v>117</v>
      </c>
      <c r="E104" s="77" t="s">
        <v>211</v>
      </c>
      <c r="F104" s="245" t="str">
        <f t="shared" si="6"/>
        <v>StpS 77</v>
      </c>
      <c r="G104" s="77" t="s">
        <v>356</v>
      </c>
      <c r="H104" s="77"/>
      <c r="I104" s="77" t="str">
        <f t="shared" si="4"/>
        <v>L06_CTV_006W_STOPE PREP</v>
      </c>
      <c r="J104" s="77" t="s">
        <v>5589</v>
      </c>
      <c r="K104" s="169">
        <f>IFERROR(MATCH(J104,'Final List'!$B$4:$B$252,0),0)</f>
        <v>0</v>
      </c>
      <c r="L104" s="169">
        <f>IFERROR(MATCH(J104,'Final List'!$D$4:$D$252,0),0)</f>
        <v>0</v>
      </c>
      <c r="M104" s="169">
        <f>IFERROR(MATCH(J104,'Final List'!$F$4:$F$251,0),0)</f>
        <v>0</v>
      </c>
      <c r="N104" s="169">
        <f>IFERROR(MATCH(J104,'Final List'!$H$4:$H$252,0),0)</f>
        <v>0</v>
      </c>
      <c r="O104" s="169">
        <f>IFERROR(MATCH(J104,'Final List'!$J$4:$J$252,0),0)</f>
        <v>0</v>
      </c>
      <c r="P104" s="169">
        <f>IFERROR(MATCH(J104,'Final List'!$L$4:$L$252,0),0)</f>
        <v>0</v>
      </c>
      <c r="Q104" s="169">
        <f>IFERROR(MATCH(J104,'Final List'!$N$4:$N$252,0),0)</f>
        <v>0</v>
      </c>
      <c r="R104" s="169">
        <f>IFERROR(MATCH(J104,'Final List'!$P$4:$P$252,0),0)</f>
        <v>0</v>
      </c>
      <c r="S104" s="169">
        <f t="shared" si="7"/>
        <v>0</v>
      </c>
      <c r="T104" s="116" t="s">
        <v>68</v>
      </c>
      <c r="U104" s="116"/>
      <c r="V104" s="116" t="str">
        <f t="shared" si="5"/>
        <v>BAÑEZ 1</v>
      </c>
      <c r="W104" s="116" t="s">
        <v>2712</v>
      </c>
    </row>
    <row r="105" spans="2:23" x14ac:dyDescent="0.25">
      <c r="B105" s="77" t="s">
        <v>93</v>
      </c>
      <c r="C105" s="77" t="s">
        <v>45</v>
      </c>
      <c r="D105" s="77" t="s">
        <v>118</v>
      </c>
      <c r="E105" s="77" t="s">
        <v>61</v>
      </c>
      <c r="F105" s="245" t="str">
        <f t="shared" si="6"/>
        <v>Dhoz 71</v>
      </c>
      <c r="G105" s="77" t="s">
        <v>354</v>
      </c>
      <c r="H105" s="77"/>
      <c r="I105" s="77" t="str">
        <f t="shared" si="4"/>
        <v>L06_DPVE_014E_DW</v>
      </c>
      <c r="J105" s="77" t="s">
        <v>5577</v>
      </c>
      <c r="K105" s="169">
        <f>IFERROR(MATCH(J105,'Final List'!$B$4:$B$252,0),0)</f>
        <v>0</v>
      </c>
      <c r="L105" s="169">
        <f>IFERROR(MATCH(J105,'Final List'!$D$4:$D$252,0),0)</f>
        <v>0</v>
      </c>
      <c r="M105" s="169">
        <f>IFERROR(MATCH(J105,'Final List'!$F$4:$F$251,0),0)</f>
        <v>0</v>
      </c>
      <c r="N105" s="169">
        <f>IFERROR(MATCH(J105,'Final List'!$H$4:$H$252,0),0)</f>
        <v>0</v>
      </c>
      <c r="O105" s="169">
        <f>IFERROR(MATCH(J105,'Final List'!$J$4:$J$252,0),0)</f>
        <v>0</v>
      </c>
      <c r="P105" s="169">
        <f>IFERROR(MATCH(J105,'Final List'!$L$4:$L$252,0),0)</f>
        <v>0</v>
      </c>
      <c r="Q105" s="169">
        <f>IFERROR(MATCH(J105,'Final List'!$N$4:$N$252,0),0)</f>
        <v>0</v>
      </c>
      <c r="R105" s="169">
        <f>IFERROR(MATCH(J105,'Final List'!$P$4:$P$252,0),0)</f>
        <v>0</v>
      </c>
      <c r="S105" s="169">
        <f t="shared" si="7"/>
        <v>0</v>
      </c>
      <c r="T105" s="116"/>
      <c r="U105" s="116"/>
      <c r="V105" s="116" t="str">
        <f t="shared" si="5"/>
        <v>BAÑEZ 3</v>
      </c>
      <c r="W105" s="116" t="s">
        <v>8895</v>
      </c>
    </row>
    <row r="106" spans="2:23" x14ac:dyDescent="0.25">
      <c r="B106" s="77" t="s">
        <v>93</v>
      </c>
      <c r="C106" s="77" t="s">
        <v>45</v>
      </c>
      <c r="D106" s="77" t="s">
        <v>147</v>
      </c>
      <c r="E106" s="77" t="s">
        <v>20</v>
      </c>
      <c r="F106" s="245" t="str">
        <f t="shared" si="6"/>
        <v>DVW 74</v>
      </c>
      <c r="G106" s="77" t="s">
        <v>669</v>
      </c>
      <c r="H106" s="77" t="s">
        <v>342</v>
      </c>
      <c r="I106" s="77" t="str">
        <f t="shared" si="4"/>
        <v>L06_DPVE_024E_WINZE</v>
      </c>
      <c r="J106" s="77" t="s">
        <v>393</v>
      </c>
      <c r="K106" s="169">
        <f>IFERROR(MATCH(J106,'Final List'!$B$4:$B$252,0),0)</f>
        <v>0</v>
      </c>
      <c r="L106" s="169">
        <f>IFERROR(MATCH(J106,'Final List'!$D$4:$D$252,0),0)</f>
        <v>0</v>
      </c>
      <c r="M106" s="169">
        <f>IFERROR(MATCH(J106,'Final List'!$F$4:$F$251,0),0)</f>
        <v>0</v>
      </c>
      <c r="N106" s="169">
        <f>IFERROR(MATCH(J106,'Final List'!$H$4:$H$252,0),0)</f>
        <v>0</v>
      </c>
      <c r="O106" s="169">
        <f>IFERROR(MATCH(J106,'Final List'!$J$4:$J$252,0),0)</f>
        <v>0</v>
      </c>
      <c r="P106" s="169">
        <f>IFERROR(MATCH(J106,'Final List'!$L$4:$L$252,0),0)</f>
        <v>0</v>
      </c>
      <c r="Q106" s="169">
        <f>IFERROR(MATCH(J106,'Final List'!$N$4:$N$252,0),0)</f>
        <v>0</v>
      </c>
      <c r="R106" s="169">
        <f>IFERROR(MATCH(J106,'Final List'!$P$4:$P$252,0),0)</f>
        <v>0</v>
      </c>
      <c r="S106" s="169">
        <f t="shared" si="7"/>
        <v>0</v>
      </c>
      <c r="T106" s="116"/>
      <c r="U106" s="116"/>
      <c r="V106" s="116" t="str">
        <f t="shared" si="5"/>
        <v>BADBADON 2</v>
      </c>
      <c r="W106" s="116" t="s">
        <v>2706</v>
      </c>
    </row>
    <row r="107" spans="2:23" x14ac:dyDescent="0.25">
      <c r="B107" s="77" t="s">
        <v>91</v>
      </c>
      <c r="C107" s="77" t="s">
        <v>58</v>
      </c>
      <c r="D107" s="77" t="s">
        <v>134</v>
      </c>
      <c r="E107" s="77" t="s">
        <v>19</v>
      </c>
      <c r="F107" s="245" t="str">
        <f t="shared" si="6"/>
        <v>DVR 72</v>
      </c>
      <c r="G107" s="77" t="s">
        <v>353</v>
      </c>
      <c r="H107" s="77"/>
      <c r="I107" s="77" t="str">
        <f t="shared" si="4"/>
        <v>L04_EDV_016W_RAISE</v>
      </c>
      <c r="J107" s="77" t="s">
        <v>5599</v>
      </c>
      <c r="K107" s="169">
        <f>IFERROR(MATCH(J107,'Final List'!$B$4:$B$252,0),0)</f>
        <v>0</v>
      </c>
      <c r="L107" s="169">
        <f>IFERROR(MATCH(J107,'Final List'!$D$4:$D$252,0),0)</f>
        <v>0</v>
      </c>
      <c r="M107" s="169">
        <f>IFERROR(MATCH(J107,'Final List'!$F$4:$F$251,0),0)</f>
        <v>0</v>
      </c>
      <c r="N107" s="169">
        <f>IFERROR(MATCH(J107,'Final List'!$H$4:$H$252,0),0)</f>
        <v>0</v>
      </c>
      <c r="O107" s="169">
        <f>IFERROR(MATCH(J107,'Final List'!$J$4:$J$252,0),0)</f>
        <v>0</v>
      </c>
      <c r="P107" s="169">
        <f>IFERROR(MATCH(J107,'Final List'!$L$4:$L$252,0),0)</f>
        <v>0</v>
      </c>
      <c r="Q107" s="169">
        <f>IFERROR(MATCH(J107,'Final List'!$N$4:$N$252,0),0)</f>
        <v>0</v>
      </c>
      <c r="R107" s="169">
        <f>IFERROR(MATCH(J107,'Final List'!$P$4:$P$252,0),0)</f>
        <v>0</v>
      </c>
      <c r="S107" s="169">
        <f t="shared" si="7"/>
        <v>0</v>
      </c>
      <c r="T107" s="116"/>
      <c r="U107" s="116"/>
      <c r="V107" s="116" t="str">
        <f t="shared" si="5"/>
        <v>BAÑEZ 4</v>
      </c>
      <c r="W107" s="116" t="s">
        <v>2710</v>
      </c>
    </row>
    <row r="108" spans="2:23" x14ac:dyDescent="0.25">
      <c r="B108" s="77" t="s">
        <v>94</v>
      </c>
      <c r="C108" s="77" t="s">
        <v>42</v>
      </c>
      <c r="D108" s="77" t="s">
        <v>113</v>
      </c>
      <c r="E108" s="77" t="s">
        <v>20</v>
      </c>
      <c r="F108" s="245" t="str">
        <f t="shared" si="6"/>
        <v>DVW 74</v>
      </c>
      <c r="G108" s="77" t="s">
        <v>329</v>
      </c>
      <c r="H108" s="77"/>
      <c r="I108" s="77" t="str">
        <f t="shared" si="4"/>
        <v>L07_JV_001W_WINZE</v>
      </c>
      <c r="J108" s="77" t="s">
        <v>5585</v>
      </c>
      <c r="K108" s="169">
        <f>IFERROR(MATCH(J108,'Final List'!$B$4:$B$252,0),0)</f>
        <v>0</v>
      </c>
      <c r="L108" s="169">
        <f>IFERROR(MATCH(J108,'Final List'!$D$4:$D$252,0),0)</f>
        <v>0</v>
      </c>
      <c r="M108" s="169">
        <f>IFERROR(MATCH(J108,'Final List'!$F$4:$F$251,0),0)</f>
        <v>0</v>
      </c>
      <c r="N108" s="169">
        <f>IFERROR(MATCH(J108,'Final List'!$H$4:$H$252,0),0)</f>
        <v>0</v>
      </c>
      <c r="O108" s="169">
        <f>IFERROR(MATCH(J108,'Final List'!$J$4:$J$252,0),0)</f>
        <v>0</v>
      </c>
      <c r="P108" s="169">
        <f>IFERROR(MATCH(J108,'Final List'!$L$4:$L$252,0),0)</f>
        <v>0</v>
      </c>
      <c r="Q108" s="169">
        <f>IFERROR(MATCH(J108,'Final List'!$N$4:$N$252,0),0)</f>
        <v>0</v>
      </c>
      <c r="R108" s="169">
        <f>IFERROR(MATCH(J108,'Final List'!$P$4:$P$252,0),0)</f>
        <v>0</v>
      </c>
      <c r="S108" s="169">
        <f t="shared" si="7"/>
        <v>0</v>
      </c>
      <c r="T108" s="116"/>
      <c r="U108" s="116"/>
      <c r="V108" s="116" t="str">
        <f t="shared" si="5"/>
        <v>OY-YOY 1</v>
      </c>
      <c r="W108" s="116" t="s">
        <v>2706</v>
      </c>
    </row>
    <row r="109" spans="2:23" x14ac:dyDescent="0.25">
      <c r="B109" s="77" t="s">
        <v>95</v>
      </c>
      <c r="C109" s="77" t="s">
        <v>59</v>
      </c>
      <c r="D109" s="77" t="s">
        <v>5612</v>
      </c>
      <c r="E109" s="77" t="s">
        <v>19</v>
      </c>
      <c r="F109" s="245" t="str">
        <f t="shared" si="6"/>
        <v>DVR 72</v>
      </c>
      <c r="G109" s="77" t="s">
        <v>5710</v>
      </c>
      <c r="H109" s="77"/>
      <c r="I109" s="77" t="str">
        <f t="shared" si="4"/>
        <v>L08_GHVHW_011W_RAISE</v>
      </c>
      <c r="J109" s="77" t="s">
        <v>5608</v>
      </c>
      <c r="K109" s="169">
        <f>IFERROR(MATCH(J109,'Final List'!$B$4:$B$252,0),0)</f>
        <v>0</v>
      </c>
      <c r="L109" s="169">
        <f>IFERROR(MATCH(J109,'Final List'!$D$4:$D$252,0),0)</f>
        <v>0</v>
      </c>
      <c r="M109" s="169">
        <f>IFERROR(MATCH(J109,'Final List'!$F$4:$F$251,0),0)</f>
        <v>0</v>
      </c>
      <c r="N109" s="169">
        <f>IFERROR(MATCH(J109,'Final List'!$H$4:$H$252,0),0)</f>
        <v>0</v>
      </c>
      <c r="O109" s="169">
        <f>IFERROR(MATCH(J109,'Final List'!$J$4:$J$252,0),0)</f>
        <v>0</v>
      </c>
      <c r="P109" s="169">
        <f>IFERROR(MATCH(J109,'Final List'!$L$4:$L$252,0),0)</f>
        <v>0</v>
      </c>
      <c r="Q109" s="169">
        <f>IFERROR(MATCH(J109,'Final List'!$N$4:$N$252,0),0)</f>
        <v>0</v>
      </c>
      <c r="R109" s="169">
        <f>IFERROR(MATCH(J109,'Final List'!$P$4:$P$252,0),0)</f>
        <v>0</v>
      </c>
      <c r="S109" s="169">
        <f t="shared" si="7"/>
        <v>0</v>
      </c>
      <c r="T109" s="116"/>
      <c r="U109" s="116"/>
      <c r="V109" s="116" t="str">
        <f t="shared" si="5"/>
        <v>SHEPHERD AJ 3</v>
      </c>
      <c r="W109" s="116" t="s">
        <v>2715</v>
      </c>
    </row>
    <row r="110" spans="2:23" x14ac:dyDescent="0.25">
      <c r="B110" s="77" t="s">
        <v>95</v>
      </c>
      <c r="C110" s="77" t="s">
        <v>57</v>
      </c>
      <c r="D110" s="77" t="s">
        <v>205</v>
      </c>
      <c r="E110" s="77" t="s">
        <v>61</v>
      </c>
      <c r="F110" s="245" t="str">
        <f t="shared" si="6"/>
        <v>Dhoz 71</v>
      </c>
      <c r="G110" s="77" t="s">
        <v>560</v>
      </c>
      <c r="H110" s="77" t="s">
        <v>5710</v>
      </c>
      <c r="I110" s="77" t="str">
        <f t="shared" si="4"/>
        <v>L08_JVSPLIT_066E_DW</v>
      </c>
      <c r="J110" s="77" t="s">
        <v>6025</v>
      </c>
      <c r="K110" s="169">
        <f>IFERROR(MATCH(J110,'Final List'!$B$4:$B$252,0),0)</f>
        <v>0</v>
      </c>
      <c r="L110" s="169">
        <f>IFERROR(MATCH(J110,'Final List'!$D$4:$D$252,0),0)</f>
        <v>0</v>
      </c>
      <c r="M110" s="169">
        <f>IFERROR(MATCH(J110,'Final List'!$F$4:$F$251,0),0)</f>
        <v>0</v>
      </c>
      <c r="N110" s="169">
        <f>IFERROR(MATCH(J110,'Final List'!$H$4:$H$252,0),0)</f>
        <v>0</v>
      </c>
      <c r="O110" s="169">
        <f>IFERROR(MATCH(J110,'Final List'!$J$4:$J$252,0),0)</f>
        <v>0</v>
      </c>
      <c r="P110" s="169">
        <f>IFERROR(MATCH(J110,'Final List'!$L$4:$L$252,0),0)</f>
        <v>0</v>
      </c>
      <c r="Q110" s="169">
        <f>IFERROR(MATCH(J110,'Final List'!$N$4:$N$252,0),0)</f>
        <v>0</v>
      </c>
      <c r="R110" s="169">
        <f>IFERROR(MATCH(J110,'Final List'!$P$4:$P$252,0),0)</f>
        <v>0</v>
      </c>
      <c r="S110" s="169">
        <f t="shared" si="7"/>
        <v>0</v>
      </c>
      <c r="T110" s="116"/>
      <c r="U110" s="116"/>
      <c r="V110" s="116" t="str">
        <f t="shared" si="5"/>
        <v>SHEPHERD AJ 3</v>
      </c>
      <c r="W110" s="116" t="s">
        <v>8895</v>
      </c>
    </row>
    <row r="111" spans="2:23" x14ac:dyDescent="0.25">
      <c r="B111" s="77" t="s">
        <v>96</v>
      </c>
      <c r="C111" s="77" t="s">
        <v>46</v>
      </c>
      <c r="D111" s="77" t="s">
        <v>135</v>
      </c>
      <c r="E111" s="77" t="s">
        <v>19</v>
      </c>
      <c r="F111" s="245" t="str">
        <f t="shared" si="6"/>
        <v>DVR 72</v>
      </c>
      <c r="G111" s="77" t="s">
        <v>5613</v>
      </c>
      <c r="H111" s="77"/>
      <c r="I111" s="77" t="str">
        <f t="shared" si="4"/>
        <v>L09_DPVE2_034E_RAISE</v>
      </c>
      <c r="J111" s="77" t="s">
        <v>5610</v>
      </c>
      <c r="K111" s="169">
        <f>IFERROR(MATCH(J111,'Final List'!$B$4:$B$252,0),0)</f>
        <v>0</v>
      </c>
      <c r="L111" s="169">
        <f>IFERROR(MATCH(J111,'Final List'!$D$4:$D$252,0),0)</f>
        <v>0</v>
      </c>
      <c r="M111" s="169">
        <f>IFERROR(MATCH(J111,'Final List'!$F$4:$F$251,0),0)</f>
        <v>0</v>
      </c>
      <c r="N111" s="169">
        <f>IFERROR(MATCH(J111,'Final List'!$H$4:$H$252,0),0)</f>
        <v>0</v>
      </c>
      <c r="O111" s="169">
        <f>IFERROR(MATCH(J111,'Final List'!$J$4:$J$252,0),0)</f>
        <v>0</v>
      </c>
      <c r="P111" s="169">
        <f>IFERROR(MATCH(J111,'Final List'!$L$4:$L$252,0),0)</f>
        <v>0</v>
      </c>
      <c r="Q111" s="169">
        <f>IFERROR(MATCH(J111,'Final List'!$N$4:$N$252,0),0)</f>
        <v>0</v>
      </c>
      <c r="R111" s="169">
        <f>IFERROR(MATCH(J111,'Final List'!$P$4:$P$252,0),0)</f>
        <v>0</v>
      </c>
      <c r="S111" s="169">
        <f t="shared" si="7"/>
        <v>0</v>
      </c>
      <c r="T111" s="116"/>
      <c r="U111" s="116"/>
      <c r="V111" s="116" t="str">
        <f t="shared" si="5"/>
        <v>PANSIT</v>
      </c>
      <c r="W111" s="116" t="s">
        <v>2710</v>
      </c>
    </row>
    <row r="112" spans="2:23" x14ac:dyDescent="0.25">
      <c r="B112" s="77" t="s">
        <v>95</v>
      </c>
      <c r="C112" s="77" t="s">
        <v>38</v>
      </c>
      <c r="D112" s="77" t="s">
        <v>5614</v>
      </c>
      <c r="E112" s="77" t="s">
        <v>19</v>
      </c>
      <c r="F112" s="245" t="str">
        <f t="shared" si="6"/>
        <v>DVR 72</v>
      </c>
      <c r="G112" s="77" t="s">
        <v>5709</v>
      </c>
      <c r="H112" s="77"/>
      <c r="I112" s="77" t="str">
        <f t="shared" si="4"/>
        <v>L08_GHV_055E_RAISE</v>
      </c>
      <c r="J112" s="77" t="s">
        <v>184</v>
      </c>
      <c r="K112" s="169">
        <f>IFERROR(MATCH(J112,'Final List'!$B$4:$B$252,0),0)</f>
        <v>0</v>
      </c>
      <c r="L112" s="169">
        <f>IFERROR(MATCH(J112,'Final List'!$D$4:$D$252,0),0)</f>
        <v>0</v>
      </c>
      <c r="M112" s="169">
        <f>IFERROR(MATCH(J112,'Final List'!$F$4:$F$251,0),0)</f>
        <v>0</v>
      </c>
      <c r="N112" s="169">
        <f>IFERROR(MATCH(J112,'Final List'!$H$4:$H$252,0),0)</f>
        <v>0</v>
      </c>
      <c r="O112" s="169">
        <f>IFERROR(MATCH(J112,'Final List'!$J$4:$J$252,0),0)</f>
        <v>0</v>
      </c>
      <c r="P112" s="169">
        <f>IFERROR(MATCH(J112,'Final List'!$L$4:$L$252,0),0)</f>
        <v>0</v>
      </c>
      <c r="Q112" s="169">
        <f>IFERROR(MATCH(J112,'Final List'!$N$4:$N$252,0),0)</f>
        <v>0</v>
      </c>
      <c r="R112" s="169">
        <f>IFERROR(MATCH(J112,'Final List'!$P$4:$P$252,0),0)</f>
        <v>0</v>
      </c>
      <c r="S112" s="169">
        <f t="shared" si="7"/>
        <v>0</v>
      </c>
      <c r="T112" s="116"/>
      <c r="U112" s="116"/>
      <c r="V112" s="116" t="str">
        <f t="shared" si="5"/>
        <v>SHEPHERD AJ 2</v>
      </c>
      <c r="W112" s="116" t="s">
        <v>2715</v>
      </c>
    </row>
    <row r="113" spans="2:23" x14ac:dyDescent="0.25">
      <c r="B113" s="77" t="s">
        <v>93</v>
      </c>
      <c r="C113" s="77" t="s">
        <v>56</v>
      </c>
      <c r="D113" s="77" t="s">
        <v>5615</v>
      </c>
      <c r="E113" s="77" t="s">
        <v>20</v>
      </c>
      <c r="F113" s="245" t="str">
        <f t="shared" si="6"/>
        <v>DVW 74</v>
      </c>
      <c r="G113" s="77" t="s">
        <v>3252</v>
      </c>
      <c r="H113" s="77"/>
      <c r="I113" s="77" t="str">
        <f t="shared" si="4"/>
        <v>L06_GHVFW_042W_WINZE</v>
      </c>
      <c r="J113" s="77" t="s">
        <v>5606</v>
      </c>
      <c r="K113" s="169">
        <f>IFERROR(MATCH(J113,'Final List'!$B$4:$B$252,0),0)</f>
        <v>0</v>
      </c>
      <c r="L113" s="169">
        <f>IFERROR(MATCH(J113,'Final List'!$D$4:$D$252,0),0)</f>
        <v>0</v>
      </c>
      <c r="M113" s="169">
        <f>IFERROR(MATCH(J113,'Final List'!$F$4:$F$251,0),0)</f>
        <v>0</v>
      </c>
      <c r="N113" s="169">
        <f>IFERROR(MATCH(J113,'Final List'!$H$4:$H$252,0),0)</f>
        <v>0</v>
      </c>
      <c r="O113" s="169">
        <f>IFERROR(MATCH(J113,'Final List'!$J$4:$J$252,0),0)</f>
        <v>0</v>
      </c>
      <c r="P113" s="169">
        <f>IFERROR(MATCH(J113,'Final List'!$L$4:$L$252,0),0)</f>
        <v>0</v>
      </c>
      <c r="Q113" s="169">
        <f>IFERROR(MATCH(J113,'Final List'!$N$4:$N$252,0),0)</f>
        <v>0</v>
      </c>
      <c r="R113" s="169">
        <f>IFERROR(MATCH(J113,'Final List'!$P$4:$P$252,0),0)</f>
        <v>0</v>
      </c>
      <c r="S113" s="169">
        <f t="shared" si="7"/>
        <v>0</v>
      </c>
      <c r="T113" s="116" t="s">
        <v>68</v>
      </c>
      <c r="U113" s="116"/>
      <c r="V113" s="116" t="str">
        <f t="shared" si="5"/>
        <v>SHEPHERD AA1</v>
      </c>
      <c r="W113" s="116" t="s">
        <v>2706</v>
      </c>
    </row>
    <row r="114" spans="2:23" x14ac:dyDescent="0.25">
      <c r="B114" s="77" t="s">
        <v>95</v>
      </c>
      <c r="C114" s="77" t="s">
        <v>59</v>
      </c>
      <c r="D114" s="77" t="s">
        <v>171</v>
      </c>
      <c r="E114" s="77" t="s">
        <v>19</v>
      </c>
      <c r="F114" s="245" t="str">
        <f t="shared" si="6"/>
        <v>DVR 72</v>
      </c>
      <c r="G114" s="77" t="s">
        <v>5708</v>
      </c>
      <c r="H114" s="77"/>
      <c r="I114" s="77" t="str">
        <f t="shared" si="4"/>
        <v>L08_GHVHW_015W_RAISE</v>
      </c>
      <c r="J114" s="77" t="s">
        <v>5535</v>
      </c>
      <c r="K114" s="169">
        <f>IFERROR(MATCH(J114,'Final List'!$B$4:$B$252,0),0)</f>
        <v>0</v>
      </c>
      <c r="L114" s="169">
        <f>IFERROR(MATCH(J114,'Final List'!$D$4:$D$252,0),0)</f>
        <v>0</v>
      </c>
      <c r="M114" s="169">
        <f>IFERROR(MATCH(J114,'Final List'!$F$4:$F$251,0),0)</f>
        <v>0</v>
      </c>
      <c r="N114" s="169">
        <f>IFERROR(MATCH(J114,'Final List'!$H$4:$H$252,0),0)</f>
        <v>0</v>
      </c>
      <c r="O114" s="169">
        <f>IFERROR(MATCH(J114,'Final List'!$J$4:$J$252,0),0)</f>
        <v>0</v>
      </c>
      <c r="P114" s="169">
        <f>IFERROR(MATCH(J114,'Final List'!$L$4:$L$252,0),0)</f>
        <v>0</v>
      </c>
      <c r="Q114" s="169">
        <f>IFERROR(MATCH(J114,'Final List'!$N$4:$N$252,0),0)</f>
        <v>0</v>
      </c>
      <c r="R114" s="169">
        <f>IFERROR(MATCH(J114,'Final List'!$P$4:$P$252,0),0)</f>
        <v>0</v>
      </c>
      <c r="S114" s="169">
        <f t="shared" si="7"/>
        <v>0</v>
      </c>
      <c r="T114" s="116"/>
      <c r="U114" s="116"/>
      <c r="V114" s="116" t="str">
        <f t="shared" si="5"/>
        <v>SHEPHERD AJ 1</v>
      </c>
      <c r="W114" s="116" t="s">
        <v>2710</v>
      </c>
    </row>
    <row r="115" spans="2:23" x14ac:dyDescent="0.25">
      <c r="B115" s="77" t="s">
        <v>91</v>
      </c>
      <c r="C115" s="77" t="s">
        <v>42</v>
      </c>
      <c r="D115" s="77" t="s">
        <v>97</v>
      </c>
      <c r="E115" s="77" t="s">
        <v>61</v>
      </c>
      <c r="F115" s="245" t="str">
        <f t="shared" si="6"/>
        <v>Dhoz 71</v>
      </c>
      <c r="G115" s="77" t="s">
        <v>394</v>
      </c>
      <c r="H115" s="77"/>
      <c r="I115" s="77" t="str">
        <f t="shared" si="4"/>
        <v>L04_JV_012W_DW</v>
      </c>
      <c r="J115" s="77" t="s">
        <v>4832</v>
      </c>
      <c r="K115" s="169">
        <f>IFERROR(MATCH(J115,'Final List'!$B$4:$B$252,0),0)</f>
        <v>0</v>
      </c>
      <c r="L115" s="169">
        <f>IFERROR(MATCH(J115,'Final List'!$D$4:$D$252,0),0)</f>
        <v>0</v>
      </c>
      <c r="M115" s="169">
        <f>IFERROR(MATCH(J115,'Final List'!$F$4:$F$251,0),0)</f>
        <v>0</v>
      </c>
      <c r="N115" s="169">
        <f>IFERROR(MATCH(J115,'Final List'!$H$4:$H$252,0),0)</f>
        <v>0</v>
      </c>
      <c r="O115" s="169">
        <f>IFERROR(MATCH(J115,'Final List'!$J$4:$J$252,0),0)</f>
        <v>0</v>
      </c>
      <c r="P115" s="169">
        <f>IFERROR(MATCH(J115,'Final List'!$L$4:$L$252,0),0)</f>
        <v>0</v>
      </c>
      <c r="Q115" s="169">
        <f>IFERROR(MATCH(J115,'Final List'!$N$4:$N$252,0),0)</f>
        <v>0</v>
      </c>
      <c r="R115" s="169">
        <f>IFERROR(MATCH(J115,'Final List'!$P$4:$P$252,0),0)</f>
        <v>0</v>
      </c>
      <c r="S115" s="169">
        <f t="shared" si="7"/>
        <v>0</v>
      </c>
      <c r="T115" s="116"/>
      <c r="U115" s="116"/>
      <c r="V115" s="116" t="str">
        <f t="shared" si="5"/>
        <v>ANDILAB 1</v>
      </c>
      <c r="W115" s="116" t="s">
        <v>2708</v>
      </c>
    </row>
    <row r="116" spans="2:23" x14ac:dyDescent="0.25">
      <c r="B116" s="77" t="s">
        <v>258</v>
      </c>
      <c r="C116" s="77" t="s">
        <v>55</v>
      </c>
      <c r="D116" s="77" t="s">
        <v>201</v>
      </c>
      <c r="E116" s="77" t="s">
        <v>211</v>
      </c>
      <c r="F116" s="245" t="str">
        <f t="shared" si="6"/>
        <v>StpS 77</v>
      </c>
      <c r="G116" s="77" t="s">
        <v>352</v>
      </c>
      <c r="H116" s="77"/>
      <c r="I116" s="77" t="str">
        <f t="shared" si="4"/>
        <v>L10_JVFW_067E_STOPE PREP</v>
      </c>
      <c r="J116" s="77" t="s">
        <v>5238</v>
      </c>
      <c r="K116" s="169">
        <f>IFERROR(MATCH(J116,'Final List'!$B$4:$B$252,0),0)</f>
        <v>0</v>
      </c>
      <c r="L116" s="169">
        <f>IFERROR(MATCH(J116,'Final List'!$D$4:$D$252,0),0)</f>
        <v>0</v>
      </c>
      <c r="M116" s="169">
        <f>IFERROR(MATCH(J116,'Final List'!$F$4:$F$251,0),0)</f>
        <v>0</v>
      </c>
      <c r="N116" s="169">
        <f>IFERROR(MATCH(J116,'Final List'!$H$4:$H$252,0),0)</f>
        <v>0</v>
      </c>
      <c r="O116" s="169">
        <f>IFERROR(MATCH(J116,'Final List'!$J$4:$J$252,0),0)</f>
        <v>0</v>
      </c>
      <c r="P116" s="169">
        <f>IFERROR(MATCH(J116,'Final List'!$L$4:$L$252,0),0)</f>
        <v>0</v>
      </c>
      <c r="Q116" s="169">
        <f>IFERROR(MATCH(J116,'Final List'!$N$4:$N$252,0),0)</f>
        <v>0</v>
      </c>
      <c r="R116" s="169">
        <f>IFERROR(MATCH(J116,'Final List'!$P$4:$P$252,0),0)</f>
        <v>0</v>
      </c>
      <c r="S116" s="169">
        <f t="shared" si="7"/>
        <v>0</v>
      </c>
      <c r="T116" s="116" t="s">
        <v>68</v>
      </c>
      <c r="U116" s="116"/>
      <c r="V116" s="116" t="str">
        <f t="shared" si="5"/>
        <v>BAÑEZ 5</v>
      </c>
      <c r="W116" s="116" t="s">
        <v>2712</v>
      </c>
    </row>
    <row r="117" spans="2:23" x14ac:dyDescent="0.25">
      <c r="B117" s="77" t="s">
        <v>96</v>
      </c>
      <c r="C117" s="77" t="s">
        <v>55</v>
      </c>
      <c r="D117" s="77" t="s">
        <v>870</v>
      </c>
      <c r="E117" s="77" t="s">
        <v>20</v>
      </c>
      <c r="F117" s="245" t="str">
        <f t="shared" si="6"/>
        <v>DVW 74</v>
      </c>
      <c r="G117" s="77" t="s">
        <v>401</v>
      </c>
      <c r="H117" s="77"/>
      <c r="I117" s="77" t="str">
        <f t="shared" si="4"/>
        <v>L09_JVFW_073E_WINZE</v>
      </c>
      <c r="J117" s="77" t="s">
        <v>5619</v>
      </c>
      <c r="K117" s="169">
        <f>IFERROR(MATCH(J117,'Final List'!$B$4:$B$252,0),0)</f>
        <v>0</v>
      </c>
      <c r="L117" s="169">
        <f>IFERROR(MATCH(J117,'Final List'!$D$4:$D$252,0),0)</f>
        <v>0</v>
      </c>
      <c r="M117" s="169">
        <f>IFERROR(MATCH(J117,'Final List'!$F$4:$F$251,0),0)</f>
        <v>0</v>
      </c>
      <c r="N117" s="169">
        <f>IFERROR(MATCH(J117,'Final List'!$H$4:$H$252,0),0)</f>
        <v>0</v>
      </c>
      <c r="O117" s="169">
        <f>IFERROR(MATCH(J117,'Final List'!$J$4:$J$252,0),0)</f>
        <v>0</v>
      </c>
      <c r="P117" s="169">
        <f>IFERROR(MATCH(J117,'Final List'!$L$4:$L$252,0),0)</f>
        <v>0</v>
      </c>
      <c r="Q117" s="169">
        <f>IFERROR(MATCH(J117,'Final List'!$N$4:$N$252,0),0)</f>
        <v>0</v>
      </c>
      <c r="R117" s="169">
        <f>IFERROR(MATCH(J117,'Final List'!$P$4:$P$252,0),0)</f>
        <v>0</v>
      </c>
      <c r="S117" s="169">
        <f t="shared" si="7"/>
        <v>0</v>
      </c>
      <c r="T117" s="116"/>
      <c r="U117" s="116"/>
      <c r="V117" s="116" t="str">
        <f t="shared" si="5"/>
        <v>MAPAYO 2</v>
      </c>
      <c r="W117" s="116" t="s">
        <v>2717</v>
      </c>
    </row>
    <row r="118" spans="2:23" x14ac:dyDescent="0.25">
      <c r="B118" s="77" t="s">
        <v>95</v>
      </c>
      <c r="C118" s="77" t="s">
        <v>43</v>
      </c>
      <c r="D118" s="77" t="s">
        <v>123</v>
      </c>
      <c r="E118" s="77" t="s">
        <v>61</v>
      </c>
      <c r="F118" s="245" t="str">
        <f t="shared" si="6"/>
        <v>Dhoz 71</v>
      </c>
      <c r="G118" s="77" t="s">
        <v>386</v>
      </c>
      <c r="H118" s="77"/>
      <c r="I118" s="77" t="str">
        <f t="shared" si="4"/>
        <v>L08_GHVSPLIT_031E_DW</v>
      </c>
      <c r="J118" s="77" t="s">
        <v>5621</v>
      </c>
      <c r="K118" s="169">
        <f>IFERROR(MATCH(J118,'Final List'!$B$4:$B$252,0),0)</f>
        <v>0</v>
      </c>
      <c r="L118" s="169">
        <f>IFERROR(MATCH(J118,'Final List'!$D$4:$D$252,0),0)</f>
        <v>0</v>
      </c>
      <c r="M118" s="169">
        <f>IFERROR(MATCH(J118,'Final List'!$F$4:$F$251,0),0)</f>
        <v>0</v>
      </c>
      <c r="N118" s="169">
        <f>IFERROR(MATCH(J118,'Final List'!$H$4:$H$252,0),0)</f>
        <v>0</v>
      </c>
      <c r="O118" s="169">
        <f>IFERROR(MATCH(J118,'Final List'!$J$4:$J$252,0),0)</f>
        <v>0</v>
      </c>
      <c r="P118" s="169">
        <f>IFERROR(MATCH(J118,'Final List'!$L$4:$L$252,0),0)</f>
        <v>0</v>
      </c>
      <c r="Q118" s="169">
        <f>IFERROR(MATCH(J118,'Final List'!$N$4:$N$252,0),0)</f>
        <v>0</v>
      </c>
      <c r="R118" s="169">
        <f>IFERROR(MATCH(J118,'Final List'!$P$4:$P$252,0),0)</f>
        <v>0</v>
      </c>
      <c r="S118" s="169">
        <f t="shared" si="7"/>
        <v>0</v>
      </c>
      <c r="T118" s="116"/>
      <c r="U118" s="116"/>
      <c r="V118" s="116" t="str">
        <f t="shared" si="5"/>
        <v>REVITA 1</v>
      </c>
      <c r="W118" s="116" t="s">
        <v>8895</v>
      </c>
    </row>
    <row r="119" spans="2:23" x14ac:dyDescent="0.25">
      <c r="B119" s="77" t="s">
        <v>93</v>
      </c>
      <c r="C119" s="77" t="s">
        <v>57</v>
      </c>
      <c r="D119" s="77" t="s">
        <v>5631</v>
      </c>
      <c r="E119" s="77" t="s">
        <v>211</v>
      </c>
      <c r="F119" s="245" t="str">
        <f t="shared" si="6"/>
        <v>StpS 77</v>
      </c>
      <c r="G119" s="77" t="s">
        <v>936</v>
      </c>
      <c r="H119" s="77"/>
      <c r="I119" s="77" t="str">
        <f t="shared" si="4"/>
        <v>L06_JVSPLIT_020E_STOPE PREP</v>
      </c>
      <c r="J119" s="77" t="s">
        <v>5626</v>
      </c>
      <c r="K119" s="169">
        <f>IFERROR(MATCH(J119,'Final List'!$B$4:$B$252,0),0)</f>
        <v>0</v>
      </c>
      <c r="L119" s="169">
        <f>IFERROR(MATCH(J119,'Final List'!$D$4:$D$252,0),0)</f>
        <v>0</v>
      </c>
      <c r="M119" s="169">
        <f>IFERROR(MATCH(J119,'Final List'!$F$4:$F$251,0),0)</f>
        <v>0</v>
      </c>
      <c r="N119" s="169">
        <f>IFERROR(MATCH(J119,'Final List'!$H$4:$H$252,0),0)</f>
        <v>0</v>
      </c>
      <c r="O119" s="169">
        <f>IFERROR(MATCH(J119,'Final List'!$J$4:$J$252,0),0)</f>
        <v>0</v>
      </c>
      <c r="P119" s="169">
        <f>IFERROR(MATCH(J119,'Final List'!$L$4:$L$252,0),0)</f>
        <v>0</v>
      </c>
      <c r="Q119" s="169">
        <f>IFERROR(MATCH(J119,'Final List'!$N$4:$N$252,0),0)</f>
        <v>0</v>
      </c>
      <c r="R119" s="169">
        <f>IFERROR(MATCH(J119,'Final List'!$P$4:$P$252,0),0)</f>
        <v>0</v>
      </c>
      <c r="S119" s="169">
        <f t="shared" si="7"/>
        <v>0</v>
      </c>
      <c r="T119" s="116" t="s">
        <v>68</v>
      </c>
      <c r="U119" s="116"/>
      <c r="V119" s="116" t="str">
        <f t="shared" si="5"/>
        <v>GUNAY 2</v>
      </c>
      <c r="W119" s="116" t="s">
        <v>2712</v>
      </c>
    </row>
    <row r="120" spans="2:23" x14ac:dyDescent="0.25">
      <c r="B120" s="77" t="s">
        <v>94</v>
      </c>
      <c r="C120" s="77" t="s">
        <v>45</v>
      </c>
      <c r="D120" s="77" t="s">
        <v>144</v>
      </c>
      <c r="E120" s="77" t="s">
        <v>19</v>
      </c>
      <c r="F120" s="245" t="str">
        <f t="shared" si="6"/>
        <v>DVR 72</v>
      </c>
      <c r="G120" s="77" t="s">
        <v>358</v>
      </c>
      <c r="H120" s="77" t="s">
        <v>5921</v>
      </c>
      <c r="I120" s="77" t="str">
        <f t="shared" si="4"/>
        <v>L07_DPVE_043E_RAISE</v>
      </c>
      <c r="J120" s="77" t="s">
        <v>220</v>
      </c>
      <c r="K120" s="169">
        <f>IFERROR(MATCH(J120,'Final List'!$B$4:$B$252,0),0)</f>
        <v>0</v>
      </c>
      <c r="L120" s="169">
        <f>IFERROR(MATCH(J120,'Final List'!$D$4:$D$252,0),0)</f>
        <v>0</v>
      </c>
      <c r="M120" s="169">
        <f>IFERROR(MATCH(J120,'Final List'!$F$4:$F$251,0),0)</f>
        <v>0</v>
      </c>
      <c r="N120" s="169">
        <f>IFERROR(MATCH(J120,'Final List'!$H$4:$H$252,0),0)</f>
        <v>0</v>
      </c>
      <c r="O120" s="169">
        <f>IFERROR(MATCH(J120,'Final List'!$J$4:$J$252,0),0)</f>
        <v>0</v>
      </c>
      <c r="P120" s="169">
        <f>IFERROR(MATCH(J120,'Final List'!$L$4:$L$252,0),0)</f>
        <v>0</v>
      </c>
      <c r="Q120" s="169">
        <f>IFERROR(MATCH(J120,'Final List'!$N$4:$N$252,0),0)</f>
        <v>0</v>
      </c>
      <c r="R120" s="169">
        <f>IFERROR(MATCH(J120,'Final List'!$P$4:$P$252,0),0)</f>
        <v>0</v>
      </c>
      <c r="S120" s="169">
        <f t="shared" si="7"/>
        <v>0</v>
      </c>
      <c r="T120" s="116"/>
      <c r="U120" s="116"/>
      <c r="V120" s="116" t="str">
        <f t="shared" si="5"/>
        <v>TURRA 2</v>
      </c>
      <c r="W120" s="116" t="s">
        <v>2715</v>
      </c>
    </row>
    <row r="121" spans="2:23" x14ac:dyDescent="0.25">
      <c r="B121" s="77" t="s">
        <v>96</v>
      </c>
      <c r="C121" s="77" t="s">
        <v>39</v>
      </c>
      <c r="D121" s="77" t="s">
        <v>170</v>
      </c>
      <c r="E121" s="77" t="s">
        <v>61</v>
      </c>
      <c r="F121" s="245" t="str">
        <f t="shared" si="6"/>
        <v>Dhoz 71</v>
      </c>
      <c r="G121" s="77" t="s">
        <v>1899</v>
      </c>
      <c r="H121" s="77"/>
      <c r="I121" s="77" t="str">
        <f t="shared" si="4"/>
        <v>L09_JVHW_071E_DW</v>
      </c>
      <c r="J121" s="77" t="s">
        <v>5633</v>
      </c>
      <c r="K121" s="169">
        <f>IFERROR(MATCH(J121,'Final List'!$B$4:$B$252,0),0)</f>
        <v>0</v>
      </c>
      <c r="L121" s="169">
        <f>IFERROR(MATCH(J121,'Final List'!$D$4:$D$252,0),0)</f>
        <v>0</v>
      </c>
      <c r="M121" s="169">
        <f>IFERROR(MATCH(J121,'Final List'!$F$4:$F$251,0),0)</f>
        <v>0</v>
      </c>
      <c r="N121" s="169">
        <f>IFERROR(MATCH(J121,'Final List'!$H$4:$H$252,0),0)</f>
        <v>0</v>
      </c>
      <c r="O121" s="169">
        <f>IFERROR(MATCH(J121,'Final List'!$J$4:$J$252,0),0)</f>
        <v>0</v>
      </c>
      <c r="P121" s="169">
        <f>IFERROR(MATCH(J121,'Final List'!$L$4:$L$252,0),0)</f>
        <v>0</v>
      </c>
      <c r="Q121" s="169">
        <f>IFERROR(MATCH(J121,'Final List'!$N$4:$N$252,0),0)</f>
        <v>0</v>
      </c>
      <c r="R121" s="169">
        <f>IFERROR(MATCH(J121,'Final List'!$P$4:$P$252,0),0)</f>
        <v>0</v>
      </c>
      <c r="S121" s="169">
        <f t="shared" si="7"/>
        <v>0</v>
      </c>
      <c r="T121" s="116"/>
      <c r="U121" s="116"/>
      <c r="V121" s="116" t="str">
        <f t="shared" si="5"/>
        <v>DELOS REYES V 2</v>
      </c>
      <c r="W121" s="116" t="s">
        <v>8896</v>
      </c>
    </row>
    <row r="122" spans="2:23" x14ac:dyDescent="0.25">
      <c r="B122" s="77" t="s">
        <v>96</v>
      </c>
      <c r="C122" s="77" t="s">
        <v>59</v>
      </c>
      <c r="D122" s="77" t="s">
        <v>131</v>
      </c>
      <c r="E122" s="77" t="s">
        <v>19</v>
      </c>
      <c r="F122" s="245" t="str">
        <f t="shared" si="6"/>
        <v>DVR 72</v>
      </c>
      <c r="G122" s="77" t="s">
        <v>746</v>
      </c>
      <c r="H122" s="77"/>
      <c r="I122" s="77" t="str">
        <f t="shared" si="4"/>
        <v>L09_GHVHW_011E_RAISE</v>
      </c>
      <c r="J122" s="77" t="s">
        <v>5658</v>
      </c>
      <c r="K122" s="169">
        <f>IFERROR(MATCH(J122,'Final List'!$B$4:$B$252,0),0)</f>
        <v>0</v>
      </c>
      <c r="L122" s="169">
        <f>IFERROR(MATCH(J122,'Final List'!$D$4:$D$252,0),0)</f>
        <v>0</v>
      </c>
      <c r="M122" s="169">
        <f>IFERROR(MATCH(J122,'Final List'!$F$4:$F$251,0),0)</f>
        <v>0</v>
      </c>
      <c r="N122" s="169">
        <f>IFERROR(MATCH(J122,'Final List'!$H$4:$H$252,0),0)</f>
        <v>0</v>
      </c>
      <c r="O122" s="169">
        <f>IFERROR(MATCH(J122,'Final List'!$J$4:$J$252,0),0)</f>
        <v>0</v>
      </c>
      <c r="P122" s="169">
        <f>IFERROR(MATCH(J122,'Final List'!$L$4:$L$252,0),0)</f>
        <v>0</v>
      </c>
      <c r="Q122" s="169">
        <f>IFERROR(MATCH(J122,'Final List'!$N$4:$N$252,0),0)</f>
        <v>0</v>
      </c>
      <c r="R122" s="169">
        <f>IFERROR(MATCH(J122,'Final List'!$P$4:$P$252,0),0)</f>
        <v>0</v>
      </c>
      <c r="S122" s="169">
        <f t="shared" si="7"/>
        <v>0</v>
      </c>
      <c r="T122" s="116"/>
      <c r="U122" s="116"/>
      <c r="V122" s="116" t="str">
        <f t="shared" si="5"/>
        <v>CANOY 1</v>
      </c>
      <c r="W122" s="116" t="s">
        <v>2710</v>
      </c>
    </row>
    <row r="123" spans="2:23" x14ac:dyDescent="0.25">
      <c r="B123" s="77" t="s">
        <v>93</v>
      </c>
      <c r="C123" s="77" t="s">
        <v>57</v>
      </c>
      <c r="D123" s="77" t="s">
        <v>143</v>
      </c>
      <c r="E123" s="77" t="s">
        <v>19</v>
      </c>
      <c r="F123" s="245" t="str">
        <f t="shared" si="6"/>
        <v>DVR 72</v>
      </c>
      <c r="G123" s="77" t="s">
        <v>5717</v>
      </c>
      <c r="H123" s="77"/>
      <c r="I123" s="77" t="str">
        <f t="shared" si="4"/>
        <v>L06_JVSPLIT_032E_RAISE</v>
      </c>
      <c r="J123" s="77" t="s">
        <v>5624</v>
      </c>
      <c r="K123" s="169">
        <f>IFERROR(MATCH(J123,'Final List'!$B$4:$B$252,0),0)</f>
        <v>0</v>
      </c>
      <c r="L123" s="169">
        <f>IFERROR(MATCH(J123,'Final List'!$D$4:$D$252,0),0)</f>
        <v>0</v>
      </c>
      <c r="M123" s="169">
        <f>IFERROR(MATCH(J123,'Final List'!$F$4:$F$251,0),0)</f>
        <v>0</v>
      </c>
      <c r="N123" s="169">
        <f>IFERROR(MATCH(J123,'Final List'!$H$4:$H$252,0),0)</f>
        <v>0</v>
      </c>
      <c r="O123" s="169">
        <f>IFERROR(MATCH(J123,'Final List'!$J$4:$J$252,0),0)</f>
        <v>0</v>
      </c>
      <c r="P123" s="169">
        <f>IFERROR(MATCH(J123,'Final List'!$L$4:$L$252,0),0)</f>
        <v>0</v>
      </c>
      <c r="Q123" s="169">
        <f>IFERROR(MATCH(J123,'Final List'!$N$4:$N$252,0),0)</f>
        <v>0</v>
      </c>
      <c r="R123" s="169">
        <f>IFERROR(MATCH(J123,'Final List'!$P$4:$P$252,0),0)</f>
        <v>0</v>
      </c>
      <c r="S123" s="169">
        <f t="shared" si="7"/>
        <v>0</v>
      </c>
      <c r="T123" s="116"/>
      <c r="U123" s="116"/>
      <c r="V123" s="116" t="str">
        <f t="shared" si="5"/>
        <v>SHEPHERD AC 1</v>
      </c>
      <c r="W123" s="116" t="s">
        <v>2710</v>
      </c>
    </row>
    <row r="124" spans="2:23" x14ac:dyDescent="0.25">
      <c r="B124" s="77" t="s">
        <v>95</v>
      </c>
      <c r="C124" s="77" t="s">
        <v>45</v>
      </c>
      <c r="D124" s="77" t="s">
        <v>172</v>
      </c>
      <c r="E124" s="77" t="s">
        <v>60</v>
      </c>
      <c r="F124" s="245" t="str">
        <f t="shared" si="6"/>
        <v>Dhoz 71</v>
      </c>
      <c r="G124" s="77" t="s">
        <v>474</v>
      </c>
      <c r="H124" s="77"/>
      <c r="I124" s="77" t="str">
        <f t="shared" si="4"/>
        <v>L08_DPVE_045E_DE</v>
      </c>
      <c r="J124" s="77" t="s">
        <v>1209</v>
      </c>
      <c r="K124" s="169">
        <f>IFERROR(MATCH(J124,'Final List'!$B$4:$B$252,0),0)</f>
        <v>0</v>
      </c>
      <c r="L124" s="169">
        <f>IFERROR(MATCH(J124,'Final List'!$D$4:$D$252,0),0)</f>
        <v>0</v>
      </c>
      <c r="M124" s="169">
        <f>IFERROR(MATCH(J124,'Final List'!$F$4:$F$251,0),0)</f>
        <v>0</v>
      </c>
      <c r="N124" s="169">
        <f>IFERROR(MATCH(J124,'Final List'!$H$4:$H$252,0),0)</f>
        <v>0</v>
      </c>
      <c r="O124" s="169">
        <f>IFERROR(MATCH(J124,'Final List'!$J$4:$J$252,0),0)</f>
        <v>0</v>
      </c>
      <c r="P124" s="169">
        <f>IFERROR(MATCH(J124,'Final List'!$L$4:$L$252,0),0)</f>
        <v>0</v>
      </c>
      <c r="Q124" s="169">
        <f>IFERROR(MATCH(J124,'Final List'!$N$4:$N$252,0),0)</f>
        <v>0</v>
      </c>
      <c r="R124" s="169">
        <f>IFERROR(MATCH(J124,'Final List'!$P$4:$P$252,0),0)</f>
        <v>0</v>
      </c>
      <c r="S124" s="169">
        <f t="shared" si="7"/>
        <v>0</v>
      </c>
      <c r="T124" s="116"/>
      <c r="U124" s="116"/>
      <c r="V124" s="116" t="str">
        <f t="shared" si="5"/>
        <v>TORMIS 1</v>
      </c>
      <c r="W124" s="116" t="s">
        <v>8895</v>
      </c>
    </row>
    <row r="125" spans="2:23" x14ac:dyDescent="0.25">
      <c r="B125" s="77" t="s">
        <v>91</v>
      </c>
      <c r="C125" s="77" t="s">
        <v>87</v>
      </c>
      <c r="D125" s="77" t="s">
        <v>98</v>
      </c>
      <c r="E125" s="77" t="s">
        <v>63</v>
      </c>
      <c r="F125" s="245" t="str">
        <f t="shared" si="6"/>
        <v>Dhoz 71</v>
      </c>
      <c r="G125" s="77" t="s">
        <v>488</v>
      </c>
      <c r="H125" s="77"/>
      <c r="I125" s="77" t="str">
        <f t="shared" si="4"/>
        <v>L04_NONE_014W_XCS</v>
      </c>
      <c r="J125" s="77" t="s">
        <v>4435</v>
      </c>
      <c r="K125" s="169">
        <f>IFERROR(MATCH(J125,'Final List'!$B$4:$B$252,0),0)</f>
        <v>0</v>
      </c>
      <c r="L125" s="169">
        <f>IFERROR(MATCH(J125,'Final List'!$D$4:$D$252,0),0)</f>
        <v>0</v>
      </c>
      <c r="M125" s="169">
        <f>IFERROR(MATCH(J125,'Final List'!$F$4:$F$251,0),0)</f>
        <v>0</v>
      </c>
      <c r="N125" s="169">
        <f>IFERROR(MATCH(J125,'Final List'!$H$4:$H$252,0),0)</f>
        <v>0</v>
      </c>
      <c r="O125" s="169">
        <f>IFERROR(MATCH(J125,'Final List'!$J$4:$J$252,0),0)</f>
        <v>0</v>
      </c>
      <c r="P125" s="169">
        <f>IFERROR(MATCH(J125,'Final List'!$L$4:$L$252,0),0)</f>
        <v>0</v>
      </c>
      <c r="Q125" s="169">
        <f>IFERROR(MATCH(J125,'Final List'!$N$4:$N$252,0),0)</f>
        <v>0</v>
      </c>
      <c r="R125" s="169">
        <f>IFERROR(MATCH(J125,'Final List'!$P$4:$P$252,0),0)</f>
        <v>0</v>
      </c>
      <c r="S125" s="169">
        <f t="shared" si="7"/>
        <v>0</v>
      </c>
      <c r="T125" s="116"/>
      <c r="U125" s="116"/>
      <c r="V125" s="116" t="str">
        <f t="shared" si="5"/>
        <v>BAÑEZ 9</v>
      </c>
      <c r="W125" s="116" t="s">
        <v>2714</v>
      </c>
    </row>
    <row r="126" spans="2:23" x14ac:dyDescent="0.25">
      <c r="B126" s="77" t="s">
        <v>94</v>
      </c>
      <c r="C126" s="77" t="s">
        <v>59</v>
      </c>
      <c r="D126" s="77" t="s">
        <v>178</v>
      </c>
      <c r="E126" s="77" t="s">
        <v>62</v>
      </c>
      <c r="F126" s="245" t="str">
        <f t="shared" si="6"/>
        <v>RobS 79</v>
      </c>
      <c r="G126" s="77" t="s">
        <v>676</v>
      </c>
      <c r="H126" s="77"/>
      <c r="I126" s="77" t="str">
        <f t="shared" si="4"/>
        <v>L07_GHVHW_048E_ROBBING</v>
      </c>
      <c r="J126" s="77" t="s">
        <v>5639</v>
      </c>
      <c r="K126" s="169">
        <f>IFERROR(MATCH(J126,'Final List'!$B$4:$B$252,0),0)</f>
        <v>0</v>
      </c>
      <c r="L126" s="169">
        <f>IFERROR(MATCH(J126,'Final List'!$D$4:$D$252,0),0)</f>
        <v>0</v>
      </c>
      <c r="M126" s="169">
        <f>IFERROR(MATCH(J126,'Final List'!$F$4:$F$251,0),0)</f>
        <v>0</v>
      </c>
      <c r="N126" s="169">
        <f>IFERROR(MATCH(J126,'Final List'!$H$4:$H$252,0),0)</f>
        <v>0</v>
      </c>
      <c r="O126" s="169">
        <f>IFERROR(MATCH(J126,'Final List'!$J$4:$J$252,0),0)</f>
        <v>0</v>
      </c>
      <c r="P126" s="169">
        <f>IFERROR(MATCH(J126,'Final List'!$L$4:$L$252,0),0)</f>
        <v>0</v>
      </c>
      <c r="Q126" s="169">
        <f>IFERROR(MATCH(J126,'Final List'!$N$4:$N$252,0),0)</f>
        <v>0</v>
      </c>
      <c r="R126" s="169">
        <f>IFERROR(MATCH(J126,'Final List'!$P$4:$P$252,0),0)</f>
        <v>0</v>
      </c>
      <c r="S126" s="169">
        <f t="shared" si="7"/>
        <v>0</v>
      </c>
      <c r="T126" s="116" t="s">
        <v>68</v>
      </c>
      <c r="U126" s="116"/>
      <c r="V126" s="116" t="str">
        <f t="shared" si="5"/>
        <v>OY-YOY 2</v>
      </c>
      <c r="W126" s="116" t="s">
        <v>2707</v>
      </c>
    </row>
    <row r="127" spans="2:23" x14ac:dyDescent="0.25">
      <c r="B127" s="77" t="s">
        <v>91</v>
      </c>
      <c r="C127" s="77" t="s">
        <v>43</v>
      </c>
      <c r="D127" s="77" t="s">
        <v>5669</v>
      </c>
      <c r="E127" s="77" t="s">
        <v>19</v>
      </c>
      <c r="F127" s="245" t="str">
        <f t="shared" si="6"/>
        <v>DVR 72</v>
      </c>
      <c r="G127" s="77" t="s">
        <v>454</v>
      </c>
      <c r="H127" s="77"/>
      <c r="I127" s="77" t="str">
        <f t="shared" si="4"/>
        <v>L04_GHVSPLIT_027W_RAISE</v>
      </c>
      <c r="J127" s="77" t="s">
        <v>5668</v>
      </c>
      <c r="K127" s="169">
        <f>IFERROR(MATCH(J127,'Final List'!$B$4:$B$252,0),0)</f>
        <v>0</v>
      </c>
      <c r="L127" s="169">
        <f>IFERROR(MATCH(J127,'Final List'!$D$4:$D$252,0),0)</f>
        <v>0</v>
      </c>
      <c r="M127" s="169">
        <f>IFERROR(MATCH(J127,'Final List'!$F$4:$F$251,0),0)</f>
        <v>0</v>
      </c>
      <c r="N127" s="169">
        <f>IFERROR(MATCH(J127,'Final List'!$H$4:$H$252,0),0)</f>
        <v>0</v>
      </c>
      <c r="O127" s="169">
        <f>IFERROR(MATCH(J127,'Final List'!$J$4:$J$252,0),0)</f>
        <v>0</v>
      </c>
      <c r="P127" s="169">
        <f>IFERROR(MATCH(J127,'Final List'!$L$4:$L$252,0),0)</f>
        <v>0</v>
      </c>
      <c r="Q127" s="169">
        <f>IFERROR(MATCH(J127,'Final List'!$N$4:$N$252,0),0)</f>
        <v>0</v>
      </c>
      <c r="R127" s="169">
        <f>IFERROR(MATCH(J127,'Final List'!$P$4:$P$252,0),0)</f>
        <v>0</v>
      </c>
      <c r="S127" s="169">
        <f t="shared" si="7"/>
        <v>0</v>
      </c>
      <c r="T127" s="116"/>
      <c r="U127" s="116"/>
      <c r="V127" s="116" t="str">
        <f t="shared" si="5"/>
        <v>BAÑEZ 8</v>
      </c>
      <c r="W127" s="116" t="s">
        <v>2715</v>
      </c>
    </row>
    <row r="128" spans="2:23" x14ac:dyDescent="0.25">
      <c r="B128" s="77" t="s">
        <v>93</v>
      </c>
      <c r="C128" s="77" t="s">
        <v>45</v>
      </c>
      <c r="D128" s="77" t="s">
        <v>120</v>
      </c>
      <c r="E128" s="77" t="s">
        <v>60</v>
      </c>
      <c r="F128" s="245" t="str">
        <f t="shared" si="6"/>
        <v>Dhoz 71</v>
      </c>
      <c r="G128" s="77" t="s">
        <v>353</v>
      </c>
      <c r="H128" s="77"/>
      <c r="I128" s="77" t="str">
        <f t="shared" si="4"/>
        <v>L06_DPVE_015E_DE</v>
      </c>
      <c r="J128" s="77" t="s">
        <v>5642</v>
      </c>
      <c r="K128" s="169">
        <f>IFERROR(MATCH(J128,'Final List'!$B$4:$B$252,0),0)</f>
        <v>0</v>
      </c>
      <c r="L128" s="169">
        <f>IFERROR(MATCH(J128,'Final List'!$D$4:$D$252,0),0)</f>
        <v>0</v>
      </c>
      <c r="M128" s="169">
        <f>IFERROR(MATCH(J128,'Final List'!$F$4:$F$251,0),0)</f>
        <v>0</v>
      </c>
      <c r="N128" s="169">
        <f>IFERROR(MATCH(J128,'Final List'!$H$4:$H$252,0),0)</f>
        <v>0</v>
      </c>
      <c r="O128" s="169">
        <f>IFERROR(MATCH(J128,'Final List'!$J$4:$J$252,0),0)</f>
        <v>0</v>
      </c>
      <c r="P128" s="169">
        <f>IFERROR(MATCH(J128,'Final List'!$L$4:$L$252,0),0)</f>
        <v>0</v>
      </c>
      <c r="Q128" s="169">
        <f>IFERROR(MATCH(J128,'Final List'!$N$4:$N$252,0),0)</f>
        <v>0</v>
      </c>
      <c r="R128" s="169">
        <f>IFERROR(MATCH(J128,'Final List'!$P$4:$P$252,0),0)</f>
        <v>0</v>
      </c>
      <c r="S128" s="169">
        <f t="shared" si="7"/>
        <v>0</v>
      </c>
      <c r="T128" s="116"/>
      <c r="U128" s="116"/>
      <c r="V128" s="116" t="str">
        <f t="shared" si="5"/>
        <v>BAÑEZ 4</v>
      </c>
      <c r="W128" s="116" t="s">
        <v>8895</v>
      </c>
    </row>
    <row r="129" spans="2:23" x14ac:dyDescent="0.25">
      <c r="B129" s="77" t="s">
        <v>93</v>
      </c>
      <c r="C129" s="77" t="s">
        <v>57</v>
      </c>
      <c r="D129" s="77" t="s">
        <v>121</v>
      </c>
      <c r="E129" s="77" t="s">
        <v>62</v>
      </c>
      <c r="F129" s="245" t="str">
        <f t="shared" si="6"/>
        <v>RobC 80</v>
      </c>
      <c r="G129" s="77" t="s">
        <v>378</v>
      </c>
      <c r="H129" s="77"/>
      <c r="I129" s="77" t="str">
        <f t="shared" si="4"/>
        <v>L06_JVSPLIT_022E_ROBBING</v>
      </c>
      <c r="J129" s="77" t="s">
        <v>5640</v>
      </c>
      <c r="K129" s="169">
        <f>IFERROR(MATCH(J129,'Final List'!$B$4:$B$252,0),0)</f>
        <v>0</v>
      </c>
      <c r="L129" s="169">
        <f>IFERROR(MATCH(J129,'Final List'!$D$4:$D$252,0),0)</f>
        <v>0</v>
      </c>
      <c r="M129" s="169">
        <f>IFERROR(MATCH(J129,'Final List'!$F$4:$F$251,0),0)</f>
        <v>0</v>
      </c>
      <c r="N129" s="169">
        <f>IFERROR(MATCH(J129,'Final List'!$H$4:$H$252,0),0)</f>
        <v>0</v>
      </c>
      <c r="O129" s="169">
        <f>IFERROR(MATCH(J129,'Final List'!$J$4:$J$252,0),0)</f>
        <v>0</v>
      </c>
      <c r="P129" s="169">
        <f>IFERROR(MATCH(J129,'Final List'!$L$4:$L$252,0),0)</f>
        <v>0</v>
      </c>
      <c r="Q129" s="169">
        <f>IFERROR(MATCH(J129,'Final List'!$N$4:$N$252,0),0)</f>
        <v>0</v>
      </c>
      <c r="R129" s="169">
        <f>IFERROR(MATCH(J129,'Final List'!$P$4:$P$252,0),0)</f>
        <v>0</v>
      </c>
      <c r="S129" s="169">
        <f t="shared" si="7"/>
        <v>0</v>
      </c>
      <c r="T129" s="116" t="s">
        <v>48</v>
      </c>
      <c r="U129" s="116"/>
      <c r="V129" s="116" t="str">
        <f t="shared" si="5"/>
        <v>GUNAY 1</v>
      </c>
      <c r="W129" s="116" t="s">
        <v>236</v>
      </c>
    </row>
    <row r="130" spans="2:23" x14ac:dyDescent="0.25">
      <c r="B130" s="77" t="s">
        <v>93</v>
      </c>
      <c r="C130" s="77" t="s">
        <v>57</v>
      </c>
      <c r="D130" s="77" t="s">
        <v>145</v>
      </c>
      <c r="E130" s="77" t="s">
        <v>60</v>
      </c>
      <c r="F130" s="245" t="str">
        <f t="shared" si="6"/>
        <v>Dhoz 71</v>
      </c>
      <c r="G130" s="77" t="s">
        <v>341</v>
      </c>
      <c r="H130" s="77"/>
      <c r="I130" s="77" t="str">
        <f t="shared" ref="I130:I193" si="8">CONCATENATE(B130,"_",C130,"_",D130,"_",E130)</f>
        <v>L06_JVSPLIT_009E_DE</v>
      </c>
      <c r="J130" s="77" t="s">
        <v>5643</v>
      </c>
      <c r="K130" s="169">
        <f>IFERROR(MATCH(J130,'Final List'!$B$4:$B$252,0),0)</f>
        <v>0</v>
      </c>
      <c r="L130" s="169">
        <f>IFERROR(MATCH(J130,'Final List'!$D$4:$D$252,0),0)</f>
        <v>0</v>
      </c>
      <c r="M130" s="169">
        <f>IFERROR(MATCH(J130,'Final List'!$F$4:$F$251,0),0)</f>
        <v>0</v>
      </c>
      <c r="N130" s="169">
        <f>IFERROR(MATCH(J130,'Final List'!$H$4:$H$252,0),0)</f>
        <v>0</v>
      </c>
      <c r="O130" s="169">
        <f>IFERROR(MATCH(J130,'Final List'!$J$4:$J$252,0),0)</f>
        <v>0</v>
      </c>
      <c r="P130" s="169">
        <f>IFERROR(MATCH(J130,'Final List'!$L$4:$L$252,0),0)</f>
        <v>0</v>
      </c>
      <c r="Q130" s="169">
        <f>IFERROR(MATCH(J130,'Final List'!$N$4:$N$252,0),0)</f>
        <v>0</v>
      </c>
      <c r="R130" s="169">
        <f>IFERROR(MATCH(J130,'Final List'!$P$4:$P$252,0),0)</f>
        <v>0</v>
      </c>
      <c r="S130" s="169">
        <f t="shared" si="7"/>
        <v>0</v>
      </c>
      <c r="T130" s="116"/>
      <c r="U130" s="116"/>
      <c r="V130" s="116" t="str">
        <f t="shared" ref="V130:V193" si="9">IF(H130="",G130,H130)</f>
        <v>BADBADON 1</v>
      </c>
      <c r="W130" s="116" t="s">
        <v>8895</v>
      </c>
    </row>
    <row r="131" spans="2:23" x14ac:dyDescent="0.25">
      <c r="B131" s="77" t="s">
        <v>96</v>
      </c>
      <c r="C131" s="77" t="s">
        <v>38</v>
      </c>
      <c r="D131" s="77" t="s">
        <v>174</v>
      </c>
      <c r="E131" s="77" t="s">
        <v>19</v>
      </c>
      <c r="F131" s="245" t="str">
        <f t="shared" ref="F131:F194" si="10">IF(OR(E131="XCN",E131="DE",E131="DW",E131="DN",E131="XCS",E131="XCE",E131="XCW",E131="SUMP",E131="BYPASS",E131="CHAMBER",E131="DRAIN HOLE",E131="DRILLING CHAMBER",E131="DE_ISL",E131="DW_ISL",E131="REHAB"),"Dhoz 71",IF(OR(E131="RAISE",E131="RAISE_ISL"),"DVR 72",IF(E131="ALIMAK","DVA 73",IF(E131="WINZE","DVW 74",IF(E131="SHAFT","DVS 75",IF(AND(E131="WINZE STOPE",T131="S"),"RobC 80",IF(AND(E131="STOPE",T131="S"),"StpS 77",IF(AND(E131="WINZE STOPE",T131="L"),"RobC 80",IF(AND(E131="STOPE",T131="L"),"StpL 78",IF(AND(E131="WINZE STOPE PREP",T131="S"),"RobC 80",IF(AND(E131="STOPE PREP",T131="S"),"StpS 77",IF(AND(E131="WINZE STOPE PREP",T131="L"),"RobC 80",IF(AND(E131="STOPE PREP",T131="L"),"StpL 78",IF(AND(E131="ROBBING",T131="L"),"RobC 80",IF(AND(E131="ROBBING",T131="S"),"RobS 79",0)))))))))))))))</f>
        <v>DVR 72</v>
      </c>
      <c r="G131" s="77" t="s">
        <v>5777</v>
      </c>
      <c r="H131" s="77"/>
      <c r="I131" s="77" t="str">
        <f t="shared" si="8"/>
        <v>L09_GHV_052E_RAISE</v>
      </c>
      <c r="J131" s="77" t="s">
        <v>5644</v>
      </c>
      <c r="K131" s="169">
        <f>IFERROR(MATCH(J131,'Final List'!$B$4:$B$252,0),0)</f>
        <v>0</v>
      </c>
      <c r="L131" s="169">
        <f>IFERROR(MATCH(J131,'Final List'!$D$4:$D$252,0),0)</f>
        <v>0</v>
      </c>
      <c r="M131" s="169">
        <f>IFERROR(MATCH(J131,'Final List'!$F$4:$F$251,0),0)</f>
        <v>0</v>
      </c>
      <c r="N131" s="169">
        <f>IFERROR(MATCH(J131,'Final List'!$H$4:$H$252,0),0)</f>
        <v>0</v>
      </c>
      <c r="O131" s="169">
        <f>IFERROR(MATCH(J131,'Final List'!$J$4:$J$252,0),0)</f>
        <v>0</v>
      </c>
      <c r="P131" s="169">
        <f>IFERROR(MATCH(J131,'Final List'!$L$4:$L$252,0),0)</f>
        <v>0</v>
      </c>
      <c r="Q131" s="169">
        <f>IFERROR(MATCH(J131,'Final List'!$N$4:$N$252,0),0)</f>
        <v>0</v>
      </c>
      <c r="R131" s="169">
        <f>IFERROR(MATCH(J131,'Final List'!$P$4:$P$252,0),0)</f>
        <v>0</v>
      </c>
      <c r="S131" s="169">
        <f t="shared" ref="S131:S194" si="11">SUM(K131:R131)</f>
        <v>0</v>
      </c>
      <c r="T131" s="116"/>
      <c r="U131" s="116"/>
      <c r="V131" s="116" t="str">
        <f t="shared" si="9"/>
        <v>REBOTE, JOSELITO 1</v>
      </c>
      <c r="W131" s="116" t="s">
        <v>2715</v>
      </c>
    </row>
    <row r="132" spans="2:23" x14ac:dyDescent="0.25">
      <c r="B132" s="77" t="s">
        <v>92</v>
      </c>
      <c r="C132" s="77" t="s">
        <v>45</v>
      </c>
      <c r="D132" s="77" t="s">
        <v>178</v>
      </c>
      <c r="E132" s="77" t="s">
        <v>61</v>
      </c>
      <c r="F132" s="245" t="str">
        <f t="shared" si="10"/>
        <v>Dhoz 71</v>
      </c>
      <c r="G132" s="77" t="s">
        <v>3658</v>
      </c>
      <c r="H132" s="77"/>
      <c r="I132" s="77" t="str">
        <f t="shared" si="8"/>
        <v>L05_DPVE_048E_DW</v>
      </c>
      <c r="J132" s="77" t="s">
        <v>5645</v>
      </c>
      <c r="K132" s="169">
        <f>IFERROR(MATCH(J132,'Final List'!$B$4:$B$252,0),0)</f>
        <v>0</v>
      </c>
      <c r="L132" s="169">
        <f>IFERROR(MATCH(J132,'Final List'!$D$4:$D$252,0),0)</f>
        <v>0</v>
      </c>
      <c r="M132" s="169">
        <f>IFERROR(MATCH(J132,'Final List'!$F$4:$F$251,0),0)</f>
        <v>0</v>
      </c>
      <c r="N132" s="169">
        <f>IFERROR(MATCH(J132,'Final List'!$H$4:$H$252,0),0)</f>
        <v>0</v>
      </c>
      <c r="O132" s="169">
        <f>IFERROR(MATCH(J132,'Final List'!$J$4:$J$252,0),0)</f>
        <v>0</v>
      </c>
      <c r="P132" s="169">
        <f>IFERROR(MATCH(J132,'Final List'!$L$4:$L$252,0),0)</f>
        <v>0</v>
      </c>
      <c r="Q132" s="169">
        <f>IFERROR(MATCH(J132,'Final List'!$N$4:$N$252,0),0)</f>
        <v>0</v>
      </c>
      <c r="R132" s="169">
        <f>IFERROR(MATCH(J132,'Final List'!$P$4:$P$252,0),0)</f>
        <v>0</v>
      </c>
      <c r="S132" s="169">
        <f t="shared" si="11"/>
        <v>0</v>
      </c>
      <c r="T132" s="116"/>
      <c r="U132" s="116"/>
      <c r="V132" s="116" t="str">
        <f t="shared" si="9"/>
        <v>SHEPHERD AD 1</v>
      </c>
      <c r="W132" s="116" t="s">
        <v>8895</v>
      </c>
    </row>
    <row r="133" spans="2:23" x14ac:dyDescent="0.25">
      <c r="B133" s="77" t="s">
        <v>258</v>
      </c>
      <c r="C133" s="77" t="s">
        <v>45</v>
      </c>
      <c r="D133" s="77" t="s">
        <v>141</v>
      </c>
      <c r="E133" s="77" t="s">
        <v>36</v>
      </c>
      <c r="F133" s="245" t="str">
        <f t="shared" si="10"/>
        <v>StpL 78</v>
      </c>
      <c r="G133" s="77" t="s">
        <v>371</v>
      </c>
      <c r="H133" s="77"/>
      <c r="I133" s="77" t="str">
        <f t="shared" si="8"/>
        <v>L10_DPVE_029E_STOPE</v>
      </c>
      <c r="J133" s="77" t="s">
        <v>5651</v>
      </c>
      <c r="K133" s="169">
        <f>IFERROR(MATCH(J133,'Final List'!$B$4:$B$252,0),0)</f>
        <v>0</v>
      </c>
      <c r="L133" s="169">
        <f>IFERROR(MATCH(J133,'Final List'!$D$4:$D$252,0),0)</f>
        <v>0</v>
      </c>
      <c r="M133" s="169">
        <f>IFERROR(MATCH(J133,'Final List'!$F$4:$F$251,0),0)</f>
        <v>0</v>
      </c>
      <c r="N133" s="169">
        <f>IFERROR(MATCH(J133,'Final List'!$H$4:$H$252,0),0)</f>
        <v>0</v>
      </c>
      <c r="O133" s="169">
        <f>IFERROR(MATCH(J133,'Final List'!$J$4:$J$252,0),0)</f>
        <v>0</v>
      </c>
      <c r="P133" s="169">
        <f>IFERROR(MATCH(J133,'Final List'!$L$4:$L$252,0),0)</f>
        <v>0</v>
      </c>
      <c r="Q133" s="169">
        <f>IFERROR(MATCH(J133,'Final List'!$N$4:$N$252,0),0)</f>
        <v>0</v>
      </c>
      <c r="R133" s="169">
        <f>IFERROR(MATCH(J133,'Final List'!$P$4:$P$252,0),0)</f>
        <v>0</v>
      </c>
      <c r="S133" s="169">
        <f t="shared" si="11"/>
        <v>0</v>
      </c>
      <c r="T133" s="116" t="s">
        <v>48</v>
      </c>
      <c r="U133" s="116"/>
      <c r="V133" s="116" t="str">
        <f t="shared" si="9"/>
        <v>TAÑEZA 3</v>
      </c>
      <c r="W133" s="116" t="s">
        <v>2713</v>
      </c>
    </row>
    <row r="134" spans="2:23" x14ac:dyDescent="0.25">
      <c r="B134" s="77" t="s">
        <v>95</v>
      </c>
      <c r="C134" s="77" t="s">
        <v>87</v>
      </c>
      <c r="D134" s="77" t="s">
        <v>5741</v>
      </c>
      <c r="E134" s="77" t="s">
        <v>72</v>
      </c>
      <c r="F134" s="245" t="str">
        <f t="shared" si="10"/>
        <v>Dhoz 71</v>
      </c>
      <c r="G134" s="77" t="s">
        <v>1376</v>
      </c>
      <c r="H134" s="77"/>
      <c r="I134" s="77" t="str">
        <f t="shared" si="8"/>
        <v>L08_NONE_035E_CHAMBER</v>
      </c>
      <c r="J134" s="77" t="s">
        <v>5419</v>
      </c>
      <c r="K134" s="169">
        <f>IFERROR(MATCH(J134,'Final List'!$B$4:$B$252,0),0)</f>
        <v>0</v>
      </c>
      <c r="L134" s="169">
        <f>IFERROR(MATCH(J134,'Final List'!$D$4:$D$252,0),0)</f>
        <v>0</v>
      </c>
      <c r="M134" s="169">
        <f>IFERROR(MATCH(J134,'Final List'!$F$4:$F$251,0),0)</f>
        <v>0</v>
      </c>
      <c r="N134" s="169">
        <f>IFERROR(MATCH(J134,'Final List'!$H$4:$H$252,0),0)</f>
        <v>0</v>
      </c>
      <c r="O134" s="169">
        <f>IFERROR(MATCH(J134,'Final List'!$J$4:$J$252,0),0)</f>
        <v>0</v>
      </c>
      <c r="P134" s="169">
        <f>IFERROR(MATCH(J134,'Final List'!$L$4:$L$252,0),0)</f>
        <v>0</v>
      </c>
      <c r="Q134" s="169">
        <f>IFERROR(MATCH(J134,'Final List'!$N$4:$N$252,0),0)</f>
        <v>0</v>
      </c>
      <c r="R134" s="169">
        <f>IFERROR(MATCH(J134,'Final List'!$P$4:$P$252,0),0)</f>
        <v>0</v>
      </c>
      <c r="S134" s="169">
        <f t="shared" si="11"/>
        <v>0</v>
      </c>
      <c r="T134" s="116"/>
      <c r="U134" s="116"/>
      <c r="V134" s="116" t="str">
        <f t="shared" si="9"/>
        <v>LERIO</v>
      </c>
      <c r="W134" s="116" t="s">
        <v>2714</v>
      </c>
    </row>
    <row r="135" spans="2:23" x14ac:dyDescent="0.25">
      <c r="B135" s="77" t="s">
        <v>258</v>
      </c>
      <c r="C135" s="77" t="s">
        <v>45</v>
      </c>
      <c r="D135" s="77" t="s">
        <v>1230</v>
      </c>
      <c r="E135" s="77" t="s">
        <v>19</v>
      </c>
      <c r="F135" s="245" t="str">
        <f t="shared" si="10"/>
        <v>DVR 72</v>
      </c>
      <c r="G135" s="77" t="s">
        <v>5705</v>
      </c>
      <c r="H135" s="77"/>
      <c r="I135" s="77" t="str">
        <f t="shared" si="8"/>
        <v>L10_DPVE_075E_RAISE</v>
      </c>
      <c r="J135" s="77" t="s">
        <v>5662</v>
      </c>
      <c r="K135" s="169">
        <f>IFERROR(MATCH(J135,'Final List'!$B$4:$B$252,0),0)</f>
        <v>0</v>
      </c>
      <c r="L135" s="169">
        <f>IFERROR(MATCH(J135,'Final List'!$D$4:$D$252,0),0)</f>
        <v>0</v>
      </c>
      <c r="M135" s="169">
        <f>IFERROR(MATCH(J135,'Final List'!$F$4:$F$251,0),0)</f>
        <v>0</v>
      </c>
      <c r="N135" s="169">
        <f>IFERROR(MATCH(J135,'Final List'!$H$4:$H$252,0),0)</f>
        <v>0</v>
      </c>
      <c r="O135" s="169">
        <f>IFERROR(MATCH(J135,'Final List'!$J$4:$J$252,0),0)</f>
        <v>0</v>
      </c>
      <c r="P135" s="169">
        <f>IFERROR(MATCH(J135,'Final List'!$L$4:$L$252,0),0)</f>
        <v>0</v>
      </c>
      <c r="Q135" s="169">
        <f>IFERROR(MATCH(J135,'Final List'!$N$4:$N$252,0),0)</f>
        <v>0</v>
      </c>
      <c r="R135" s="169">
        <f>IFERROR(MATCH(J135,'Final List'!$P$4:$P$252,0),0)</f>
        <v>0</v>
      </c>
      <c r="S135" s="169">
        <f t="shared" si="11"/>
        <v>0</v>
      </c>
      <c r="T135" s="116"/>
      <c r="U135" s="116"/>
      <c r="V135" s="116" t="str">
        <f t="shared" si="9"/>
        <v>OLIVEROS 4</v>
      </c>
      <c r="W135" s="116" t="s">
        <v>2715</v>
      </c>
    </row>
    <row r="136" spans="2:23" x14ac:dyDescent="0.25">
      <c r="B136" s="77" t="s">
        <v>258</v>
      </c>
      <c r="C136" s="77" t="s">
        <v>56</v>
      </c>
      <c r="D136" s="77" t="s">
        <v>179</v>
      </c>
      <c r="E136" s="77" t="s">
        <v>19</v>
      </c>
      <c r="F136" s="245" t="str">
        <f t="shared" si="10"/>
        <v>DVR 72</v>
      </c>
      <c r="G136" s="77" t="s">
        <v>1905</v>
      </c>
      <c r="H136" s="77"/>
      <c r="I136" s="77" t="str">
        <f t="shared" si="8"/>
        <v>L10_GHVFW_050E_RAISE</v>
      </c>
      <c r="J136" s="77" t="s">
        <v>2763</v>
      </c>
      <c r="K136" s="169">
        <f>IFERROR(MATCH(J136,'Final List'!$B$4:$B$252,0),0)</f>
        <v>0</v>
      </c>
      <c r="L136" s="169">
        <f>IFERROR(MATCH(J136,'Final List'!$D$4:$D$252,0),0)</f>
        <v>0</v>
      </c>
      <c r="M136" s="169">
        <f>IFERROR(MATCH(J136,'Final List'!$F$4:$F$251,0),0)</f>
        <v>0</v>
      </c>
      <c r="N136" s="169">
        <f>IFERROR(MATCH(J136,'Final List'!$H$4:$H$252,0),0)</f>
        <v>0</v>
      </c>
      <c r="O136" s="169">
        <f>IFERROR(MATCH(J136,'Final List'!$J$4:$J$252,0),0)</f>
        <v>0</v>
      </c>
      <c r="P136" s="169">
        <f>IFERROR(MATCH(J136,'Final List'!$L$4:$L$252,0),0)</f>
        <v>0</v>
      </c>
      <c r="Q136" s="169">
        <f>IFERROR(MATCH(J136,'Final List'!$N$4:$N$252,0),0)</f>
        <v>0</v>
      </c>
      <c r="R136" s="169">
        <f>IFERROR(MATCH(J136,'Final List'!$P$4:$P$252,0),0)</f>
        <v>0</v>
      </c>
      <c r="S136" s="169">
        <f t="shared" si="11"/>
        <v>0</v>
      </c>
      <c r="T136" s="116"/>
      <c r="U136" s="116"/>
      <c r="V136" s="116" t="str">
        <f t="shared" si="9"/>
        <v>MONTEBON 1</v>
      </c>
      <c r="W136" s="116" t="s">
        <v>2715</v>
      </c>
    </row>
    <row r="137" spans="2:23" x14ac:dyDescent="0.25">
      <c r="B137" s="77" t="s">
        <v>96</v>
      </c>
      <c r="C137" s="77" t="s">
        <v>46</v>
      </c>
      <c r="D137" s="77" t="s">
        <v>5602</v>
      </c>
      <c r="E137" s="77" t="s">
        <v>19</v>
      </c>
      <c r="F137" s="245" t="str">
        <f t="shared" si="10"/>
        <v>DVR 72</v>
      </c>
      <c r="G137" s="77" t="s">
        <v>1510</v>
      </c>
      <c r="H137" s="77" t="s">
        <v>745</v>
      </c>
      <c r="I137" s="77" t="str">
        <f t="shared" si="8"/>
        <v>L09_DPVE2_053E_RAISE</v>
      </c>
      <c r="J137" s="77" t="s">
        <v>5672</v>
      </c>
      <c r="K137" s="169">
        <f>IFERROR(MATCH(J137,'Final List'!$B$4:$B$252,0),0)</f>
        <v>0</v>
      </c>
      <c r="L137" s="169">
        <f>IFERROR(MATCH(J137,'Final List'!$D$4:$D$252,0),0)</f>
        <v>0</v>
      </c>
      <c r="M137" s="169">
        <f>IFERROR(MATCH(J137,'Final List'!$F$4:$F$251,0),0)</f>
        <v>0</v>
      </c>
      <c r="N137" s="169">
        <f>IFERROR(MATCH(J137,'Final List'!$H$4:$H$252,0),0)</f>
        <v>0</v>
      </c>
      <c r="O137" s="169">
        <f>IFERROR(MATCH(J137,'Final List'!$J$4:$J$252,0),0)</f>
        <v>0</v>
      </c>
      <c r="P137" s="169">
        <f>IFERROR(MATCH(J137,'Final List'!$L$4:$L$252,0),0)</f>
        <v>0</v>
      </c>
      <c r="Q137" s="169">
        <f>IFERROR(MATCH(J137,'Final List'!$N$4:$N$252,0),0)</f>
        <v>0</v>
      </c>
      <c r="R137" s="169">
        <f>IFERROR(MATCH(J137,'Final List'!$P$4:$P$252,0),0)</f>
        <v>0</v>
      </c>
      <c r="S137" s="169">
        <f t="shared" si="11"/>
        <v>0</v>
      </c>
      <c r="T137" s="116"/>
      <c r="U137" s="116"/>
      <c r="V137" s="116" t="str">
        <f t="shared" si="9"/>
        <v>CANOY 2</v>
      </c>
      <c r="W137" s="116" t="s">
        <v>2715</v>
      </c>
    </row>
    <row r="138" spans="2:23" x14ac:dyDescent="0.25">
      <c r="B138" s="77" t="s">
        <v>258</v>
      </c>
      <c r="C138" s="77" t="s">
        <v>39</v>
      </c>
      <c r="D138" s="77" t="s">
        <v>201</v>
      </c>
      <c r="E138" s="77" t="s">
        <v>36</v>
      </c>
      <c r="F138" s="245" t="str">
        <f t="shared" si="10"/>
        <v>StpS 77</v>
      </c>
      <c r="G138" s="77" t="s">
        <v>352</v>
      </c>
      <c r="H138" s="77"/>
      <c r="I138" s="77" t="str">
        <f t="shared" si="8"/>
        <v>L10_JVHW_067E_STOPE</v>
      </c>
      <c r="J138" s="77" t="s">
        <v>5350</v>
      </c>
      <c r="K138" s="169">
        <f>IFERROR(MATCH(J138,'Final List'!$B$4:$B$252,0),0)</f>
        <v>0</v>
      </c>
      <c r="L138" s="169">
        <f>IFERROR(MATCH(J138,'Final List'!$D$4:$D$252,0),0)</f>
        <v>0</v>
      </c>
      <c r="M138" s="169">
        <f>IFERROR(MATCH(J138,'Final List'!$F$4:$F$251,0),0)</f>
        <v>0</v>
      </c>
      <c r="N138" s="169">
        <f>IFERROR(MATCH(J138,'Final List'!$H$4:$H$252,0),0)</f>
        <v>0</v>
      </c>
      <c r="O138" s="169">
        <f>IFERROR(MATCH(J138,'Final List'!$J$4:$J$252,0),0)</f>
        <v>0</v>
      </c>
      <c r="P138" s="169">
        <f>IFERROR(MATCH(J138,'Final List'!$L$4:$L$252,0),0)</f>
        <v>0</v>
      </c>
      <c r="Q138" s="169">
        <f>IFERROR(MATCH(J138,'Final List'!$N$4:$N$252,0),0)</f>
        <v>0</v>
      </c>
      <c r="R138" s="169">
        <f>IFERROR(MATCH(J138,'Final List'!$P$4:$P$252,0),0)</f>
        <v>0</v>
      </c>
      <c r="S138" s="169">
        <f t="shared" si="11"/>
        <v>0</v>
      </c>
      <c r="T138" s="116" t="s">
        <v>68</v>
      </c>
      <c r="U138" s="116"/>
      <c r="V138" s="116" t="str">
        <f t="shared" si="9"/>
        <v>BAÑEZ 5</v>
      </c>
      <c r="W138" s="116" t="s">
        <v>2711</v>
      </c>
    </row>
    <row r="139" spans="2:23" x14ac:dyDescent="0.25">
      <c r="B139" s="77" t="s">
        <v>91</v>
      </c>
      <c r="C139" s="77" t="s">
        <v>41</v>
      </c>
      <c r="D139" s="77" t="s">
        <v>145</v>
      </c>
      <c r="E139" s="77" t="s">
        <v>60</v>
      </c>
      <c r="F139" s="245" t="str">
        <f t="shared" si="10"/>
        <v>Dhoz 71</v>
      </c>
      <c r="G139" s="77" t="s">
        <v>5714</v>
      </c>
      <c r="H139" s="77"/>
      <c r="I139" s="77" t="str">
        <f t="shared" si="8"/>
        <v>L04_CTV_009E_DE</v>
      </c>
      <c r="J139" s="77" t="s">
        <v>7092</v>
      </c>
      <c r="K139" s="169">
        <f>IFERROR(MATCH(J139,'Final List'!$B$4:$B$252,0),0)</f>
        <v>0</v>
      </c>
      <c r="L139" s="169">
        <f>IFERROR(MATCH(J139,'Final List'!$D$4:$D$252,0),0)</f>
        <v>0</v>
      </c>
      <c r="M139" s="169">
        <f>IFERROR(MATCH(J139,'Final List'!$F$4:$F$251,0),0)</f>
        <v>0</v>
      </c>
      <c r="N139" s="169">
        <f>IFERROR(MATCH(J139,'Final List'!$H$4:$H$252,0),0)</f>
        <v>0</v>
      </c>
      <c r="O139" s="169">
        <f>IFERROR(MATCH(J139,'Final List'!$J$4:$J$252,0),0)</f>
        <v>0</v>
      </c>
      <c r="P139" s="169">
        <f>IFERROR(MATCH(J139,'Final List'!$L$4:$L$252,0),0)</f>
        <v>0</v>
      </c>
      <c r="Q139" s="169">
        <f>IFERROR(MATCH(J139,'Final List'!$N$4:$N$252,0),0)</f>
        <v>0</v>
      </c>
      <c r="R139" s="169">
        <f>IFERROR(MATCH(J139,'Final List'!$P$4:$P$252,0),0)</f>
        <v>0</v>
      </c>
      <c r="S139" s="169">
        <f t="shared" si="11"/>
        <v>0</v>
      </c>
      <c r="T139" s="116"/>
      <c r="U139" s="116"/>
      <c r="V139" s="116" t="str">
        <f t="shared" si="9"/>
        <v>MARTINEZ, RON 2</v>
      </c>
      <c r="W139" s="116" t="s">
        <v>8895</v>
      </c>
    </row>
    <row r="140" spans="2:23" x14ac:dyDescent="0.25">
      <c r="B140" s="77" t="s">
        <v>91</v>
      </c>
      <c r="C140" s="77" t="s">
        <v>41</v>
      </c>
      <c r="D140" s="77" t="s">
        <v>122</v>
      </c>
      <c r="E140" s="77" t="s">
        <v>221</v>
      </c>
      <c r="F140" s="245" t="str">
        <f t="shared" si="10"/>
        <v>RobC 80</v>
      </c>
      <c r="G140" s="77" t="s">
        <v>310</v>
      </c>
      <c r="H140" s="77"/>
      <c r="I140" s="77" t="str">
        <f t="shared" si="8"/>
        <v>L04_CTV_025E_WINZE STOPE</v>
      </c>
      <c r="J140" s="77" t="s">
        <v>5673</v>
      </c>
      <c r="K140" s="169">
        <f>IFERROR(MATCH(J140,'Final List'!$B$4:$B$252,0),0)</f>
        <v>0</v>
      </c>
      <c r="L140" s="169">
        <f>IFERROR(MATCH(J140,'Final List'!$D$4:$D$252,0),0)</f>
        <v>0</v>
      </c>
      <c r="M140" s="169">
        <f>IFERROR(MATCH(J140,'Final List'!$F$4:$F$251,0),0)</f>
        <v>0</v>
      </c>
      <c r="N140" s="169">
        <f>IFERROR(MATCH(J140,'Final List'!$H$4:$H$252,0),0)</f>
        <v>0</v>
      </c>
      <c r="O140" s="169">
        <f>IFERROR(MATCH(J140,'Final List'!$J$4:$J$252,0),0)</f>
        <v>0</v>
      </c>
      <c r="P140" s="169">
        <f>IFERROR(MATCH(J140,'Final List'!$L$4:$L$252,0),0)</f>
        <v>0</v>
      </c>
      <c r="Q140" s="169">
        <f>IFERROR(MATCH(J140,'Final List'!$N$4:$N$252,0),0)</f>
        <v>0</v>
      </c>
      <c r="R140" s="169">
        <f>IFERROR(MATCH(J140,'Final List'!$P$4:$P$252,0),0)</f>
        <v>0</v>
      </c>
      <c r="S140" s="169">
        <f t="shared" si="11"/>
        <v>0</v>
      </c>
      <c r="T140" s="116" t="s">
        <v>48</v>
      </c>
      <c r="U140" s="116"/>
      <c r="V140" s="116" t="str">
        <f t="shared" si="9"/>
        <v>MARTINEZ DN 1</v>
      </c>
      <c r="W140" s="116" t="s">
        <v>2719</v>
      </c>
    </row>
    <row r="141" spans="2:23" x14ac:dyDescent="0.25">
      <c r="B141" s="77" t="s">
        <v>91</v>
      </c>
      <c r="C141" s="77" t="s">
        <v>56</v>
      </c>
      <c r="D141" s="77" t="s">
        <v>112</v>
      </c>
      <c r="E141" s="77" t="s">
        <v>221</v>
      </c>
      <c r="F141" s="245" t="str">
        <f t="shared" si="10"/>
        <v>RobC 80</v>
      </c>
      <c r="G141" s="77" t="s">
        <v>5713</v>
      </c>
      <c r="H141" s="77"/>
      <c r="I141" s="77" t="str">
        <f t="shared" si="8"/>
        <v>L04_GHVFW_018E_WINZE STOPE</v>
      </c>
      <c r="J141" s="77" t="s">
        <v>5172</v>
      </c>
      <c r="K141" s="169">
        <f>IFERROR(MATCH(J141,'Final List'!$B$4:$B$252,0),0)</f>
        <v>0</v>
      </c>
      <c r="L141" s="169">
        <f>IFERROR(MATCH(J141,'Final List'!$D$4:$D$252,0),0)</f>
        <v>0</v>
      </c>
      <c r="M141" s="169">
        <f>IFERROR(MATCH(J141,'Final List'!$F$4:$F$251,0),0)</f>
        <v>0</v>
      </c>
      <c r="N141" s="169">
        <f>IFERROR(MATCH(J141,'Final List'!$H$4:$H$252,0),0)</f>
        <v>0</v>
      </c>
      <c r="O141" s="169">
        <f>IFERROR(MATCH(J141,'Final List'!$J$4:$J$252,0),0)</f>
        <v>0</v>
      </c>
      <c r="P141" s="169">
        <f>IFERROR(MATCH(J141,'Final List'!$L$4:$L$252,0),0)</f>
        <v>0</v>
      </c>
      <c r="Q141" s="169">
        <f>IFERROR(MATCH(J141,'Final List'!$N$4:$N$252,0),0)</f>
        <v>0</v>
      </c>
      <c r="R141" s="169">
        <f>IFERROR(MATCH(J141,'Final List'!$P$4:$P$252,0),0)</f>
        <v>0</v>
      </c>
      <c r="S141" s="169">
        <f t="shared" si="11"/>
        <v>0</v>
      </c>
      <c r="T141" s="116" t="s">
        <v>48</v>
      </c>
      <c r="U141" s="116"/>
      <c r="V141" s="116" t="str">
        <f t="shared" si="9"/>
        <v>SHEPHERD AL 1</v>
      </c>
      <c r="W141" s="116" t="s">
        <v>2719</v>
      </c>
    </row>
    <row r="142" spans="2:23" x14ac:dyDescent="0.25">
      <c r="B142" s="77" t="s">
        <v>96</v>
      </c>
      <c r="C142" s="77" t="s">
        <v>57</v>
      </c>
      <c r="D142" s="77" t="s">
        <v>5689</v>
      </c>
      <c r="E142" s="77" t="s">
        <v>19</v>
      </c>
      <c r="F142" s="245" t="str">
        <f t="shared" si="10"/>
        <v>DVR 72</v>
      </c>
      <c r="G142" s="77" t="s">
        <v>5636</v>
      </c>
      <c r="H142" s="77"/>
      <c r="I142" s="77" t="str">
        <f t="shared" si="8"/>
        <v>L09_JVSPLIT_003E_RAISE</v>
      </c>
      <c r="J142" s="77" t="s">
        <v>5684</v>
      </c>
      <c r="K142" s="169">
        <f>IFERROR(MATCH(J142,'Final List'!$B$4:$B$252,0),0)</f>
        <v>0</v>
      </c>
      <c r="L142" s="169">
        <f>IFERROR(MATCH(J142,'Final List'!$D$4:$D$252,0),0)</f>
        <v>0</v>
      </c>
      <c r="M142" s="169">
        <f>IFERROR(MATCH(J142,'Final List'!$F$4:$F$251,0),0)</f>
        <v>0</v>
      </c>
      <c r="N142" s="169">
        <f>IFERROR(MATCH(J142,'Final List'!$H$4:$H$252,0),0)</f>
        <v>0</v>
      </c>
      <c r="O142" s="169">
        <f>IFERROR(MATCH(J142,'Final List'!$J$4:$J$252,0),0)</f>
        <v>0</v>
      </c>
      <c r="P142" s="169">
        <f>IFERROR(MATCH(J142,'Final List'!$L$4:$L$252,0),0)</f>
        <v>0</v>
      </c>
      <c r="Q142" s="169">
        <f>IFERROR(MATCH(J142,'Final List'!$N$4:$N$252,0),0)</f>
        <v>0</v>
      </c>
      <c r="R142" s="169">
        <f>IFERROR(MATCH(J142,'Final List'!$P$4:$P$252,0),0)</f>
        <v>0</v>
      </c>
      <c r="S142" s="169">
        <f t="shared" si="11"/>
        <v>0</v>
      </c>
      <c r="T142" s="116"/>
      <c r="U142" s="116"/>
      <c r="V142" s="116" t="str">
        <f t="shared" si="9"/>
        <v>PANSIT NORMAN</v>
      </c>
      <c r="W142" s="116" t="s">
        <v>2715</v>
      </c>
    </row>
    <row r="143" spans="2:23" x14ac:dyDescent="0.25">
      <c r="B143" s="77" t="s">
        <v>96</v>
      </c>
      <c r="C143" s="77" t="s">
        <v>46</v>
      </c>
      <c r="D143" s="77" t="s">
        <v>1230</v>
      </c>
      <c r="E143" s="77" t="s">
        <v>60</v>
      </c>
      <c r="F143" s="245" t="str">
        <f t="shared" si="10"/>
        <v>Dhoz 71</v>
      </c>
      <c r="G143" s="77" t="s">
        <v>336</v>
      </c>
      <c r="H143" s="77"/>
      <c r="I143" s="77" t="str">
        <f t="shared" si="8"/>
        <v>L09_DPVE2_075E_DE</v>
      </c>
      <c r="J143" s="77" t="s">
        <v>5685</v>
      </c>
      <c r="K143" s="169">
        <f>IFERROR(MATCH(J143,'Final List'!$B$4:$B$252,0),0)</f>
        <v>0</v>
      </c>
      <c r="L143" s="169">
        <f>IFERROR(MATCH(J143,'Final List'!$D$4:$D$252,0),0)</f>
        <v>0</v>
      </c>
      <c r="M143" s="169">
        <f>IFERROR(MATCH(J143,'Final List'!$F$4:$F$251,0),0)</f>
        <v>0</v>
      </c>
      <c r="N143" s="169">
        <f>IFERROR(MATCH(J143,'Final List'!$H$4:$H$252,0),0)</f>
        <v>0</v>
      </c>
      <c r="O143" s="169">
        <f>IFERROR(MATCH(J143,'Final List'!$J$4:$J$252,0),0)</f>
        <v>0</v>
      </c>
      <c r="P143" s="169">
        <f>IFERROR(MATCH(J143,'Final List'!$L$4:$L$252,0),0)</f>
        <v>0</v>
      </c>
      <c r="Q143" s="169">
        <f>IFERROR(MATCH(J143,'Final List'!$N$4:$N$252,0),0)</f>
        <v>0</v>
      </c>
      <c r="R143" s="169">
        <f>IFERROR(MATCH(J143,'Final List'!$P$4:$P$252,0),0)</f>
        <v>0</v>
      </c>
      <c r="S143" s="169">
        <f t="shared" si="11"/>
        <v>0</v>
      </c>
      <c r="T143" s="116"/>
      <c r="U143" s="116"/>
      <c r="V143" s="116" t="str">
        <f t="shared" si="9"/>
        <v>BALANGHIG 1</v>
      </c>
      <c r="W143" s="116" t="s">
        <v>8896</v>
      </c>
    </row>
    <row r="144" spans="2:23" x14ac:dyDescent="0.25">
      <c r="B144" s="77" t="s">
        <v>93</v>
      </c>
      <c r="C144" s="77" t="s">
        <v>38</v>
      </c>
      <c r="D144" s="77" t="s">
        <v>122</v>
      </c>
      <c r="E144" s="77" t="s">
        <v>20</v>
      </c>
      <c r="F144" s="245" t="str">
        <f t="shared" si="10"/>
        <v>DVW 74</v>
      </c>
      <c r="G144" s="77" t="s">
        <v>349</v>
      </c>
      <c r="H144" s="77" t="s">
        <v>354</v>
      </c>
      <c r="I144" s="77" t="str">
        <f t="shared" si="8"/>
        <v>L06_GHV_025E_WINZE</v>
      </c>
      <c r="J144" s="77" t="s">
        <v>5690</v>
      </c>
      <c r="K144" s="169">
        <f>IFERROR(MATCH(J144,'Final List'!$B$4:$B$252,0),0)</f>
        <v>0</v>
      </c>
      <c r="L144" s="169">
        <f>IFERROR(MATCH(J144,'Final List'!$D$4:$D$252,0),0)</f>
        <v>0</v>
      </c>
      <c r="M144" s="169">
        <f>IFERROR(MATCH(J144,'Final List'!$F$4:$F$251,0),0)</f>
        <v>0</v>
      </c>
      <c r="N144" s="169">
        <f>IFERROR(MATCH(J144,'Final List'!$H$4:$H$252,0),0)</f>
        <v>0</v>
      </c>
      <c r="O144" s="169">
        <f>IFERROR(MATCH(J144,'Final List'!$J$4:$J$252,0),0)</f>
        <v>0</v>
      </c>
      <c r="P144" s="169">
        <f>IFERROR(MATCH(J144,'Final List'!$L$4:$L$252,0),0)</f>
        <v>0</v>
      </c>
      <c r="Q144" s="169">
        <f>IFERROR(MATCH(J144,'Final List'!$N$4:$N$252,0),0)</f>
        <v>0</v>
      </c>
      <c r="R144" s="169">
        <f>IFERROR(MATCH(J144,'Final List'!$P$4:$P$252,0),0)</f>
        <v>0</v>
      </c>
      <c r="S144" s="169">
        <f t="shared" si="11"/>
        <v>0</v>
      </c>
      <c r="T144" s="116"/>
      <c r="U144" s="116"/>
      <c r="V144" s="116" t="str">
        <f t="shared" si="9"/>
        <v>BAÑEZ 3</v>
      </c>
      <c r="W144" s="116" t="s">
        <v>2706</v>
      </c>
    </row>
    <row r="145" spans="2:23" x14ac:dyDescent="0.25">
      <c r="B145" s="77" t="s">
        <v>258</v>
      </c>
      <c r="C145" s="77" t="s">
        <v>38</v>
      </c>
      <c r="D145" s="77" t="s">
        <v>174</v>
      </c>
      <c r="E145" s="77" t="s">
        <v>19</v>
      </c>
      <c r="F145" s="245" t="str">
        <f t="shared" si="10"/>
        <v>DVR 72</v>
      </c>
      <c r="G145" s="77" t="s">
        <v>296</v>
      </c>
      <c r="H145" s="77"/>
      <c r="I145" s="77" t="str">
        <f t="shared" si="8"/>
        <v>L10_GHV_052E_RAISE</v>
      </c>
      <c r="J145" s="77" t="s">
        <v>5674</v>
      </c>
      <c r="K145" s="169">
        <f>IFERROR(MATCH(J145,'Final List'!$B$4:$B$252,0),0)</f>
        <v>0</v>
      </c>
      <c r="L145" s="169">
        <f>IFERROR(MATCH(J145,'Final List'!$D$4:$D$252,0),0)</f>
        <v>0</v>
      </c>
      <c r="M145" s="169">
        <f>IFERROR(MATCH(J145,'Final List'!$F$4:$F$251,0),0)</f>
        <v>0</v>
      </c>
      <c r="N145" s="169">
        <f>IFERROR(MATCH(J145,'Final List'!$H$4:$H$252,0),0)</f>
        <v>0</v>
      </c>
      <c r="O145" s="169">
        <f>IFERROR(MATCH(J145,'Final List'!$J$4:$J$252,0),0)</f>
        <v>0</v>
      </c>
      <c r="P145" s="169">
        <f>IFERROR(MATCH(J145,'Final List'!$L$4:$L$252,0),0)</f>
        <v>0</v>
      </c>
      <c r="Q145" s="169">
        <f>IFERROR(MATCH(J145,'Final List'!$N$4:$N$252,0),0)</f>
        <v>0</v>
      </c>
      <c r="R145" s="169">
        <f>IFERROR(MATCH(J145,'Final List'!$P$4:$P$252,0),0)</f>
        <v>0</v>
      </c>
      <c r="S145" s="169">
        <f t="shared" si="11"/>
        <v>0</v>
      </c>
      <c r="T145" s="116"/>
      <c r="U145" s="116"/>
      <c r="V145" s="116" t="str">
        <f t="shared" si="9"/>
        <v>MONTEBON 2</v>
      </c>
      <c r="W145" s="116" t="s">
        <v>2710</v>
      </c>
    </row>
    <row r="146" spans="2:23" x14ac:dyDescent="0.25">
      <c r="B146" s="77" t="s">
        <v>258</v>
      </c>
      <c r="C146" s="77" t="s">
        <v>87</v>
      </c>
      <c r="D146" s="77" t="s">
        <v>144</v>
      </c>
      <c r="E146" s="77" t="s">
        <v>71</v>
      </c>
      <c r="F146" s="245" t="str">
        <f t="shared" si="10"/>
        <v>DVS 75</v>
      </c>
      <c r="G146" s="77" t="s">
        <v>382</v>
      </c>
      <c r="H146" s="77"/>
      <c r="I146" s="77" t="str">
        <f t="shared" si="8"/>
        <v>L10_NONE_043E_SHAFT</v>
      </c>
      <c r="J146" s="77" t="s">
        <v>4262</v>
      </c>
      <c r="K146" s="169">
        <f>IFERROR(MATCH(J146,'Final List'!$B$4:$B$252,0),0)</f>
        <v>0</v>
      </c>
      <c r="L146" s="169">
        <f>IFERROR(MATCH(J146,'Final List'!$D$4:$D$252,0),0)</f>
        <v>0</v>
      </c>
      <c r="M146" s="169">
        <f>IFERROR(MATCH(J146,'Final List'!$F$4:$F$251,0),0)</f>
        <v>0</v>
      </c>
      <c r="N146" s="169">
        <f>IFERROR(MATCH(J146,'Final List'!$H$4:$H$252,0),0)</f>
        <v>0</v>
      </c>
      <c r="O146" s="169">
        <f>IFERROR(MATCH(J146,'Final List'!$J$4:$J$252,0),0)</f>
        <v>0</v>
      </c>
      <c r="P146" s="169">
        <f>IFERROR(MATCH(J146,'Final List'!$L$4:$L$252,0),0)</f>
        <v>0</v>
      </c>
      <c r="Q146" s="169">
        <f>IFERROR(MATCH(J146,'Final List'!$N$4:$N$252,0),0)</f>
        <v>0</v>
      </c>
      <c r="R146" s="169">
        <f>IFERROR(MATCH(J146,'Final List'!$P$4:$P$252,0),0)</f>
        <v>0</v>
      </c>
      <c r="S146" s="169">
        <f t="shared" si="11"/>
        <v>0</v>
      </c>
      <c r="T146" s="116"/>
      <c r="U146" s="116"/>
      <c r="V146" s="116" t="str">
        <f t="shared" si="9"/>
        <v>HANGDAAN 1</v>
      </c>
      <c r="W146" s="116" t="s">
        <v>2714</v>
      </c>
    </row>
    <row r="147" spans="2:23" x14ac:dyDescent="0.25">
      <c r="B147" s="77" t="s">
        <v>96</v>
      </c>
      <c r="C147" s="77" t="s">
        <v>56</v>
      </c>
      <c r="D147" s="77" t="s">
        <v>146</v>
      </c>
      <c r="E147" s="77" t="s">
        <v>60</v>
      </c>
      <c r="F147" s="245" t="str">
        <f t="shared" si="10"/>
        <v>Dhoz 71</v>
      </c>
      <c r="G147" s="77" t="s">
        <v>746</v>
      </c>
      <c r="H147" s="77"/>
      <c r="I147" s="77" t="str">
        <f t="shared" si="8"/>
        <v>L09_GHVFW_030E_DE</v>
      </c>
      <c r="J147" s="77" t="s">
        <v>5630</v>
      </c>
      <c r="K147" s="169">
        <f>IFERROR(MATCH(J147,'Final List'!$B$4:$B$252,0),0)</f>
        <v>0</v>
      </c>
      <c r="L147" s="169">
        <f>IFERROR(MATCH(J147,'Final List'!$D$4:$D$252,0),0)</f>
        <v>0</v>
      </c>
      <c r="M147" s="169">
        <f>IFERROR(MATCH(J147,'Final List'!$F$4:$F$251,0),0)</f>
        <v>0</v>
      </c>
      <c r="N147" s="169">
        <f>IFERROR(MATCH(J147,'Final List'!$H$4:$H$252,0),0)</f>
        <v>0</v>
      </c>
      <c r="O147" s="169">
        <f>IFERROR(MATCH(J147,'Final List'!$J$4:$J$252,0),0)</f>
        <v>0</v>
      </c>
      <c r="P147" s="169">
        <f>IFERROR(MATCH(J147,'Final List'!$L$4:$L$252,0),0)</f>
        <v>0</v>
      </c>
      <c r="Q147" s="169">
        <f>IFERROR(MATCH(J147,'Final List'!$N$4:$N$252,0),0)</f>
        <v>0</v>
      </c>
      <c r="R147" s="169">
        <f>IFERROR(MATCH(J147,'Final List'!$P$4:$P$252,0),0)</f>
        <v>0</v>
      </c>
      <c r="S147" s="169">
        <f t="shared" si="11"/>
        <v>0</v>
      </c>
      <c r="T147" s="116"/>
      <c r="U147" s="116"/>
      <c r="V147" s="116" t="str">
        <f t="shared" si="9"/>
        <v>CANOY 1</v>
      </c>
      <c r="W147" s="116" t="s">
        <v>8896</v>
      </c>
    </row>
    <row r="148" spans="2:23" x14ac:dyDescent="0.25">
      <c r="B148" s="77" t="s">
        <v>93</v>
      </c>
      <c r="C148" s="77" t="s">
        <v>45</v>
      </c>
      <c r="D148" s="77" t="s">
        <v>149</v>
      </c>
      <c r="E148" s="77" t="s">
        <v>60</v>
      </c>
      <c r="F148" s="245" t="str">
        <f t="shared" si="10"/>
        <v>Dhoz 71</v>
      </c>
      <c r="G148" s="77" t="s">
        <v>457</v>
      </c>
      <c r="H148" s="77"/>
      <c r="I148" s="77" t="str">
        <f t="shared" si="8"/>
        <v>L06_DPVE_021E_DE</v>
      </c>
      <c r="J148" s="77" t="s">
        <v>5648</v>
      </c>
      <c r="K148" s="169">
        <f>IFERROR(MATCH(J148,'Final List'!$B$4:$B$252,0),0)</f>
        <v>0</v>
      </c>
      <c r="L148" s="169">
        <f>IFERROR(MATCH(J148,'Final List'!$D$4:$D$252,0),0)</f>
        <v>0</v>
      </c>
      <c r="M148" s="169">
        <f>IFERROR(MATCH(J148,'Final List'!$F$4:$F$251,0),0)</f>
        <v>0</v>
      </c>
      <c r="N148" s="169">
        <f>IFERROR(MATCH(J148,'Final List'!$H$4:$H$252,0),0)</f>
        <v>0</v>
      </c>
      <c r="O148" s="169">
        <f>IFERROR(MATCH(J148,'Final List'!$J$4:$J$252,0),0)</f>
        <v>0</v>
      </c>
      <c r="P148" s="169">
        <f>IFERROR(MATCH(J148,'Final List'!$L$4:$L$252,0),0)</f>
        <v>0</v>
      </c>
      <c r="Q148" s="169">
        <f>IFERROR(MATCH(J148,'Final List'!$N$4:$N$252,0),0)</f>
        <v>0</v>
      </c>
      <c r="R148" s="169">
        <f>IFERROR(MATCH(J148,'Final List'!$P$4:$P$252,0),0)</f>
        <v>0</v>
      </c>
      <c r="S148" s="169">
        <f t="shared" si="11"/>
        <v>0</v>
      </c>
      <c r="T148" s="116"/>
      <c r="U148" s="116"/>
      <c r="V148" s="116" t="str">
        <f t="shared" si="9"/>
        <v>DOLARIZA 1</v>
      </c>
      <c r="W148" s="116" t="s">
        <v>8895</v>
      </c>
    </row>
    <row r="149" spans="2:23" x14ac:dyDescent="0.25">
      <c r="B149" s="77" t="s">
        <v>258</v>
      </c>
      <c r="C149" s="77" t="s">
        <v>59</v>
      </c>
      <c r="D149" s="77" t="s">
        <v>176</v>
      </c>
      <c r="E149" s="77" t="s">
        <v>36</v>
      </c>
      <c r="F149" s="245" t="str">
        <f t="shared" si="10"/>
        <v>StpS 77</v>
      </c>
      <c r="G149" s="77" t="s">
        <v>452</v>
      </c>
      <c r="H149" s="77"/>
      <c r="I149" s="77" t="str">
        <f t="shared" si="8"/>
        <v>L10_GHVHW_057E_STOPE</v>
      </c>
      <c r="J149" s="77" t="s">
        <v>5664</v>
      </c>
      <c r="K149" s="169">
        <f>IFERROR(MATCH(J149,'Final List'!$B$4:$B$252,0),0)</f>
        <v>0</v>
      </c>
      <c r="L149" s="169">
        <f>IFERROR(MATCH(J149,'Final List'!$D$4:$D$252,0),0)</f>
        <v>0</v>
      </c>
      <c r="M149" s="169">
        <f>IFERROR(MATCH(J149,'Final List'!$F$4:$F$251,0),0)</f>
        <v>0</v>
      </c>
      <c r="N149" s="169">
        <f>IFERROR(MATCH(J149,'Final List'!$H$4:$H$252,0),0)</f>
        <v>0</v>
      </c>
      <c r="O149" s="169">
        <f>IFERROR(MATCH(J149,'Final List'!$J$4:$J$252,0),0)</f>
        <v>0</v>
      </c>
      <c r="P149" s="169">
        <f>IFERROR(MATCH(J149,'Final List'!$L$4:$L$252,0),0)</f>
        <v>0</v>
      </c>
      <c r="Q149" s="169">
        <f>IFERROR(MATCH(J149,'Final List'!$N$4:$N$252,0),0)</f>
        <v>0</v>
      </c>
      <c r="R149" s="169">
        <f>IFERROR(MATCH(J149,'Final List'!$P$4:$P$252,0),0)</f>
        <v>0</v>
      </c>
      <c r="S149" s="169">
        <f t="shared" si="11"/>
        <v>0</v>
      </c>
      <c r="T149" s="116" t="s">
        <v>68</v>
      </c>
      <c r="U149" s="116"/>
      <c r="V149" s="116" t="str">
        <f t="shared" si="9"/>
        <v>BAÑEZ 6</v>
      </c>
      <c r="W149" s="116" t="s">
        <v>2713</v>
      </c>
    </row>
    <row r="150" spans="2:23" x14ac:dyDescent="0.25">
      <c r="B150" s="77" t="s">
        <v>96</v>
      </c>
      <c r="C150" s="77" t="s">
        <v>46</v>
      </c>
      <c r="D150" s="77" t="s">
        <v>178</v>
      </c>
      <c r="E150" s="77" t="s">
        <v>36</v>
      </c>
      <c r="F150" s="245" t="str">
        <f t="shared" si="10"/>
        <v>StpS 77</v>
      </c>
      <c r="G150" s="77" t="s">
        <v>677</v>
      </c>
      <c r="H150" s="77"/>
      <c r="I150" s="77" t="str">
        <f t="shared" si="8"/>
        <v>L09_DPVE2_048E_STOPE</v>
      </c>
      <c r="J150" s="77" t="s">
        <v>5647</v>
      </c>
      <c r="K150" s="169">
        <f>IFERROR(MATCH(J150,'Final List'!$B$4:$B$252,0),0)</f>
        <v>0</v>
      </c>
      <c r="L150" s="169">
        <f>IFERROR(MATCH(J150,'Final List'!$D$4:$D$252,0),0)</f>
        <v>0</v>
      </c>
      <c r="M150" s="169">
        <f>IFERROR(MATCH(J150,'Final List'!$F$4:$F$251,0),0)</f>
        <v>0</v>
      </c>
      <c r="N150" s="169">
        <f>IFERROR(MATCH(J150,'Final List'!$H$4:$H$252,0),0)</f>
        <v>0</v>
      </c>
      <c r="O150" s="169">
        <f>IFERROR(MATCH(J150,'Final List'!$J$4:$J$252,0),0)</f>
        <v>0</v>
      </c>
      <c r="P150" s="169">
        <f>IFERROR(MATCH(J150,'Final List'!$L$4:$L$252,0),0)</f>
        <v>0</v>
      </c>
      <c r="Q150" s="169">
        <f>IFERROR(MATCH(J150,'Final List'!$N$4:$N$252,0),0)</f>
        <v>0</v>
      </c>
      <c r="R150" s="169">
        <f>IFERROR(MATCH(J150,'Final List'!$P$4:$P$252,0),0)</f>
        <v>0</v>
      </c>
      <c r="S150" s="169">
        <f t="shared" si="11"/>
        <v>0</v>
      </c>
      <c r="T150" s="116" t="s">
        <v>68</v>
      </c>
      <c r="U150" s="116"/>
      <c r="V150" s="116" t="str">
        <f t="shared" si="9"/>
        <v>PANSIT 6</v>
      </c>
      <c r="W150" s="116" t="s">
        <v>2713</v>
      </c>
    </row>
    <row r="151" spans="2:23" x14ac:dyDescent="0.25">
      <c r="B151" s="77" t="s">
        <v>94</v>
      </c>
      <c r="C151" s="77" t="s">
        <v>55</v>
      </c>
      <c r="D151" s="77" t="s">
        <v>161</v>
      </c>
      <c r="E151" s="77" t="s">
        <v>36</v>
      </c>
      <c r="F151" s="245" t="str">
        <f t="shared" si="10"/>
        <v>StpS 77</v>
      </c>
      <c r="G151" s="77" t="s">
        <v>456</v>
      </c>
      <c r="H151" s="77"/>
      <c r="I151" s="77" t="str">
        <f t="shared" si="8"/>
        <v>L07_JVFW_044E_STOPE</v>
      </c>
      <c r="J151" s="77" t="s">
        <v>5667</v>
      </c>
      <c r="K151" s="169">
        <f>IFERROR(MATCH(J151,'Final List'!$B$4:$B$252,0),0)</f>
        <v>0</v>
      </c>
      <c r="L151" s="169">
        <f>IFERROR(MATCH(J151,'Final List'!$D$4:$D$252,0),0)</f>
        <v>0</v>
      </c>
      <c r="M151" s="169">
        <f>IFERROR(MATCH(J151,'Final List'!$F$4:$F$251,0),0)</f>
        <v>0</v>
      </c>
      <c r="N151" s="169">
        <f>IFERROR(MATCH(J151,'Final List'!$H$4:$H$252,0),0)</f>
        <v>0</v>
      </c>
      <c r="O151" s="169">
        <f>IFERROR(MATCH(J151,'Final List'!$J$4:$J$252,0),0)</f>
        <v>0</v>
      </c>
      <c r="P151" s="169">
        <f>IFERROR(MATCH(J151,'Final List'!$L$4:$L$252,0),0)</f>
        <v>0</v>
      </c>
      <c r="Q151" s="169">
        <f>IFERROR(MATCH(J151,'Final List'!$N$4:$N$252,0),0)</f>
        <v>0</v>
      </c>
      <c r="R151" s="169">
        <f>IFERROR(MATCH(J151,'Final List'!$P$4:$P$252,0),0)</f>
        <v>0</v>
      </c>
      <c r="S151" s="169">
        <f t="shared" si="11"/>
        <v>0</v>
      </c>
      <c r="T151" s="116" t="s">
        <v>68</v>
      </c>
      <c r="U151" s="116"/>
      <c r="V151" s="116" t="str">
        <f t="shared" si="9"/>
        <v>BORERO 1</v>
      </c>
      <c r="W151" s="116" t="s">
        <v>2713</v>
      </c>
    </row>
    <row r="152" spans="2:23" x14ac:dyDescent="0.25">
      <c r="B152" s="77" t="s">
        <v>96</v>
      </c>
      <c r="C152" s="77" t="s">
        <v>57</v>
      </c>
      <c r="D152" s="77" t="s">
        <v>162</v>
      </c>
      <c r="E152" s="77" t="s">
        <v>211</v>
      </c>
      <c r="F152" s="245" t="str">
        <f t="shared" si="10"/>
        <v>StpS 77</v>
      </c>
      <c r="G152" s="77" t="s">
        <v>345</v>
      </c>
      <c r="H152" s="77"/>
      <c r="I152" s="77" t="str">
        <f t="shared" si="8"/>
        <v>L09_JVSPLIT_008E_STOPE PREP</v>
      </c>
      <c r="J152" s="77" t="s">
        <v>5679</v>
      </c>
      <c r="K152" s="169">
        <f>IFERROR(MATCH(J152,'Final List'!$B$4:$B$252,0),0)</f>
        <v>0</v>
      </c>
      <c r="L152" s="169">
        <f>IFERROR(MATCH(J152,'Final List'!$D$4:$D$252,0),0)</f>
        <v>0</v>
      </c>
      <c r="M152" s="169">
        <f>IFERROR(MATCH(J152,'Final List'!$F$4:$F$251,0),0)</f>
        <v>0</v>
      </c>
      <c r="N152" s="169">
        <f>IFERROR(MATCH(J152,'Final List'!$H$4:$H$252,0),0)</f>
        <v>0</v>
      </c>
      <c r="O152" s="169">
        <f>IFERROR(MATCH(J152,'Final List'!$J$4:$J$252,0),0)</f>
        <v>0</v>
      </c>
      <c r="P152" s="169">
        <f>IFERROR(MATCH(J152,'Final List'!$L$4:$L$252,0),0)</f>
        <v>0</v>
      </c>
      <c r="Q152" s="169">
        <f>IFERROR(MATCH(J152,'Final List'!$N$4:$N$252,0),0)</f>
        <v>0</v>
      </c>
      <c r="R152" s="169">
        <f>IFERROR(MATCH(J152,'Final List'!$P$4:$P$252,0),0)</f>
        <v>0</v>
      </c>
      <c r="S152" s="169">
        <f t="shared" si="11"/>
        <v>0</v>
      </c>
      <c r="T152" s="116" t="s">
        <v>68</v>
      </c>
      <c r="U152" s="116"/>
      <c r="V152" s="116" t="str">
        <f t="shared" si="9"/>
        <v>PANSIT 1</v>
      </c>
      <c r="W152" s="116" t="s">
        <v>2712</v>
      </c>
    </row>
    <row r="153" spans="2:23" x14ac:dyDescent="0.25">
      <c r="B153" s="77" t="s">
        <v>93</v>
      </c>
      <c r="C153" s="77" t="s">
        <v>44</v>
      </c>
      <c r="D153" s="77" t="s">
        <v>111</v>
      </c>
      <c r="E153" s="77" t="s">
        <v>211</v>
      </c>
      <c r="F153" s="245" t="str">
        <f t="shared" si="10"/>
        <v>StpS 77</v>
      </c>
      <c r="G153" s="77" t="s">
        <v>350</v>
      </c>
      <c r="H153" s="77"/>
      <c r="I153" s="77" t="str">
        <f t="shared" si="8"/>
        <v>L06_CV_004W_STOPE PREP</v>
      </c>
      <c r="J153" s="77" t="s">
        <v>5314</v>
      </c>
      <c r="K153" s="169">
        <f>IFERROR(MATCH(J153,'Final List'!$B$4:$B$252,0),0)</f>
        <v>0</v>
      </c>
      <c r="L153" s="169">
        <f>IFERROR(MATCH(J153,'Final List'!$D$4:$D$252,0),0)</f>
        <v>0</v>
      </c>
      <c r="M153" s="169">
        <f>IFERROR(MATCH(J153,'Final List'!$F$4:$F$251,0),0)</f>
        <v>0</v>
      </c>
      <c r="N153" s="169">
        <f>IFERROR(MATCH(J153,'Final List'!$H$4:$H$252,0),0)</f>
        <v>0</v>
      </c>
      <c r="O153" s="169">
        <f>IFERROR(MATCH(J153,'Final List'!$J$4:$J$252,0),0)</f>
        <v>0</v>
      </c>
      <c r="P153" s="169">
        <f>IFERROR(MATCH(J153,'Final List'!$L$4:$L$252,0),0)</f>
        <v>0</v>
      </c>
      <c r="Q153" s="169">
        <f>IFERROR(MATCH(J153,'Final List'!$N$4:$N$252,0),0)</f>
        <v>0</v>
      </c>
      <c r="R153" s="169">
        <f>IFERROR(MATCH(J153,'Final List'!$P$4:$P$252,0),0)</f>
        <v>0</v>
      </c>
      <c r="S153" s="169">
        <f t="shared" si="11"/>
        <v>0</v>
      </c>
      <c r="T153" s="116" t="s">
        <v>68</v>
      </c>
      <c r="U153" s="116"/>
      <c r="V153" s="116" t="str">
        <f t="shared" si="9"/>
        <v>QUIJANO 1</v>
      </c>
      <c r="W153" s="116" t="s">
        <v>2712</v>
      </c>
    </row>
    <row r="154" spans="2:23" x14ac:dyDescent="0.25">
      <c r="B154" s="77" t="s">
        <v>92</v>
      </c>
      <c r="C154" s="77" t="s">
        <v>45</v>
      </c>
      <c r="D154" s="77" t="s">
        <v>135</v>
      </c>
      <c r="E154" s="77" t="s">
        <v>211</v>
      </c>
      <c r="F154" s="245" t="str">
        <f t="shared" si="10"/>
        <v>StpS 77</v>
      </c>
      <c r="G154" s="77" t="s">
        <v>551</v>
      </c>
      <c r="H154" s="77"/>
      <c r="I154" s="77" t="str">
        <f t="shared" si="8"/>
        <v>L05_DPVE_034E_STOPE PREP</v>
      </c>
      <c r="J154" s="77" t="s">
        <v>5254</v>
      </c>
      <c r="K154" s="169">
        <f>IFERROR(MATCH(J154,'Final List'!$B$4:$B$252,0),0)</f>
        <v>0</v>
      </c>
      <c r="L154" s="169">
        <f>IFERROR(MATCH(J154,'Final List'!$D$4:$D$252,0),0)</f>
        <v>0</v>
      </c>
      <c r="M154" s="169">
        <f>IFERROR(MATCH(J154,'Final List'!$F$4:$F$251,0),0)</f>
        <v>0</v>
      </c>
      <c r="N154" s="169">
        <f>IFERROR(MATCH(J154,'Final List'!$H$4:$H$252,0),0)</f>
        <v>0</v>
      </c>
      <c r="O154" s="169">
        <f>IFERROR(MATCH(J154,'Final List'!$J$4:$J$252,0),0)</f>
        <v>0</v>
      </c>
      <c r="P154" s="169">
        <f>IFERROR(MATCH(J154,'Final List'!$L$4:$L$252,0),0)</f>
        <v>0</v>
      </c>
      <c r="Q154" s="169">
        <f>IFERROR(MATCH(J154,'Final List'!$N$4:$N$252,0),0)</f>
        <v>0</v>
      </c>
      <c r="R154" s="169">
        <f>IFERROR(MATCH(J154,'Final List'!$P$4:$P$252,0),0)</f>
        <v>0</v>
      </c>
      <c r="S154" s="169">
        <f t="shared" si="11"/>
        <v>0</v>
      </c>
      <c r="T154" s="116" t="s">
        <v>68</v>
      </c>
      <c r="U154" s="116"/>
      <c r="V154" s="116" t="str">
        <f t="shared" si="9"/>
        <v>PANCIT, NOEL 3</v>
      </c>
      <c r="W154" s="116" t="s">
        <v>2712</v>
      </c>
    </row>
    <row r="155" spans="2:23" x14ac:dyDescent="0.25">
      <c r="B155" s="77" t="s">
        <v>258</v>
      </c>
      <c r="C155" s="77" t="s">
        <v>87</v>
      </c>
      <c r="D155" s="77" t="s">
        <v>5723</v>
      </c>
      <c r="E155" s="77" t="s">
        <v>63</v>
      </c>
      <c r="F155" s="245" t="str">
        <f t="shared" si="10"/>
        <v>Dhoz 71</v>
      </c>
      <c r="G155" s="77" t="s">
        <v>361</v>
      </c>
      <c r="H155" s="77"/>
      <c r="I155" s="77" t="str">
        <f t="shared" si="8"/>
        <v>L10_NONE_046E_XCS</v>
      </c>
      <c r="J155" s="77" t="s">
        <v>5722</v>
      </c>
      <c r="K155" s="169">
        <f>IFERROR(MATCH(J155,'Final List'!$B$4:$B$252,0),0)</f>
        <v>0</v>
      </c>
      <c r="L155" s="169">
        <f>IFERROR(MATCH(J155,'Final List'!$D$4:$D$252,0),0)</f>
        <v>0</v>
      </c>
      <c r="M155" s="169">
        <f>IFERROR(MATCH(J155,'Final List'!$F$4:$F$251,0),0)</f>
        <v>0</v>
      </c>
      <c r="N155" s="169">
        <f>IFERROR(MATCH(J155,'Final List'!$H$4:$H$252,0),0)</f>
        <v>0</v>
      </c>
      <c r="O155" s="169">
        <f>IFERROR(MATCH(J155,'Final List'!$J$4:$J$252,0),0)</f>
        <v>0</v>
      </c>
      <c r="P155" s="169">
        <f>IFERROR(MATCH(J155,'Final List'!$L$4:$L$252,0),0)</f>
        <v>0</v>
      </c>
      <c r="Q155" s="169">
        <f>IFERROR(MATCH(J155,'Final List'!$N$4:$N$252,0),0)</f>
        <v>0</v>
      </c>
      <c r="R155" s="169">
        <f>IFERROR(MATCH(J155,'Final List'!$P$4:$P$252,0),0)</f>
        <v>0</v>
      </c>
      <c r="S155" s="169">
        <f t="shared" si="11"/>
        <v>0</v>
      </c>
      <c r="T155" s="116"/>
      <c r="U155" s="116"/>
      <c r="V155" s="116" t="str">
        <f t="shared" si="9"/>
        <v>ALMASA 2</v>
      </c>
      <c r="W155" s="116" t="s">
        <v>2714</v>
      </c>
    </row>
    <row r="156" spans="2:23" x14ac:dyDescent="0.25">
      <c r="B156" s="77" t="s">
        <v>92</v>
      </c>
      <c r="C156" s="77" t="s">
        <v>41</v>
      </c>
      <c r="D156" s="77" t="s">
        <v>103</v>
      </c>
      <c r="E156" s="77" t="s">
        <v>61</v>
      </c>
      <c r="F156" s="245" t="str">
        <f t="shared" si="10"/>
        <v>Dhoz 71</v>
      </c>
      <c r="G156" s="77" t="s">
        <v>5698</v>
      </c>
      <c r="H156" s="77"/>
      <c r="I156" s="77" t="str">
        <f t="shared" si="8"/>
        <v>L05_CTV_005E_DW</v>
      </c>
      <c r="J156" s="77" t="s">
        <v>5425</v>
      </c>
      <c r="K156" s="169">
        <f>IFERROR(MATCH(J156,'Final List'!$B$4:$B$252,0),0)</f>
        <v>0</v>
      </c>
      <c r="L156" s="169">
        <f>IFERROR(MATCH(J156,'Final List'!$D$4:$D$252,0),0)</f>
        <v>0</v>
      </c>
      <c r="M156" s="169">
        <f>IFERROR(MATCH(J156,'Final List'!$F$4:$F$251,0),0)</f>
        <v>0</v>
      </c>
      <c r="N156" s="169">
        <f>IFERROR(MATCH(J156,'Final List'!$H$4:$H$252,0),0)</f>
        <v>0</v>
      </c>
      <c r="O156" s="169">
        <f>IFERROR(MATCH(J156,'Final List'!$J$4:$J$252,0),0)</f>
        <v>0</v>
      </c>
      <c r="P156" s="169">
        <f>IFERROR(MATCH(J156,'Final List'!$L$4:$L$252,0),0)</f>
        <v>0</v>
      </c>
      <c r="Q156" s="169">
        <f>IFERROR(MATCH(J156,'Final List'!$N$4:$N$252,0),0)</f>
        <v>0</v>
      </c>
      <c r="R156" s="169">
        <f>IFERROR(MATCH(J156,'Final List'!$P$4:$P$252,0),0)</f>
        <v>0</v>
      </c>
      <c r="S156" s="169">
        <f t="shared" si="11"/>
        <v>0</v>
      </c>
      <c r="T156" s="116"/>
      <c r="U156" s="116"/>
      <c r="V156" s="116" t="str">
        <f t="shared" si="9"/>
        <v>PARAN 1</v>
      </c>
      <c r="W156" s="116" t="s">
        <v>2708</v>
      </c>
    </row>
    <row r="157" spans="2:23" x14ac:dyDescent="0.25">
      <c r="B157" s="77" t="s">
        <v>92</v>
      </c>
      <c r="C157" s="77" t="s">
        <v>42</v>
      </c>
      <c r="D157" s="77" t="s">
        <v>141</v>
      </c>
      <c r="E157" s="77" t="s">
        <v>36</v>
      </c>
      <c r="F157" s="245" t="str">
        <f t="shared" si="10"/>
        <v>StpS 77</v>
      </c>
      <c r="G157" s="77" t="s">
        <v>5721</v>
      </c>
      <c r="H157" s="77" t="s">
        <v>551</v>
      </c>
      <c r="I157" s="77" t="str">
        <f t="shared" si="8"/>
        <v>L05_JV_029E_STOPE</v>
      </c>
      <c r="J157" s="77" t="s">
        <v>4620</v>
      </c>
      <c r="K157" s="169">
        <f>IFERROR(MATCH(J157,'Final List'!$B$4:$B$252,0),0)</f>
        <v>0</v>
      </c>
      <c r="L157" s="169">
        <f>IFERROR(MATCH(J157,'Final List'!$D$4:$D$252,0),0)</f>
        <v>0</v>
      </c>
      <c r="M157" s="169">
        <f>IFERROR(MATCH(J157,'Final List'!$F$4:$F$251,0),0)</f>
        <v>0</v>
      </c>
      <c r="N157" s="169">
        <f>IFERROR(MATCH(J157,'Final List'!$H$4:$H$252,0),0)</f>
        <v>0</v>
      </c>
      <c r="O157" s="169">
        <f>IFERROR(MATCH(J157,'Final List'!$J$4:$J$252,0),0)</f>
        <v>0</v>
      </c>
      <c r="P157" s="169">
        <f>IFERROR(MATCH(J157,'Final List'!$L$4:$L$252,0),0)</f>
        <v>0</v>
      </c>
      <c r="Q157" s="169">
        <f>IFERROR(MATCH(J157,'Final List'!$N$4:$N$252,0),0)</f>
        <v>0</v>
      </c>
      <c r="R157" s="169">
        <f>IFERROR(MATCH(J157,'Final List'!$P$4:$P$252,0),0)</f>
        <v>0</v>
      </c>
      <c r="S157" s="169">
        <f t="shared" si="11"/>
        <v>0</v>
      </c>
      <c r="T157" s="116" t="s">
        <v>68</v>
      </c>
      <c r="U157" s="116"/>
      <c r="V157" s="116" t="str">
        <f t="shared" si="9"/>
        <v>PANCIT, NOEL 3</v>
      </c>
      <c r="W157" s="116" t="s">
        <v>2713</v>
      </c>
    </row>
    <row r="158" spans="2:23" x14ac:dyDescent="0.25">
      <c r="B158" s="77" t="s">
        <v>94</v>
      </c>
      <c r="C158" s="77" t="s">
        <v>55</v>
      </c>
      <c r="D158" s="77" t="s">
        <v>178</v>
      </c>
      <c r="E158" s="77" t="s">
        <v>62</v>
      </c>
      <c r="F158" s="245" t="str">
        <f t="shared" si="10"/>
        <v>RobC 80</v>
      </c>
      <c r="G158" s="77" t="s">
        <v>676</v>
      </c>
      <c r="H158" s="77"/>
      <c r="I158" s="77" t="str">
        <f t="shared" si="8"/>
        <v>L07_JVFW_048E_ROBBING</v>
      </c>
      <c r="J158" s="77" t="s">
        <v>5724</v>
      </c>
      <c r="K158" s="169">
        <f>IFERROR(MATCH(J158,'Final List'!$B$4:$B$252,0),0)</f>
        <v>0</v>
      </c>
      <c r="L158" s="169">
        <f>IFERROR(MATCH(J158,'Final List'!$D$4:$D$252,0),0)</f>
        <v>0</v>
      </c>
      <c r="M158" s="169">
        <f>IFERROR(MATCH(J158,'Final List'!$F$4:$F$251,0),0)</f>
        <v>0</v>
      </c>
      <c r="N158" s="169">
        <f>IFERROR(MATCH(J158,'Final List'!$H$4:$H$252,0),0)</f>
        <v>0</v>
      </c>
      <c r="O158" s="169">
        <f>IFERROR(MATCH(J158,'Final List'!$J$4:$J$252,0),0)</f>
        <v>0</v>
      </c>
      <c r="P158" s="169">
        <f>IFERROR(MATCH(J158,'Final List'!$L$4:$L$252,0),0)</f>
        <v>0</v>
      </c>
      <c r="Q158" s="169">
        <f>IFERROR(MATCH(J158,'Final List'!$N$4:$N$252,0),0)</f>
        <v>0</v>
      </c>
      <c r="R158" s="169">
        <f>IFERROR(MATCH(J158,'Final List'!$P$4:$P$252,0),0)</f>
        <v>0</v>
      </c>
      <c r="S158" s="169">
        <f t="shared" si="11"/>
        <v>0</v>
      </c>
      <c r="T158" s="116" t="s">
        <v>48</v>
      </c>
      <c r="U158" s="116"/>
      <c r="V158" s="116" t="str">
        <f t="shared" si="9"/>
        <v>OY-YOY 2</v>
      </c>
      <c r="W158" s="116" t="s">
        <v>236</v>
      </c>
    </row>
    <row r="159" spans="2:23" x14ac:dyDescent="0.25">
      <c r="B159" s="77" t="s">
        <v>94</v>
      </c>
      <c r="C159" s="77" t="s">
        <v>39</v>
      </c>
      <c r="D159" s="77" t="s">
        <v>1230</v>
      </c>
      <c r="E159" s="77" t="s">
        <v>62</v>
      </c>
      <c r="F159" s="245" t="str">
        <f t="shared" si="10"/>
        <v>RobS 79</v>
      </c>
      <c r="G159" s="77" t="s">
        <v>5726</v>
      </c>
      <c r="H159" s="77"/>
      <c r="I159" s="77" t="str">
        <f t="shared" si="8"/>
        <v>L07_JVHW_075E_ROBBING</v>
      </c>
      <c r="J159" s="77" t="s">
        <v>5725</v>
      </c>
      <c r="K159" s="169">
        <f>IFERROR(MATCH(J159,'Final List'!$B$4:$B$252,0),0)</f>
        <v>0</v>
      </c>
      <c r="L159" s="169">
        <f>IFERROR(MATCH(J159,'Final List'!$D$4:$D$252,0),0)</f>
        <v>0</v>
      </c>
      <c r="M159" s="169">
        <f>IFERROR(MATCH(J159,'Final List'!$F$4:$F$251,0),0)</f>
        <v>0</v>
      </c>
      <c r="N159" s="169">
        <f>IFERROR(MATCH(J159,'Final List'!$H$4:$H$252,0),0)</f>
        <v>0</v>
      </c>
      <c r="O159" s="169">
        <f>IFERROR(MATCH(J159,'Final List'!$J$4:$J$252,0),0)</f>
        <v>0</v>
      </c>
      <c r="P159" s="169">
        <f>IFERROR(MATCH(J159,'Final List'!$L$4:$L$252,0),0)</f>
        <v>0</v>
      </c>
      <c r="Q159" s="169">
        <f>IFERROR(MATCH(J159,'Final List'!$N$4:$N$252,0),0)</f>
        <v>0</v>
      </c>
      <c r="R159" s="169">
        <f>IFERROR(MATCH(J159,'Final List'!$P$4:$P$252,0),0)</f>
        <v>0</v>
      </c>
      <c r="S159" s="169">
        <f t="shared" si="11"/>
        <v>0</v>
      </c>
      <c r="T159" s="116" t="s">
        <v>68</v>
      </c>
      <c r="U159" s="116"/>
      <c r="V159" s="116" t="str">
        <f t="shared" si="9"/>
        <v>ESPADA 3</v>
      </c>
      <c r="W159" s="116" t="s">
        <v>2707</v>
      </c>
    </row>
    <row r="160" spans="2:23" x14ac:dyDescent="0.25">
      <c r="B160" s="77" t="s">
        <v>94</v>
      </c>
      <c r="C160" s="77" t="s">
        <v>45</v>
      </c>
      <c r="D160" s="77" t="s">
        <v>180</v>
      </c>
      <c r="E160" s="77" t="s">
        <v>19</v>
      </c>
      <c r="F160" s="245" t="str">
        <f t="shared" si="10"/>
        <v>DVR 72</v>
      </c>
      <c r="G160" s="77" t="s">
        <v>684</v>
      </c>
      <c r="H160" s="77"/>
      <c r="I160" s="77" t="str">
        <f t="shared" si="8"/>
        <v>L07_DPVE_041E_RAISE</v>
      </c>
      <c r="J160" s="77" t="s">
        <v>1722</v>
      </c>
      <c r="K160" s="169">
        <f>IFERROR(MATCH(J160,'Final List'!$B$4:$B$252,0),0)</f>
        <v>0</v>
      </c>
      <c r="L160" s="169">
        <f>IFERROR(MATCH(J160,'Final List'!$D$4:$D$252,0),0)</f>
        <v>0</v>
      </c>
      <c r="M160" s="169">
        <f>IFERROR(MATCH(J160,'Final List'!$F$4:$F$251,0),0)</f>
        <v>0</v>
      </c>
      <c r="N160" s="169">
        <f>IFERROR(MATCH(J160,'Final List'!$H$4:$H$252,0),0)</f>
        <v>0</v>
      </c>
      <c r="O160" s="169">
        <f>IFERROR(MATCH(J160,'Final List'!$J$4:$J$252,0),0)</f>
        <v>0</v>
      </c>
      <c r="P160" s="169">
        <f>IFERROR(MATCH(J160,'Final List'!$L$4:$L$252,0),0)</f>
        <v>0</v>
      </c>
      <c r="Q160" s="169">
        <f>IFERROR(MATCH(J160,'Final List'!$N$4:$N$252,0),0)</f>
        <v>0</v>
      </c>
      <c r="R160" s="169">
        <f>IFERROR(MATCH(J160,'Final List'!$P$4:$P$252,0),0)</f>
        <v>0</v>
      </c>
      <c r="S160" s="169">
        <f t="shared" si="11"/>
        <v>0</v>
      </c>
      <c r="T160" s="116"/>
      <c r="U160" s="116"/>
      <c r="V160" s="116" t="str">
        <f t="shared" si="9"/>
        <v>ESPADA 2</v>
      </c>
      <c r="W160" s="116" t="s">
        <v>2715</v>
      </c>
    </row>
    <row r="161" spans="2:23" x14ac:dyDescent="0.25">
      <c r="B161" s="77" t="s">
        <v>92</v>
      </c>
      <c r="C161" s="77" t="s">
        <v>45</v>
      </c>
      <c r="D161" s="77" t="s">
        <v>135</v>
      </c>
      <c r="E161" s="77" t="s">
        <v>36</v>
      </c>
      <c r="F161" s="245" t="str">
        <f t="shared" si="10"/>
        <v>StpS 77</v>
      </c>
      <c r="G161" s="77" t="s">
        <v>554</v>
      </c>
      <c r="H161" s="77"/>
      <c r="I161" s="77" t="str">
        <f t="shared" si="8"/>
        <v>L05_DPVE_034E_STOPE</v>
      </c>
      <c r="J161" s="77" t="s">
        <v>5728</v>
      </c>
      <c r="K161" s="169">
        <f>IFERROR(MATCH(J161,'Final List'!$B$4:$B$252,0),0)</f>
        <v>0</v>
      </c>
      <c r="L161" s="169">
        <f>IFERROR(MATCH(J161,'Final List'!$D$4:$D$252,0),0)</f>
        <v>0</v>
      </c>
      <c r="M161" s="169">
        <f>IFERROR(MATCH(J161,'Final List'!$F$4:$F$251,0),0)</f>
        <v>0</v>
      </c>
      <c r="N161" s="169">
        <f>IFERROR(MATCH(J161,'Final List'!$H$4:$H$252,0),0)</f>
        <v>0</v>
      </c>
      <c r="O161" s="169">
        <f>IFERROR(MATCH(J161,'Final List'!$J$4:$J$252,0),0)</f>
        <v>0</v>
      </c>
      <c r="P161" s="169">
        <f>IFERROR(MATCH(J161,'Final List'!$L$4:$L$252,0),0)</f>
        <v>0</v>
      </c>
      <c r="Q161" s="169">
        <f>IFERROR(MATCH(J161,'Final List'!$N$4:$N$252,0),0)</f>
        <v>0</v>
      </c>
      <c r="R161" s="169">
        <f>IFERROR(MATCH(J161,'Final List'!$P$4:$P$252,0),0)</f>
        <v>0</v>
      </c>
      <c r="S161" s="169">
        <f t="shared" si="11"/>
        <v>0</v>
      </c>
      <c r="T161" s="116" t="s">
        <v>68</v>
      </c>
      <c r="U161" s="116"/>
      <c r="V161" s="116" t="str">
        <f t="shared" si="9"/>
        <v>PANCIT, NOEL 1</v>
      </c>
      <c r="W161" s="116" t="s">
        <v>2711</v>
      </c>
    </row>
    <row r="162" spans="2:23" x14ac:dyDescent="0.25">
      <c r="B162" s="77" t="s">
        <v>95</v>
      </c>
      <c r="C162" s="77" t="s">
        <v>87</v>
      </c>
      <c r="D162" s="77" t="s">
        <v>178</v>
      </c>
      <c r="E162" s="77" t="s">
        <v>71</v>
      </c>
      <c r="F162" s="245" t="str">
        <f t="shared" si="10"/>
        <v>DVS 75</v>
      </c>
      <c r="G162" s="77" t="s">
        <v>382</v>
      </c>
      <c r="H162" s="77"/>
      <c r="I162" s="77" t="str">
        <f t="shared" si="8"/>
        <v>L08_NONE_048E_SHAFT</v>
      </c>
      <c r="J162" s="77" t="s">
        <v>246</v>
      </c>
      <c r="K162" s="169">
        <f>IFERROR(MATCH(J162,'Final List'!$B$4:$B$252,0),0)</f>
        <v>0</v>
      </c>
      <c r="L162" s="169">
        <f>IFERROR(MATCH(J162,'Final List'!$D$4:$D$252,0),0)</f>
        <v>0</v>
      </c>
      <c r="M162" s="169">
        <f>IFERROR(MATCH(J162,'Final List'!$F$4:$F$251,0),0)</f>
        <v>0</v>
      </c>
      <c r="N162" s="169">
        <f>IFERROR(MATCH(J162,'Final List'!$H$4:$H$252,0),0)</f>
        <v>0</v>
      </c>
      <c r="O162" s="169">
        <f>IFERROR(MATCH(J162,'Final List'!$J$4:$J$252,0),0)</f>
        <v>0</v>
      </c>
      <c r="P162" s="169">
        <f>IFERROR(MATCH(J162,'Final List'!$L$4:$L$252,0),0)</f>
        <v>0</v>
      </c>
      <c r="Q162" s="169">
        <f>IFERROR(MATCH(J162,'Final List'!$N$4:$N$252,0),0)</f>
        <v>0</v>
      </c>
      <c r="R162" s="169">
        <f>IFERROR(MATCH(J162,'Final List'!$P$4:$P$252,0),0)</f>
        <v>0</v>
      </c>
      <c r="S162" s="169">
        <f t="shared" si="11"/>
        <v>0</v>
      </c>
      <c r="T162" s="116"/>
      <c r="U162" s="116"/>
      <c r="V162" s="116" t="str">
        <f t="shared" si="9"/>
        <v>HANGDAAN 1</v>
      </c>
      <c r="W162" s="116" t="s">
        <v>2714</v>
      </c>
    </row>
    <row r="163" spans="2:23" x14ac:dyDescent="0.25">
      <c r="B163" s="77" t="s">
        <v>258</v>
      </c>
      <c r="C163" s="77" t="s">
        <v>45</v>
      </c>
      <c r="D163" s="77" t="s">
        <v>135</v>
      </c>
      <c r="E163" s="77" t="s">
        <v>19</v>
      </c>
      <c r="F163" s="245" t="str">
        <f t="shared" si="10"/>
        <v>DVR 72</v>
      </c>
      <c r="G163" s="77" t="s">
        <v>309</v>
      </c>
      <c r="H163" s="77"/>
      <c r="I163" s="77" t="str">
        <f t="shared" si="8"/>
        <v>L10_DPVE_034E_RAISE</v>
      </c>
      <c r="J163" s="77" t="s">
        <v>4973</v>
      </c>
      <c r="K163" s="169">
        <f>IFERROR(MATCH(J163,'Final List'!$B$4:$B$252,0),0)</f>
        <v>0</v>
      </c>
      <c r="L163" s="169">
        <f>IFERROR(MATCH(J163,'Final List'!$D$4:$D$252,0),0)</f>
        <v>0</v>
      </c>
      <c r="M163" s="169">
        <f>IFERROR(MATCH(J163,'Final List'!$F$4:$F$251,0),0)</f>
        <v>0</v>
      </c>
      <c r="N163" s="169">
        <f>IFERROR(MATCH(J163,'Final List'!$H$4:$H$252,0),0)</f>
        <v>0</v>
      </c>
      <c r="O163" s="169">
        <f>IFERROR(MATCH(J163,'Final List'!$J$4:$J$252,0),0)</f>
        <v>0</v>
      </c>
      <c r="P163" s="169">
        <f>IFERROR(MATCH(J163,'Final List'!$L$4:$L$252,0),0)</f>
        <v>0</v>
      </c>
      <c r="Q163" s="169">
        <f>IFERROR(MATCH(J163,'Final List'!$N$4:$N$252,0),0)</f>
        <v>0</v>
      </c>
      <c r="R163" s="169">
        <f>IFERROR(MATCH(J163,'Final List'!$P$4:$P$252,0),0)</f>
        <v>0</v>
      </c>
      <c r="S163" s="169">
        <f t="shared" si="11"/>
        <v>0</v>
      </c>
      <c r="T163" s="116"/>
      <c r="U163" s="116"/>
      <c r="V163" s="116" t="str">
        <f t="shared" si="9"/>
        <v>DUHIG 3</v>
      </c>
      <c r="W163" s="116" t="s">
        <v>2715</v>
      </c>
    </row>
    <row r="164" spans="2:23" x14ac:dyDescent="0.25">
      <c r="B164" s="77" t="s">
        <v>95</v>
      </c>
      <c r="C164" s="77" t="s">
        <v>39</v>
      </c>
      <c r="D164" s="77" t="s">
        <v>169</v>
      </c>
      <c r="E164" s="77" t="s">
        <v>211</v>
      </c>
      <c r="F164" s="245" t="str">
        <f t="shared" si="10"/>
        <v>StpS 77</v>
      </c>
      <c r="G164" s="77" t="s">
        <v>367</v>
      </c>
      <c r="H164" s="77"/>
      <c r="I164" s="77" t="str">
        <f t="shared" si="8"/>
        <v>L08_JVHW_065E_STOPE PREP</v>
      </c>
      <c r="J164" s="77" t="s">
        <v>5735</v>
      </c>
      <c r="K164" s="169">
        <f>IFERROR(MATCH(J164,'Final List'!$B$4:$B$252,0),0)</f>
        <v>0</v>
      </c>
      <c r="L164" s="169">
        <f>IFERROR(MATCH(J164,'Final List'!$D$4:$D$252,0),0)</f>
        <v>0</v>
      </c>
      <c r="M164" s="169">
        <f>IFERROR(MATCH(J164,'Final List'!$F$4:$F$251,0),0)</f>
        <v>0</v>
      </c>
      <c r="N164" s="169">
        <f>IFERROR(MATCH(J164,'Final List'!$H$4:$H$252,0),0)</f>
        <v>0</v>
      </c>
      <c r="O164" s="169">
        <f>IFERROR(MATCH(J164,'Final List'!$J$4:$J$252,0),0)</f>
        <v>0</v>
      </c>
      <c r="P164" s="169">
        <f>IFERROR(MATCH(J164,'Final List'!$L$4:$L$252,0),0)</f>
        <v>0</v>
      </c>
      <c r="Q164" s="169">
        <f>IFERROR(MATCH(J164,'Final List'!$N$4:$N$252,0),0)</f>
        <v>0</v>
      </c>
      <c r="R164" s="169">
        <f>IFERROR(MATCH(J164,'Final List'!$P$4:$P$252,0),0)</f>
        <v>0</v>
      </c>
      <c r="S164" s="169">
        <f t="shared" si="11"/>
        <v>0</v>
      </c>
      <c r="T164" s="116" t="s">
        <v>68</v>
      </c>
      <c r="U164" s="116"/>
      <c r="V164" s="116" t="str">
        <f t="shared" si="9"/>
        <v>LERIO 1</v>
      </c>
      <c r="W164" s="116" t="s">
        <v>2712</v>
      </c>
    </row>
    <row r="165" spans="2:23" x14ac:dyDescent="0.25">
      <c r="B165" s="77" t="s">
        <v>95</v>
      </c>
      <c r="C165" s="77" t="s">
        <v>39</v>
      </c>
      <c r="D165" s="77" t="s">
        <v>166</v>
      </c>
      <c r="E165" s="77" t="s">
        <v>62</v>
      </c>
      <c r="F165" s="245" t="str">
        <f t="shared" si="10"/>
        <v>RobC 80</v>
      </c>
      <c r="G165" s="77" t="s">
        <v>2972</v>
      </c>
      <c r="H165" s="77"/>
      <c r="I165" s="77" t="str">
        <f t="shared" si="8"/>
        <v>L08_JVHW_068E_ROBBING</v>
      </c>
      <c r="J165" s="77" t="s">
        <v>5738</v>
      </c>
      <c r="K165" s="169">
        <f>IFERROR(MATCH(J165,'Final List'!$B$4:$B$252,0),0)</f>
        <v>0</v>
      </c>
      <c r="L165" s="169">
        <f>IFERROR(MATCH(J165,'Final List'!$D$4:$D$252,0),0)</f>
        <v>0</v>
      </c>
      <c r="M165" s="169">
        <f>IFERROR(MATCH(J165,'Final List'!$F$4:$F$251,0),0)</f>
        <v>0</v>
      </c>
      <c r="N165" s="169">
        <f>IFERROR(MATCH(J165,'Final List'!$H$4:$H$252,0),0)</f>
        <v>0</v>
      </c>
      <c r="O165" s="169">
        <f>IFERROR(MATCH(J165,'Final List'!$J$4:$J$252,0),0)</f>
        <v>0</v>
      </c>
      <c r="P165" s="169">
        <f>IFERROR(MATCH(J165,'Final List'!$L$4:$L$252,0),0)</f>
        <v>0</v>
      </c>
      <c r="Q165" s="169">
        <f>IFERROR(MATCH(J165,'Final List'!$N$4:$N$252,0),0)</f>
        <v>0</v>
      </c>
      <c r="R165" s="169">
        <f>IFERROR(MATCH(J165,'Final List'!$P$4:$P$252,0),0)</f>
        <v>0</v>
      </c>
      <c r="S165" s="169">
        <f t="shared" si="11"/>
        <v>0</v>
      </c>
      <c r="T165" s="116" t="s">
        <v>48</v>
      </c>
      <c r="U165" s="116"/>
      <c r="V165" s="116" t="str">
        <f t="shared" si="9"/>
        <v>FABROA 1</v>
      </c>
      <c r="W165" s="116" t="s">
        <v>236</v>
      </c>
    </row>
    <row r="166" spans="2:23" x14ac:dyDescent="0.25">
      <c r="B166" s="77" t="s">
        <v>258</v>
      </c>
      <c r="C166" s="77" t="s">
        <v>45</v>
      </c>
      <c r="D166" s="77" t="s">
        <v>161</v>
      </c>
      <c r="E166" s="77" t="s">
        <v>19</v>
      </c>
      <c r="F166" s="245" t="str">
        <f t="shared" si="10"/>
        <v>DVR 72</v>
      </c>
      <c r="G166" s="77" t="s">
        <v>453</v>
      </c>
      <c r="H166" s="77"/>
      <c r="I166" s="77" t="str">
        <f t="shared" si="8"/>
        <v>L10_DPVE_044E_RAISE</v>
      </c>
      <c r="J166" s="77" t="s">
        <v>2528</v>
      </c>
      <c r="K166" s="169">
        <f>IFERROR(MATCH(J166,'Final List'!$B$4:$B$252,0),0)</f>
        <v>0</v>
      </c>
      <c r="L166" s="169">
        <f>IFERROR(MATCH(J166,'Final List'!$D$4:$D$252,0),0)</f>
        <v>0</v>
      </c>
      <c r="M166" s="169">
        <f>IFERROR(MATCH(J166,'Final List'!$F$4:$F$251,0),0)</f>
        <v>0</v>
      </c>
      <c r="N166" s="169">
        <f>IFERROR(MATCH(J166,'Final List'!$H$4:$H$252,0),0)</f>
        <v>0</v>
      </c>
      <c r="O166" s="169">
        <f>IFERROR(MATCH(J166,'Final List'!$J$4:$J$252,0),0)</f>
        <v>0</v>
      </c>
      <c r="P166" s="169">
        <f>IFERROR(MATCH(J166,'Final List'!$L$4:$L$252,0),0)</f>
        <v>0</v>
      </c>
      <c r="Q166" s="169">
        <f>IFERROR(MATCH(J166,'Final List'!$N$4:$N$252,0),0)</f>
        <v>0</v>
      </c>
      <c r="R166" s="169">
        <f>IFERROR(MATCH(J166,'Final List'!$P$4:$P$252,0),0)</f>
        <v>0</v>
      </c>
      <c r="S166" s="169">
        <f t="shared" si="11"/>
        <v>0</v>
      </c>
      <c r="T166" s="116"/>
      <c r="U166" s="116"/>
      <c r="V166" s="116" t="str">
        <f t="shared" si="9"/>
        <v>BAÑEZ 7</v>
      </c>
      <c r="W166" s="116" t="s">
        <v>2715</v>
      </c>
    </row>
    <row r="167" spans="2:23" x14ac:dyDescent="0.25">
      <c r="B167" s="77" t="s">
        <v>258</v>
      </c>
      <c r="C167" s="77" t="s">
        <v>45</v>
      </c>
      <c r="D167" s="77" t="s">
        <v>5741</v>
      </c>
      <c r="E167" s="77" t="s">
        <v>19</v>
      </c>
      <c r="F167" s="245" t="str">
        <f t="shared" si="10"/>
        <v>DVR 72</v>
      </c>
      <c r="G167" s="77" t="s">
        <v>3023</v>
      </c>
      <c r="H167" s="77" t="s">
        <v>17</v>
      </c>
      <c r="I167" s="77" t="str">
        <f t="shared" si="8"/>
        <v>L10_DPVE_035E_RAISE</v>
      </c>
      <c r="J167" s="77" t="s">
        <v>5739</v>
      </c>
      <c r="K167" s="169">
        <f>IFERROR(MATCH(J167,'Final List'!$B$4:$B$252,0),0)</f>
        <v>0</v>
      </c>
      <c r="L167" s="169">
        <f>IFERROR(MATCH(J167,'Final List'!$D$4:$D$252,0),0)</f>
        <v>0</v>
      </c>
      <c r="M167" s="169">
        <f>IFERROR(MATCH(J167,'Final List'!$F$4:$F$251,0),0)</f>
        <v>0</v>
      </c>
      <c r="N167" s="169">
        <f>IFERROR(MATCH(J167,'Final List'!$H$4:$H$252,0),0)</f>
        <v>0</v>
      </c>
      <c r="O167" s="169">
        <f>IFERROR(MATCH(J167,'Final List'!$J$4:$J$252,0),0)</f>
        <v>0</v>
      </c>
      <c r="P167" s="169">
        <f>IFERROR(MATCH(J167,'Final List'!$L$4:$L$252,0),0)</f>
        <v>0</v>
      </c>
      <c r="Q167" s="169">
        <f>IFERROR(MATCH(J167,'Final List'!$N$4:$N$252,0),0)</f>
        <v>0</v>
      </c>
      <c r="R167" s="169">
        <f>IFERROR(MATCH(J167,'Final List'!$P$4:$P$252,0),0)</f>
        <v>0</v>
      </c>
      <c r="S167" s="169">
        <f t="shared" si="11"/>
        <v>0</v>
      </c>
      <c r="T167" s="116"/>
      <c r="U167" s="116"/>
      <c r="V167" s="116" t="str">
        <f t="shared" si="9"/>
        <v>TAÑEZA</v>
      </c>
      <c r="W167" s="116" t="s">
        <v>2715</v>
      </c>
    </row>
    <row r="168" spans="2:23" x14ac:dyDescent="0.25">
      <c r="B168" s="77" t="s">
        <v>94</v>
      </c>
      <c r="C168" s="77" t="s">
        <v>39</v>
      </c>
      <c r="D168" s="77" t="s">
        <v>166</v>
      </c>
      <c r="E168" s="77" t="s">
        <v>62</v>
      </c>
      <c r="F168" s="245" t="str">
        <f t="shared" si="10"/>
        <v>RobS 79</v>
      </c>
      <c r="G168" s="77" t="s">
        <v>6533</v>
      </c>
      <c r="H168" s="77" t="s">
        <v>2971</v>
      </c>
      <c r="I168" s="77" t="str">
        <f t="shared" si="8"/>
        <v>L07_JVHW_068E_ROBBING</v>
      </c>
      <c r="J168" s="77" t="s">
        <v>3989</v>
      </c>
      <c r="K168" s="169">
        <f>IFERROR(MATCH(J168,'Final List'!$B$4:$B$252,0),0)</f>
        <v>0</v>
      </c>
      <c r="L168" s="169">
        <f>IFERROR(MATCH(J168,'Final List'!$D$4:$D$252,0),0)</f>
        <v>0</v>
      </c>
      <c r="M168" s="169">
        <f>IFERROR(MATCH(J168,'Final List'!$F$4:$F$251,0),0)</f>
        <v>0</v>
      </c>
      <c r="N168" s="169">
        <f>IFERROR(MATCH(J168,'Final List'!$H$4:$H$252,0),0)</f>
        <v>0</v>
      </c>
      <c r="O168" s="169">
        <f>IFERROR(MATCH(J168,'Final List'!$J$4:$J$252,0),0)</f>
        <v>0</v>
      </c>
      <c r="P168" s="169">
        <f>IFERROR(MATCH(J168,'Final List'!$L$4:$L$252,0),0)</f>
        <v>0</v>
      </c>
      <c r="Q168" s="169">
        <f>IFERROR(MATCH(J168,'Final List'!$N$4:$N$252,0),0)</f>
        <v>0</v>
      </c>
      <c r="R168" s="169">
        <f>IFERROR(MATCH(J168,'Final List'!$P$4:$P$252,0),0)</f>
        <v>0</v>
      </c>
      <c r="S168" s="169">
        <f t="shared" si="11"/>
        <v>0</v>
      </c>
      <c r="T168" s="116" t="s">
        <v>68</v>
      </c>
      <c r="U168" s="116"/>
      <c r="V168" s="116" t="str">
        <f t="shared" si="9"/>
        <v>FABROA 3</v>
      </c>
      <c r="W168" s="116" t="s">
        <v>2707</v>
      </c>
    </row>
    <row r="169" spans="2:23" x14ac:dyDescent="0.25">
      <c r="B169" s="77" t="s">
        <v>95</v>
      </c>
      <c r="C169" s="77" t="s">
        <v>55</v>
      </c>
      <c r="D169" s="77" t="s">
        <v>5614</v>
      </c>
      <c r="E169" s="77" t="s">
        <v>20</v>
      </c>
      <c r="F169" s="245" t="str">
        <f t="shared" si="10"/>
        <v>DVW 74</v>
      </c>
      <c r="G169" s="77" t="s">
        <v>386</v>
      </c>
      <c r="H169" s="77"/>
      <c r="I169" s="77" t="str">
        <f t="shared" si="8"/>
        <v>L08_JVFW_055E_WINZE</v>
      </c>
      <c r="J169" s="77" t="s">
        <v>3774</v>
      </c>
      <c r="K169" s="169">
        <f>IFERROR(MATCH(J169,'Final List'!$B$4:$B$252,0),0)</f>
        <v>0</v>
      </c>
      <c r="L169" s="169">
        <f>IFERROR(MATCH(J169,'Final List'!$D$4:$D$252,0),0)</f>
        <v>0</v>
      </c>
      <c r="M169" s="169">
        <f>IFERROR(MATCH(J169,'Final List'!$F$4:$F$251,0),0)</f>
        <v>0</v>
      </c>
      <c r="N169" s="169">
        <f>IFERROR(MATCH(J169,'Final List'!$H$4:$H$252,0),0)</f>
        <v>0</v>
      </c>
      <c r="O169" s="169">
        <f>IFERROR(MATCH(J169,'Final List'!$J$4:$J$252,0),0)</f>
        <v>0</v>
      </c>
      <c r="P169" s="169">
        <f>IFERROR(MATCH(J169,'Final List'!$L$4:$L$252,0),0)</f>
        <v>0</v>
      </c>
      <c r="Q169" s="169">
        <f>IFERROR(MATCH(J169,'Final List'!$N$4:$N$252,0),0)</f>
        <v>0</v>
      </c>
      <c r="R169" s="169">
        <f>IFERROR(MATCH(J169,'Final List'!$P$4:$P$252,0),0)</f>
        <v>0</v>
      </c>
      <c r="S169" s="169">
        <f t="shared" si="11"/>
        <v>0</v>
      </c>
      <c r="T169" s="116"/>
      <c r="U169" s="116"/>
      <c r="V169" s="116" t="str">
        <f t="shared" si="9"/>
        <v>REVITA 1</v>
      </c>
      <c r="W169" s="116" t="s">
        <v>2717</v>
      </c>
    </row>
    <row r="170" spans="2:23" x14ac:dyDescent="0.25">
      <c r="B170" s="77" t="s">
        <v>258</v>
      </c>
      <c r="C170" s="77" t="s">
        <v>45</v>
      </c>
      <c r="D170" s="77" t="s">
        <v>5742</v>
      </c>
      <c r="E170" s="77" t="s">
        <v>19</v>
      </c>
      <c r="F170" s="245" t="str">
        <f t="shared" si="10"/>
        <v>DVR 72</v>
      </c>
      <c r="G170" s="77" t="s">
        <v>374</v>
      </c>
      <c r="H170" s="77"/>
      <c r="I170" s="77" t="str">
        <f t="shared" si="8"/>
        <v>L10_DPVE_040E_RAISE</v>
      </c>
      <c r="J170" s="77" t="s">
        <v>9395</v>
      </c>
      <c r="K170" s="169">
        <f>IFERROR(MATCH(J170,'Final List'!$B$4:$B$252,0),0)</f>
        <v>0</v>
      </c>
      <c r="L170" s="169">
        <f>IFERROR(MATCH(J170,'Final List'!$D$4:$D$252,0),0)</f>
        <v>0</v>
      </c>
      <c r="M170" s="169">
        <f>IFERROR(MATCH(J170,'Final List'!$F$4:$F$251,0),0)</f>
        <v>0</v>
      </c>
      <c r="N170" s="169">
        <f>IFERROR(MATCH(J170,'Final List'!$H$4:$H$252,0),0)</f>
        <v>0</v>
      </c>
      <c r="O170" s="169">
        <f>IFERROR(MATCH(J170,'Final List'!$J$4:$J$252,0),0)</f>
        <v>0</v>
      </c>
      <c r="P170" s="169">
        <f>IFERROR(MATCH(J170,'Final List'!$L$4:$L$252,0),0)</f>
        <v>0</v>
      </c>
      <c r="Q170" s="169">
        <f>IFERROR(MATCH(J170,'Final List'!$N$4:$N$252,0),0)</f>
        <v>0</v>
      </c>
      <c r="R170" s="169">
        <f>IFERROR(MATCH(J170,'Final List'!$P$4:$P$252,0),0)</f>
        <v>0</v>
      </c>
      <c r="S170" s="169">
        <f t="shared" si="11"/>
        <v>0</v>
      </c>
      <c r="T170" s="116"/>
      <c r="U170" s="116"/>
      <c r="V170" s="116" t="str">
        <f t="shared" si="9"/>
        <v>TAÑEZA 6</v>
      </c>
      <c r="W170" s="116" t="s">
        <v>2715</v>
      </c>
    </row>
    <row r="171" spans="2:23" x14ac:dyDescent="0.25">
      <c r="B171" s="77" t="s">
        <v>92</v>
      </c>
      <c r="C171" s="77" t="s">
        <v>57</v>
      </c>
      <c r="D171" s="77" t="s">
        <v>6139</v>
      </c>
      <c r="E171" s="77" t="s">
        <v>60</v>
      </c>
      <c r="F171" s="245" t="str">
        <f t="shared" si="10"/>
        <v>Dhoz 71</v>
      </c>
      <c r="G171" s="77" t="s">
        <v>5716</v>
      </c>
      <c r="H171" s="77" t="s">
        <v>5706</v>
      </c>
      <c r="I171" s="77" t="str">
        <f t="shared" si="8"/>
        <v>L05_JVSPLIT_030W_DE</v>
      </c>
      <c r="J171" s="77" t="s">
        <v>10511</v>
      </c>
      <c r="K171" s="169">
        <f>IFERROR(MATCH(J171,'Final List'!$B$4:$B$252,0),0)</f>
        <v>0</v>
      </c>
      <c r="L171" s="169">
        <f>IFERROR(MATCH(J171,'Final List'!$D$4:$D$252,0),0)</f>
        <v>0</v>
      </c>
      <c r="M171" s="169">
        <f>IFERROR(MATCH(J171,'Final List'!$F$4:$F$251,0),0)</f>
        <v>0</v>
      </c>
      <c r="N171" s="169">
        <f>IFERROR(MATCH(J171,'Final List'!$H$4:$H$252,0),0)</f>
        <v>0</v>
      </c>
      <c r="O171" s="169">
        <f>IFERROR(MATCH(J171,'Final List'!$J$4:$J$252,0),0)</f>
        <v>0</v>
      </c>
      <c r="P171" s="169">
        <f>IFERROR(MATCH(J171,'Final List'!$L$4:$L$252,0),0)</f>
        <v>0</v>
      </c>
      <c r="Q171" s="169">
        <f>IFERROR(MATCH(J171,'Final List'!$N$4:$N$252,0),0)</f>
        <v>0</v>
      </c>
      <c r="R171" s="169">
        <f>IFERROR(MATCH(J171,'Final List'!$P$4:$P$252,0),0)</f>
        <v>0</v>
      </c>
      <c r="S171" s="169">
        <f t="shared" si="11"/>
        <v>0</v>
      </c>
      <c r="T171" s="116"/>
      <c r="U171" s="116"/>
      <c r="V171" s="116" t="str">
        <f t="shared" si="9"/>
        <v>SHEPHERD AF 1</v>
      </c>
      <c r="W171" s="116" t="s">
        <v>8895</v>
      </c>
    </row>
    <row r="172" spans="2:23" x14ac:dyDescent="0.25">
      <c r="B172" s="77" t="s">
        <v>92</v>
      </c>
      <c r="C172" s="77" t="s">
        <v>45</v>
      </c>
      <c r="D172" s="77" t="s">
        <v>132</v>
      </c>
      <c r="E172" s="77" t="s">
        <v>36</v>
      </c>
      <c r="F172" s="245" t="str">
        <f t="shared" si="10"/>
        <v>StpS 77</v>
      </c>
      <c r="G172" s="77" t="s">
        <v>1577</v>
      </c>
      <c r="H172" s="77" t="s">
        <v>9965</v>
      </c>
      <c r="I172" s="77" t="str">
        <f t="shared" si="8"/>
        <v>L05_DPVE_033E_STOPE</v>
      </c>
      <c r="J172" s="77" t="s">
        <v>5745</v>
      </c>
      <c r="K172" s="169">
        <f>IFERROR(MATCH(J172,'Final List'!$B$4:$B$252,0),0)</f>
        <v>0</v>
      </c>
      <c r="L172" s="169">
        <f>IFERROR(MATCH(J172,'Final List'!$D$4:$D$252,0),0)</f>
        <v>0</v>
      </c>
      <c r="M172" s="169">
        <f>IFERROR(MATCH(J172,'Final List'!$F$4:$F$251,0),0)</f>
        <v>0</v>
      </c>
      <c r="N172" s="169">
        <f>IFERROR(MATCH(J172,'Final List'!$H$4:$H$252,0),0)</f>
        <v>0</v>
      </c>
      <c r="O172" s="169">
        <f>IFERROR(MATCH(J172,'Final List'!$J$4:$J$252,0),0)</f>
        <v>0</v>
      </c>
      <c r="P172" s="169">
        <f>IFERROR(MATCH(J172,'Final List'!$L$4:$L$252,0),0)</f>
        <v>0</v>
      </c>
      <c r="Q172" s="169">
        <f>IFERROR(MATCH(J172,'Final List'!$N$4:$N$252,0),0)</f>
        <v>0</v>
      </c>
      <c r="R172" s="169">
        <f>IFERROR(MATCH(J172,'Final List'!$P$4:$P$252,0),0)</f>
        <v>0</v>
      </c>
      <c r="S172" s="169">
        <f t="shared" si="11"/>
        <v>0</v>
      </c>
      <c r="T172" s="116" t="s">
        <v>68</v>
      </c>
      <c r="U172" s="116"/>
      <c r="V172" s="116" t="str">
        <f t="shared" si="9"/>
        <v>SHEPHERD BB</v>
      </c>
      <c r="W172" s="116" t="s">
        <v>2711</v>
      </c>
    </row>
    <row r="173" spans="2:23" x14ac:dyDescent="0.25">
      <c r="B173" s="77" t="s">
        <v>93</v>
      </c>
      <c r="C173" s="77" t="s">
        <v>41</v>
      </c>
      <c r="D173" s="77" t="s">
        <v>108</v>
      </c>
      <c r="E173" s="77" t="s">
        <v>19</v>
      </c>
      <c r="F173" s="245" t="str">
        <f t="shared" si="10"/>
        <v>DVR 72</v>
      </c>
      <c r="G173" s="77" t="s">
        <v>352</v>
      </c>
      <c r="H173" s="77"/>
      <c r="I173" s="77" t="str">
        <f t="shared" si="8"/>
        <v>L06_CTV_007W_RAISE</v>
      </c>
      <c r="J173" s="77" t="s">
        <v>5387</v>
      </c>
      <c r="K173" s="169">
        <f>IFERROR(MATCH(J173,'Final List'!$B$4:$B$252,0),0)</f>
        <v>0</v>
      </c>
      <c r="L173" s="169">
        <f>IFERROR(MATCH(J173,'Final List'!$D$4:$D$252,0),0)</f>
        <v>0</v>
      </c>
      <c r="M173" s="169">
        <f>IFERROR(MATCH(J173,'Final List'!$F$4:$F$251,0),0)</f>
        <v>0</v>
      </c>
      <c r="N173" s="169">
        <f>IFERROR(MATCH(J173,'Final List'!$H$4:$H$252,0),0)</f>
        <v>0</v>
      </c>
      <c r="O173" s="169">
        <f>IFERROR(MATCH(J173,'Final List'!$J$4:$J$252,0),0)</f>
        <v>0</v>
      </c>
      <c r="P173" s="169">
        <f>IFERROR(MATCH(J173,'Final List'!$L$4:$L$252,0),0)</f>
        <v>0</v>
      </c>
      <c r="Q173" s="169">
        <f>IFERROR(MATCH(J173,'Final List'!$N$4:$N$252,0),0)</f>
        <v>0</v>
      </c>
      <c r="R173" s="169">
        <f>IFERROR(MATCH(J173,'Final List'!$P$4:$P$252,0),0)</f>
        <v>0</v>
      </c>
      <c r="S173" s="169">
        <f t="shared" si="11"/>
        <v>0</v>
      </c>
      <c r="T173" s="116"/>
      <c r="U173" s="116"/>
      <c r="V173" s="116" t="str">
        <f t="shared" si="9"/>
        <v>BAÑEZ 5</v>
      </c>
      <c r="W173" s="116" t="s">
        <v>2715</v>
      </c>
    </row>
    <row r="174" spans="2:23" x14ac:dyDescent="0.25">
      <c r="B174" s="77" t="s">
        <v>258</v>
      </c>
      <c r="C174" s="77" t="s">
        <v>59</v>
      </c>
      <c r="D174" s="77" t="s">
        <v>289</v>
      </c>
      <c r="E174" s="77" t="s">
        <v>36</v>
      </c>
      <c r="F174" s="245" t="str">
        <f t="shared" si="10"/>
        <v>StpS 77</v>
      </c>
      <c r="G174" s="77" t="s">
        <v>5702</v>
      </c>
      <c r="H174" s="77"/>
      <c r="I174" s="77" t="str">
        <f t="shared" si="8"/>
        <v>L10_GHVHW_059E_STOPE</v>
      </c>
      <c r="J174" s="77" t="s">
        <v>5925</v>
      </c>
      <c r="K174" s="169">
        <f>IFERROR(MATCH(J174,'Final List'!$B$4:$B$252,0),0)</f>
        <v>0</v>
      </c>
      <c r="L174" s="169">
        <f>IFERROR(MATCH(J174,'Final List'!$D$4:$D$252,0),0)</f>
        <v>0</v>
      </c>
      <c r="M174" s="169">
        <f>IFERROR(MATCH(J174,'Final List'!$F$4:$F$251,0),0)</f>
        <v>0</v>
      </c>
      <c r="N174" s="169">
        <f>IFERROR(MATCH(J174,'Final List'!$H$4:$H$252,0),0)</f>
        <v>0</v>
      </c>
      <c r="O174" s="169">
        <f>IFERROR(MATCH(J174,'Final List'!$J$4:$J$252,0),0)</f>
        <v>0</v>
      </c>
      <c r="P174" s="169">
        <f>IFERROR(MATCH(J174,'Final List'!$L$4:$L$252,0),0)</f>
        <v>0</v>
      </c>
      <c r="Q174" s="169">
        <f>IFERROR(MATCH(J174,'Final List'!$N$4:$N$252,0),0)</f>
        <v>0</v>
      </c>
      <c r="R174" s="169">
        <f>IFERROR(MATCH(J174,'Final List'!$P$4:$P$252,0),0)</f>
        <v>0</v>
      </c>
      <c r="S174" s="169">
        <f t="shared" si="11"/>
        <v>0</v>
      </c>
      <c r="T174" s="116" t="s">
        <v>68</v>
      </c>
      <c r="U174" s="116"/>
      <c r="V174" s="116" t="str">
        <f t="shared" si="9"/>
        <v>LARGO 3</v>
      </c>
      <c r="W174" s="116" t="s">
        <v>2713</v>
      </c>
    </row>
    <row r="175" spans="2:23" x14ac:dyDescent="0.25">
      <c r="B175" s="77" t="s">
        <v>92</v>
      </c>
      <c r="C175" s="77" t="s">
        <v>41</v>
      </c>
      <c r="D175" s="77" t="s">
        <v>120</v>
      </c>
      <c r="E175" s="77" t="s">
        <v>441</v>
      </c>
      <c r="F175" s="245" t="str">
        <f t="shared" si="10"/>
        <v>RobC 80</v>
      </c>
      <c r="G175" s="77" t="s">
        <v>5801</v>
      </c>
      <c r="H175" s="77"/>
      <c r="I175" s="77" t="str">
        <f t="shared" si="8"/>
        <v>L05_CTV_015E_WINZE STOPE PREP</v>
      </c>
      <c r="J175" s="77" t="s">
        <v>5274</v>
      </c>
      <c r="K175" s="169">
        <f>IFERROR(MATCH(J175,'Final List'!$B$4:$B$252,0),0)</f>
        <v>0</v>
      </c>
      <c r="L175" s="169">
        <f>IFERROR(MATCH(J175,'Final List'!$D$4:$D$252,0),0)</f>
        <v>0</v>
      </c>
      <c r="M175" s="169">
        <f>IFERROR(MATCH(J175,'Final List'!$F$4:$F$251,0),0)</f>
        <v>0</v>
      </c>
      <c r="N175" s="169">
        <f>IFERROR(MATCH(J175,'Final List'!$H$4:$H$252,0),0)</f>
        <v>0</v>
      </c>
      <c r="O175" s="169">
        <f>IFERROR(MATCH(J175,'Final List'!$J$4:$J$252,0),0)</f>
        <v>0</v>
      </c>
      <c r="P175" s="169">
        <f>IFERROR(MATCH(J175,'Final List'!$L$4:$L$252,0),0)</f>
        <v>0</v>
      </c>
      <c r="Q175" s="169">
        <f>IFERROR(MATCH(J175,'Final List'!$N$4:$N$252,0),0)</f>
        <v>0</v>
      </c>
      <c r="R175" s="169">
        <f>IFERROR(MATCH(J175,'Final List'!$P$4:$P$252,0),0)</f>
        <v>0</v>
      </c>
      <c r="S175" s="169">
        <f t="shared" si="11"/>
        <v>0</v>
      </c>
      <c r="T175" s="116" t="s">
        <v>68</v>
      </c>
      <c r="U175" s="116"/>
      <c r="V175" s="116" t="str">
        <f t="shared" si="9"/>
        <v>SHEPHERD AM 1</v>
      </c>
      <c r="W175" s="116" t="s">
        <v>2705</v>
      </c>
    </row>
    <row r="176" spans="2:23" x14ac:dyDescent="0.25">
      <c r="B176" s="77" t="s">
        <v>93</v>
      </c>
      <c r="C176" s="77" t="s">
        <v>45</v>
      </c>
      <c r="D176" s="77" t="s">
        <v>119</v>
      </c>
      <c r="E176" s="77" t="s">
        <v>19</v>
      </c>
      <c r="F176" s="245" t="str">
        <f t="shared" si="10"/>
        <v>DVR 72</v>
      </c>
      <c r="G176" s="77" t="s">
        <v>355</v>
      </c>
      <c r="H176" s="77"/>
      <c r="I176" s="77" t="str">
        <f t="shared" si="8"/>
        <v>L06_DPVE_012E_RAISE</v>
      </c>
      <c r="J176" s="77" t="s">
        <v>5747</v>
      </c>
      <c r="K176" s="169">
        <f>IFERROR(MATCH(J176,'Final List'!$B$4:$B$252,0),0)</f>
        <v>0</v>
      </c>
      <c r="L176" s="169">
        <f>IFERROR(MATCH(J176,'Final List'!$D$4:$D$252,0),0)</f>
        <v>0</v>
      </c>
      <c r="M176" s="169">
        <f>IFERROR(MATCH(J176,'Final List'!$F$4:$F$251,0),0)</f>
        <v>0</v>
      </c>
      <c r="N176" s="169">
        <f>IFERROR(MATCH(J176,'Final List'!$H$4:$H$252,0),0)</f>
        <v>0</v>
      </c>
      <c r="O176" s="169">
        <f>IFERROR(MATCH(J176,'Final List'!$J$4:$J$252,0),0)</f>
        <v>0</v>
      </c>
      <c r="P176" s="169">
        <f>IFERROR(MATCH(J176,'Final List'!$L$4:$L$252,0),0)</f>
        <v>0</v>
      </c>
      <c r="Q176" s="169">
        <f>IFERROR(MATCH(J176,'Final List'!$N$4:$N$252,0),0)</f>
        <v>0</v>
      </c>
      <c r="R176" s="169">
        <f>IFERROR(MATCH(J176,'Final List'!$P$4:$P$252,0),0)</f>
        <v>0</v>
      </c>
      <c r="S176" s="169">
        <f t="shared" si="11"/>
        <v>0</v>
      </c>
      <c r="T176" s="116"/>
      <c r="U176" s="116"/>
      <c r="V176" s="116" t="str">
        <f t="shared" si="9"/>
        <v>BAÑEZ 2</v>
      </c>
      <c r="W176" s="116" t="s">
        <v>2715</v>
      </c>
    </row>
    <row r="177" spans="2:23" x14ac:dyDescent="0.25">
      <c r="B177" s="77" t="s">
        <v>258</v>
      </c>
      <c r="C177" s="77" t="s">
        <v>39</v>
      </c>
      <c r="D177" s="77" t="s">
        <v>169</v>
      </c>
      <c r="E177" s="77" t="s">
        <v>36</v>
      </c>
      <c r="F177" s="245" t="str">
        <f t="shared" si="10"/>
        <v>StpS 77</v>
      </c>
      <c r="G177" s="77" t="s">
        <v>6926</v>
      </c>
      <c r="H177" s="77"/>
      <c r="I177" s="77" t="str">
        <f t="shared" si="8"/>
        <v>L10_JVHW_065E_STOPE</v>
      </c>
      <c r="J177" s="77" t="s">
        <v>5939</v>
      </c>
      <c r="K177" s="169">
        <f>IFERROR(MATCH(J177,'Final List'!$B$4:$B$252,0),0)</f>
        <v>0</v>
      </c>
      <c r="L177" s="169">
        <f>IFERROR(MATCH(J177,'Final List'!$D$4:$D$252,0),0)</f>
        <v>0</v>
      </c>
      <c r="M177" s="169">
        <f>IFERROR(MATCH(J177,'Final List'!$F$4:$F$251,0),0)</f>
        <v>0</v>
      </c>
      <c r="N177" s="169">
        <f>IFERROR(MATCH(J177,'Final List'!$H$4:$H$252,0),0)</f>
        <v>0</v>
      </c>
      <c r="O177" s="169">
        <f>IFERROR(MATCH(J177,'Final List'!$J$4:$J$252,0),0)</f>
        <v>0</v>
      </c>
      <c r="P177" s="169">
        <f>IFERROR(MATCH(J177,'Final List'!$L$4:$L$252,0),0)</f>
        <v>0</v>
      </c>
      <c r="Q177" s="169">
        <f>IFERROR(MATCH(J177,'Final List'!$N$4:$N$252,0),0)</f>
        <v>0</v>
      </c>
      <c r="R177" s="169">
        <f>IFERROR(MATCH(J177,'Final List'!$P$4:$P$252,0),0)</f>
        <v>0</v>
      </c>
      <c r="S177" s="169">
        <f t="shared" si="11"/>
        <v>0</v>
      </c>
      <c r="T177" s="116" t="s">
        <v>68</v>
      </c>
      <c r="U177" s="116"/>
      <c r="V177" s="116" t="str">
        <f t="shared" si="9"/>
        <v>DUHIG, R1</v>
      </c>
      <c r="W177" s="116" t="s">
        <v>2713</v>
      </c>
    </row>
    <row r="178" spans="2:23" x14ac:dyDescent="0.25">
      <c r="B178" s="77" t="s">
        <v>258</v>
      </c>
      <c r="C178" s="77" t="s">
        <v>39</v>
      </c>
      <c r="D178" s="77" t="s">
        <v>169</v>
      </c>
      <c r="E178" s="77" t="s">
        <v>19</v>
      </c>
      <c r="F178" s="245" t="str">
        <f t="shared" si="10"/>
        <v>DVR 72</v>
      </c>
      <c r="G178" s="77" t="s">
        <v>6851</v>
      </c>
      <c r="H178" s="77"/>
      <c r="I178" s="77" t="str">
        <f t="shared" si="8"/>
        <v>L10_JVHW_065E_RAISE</v>
      </c>
      <c r="J178" s="77" t="s">
        <v>10023</v>
      </c>
      <c r="K178" s="169">
        <f>IFERROR(MATCH(J178,'Final List'!$B$4:$B$252,0),0)</f>
        <v>0</v>
      </c>
      <c r="L178" s="169">
        <f>IFERROR(MATCH(J178,'Final List'!$D$4:$D$252,0),0)</f>
        <v>0</v>
      </c>
      <c r="M178" s="169">
        <f>IFERROR(MATCH(J178,'Final List'!$F$4:$F$251,0),0)</f>
        <v>0</v>
      </c>
      <c r="N178" s="169">
        <f>IFERROR(MATCH(J178,'Final List'!$H$4:$H$252,0),0)</f>
        <v>0</v>
      </c>
      <c r="O178" s="169">
        <f>IFERROR(MATCH(J178,'Final List'!$J$4:$J$252,0),0)</f>
        <v>0</v>
      </c>
      <c r="P178" s="169">
        <f>IFERROR(MATCH(J178,'Final List'!$L$4:$L$252,0),0)</f>
        <v>0</v>
      </c>
      <c r="Q178" s="169">
        <f>IFERROR(MATCH(J178,'Final List'!$N$4:$N$252,0),0)</f>
        <v>0</v>
      </c>
      <c r="R178" s="169">
        <f>IFERROR(MATCH(J178,'Final List'!$P$4:$P$252,0),0)</f>
        <v>0</v>
      </c>
      <c r="S178" s="169">
        <f t="shared" si="11"/>
        <v>0</v>
      </c>
      <c r="T178" s="116"/>
      <c r="U178" s="116"/>
      <c r="V178" s="116" t="str">
        <f t="shared" si="9"/>
        <v>OLIVEROS 5</v>
      </c>
      <c r="W178" s="116" t="s">
        <v>2710</v>
      </c>
    </row>
    <row r="179" spans="2:23" x14ac:dyDescent="0.25">
      <c r="B179" s="77" t="s">
        <v>96</v>
      </c>
      <c r="C179" s="77" t="s">
        <v>59</v>
      </c>
      <c r="D179" s="77" t="s">
        <v>169</v>
      </c>
      <c r="E179" s="77" t="s">
        <v>61</v>
      </c>
      <c r="F179" s="245" t="str">
        <f t="shared" si="10"/>
        <v>Dhoz 71</v>
      </c>
      <c r="G179" s="77" t="s">
        <v>362</v>
      </c>
      <c r="H179" s="77"/>
      <c r="I179" s="77" t="str">
        <f t="shared" si="8"/>
        <v>L09_GHVHW_065E_DW</v>
      </c>
      <c r="J179" s="77" t="s">
        <v>5752</v>
      </c>
      <c r="K179" s="169">
        <f>IFERROR(MATCH(J179,'Final List'!$B$4:$B$252,0),0)</f>
        <v>0</v>
      </c>
      <c r="L179" s="169">
        <f>IFERROR(MATCH(J179,'Final List'!$D$4:$D$252,0),0)</f>
        <v>0</v>
      </c>
      <c r="M179" s="169">
        <f>IFERROR(MATCH(J179,'Final List'!$F$4:$F$251,0),0)</f>
        <v>0</v>
      </c>
      <c r="N179" s="169">
        <f>IFERROR(MATCH(J179,'Final List'!$H$4:$H$252,0),0)</f>
        <v>0</v>
      </c>
      <c r="O179" s="169">
        <f>IFERROR(MATCH(J179,'Final List'!$J$4:$J$252,0),0)</f>
        <v>0</v>
      </c>
      <c r="P179" s="169">
        <f>IFERROR(MATCH(J179,'Final List'!$L$4:$L$252,0),0)</f>
        <v>0</v>
      </c>
      <c r="Q179" s="169">
        <f>IFERROR(MATCH(J179,'Final List'!$N$4:$N$252,0),0)</f>
        <v>0</v>
      </c>
      <c r="R179" s="169">
        <f>IFERROR(MATCH(J179,'Final List'!$P$4:$P$252,0),0)</f>
        <v>0</v>
      </c>
      <c r="S179" s="169">
        <f t="shared" si="11"/>
        <v>0</v>
      </c>
      <c r="T179" s="116"/>
      <c r="U179" s="116"/>
      <c r="V179" s="116" t="str">
        <f t="shared" si="9"/>
        <v>BABOR 1</v>
      </c>
      <c r="W179" s="116" t="s">
        <v>8896</v>
      </c>
    </row>
    <row r="180" spans="2:23" x14ac:dyDescent="0.25">
      <c r="B180" s="77" t="s">
        <v>92</v>
      </c>
      <c r="C180" s="77" t="s">
        <v>41</v>
      </c>
      <c r="D180" s="77" t="s">
        <v>5886</v>
      </c>
      <c r="E180" s="77" t="s">
        <v>221</v>
      </c>
      <c r="F180" s="245" t="str">
        <f t="shared" si="10"/>
        <v>RobC 80</v>
      </c>
      <c r="G180" s="77" t="s">
        <v>401</v>
      </c>
      <c r="H180" s="77"/>
      <c r="I180" s="77" t="str">
        <f t="shared" si="8"/>
        <v>L05_CTV_043W_WINZE STOPE</v>
      </c>
      <c r="J180" s="77" t="s">
        <v>5212</v>
      </c>
      <c r="K180" s="169">
        <f>IFERROR(MATCH(J180,'Final List'!$B$4:$B$252,0),0)</f>
        <v>0</v>
      </c>
      <c r="L180" s="169">
        <f>IFERROR(MATCH(J180,'Final List'!$D$4:$D$252,0),0)</f>
        <v>0</v>
      </c>
      <c r="M180" s="169">
        <f>IFERROR(MATCH(J180,'Final List'!$F$4:$F$251,0),0)</f>
        <v>0</v>
      </c>
      <c r="N180" s="169">
        <f>IFERROR(MATCH(J180,'Final List'!$H$4:$H$252,0),0)</f>
        <v>0</v>
      </c>
      <c r="O180" s="169">
        <f>IFERROR(MATCH(J180,'Final List'!$J$4:$J$252,0),0)</f>
        <v>0</v>
      </c>
      <c r="P180" s="169">
        <f>IFERROR(MATCH(J180,'Final List'!$L$4:$L$252,0),0)</f>
        <v>0</v>
      </c>
      <c r="Q180" s="169">
        <f>IFERROR(MATCH(J180,'Final List'!$N$4:$N$252,0),0)</f>
        <v>0</v>
      </c>
      <c r="R180" s="169">
        <f>IFERROR(MATCH(J180,'Final List'!$P$4:$P$252,0),0)</f>
        <v>0</v>
      </c>
      <c r="S180" s="169">
        <f t="shared" si="11"/>
        <v>0</v>
      </c>
      <c r="T180" s="116" t="s">
        <v>48</v>
      </c>
      <c r="U180" s="116"/>
      <c r="V180" s="116" t="str">
        <f t="shared" si="9"/>
        <v>MAPAYO 2</v>
      </c>
      <c r="W180" s="116" t="s">
        <v>2719</v>
      </c>
    </row>
    <row r="181" spans="2:23" x14ac:dyDescent="0.25">
      <c r="B181" s="77" t="s">
        <v>91</v>
      </c>
      <c r="C181" s="77" t="s">
        <v>41</v>
      </c>
      <c r="D181" s="77" t="s">
        <v>115</v>
      </c>
      <c r="E181" s="77" t="s">
        <v>19</v>
      </c>
      <c r="F181" s="245" t="str">
        <f t="shared" si="10"/>
        <v>DVR 72</v>
      </c>
      <c r="G181" s="77" t="s">
        <v>5712</v>
      </c>
      <c r="H181" s="77"/>
      <c r="I181" s="77" t="str">
        <f t="shared" si="8"/>
        <v>L04_CTV_019W_RAISE</v>
      </c>
      <c r="J181" s="77" t="s">
        <v>5403</v>
      </c>
      <c r="K181" s="169">
        <f>IFERROR(MATCH(J181,'Final List'!$B$4:$B$252,0),0)</f>
        <v>0</v>
      </c>
      <c r="L181" s="169">
        <f>IFERROR(MATCH(J181,'Final List'!$D$4:$D$252,0),0)</f>
        <v>0</v>
      </c>
      <c r="M181" s="169">
        <f>IFERROR(MATCH(J181,'Final List'!$F$4:$F$251,0),0)</f>
        <v>0</v>
      </c>
      <c r="N181" s="169">
        <f>IFERROR(MATCH(J181,'Final List'!$H$4:$H$252,0),0)</f>
        <v>0</v>
      </c>
      <c r="O181" s="169">
        <f>IFERROR(MATCH(J181,'Final List'!$J$4:$J$252,0),0)</f>
        <v>0</v>
      </c>
      <c r="P181" s="169">
        <f>IFERROR(MATCH(J181,'Final List'!$L$4:$L$252,0),0)</f>
        <v>0</v>
      </c>
      <c r="Q181" s="169">
        <f>IFERROR(MATCH(J181,'Final List'!$N$4:$N$252,0),0)</f>
        <v>0</v>
      </c>
      <c r="R181" s="169">
        <f>IFERROR(MATCH(J181,'Final List'!$P$4:$P$252,0),0)</f>
        <v>0</v>
      </c>
      <c r="S181" s="169">
        <f t="shared" si="11"/>
        <v>0</v>
      </c>
      <c r="T181" s="116"/>
      <c r="U181" s="116"/>
      <c r="V181" s="116" t="str">
        <f t="shared" si="9"/>
        <v>SHEPHERD AN 1</v>
      </c>
      <c r="W181" s="116" t="s">
        <v>2715</v>
      </c>
    </row>
    <row r="182" spans="2:23" x14ac:dyDescent="0.25">
      <c r="B182" s="77" t="s">
        <v>91</v>
      </c>
      <c r="C182" s="77" t="s">
        <v>41</v>
      </c>
      <c r="D182" s="77" t="s">
        <v>122</v>
      </c>
      <c r="E182" s="77" t="s">
        <v>19</v>
      </c>
      <c r="F182" s="245" t="str">
        <f t="shared" si="10"/>
        <v>DVR 72</v>
      </c>
      <c r="G182" s="77" t="s">
        <v>310</v>
      </c>
      <c r="H182" s="77"/>
      <c r="I182" s="77" t="str">
        <f t="shared" si="8"/>
        <v>L04_CTV_025E_RAISE</v>
      </c>
      <c r="J182" s="77" t="s">
        <v>5758</v>
      </c>
      <c r="K182" s="169">
        <f>IFERROR(MATCH(J182,'Final List'!$B$4:$B$252,0),0)</f>
        <v>0</v>
      </c>
      <c r="L182" s="169">
        <f>IFERROR(MATCH(J182,'Final List'!$D$4:$D$252,0),0)</f>
        <v>0</v>
      </c>
      <c r="M182" s="169">
        <f>IFERROR(MATCH(J182,'Final List'!$F$4:$F$251,0),0)</f>
        <v>0</v>
      </c>
      <c r="N182" s="169">
        <f>IFERROR(MATCH(J182,'Final List'!$H$4:$H$252,0),0)</f>
        <v>0</v>
      </c>
      <c r="O182" s="169">
        <f>IFERROR(MATCH(J182,'Final List'!$J$4:$J$252,0),0)</f>
        <v>0</v>
      </c>
      <c r="P182" s="169">
        <f>IFERROR(MATCH(J182,'Final List'!$L$4:$L$252,0),0)</f>
        <v>0</v>
      </c>
      <c r="Q182" s="169">
        <f>IFERROR(MATCH(J182,'Final List'!$N$4:$N$252,0),0)</f>
        <v>0</v>
      </c>
      <c r="R182" s="169">
        <f>IFERROR(MATCH(J182,'Final List'!$P$4:$P$252,0),0)</f>
        <v>0</v>
      </c>
      <c r="S182" s="169">
        <f t="shared" si="11"/>
        <v>0</v>
      </c>
      <c r="T182" s="116"/>
      <c r="U182" s="116"/>
      <c r="V182" s="116" t="str">
        <f t="shared" si="9"/>
        <v>MARTINEZ DN 1</v>
      </c>
      <c r="W182" s="116" t="s">
        <v>2715</v>
      </c>
    </row>
    <row r="183" spans="2:23" x14ac:dyDescent="0.25">
      <c r="B183" s="77" t="s">
        <v>96</v>
      </c>
      <c r="C183" s="77" t="s">
        <v>59</v>
      </c>
      <c r="D183" s="77" t="s">
        <v>201</v>
      </c>
      <c r="E183" s="77" t="s">
        <v>60</v>
      </c>
      <c r="F183" s="245" t="str">
        <f t="shared" si="10"/>
        <v>Dhoz 71</v>
      </c>
      <c r="G183" s="77" t="s">
        <v>1661</v>
      </c>
      <c r="H183" s="77"/>
      <c r="I183" s="77" t="str">
        <f t="shared" si="8"/>
        <v>L09_GHVHW_067E_DE</v>
      </c>
      <c r="J183" s="77" t="s">
        <v>2799</v>
      </c>
      <c r="K183" s="169">
        <f>IFERROR(MATCH(J183,'Final List'!$B$4:$B$252,0),0)</f>
        <v>0</v>
      </c>
      <c r="L183" s="169">
        <f>IFERROR(MATCH(J183,'Final List'!$D$4:$D$252,0),0)</f>
        <v>0</v>
      </c>
      <c r="M183" s="169">
        <f>IFERROR(MATCH(J183,'Final List'!$F$4:$F$251,0),0)</f>
        <v>0</v>
      </c>
      <c r="N183" s="169">
        <f>IFERROR(MATCH(J183,'Final List'!$H$4:$H$252,0),0)</f>
        <v>0</v>
      </c>
      <c r="O183" s="169">
        <f>IFERROR(MATCH(J183,'Final List'!$J$4:$J$252,0),0)</f>
        <v>0</v>
      </c>
      <c r="P183" s="169">
        <f>IFERROR(MATCH(J183,'Final List'!$L$4:$L$252,0),0)</f>
        <v>0</v>
      </c>
      <c r="Q183" s="169">
        <f>IFERROR(MATCH(J183,'Final List'!$N$4:$N$252,0),0)</f>
        <v>0</v>
      </c>
      <c r="R183" s="169">
        <f>IFERROR(MATCH(J183,'Final List'!$P$4:$P$252,0),0)</f>
        <v>0</v>
      </c>
      <c r="S183" s="169">
        <f t="shared" si="11"/>
        <v>0</v>
      </c>
      <c r="T183" s="116"/>
      <c r="U183" s="116"/>
      <c r="V183" s="116" t="str">
        <f t="shared" si="9"/>
        <v>DELOS REYES V2</v>
      </c>
      <c r="W183" s="116" t="s">
        <v>8896</v>
      </c>
    </row>
    <row r="184" spans="2:23" x14ac:dyDescent="0.25">
      <c r="B184" s="77" t="s">
        <v>258</v>
      </c>
      <c r="C184" s="77" t="s">
        <v>45</v>
      </c>
      <c r="D184" s="77" t="s">
        <v>130</v>
      </c>
      <c r="E184" s="77" t="s">
        <v>60</v>
      </c>
      <c r="F184" s="245" t="str">
        <f t="shared" si="10"/>
        <v>Dhoz 71</v>
      </c>
      <c r="G184" s="77" t="s">
        <v>484</v>
      </c>
      <c r="H184" s="77" t="s">
        <v>5775</v>
      </c>
      <c r="I184" s="77" t="str">
        <f t="shared" si="8"/>
        <v>L10_DPVE_036E_DE</v>
      </c>
      <c r="J184" s="77" t="s">
        <v>5762</v>
      </c>
      <c r="K184" s="169">
        <f>IFERROR(MATCH(J184,'Final List'!$B$4:$B$252,0),0)</f>
        <v>0</v>
      </c>
      <c r="L184" s="169">
        <f>IFERROR(MATCH(J184,'Final List'!$D$4:$D$252,0),0)</f>
        <v>0</v>
      </c>
      <c r="M184" s="169">
        <f>IFERROR(MATCH(J184,'Final List'!$F$4:$F$251,0),0)</f>
        <v>0</v>
      </c>
      <c r="N184" s="169">
        <f>IFERROR(MATCH(J184,'Final List'!$H$4:$H$252,0),0)</f>
        <v>0</v>
      </c>
      <c r="O184" s="169">
        <f>IFERROR(MATCH(J184,'Final List'!$J$4:$J$252,0),0)</f>
        <v>0</v>
      </c>
      <c r="P184" s="169">
        <f>IFERROR(MATCH(J184,'Final List'!$L$4:$L$252,0),0)</f>
        <v>0</v>
      </c>
      <c r="Q184" s="169">
        <f>IFERROR(MATCH(J184,'Final List'!$N$4:$N$252,0),0)</f>
        <v>0</v>
      </c>
      <c r="R184" s="169">
        <f>IFERROR(MATCH(J184,'Final List'!$P$4:$P$252,0),0)</f>
        <v>0</v>
      </c>
      <c r="S184" s="169">
        <f t="shared" si="11"/>
        <v>0</v>
      </c>
      <c r="T184" s="116"/>
      <c r="U184" s="116"/>
      <c r="V184" s="116" t="str">
        <f t="shared" si="9"/>
        <v>CATIGBE 1</v>
      </c>
      <c r="W184" s="116" t="s">
        <v>8896</v>
      </c>
    </row>
    <row r="185" spans="2:23" x14ac:dyDescent="0.25">
      <c r="B185" s="77" t="s">
        <v>94</v>
      </c>
      <c r="C185" s="77" t="s">
        <v>41</v>
      </c>
      <c r="D185" s="77" t="s">
        <v>119</v>
      </c>
      <c r="E185" s="77" t="s">
        <v>19</v>
      </c>
      <c r="F185" s="245" t="str">
        <f t="shared" si="10"/>
        <v>DVR 72</v>
      </c>
      <c r="G185" s="77" t="s">
        <v>5720</v>
      </c>
      <c r="H185" s="77"/>
      <c r="I185" s="77" t="str">
        <f t="shared" si="8"/>
        <v>L07_CTV_012E_RAISE</v>
      </c>
      <c r="J185" s="77" t="s">
        <v>294</v>
      </c>
      <c r="K185" s="169">
        <f>IFERROR(MATCH(J185,'Final List'!$B$4:$B$252,0),0)</f>
        <v>0</v>
      </c>
      <c r="L185" s="169">
        <f>IFERROR(MATCH(J185,'Final List'!$D$4:$D$252,0),0)</f>
        <v>0</v>
      </c>
      <c r="M185" s="169">
        <f>IFERROR(MATCH(J185,'Final List'!$F$4:$F$251,0),0)</f>
        <v>0</v>
      </c>
      <c r="N185" s="169">
        <f>IFERROR(MATCH(J185,'Final List'!$H$4:$H$252,0),0)</f>
        <v>0</v>
      </c>
      <c r="O185" s="169">
        <f>IFERROR(MATCH(J185,'Final List'!$J$4:$J$252,0),0)</f>
        <v>0</v>
      </c>
      <c r="P185" s="169">
        <f>IFERROR(MATCH(J185,'Final List'!$L$4:$L$252,0),0)</f>
        <v>0</v>
      </c>
      <c r="Q185" s="169">
        <f>IFERROR(MATCH(J185,'Final List'!$N$4:$N$252,0),0)</f>
        <v>0</v>
      </c>
      <c r="R185" s="169">
        <f>IFERROR(MATCH(J185,'Final List'!$P$4:$P$252,0),0)</f>
        <v>0</v>
      </c>
      <c r="S185" s="169">
        <f t="shared" si="11"/>
        <v>0</v>
      </c>
      <c r="T185" s="116"/>
      <c r="U185" s="116"/>
      <c r="V185" s="116" t="str">
        <f t="shared" si="9"/>
        <v>TURRA 1</v>
      </c>
      <c r="W185" s="116" t="s">
        <v>2715</v>
      </c>
    </row>
    <row r="186" spans="2:23" x14ac:dyDescent="0.25">
      <c r="B186" s="77" t="s">
        <v>96</v>
      </c>
      <c r="C186" s="77" t="s">
        <v>56</v>
      </c>
      <c r="D186" s="77" t="s">
        <v>159</v>
      </c>
      <c r="E186" s="77" t="s">
        <v>211</v>
      </c>
      <c r="F186" s="245" t="str">
        <f t="shared" si="10"/>
        <v>StpS 77</v>
      </c>
      <c r="G186" s="77" t="s">
        <v>346</v>
      </c>
      <c r="H186" s="77"/>
      <c r="I186" s="77" t="str">
        <f t="shared" si="8"/>
        <v>L09_GHVFW_023E_STOPE PREP</v>
      </c>
      <c r="J186" s="77" t="s">
        <v>6200</v>
      </c>
      <c r="K186" s="169">
        <f>IFERROR(MATCH(J186,'Final List'!$B$4:$B$252,0),0)</f>
        <v>0</v>
      </c>
      <c r="L186" s="169">
        <f>IFERROR(MATCH(J186,'Final List'!$D$4:$D$252,0),0)</f>
        <v>0</v>
      </c>
      <c r="M186" s="169">
        <f>IFERROR(MATCH(J186,'Final List'!$F$4:$F$251,0),0)</f>
        <v>0</v>
      </c>
      <c r="N186" s="169">
        <f>IFERROR(MATCH(J186,'Final List'!$H$4:$H$252,0),0)</f>
        <v>0</v>
      </c>
      <c r="O186" s="169">
        <f>IFERROR(MATCH(J186,'Final List'!$J$4:$J$252,0),0)</f>
        <v>0</v>
      </c>
      <c r="P186" s="169">
        <f>IFERROR(MATCH(J186,'Final List'!$L$4:$L$252,0),0)</f>
        <v>0</v>
      </c>
      <c r="Q186" s="169">
        <f>IFERROR(MATCH(J186,'Final List'!$N$4:$N$252,0),0)</f>
        <v>0</v>
      </c>
      <c r="R186" s="169">
        <f>IFERROR(MATCH(J186,'Final List'!$P$4:$P$252,0),0)</f>
        <v>0</v>
      </c>
      <c r="S186" s="169">
        <f t="shared" si="11"/>
        <v>0</v>
      </c>
      <c r="T186" s="116" t="s">
        <v>68</v>
      </c>
      <c r="U186" s="116"/>
      <c r="V186" s="116" t="str">
        <f t="shared" si="9"/>
        <v>PANSIT 2</v>
      </c>
      <c r="W186" s="116" t="s">
        <v>2712</v>
      </c>
    </row>
    <row r="187" spans="2:23" x14ac:dyDescent="0.25">
      <c r="B187" s="77" t="s">
        <v>96</v>
      </c>
      <c r="C187" s="77" t="s">
        <v>42</v>
      </c>
      <c r="D187" s="77" t="s">
        <v>5781</v>
      </c>
      <c r="E187" s="77" t="s">
        <v>61</v>
      </c>
      <c r="F187" s="245" t="str">
        <f t="shared" si="10"/>
        <v>Dhoz 71</v>
      </c>
      <c r="G187" s="77" t="s">
        <v>389</v>
      </c>
      <c r="H187" s="77"/>
      <c r="I187" s="77" t="str">
        <f t="shared" si="8"/>
        <v>L09_JV_051E_DW</v>
      </c>
      <c r="J187" s="77" t="s">
        <v>5766</v>
      </c>
      <c r="K187" s="169">
        <f>IFERROR(MATCH(J187,'Final List'!$B$4:$B$252,0),0)</f>
        <v>0</v>
      </c>
      <c r="L187" s="169">
        <f>IFERROR(MATCH(J187,'Final List'!$D$4:$D$252,0),0)</f>
        <v>0</v>
      </c>
      <c r="M187" s="169">
        <f>IFERROR(MATCH(J187,'Final List'!$F$4:$F$251,0),0)</f>
        <v>0</v>
      </c>
      <c r="N187" s="169">
        <f>IFERROR(MATCH(J187,'Final List'!$H$4:$H$252,0),0)</f>
        <v>0</v>
      </c>
      <c r="O187" s="169">
        <f>IFERROR(MATCH(J187,'Final List'!$J$4:$J$252,0),0)</f>
        <v>0</v>
      </c>
      <c r="P187" s="169">
        <f>IFERROR(MATCH(J187,'Final List'!$L$4:$L$252,0),0)</f>
        <v>0</v>
      </c>
      <c r="Q187" s="169">
        <f>IFERROR(MATCH(J187,'Final List'!$N$4:$N$252,0),0)</f>
        <v>0</v>
      </c>
      <c r="R187" s="169">
        <f>IFERROR(MATCH(J187,'Final List'!$P$4:$P$252,0),0)</f>
        <v>0</v>
      </c>
      <c r="S187" s="169">
        <f t="shared" si="11"/>
        <v>0</v>
      </c>
      <c r="T187" s="116"/>
      <c r="U187" s="116"/>
      <c r="V187" s="116" t="str">
        <f t="shared" si="9"/>
        <v>CAPPUYO 1</v>
      </c>
      <c r="W187" s="116" t="s">
        <v>8896</v>
      </c>
    </row>
    <row r="188" spans="2:23" x14ac:dyDescent="0.25">
      <c r="B188" s="77" t="s">
        <v>96</v>
      </c>
      <c r="C188" s="77" t="s">
        <v>59</v>
      </c>
      <c r="D188" s="77" t="s">
        <v>197</v>
      </c>
      <c r="E188" s="77" t="s">
        <v>19</v>
      </c>
      <c r="F188" s="245" t="str">
        <f t="shared" si="10"/>
        <v>DVR 72</v>
      </c>
      <c r="G188" s="77" t="s">
        <v>364</v>
      </c>
      <c r="H188" s="77"/>
      <c r="I188" s="77" t="str">
        <f t="shared" si="8"/>
        <v>L09_GHVHW_070E_RAISE</v>
      </c>
      <c r="J188" s="77" t="s">
        <v>5765</v>
      </c>
      <c r="K188" s="169">
        <f>IFERROR(MATCH(J188,'Final List'!$B$4:$B$252,0),0)</f>
        <v>0</v>
      </c>
      <c r="L188" s="169">
        <f>IFERROR(MATCH(J188,'Final List'!$D$4:$D$252,0),0)</f>
        <v>0</v>
      </c>
      <c r="M188" s="169">
        <f>IFERROR(MATCH(J188,'Final List'!$F$4:$F$251,0),0)</f>
        <v>0</v>
      </c>
      <c r="N188" s="169">
        <f>IFERROR(MATCH(J188,'Final List'!$H$4:$H$252,0),0)</f>
        <v>0</v>
      </c>
      <c r="O188" s="169">
        <f>IFERROR(MATCH(J188,'Final List'!$J$4:$J$252,0),0)</f>
        <v>0</v>
      </c>
      <c r="P188" s="169">
        <f>IFERROR(MATCH(J188,'Final List'!$L$4:$L$252,0),0)</f>
        <v>0</v>
      </c>
      <c r="Q188" s="169">
        <f>IFERROR(MATCH(J188,'Final List'!$N$4:$N$252,0),0)</f>
        <v>0</v>
      </c>
      <c r="R188" s="169">
        <f>IFERROR(MATCH(J188,'Final List'!$P$4:$P$252,0),0)</f>
        <v>0</v>
      </c>
      <c r="S188" s="169">
        <f t="shared" si="11"/>
        <v>0</v>
      </c>
      <c r="T188" s="116"/>
      <c r="U188" s="116"/>
      <c r="V188" s="116" t="str">
        <f t="shared" si="9"/>
        <v>BABOR 3</v>
      </c>
      <c r="W188" s="116" t="s">
        <v>2715</v>
      </c>
    </row>
    <row r="189" spans="2:23" x14ac:dyDescent="0.25">
      <c r="B189" s="77" t="s">
        <v>95</v>
      </c>
      <c r="C189" s="77" t="s">
        <v>38</v>
      </c>
      <c r="D189" s="77" t="s">
        <v>104</v>
      </c>
      <c r="E189" s="77" t="s">
        <v>36</v>
      </c>
      <c r="F189" s="245" t="str">
        <f t="shared" si="10"/>
        <v>StpS 77</v>
      </c>
      <c r="G189" s="77" t="s">
        <v>584</v>
      </c>
      <c r="H189" s="77"/>
      <c r="I189" s="77" t="str">
        <f t="shared" si="8"/>
        <v>L08_GHV_029W_STOPE</v>
      </c>
      <c r="J189" s="77" t="s">
        <v>5795</v>
      </c>
      <c r="K189" s="169">
        <f>IFERROR(MATCH(J189,'Final List'!$B$4:$B$252,0),0)</f>
        <v>0</v>
      </c>
      <c r="L189" s="169">
        <f>IFERROR(MATCH(J189,'Final List'!$D$4:$D$252,0),0)</f>
        <v>0</v>
      </c>
      <c r="M189" s="169">
        <f>IFERROR(MATCH(J189,'Final List'!$F$4:$F$251,0),0)</f>
        <v>0</v>
      </c>
      <c r="N189" s="169">
        <f>IFERROR(MATCH(J189,'Final List'!$H$4:$H$252,0),0)</f>
        <v>0</v>
      </c>
      <c r="O189" s="169">
        <f>IFERROR(MATCH(J189,'Final List'!$J$4:$J$252,0),0)</f>
        <v>0</v>
      </c>
      <c r="P189" s="169">
        <f>IFERROR(MATCH(J189,'Final List'!$L$4:$L$252,0),0)</f>
        <v>0</v>
      </c>
      <c r="Q189" s="169">
        <f>IFERROR(MATCH(J189,'Final List'!$N$4:$N$252,0),0)</f>
        <v>0</v>
      </c>
      <c r="R189" s="169">
        <f>IFERROR(MATCH(J189,'Final List'!$P$4:$P$252,0),0)</f>
        <v>0</v>
      </c>
      <c r="S189" s="169">
        <f t="shared" si="11"/>
        <v>0</v>
      </c>
      <c r="T189" s="116" t="s">
        <v>68</v>
      </c>
      <c r="U189" s="116"/>
      <c r="V189" s="116" t="str">
        <f t="shared" si="9"/>
        <v>VILLARANTE 2</v>
      </c>
      <c r="W189" s="116" t="s">
        <v>2713</v>
      </c>
    </row>
    <row r="190" spans="2:23" x14ac:dyDescent="0.25">
      <c r="B190" s="77" t="s">
        <v>95</v>
      </c>
      <c r="C190" s="77" t="s">
        <v>38</v>
      </c>
      <c r="D190" s="77" t="s">
        <v>128</v>
      </c>
      <c r="E190" s="77" t="s">
        <v>221</v>
      </c>
      <c r="F190" s="245" t="str">
        <f t="shared" si="10"/>
        <v>RobC 80</v>
      </c>
      <c r="G190" s="77" t="s">
        <v>583</v>
      </c>
      <c r="H190" s="77"/>
      <c r="I190" s="77" t="str">
        <f t="shared" si="8"/>
        <v>L08_GHV_027E_WINZE STOPE</v>
      </c>
      <c r="J190" s="77" t="s">
        <v>5794</v>
      </c>
      <c r="K190" s="169">
        <f>IFERROR(MATCH(J190,'Final List'!$B$4:$B$252,0),0)</f>
        <v>0</v>
      </c>
      <c r="L190" s="169">
        <f>IFERROR(MATCH(J190,'Final List'!$D$4:$D$252,0),0)</f>
        <v>0</v>
      </c>
      <c r="M190" s="169">
        <f>IFERROR(MATCH(J190,'Final List'!$F$4:$F$251,0),0)</f>
        <v>0</v>
      </c>
      <c r="N190" s="169">
        <f>IFERROR(MATCH(J190,'Final List'!$H$4:$H$252,0),0)</f>
        <v>0</v>
      </c>
      <c r="O190" s="169">
        <f>IFERROR(MATCH(J190,'Final List'!$J$4:$J$252,0),0)</f>
        <v>0</v>
      </c>
      <c r="P190" s="169">
        <f>IFERROR(MATCH(J190,'Final List'!$L$4:$L$252,0),0)</f>
        <v>0</v>
      </c>
      <c r="Q190" s="169">
        <f>IFERROR(MATCH(J190,'Final List'!$N$4:$N$252,0),0)</f>
        <v>0</v>
      </c>
      <c r="R190" s="169">
        <f>IFERROR(MATCH(J190,'Final List'!$P$4:$P$252,0),0)</f>
        <v>0</v>
      </c>
      <c r="S190" s="169">
        <f t="shared" si="11"/>
        <v>0</v>
      </c>
      <c r="T190" s="116" t="s">
        <v>48</v>
      </c>
      <c r="U190" s="116"/>
      <c r="V190" s="116" t="str">
        <f t="shared" si="9"/>
        <v>VILLARANTE 1</v>
      </c>
      <c r="W190" s="169" t="s">
        <v>2719</v>
      </c>
    </row>
    <row r="191" spans="2:23" x14ac:dyDescent="0.25">
      <c r="B191" s="77" t="s">
        <v>96</v>
      </c>
      <c r="C191" s="77" t="s">
        <v>59</v>
      </c>
      <c r="D191" s="77" t="s">
        <v>166</v>
      </c>
      <c r="E191" s="77" t="s">
        <v>211</v>
      </c>
      <c r="F191" s="245" t="str">
        <f t="shared" si="10"/>
        <v>StpS 77</v>
      </c>
      <c r="G191" s="77" t="s">
        <v>5763</v>
      </c>
      <c r="H191" s="77" t="s">
        <v>677</v>
      </c>
      <c r="I191" s="77" t="str">
        <f t="shared" si="8"/>
        <v>L09_GHVHW_068E_STOPE PREP</v>
      </c>
      <c r="J191" s="77" t="s">
        <v>5790</v>
      </c>
      <c r="K191" s="169">
        <f>IFERROR(MATCH(J191,'Final List'!$B$4:$B$252,0),0)</f>
        <v>0</v>
      </c>
      <c r="L191" s="169">
        <f>IFERROR(MATCH(J191,'Final List'!$D$4:$D$252,0),0)</f>
        <v>0</v>
      </c>
      <c r="M191" s="169">
        <f>IFERROR(MATCH(J191,'Final List'!$F$4:$F$251,0),0)</f>
        <v>0</v>
      </c>
      <c r="N191" s="169">
        <f>IFERROR(MATCH(J191,'Final List'!$H$4:$H$252,0),0)</f>
        <v>0</v>
      </c>
      <c r="O191" s="169">
        <f>IFERROR(MATCH(J191,'Final List'!$J$4:$J$252,0),0)</f>
        <v>0</v>
      </c>
      <c r="P191" s="169">
        <f>IFERROR(MATCH(J191,'Final List'!$L$4:$L$252,0),0)</f>
        <v>0</v>
      </c>
      <c r="Q191" s="169">
        <f>IFERROR(MATCH(J191,'Final List'!$N$4:$N$252,0),0)</f>
        <v>0</v>
      </c>
      <c r="R191" s="169">
        <f>IFERROR(MATCH(J191,'Final List'!$P$4:$P$252,0),0)</f>
        <v>0</v>
      </c>
      <c r="S191" s="169">
        <f t="shared" si="11"/>
        <v>0</v>
      </c>
      <c r="T191" s="116" t="s">
        <v>68</v>
      </c>
      <c r="U191" s="116"/>
      <c r="V191" s="116" t="str">
        <f t="shared" si="9"/>
        <v>PANSIT 6</v>
      </c>
      <c r="W191" s="116" t="s">
        <v>2712</v>
      </c>
    </row>
    <row r="192" spans="2:23" x14ac:dyDescent="0.25">
      <c r="B192" s="77" t="s">
        <v>96</v>
      </c>
      <c r="C192" s="77" t="s">
        <v>87</v>
      </c>
      <c r="D192" s="77" t="s">
        <v>5887</v>
      </c>
      <c r="E192" s="77" t="s">
        <v>63</v>
      </c>
      <c r="F192" s="245" t="str">
        <f t="shared" si="10"/>
        <v>Dhoz 71</v>
      </c>
      <c r="G192" s="77" t="s">
        <v>4558</v>
      </c>
      <c r="H192" s="77"/>
      <c r="I192" s="77" t="str">
        <f t="shared" si="8"/>
        <v>L09_NONE_085E_XCS</v>
      </c>
      <c r="J192" s="77" t="s">
        <v>5788</v>
      </c>
      <c r="K192" s="169">
        <f>IFERROR(MATCH(J192,'Final List'!$B$4:$B$252,0),0)</f>
        <v>0</v>
      </c>
      <c r="L192" s="169">
        <f>IFERROR(MATCH(J192,'Final List'!$D$4:$D$252,0),0)</f>
        <v>0</v>
      </c>
      <c r="M192" s="169">
        <f>IFERROR(MATCH(J192,'Final List'!$F$4:$F$251,0),0)</f>
        <v>0</v>
      </c>
      <c r="N192" s="169">
        <f>IFERROR(MATCH(J192,'Final List'!$H$4:$H$252,0),0)</f>
        <v>0</v>
      </c>
      <c r="O192" s="169">
        <f>IFERROR(MATCH(J192,'Final List'!$J$4:$J$252,0),0)</f>
        <v>0</v>
      </c>
      <c r="P192" s="169">
        <f>IFERROR(MATCH(J192,'Final List'!$L$4:$L$252,0),0)</f>
        <v>0</v>
      </c>
      <c r="Q192" s="169">
        <f>IFERROR(MATCH(J192,'Final List'!$N$4:$N$252,0),0)</f>
        <v>0</v>
      </c>
      <c r="R192" s="169">
        <f>IFERROR(MATCH(J192,'Final List'!$P$4:$P$252,0),0)</f>
        <v>0</v>
      </c>
      <c r="S192" s="169">
        <f t="shared" si="11"/>
        <v>0</v>
      </c>
      <c r="T192" s="116"/>
      <c r="U192" s="116"/>
      <c r="V192" s="116" t="str">
        <f t="shared" si="9"/>
        <v>DELOS REYES V 3</v>
      </c>
      <c r="W192" s="116" t="s">
        <v>8898</v>
      </c>
    </row>
    <row r="193" spans="2:23" x14ac:dyDescent="0.25">
      <c r="B193" s="77" t="s">
        <v>95</v>
      </c>
      <c r="C193" s="77" t="s">
        <v>43</v>
      </c>
      <c r="D193" s="77" t="s">
        <v>195</v>
      </c>
      <c r="E193" s="77" t="s">
        <v>221</v>
      </c>
      <c r="F193" s="245" t="str">
        <f t="shared" si="10"/>
        <v>RobC 80</v>
      </c>
      <c r="G193" s="77" t="s">
        <v>942</v>
      </c>
      <c r="H193" s="77"/>
      <c r="I193" s="77" t="str">
        <f t="shared" si="8"/>
        <v>L08_GHVSPLIT_008W_WINZE STOPE</v>
      </c>
      <c r="J193" s="77" t="s">
        <v>5808</v>
      </c>
      <c r="K193" s="169">
        <f>IFERROR(MATCH(J193,'Final List'!$B$4:$B$252,0),0)</f>
        <v>0</v>
      </c>
      <c r="L193" s="169">
        <f>IFERROR(MATCH(J193,'Final List'!$D$4:$D$252,0),0)</f>
        <v>0</v>
      </c>
      <c r="M193" s="169">
        <f>IFERROR(MATCH(J193,'Final List'!$F$4:$F$251,0),0)</f>
        <v>0</v>
      </c>
      <c r="N193" s="169">
        <f>IFERROR(MATCH(J193,'Final List'!$H$4:$H$252,0),0)</f>
        <v>0</v>
      </c>
      <c r="O193" s="169">
        <f>IFERROR(MATCH(J193,'Final List'!$J$4:$J$252,0),0)</f>
        <v>0</v>
      </c>
      <c r="P193" s="169">
        <f>IFERROR(MATCH(J193,'Final List'!$L$4:$L$252,0),0)</f>
        <v>0</v>
      </c>
      <c r="Q193" s="169">
        <f>IFERROR(MATCH(J193,'Final List'!$N$4:$N$252,0),0)</f>
        <v>0</v>
      </c>
      <c r="R193" s="169">
        <f>IFERROR(MATCH(J193,'Final List'!$P$4:$P$252,0),0)</f>
        <v>0</v>
      </c>
      <c r="S193" s="169">
        <f t="shared" si="11"/>
        <v>0</v>
      </c>
      <c r="T193" s="116" t="s">
        <v>48</v>
      </c>
      <c r="U193" s="116"/>
      <c r="V193" s="116" t="str">
        <f t="shared" si="9"/>
        <v>AGLOLO 3</v>
      </c>
      <c r="W193" s="116" t="s">
        <v>2719</v>
      </c>
    </row>
    <row r="194" spans="2:23" x14ac:dyDescent="0.25">
      <c r="B194" s="77" t="s">
        <v>258</v>
      </c>
      <c r="C194" s="77" t="s">
        <v>56</v>
      </c>
      <c r="D194" s="77" t="s">
        <v>174</v>
      </c>
      <c r="E194" s="77" t="s">
        <v>61</v>
      </c>
      <c r="F194" s="245" t="str">
        <f t="shared" si="10"/>
        <v>Dhoz 71</v>
      </c>
      <c r="G194" s="77" t="s">
        <v>1905</v>
      </c>
      <c r="H194" s="77"/>
      <c r="I194" s="77" t="str">
        <f t="shared" ref="I194:I257" si="12">CONCATENATE(B194,"_",C194,"_",D194,"_",E194)</f>
        <v>L10_GHVFW_052E_DW</v>
      </c>
      <c r="J194" s="77" t="s">
        <v>7378</v>
      </c>
      <c r="K194" s="169">
        <f>IFERROR(MATCH(J194,'Final List'!$B$4:$B$252,0),0)</f>
        <v>0</v>
      </c>
      <c r="L194" s="169">
        <f>IFERROR(MATCH(J194,'Final List'!$D$4:$D$252,0),0)</f>
        <v>0</v>
      </c>
      <c r="M194" s="169">
        <f>IFERROR(MATCH(J194,'Final List'!$F$4:$F$251,0),0)</f>
        <v>0</v>
      </c>
      <c r="N194" s="169">
        <f>IFERROR(MATCH(J194,'Final List'!$H$4:$H$252,0),0)</f>
        <v>0</v>
      </c>
      <c r="O194" s="169">
        <f>IFERROR(MATCH(J194,'Final List'!$J$4:$J$252,0),0)</f>
        <v>0</v>
      </c>
      <c r="P194" s="169">
        <f>IFERROR(MATCH(J194,'Final List'!$L$4:$L$252,0),0)</f>
        <v>0</v>
      </c>
      <c r="Q194" s="169">
        <f>IFERROR(MATCH(J194,'Final List'!$N$4:$N$252,0),0)</f>
        <v>0</v>
      </c>
      <c r="R194" s="169">
        <f>IFERROR(MATCH(J194,'Final List'!$P$4:$P$252,0),0)</f>
        <v>0</v>
      </c>
      <c r="S194" s="169">
        <f t="shared" si="11"/>
        <v>0</v>
      </c>
      <c r="T194" s="116"/>
      <c r="U194" s="116"/>
      <c r="V194" s="116" t="str">
        <f t="shared" ref="V194:V257" si="13">IF(H194="",G194,H194)</f>
        <v>MONTEBON 1</v>
      </c>
      <c r="W194" s="116" t="s">
        <v>8896</v>
      </c>
    </row>
    <row r="195" spans="2:23" x14ac:dyDescent="0.25">
      <c r="B195" s="77" t="s">
        <v>258</v>
      </c>
      <c r="C195" s="77" t="s">
        <v>57</v>
      </c>
      <c r="D195" s="77" t="s">
        <v>595</v>
      </c>
      <c r="E195" s="77" t="s">
        <v>36</v>
      </c>
      <c r="F195" s="245" t="str">
        <f t="shared" ref="F195:F258" si="14">IF(OR(E195="XCN",E195="DE",E195="DW",E195="DN",E195="XCS",E195="XCE",E195="XCW",E195="SUMP",E195="BYPASS",E195="CHAMBER",E195="DRAIN HOLE",E195="DRILLING CHAMBER",E195="DE_ISL",E195="DW_ISL",E195="REHAB"),"Dhoz 71",IF(OR(E195="RAISE",E195="RAISE_ISL"),"DVR 72",IF(E195="ALIMAK","DVA 73",IF(E195="WINZE","DVW 74",IF(E195="SHAFT","DVS 75",IF(AND(E195="WINZE STOPE",T195="S"),"RobC 80",IF(AND(E195="STOPE",T195="S"),"StpS 77",IF(AND(E195="WINZE STOPE",T195="L"),"RobC 80",IF(AND(E195="STOPE",T195="L"),"StpL 78",IF(AND(E195="WINZE STOPE PREP",T195="S"),"RobC 80",IF(AND(E195="STOPE PREP",T195="S"),"StpS 77",IF(AND(E195="WINZE STOPE PREP",T195="L"),"RobC 80",IF(AND(E195="STOPE PREP",T195="L"),"StpL 78",IF(AND(E195="ROBBING",T195="L"),"RobC 80",IF(AND(E195="ROBBING",T195="S"),"RobS 79",0)))))))))))))))</f>
        <v>StpS 77</v>
      </c>
      <c r="G195" s="77" t="s">
        <v>5746</v>
      </c>
      <c r="H195" s="77"/>
      <c r="I195" s="77" t="str">
        <f t="shared" si="12"/>
        <v>L10_JVSPLIT_072E_STOPE</v>
      </c>
      <c r="J195" s="77" t="s">
        <v>5819</v>
      </c>
      <c r="K195" s="169">
        <f>IFERROR(MATCH(J195,'Final List'!$B$4:$B$252,0),0)</f>
        <v>0</v>
      </c>
      <c r="L195" s="169">
        <f>IFERROR(MATCH(J195,'Final List'!$D$4:$D$252,0),0)</f>
        <v>0</v>
      </c>
      <c r="M195" s="169">
        <f>IFERROR(MATCH(J195,'Final List'!$F$4:$F$251,0),0)</f>
        <v>0</v>
      </c>
      <c r="N195" s="169">
        <f>IFERROR(MATCH(J195,'Final List'!$H$4:$H$252,0),0)</f>
        <v>0</v>
      </c>
      <c r="O195" s="169">
        <f>IFERROR(MATCH(J195,'Final List'!$J$4:$J$252,0),0)</f>
        <v>0</v>
      </c>
      <c r="P195" s="169">
        <f>IFERROR(MATCH(J195,'Final List'!$L$4:$L$252,0),0)</f>
        <v>0</v>
      </c>
      <c r="Q195" s="169">
        <f>IFERROR(MATCH(J195,'Final List'!$N$4:$N$252,0),0)</f>
        <v>0</v>
      </c>
      <c r="R195" s="169">
        <f>IFERROR(MATCH(J195,'Final List'!$P$4:$P$252,0),0)</f>
        <v>0</v>
      </c>
      <c r="S195" s="169">
        <f t="shared" ref="S195:S258" si="15">SUM(K195:R195)</f>
        <v>0</v>
      </c>
      <c r="T195" s="116" t="s">
        <v>68</v>
      </c>
      <c r="U195" s="116"/>
      <c r="V195" s="116" t="str">
        <f t="shared" si="13"/>
        <v xml:space="preserve">SHEPHERD W </v>
      </c>
      <c r="W195" s="116" t="s">
        <v>2713</v>
      </c>
    </row>
    <row r="196" spans="2:23" x14ac:dyDescent="0.25">
      <c r="B196" s="77" t="s">
        <v>96</v>
      </c>
      <c r="C196" s="77" t="s">
        <v>46</v>
      </c>
      <c r="D196" s="77" t="s">
        <v>177</v>
      </c>
      <c r="E196" s="77" t="s">
        <v>60</v>
      </c>
      <c r="F196" s="245" t="str">
        <f t="shared" si="14"/>
        <v>Dhoz 71</v>
      </c>
      <c r="G196" s="77" t="s">
        <v>5057</v>
      </c>
      <c r="H196" s="77"/>
      <c r="I196" s="77" t="str">
        <f t="shared" si="12"/>
        <v>L09_DPVE2_054E_DE</v>
      </c>
      <c r="J196" s="77" t="s">
        <v>5822</v>
      </c>
      <c r="K196" s="169">
        <f>IFERROR(MATCH(J196,'Final List'!$B$4:$B$252,0),0)</f>
        <v>0</v>
      </c>
      <c r="L196" s="169">
        <f>IFERROR(MATCH(J196,'Final List'!$D$4:$D$252,0),0)</f>
        <v>0</v>
      </c>
      <c r="M196" s="169">
        <f>IFERROR(MATCH(J196,'Final List'!$F$4:$F$251,0),0)</f>
        <v>0</v>
      </c>
      <c r="N196" s="169">
        <f>IFERROR(MATCH(J196,'Final List'!$H$4:$H$252,0),0)</f>
        <v>0</v>
      </c>
      <c r="O196" s="169">
        <f>IFERROR(MATCH(J196,'Final List'!$J$4:$J$252,0),0)</f>
        <v>0</v>
      </c>
      <c r="P196" s="169">
        <f>IFERROR(MATCH(J196,'Final List'!$L$4:$L$252,0),0)</f>
        <v>0</v>
      </c>
      <c r="Q196" s="169">
        <f>IFERROR(MATCH(J196,'Final List'!$N$4:$N$252,0),0)</f>
        <v>0</v>
      </c>
      <c r="R196" s="169">
        <f>IFERROR(MATCH(J196,'Final List'!$P$4:$P$252,0),0)</f>
        <v>0</v>
      </c>
      <c r="S196" s="169">
        <f t="shared" si="15"/>
        <v>0</v>
      </c>
      <c r="T196" s="116"/>
      <c r="U196" s="116"/>
      <c r="V196" s="116" t="str">
        <f t="shared" si="13"/>
        <v>DELOS REYES V 1</v>
      </c>
      <c r="W196" s="116" t="s">
        <v>8896</v>
      </c>
    </row>
    <row r="197" spans="2:23" x14ac:dyDescent="0.25">
      <c r="B197" s="77" t="s">
        <v>92</v>
      </c>
      <c r="C197" s="77" t="s">
        <v>42</v>
      </c>
      <c r="D197" s="77" t="s">
        <v>123</v>
      </c>
      <c r="E197" s="77" t="s">
        <v>221</v>
      </c>
      <c r="F197" s="245" t="str">
        <f t="shared" si="14"/>
        <v>RobC 80</v>
      </c>
      <c r="G197" s="77" t="s">
        <v>2969</v>
      </c>
      <c r="H197" s="77"/>
      <c r="I197" s="77" t="str">
        <f t="shared" si="12"/>
        <v>L05_JV_031E_WINZE STOPE</v>
      </c>
      <c r="J197" s="77" t="s">
        <v>5810</v>
      </c>
      <c r="K197" s="169">
        <f>IFERROR(MATCH(J197,'Final List'!$B$4:$B$252,0),0)</f>
        <v>0</v>
      </c>
      <c r="L197" s="169">
        <f>IFERROR(MATCH(J197,'Final List'!$D$4:$D$252,0),0)</f>
        <v>0</v>
      </c>
      <c r="M197" s="169">
        <f>IFERROR(MATCH(J197,'Final List'!$F$4:$F$251,0),0)</f>
        <v>0</v>
      </c>
      <c r="N197" s="169">
        <f>IFERROR(MATCH(J197,'Final List'!$H$4:$H$252,0),0)</f>
        <v>0</v>
      </c>
      <c r="O197" s="169">
        <f>IFERROR(MATCH(J197,'Final List'!$J$4:$J$252,0),0)</f>
        <v>0</v>
      </c>
      <c r="P197" s="169">
        <f>IFERROR(MATCH(J197,'Final List'!$L$4:$L$252,0),0)</f>
        <v>0</v>
      </c>
      <c r="Q197" s="169">
        <f>IFERROR(MATCH(J197,'Final List'!$N$4:$N$252,0),0)</f>
        <v>0</v>
      </c>
      <c r="R197" s="169">
        <f>IFERROR(MATCH(J197,'Final List'!$P$4:$P$252,0),0)</f>
        <v>0</v>
      </c>
      <c r="S197" s="169">
        <f t="shared" si="15"/>
        <v>0</v>
      </c>
      <c r="T197" s="116" t="s">
        <v>68</v>
      </c>
      <c r="U197" s="116"/>
      <c r="V197" s="116" t="str">
        <f t="shared" si="13"/>
        <v>SAMBERE 1</v>
      </c>
      <c r="W197" s="116" t="s">
        <v>2719</v>
      </c>
    </row>
    <row r="198" spans="2:23" x14ac:dyDescent="0.25">
      <c r="B198" s="77" t="s">
        <v>91</v>
      </c>
      <c r="C198" s="77" t="s">
        <v>41</v>
      </c>
      <c r="D198" s="77" t="s">
        <v>115</v>
      </c>
      <c r="E198" s="77" t="s">
        <v>36</v>
      </c>
      <c r="F198" s="245" t="str">
        <f t="shared" si="14"/>
        <v>StpL 78</v>
      </c>
      <c r="G198" s="77" t="s">
        <v>5712</v>
      </c>
      <c r="H198" s="77" t="s">
        <v>5767</v>
      </c>
      <c r="I198" s="77" t="str">
        <f t="shared" si="12"/>
        <v>L04_CTV_019W_STOPE</v>
      </c>
      <c r="J198" s="77" t="s">
        <v>5825</v>
      </c>
      <c r="K198" s="169">
        <f>IFERROR(MATCH(J198,'Final List'!$B$4:$B$252,0),0)</f>
        <v>0</v>
      </c>
      <c r="L198" s="169">
        <f>IFERROR(MATCH(J198,'Final List'!$D$4:$D$252,0),0)</f>
        <v>0</v>
      </c>
      <c r="M198" s="169">
        <f>IFERROR(MATCH(J198,'Final List'!$F$4:$F$251,0),0)</f>
        <v>0</v>
      </c>
      <c r="N198" s="169">
        <f>IFERROR(MATCH(J198,'Final List'!$H$4:$H$252,0),0)</f>
        <v>0</v>
      </c>
      <c r="O198" s="169">
        <f>IFERROR(MATCH(J198,'Final List'!$J$4:$J$252,0),0)</f>
        <v>0</v>
      </c>
      <c r="P198" s="169">
        <f>IFERROR(MATCH(J198,'Final List'!$L$4:$L$252,0),0)</f>
        <v>0</v>
      </c>
      <c r="Q198" s="169">
        <f>IFERROR(MATCH(J198,'Final List'!$N$4:$N$252,0),0)</f>
        <v>0</v>
      </c>
      <c r="R198" s="169">
        <f>IFERROR(MATCH(J198,'Final List'!$P$4:$P$252,0),0)</f>
        <v>0</v>
      </c>
      <c r="S198" s="169">
        <f t="shared" si="15"/>
        <v>0</v>
      </c>
      <c r="T198" s="116" t="s">
        <v>48</v>
      </c>
      <c r="U198" s="116"/>
      <c r="V198" s="116" t="str">
        <f t="shared" si="13"/>
        <v>MARTINEZ, RON 3</v>
      </c>
      <c r="W198" s="116" t="s">
        <v>2713</v>
      </c>
    </row>
    <row r="199" spans="2:23" x14ac:dyDescent="0.25">
      <c r="B199" s="77" t="s">
        <v>91</v>
      </c>
      <c r="C199" s="77" t="s">
        <v>39</v>
      </c>
      <c r="D199" s="77" t="s">
        <v>118</v>
      </c>
      <c r="E199" s="77" t="s">
        <v>19</v>
      </c>
      <c r="F199" s="245" t="str">
        <f t="shared" si="14"/>
        <v>DVR 72</v>
      </c>
      <c r="G199" s="77" t="s">
        <v>461</v>
      </c>
      <c r="H199" s="77"/>
      <c r="I199" s="77" t="str">
        <f t="shared" si="12"/>
        <v>L04_JVHW_014E_RAISE</v>
      </c>
      <c r="J199" s="77" t="s">
        <v>5827</v>
      </c>
      <c r="K199" s="169">
        <f>IFERROR(MATCH(J199,'Final List'!$B$4:$B$252,0),0)</f>
        <v>0</v>
      </c>
      <c r="L199" s="169">
        <f>IFERROR(MATCH(J199,'Final List'!$D$4:$D$252,0),0)</f>
        <v>0</v>
      </c>
      <c r="M199" s="169">
        <f>IFERROR(MATCH(J199,'Final List'!$F$4:$F$251,0),0)</f>
        <v>0</v>
      </c>
      <c r="N199" s="169">
        <f>IFERROR(MATCH(J199,'Final List'!$H$4:$H$252,0),0)</f>
        <v>0</v>
      </c>
      <c r="O199" s="169">
        <f>IFERROR(MATCH(J199,'Final List'!$J$4:$J$252,0),0)</f>
        <v>0</v>
      </c>
      <c r="P199" s="169">
        <f>IFERROR(MATCH(J199,'Final List'!$L$4:$L$252,0),0)</f>
        <v>0</v>
      </c>
      <c r="Q199" s="169">
        <f>IFERROR(MATCH(J199,'Final List'!$N$4:$N$252,0),0)</f>
        <v>0</v>
      </c>
      <c r="R199" s="169">
        <f>IFERROR(MATCH(J199,'Final List'!$P$4:$P$252,0),0)</f>
        <v>0</v>
      </c>
      <c r="S199" s="169">
        <f t="shared" si="15"/>
        <v>0</v>
      </c>
      <c r="T199" s="116"/>
      <c r="U199" s="116"/>
      <c r="V199" s="116" t="str">
        <f t="shared" si="13"/>
        <v>PANSIT 4</v>
      </c>
      <c r="W199" s="116" t="s">
        <v>2710</v>
      </c>
    </row>
    <row r="200" spans="2:23" x14ac:dyDescent="0.25">
      <c r="B200" s="77" t="s">
        <v>96</v>
      </c>
      <c r="C200" s="77" t="s">
        <v>46</v>
      </c>
      <c r="D200" s="77" t="s">
        <v>5602</v>
      </c>
      <c r="E200" s="77" t="s">
        <v>211</v>
      </c>
      <c r="F200" s="245" t="str">
        <f t="shared" si="14"/>
        <v>StpS 77</v>
      </c>
      <c r="G200" s="77" t="s">
        <v>745</v>
      </c>
      <c r="H200" s="77"/>
      <c r="I200" s="77" t="str">
        <f t="shared" si="12"/>
        <v>L09_DPVE2_053E_STOPE PREP</v>
      </c>
      <c r="J200" s="77" t="s">
        <v>5789</v>
      </c>
      <c r="K200" s="169">
        <f>IFERROR(MATCH(J200,'Final List'!$B$4:$B$252,0),0)</f>
        <v>0</v>
      </c>
      <c r="L200" s="169">
        <f>IFERROR(MATCH(J200,'Final List'!$D$4:$D$252,0),0)</f>
        <v>0</v>
      </c>
      <c r="M200" s="169">
        <f>IFERROR(MATCH(J200,'Final List'!$F$4:$F$251,0),0)</f>
        <v>0</v>
      </c>
      <c r="N200" s="169">
        <f>IFERROR(MATCH(J200,'Final List'!$H$4:$H$252,0),0)</f>
        <v>0</v>
      </c>
      <c r="O200" s="169">
        <f>IFERROR(MATCH(J200,'Final List'!$J$4:$J$252,0),0)</f>
        <v>0</v>
      </c>
      <c r="P200" s="169">
        <f>IFERROR(MATCH(J200,'Final List'!$L$4:$L$252,0),0)</f>
        <v>0</v>
      </c>
      <c r="Q200" s="169">
        <f>IFERROR(MATCH(J200,'Final List'!$N$4:$N$252,0),0)</f>
        <v>0</v>
      </c>
      <c r="R200" s="169">
        <f>IFERROR(MATCH(J200,'Final List'!$P$4:$P$252,0),0)</f>
        <v>0</v>
      </c>
      <c r="S200" s="169">
        <f t="shared" si="15"/>
        <v>0</v>
      </c>
      <c r="T200" s="116" t="s">
        <v>68</v>
      </c>
      <c r="U200" s="116"/>
      <c r="V200" s="116" t="str">
        <f t="shared" si="13"/>
        <v>CANOY 2</v>
      </c>
      <c r="W200" s="116" t="s">
        <v>2712</v>
      </c>
    </row>
    <row r="201" spans="2:23" x14ac:dyDescent="0.25">
      <c r="B201" s="77" t="s">
        <v>96</v>
      </c>
      <c r="C201" s="77" t="s">
        <v>39</v>
      </c>
      <c r="D201" s="77" t="s">
        <v>120</v>
      </c>
      <c r="E201" s="77" t="s">
        <v>19</v>
      </c>
      <c r="F201" s="245" t="str">
        <f t="shared" si="14"/>
        <v>DVR 72</v>
      </c>
      <c r="G201" s="77" t="s">
        <v>389</v>
      </c>
      <c r="H201" s="77"/>
      <c r="I201" s="77" t="str">
        <f t="shared" si="12"/>
        <v>L09_JVHW_015E_RAISE</v>
      </c>
      <c r="J201" s="77" t="s">
        <v>5806</v>
      </c>
      <c r="K201" s="169">
        <f>IFERROR(MATCH(J201,'Final List'!$B$4:$B$252,0),0)</f>
        <v>0</v>
      </c>
      <c r="L201" s="169">
        <f>IFERROR(MATCH(J201,'Final List'!$D$4:$D$252,0),0)</f>
        <v>0</v>
      </c>
      <c r="M201" s="169">
        <f>IFERROR(MATCH(J201,'Final List'!$F$4:$F$251,0),0)</f>
        <v>0</v>
      </c>
      <c r="N201" s="169">
        <f>IFERROR(MATCH(J201,'Final List'!$H$4:$H$252,0),0)</f>
        <v>0</v>
      </c>
      <c r="O201" s="169">
        <f>IFERROR(MATCH(J201,'Final List'!$J$4:$J$252,0),0)</f>
        <v>0</v>
      </c>
      <c r="P201" s="169">
        <f>IFERROR(MATCH(J201,'Final List'!$L$4:$L$252,0),0)</f>
        <v>0</v>
      </c>
      <c r="Q201" s="169">
        <f>IFERROR(MATCH(J201,'Final List'!$N$4:$N$252,0),0)</f>
        <v>0</v>
      </c>
      <c r="R201" s="169">
        <f>IFERROR(MATCH(J201,'Final List'!$P$4:$P$252,0),0)</f>
        <v>0</v>
      </c>
      <c r="S201" s="169">
        <f t="shared" si="15"/>
        <v>0</v>
      </c>
      <c r="T201" s="116"/>
      <c r="U201" s="116"/>
      <c r="V201" s="116" t="str">
        <f t="shared" si="13"/>
        <v>CAPPUYO 1</v>
      </c>
      <c r="W201" s="116" t="s">
        <v>2715</v>
      </c>
    </row>
    <row r="202" spans="2:23" x14ac:dyDescent="0.25">
      <c r="B202" s="77" t="s">
        <v>93</v>
      </c>
      <c r="C202" s="77" t="s">
        <v>44</v>
      </c>
      <c r="D202" s="77" t="s">
        <v>5835</v>
      </c>
      <c r="E202" s="77" t="s">
        <v>19</v>
      </c>
      <c r="F202" s="245" t="str">
        <f t="shared" si="14"/>
        <v>DVR 72</v>
      </c>
      <c r="G202" s="77" t="s">
        <v>350</v>
      </c>
      <c r="H202" s="77"/>
      <c r="I202" s="77" t="str">
        <f t="shared" si="12"/>
        <v>L06_CV_003W_RAISE</v>
      </c>
      <c r="J202" s="77" t="s">
        <v>151</v>
      </c>
      <c r="K202" s="169">
        <f>IFERROR(MATCH(J202,'Final List'!$B$4:$B$252,0),0)</f>
        <v>0</v>
      </c>
      <c r="L202" s="169">
        <f>IFERROR(MATCH(J202,'Final List'!$D$4:$D$252,0),0)</f>
        <v>0</v>
      </c>
      <c r="M202" s="169">
        <f>IFERROR(MATCH(J202,'Final List'!$F$4:$F$251,0),0)</f>
        <v>0</v>
      </c>
      <c r="N202" s="169">
        <f>IFERROR(MATCH(J202,'Final List'!$H$4:$H$252,0),0)</f>
        <v>0</v>
      </c>
      <c r="O202" s="169">
        <f>IFERROR(MATCH(J202,'Final List'!$J$4:$J$252,0),0)</f>
        <v>0</v>
      </c>
      <c r="P202" s="169">
        <f>IFERROR(MATCH(J202,'Final List'!$L$4:$L$252,0),0)</f>
        <v>0</v>
      </c>
      <c r="Q202" s="169">
        <f>IFERROR(MATCH(J202,'Final List'!$N$4:$N$252,0),0)</f>
        <v>0</v>
      </c>
      <c r="R202" s="169">
        <f>IFERROR(MATCH(J202,'Final List'!$P$4:$P$252,0),0)</f>
        <v>0</v>
      </c>
      <c r="S202" s="169">
        <f t="shared" si="15"/>
        <v>0</v>
      </c>
      <c r="T202" s="116"/>
      <c r="U202" s="116"/>
      <c r="V202" s="116" t="str">
        <f t="shared" si="13"/>
        <v>QUIJANO 1</v>
      </c>
      <c r="W202" s="116" t="s">
        <v>2715</v>
      </c>
    </row>
    <row r="203" spans="2:23" x14ac:dyDescent="0.25">
      <c r="B203" s="77" t="s">
        <v>93</v>
      </c>
      <c r="C203" s="77" t="s">
        <v>57</v>
      </c>
      <c r="D203" s="77" t="s">
        <v>5631</v>
      </c>
      <c r="E203" s="77" t="s">
        <v>36</v>
      </c>
      <c r="F203" s="245" t="str">
        <f t="shared" si="14"/>
        <v>StpL 78</v>
      </c>
      <c r="G203" s="77" t="s">
        <v>936</v>
      </c>
      <c r="H203" s="77"/>
      <c r="I203" s="77" t="str">
        <f t="shared" si="12"/>
        <v>L06_JVSPLIT_020E_STOPE</v>
      </c>
      <c r="J203" s="77" t="s">
        <v>5837</v>
      </c>
      <c r="K203" s="169">
        <f>IFERROR(MATCH(J203,'Final List'!$B$4:$B$252,0),0)</f>
        <v>0</v>
      </c>
      <c r="L203" s="169">
        <f>IFERROR(MATCH(J203,'Final List'!$D$4:$D$252,0),0)</f>
        <v>0</v>
      </c>
      <c r="M203" s="169">
        <f>IFERROR(MATCH(J203,'Final List'!$F$4:$F$251,0),0)</f>
        <v>0</v>
      </c>
      <c r="N203" s="169">
        <f>IFERROR(MATCH(J203,'Final List'!$H$4:$H$252,0),0)</f>
        <v>0</v>
      </c>
      <c r="O203" s="169">
        <f>IFERROR(MATCH(J203,'Final List'!$J$4:$J$252,0),0)</f>
        <v>0</v>
      </c>
      <c r="P203" s="169">
        <f>IFERROR(MATCH(J203,'Final List'!$L$4:$L$252,0),0)</f>
        <v>0</v>
      </c>
      <c r="Q203" s="169">
        <f>IFERROR(MATCH(J203,'Final List'!$N$4:$N$252,0),0)</f>
        <v>0</v>
      </c>
      <c r="R203" s="169">
        <f>IFERROR(MATCH(J203,'Final List'!$P$4:$P$252,0),0)</f>
        <v>0</v>
      </c>
      <c r="S203" s="169">
        <f t="shared" si="15"/>
        <v>0</v>
      </c>
      <c r="T203" s="116" t="s">
        <v>48</v>
      </c>
      <c r="U203" s="116"/>
      <c r="V203" s="116" t="str">
        <f t="shared" si="13"/>
        <v>GUNAY 2</v>
      </c>
      <c r="W203" s="116" t="s">
        <v>2713</v>
      </c>
    </row>
    <row r="204" spans="2:23" x14ac:dyDescent="0.25">
      <c r="B204" s="77" t="s">
        <v>91</v>
      </c>
      <c r="C204" s="77" t="s">
        <v>44</v>
      </c>
      <c r="D204" s="77" t="s">
        <v>171</v>
      </c>
      <c r="E204" s="77" t="s">
        <v>62</v>
      </c>
      <c r="F204" s="245" t="str">
        <f t="shared" si="14"/>
        <v>RobS 79</v>
      </c>
      <c r="G204" s="77" t="s">
        <v>352</v>
      </c>
      <c r="H204" s="77"/>
      <c r="I204" s="77" t="str">
        <f t="shared" si="12"/>
        <v>L04_CV_015W_ROBBING</v>
      </c>
      <c r="J204" s="77" t="s">
        <v>5404</v>
      </c>
      <c r="K204" s="169">
        <f>IFERROR(MATCH(J204,'Final List'!$B$4:$B$252,0),0)</f>
        <v>0</v>
      </c>
      <c r="L204" s="169">
        <f>IFERROR(MATCH(J204,'Final List'!$D$4:$D$252,0),0)</f>
        <v>0</v>
      </c>
      <c r="M204" s="169">
        <f>IFERROR(MATCH(J204,'Final List'!$F$4:$F$251,0),0)</f>
        <v>0</v>
      </c>
      <c r="N204" s="169">
        <f>IFERROR(MATCH(J204,'Final List'!$H$4:$H$252,0),0)</f>
        <v>0</v>
      </c>
      <c r="O204" s="169">
        <f>IFERROR(MATCH(J204,'Final List'!$J$4:$J$252,0),0)</f>
        <v>0</v>
      </c>
      <c r="P204" s="169">
        <f>IFERROR(MATCH(J204,'Final List'!$L$4:$L$252,0),0)</f>
        <v>0</v>
      </c>
      <c r="Q204" s="169">
        <f>IFERROR(MATCH(J204,'Final List'!$N$4:$N$252,0),0)</f>
        <v>0</v>
      </c>
      <c r="R204" s="169">
        <f>IFERROR(MATCH(J204,'Final List'!$P$4:$P$252,0),0)</f>
        <v>0</v>
      </c>
      <c r="S204" s="169">
        <f t="shared" si="15"/>
        <v>0</v>
      </c>
      <c r="T204" s="116" t="s">
        <v>68</v>
      </c>
      <c r="U204" s="116"/>
      <c r="V204" s="116" t="str">
        <f t="shared" si="13"/>
        <v>BAÑEZ 5</v>
      </c>
      <c r="W204" s="116" t="s">
        <v>2707</v>
      </c>
    </row>
    <row r="205" spans="2:23" x14ac:dyDescent="0.25">
      <c r="B205" s="77" t="s">
        <v>96</v>
      </c>
      <c r="C205" s="77" t="s">
        <v>57</v>
      </c>
      <c r="D205" s="77" t="s">
        <v>118</v>
      </c>
      <c r="E205" s="77" t="s">
        <v>19</v>
      </c>
      <c r="F205" s="245" t="str">
        <f t="shared" si="14"/>
        <v>DVR 72</v>
      </c>
      <c r="G205" s="77" t="s">
        <v>460</v>
      </c>
      <c r="H205" s="77"/>
      <c r="I205" s="77" t="str">
        <f t="shared" si="12"/>
        <v>L09_JVSPLIT_014E_RAISE</v>
      </c>
      <c r="J205" s="77" t="s">
        <v>5618</v>
      </c>
      <c r="K205" s="169">
        <f>IFERROR(MATCH(J205,'Final List'!$B$4:$B$252,0),0)</f>
        <v>0</v>
      </c>
      <c r="L205" s="169">
        <f>IFERROR(MATCH(J205,'Final List'!$D$4:$D$252,0),0)</f>
        <v>0</v>
      </c>
      <c r="M205" s="169">
        <f>IFERROR(MATCH(J205,'Final List'!$F$4:$F$251,0),0)</f>
        <v>0</v>
      </c>
      <c r="N205" s="169">
        <f>IFERROR(MATCH(J205,'Final List'!$H$4:$H$252,0),0)</f>
        <v>0</v>
      </c>
      <c r="O205" s="169">
        <f>IFERROR(MATCH(J205,'Final List'!$J$4:$J$252,0),0)</f>
        <v>0</v>
      </c>
      <c r="P205" s="169">
        <f>IFERROR(MATCH(J205,'Final List'!$L$4:$L$252,0),0)</f>
        <v>0</v>
      </c>
      <c r="Q205" s="169">
        <f>IFERROR(MATCH(J205,'Final List'!$N$4:$N$252,0),0)</f>
        <v>0</v>
      </c>
      <c r="R205" s="169">
        <f>IFERROR(MATCH(J205,'Final List'!$P$4:$P$252,0),0)</f>
        <v>0</v>
      </c>
      <c r="S205" s="169">
        <f t="shared" si="15"/>
        <v>0</v>
      </c>
      <c r="T205" s="116"/>
      <c r="U205" s="116"/>
      <c r="V205" s="116" t="str">
        <f t="shared" si="13"/>
        <v>PANSIT 5</v>
      </c>
      <c r="W205" s="116" t="s">
        <v>2715</v>
      </c>
    </row>
    <row r="206" spans="2:23" x14ac:dyDescent="0.25">
      <c r="B206" s="77" t="s">
        <v>96</v>
      </c>
      <c r="C206" s="77" t="s">
        <v>46</v>
      </c>
      <c r="D206" s="77" t="s">
        <v>133</v>
      </c>
      <c r="E206" s="77" t="s">
        <v>36</v>
      </c>
      <c r="F206" s="245" t="str">
        <f t="shared" si="14"/>
        <v>StpL 78</v>
      </c>
      <c r="G206" s="77" t="s">
        <v>5774</v>
      </c>
      <c r="H206" s="77" t="s">
        <v>364</v>
      </c>
      <c r="I206" s="77" t="str">
        <f t="shared" si="12"/>
        <v>L09_DPVE2_037E_STOPE</v>
      </c>
      <c r="J206" s="77" t="s">
        <v>3835</v>
      </c>
      <c r="K206" s="169">
        <f>IFERROR(MATCH(J206,'Final List'!$B$4:$B$252,0),0)</f>
        <v>0</v>
      </c>
      <c r="L206" s="169">
        <f>IFERROR(MATCH(J206,'Final List'!$D$4:$D$252,0),0)</f>
        <v>0</v>
      </c>
      <c r="M206" s="169">
        <f>IFERROR(MATCH(J206,'Final List'!$F$4:$F$251,0),0)</f>
        <v>0</v>
      </c>
      <c r="N206" s="169">
        <f>IFERROR(MATCH(J206,'Final List'!$H$4:$H$252,0),0)</f>
        <v>0</v>
      </c>
      <c r="O206" s="169">
        <f>IFERROR(MATCH(J206,'Final List'!$J$4:$J$252,0),0)</f>
        <v>0</v>
      </c>
      <c r="P206" s="169">
        <f>IFERROR(MATCH(J206,'Final List'!$L$4:$L$252,0),0)</f>
        <v>0</v>
      </c>
      <c r="Q206" s="169">
        <f>IFERROR(MATCH(J206,'Final List'!$N$4:$N$252,0),0)</f>
        <v>0</v>
      </c>
      <c r="R206" s="169">
        <f>IFERROR(MATCH(J206,'Final List'!$P$4:$P$252,0),0)</f>
        <v>0</v>
      </c>
      <c r="S206" s="169">
        <f t="shared" si="15"/>
        <v>0</v>
      </c>
      <c r="T206" s="116" t="s">
        <v>48</v>
      </c>
      <c r="U206" s="116"/>
      <c r="V206" s="116" t="str">
        <f t="shared" si="13"/>
        <v>BABOR 3</v>
      </c>
      <c r="W206" s="116" t="s">
        <v>2713</v>
      </c>
    </row>
    <row r="207" spans="2:23" x14ac:dyDescent="0.25">
      <c r="B207" s="77" t="s">
        <v>94</v>
      </c>
      <c r="C207" s="77" t="s">
        <v>87</v>
      </c>
      <c r="D207" s="77" t="s">
        <v>5844</v>
      </c>
      <c r="E207" s="77" t="s">
        <v>37</v>
      </c>
      <c r="F207" s="245" t="str">
        <f t="shared" si="14"/>
        <v>Dhoz 71</v>
      </c>
      <c r="G207" s="77" t="s">
        <v>5817</v>
      </c>
      <c r="H207" s="77"/>
      <c r="I207" s="77" t="str">
        <f t="shared" si="12"/>
        <v>L07_NONE_009W_XCN</v>
      </c>
      <c r="J207" s="77" t="s">
        <v>5816</v>
      </c>
      <c r="K207" s="169">
        <f>IFERROR(MATCH(J207,'Final List'!$B$4:$B$252,0),0)</f>
        <v>0</v>
      </c>
      <c r="L207" s="169">
        <f>IFERROR(MATCH(J207,'Final List'!$D$4:$D$252,0),0)</f>
        <v>0</v>
      </c>
      <c r="M207" s="169">
        <f>IFERROR(MATCH(J207,'Final List'!$F$4:$F$251,0),0)</f>
        <v>0</v>
      </c>
      <c r="N207" s="169">
        <f>IFERROR(MATCH(J207,'Final List'!$H$4:$H$252,0),0)</f>
        <v>0</v>
      </c>
      <c r="O207" s="169">
        <f>IFERROR(MATCH(J207,'Final List'!$J$4:$J$252,0),0)</f>
        <v>0</v>
      </c>
      <c r="P207" s="169">
        <f>IFERROR(MATCH(J207,'Final List'!$L$4:$L$252,0),0)</f>
        <v>0</v>
      </c>
      <c r="Q207" s="169">
        <f>IFERROR(MATCH(J207,'Final List'!$N$4:$N$252,0),0)</f>
        <v>0</v>
      </c>
      <c r="R207" s="169">
        <f>IFERROR(MATCH(J207,'Final List'!$P$4:$P$252,0),0)</f>
        <v>0</v>
      </c>
      <c r="S207" s="169">
        <f t="shared" si="15"/>
        <v>0</v>
      </c>
      <c r="T207" s="116"/>
      <c r="U207" s="116"/>
      <c r="V207" s="116" t="str">
        <f t="shared" si="13"/>
        <v>SHEPHERD AK</v>
      </c>
      <c r="W207" s="116" t="s">
        <v>8897</v>
      </c>
    </row>
    <row r="208" spans="2:23" x14ac:dyDescent="0.25">
      <c r="B208" s="77" t="s">
        <v>93</v>
      </c>
      <c r="C208" s="77" t="s">
        <v>56</v>
      </c>
      <c r="D208" s="77" t="s">
        <v>102</v>
      </c>
      <c r="E208" s="77" t="s">
        <v>62</v>
      </c>
      <c r="F208" s="245" t="str">
        <f t="shared" si="14"/>
        <v>RobS 79</v>
      </c>
      <c r="G208" s="77" t="s">
        <v>457</v>
      </c>
      <c r="H208" s="77"/>
      <c r="I208" s="77" t="str">
        <f t="shared" si="12"/>
        <v>L06_GHVFW_034W_ROBBING</v>
      </c>
      <c r="J208" s="77" t="s">
        <v>5846</v>
      </c>
      <c r="K208" s="169">
        <f>IFERROR(MATCH(J208,'Final List'!$B$4:$B$252,0),0)</f>
        <v>0</v>
      </c>
      <c r="L208" s="169">
        <f>IFERROR(MATCH(J208,'Final List'!$D$4:$D$252,0),0)</f>
        <v>0</v>
      </c>
      <c r="M208" s="169">
        <f>IFERROR(MATCH(J208,'Final List'!$F$4:$F$251,0),0)</f>
        <v>0</v>
      </c>
      <c r="N208" s="169">
        <f>IFERROR(MATCH(J208,'Final List'!$H$4:$H$252,0),0)</f>
        <v>0</v>
      </c>
      <c r="O208" s="169">
        <f>IFERROR(MATCH(J208,'Final List'!$J$4:$J$252,0),0)</f>
        <v>0</v>
      </c>
      <c r="P208" s="169">
        <f>IFERROR(MATCH(J208,'Final List'!$L$4:$L$252,0),0)</f>
        <v>0</v>
      </c>
      <c r="Q208" s="169">
        <f>IFERROR(MATCH(J208,'Final List'!$N$4:$N$252,0),0)</f>
        <v>0</v>
      </c>
      <c r="R208" s="169">
        <f>IFERROR(MATCH(J208,'Final List'!$P$4:$P$252,0),0)</f>
        <v>0</v>
      </c>
      <c r="S208" s="169">
        <f t="shared" si="15"/>
        <v>0</v>
      </c>
      <c r="T208" s="116" t="s">
        <v>68</v>
      </c>
      <c r="U208" s="116"/>
      <c r="V208" s="116" t="str">
        <f t="shared" si="13"/>
        <v>DOLARIZA 1</v>
      </c>
      <c r="W208" s="116" t="s">
        <v>2707</v>
      </c>
    </row>
    <row r="209" spans="2:23" x14ac:dyDescent="0.25">
      <c r="B209" s="77" t="s">
        <v>93</v>
      </c>
      <c r="C209" s="77" t="s">
        <v>56</v>
      </c>
      <c r="D209" s="77" t="s">
        <v>104</v>
      </c>
      <c r="E209" s="77" t="s">
        <v>62</v>
      </c>
      <c r="F209" s="245" t="str">
        <f t="shared" si="14"/>
        <v>RobS 79</v>
      </c>
      <c r="G209" s="77" t="s">
        <v>5717</v>
      </c>
      <c r="H209" s="77"/>
      <c r="I209" s="77" t="str">
        <f t="shared" si="12"/>
        <v>L06_GHVFW_029W_ROBBING</v>
      </c>
      <c r="J209" s="77" t="s">
        <v>3633</v>
      </c>
      <c r="K209" s="169">
        <f>IFERROR(MATCH(J209,'Final List'!$B$4:$B$252,0),0)</f>
        <v>0</v>
      </c>
      <c r="L209" s="169">
        <f>IFERROR(MATCH(J209,'Final List'!$D$4:$D$252,0),0)</f>
        <v>0</v>
      </c>
      <c r="M209" s="169">
        <f>IFERROR(MATCH(J209,'Final List'!$F$4:$F$251,0),0)</f>
        <v>0</v>
      </c>
      <c r="N209" s="169">
        <f>IFERROR(MATCH(J209,'Final List'!$H$4:$H$252,0),0)</f>
        <v>0</v>
      </c>
      <c r="O209" s="169">
        <f>IFERROR(MATCH(J209,'Final List'!$J$4:$J$252,0),0)</f>
        <v>0</v>
      </c>
      <c r="P209" s="169">
        <f>IFERROR(MATCH(J209,'Final List'!$L$4:$L$252,0),0)</f>
        <v>0</v>
      </c>
      <c r="Q209" s="169">
        <f>IFERROR(MATCH(J209,'Final List'!$N$4:$N$252,0),0)</f>
        <v>0</v>
      </c>
      <c r="R209" s="169">
        <f>IFERROR(MATCH(J209,'Final List'!$P$4:$P$252,0),0)</f>
        <v>0</v>
      </c>
      <c r="S209" s="169">
        <f t="shared" si="15"/>
        <v>0</v>
      </c>
      <c r="T209" s="116" t="s">
        <v>68</v>
      </c>
      <c r="U209" s="116"/>
      <c r="V209" s="116" t="str">
        <f t="shared" si="13"/>
        <v>SHEPHERD AC 1</v>
      </c>
      <c r="W209" s="116" t="s">
        <v>2707</v>
      </c>
    </row>
    <row r="210" spans="2:23" x14ac:dyDescent="0.25">
      <c r="B210" s="77" t="s">
        <v>93</v>
      </c>
      <c r="C210" s="77" t="s">
        <v>44</v>
      </c>
      <c r="D210" s="77" t="s">
        <v>108</v>
      </c>
      <c r="E210" s="77" t="s">
        <v>62</v>
      </c>
      <c r="F210" s="245" t="str">
        <f t="shared" si="14"/>
        <v>RobS 79</v>
      </c>
      <c r="G210" s="77" t="s">
        <v>354</v>
      </c>
      <c r="H210" s="77"/>
      <c r="I210" s="77" t="str">
        <f t="shared" si="12"/>
        <v>L06_CV_007W_ROBBING</v>
      </c>
      <c r="J210" s="77" t="s">
        <v>4888</v>
      </c>
      <c r="K210" s="169">
        <f>IFERROR(MATCH(J210,'Final List'!$B$4:$B$252,0),0)</f>
        <v>0</v>
      </c>
      <c r="L210" s="169">
        <f>IFERROR(MATCH(J210,'Final List'!$D$4:$D$252,0),0)</f>
        <v>0</v>
      </c>
      <c r="M210" s="169">
        <f>IFERROR(MATCH(J210,'Final List'!$F$4:$F$251,0),0)</f>
        <v>0</v>
      </c>
      <c r="N210" s="169">
        <f>IFERROR(MATCH(J210,'Final List'!$H$4:$H$252,0),0)</f>
        <v>0</v>
      </c>
      <c r="O210" s="169">
        <f>IFERROR(MATCH(J210,'Final List'!$J$4:$J$252,0),0)</f>
        <v>0</v>
      </c>
      <c r="P210" s="169">
        <f>IFERROR(MATCH(J210,'Final List'!$L$4:$L$252,0),0)</f>
        <v>0</v>
      </c>
      <c r="Q210" s="169">
        <f>IFERROR(MATCH(J210,'Final List'!$N$4:$N$252,0),0)</f>
        <v>0</v>
      </c>
      <c r="R210" s="169">
        <f>IFERROR(MATCH(J210,'Final List'!$P$4:$P$252,0),0)</f>
        <v>0</v>
      </c>
      <c r="S210" s="169">
        <f t="shared" si="15"/>
        <v>0</v>
      </c>
      <c r="T210" s="116" t="s">
        <v>68</v>
      </c>
      <c r="U210" s="116"/>
      <c r="V210" s="116" t="str">
        <f t="shared" si="13"/>
        <v>BAÑEZ 3</v>
      </c>
      <c r="W210" s="116" t="s">
        <v>2707</v>
      </c>
    </row>
    <row r="211" spans="2:23" x14ac:dyDescent="0.25">
      <c r="B211" s="77" t="s">
        <v>93</v>
      </c>
      <c r="C211" s="77" t="s">
        <v>42</v>
      </c>
      <c r="D211" s="77" t="s">
        <v>129</v>
      </c>
      <c r="E211" s="77" t="s">
        <v>20</v>
      </c>
      <c r="F211" s="245" t="str">
        <f t="shared" si="14"/>
        <v>DVW 74</v>
      </c>
      <c r="G211" s="77" t="s">
        <v>341</v>
      </c>
      <c r="H211" s="77"/>
      <c r="I211" s="77" t="str">
        <f t="shared" si="12"/>
        <v>L06_JV_010E_WINZE</v>
      </c>
      <c r="J211" s="77" t="s">
        <v>5927</v>
      </c>
      <c r="K211" s="169">
        <f>IFERROR(MATCH(J211,'Final List'!$B$4:$B$252,0),0)</f>
        <v>0</v>
      </c>
      <c r="L211" s="169">
        <f>IFERROR(MATCH(J211,'Final List'!$D$4:$D$252,0),0)</f>
        <v>0</v>
      </c>
      <c r="M211" s="169">
        <f>IFERROR(MATCH(J211,'Final List'!$F$4:$F$251,0),0)</f>
        <v>0</v>
      </c>
      <c r="N211" s="169">
        <f>IFERROR(MATCH(J211,'Final List'!$H$4:$H$252,0),0)</f>
        <v>0</v>
      </c>
      <c r="O211" s="169">
        <f>IFERROR(MATCH(J211,'Final List'!$J$4:$J$252,0),0)</f>
        <v>0</v>
      </c>
      <c r="P211" s="169">
        <f>IFERROR(MATCH(J211,'Final List'!$L$4:$L$252,0),0)</f>
        <v>0</v>
      </c>
      <c r="Q211" s="169">
        <f>IFERROR(MATCH(J211,'Final List'!$N$4:$N$252,0),0)</f>
        <v>0</v>
      </c>
      <c r="R211" s="169">
        <f>IFERROR(MATCH(J211,'Final List'!$P$4:$P$252,0),0)</f>
        <v>0</v>
      </c>
      <c r="S211" s="169">
        <f t="shared" si="15"/>
        <v>0</v>
      </c>
      <c r="T211" s="116"/>
      <c r="U211" s="116"/>
      <c r="V211" s="116" t="str">
        <f t="shared" si="13"/>
        <v>BADBADON 1</v>
      </c>
      <c r="W211" s="116" t="s">
        <v>2706</v>
      </c>
    </row>
    <row r="212" spans="2:23" x14ac:dyDescent="0.25">
      <c r="B212" s="77" t="s">
        <v>93</v>
      </c>
      <c r="C212" s="77" t="s">
        <v>57</v>
      </c>
      <c r="D212" s="77" t="s">
        <v>5850</v>
      </c>
      <c r="E212" s="77" t="s">
        <v>441</v>
      </c>
      <c r="F212" s="245" t="str">
        <f t="shared" si="14"/>
        <v>RobC 80</v>
      </c>
      <c r="G212" s="77" t="s">
        <v>378</v>
      </c>
      <c r="H212" s="77"/>
      <c r="I212" s="77" t="str">
        <f t="shared" si="12"/>
        <v>L06_JVSPLIT_016E_WINZE STOPE PREP</v>
      </c>
      <c r="J212" s="77" t="s">
        <v>5847</v>
      </c>
      <c r="K212" s="169">
        <f>IFERROR(MATCH(J212,'Final List'!$B$4:$B$252,0),0)</f>
        <v>0</v>
      </c>
      <c r="L212" s="169">
        <f>IFERROR(MATCH(J212,'Final List'!$D$4:$D$252,0),0)</f>
        <v>0</v>
      </c>
      <c r="M212" s="169">
        <f>IFERROR(MATCH(J212,'Final List'!$F$4:$F$251,0),0)</f>
        <v>0</v>
      </c>
      <c r="N212" s="169">
        <f>IFERROR(MATCH(J212,'Final List'!$H$4:$H$252,0),0)</f>
        <v>0</v>
      </c>
      <c r="O212" s="169">
        <f>IFERROR(MATCH(J212,'Final List'!$J$4:$J$252,0),0)</f>
        <v>0</v>
      </c>
      <c r="P212" s="169">
        <f>IFERROR(MATCH(J212,'Final List'!$L$4:$L$252,0),0)</f>
        <v>0</v>
      </c>
      <c r="Q212" s="169">
        <f>IFERROR(MATCH(J212,'Final List'!$N$4:$N$252,0),0)</f>
        <v>0</v>
      </c>
      <c r="R212" s="169">
        <f>IFERROR(MATCH(J212,'Final List'!$P$4:$P$252,0),0)</f>
        <v>0</v>
      </c>
      <c r="S212" s="169">
        <f t="shared" si="15"/>
        <v>0</v>
      </c>
      <c r="T212" s="116" t="s">
        <v>68</v>
      </c>
      <c r="U212" s="116"/>
      <c r="V212" s="116" t="str">
        <f t="shared" si="13"/>
        <v>GUNAY 1</v>
      </c>
      <c r="W212" s="116" t="s">
        <v>2716</v>
      </c>
    </row>
    <row r="213" spans="2:23" x14ac:dyDescent="0.25">
      <c r="B213" s="77" t="s">
        <v>91</v>
      </c>
      <c r="C213" s="77" t="s">
        <v>43</v>
      </c>
      <c r="D213" s="77" t="s">
        <v>5669</v>
      </c>
      <c r="E213" s="77" t="s">
        <v>211</v>
      </c>
      <c r="F213" s="245" t="str">
        <f t="shared" si="14"/>
        <v>StpS 77</v>
      </c>
      <c r="G213" s="77" t="s">
        <v>454</v>
      </c>
      <c r="H213" s="77"/>
      <c r="I213" s="77" t="str">
        <f t="shared" si="12"/>
        <v>L04_GHVSPLIT_027W_STOPE PREP</v>
      </c>
      <c r="J213" s="77" t="s">
        <v>5828</v>
      </c>
      <c r="K213" s="169">
        <f>IFERROR(MATCH(J213,'Final List'!$B$4:$B$252,0),0)</f>
        <v>0</v>
      </c>
      <c r="L213" s="169">
        <f>IFERROR(MATCH(J213,'Final List'!$D$4:$D$252,0),0)</f>
        <v>0</v>
      </c>
      <c r="M213" s="169">
        <f>IFERROR(MATCH(J213,'Final List'!$F$4:$F$251,0),0)</f>
        <v>0</v>
      </c>
      <c r="N213" s="169">
        <f>IFERROR(MATCH(J213,'Final List'!$H$4:$H$252,0),0)</f>
        <v>0</v>
      </c>
      <c r="O213" s="169">
        <f>IFERROR(MATCH(J213,'Final List'!$J$4:$J$252,0),0)</f>
        <v>0</v>
      </c>
      <c r="P213" s="169">
        <f>IFERROR(MATCH(J213,'Final List'!$L$4:$L$252,0),0)</f>
        <v>0</v>
      </c>
      <c r="Q213" s="169">
        <f>IFERROR(MATCH(J213,'Final List'!$N$4:$N$252,0),0)</f>
        <v>0</v>
      </c>
      <c r="R213" s="169">
        <f>IFERROR(MATCH(J213,'Final List'!$P$4:$P$252,0),0)</f>
        <v>0</v>
      </c>
      <c r="S213" s="169">
        <f t="shared" si="15"/>
        <v>0</v>
      </c>
      <c r="T213" s="116" t="s">
        <v>68</v>
      </c>
      <c r="U213" s="116"/>
      <c r="V213" s="116" t="str">
        <f t="shared" si="13"/>
        <v>BAÑEZ 8</v>
      </c>
      <c r="W213" s="116" t="s">
        <v>2712</v>
      </c>
    </row>
    <row r="214" spans="2:23" x14ac:dyDescent="0.25">
      <c r="B214" s="77" t="s">
        <v>94</v>
      </c>
      <c r="C214" s="77" t="s">
        <v>59</v>
      </c>
      <c r="D214" s="77" t="s">
        <v>123</v>
      </c>
      <c r="E214" s="77" t="s">
        <v>62</v>
      </c>
      <c r="F214" s="245" t="str">
        <f t="shared" si="14"/>
        <v>RobS 79</v>
      </c>
      <c r="G214" s="77" t="s">
        <v>5719</v>
      </c>
      <c r="H214" s="77"/>
      <c r="I214" s="77" t="str">
        <f t="shared" si="12"/>
        <v>L07_GHVHW_031E_ROBBING</v>
      </c>
      <c r="J214" s="77" t="s">
        <v>6588</v>
      </c>
      <c r="K214" s="169">
        <f>IFERROR(MATCH(J214,'Final List'!$B$4:$B$252,0),0)</f>
        <v>0</v>
      </c>
      <c r="L214" s="169">
        <f>IFERROR(MATCH(J214,'Final List'!$D$4:$D$252,0),0)</f>
        <v>0</v>
      </c>
      <c r="M214" s="169">
        <f>IFERROR(MATCH(J214,'Final List'!$F$4:$F$251,0),0)</f>
        <v>0</v>
      </c>
      <c r="N214" s="169">
        <f>IFERROR(MATCH(J214,'Final List'!$H$4:$H$252,0),0)</f>
        <v>0</v>
      </c>
      <c r="O214" s="169">
        <f>IFERROR(MATCH(J214,'Final List'!$J$4:$J$252,0),0)</f>
        <v>0</v>
      </c>
      <c r="P214" s="169">
        <f>IFERROR(MATCH(J214,'Final List'!$L$4:$L$252,0),0)</f>
        <v>0</v>
      </c>
      <c r="Q214" s="169">
        <f>IFERROR(MATCH(J214,'Final List'!$N$4:$N$252,0),0)</f>
        <v>0</v>
      </c>
      <c r="R214" s="169">
        <f>IFERROR(MATCH(J214,'Final List'!$P$4:$P$252,0),0)</f>
        <v>0</v>
      </c>
      <c r="S214" s="169">
        <f t="shared" si="15"/>
        <v>0</v>
      </c>
      <c r="T214" s="116" t="s">
        <v>68</v>
      </c>
      <c r="U214" s="116"/>
      <c r="V214" s="116" t="str">
        <f t="shared" si="13"/>
        <v>DAVOCOL 1</v>
      </c>
      <c r="W214" s="116" t="s">
        <v>2707</v>
      </c>
    </row>
    <row r="215" spans="2:23" x14ac:dyDescent="0.25">
      <c r="B215" s="77" t="s">
        <v>94</v>
      </c>
      <c r="C215" s="77" t="s">
        <v>56</v>
      </c>
      <c r="D215" s="77" t="s">
        <v>132</v>
      </c>
      <c r="E215" s="77" t="s">
        <v>62</v>
      </c>
      <c r="F215" s="245" t="str">
        <f t="shared" si="14"/>
        <v>RobC 80</v>
      </c>
      <c r="G215" s="77" t="s">
        <v>329</v>
      </c>
      <c r="H215" s="77" t="s">
        <v>456</v>
      </c>
      <c r="I215" s="77" t="str">
        <f t="shared" si="12"/>
        <v>L07_GHVFW_033E_ROBBING</v>
      </c>
      <c r="J215" s="77" t="s">
        <v>5845</v>
      </c>
      <c r="K215" s="169">
        <f>IFERROR(MATCH(J215,'Final List'!$B$4:$B$252,0),0)</f>
        <v>0</v>
      </c>
      <c r="L215" s="169">
        <f>IFERROR(MATCH(J215,'Final List'!$D$4:$D$252,0),0)</f>
        <v>0</v>
      </c>
      <c r="M215" s="169">
        <f>IFERROR(MATCH(J215,'Final List'!$F$4:$F$251,0),0)</f>
        <v>0</v>
      </c>
      <c r="N215" s="169">
        <f>IFERROR(MATCH(J215,'Final List'!$H$4:$H$252,0),0)</f>
        <v>0</v>
      </c>
      <c r="O215" s="169">
        <f>IFERROR(MATCH(J215,'Final List'!$J$4:$J$252,0),0)</f>
        <v>0</v>
      </c>
      <c r="P215" s="169">
        <f>IFERROR(MATCH(J215,'Final List'!$L$4:$L$252,0),0)</f>
        <v>0</v>
      </c>
      <c r="Q215" s="169">
        <f>IFERROR(MATCH(J215,'Final List'!$N$4:$N$252,0),0)</f>
        <v>0</v>
      </c>
      <c r="R215" s="169">
        <f>IFERROR(MATCH(J215,'Final List'!$P$4:$P$252,0),0)</f>
        <v>0</v>
      </c>
      <c r="S215" s="169">
        <f t="shared" si="15"/>
        <v>0</v>
      </c>
      <c r="T215" s="116" t="s">
        <v>48</v>
      </c>
      <c r="U215" s="116"/>
      <c r="V215" s="116" t="str">
        <f t="shared" si="13"/>
        <v>BORERO 1</v>
      </c>
      <c r="W215" s="116" t="s">
        <v>236</v>
      </c>
    </row>
    <row r="216" spans="2:23" x14ac:dyDescent="0.25">
      <c r="B216" s="77" t="s">
        <v>258</v>
      </c>
      <c r="C216" s="77" t="s">
        <v>45</v>
      </c>
      <c r="D216" s="77" t="s">
        <v>168</v>
      </c>
      <c r="E216" s="77" t="s">
        <v>211</v>
      </c>
      <c r="F216" s="245" t="str">
        <f t="shared" si="14"/>
        <v>StpL 78</v>
      </c>
      <c r="G216" s="77" t="s">
        <v>373</v>
      </c>
      <c r="H216" s="77"/>
      <c r="I216" s="77" t="str">
        <f t="shared" si="12"/>
        <v>L10_DPVE_047E_STOPE PREP</v>
      </c>
      <c r="J216" s="77" t="s">
        <v>5839</v>
      </c>
      <c r="K216" s="169">
        <f>IFERROR(MATCH(J216,'Final List'!$B$4:$B$252,0),0)</f>
        <v>0</v>
      </c>
      <c r="L216" s="169">
        <f>IFERROR(MATCH(J216,'Final List'!$D$4:$D$252,0),0)</f>
        <v>0</v>
      </c>
      <c r="M216" s="169">
        <f>IFERROR(MATCH(J216,'Final List'!$F$4:$F$251,0),0)</f>
        <v>0</v>
      </c>
      <c r="N216" s="169">
        <f>IFERROR(MATCH(J216,'Final List'!$H$4:$H$252,0),0)</f>
        <v>0</v>
      </c>
      <c r="O216" s="169">
        <f>IFERROR(MATCH(J216,'Final List'!$J$4:$J$252,0),0)</f>
        <v>0</v>
      </c>
      <c r="P216" s="169">
        <f>IFERROR(MATCH(J216,'Final List'!$L$4:$L$252,0),0)</f>
        <v>0</v>
      </c>
      <c r="Q216" s="169">
        <f>IFERROR(MATCH(J216,'Final List'!$N$4:$N$252,0),0)</f>
        <v>0</v>
      </c>
      <c r="R216" s="169">
        <f>IFERROR(MATCH(J216,'Final List'!$P$4:$P$252,0),0)</f>
        <v>0</v>
      </c>
      <c r="S216" s="169">
        <f t="shared" si="15"/>
        <v>0</v>
      </c>
      <c r="T216" s="116" t="s">
        <v>48</v>
      </c>
      <c r="U216" s="116"/>
      <c r="V216" s="116" t="str">
        <f t="shared" si="13"/>
        <v>TAÑEZA 5</v>
      </c>
      <c r="W216" s="116" t="s">
        <v>2712</v>
      </c>
    </row>
    <row r="217" spans="2:23" x14ac:dyDescent="0.25">
      <c r="B217" s="77" t="s">
        <v>96</v>
      </c>
      <c r="C217" s="77" t="s">
        <v>46</v>
      </c>
      <c r="D217" s="77" t="s">
        <v>595</v>
      </c>
      <c r="E217" s="77" t="s">
        <v>61</v>
      </c>
      <c r="F217" s="245" t="str">
        <f t="shared" si="14"/>
        <v>Dhoz 71</v>
      </c>
      <c r="G217" s="77" t="s">
        <v>5778</v>
      </c>
      <c r="H217" s="77" t="s">
        <v>362</v>
      </c>
      <c r="I217" s="77" t="str">
        <f t="shared" si="12"/>
        <v>L09_DPVE2_072E_DW</v>
      </c>
      <c r="J217" s="77" t="s">
        <v>5897</v>
      </c>
      <c r="K217" s="169">
        <f>IFERROR(MATCH(J217,'Final List'!$B$4:$B$252,0),0)</f>
        <v>0</v>
      </c>
      <c r="L217" s="169">
        <f>IFERROR(MATCH(J217,'Final List'!$D$4:$D$252,0),0)</f>
        <v>0</v>
      </c>
      <c r="M217" s="169">
        <f>IFERROR(MATCH(J217,'Final List'!$F$4:$F$251,0),0)</f>
        <v>0</v>
      </c>
      <c r="N217" s="169">
        <f>IFERROR(MATCH(J217,'Final List'!$H$4:$H$252,0),0)</f>
        <v>0</v>
      </c>
      <c r="O217" s="169">
        <f>IFERROR(MATCH(J217,'Final List'!$J$4:$J$252,0),0)</f>
        <v>0</v>
      </c>
      <c r="P217" s="169">
        <f>IFERROR(MATCH(J217,'Final List'!$L$4:$L$252,0),0)</f>
        <v>0</v>
      </c>
      <c r="Q217" s="169">
        <f>IFERROR(MATCH(J217,'Final List'!$N$4:$N$252,0),0)</f>
        <v>0</v>
      </c>
      <c r="R217" s="169">
        <f>IFERROR(MATCH(J217,'Final List'!$P$4:$P$252,0),0)</f>
        <v>0</v>
      </c>
      <c r="S217" s="169">
        <f t="shared" si="15"/>
        <v>0</v>
      </c>
      <c r="T217" s="116"/>
      <c r="U217" s="116"/>
      <c r="V217" s="116" t="str">
        <f t="shared" si="13"/>
        <v>BABOR 1</v>
      </c>
      <c r="W217" s="116" t="s">
        <v>8896</v>
      </c>
    </row>
    <row r="218" spans="2:23" x14ac:dyDescent="0.25">
      <c r="B218" s="77" t="s">
        <v>96</v>
      </c>
      <c r="C218" s="77" t="s">
        <v>46</v>
      </c>
      <c r="D218" s="77" t="s">
        <v>168</v>
      </c>
      <c r="E218" s="77" t="s">
        <v>36</v>
      </c>
      <c r="F218" s="245" t="str">
        <f t="shared" si="14"/>
        <v>StpL 78</v>
      </c>
      <c r="G218" s="77" t="s">
        <v>5779</v>
      </c>
      <c r="H218" s="77"/>
      <c r="I218" s="77" t="str">
        <f t="shared" si="12"/>
        <v>L09_DPVE2_047E_STOPE</v>
      </c>
      <c r="J218" s="77" t="s">
        <v>5855</v>
      </c>
      <c r="K218" s="169">
        <f>IFERROR(MATCH(J218,'Final List'!$B$4:$B$252,0),0)</f>
        <v>0</v>
      </c>
      <c r="L218" s="169">
        <f>IFERROR(MATCH(J218,'Final List'!$D$4:$D$252,0),0)</f>
        <v>0</v>
      </c>
      <c r="M218" s="169">
        <f>IFERROR(MATCH(J218,'Final List'!$F$4:$F$251,0),0)</f>
        <v>0</v>
      </c>
      <c r="N218" s="169">
        <f>IFERROR(MATCH(J218,'Final List'!$H$4:$H$252,0),0)</f>
        <v>0</v>
      </c>
      <c r="O218" s="169">
        <f>IFERROR(MATCH(J218,'Final List'!$J$4:$J$252,0),0)</f>
        <v>0</v>
      </c>
      <c r="P218" s="169">
        <f>IFERROR(MATCH(J218,'Final List'!$L$4:$L$252,0),0)</f>
        <v>0</v>
      </c>
      <c r="Q218" s="169">
        <f>IFERROR(MATCH(J218,'Final List'!$N$4:$N$252,0),0)</f>
        <v>0</v>
      </c>
      <c r="R218" s="169">
        <f>IFERROR(MATCH(J218,'Final List'!$P$4:$P$252,0),0)</f>
        <v>0</v>
      </c>
      <c r="S218" s="169">
        <f t="shared" si="15"/>
        <v>0</v>
      </c>
      <c r="T218" s="116" t="s">
        <v>48</v>
      </c>
      <c r="U218" s="116"/>
      <c r="V218" s="116" t="str">
        <f t="shared" si="13"/>
        <v>REBOTE, JONATHAN 2</v>
      </c>
      <c r="W218" s="116" t="s">
        <v>2713</v>
      </c>
    </row>
    <row r="219" spans="2:23" x14ac:dyDescent="0.25">
      <c r="B219" s="77" t="s">
        <v>96</v>
      </c>
      <c r="C219" s="77" t="s">
        <v>46</v>
      </c>
      <c r="D219" s="77" t="s">
        <v>5872</v>
      </c>
      <c r="E219" s="77" t="s">
        <v>61</v>
      </c>
      <c r="F219" s="245" t="str">
        <f t="shared" si="14"/>
        <v>Dhoz 71</v>
      </c>
      <c r="G219" s="77" t="s">
        <v>336</v>
      </c>
      <c r="H219" s="77"/>
      <c r="I219" s="77" t="str">
        <f t="shared" si="12"/>
        <v>L09_DPVE2_076E_DW</v>
      </c>
      <c r="J219" s="77" t="s">
        <v>5870</v>
      </c>
      <c r="K219" s="169">
        <f>IFERROR(MATCH(J219,'Final List'!$B$4:$B$252,0),0)</f>
        <v>0</v>
      </c>
      <c r="L219" s="169">
        <f>IFERROR(MATCH(J219,'Final List'!$D$4:$D$252,0),0)</f>
        <v>0</v>
      </c>
      <c r="M219" s="169">
        <f>IFERROR(MATCH(J219,'Final List'!$F$4:$F$251,0),0)</f>
        <v>0</v>
      </c>
      <c r="N219" s="169">
        <f>IFERROR(MATCH(J219,'Final List'!$H$4:$H$252,0),0)</f>
        <v>0</v>
      </c>
      <c r="O219" s="169">
        <f>IFERROR(MATCH(J219,'Final List'!$J$4:$J$252,0),0)</f>
        <v>0</v>
      </c>
      <c r="P219" s="169">
        <f>IFERROR(MATCH(J219,'Final List'!$L$4:$L$252,0),0)</f>
        <v>0</v>
      </c>
      <c r="Q219" s="169">
        <f>IFERROR(MATCH(J219,'Final List'!$N$4:$N$252,0),0)</f>
        <v>0</v>
      </c>
      <c r="R219" s="169">
        <f>IFERROR(MATCH(J219,'Final List'!$P$4:$P$252,0),0)</f>
        <v>0</v>
      </c>
      <c r="S219" s="169">
        <f t="shared" si="15"/>
        <v>0</v>
      </c>
      <c r="T219" s="116"/>
      <c r="U219" s="116"/>
      <c r="V219" s="116" t="str">
        <f t="shared" si="13"/>
        <v>BALANGHIG 1</v>
      </c>
      <c r="W219" s="116" t="s">
        <v>8896</v>
      </c>
    </row>
    <row r="220" spans="2:23" x14ac:dyDescent="0.25">
      <c r="B220" s="77" t="s">
        <v>95</v>
      </c>
      <c r="C220" s="77" t="s">
        <v>59</v>
      </c>
      <c r="D220" s="77" t="s">
        <v>177</v>
      </c>
      <c r="E220" s="77" t="s">
        <v>62</v>
      </c>
      <c r="F220" s="245" t="str">
        <f t="shared" si="14"/>
        <v>RobS 79</v>
      </c>
      <c r="G220" s="77" t="s">
        <v>367</v>
      </c>
      <c r="H220" s="77"/>
      <c r="I220" s="77" t="str">
        <f t="shared" si="12"/>
        <v>L08_GHVHW_054E_ROBBING</v>
      </c>
      <c r="J220" s="77" t="s">
        <v>5868</v>
      </c>
      <c r="K220" s="169">
        <f>IFERROR(MATCH(J220,'Final List'!$B$4:$B$252,0),0)</f>
        <v>0</v>
      </c>
      <c r="L220" s="169">
        <f>IFERROR(MATCH(J220,'Final List'!$D$4:$D$252,0),0)</f>
        <v>0</v>
      </c>
      <c r="M220" s="169">
        <f>IFERROR(MATCH(J220,'Final List'!$F$4:$F$251,0),0)</f>
        <v>0</v>
      </c>
      <c r="N220" s="169">
        <f>IFERROR(MATCH(J220,'Final List'!$H$4:$H$252,0),0)</f>
        <v>0</v>
      </c>
      <c r="O220" s="169">
        <f>IFERROR(MATCH(J220,'Final List'!$J$4:$J$252,0),0)</f>
        <v>0</v>
      </c>
      <c r="P220" s="169">
        <f>IFERROR(MATCH(J220,'Final List'!$L$4:$L$252,0),0)</f>
        <v>0</v>
      </c>
      <c r="Q220" s="169">
        <f>IFERROR(MATCH(J220,'Final List'!$N$4:$N$252,0),0)</f>
        <v>0</v>
      </c>
      <c r="R220" s="169">
        <f>IFERROR(MATCH(J220,'Final List'!$P$4:$P$252,0),0)</f>
        <v>0</v>
      </c>
      <c r="S220" s="169">
        <f t="shared" si="15"/>
        <v>0</v>
      </c>
      <c r="T220" s="116" t="s">
        <v>68</v>
      </c>
      <c r="U220" s="116"/>
      <c r="V220" s="116" t="str">
        <f t="shared" si="13"/>
        <v>LERIO 1</v>
      </c>
      <c r="W220" s="116" t="s">
        <v>2707</v>
      </c>
    </row>
    <row r="221" spans="2:23" x14ac:dyDescent="0.25">
      <c r="B221" s="77" t="s">
        <v>258</v>
      </c>
      <c r="C221" s="77" t="s">
        <v>59</v>
      </c>
      <c r="D221" s="77" t="s">
        <v>175</v>
      </c>
      <c r="E221" s="77" t="s">
        <v>211</v>
      </c>
      <c r="F221" s="245" t="str">
        <f t="shared" si="14"/>
        <v>StpS 77</v>
      </c>
      <c r="G221" s="77" t="s">
        <v>5701</v>
      </c>
      <c r="H221" s="77" t="s">
        <v>5705</v>
      </c>
      <c r="I221" s="77" t="str">
        <f t="shared" si="12"/>
        <v>L10_GHVHW_060E_STOPE PREP</v>
      </c>
      <c r="J221" s="77" t="s">
        <v>5853</v>
      </c>
      <c r="K221" s="169">
        <f>IFERROR(MATCH(J221,'Final List'!$B$4:$B$252,0),0)</f>
        <v>0</v>
      </c>
      <c r="L221" s="169">
        <f>IFERROR(MATCH(J221,'Final List'!$D$4:$D$252,0),0)</f>
        <v>0</v>
      </c>
      <c r="M221" s="169">
        <f>IFERROR(MATCH(J221,'Final List'!$F$4:$F$251,0),0)</f>
        <v>0</v>
      </c>
      <c r="N221" s="169">
        <f>IFERROR(MATCH(J221,'Final List'!$H$4:$H$252,0),0)</f>
        <v>0</v>
      </c>
      <c r="O221" s="169">
        <f>IFERROR(MATCH(J221,'Final List'!$J$4:$J$252,0),0)</f>
        <v>0</v>
      </c>
      <c r="P221" s="169">
        <f>IFERROR(MATCH(J221,'Final List'!$L$4:$L$252,0),0)</f>
        <v>0</v>
      </c>
      <c r="Q221" s="169">
        <f>IFERROR(MATCH(J221,'Final List'!$N$4:$N$252,0),0)</f>
        <v>0</v>
      </c>
      <c r="R221" s="169">
        <f>IFERROR(MATCH(J221,'Final List'!$P$4:$P$252,0),0)</f>
        <v>0</v>
      </c>
      <c r="S221" s="169">
        <f t="shared" si="15"/>
        <v>0</v>
      </c>
      <c r="T221" s="116" t="s">
        <v>68</v>
      </c>
      <c r="U221" s="116"/>
      <c r="V221" s="116" t="str">
        <f t="shared" si="13"/>
        <v>OLIVEROS 4</v>
      </c>
      <c r="W221" s="116" t="s">
        <v>2712</v>
      </c>
    </row>
    <row r="222" spans="2:23" x14ac:dyDescent="0.25">
      <c r="B222" s="77" t="s">
        <v>258</v>
      </c>
      <c r="C222" s="77" t="s">
        <v>59</v>
      </c>
      <c r="D222" s="77" t="s">
        <v>142</v>
      </c>
      <c r="E222" s="77" t="s">
        <v>61</v>
      </c>
      <c r="F222" s="245" t="str">
        <f t="shared" si="14"/>
        <v>Dhoz 71</v>
      </c>
      <c r="G222" s="77" t="s">
        <v>5697</v>
      </c>
      <c r="H222" s="77"/>
      <c r="I222" s="77" t="str">
        <f t="shared" si="12"/>
        <v>L10_GHVHW_038E_DW</v>
      </c>
      <c r="J222" s="77" t="s">
        <v>5863</v>
      </c>
      <c r="K222" s="169">
        <f>IFERROR(MATCH(J222,'Final List'!$B$4:$B$252,0),0)</f>
        <v>0</v>
      </c>
      <c r="L222" s="169">
        <f>IFERROR(MATCH(J222,'Final List'!$D$4:$D$252,0),0)</f>
        <v>0</v>
      </c>
      <c r="M222" s="169">
        <f>IFERROR(MATCH(J222,'Final List'!$F$4:$F$251,0),0)</f>
        <v>0</v>
      </c>
      <c r="N222" s="169">
        <f>IFERROR(MATCH(J222,'Final List'!$H$4:$H$252,0),0)</f>
        <v>0</v>
      </c>
      <c r="O222" s="169">
        <f>IFERROR(MATCH(J222,'Final List'!$J$4:$J$252,0),0)</f>
        <v>0</v>
      </c>
      <c r="P222" s="169">
        <f>IFERROR(MATCH(J222,'Final List'!$L$4:$L$252,0),0)</f>
        <v>0</v>
      </c>
      <c r="Q222" s="169">
        <f>IFERROR(MATCH(J222,'Final List'!$N$4:$N$252,0),0)</f>
        <v>0</v>
      </c>
      <c r="R222" s="169">
        <f>IFERROR(MATCH(J222,'Final List'!$P$4:$P$252,0),0)</f>
        <v>0</v>
      </c>
      <c r="S222" s="169">
        <f t="shared" si="15"/>
        <v>0</v>
      </c>
      <c r="T222" s="116"/>
      <c r="U222" s="116"/>
      <c r="V222" s="116" t="str">
        <f t="shared" si="13"/>
        <v>OLIVEROS 1</v>
      </c>
      <c r="W222" s="116" t="s">
        <v>8896</v>
      </c>
    </row>
    <row r="223" spans="2:23" x14ac:dyDescent="0.25">
      <c r="B223" s="77" t="s">
        <v>258</v>
      </c>
      <c r="C223" s="77" t="s">
        <v>59</v>
      </c>
      <c r="D223" s="77" t="s">
        <v>226</v>
      </c>
      <c r="E223" s="77" t="s">
        <v>60</v>
      </c>
      <c r="F223" s="245" t="str">
        <f t="shared" si="14"/>
        <v>Dhoz 71</v>
      </c>
      <c r="G223" s="77" t="s">
        <v>317</v>
      </c>
      <c r="H223" s="77"/>
      <c r="I223" s="77" t="str">
        <f t="shared" si="12"/>
        <v>L10_GHVHW_074E_DE</v>
      </c>
      <c r="J223" s="77" t="s">
        <v>6058</v>
      </c>
      <c r="K223" s="169">
        <f>IFERROR(MATCH(J223,'Final List'!$B$4:$B$252,0),0)</f>
        <v>0</v>
      </c>
      <c r="L223" s="169">
        <f>IFERROR(MATCH(J223,'Final List'!$D$4:$D$252,0),0)</f>
        <v>0</v>
      </c>
      <c r="M223" s="169">
        <f>IFERROR(MATCH(J223,'Final List'!$F$4:$F$251,0),0)</f>
        <v>0</v>
      </c>
      <c r="N223" s="169">
        <f>IFERROR(MATCH(J223,'Final List'!$H$4:$H$252,0),0)</f>
        <v>0</v>
      </c>
      <c r="O223" s="169">
        <f>IFERROR(MATCH(J223,'Final List'!$J$4:$J$252,0),0)</f>
        <v>0</v>
      </c>
      <c r="P223" s="169">
        <f>IFERROR(MATCH(J223,'Final List'!$L$4:$L$252,0),0)</f>
        <v>0</v>
      </c>
      <c r="Q223" s="169">
        <f>IFERROR(MATCH(J223,'Final List'!$N$4:$N$252,0),0)</f>
        <v>0</v>
      </c>
      <c r="R223" s="169">
        <f>IFERROR(MATCH(J223,'Final List'!$P$4:$P$252,0),0)</f>
        <v>0</v>
      </c>
      <c r="S223" s="169">
        <f t="shared" si="15"/>
        <v>0</v>
      </c>
      <c r="T223" s="116"/>
      <c r="U223" s="116"/>
      <c r="V223" s="116" t="str">
        <f t="shared" si="13"/>
        <v>PARAGUYA 2</v>
      </c>
      <c r="W223" s="116" t="s">
        <v>8896</v>
      </c>
    </row>
    <row r="224" spans="2:23" x14ac:dyDescent="0.25">
      <c r="B224" s="77" t="s">
        <v>258</v>
      </c>
      <c r="C224" s="77" t="s">
        <v>45</v>
      </c>
      <c r="D224" s="77" t="s">
        <v>176</v>
      </c>
      <c r="E224" s="77" t="s">
        <v>60</v>
      </c>
      <c r="F224" s="245" t="str">
        <f t="shared" si="14"/>
        <v>Dhoz 71</v>
      </c>
      <c r="G224" s="77" t="s">
        <v>5776</v>
      </c>
      <c r="H224" s="77" t="s">
        <v>447</v>
      </c>
      <c r="I224" s="77" t="str">
        <f t="shared" si="12"/>
        <v>L10_DPVE_057E_DE</v>
      </c>
      <c r="J224" s="77" t="s">
        <v>6253</v>
      </c>
      <c r="K224" s="169">
        <f>IFERROR(MATCH(J224,'Final List'!$B$4:$B$252,0),0)</f>
        <v>0</v>
      </c>
      <c r="L224" s="169">
        <f>IFERROR(MATCH(J224,'Final List'!$D$4:$D$252,0),0)</f>
        <v>0</v>
      </c>
      <c r="M224" s="169">
        <f>IFERROR(MATCH(J224,'Final List'!$F$4:$F$251,0),0)</f>
        <v>0</v>
      </c>
      <c r="N224" s="169">
        <f>IFERROR(MATCH(J224,'Final List'!$H$4:$H$252,0),0)</f>
        <v>0</v>
      </c>
      <c r="O224" s="169">
        <f>IFERROR(MATCH(J224,'Final List'!$J$4:$J$252,0),0)</f>
        <v>0</v>
      </c>
      <c r="P224" s="169">
        <f>IFERROR(MATCH(J224,'Final List'!$L$4:$L$252,0),0)</f>
        <v>0</v>
      </c>
      <c r="Q224" s="169">
        <f>IFERROR(MATCH(J224,'Final List'!$N$4:$N$252,0),0)</f>
        <v>0</v>
      </c>
      <c r="R224" s="169">
        <f>IFERROR(MATCH(J224,'Final List'!$P$4:$P$252,0),0)</f>
        <v>0</v>
      </c>
      <c r="S224" s="169">
        <f t="shared" si="15"/>
        <v>0</v>
      </c>
      <c r="T224" s="116"/>
      <c r="U224" s="116"/>
      <c r="V224" s="116" t="str">
        <f t="shared" si="13"/>
        <v>COMAINGKING 1</v>
      </c>
      <c r="W224" s="116" t="s">
        <v>8896</v>
      </c>
    </row>
    <row r="225" spans="2:23" x14ac:dyDescent="0.25">
      <c r="B225" s="77" t="s">
        <v>258</v>
      </c>
      <c r="C225" s="77" t="s">
        <v>45</v>
      </c>
      <c r="D225" s="77" t="s">
        <v>218</v>
      </c>
      <c r="E225" s="77" t="s">
        <v>211</v>
      </c>
      <c r="F225" s="245" t="str">
        <f t="shared" si="14"/>
        <v>StpL 78</v>
      </c>
      <c r="G225" s="77" t="s">
        <v>5703</v>
      </c>
      <c r="H225" s="77"/>
      <c r="I225" s="77" t="str">
        <f t="shared" si="12"/>
        <v>L10_DPVE_062E_STOPE PREP</v>
      </c>
      <c r="J225" s="77" t="s">
        <v>5876</v>
      </c>
      <c r="K225" s="169">
        <f>IFERROR(MATCH(J225,'Final List'!$B$4:$B$252,0),0)</f>
        <v>0</v>
      </c>
      <c r="L225" s="169">
        <f>IFERROR(MATCH(J225,'Final List'!$D$4:$D$252,0),0)</f>
        <v>0</v>
      </c>
      <c r="M225" s="169">
        <f>IFERROR(MATCH(J225,'Final List'!$F$4:$F$251,0),0)</f>
        <v>0</v>
      </c>
      <c r="N225" s="169">
        <f>IFERROR(MATCH(J225,'Final List'!$H$4:$H$252,0),0)</f>
        <v>0</v>
      </c>
      <c r="O225" s="169">
        <f>IFERROR(MATCH(J225,'Final List'!$J$4:$J$252,0),0)</f>
        <v>0</v>
      </c>
      <c r="P225" s="169">
        <f>IFERROR(MATCH(J225,'Final List'!$L$4:$L$252,0),0)</f>
        <v>0</v>
      </c>
      <c r="Q225" s="169">
        <f>IFERROR(MATCH(J225,'Final List'!$N$4:$N$252,0),0)</f>
        <v>0</v>
      </c>
      <c r="R225" s="169">
        <f>IFERROR(MATCH(J225,'Final List'!$P$4:$P$252,0),0)</f>
        <v>0</v>
      </c>
      <c r="S225" s="169">
        <f t="shared" si="15"/>
        <v>0</v>
      </c>
      <c r="T225" s="77" t="s">
        <v>48</v>
      </c>
      <c r="U225" s="77"/>
      <c r="V225" s="77" t="str">
        <f t="shared" si="13"/>
        <v>OLIVEROS 2</v>
      </c>
      <c r="W225" s="77" t="s">
        <v>2712</v>
      </c>
    </row>
    <row r="226" spans="2:23" x14ac:dyDescent="0.25">
      <c r="B226" s="77" t="s">
        <v>258</v>
      </c>
      <c r="C226" s="77" t="s">
        <v>43</v>
      </c>
      <c r="D226" s="77" t="s">
        <v>5614</v>
      </c>
      <c r="E226" s="77" t="s">
        <v>60</v>
      </c>
      <c r="F226" s="245" t="str">
        <f t="shared" si="14"/>
        <v>Dhoz 71</v>
      </c>
      <c r="G226" s="77" t="s">
        <v>454</v>
      </c>
      <c r="H226" s="77" t="s">
        <v>5746</v>
      </c>
      <c r="I226" s="77" t="str">
        <f t="shared" si="12"/>
        <v>L10_GHVSPLIT_055E_DE</v>
      </c>
      <c r="J226" s="77" t="s">
        <v>5854</v>
      </c>
      <c r="K226" s="169">
        <f>IFERROR(MATCH(J226,'Final List'!$B$4:$B$252,0),0)</f>
        <v>0</v>
      </c>
      <c r="L226" s="169">
        <f>IFERROR(MATCH(J226,'Final List'!$D$4:$D$252,0),0)</f>
        <v>0</v>
      </c>
      <c r="M226" s="169">
        <f>IFERROR(MATCH(J226,'Final List'!$F$4:$F$251,0),0)</f>
        <v>0</v>
      </c>
      <c r="N226" s="169">
        <f>IFERROR(MATCH(J226,'Final List'!$H$4:$H$252,0),0)</f>
        <v>0</v>
      </c>
      <c r="O226" s="169">
        <f>IFERROR(MATCH(J226,'Final List'!$J$4:$J$252,0),0)</f>
        <v>0</v>
      </c>
      <c r="P226" s="169">
        <f>IFERROR(MATCH(J226,'Final List'!$L$4:$L$252,0),0)</f>
        <v>0</v>
      </c>
      <c r="Q226" s="169">
        <f>IFERROR(MATCH(J226,'Final List'!$N$4:$N$252,0),0)</f>
        <v>0</v>
      </c>
      <c r="R226" s="169">
        <f>IFERROR(MATCH(J226,'Final List'!$P$4:$P$252,0),0)</f>
        <v>0</v>
      </c>
      <c r="S226" s="169">
        <f t="shared" si="15"/>
        <v>0</v>
      </c>
      <c r="T226" s="77"/>
      <c r="U226" s="77"/>
      <c r="V226" s="77" t="str">
        <f t="shared" si="13"/>
        <v xml:space="preserve">SHEPHERD W </v>
      </c>
      <c r="W226" s="77" t="s">
        <v>8896</v>
      </c>
    </row>
    <row r="227" spans="2:23" x14ac:dyDescent="0.25">
      <c r="B227" s="77" t="s">
        <v>96</v>
      </c>
      <c r="C227" s="77" t="s">
        <v>46</v>
      </c>
      <c r="D227" s="77" t="s">
        <v>149</v>
      </c>
      <c r="E227" s="77" t="s">
        <v>60</v>
      </c>
      <c r="F227" s="245" t="str">
        <f t="shared" si="14"/>
        <v>Dhoz 71</v>
      </c>
      <c r="G227" s="77" t="s">
        <v>4260</v>
      </c>
      <c r="H227" s="77"/>
      <c r="I227" s="77" t="str">
        <f t="shared" si="12"/>
        <v>L09_DPVE2_021E_DE</v>
      </c>
      <c r="J227" s="77" t="s">
        <v>5864</v>
      </c>
      <c r="K227" s="169">
        <f>IFERROR(MATCH(J227,'Final List'!$B$4:$B$252,0),0)</f>
        <v>0</v>
      </c>
      <c r="L227" s="169">
        <f>IFERROR(MATCH(J227,'Final List'!$D$4:$D$252,0),0)</f>
        <v>0</v>
      </c>
      <c r="M227" s="169">
        <f>IFERROR(MATCH(J227,'Final List'!$F$4:$F$251,0),0)</f>
        <v>0</v>
      </c>
      <c r="N227" s="169">
        <f>IFERROR(MATCH(J227,'Final List'!$H$4:$H$252,0),0)</f>
        <v>0</v>
      </c>
      <c r="O227" s="169">
        <f>IFERROR(MATCH(J227,'Final List'!$J$4:$J$252,0),0)</f>
        <v>0</v>
      </c>
      <c r="P227" s="169">
        <f>IFERROR(MATCH(J227,'Final List'!$L$4:$L$252,0),0)</f>
        <v>0</v>
      </c>
      <c r="Q227" s="169">
        <f>IFERROR(MATCH(J227,'Final List'!$N$4:$N$252,0),0)</f>
        <v>0</v>
      </c>
      <c r="R227" s="169">
        <f>IFERROR(MATCH(J227,'Final List'!$P$4:$P$252,0),0)</f>
        <v>0</v>
      </c>
      <c r="S227" s="169">
        <f t="shared" si="15"/>
        <v>0</v>
      </c>
      <c r="T227" s="77"/>
      <c r="U227" s="77"/>
      <c r="V227" s="77" t="str">
        <f t="shared" si="13"/>
        <v>PANCIT NOEL 1</v>
      </c>
      <c r="W227" s="77" t="s">
        <v>8896</v>
      </c>
    </row>
    <row r="228" spans="2:23" x14ac:dyDescent="0.25">
      <c r="B228" s="77" t="s">
        <v>96</v>
      </c>
      <c r="C228" s="77" t="s">
        <v>45</v>
      </c>
      <c r="D228" s="77" t="s">
        <v>142</v>
      </c>
      <c r="E228" s="77" t="s">
        <v>61</v>
      </c>
      <c r="F228" s="245" t="str">
        <f t="shared" si="14"/>
        <v>Dhoz 71</v>
      </c>
      <c r="G228" s="77" t="s">
        <v>5101</v>
      </c>
      <c r="H228" s="77"/>
      <c r="I228" s="77" t="str">
        <f t="shared" si="12"/>
        <v>L09_DPVE_038E_DW</v>
      </c>
      <c r="J228" s="77" t="s">
        <v>5865</v>
      </c>
      <c r="K228" s="169">
        <f>IFERROR(MATCH(J228,'Final List'!$B$4:$B$252,0),0)</f>
        <v>0</v>
      </c>
      <c r="L228" s="169">
        <f>IFERROR(MATCH(J228,'Final List'!$D$4:$D$252,0),0)</f>
        <v>0</v>
      </c>
      <c r="M228" s="169">
        <f>IFERROR(MATCH(J228,'Final List'!$F$4:$F$251,0),0)</f>
        <v>0</v>
      </c>
      <c r="N228" s="169">
        <f>IFERROR(MATCH(J228,'Final List'!$H$4:$H$252,0),0)</f>
        <v>0</v>
      </c>
      <c r="O228" s="169">
        <f>IFERROR(MATCH(J228,'Final List'!$J$4:$J$252,0),0)</f>
        <v>0</v>
      </c>
      <c r="P228" s="169">
        <f>IFERROR(MATCH(J228,'Final List'!$L$4:$L$252,0),0)</f>
        <v>0</v>
      </c>
      <c r="Q228" s="169">
        <f>IFERROR(MATCH(J228,'Final List'!$N$4:$N$252,0),0)</f>
        <v>0</v>
      </c>
      <c r="R228" s="169">
        <f>IFERROR(MATCH(J228,'Final List'!$P$4:$P$252,0),0)</f>
        <v>0</v>
      </c>
      <c r="S228" s="169">
        <f t="shared" si="15"/>
        <v>0</v>
      </c>
      <c r="T228" s="77"/>
      <c r="U228" s="77"/>
      <c r="V228" s="77" t="str">
        <f t="shared" si="13"/>
        <v>DELOS REYES V3</v>
      </c>
      <c r="W228" s="77" t="s">
        <v>8896</v>
      </c>
    </row>
    <row r="229" spans="2:23" x14ac:dyDescent="0.25">
      <c r="B229" s="77" t="s">
        <v>95</v>
      </c>
      <c r="C229" s="77" t="s">
        <v>45</v>
      </c>
      <c r="D229" s="77" t="s">
        <v>166</v>
      </c>
      <c r="E229" s="77" t="s">
        <v>62</v>
      </c>
      <c r="F229" s="245" t="str">
        <f t="shared" si="14"/>
        <v>RobS 79</v>
      </c>
      <c r="G229" s="77" t="s">
        <v>380</v>
      </c>
      <c r="H229" s="77"/>
      <c r="I229" s="77" t="str">
        <f t="shared" si="12"/>
        <v>L08_DPVE_068E_ROBBING</v>
      </c>
      <c r="J229" s="77" t="s">
        <v>5866</v>
      </c>
      <c r="K229" s="169">
        <f>IFERROR(MATCH(J229,'Final List'!$B$4:$B$252,0),0)</f>
        <v>0</v>
      </c>
      <c r="L229" s="169">
        <f>IFERROR(MATCH(J229,'Final List'!$D$4:$D$252,0),0)</f>
        <v>0</v>
      </c>
      <c r="M229" s="169">
        <f>IFERROR(MATCH(J229,'Final List'!$F$4:$F$251,0),0)</f>
        <v>0</v>
      </c>
      <c r="N229" s="169">
        <f>IFERROR(MATCH(J229,'Final List'!$H$4:$H$252,0),0)</f>
        <v>0</v>
      </c>
      <c r="O229" s="169">
        <f>IFERROR(MATCH(J229,'Final List'!$J$4:$J$252,0),0)</f>
        <v>0</v>
      </c>
      <c r="P229" s="169">
        <f>IFERROR(MATCH(J229,'Final List'!$L$4:$L$252,0),0)</f>
        <v>0</v>
      </c>
      <c r="Q229" s="169">
        <f>IFERROR(MATCH(J229,'Final List'!$N$4:$N$252,0),0)</f>
        <v>0</v>
      </c>
      <c r="R229" s="169">
        <f>IFERROR(MATCH(J229,'Final List'!$P$4:$P$252,0),0)</f>
        <v>0</v>
      </c>
      <c r="S229" s="169">
        <f t="shared" si="15"/>
        <v>0</v>
      </c>
      <c r="T229" s="77" t="s">
        <v>68</v>
      </c>
      <c r="U229" s="77"/>
      <c r="V229" s="77" t="str">
        <f t="shared" si="13"/>
        <v>AGLOLO 1</v>
      </c>
      <c r="W229" s="77" t="s">
        <v>236</v>
      </c>
    </row>
    <row r="230" spans="2:23" x14ac:dyDescent="0.25">
      <c r="B230" s="77" t="s">
        <v>93</v>
      </c>
      <c r="C230" s="77" t="s">
        <v>41</v>
      </c>
      <c r="D230" s="77" t="s">
        <v>195</v>
      </c>
      <c r="E230" s="77" t="s">
        <v>211</v>
      </c>
      <c r="F230" s="245" t="str">
        <f t="shared" si="14"/>
        <v>StpS 77</v>
      </c>
      <c r="G230" s="77" t="s">
        <v>352</v>
      </c>
      <c r="H230" s="77"/>
      <c r="I230" s="77" t="str">
        <f t="shared" si="12"/>
        <v>L06_CTV_008W_STOPE PREP</v>
      </c>
      <c r="J230" s="77" t="s">
        <v>5851</v>
      </c>
      <c r="K230" s="169">
        <f>IFERROR(MATCH(J230,'Final List'!$B$4:$B$252,0),0)</f>
        <v>0</v>
      </c>
      <c r="L230" s="169">
        <f>IFERROR(MATCH(J230,'Final List'!$D$4:$D$252,0),0)</f>
        <v>0</v>
      </c>
      <c r="M230" s="169">
        <f>IFERROR(MATCH(J230,'Final List'!$F$4:$F$251,0),0)</f>
        <v>0</v>
      </c>
      <c r="N230" s="169">
        <f>IFERROR(MATCH(J230,'Final List'!$H$4:$H$252,0),0)</f>
        <v>0</v>
      </c>
      <c r="O230" s="169">
        <f>IFERROR(MATCH(J230,'Final List'!$J$4:$J$252,0),0)</f>
        <v>0</v>
      </c>
      <c r="P230" s="169">
        <f>IFERROR(MATCH(J230,'Final List'!$L$4:$L$252,0),0)</f>
        <v>0</v>
      </c>
      <c r="Q230" s="169">
        <f>IFERROR(MATCH(J230,'Final List'!$N$4:$N$252,0),0)</f>
        <v>0</v>
      </c>
      <c r="R230" s="169">
        <f>IFERROR(MATCH(J230,'Final List'!$P$4:$P$252,0),0)</f>
        <v>0</v>
      </c>
      <c r="S230" s="169">
        <f t="shared" si="15"/>
        <v>0</v>
      </c>
      <c r="T230" s="77" t="s">
        <v>68</v>
      </c>
      <c r="U230" s="77"/>
      <c r="V230" s="77" t="str">
        <f t="shared" si="13"/>
        <v>BAÑEZ 5</v>
      </c>
      <c r="W230" s="77" t="s">
        <v>2712</v>
      </c>
    </row>
    <row r="231" spans="2:23" x14ac:dyDescent="0.25">
      <c r="B231" s="77" t="s">
        <v>93</v>
      </c>
      <c r="C231" s="77" t="s">
        <v>41</v>
      </c>
      <c r="D231" s="77" t="s">
        <v>117</v>
      </c>
      <c r="E231" s="77" t="s">
        <v>36</v>
      </c>
      <c r="F231" s="245" t="str">
        <f t="shared" si="14"/>
        <v>StpS 77</v>
      </c>
      <c r="G231" s="77" t="s">
        <v>356</v>
      </c>
      <c r="H231" s="77"/>
      <c r="I231" s="77" t="str">
        <f t="shared" si="12"/>
        <v>L06_CTV_006W_STOPE</v>
      </c>
      <c r="J231" s="77" t="s">
        <v>5882</v>
      </c>
      <c r="K231" s="169">
        <f>IFERROR(MATCH(J231,'Final List'!$B$4:$B$252,0),0)</f>
        <v>0</v>
      </c>
      <c r="L231" s="169">
        <f>IFERROR(MATCH(J231,'Final List'!$D$4:$D$252,0),0)</f>
        <v>0</v>
      </c>
      <c r="M231" s="169">
        <f>IFERROR(MATCH(J231,'Final List'!$F$4:$F$251,0),0)</f>
        <v>0</v>
      </c>
      <c r="N231" s="169">
        <f>IFERROR(MATCH(J231,'Final List'!$H$4:$H$252,0),0)</f>
        <v>0</v>
      </c>
      <c r="O231" s="169">
        <f>IFERROR(MATCH(J231,'Final List'!$J$4:$J$252,0),0)</f>
        <v>0</v>
      </c>
      <c r="P231" s="169">
        <f>IFERROR(MATCH(J231,'Final List'!$L$4:$L$252,0),0)</f>
        <v>0</v>
      </c>
      <c r="Q231" s="169">
        <f>IFERROR(MATCH(J231,'Final List'!$N$4:$N$252,0),0)</f>
        <v>0</v>
      </c>
      <c r="R231" s="169">
        <f>IFERROR(MATCH(J231,'Final List'!$P$4:$P$252,0),0)</f>
        <v>0</v>
      </c>
      <c r="S231" s="169">
        <f t="shared" si="15"/>
        <v>0</v>
      </c>
      <c r="T231" s="77" t="s">
        <v>68</v>
      </c>
      <c r="U231" s="77"/>
      <c r="V231" s="77" t="str">
        <f t="shared" si="13"/>
        <v>BAÑEZ 1</v>
      </c>
      <c r="W231" s="77" t="s">
        <v>2713</v>
      </c>
    </row>
    <row r="232" spans="2:23" x14ac:dyDescent="0.25">
      <c r="B232" s="77" t="s">
        <v>93</v>
      </c>
      <c r="C232" s="77" t="s">
        <v>44</v>
      </c>
      <c r="D232" s="77" t="s">
        <v>111</v>
      </c>
      <c r="E232" s="77" t="s">
        <v>36</v>
      </c>
      <c r="F232" s="245" t="str">
        <f t="shared" si="14"/>
        <v>StpS 77</v>
      </c>
      <c r="G232" s="77" t="s">
        <v>350</v>
      </c>
      <c r="H232" s="77"/>
      <c r="I232" s="77" t="str">
        <f t="shared" si="12"/>
        <v>L06_CV_004W_STOPE</v>
      </c>
      <c r="J232" s="77" t="s">
        <v>5550</v>
      </c>
      <c r="K232" s="169">
        <f>IFERROR(MATCH(J232,'Final List'!$B$4:$B$252,0),0)</f>
        <v>0</v>
      </c>
      <c r="L232" s="169">
        <f>IFERROR(MATCH(J232,'Final List'!$D$4:$D$252,0),0)</f>
        <v>0</v>
      </c>
      <c r="M232" s="169">
        <f>IFERROR(MATCH(J232,'Final List'!$F$4:$F$251,0),0)</f>
        <v>0</v>
      </c>
      <c r="N232" s="169">
        <f>IFERROR(MATCH(J232,'Final List'!$H$4:$H$252,0),0)</f>
        <v>0</v>
      </c>
      <c r="O232" s="169">
        <f>IFERROR(MATCH(J232,'Final List'!$J$4:$J$252,0),0)</f>
        <v>0</v>
      </c>
      <c r="P232" s="169">
        <f>IFERROR(MATCH(J232,'Final List'!$L$4:$L$252,0),0)</f>
        <v>0</v>
      </c>
      <c r="Q232" s="169">
        <f>IFERROR(MATCH(J232,'Final List'!$N$4:$N$252,0),0)</f>
        <v>0</v>
      </c>
      <c r="R232" s="169">
        <f>IFERROR(MATCH(J232,'Final List'!$P$4:$P$252,0),0)</f>
        <v>0</v>
      </c>
      <c r="S232" s="169">
        <f t="shared" si="15"/>
        <v>0</v>
      </c>
      <c r="T232" s="77" t="s">
        <v>68</v>
      </c>
      <c r="U232" s="77"/>
      <c r="V232" s="77" t="str">
        <f t="shared" si="13"/>
        <v>QUIJANO 1</v>
      </c>
      <c r="W232" s="77" t="s">
        <v>2713</v>
      </c>
    </row>
    <row r="233" spans="2:23" x14ac:dyDescent="0.25">
      <c r="B233" s="77" t="s">
        <v>1166</v>
      </c>
      <c r="C233" s="77" t="s">
        <v>87</v>
      </c>
      <c r="D233" s="77" t="s">
        <v>173</v>
      </c>
      <c r="E233" s="77" t="s">
        <v>63</v>
      </c>
      <c r="F233" s="245" t="str">
        <f t="shared" si="14"/>
        <v>Dhoz 71</v>
      </c>
      <c r="G233" s="77" t="s">
        <v>6930</v>
      </c>
      <c r="H233" s="77"/>
      <c r="I233" s="77" t="str">
        <f t="shared" si="12"/>
        <v>L11_NONE_049E_XCS</v>
      </c>
      <c r="J233" s="77" t="s">
        <v>3631</v>
      </c>
      <c r="K233" s="169">
        <f>IFERROR(MATCH(J233,'Final List'!$B$4:$B$252,0),0)</f>
        <v>0</v>
      </c>
      <c r="L233" s="169">
        <f>IFERROR(MATCH(J233,'Final List'!$D$4:$D$252,0),0)</f>
        <v>0</v>
      </c>
      <c r="M233" s="169">
        <f>IFERROR(MATCH(J233,'Final List'!$F$4:$F$251,0),0)</f>
        <v>0</v>
      </c>
      <c r="N233" s="169">
        <f>IFERROR(MATCH(J233,'Final List'!$H$4:$H$252,0),0)</f>
        <v>0</v>
      </c>
      <c r="O233" s="169">
        <f>IFERROR(MATCH(J233,'Final List'!$J$4:$J$252,0),0)</f>
        <v>0</v>
      </c>
      <c r="P233" s="169">
        <f>IFERROR(MATCH(J233,'Final List'!$L$4:$L$252,0),0)</f>
        <v>0</v>
      </c>
      <c r="Q233" s="169">
        <f>IFERROR(MATCH(J233,'Final List'!$N$4:$N$252,0),0)</f>
        <v>0</v>
      </c>
      <c r="R233" s="169">
        <f>IFERROR(MATCH(J233,'Final List'!$P$4:$P$252,0),0)</f>
        <v>0</v>
      </c>
      <c r="S233" s="169">
        <f t="shared" si="15"/>
        <v>0</v>
      </c>
      <c r="T233" s="77"/>
      <c r="U233" s="77"/>
      <c r="V233" s="77" t="str">
        <f t="shared" si="13"/>
        <v>DUHIG, P1</v>
      </c>
      <c r="W233" s="77" t="s">
        <v>8898</v>
      </c>
    </row>
    <row r="234" spans="2:23" x14ac:dyDescent="0.25">
      <c r="B234" s="77" t="s">
        <v>1166</v>
      </c>
      <c r="C234" s="77" t="s">
        <v>87</v>
      </c>
      <c r="D234" s="77" t="s">
        <v>173</v>
      </c>
      <c r="E234" s="77" t="s">
        <v>37</v>
      </c>
      <c r="F234" s="245" t="str">
        <f t="shared" si="14"/>
        <v>Dhoz 71</v>
      </c>
      <c r="G234" s="77" t="s">
        <v>5231</v>
      </c>
      <c r="H234" s="77" t="s">
        <v>538</v>
      </c>
      <c r="I234" s="77" t="str">
        <f t="shared" si="12"/>
        <v>L11_NONE_049E_XCN</v>
      </c>
      <c r="J234" s="77" t="s">
        <v>11984</v>
      </c>
      <c r="K234" s="169">
        <f>IFERROR(MATCH(J234,'Final List'!$B$4:$B$252,0),0)</f>
        <v>0</v>
      </c>
      <c r="L234" s="169">
        <f>IFERROR(MATCH(J234,'Final List'!$D$4:$D$252,0),0)</f>
        <v>0</v>
      </c>
      <c r="M234" s="169">
        <f>IFERROR(MATCH(J234,'Final List'!$F$4:$F$251,0),0)</f>
        <v>0</v>
      </c>
      <c r="N234" s="169">
        <f>IFERROR(MATCH(J234,'Final List'!$H$4:$H$252,0),0)</f>
        <v>0</v>
      </c>
      <c r="O234" s="169">
        <f>IFERROR(MATCH(J234,'Final List'!$J$4:$J$252,0),0)</f>
        <v>0</v>
      </c>
      <c r="P234" s="169">
        <f>IFERROR(MATCH(J234,'Final List'!$L$4:$L$252,0),0)</f>
        <v>0</v>
      </c>
      <c r="Q234" s="169">
        <f>IFERROR(MATCH(J234,'Final List'!$N$4:$N$252,0),0)</f>
        <v>0</v>
      </c>
      <c r="R234" s="169">
        <f>IFERROR(MATCH(J234,'Final List'!$P$4:$P$252,0),0)</f>
        <v>0</v>
      </c>
      <c r="S234" s="169">
        <f t="shared" si="15"/>
        <v>0</v>
      </c>
      <c r="T234" s="77"/>
      <c r="U234" s="77"/>
      <c r="V234" s="77" t="str">
        <f t="shared" si="13"/>
        <v>PANCIT, NOEL 4</v>
      </c>
      <c r="W234" s="77" t="s">
        <v>2714</v>
      </c>
    </row>
    <row r="235" spans="2:23" x14ac:dyDescent="0.25">
      <c r="B235" s="77" t="s">
        <v>95</v>
      </c>
      <c r="C235" s="77" t="s">
        <v>59</v>
      </c>
      <c r="D235" s="77" t="s">
        <v>167</v>
      </c>
      <c r="E235" s="77" t="s">
        <v>62</v>
      </c>
      <c r="F235" s="245" t="str">
        <f t="shared" si="14"/>
        <v>RobS 79</v>
      </c>
      <c r="G235" s="77" t="s">
        <v>367</v>
      </c>
      <c r="H235" s="77"/>
      <c r="I235" s="77" t="str">
        <f t="shared" si="12"/>
        <v>L08_GHVHW_058E_ROBBING</v>
      </c>
      <c r="J235" s="77" t="s">
        <v>5875</v>
      </c>
      <c r="K235" s="169">
        <f>IFERROR(MATCH(J235,'Final List'!$B$4:$B$252,0),0)</f>
        <v>0</v>
      </c>
      <c r="L235" s="169">
        <f>IFERROR(MATCH(J235,'Final List'!$D$4:$D$252,0),0)</f>
        <v>0</v>
      </c>
      <c r="M235" s="169">
        <f>IFERROR(MATCH(J235,'Final List'!$F$4:$F$251,0),0)</f>
        <v>0</v>
      </c>
      <c r="N235" s="169">
        <f>IFERROR(MATCH(J235,'Final List'!$H$4:$H$252,0),0)</f>
        <v>0</v>
      </c>
      <c r="O235" s="169">
        <f>IFERROR(MATCH(J235,'Final List'!$J$4:$J$252,0),0)</f>
        <v>0</v>
      </c>
      <c r="P235" s="169">
        <f>IFERROR(MATCH(J235,'Final List'!$L$4:$L$252,0),0)</f>
        <v>0</v>
      </c>
      <c r="Q235" s="169">
        <f>IFERROR(MATCH(J235,'Final List'!$N$4:$N$252,0),0)</f>
        <v>0</v>
      </c>
      <c r="R235" s="169">
        <f>IFERROR(MATCH(J235,'Final List'!$P$4:$P$252,0),0)</f>
        <v>0</v>
      </c>
      <c r="S235" s="169">
        <f t="shared" si="15"/>
        <v>0</v>
      </c>
      <c r="T235" s="77" t="s">
        <v>68</v>
      </c>
      <c r="U235" s="77"/>
      <c r="V235" s="77" t="str">
        <f t="shared" si="13"/>
        <v>LERIO 1</v>
      </c>
      <c r="W235" s="77" t="s">
        <v>2707</v>
      </c>
    </row>
    <row r="236" spans="2:23" x14ac:dyDescent="0.25">
      <c r="B236" s="77" t="s">
        <v>91</v>
      </c>
      <c r="C236" s="77" t="s">
        <v>87</v>
      </c>
      <c r="D236" s="77" t="s">
        <v>5888</v>
      </c>
      <c r="E236" s="77" t="s">
        <v>37</v>
      </c>
      <c r="F236" s="245" t="str">
        <f t="shared" si="14"/>
        <v>Dhoz 71</v>
      </c>
      <c r="G236" s="77" t="s">
        <v>5367</v>
      </c>
      <c r="H236" s="77"/>
      <c r="I236" s="77" t="str">
        <f t="shared" si="12"/>
        <v>L04_NONE_024W_XCN</v>
      </c>
      <c r="J236" s="77" t="s">
        <v>5365</v>
      </c>
      <c r="K236" s="169">
        <f>IFERROR(MATCH(J236,'Final List'!$B$4:$B$252,0),0)</f>
        <v>0</v>
      </c>
      <c r="L236" s="169">
        <f>IFERROR(MATCH(J236,'Final List'!$D$4:$D$252,0),0)</f>
        <v>0</v>
      </c>
      <c r="M236" s="169">
        <f>IFERROR(MATCH(J236,'Final List'!$F$4:$F$251,0),0)</f>
        <v>0</v>
      </c>
      <c r="N236" s="169">
        <f>IFERROR(MATCH(J236,'Final List'!$H$4:$H$252,0),0)</f>
        <v>0</v>
      </c>
      <c r="O236" s="169">
        <f>IFERROR(MATCH(J236,'Final List'!$J$4:$J$252,0),0)</f>
        <v>0</v>
      </c>
      <c r="P236" s="169">
        <f>IFERROR(MATCH(J236,'Final List'!$L$4:$L$252,0),0)</f>
        <v>0</v>
      </c>
      <c r="Q236" s="169">
        <f>IFERROR(MATCH(J236,'Final List'!$N$4:$N$252,0),0)</f>
        <v>0</v>
      </c>
      <c r="R236" s="169">
        <f>IFERROR(MATCH(J236,'Final List'!$P$4:$P$252,0),0)</f>
        <v>0</v>
      </c>
      <c r="S236" s="169">
        <f t="shared" si="15"/>
        <v>0</v>
      </c>
      <c r="T236" s="77"/>
      <c r="U236" s="77"/>
      <c r="V236" s="77" t="str">
        <f t="shared" si="13"/>
        <v>MARTINEZ, RONALD 2</v>
      </c>
      <c r="W236" s="77" t="s">
        <v>8897</v>
      </c>
    </row>
    <row r="237" spans="2:23" x14ac:dyDescent="0.25">
      <c r="B237" s="77" t="s">
        <v>91</v>
      </c>
      <c r="C237" s="77" t="s">
        <v>87</v>
      </c>
      <c r="D237" s="77" t="s">
        <v>5940</v>
      </c>
      <c r="E237" s="77" t="s">
        <v>63</v>
      </c>
      <c r="F237" s="245" t="str">
        <f t="shared" si="14"/>
        <v>Dhoz 71</v>
      </c>
      <c r="G237" s="77" t="s">
        <v>488</v>
      </c>
      <c r="H237" s="77"/>
      <c r="I237" s="77" t="str">
        <f t="shared" si="12"/>
        <v>L04_NONE_022W_XCS</v>
      </c>
      <c r="J237" s="77" t="s">
        <v>5895</v>
      </c>
      <c r="K237" s="169">
        <f>IFERROR(MATCH(J237,'Final List'!$B$4:$B$252,0),0)</f>
        <v>0</v>
      </c>
      <c r="L237" s="169">
        <f>IFERROR(MATCH(J237,'Final List'!$D$4:$D$252,0),0)</f>
        <v>0</v>
      </c>
      <c r="M237" s="169">
        <f>IFERROR(MATCH(J237,'Final List'!$F$4:$F$251,0),0)</f>
        <v>0</v>
      </c>
      <c r="N237" s="169">
        <f>IFERROR(MATCH(J237,'Final List'!$H$4:$H$252,0),0)</f>
        <v>0</v>
      </c>
      <c r="O237" s="169">
        <f>IFERROR(MATCH(J237,'Final List'!$J$4:$J$252,0),0)</f>
        <v>0</v>
      </c>
      <c r="P237" s="169">
        <f>IFERROR(MATCH(J237,'Final List'!$L$4:$L$252,0),0)</f>
        <v>0</v>
      </c>
      <c r="Q237" s="169">
        <f>IFERROR(MATCH(J237,'Final List'!$N$4:$N$252,0),0)</f>
        <v>0</v>
      </c>
      <c r="R237" s="169">
        <f>IFERROR(MATCH(J237,'Final List'!$P$4:$P$252,0),0)</f>
        <v>0</v>
      </c>
      <c r="S237" s="169">
        <f t="shared" si="15"/>
        <v>0</v>
      </c>
      <c r="T237" s="77"/>
      <c r="U237" s="77"/>
      <c r="V237" s="77" t="str">
        <f t="shared" si="13"/>
        <v>BAÑEZ 9</v>
      </c>
      <c r="W237" s="77" t="s">
        <v>8897</v>
      </c>
    </row>
    <row r="238" spans="2:23" x14ac:dyDescent="0.25">
      <c r="B238" s="77" t="s">
        <v>92</v>
      </c>
      <c r="C238" s="77" t="s">
        <v>45</v>
      </c>
      <c r="D238" s="77" t="s">
        <v>173</v>
      </c>
      <c r="E238" s="77" t="s">
        <v>19</v>
      </c>
      <c r="F238" s="245" t="str">
        <f t="shared" si="14"/>
        <v>DVR 72</v>
      </c>
      <c r="G238" s="77" t="s">
        <v>3920</v>
      </c>
      <c r="H238" s="77"/>
      <c r="I238" s="77" t="str">
        <f t="shared" si="12"/>
        <v>L05_DPVE_049E_RAISE</v>
      </c>
      <c r="J238" s="77" t="s">
        <v>5488</v>
      </c>
      <c r="K238" s="169">
        <f>IFERROR(MATCH(J238,'Final List'!$B$4:$B$252,0),0)</f>
        <v>0</v>
      </c>
      <c r="L238" s="169">
        <f>IFERROR(MATCH(J238,'Final List'!$D$4:$D$252,0),0)</f>
        <v>0</v>
      </c>
      <c r="M238" s="169">
        <f>IFERROR(MATCH(J238,'Final List'!$F$4:$F$251,0),0)</f>
        <v>0</v>
      </c>
      <c r="N238" s="169">
        <f>IFERROR(MATCH(J238,'Final List'!$H$4:$H$252,0),0)</f>
        <v>0</v>
      </c>
      <c r="O238" s="169">
        <f>IFERROR(MATCH(J238,'Final List'!$J$4:$J$252,0),0)</f>
        <v>0</v>
      </c>
      <c r="P238" s="169">
        <f>IFERROR(MATCH(J238,'Final List'!$L$4:$L$252,0),0)</f>
        <v>0</v>
      </c>
      <c r="Q238" s="169">
        <f>IFERROR(MATCH(J238,'Final List'!$N$4:$N$252,0),0)</f>
        <v>0</v>
      </c>
      <c r="R238" s="169">
        <f>IFERROR(MATCH(J238,'Final List'!$P$4:$P$252,0),0)</f>
        <v>0</v>
      </c>
      <c r="S238" s="169">
        <f t="shared" si="15"/>
        <v>0</v>
      </c>
      <c r="T238" s="77"/>
      <c r="U238" s="77"/>
      <c r="V238" s="77" t="str">
        <f t="shared" si="13"/>
        <v>SHEPHERD AD</v>
      </c>
      <c r="W238" s="77" t="s">
        <v>2710</v>
      </c>
    </row>
    <row r="239" spans="2:23" x14ac:dyDescent="0.25">
      <c r="B239" s="77" t="s">
        <v>95</v>
      </c>
      <c r="C239" s="77" t="s">
        <v>57</v>
      </c>
      <c r="D239" s="77" t="s">
        <v>198</v>
      </c>
      <c r="E239" s="77" t="s">
        <v>19</v>
      </c>
      <c r="F239" s="245" t="str">
        <f t="shared" si="14"/>
        <v>DVR 72</v>
      </c>
      <c r="G239" s="77" t="s">
        <v>303</v>
      </c>
      <c r="H239" s="77"/>
      <c r="I239" s="77" t="str">
        <f t="shared" si="12"/>
        <v>L08_JVSPLIT_069E_RAISE</v>
      </c>
      <c r="J239" s="77" t="s">
        <v>5869</v>
      </c>
      <c r="K239" s="169">
        <f>IFERROR(MATCH(J239,'Final List'!$B$4:$B$252,0),0)</f>
        <v>0</v>
      </c>
      <c r="L239" s="169">
        <f>IFERROR(MATCH(J239,'Final List'!$D$4:$D$252,0),0)</f>
        <v>0</v>
      </c>
      <c r="M239" s="169">
        <f>IFERROR(MATCH(J239,'Final List'!$F$4:$F$251,0),0)</f>
        <v>0</v>
      </c>
      <c r="N239" s="169">
        <f>IFERROR(MATCH(J239,'Final List'!$H$4:$H$252,0),0)</f>
        <v>0</v>
      </c>
      <c r="O239" s="169">
        <f>IFERROR(MATCH(J239,'Final List'!$J$4:$J$252,0),0)</f>
        <v>0</v>
      </c>
      <c r="P239" s="169">
        <f>IFERROR(MATCH(J239,'Final List'!$L$4:$L$252,0),0)</f>
        <v>0</v>
      </c>
      <c r="Q239" s="169">
        <f>IFERROR(MATCH(J239,'Final List'!$N$4:$N$252,0),0)</f>
        <v>0</v>
      </c>
      <c r="R239" s="169">
        <f>IFERROR(MATCH(J239,'Final List'!$P$4:$P$252,0),0)</f>
        <v>0</v>
      </c>
      <c r="S239" s="169">
        <f t="shared" si="15"/>
        <v>0</v>
      </c>
      <c r="T239" s="77"/>
      <c r="U239" s="77"/>
      <c r="V239" s="77" t="str">
        <f t="shared" si="13"/>
        <v>BELICAN 1</v>
      </c>
      <c r="W239" s="77" t="s">
        <v>2715</v>
      </c>
    </row>
    <row r="240" spans="2:23" x14ac:dyDescent="0.25">
      <c r="B240" s="77" t="s">
        <v>95</v>
      </c>
      <c r="C240" s="77" t="s">
        <v>45</v>
      </c>
      <c r="D240" s="77" t="s">
        <v>172</v>
      </c>
      <c r="E240" s="77" t="s">
        <v>19</v>
      </c>
      <c r="F240" s="245" t="str">
        <f t="shared" si="14"/>
        <v>DVR 72</v>
      </c>
      <c r="G240" s="77" t="s">
        <v>474</v>
      </c>
      <c r="H240" s="77"/>
      <c r="I240" s="77" t="str">
        <f t="shared" si="12"/>
        <v>L08_DPVE_045E_RAISE</v>
      </c>
      <c r="J240" s="77" t="s">
        <v>5873</v>
      </c>
      <c r="K240" s="169">
        <f>IFERROR(MATCH(J240,'Final List'!$B$4:$B$252,0),0)</f>
        <v>0</v>
      </c>
      <c r="L240" s="169">
        <f>IFERROR(MATCH(J240,'Final List'!$D$4:$D$252,0),0)</f>
        <v>0</v>
      </c>
      <c r="M240" s="169">
        <f>IFERROR(MATCH(J240,'Final List'!$F$4:$F$251,0),0)</f>
        <v>0</v>
      </c>
      <c r="N240" s="169">
        <f>IFERROR(MATCH(J240,'Final List'!$H$4:$H$252,0),0)</f>
        <v>0</v>
      </c>
      <c r="O240" s="169">
        <f>IFERROR(MATCH(J240,'Final List'!$J$4:$J$252,0),0)</f>
        <v>0</v>
      </c>
      <c r="P240" s="169">
        <f>IFERROR(MATCH(J240,'Final List'!$L$4:$L$252,0),0)</f>
        <v>0</v>
      </c>
      <c r="Q240" s="169">
        <f>IFERROR(MATCH(J240,'Final List'!$N$4:$N$252,0),0)</f>
        <v>0</v>
      </c>
      <c r="R240" s="169">
        <f>IFERROR(MATCH(J240,'Final List'!$P$4:$P$252,0),0)</f>
        <v>0</v>
      </c>
      <c r="S240" s="169">
        <f t="shared" si="15"/>
        <v>0</v>
      </c>
      <c r="T240" s="77"/>
      <c r="U240" s="77"/>
      <c r="V240" s="77" t="str">
        <f t="shared" si="13"/>
        <v>TORMIS 1</v>
      </c>
      <c r="W240" s="77" t="s">
        <v>2715</v>
      </c>
    </row>
    <row r="241" spans="1:25" x14ac:dyDescent="0.25">
      <c r="B241" s="77" t="s">
        <v>258</v>
      </c>
      <c r="C241" s="77" t="s">
        <v>59</v>
      </c>
      <c r="D241" s="77" t="s">
        <v>5889</v>
      </c>
      <c r="E241" s="77" t="s">
        <v>19</v>
      </c>
      <c r="F241" s="245" t="str">
        <f t="shared" si="14"/>
        <v>DVR 72</v>
      </c>
      <c r="G241" s="77" t="s">
        <v>296</v>
      </c>
      <c r="H241" s="77"/>
      <c r="I241" s="77" t="str">
        <f t="shared" si="12"/>
        <v>L10_GHVHW_077E_RAISE</v>
      </c>
      <c r="J241" s="77" t="s">
        <v>5515</v>
      </c>
      <c r="K241" s="169">
        <f>IFERROR(MATCH(J241,'Final List'!$B$4:$B$252,0),0)</f>
        <v>0</v>
      </c>
      <c r="L241" s="169">
        <f>IFERROR(MATCH(J241,'Final List'!$D$4:$D$252,0),0)</f>
        <v>0</v>
      </c>
      <c r="M241" s="169">
        <f>IFERROR(MATCH(J241,'Final List'!$F$4:$F$251,0),0)</f>
        <v>0</v>
      </c>
      <c r="N241" s="169">
        <f>IFERROR(MATCH(J241,'Final List'!$H$4:$H$252,0),0)</f>
        <v>0</v>
      </c>
      <c r="O241" s="169">
        <f>IFERROR(MATCH(J241,'Final List'!$J$4:$J$252,0),0)</f>
        <v>0</v>
      </c>
      <c r="P241" s="169">
        <f>IFERROR(MATCH(J241,'Final List'!$L$4:$L$252,0),0)</f>
        <v>0</v>
      </c>
      <c r="Q241" s="169">
        <f>IFERROR(MATCH(J241,'Final List'!$N$4:$N$252,0),0)</f>
        <v>0</v>
      </c>
      <c r="R241" s="169">
        <f>IFERROR(MATCH(J241,'Final List'!$P$4:$P$252,0),0)</f>
        <v>0</v>
      </c>
      <c r="S241" s="169">
        <f t="shared" si="15"/>
        <v>0</v>
      </c>
      <c r="T241" s="77"/>
      <c r="U241" s="77"/>
      <c r="V241" s="77" t="str">
        <f t="shared" si="13"/>
        <v>MONTEBON 2</v>
      </c>
      <c r="W241" s="77" t="s">
        <v>2715</v>
      </c>
    </row>
    <row r="242" spans="1:25" x14ac:dyDescent="0.25">
      <c r="B242" s="77" t="s">
        <v>94</v>
      </c>
      <c r="C242" s="77" t="s">
        <v>45</v>
      </c>
      <c r="D242" s="77" t="s">
        <v>172</v>
      </c>
      <c r="E242" s="77" t="s">
        <v>60</v>
      </c>
      <c r="F242" s="245" t="str">
        <f t="shared" si="14"/>
        <v>Dhoz 71</v>
      </c>
      <c r="G242" s="77" t="s">
        <v>5726</v>
      </c>
      <c r="H242" s="77" t="s">
        <v>5921</v>
      </c>
      <c r="I242" s="77" t="str">
        <f t="shared" si="12"/>
        <v>L07_DPVE_045E_DE</v>
      </c>
      <c r="J242" s="77" t="s">
        <v>7916</v>
      </c>
      <c r="K242" s="169">
        <f>IFERROR(MATCH(J242,'Final List'!$B$4:$B$252,0),0)</f>
        <v>0</v>
      </c>
      <c r="L242" s="169">
        <f>IFERROR(MATCH(J242,'Final List'!$D$4:$D$252,0),0)</f>
        <v>0</v>
      </c>
      <c r="M242" s="169">
        <f>IFERROR(MATCH(J242,'Final List'!$F$4:$F$251,0),0)</f>
        <v>0</v>
      </c>
      <c r="N242" s="169">
        <f>IFERROR(MATCH(J242,'Final List'!$H$4:$H$252,0),0)</f>
        <v>0</v>
      </c>
      <c r="O242" s="169">
        <f>IFERROR(MATCH(J242,'Final List'!$J$4:$J$252,0),0)</f>
        <v>0</v>
      </c>
      <c r="P242" s="169">
        <f>IFERROR(MATCH(J242,'Final List'!$L$4:$L$252,0),0)</f>
        <v>0</v>
      </c>
      <c r="Q242" s="169">
        <f>IFERROR(MATCH(J242,'Final List'!$N$4:$N$252,0),0)</f>
        <v>0</v>
      </c>
      <c r="R242" s="169">
        <f>IFERROR(MATCH(J242,'Final List'!$P$4:$P$252,0),0)</f>
        <v>0</v>
      </c>
      <c r="S242" s="169">
        <f t="shared" si="15"/>
        <v>0</v>
      </c>
      <c r="T242" s="77"/>
      <c r="U242" s="77"/>
      <c r="V242" s="77" t="str">
        <f t="shared" si="13"/>
        <v>TURRA 2</v>
      </c>
      <c r="W242" s="77" t="s">
        <v>8895</v>
      </c>
    </row>
    <row r="243" spans="1:25" x14ac:dyDescent="0.25">
      <c r="B243" s="77" t="s">
        <v>96</v>
      </c>
      <c r="C243" s="77" t="s">
        <v>45</v>
      </c>
      <c r="D243" s="77" t="s">
        <v>595</v>
      </c>
      <c r="E243" s="77" t="s">
        <v>61</v>
      </c>
      <c r="F243" s="245" t="str">
        <f t="shared" si="14"/>
        <v>Dhoz 71</v>
      </c>
      <c r="G243" s="77" t="s">
        <v>862</v>
      </c>
      <c r="H243" s="77" t="s">
        <v>5101</v>
      </c>
      <c r="I243" s="77" t="str">
        <f t="shared" si="12"/>
        <v>L09_DPVE_072E_DW</v>
      </c>
      <c r="J243" s="77" t="s">
        <v>5898</v>
      </c>
      <c r="K243" s="169">
        <f>IFERROR(MATCH(J243,'Final List'!$B$4:$B$252,0),0)</f>
        <v>0</v>
      </c>
      <c r="L243" s="169">
        <f>IFERROR(MATCH(J243,'Final List'!$D$4:$D$252,0),0)</f>
        <v>0</v>
      </c>
      <c r="M243" s="169">
        <f>IFERROR(MATCH(J243,'Final List'!$F$4:$F$251,0),0)</f>
        <v>0</v>
      </c>
      <c r="N243" s="169">
        <f>IFERROR(MATCH(J243,'Final List'!$H$4:$H$252,0),0)</f>
        <v>0</v>
      </c>
      <c r="O243" s="169">
        <f>IFERROR(MATCH(J243,'Final List'!$J$4:$J$252,0),0)</f>
        <v>0</v>
      </c>
      <c r="P243" s="169">
        <f>IFERROR(MATCH(J243,'Final List'!$L$4:$L$252,0),0)</f>
        <v>0</v>
      </c>
      <c r="Q243" s="169">
        <f>IFERROR(MATCH(J243,'Final List'!$N$4:$N$252,0),0)</f>
        <v>0</v>
      </c>
      <c r="R243" s="169">
        <f>IFERROR(MATCH(J243,'Final List'!$P$4:$P$252,0),0)</f>
        <v>0</v>
      </c>
      <c r="S243" s="169">
        <f t="shared" si="15"/>
        <v>0</v>
      </c>
      <c r="T243" s="77"/>
      <c r="U243" s="77"/>
      <c r="V243" s="77" t="str">
        <f t="shared" si="13"/>
        <v>DELOS REYES V3</v>
      </c>
      <c r="W243" s="77" t="s">
        <v>8896</v>
      </c>
    </row>
    <row r="244" spans="1:25" x14ac:dyDescent="0.25">
      <c r="B244" s="77" t="s">
        <v>93</v>
      </c>
      <c r="C244" s="77" t="s">
        <v>57</v>
      </c>
      <c r="D244" s="77" t="s">
        <v>162</v>
      </c>
      <c r="E244" s="77" t="s">
        <v>36</v>
      </c>
      <c r="F244" s="245" t="str">
        <f t="shared" si="14"/>
        <v>StpS 77</v>
      </c>
      <c r="G244" s="77" t="s">
        <v>345</v>
      </c>
      <c r="H244" s="77"/>
      <c r="I244" s="77" t="str">
        <f t="shared" si="12"/>
        <v>L06_JVSPLIT_008E_STOPE</v>
      </c>
      <c r="J244" s="77" t="s">
        <v>5906</v>
      </c>
      <c r="K244" s="169">
        <f>IFERROR(MATCH(J244,'Final List'!$B$4:$B$252,0),0)</f>
        <v>0</v>
      </c>
      <c r="L244" s="169">
        <f>IFERROR(MATCH(J244,'Final List'!$D$4:$D$252,0),0)</f>
        <v>0</v>
      </c>
      <c r="M244" s="169">
        <f>IFERROR(MATCH(J244,'Final List'!$F$4:$F$251,0),0)</f>
        <v>0</v>
      </c>
      <c r="N244" s="169">
        <f>IFERROR(MATCH(J244,'Final List'!$H$4:$H$252,0),0)</f>
        <v>0</v>
      </c>
      <c r="O244" s="169">
        <f>IFERROR(MATCH(J244,'Final List'!$J$4:$J$252,0),0)</f>
        <v>0</v>
      </c>
      <c r="P244" s="169">
        <f>IFERROR(MATCH(J244,'Final List'!$L$4:$L$252,0),0)</f>
        <v>0</v>
      </c>
      <c r="Q244" s="169">
        <f>IFERROR(MATCH(J244,'Final List'!$N$4:$N$252,0),0)</f>
        <v>0</v>
      </c>
      <c r="R244" s="169">
        <f>IFERROR(MATCH(J244,'Final List'!$P$4:$P$252,0),0)</f>
        <v>0</v>
      </c>
      <c r="S244" s="169">
        <f t="shared" si="15"/>
        <v>0</v>
      </c>
      <c r="T244" s="77" t="s">
        <v>68</v>
      </c>
      <c r="U244" s="77"/>
      <c r="V244" s="77" t="str">
        <f t="shared" si="13"/>
        <v>PANSIT 1</v>
      </c>
      <c r="W244" s="77" t="s">
        <v>2711</v>
      </c>
    </row>
    <row r="245" spans="1:25" x14ac:dyDescent="0.25">
      <c r="A245" s="146"/>
      <c r="B245" s="147" t="s">
        <v>96</v>
      </c>
      <c r="C245" s="147" t="s">
        <v>56</v>
      </c>
      <c r="D245" s="147" t="s">
        <v>123</v>
      </c>
      <c r="E245" s="147" t="s">
        <v>19</v>
      </c>
      <c r="F245" s="245" t="str">
        <f t="shared" si="14"/>
        <v>DVR 72</v>
      </c>
      <c r="G245" s="147" t="s">
        <v>746</v>
      </c>
      <c r="H245" s="147"/>
      <c r="I245" s="77" t="str">
        <f t="shared" si="12"/>
        <v>L09_GHVFW_031E_RAISE</v>
      </c>
      <c r="J245" s="147" t="s">
        <v>5909</v>
      </c>
      <c r="K245" s="169">
        <f>IFERROR(MATCH(J245,'Final List'!$B$4:$B$252,0),0)</f>
        <v>0</v>
      </c>
      <c r="L245" s="169">
        <f>IFERROR(MATCH(J245,'Final List'!$D$4:$D$252,0),0)</f>
        <v>0</v>
      </c>
      <c r="M245" s="169">
        <f>IFERROR(MATCH(J245,'Final List'!$F$4:$F$251,0),0)</f>
        <v>0</v>
      </c>
      <c r="N245" s="169">
        <f>IFERROR(MATCH(J245,'Final List'!$H$4:$H$252,0),0)</f>
        <v>0</v>
      </c>
      <c r="O245" s="169">
        <f>IFERROR(MATCH(J245,'Final List'!$J$4:$J$252,0),0)</f>
        <v>0</v>
      </c>
      <c r="P245" s="169">
        <f>IFERROR(MATCH(J245,'Final List'!$L$4:$L$252,0),0)</f>
        <v>0</v>
      </c>
      <c r="Q245" s="169">
        <f>IFERROR(MATCH(J245,'Final List'!$N$4:$N$252,0),0)</f>
        <v>0</v>
      </c>
      <c r="R245" s="169">
        <f>IFERROR(MATCH(J245,'Final List'!$P$4:$P$252,0),0)</f>
        <v>0</v>
      </c>
      <c r="S245" s="169">
        <f t="shared" si="15"/>
        <v>0</v>
      </c>
      <c r="T245" s="147"/>
      <c r="U245" s="147"/>
      <c r="V245" s="147" t="str">
        <f t="shared" si="13"/>
        <v>CANOY 1</v>
      </c>
      <c r="W245" s="147" t="s">
        <v>2715</v>
      </c>
    </row>
    <row r="246" spans="1:25" s="118" customFormat="1" x14ac:dyDescent="0.25">
      <c r="A246" s="146"/>
      <c r="B246" s="147" t="s">
        <v>93</v>
      </c>
      <c r="C246" s="147" t="s">
        <v>45</v>
      </c>
      <c r="D246" s="147" t="s">
        <v>120</v>
      </c>
      <c r="E246" s="147" t="s">
        <v>19</v>
      </c>
      <c r="F246" s="245" t="str">
        <f t="shared" si="14"/>
        <v>DVR 72</v>
      </c>
      <c r="G246" s="147" t="s">
        <v>353</v>
      </c>
      <c r="H246" s="147"/>
      <c r="I246" s="77" t="str">
        <f t="shared" si="12"/>
        <v>L06_DPVE_015E_RAISE</v>
      </c>
      <c r="J246" s="147" t="s">
        <v>5317</v>
      </c>
      <c r="K246" s="169">
        <f>IFERROR(MATCH(J246,'Final List'!$B$4:$B$252,0),0)</f>
        <v>0</v>
      </c>
      <c r="L246" s="169">
        <f>IFERROR(MATCH(J246,'Final List'!$D$4:$D$252,0),0)</f>
        <v>0</v>
      </c>
      <c r="M246" s="169">
        <f>IFERROR(MATCH(J246,'Final List'!$F$4:$F$251,0),0)</f>
        <v>0</v>
      </c>
      <c r="N246" s="169">
        <f>IFERROR(MATCH(J246,'Final List'!$H$4:$H$252,0),0)</f>
        <v>0</v>
      </c>
      <c r="O246" s="169">
        <f>IFERROR(MATCH(J246,'Final List'!$J$4:$J$252,0),0)</f>
        <v>0</v>
      </c>
      <c r="P246" s="169">
        <f>IFERROR(MATCH(J246,'Final List'!$L$4:$L$252,0),0)</f>
        <v>0</v>
      </c>
      <c r="Q246" s="169">
        <f>IFERROR(MATCH(J246,'Final List'!$N$4:$N$252,0),0)</f>
        <v>0</v>
      </c>
      <c r="R246" s="169">
        <f>IFERROR(MATCH(J246,'Final List'!$P$4:$P$252,0),0)</f>
        <v>0</v>
      </c>
      <c r="S246" s="169">
        <f t="shared" si="15"/>
        <v>0</v>
      </c>
      <c r="T246" s="147"/>
      <c r="U246" s="147"/>
      <c r="V246" s="147" t="str">
        <f t="shared" si="13"/>
        <v>BAÑEZ 4</v>
      </c>
      <c r="W246" s="147" t="s">
        <v>2715</v>
      </c>
      <c r="X246"/>
      <c r="Y246"/>
    </row>
    <row r="247" spans="1:25" s="118" customFormat="1" x14ac:dyDescent="0.25">
      <c r="A247" s="146"/>
      <c r="B247" s="147" t="s">
        <v>94</v>
      </c>
      <c r="C247" s="147" t="s">
        <v>38</v>
      </c>
      <c r="D247" s="147" t="s">
        <v>5888</v>
      </c>
      <c r="E247" s="147" t="s">
        <v>19</v>
      </c>
      <c r="F247" s="245" t="str">
        <f t="shared" si="14"/>
        <v>DVR 72</v>
      </c>
      <c r="G247" s="147" t="s">
        <v>5718</v>
      </c>
      <c r="H247" s="147" t="s">
        <v>5770</v>
      </c>
      <c r="I247" s="77" t="str">
        <f t="shared" si="12"/>
        <v>L07_GHV_024W_RAISE</v>
      </c>
      <c r="J247" s="147" t="s">
        <v>5910</v>
      </c>
      <c r="K247" s="169">
        <f>IFERROR(MATCH(J247,'Final List'!$B$4:$B$252,0),0)</f>
        <v>0</v>
      </c>
      <c r="L247" s="169">
        <f>IFERROR(MATCH(J247,'Final List'!$D$4:$D$252,0),0)</f>
        <v>0</v>
      </c>
      <c r="M247" s="169">
        <f>IFERROR(MATCH(J247,'Final List'!$F$4:$F$251,0),0)</f>
        <v>0</v>
      </c>
      <c r="N247" s="169">
        <f>IFERROR(MATCH(J247,'Final List'!$H$4:$H$252,0),0)</f>
        <v>0</v>
      </c>
      <c r="O247" s="169">
        <f>IFERROR(MATCH(J247,'Final List'!$J$4:$J$252,0),0)</f>
        <v>0</v>
      </c>
      <c r="P247" s="169">
        <f>IFERROR(MATCH(J247,'Final List'!$L$4:$L$252,0),0)</f>
        <v>0</v>
      </c>
      <c r="Q247" s="169">
        <f>IFERROR(MATCH(J247,'Final List'!$N$4:$N$252,0),0)</f>
        <v>0</v>
      </c>
      <c r="R247" s="169">
        <f>IFERROR(MATCH(J247,'Final List'!$P$4:$P$252,0),0)</f>
        <v>0</v>
      </c>
      <c r="S247" s="169">
        <f t="shared" si="15"/>
        <v>0</v>
      </c>
      <c r="T247" s="147"/>
      <c r="U247" s="147"/>
      <c r="V247" s="147" t="str">
        <f t="shared" si="13"/>
        <v>SHEPHERD AK 2</v>
      </c>
      <c r="W247" s="147" t="s">
        <v>2715</v>
      </c>
      <c r="X247"/>
      <c r="Y247"/>
    </row>
    <row r="248" spans="1:25" s="118" customFormat="1" x14ac:dyDescent="0.25">
      <c r="A248" s="146"/>
      <c r="B248" s="147" t="s">
        <v>95</v>
      </c>
      <c r="C248" s="147" t="s">
        <v>87</v>
      </c>
      <c r="D248" s="147" t="s">
        <v>5912</v>
      </c>
      <c r="E248" s="147" t="s">
        <v>70</v>
      </c>
      <c r="F248" s="245" t="str">
        <f t="shared" si="14"/>
        <v>Dhoz 71</v>
      </c>
      <c r="G248" s="147" t="s">
        <v>473</v>
      </c>
      <c r="H248" s="147"/>
      <c r="I248" s="77" t="str">
        <f t="shared" si="12"/>
        <v>L08_NONE_019E_SUMP</v>
      </c>
      <c r="J248" s="147" t="s">
        <v>5911</v>
      </c>
      <c r="K248" s="169">
        <f>IFERROR(MATCH(J248,'Final List'!$B$4:$B$252,0),0)</f>
        <v>0</v>
      </c>
      <c r="L248" s="169">
        <f>IFERROR(MATCH(J248,'Final List'!$D$4:$D$252,0),0)</f>
        <v>0</v>
      </c>
      <c r="M248" s="169">
        <f>IFERROR(MATCH(J248,'Final List'!$F$4:$F$251,0),0)</f>
        <v>0</v>
      </c>
      <c r="N248" s="169">
        <f>IFERROR(MATCH(J248,'Final List'!$H$4:$H$252,0),0)</f>
        <v>0</v>
      </c>
      <c r="O248" s="169">
        <f>IFERROR(MATCH(J248,'Final List'!$J$4:$J$252,0),0)</f>
        <v>0</v>
      </c>
      <c r="P248" s="169">
        <f>IFERROR(MATCH(J248,'Final List'!$L$4:$L$252,0),0)</f>
        <v>0</v>
      </c>
      <c r="Q248" s="169">
        <f>IFERROR(MATCH(J248,'Final List'!$N$4:$N$252,0),0)</f>
        <v>0</v>
      </c>
      <c r="R248" s="169">
        <f>IFERROR(MATCH(J248,'Final List'!$P$4:$P$252,0),0)</f>
        <v>0</v>
      </c>
      <c r="S248" s="169">
        <f t="shared" si="15"/>
        <v>0</v>
      </c>
      <c r="T248" s="147"/>
      <c r="U248" s="147"/>
      <c r="V248" s="147" t="str">
        <f t="shared" si="13"/>
        <v>SILVOZA 2</v>
      </c>
      <c r="W248" s="147" t="s">
        <v>2714</v>
      </c>
      <c r="X248"/>
      <c r="Y248"/>
    </row>
    <row r="249" spans="1:25" s="118" customFormat="1" x14ac:dyDescent="0.25">
      <c r="A249" s="146"/>
      <c r="B249" s="147" t="s">
        <v>94</v>
      </c>
      <c r="C249" s="147" t="s">
        <v>55</v>
      </c>
      <c r="D249" s="147" t="s">
        <v>142</v>
      </c>
      <c r="E249" s="147" t="s">
        <v>441</v>
      </c>
      <c r="F249" s="245" t="str">
        <f t="shared" si="14"/>
        <v>RobC 80</v>
      </c>
      <c r="G249" s="147" t="s">
        <v>2970</v>
      </c>
      <c r="H249" s="147"/>
      <c r="I249" s="77" t="str">
        <f t="shared" si="12"/>
        <v>L07_JVFW_038E_WINZE STOPE PREP</v>
      </c>
      <c r="J249" s="147" t="s">
        <v>5930</v>
      </c>
      <c r="K249" s="169">
        <f>IFERROR(MATCH(J249,'Final List'!$B$4:$B$252,0),0)</f>
        <v>0</v>
      </c>
      <c r="L249" s="169">
        <f>IFERROR(MATCH(J249,'Final List'!$D$4:$D$252,0),0)</f>
        <v>0</v>
      </c>
      <c r="M249" s="169">
        <f>IFERROR(MATCH(J249,'Final List'!$F$4:$F$251,0),0)</f>
        <v>0</v>
      </c>
      <c r="N249" s="169">
        <f>IFERROR(MATCH(J249,'Final List'!$H$4:$H$252,0),0)</f>
        <v>0</v>
      </c>
      <c r="O249" s="169">
        <f>IFERROR(MATCH(J249,'Final List'!$J$4:$J$252,0),0)</f>
        <v>0</v>
      </c>
      <c r="P249" s="169">
        <f>IFERROR(MATCH(J249,'Final List'!$L$4:$L$252,0),0)</f>
        <v>0</v>
      </c>
      <c r="Q249" s="169">
        <f>IFERROR(MATCH(J249,'Final List'!$N$4:$N$252,0),0)</f>
        <v>0</v>
      </c>
      <c r="R249" s="169">
        <f>IFERROR(MATCH(J249,'Final List'!$P$4:$P$252,0),0)</f>
        <v>0</v>
      </c>
      <c r="S249" s="169">
        <f t="shared" si="15"/>
        <v>0</v>
      </c>
      <c r="T249" s="147" t="s">
        <v>68</v>
      </c>
      <c r="U249" s="147"/>
      <c r="V249" s="147" t="str">
        <f t="shared" si="13"/>
        <v>FABROA 2</v>
      </c>
      <c r="W249" s="147" t="s">
        <v>2716</v>
      </c>
      <c r="X249"/>
      <c r="Y249"/>
    </row>
    <row r="250" spans="1:25" x14ac:dyDescent="0.25">
      <c r="A250" s="146"/>
      <c r="B250" s="147" t="s">
        <v>96</v>
      </c>
      <c r="C250" s="147" t="s">
        <v>57</v>
      </c>
      <c r="D250" s="147" t="s">
        <v>162</v>
      </c>
      <c r="E250" s="147" t="s">
        <v>36</v>
      </c>
      <c r="F250" s="245" t="str">
        <f t="shared" si="14"/>
        <v>StpS 77</v>
      </c>
      <c r="G250" s="147" t="s">
        <v>345</v>
      </c>
      <c r="H250" s="147"/>
      <c r="I250" s="77" t="str">
        <f t="shared" si="12"/>
        <v>L09_JVSPLIT_008E_STOPE</v>
      </c>
      <c r="J250" s="147" t="s">
        <v>5904</v>
      </c>
      <c r="K250" s="169">
        <f>IFERROR(MATCH(J250,'Final List'!$B$4:$B$252,0),0)</f>
        <v>0</v>
      </c>
      <c r="L250" s="169">
        <f>IFERROR(MATCH(J250,'Final List'!$D$4:$D$252,0),0)</f>
        <v>0</v>
      </c>
      <c r="M250" s="169">
        <f>IFERROR(MATCH(J250,'Final List'!$F$4:$F$251,0),0)</f>
        <v>0</v>
      </c>
      <c r="N250" s="169">
        <f>IFERROR(MATCH(J250,'Final List'!$H$4:$H$252,0),0)</f>
        <v>0</v>
      </c>
      <c r="O250" s="169">
        <f>IFERROR(MATCH(J250,'Final List'!$J$4:$J$252,0),0)</f>
        <v>0</v>
      </c>
      <c r="P250" s="169">
        <f>IFERROR(MATCH(J250,'Final List'!$L$4:$L$252,0),0)</f>
        <v>0</v>
      </c>
      <c r="Q250" s="169">
        <f>IFERROR(MATCH(J250,'Final List'!$N$4:$N$252,0),0)</f>
        <v>0</v>
      </c>
      <c r="R250" s="169">
        <f>IFERROR(MATCH(J250,'Final List'!$P$4:$P$252,0),0)</f>
        <v>0</v>
      </c>
      <c r="S250" s="169">
        <f t="shared" si="15"/>
        <v>0</v>
      </c>
      <c r="T250" s="147" t="s">
        <v>68</v>
      </c>
      <c r="U250" s="147"/>
      <c r="V250" s="147" t="str">
        <f t="shared" si="13"/>
        <v>PANSIT 1</v>
      </c>
      <c r="W250" s="147" t="s">
        <v>2713</v>
      </c>
    </row>
    <row r="251" spans="1:25" x14ac:dyDescent="0.25">
      <c r="A251" s="146"/>
      <c r="B251" s="147" t="s">
        <v>94</v>
      </c>
      <c r="C251" s="147" t="s">
        <v>41</v>
      </c>
      <c r="D251" s="147" t="s">
        <v>131</v>
      </c>
      <c r="E251" s="147" t="s">
        <v>19</v>
      </c>
      <c r="F251" s="245" t="str">
        <f t="shared" si="14"/>
        <v>DVR 72</v>
      </c>
      <c r="G251" s="147" t="s">
        <v>5720</v>
      </c>
      <c r="H251" s="147"/>
      <c r="I251" s="77" t="str">
        <f t="shared" si="12"/>
        <v>L07_CTV_011E_RAISE</v>
      </c>
      <c r="J251" s="147" t="s">
        <v>5920</v>
      </c>
      <c r="K251" s="169">
        <f>IFERROR(MATCH(J251,'Final List'!$B$4:$B$252,0),0)</f>
        <v>0</v>
      </c>
      <c r="L251" s="169">
        <f>IFERROR(MATCH(J251,'Final List'!$D$4:$D$252,0),0)</f>
        <v>0</v>
      </c>
      <c r="M251" s="169">
        <f>IFERROR(MATCH(J251,'Final List'!$F$4:$F$251,0),0)</f>
        <v>0</v>
      </c>
      <c r="N251" s="169">
        <f>IFERROR(MATCH(J251,'Final List'!$H$4:$H$252,0),0)</f>
        <v>0</v>
      </c>
      <c r="O251" s="169">
        <f>IFERROR(MATCH(J251,'Final List'!$J$4:$J$252,0),0)</f>
        <v>0</v>
      </c>
      <c r="P251" s="169">
        <f>IFERROR(MATCH(J251,'Final List'!$L$4:$L$252,0),0)</f>
        <v>0</v>
      </c>
      <c r="Q251" s="169">
        <f>IFERROR(MATCH(J251,'Final List'!$N$4:$N$252,0),0)</f>
        <v>0</v>
      </c>
      <c r="R251" s="169">
        <f>IFERROR(MATCH(J251,'Final List'!$P$4:$P$252,0),0)</f>
        <v>0</v>
      </c>
      <c r="S251" s="169">
        <f t="shared" si="15"/>
        <v>0</v>
      </c>
      <c r="T251" s="147"/>
      <c r="U251" s="147"/>
      <c r="V251" s="147" t="str">
        <f t="shared" si="13"/>
        <v>TURRA 1</v>
      </c>
      <c r="W251" s="147" t="s">
        <v>2715</v>
      </c>
    </row>
    <row r="252" spans="1:25" s="118" customFormat="1" x14ac:dyDescent="0.25">
      <c r="A252" s="146"/>
      <c r="B252" s="147" t="s">
        <v>94</v>
      </c>
      <c r="C252" s="147" t="s">
        <v>55</v>
      </c>
      <c r="D252" s="147" t="s">
        <v>5723</v>
      </c>
      <c r="E252" s="147" t="s">
        <v>60</v>
      </c>
      <c r="F252" s="245" t="str">
        <f t="shared" si="14"/>
        <v>Dhoz 71</v>
      </c>
      <c r="G252" s="147" t="s">
        <v>324</v>
      </c>
      <c r="H252" s="147"/>
      <c r="I252" s="77" t="str">
        <f t="shared" si="12"/>
        <v>L07_JVFW_046E_DE</v>
      </c>
      <c r="J252" s="147" t="s">
        <v>5919</v>
      </c>
      <c r="K252" s="169">
        <f>IFERROR(MATCH(J252,'Final List'!$B$4:$B$252,0),0)</f>
        <v>0</v>
      </c>
      <c r="L252" s="169">
        <f>IFERROR(MATCH(J252,'Final List'!$D$4:$D$252,0),0)</f>
        <v>0</v>
      </c>
      <c r="M252" s="169">
        <f>IFERROR(MATCH(J252,'Final List'!$F$4:$F$251,0),0)</f>
        <v>0</v>
      </c>
      <c r="N252" s="169">
        <f>IFERROR(MATCH(J252,'Final List'!$H$4:$H$252,0),0)</f>
        <v>0</v>
      </c>
      <c r="O252" s="169">
        <f>IFERROR(MATCH(J252,'Final List'!$J$4:$J$252,0),0)</f>
        <v>0</v>
      </c>
      <c r="P252" s="169">
        <f>IFERROR(MATCH(J252,'Final List'!$L$4:$L$252,0),0)</f>
        <v>0</v>
      </c>
      <c r="Q252" s="169">
        <f>IFERROR(MATCH(J252,'Final List'!$N$4:$N$252,0),0)</f>
        <v>0</v>
      </c>
      <c r="R252" s="169">
        <f>IFERROR(MATCH(J252,'Final List'!$P$4:$P$252,0),0)</f>
        <v>0</v>
      </c>
      <c r="S252" s="169">
        <f t="shared" si="15"/>
        <v>0</v>
      </c>
      <c r="T252" s="147"/>
      <c r="U252" s="147"/>
      <c r="V252" s="147" t="str">
        <f t="shared" si="13"/>
        <v>CAYABAS 1</v>
      </c>
      <c r="W252" s="147" t="s">
        <v>8895</v>
      </c>
      <c r="X252"/>
      <c r="Y252"/>
    </row>
    <row r="253" spans="1:25" s="118" customFormat="1" x14ac:dyDescent="0.25">
      <c r="A253" s="146"/>
      <c r="B253" s="147" t="s">
        <v>94</v>
      </c>
      <c r="C253" s="147" t="s">
        <v>42</v>
      </c>
      <c r="D253" s="147" t="s">
        <v>174</v>
      </c>
      <c r="E253" s="147" t="s">
        <v>20</v>
      </c>
      <c r="F253" s="245" t="str">
        <f t="shared" si="14"/>
        <v>DVW 74</v>
      </c>
      <c r="G253" s="147" t="s">
        <v>329</v>
      </c>
      <c r="H253" s="147"/>
      <c r="I253" s="77" t="str">
        <f t="shared" si="12"/>
        <v>L07_JV_052E_WINZE</v>
      </c>
      <c r="J253" s="147" t="s">
        <v>5901</v>
      </c>
      <c r="K253" s="169">
        <f>IFERROR(MATCH(J253,'Final List'!$B$4:$B$252,0),0)</f>
        <v>0</v>
      </c>
      <c r="L253" s="169">
        <f>IFERROR(MATCH(J253,'Final List'!$D$4:$D$252,0),0)</f>
        <v>0</v>
      </c>
      <c r="M253" s="169">
        <f>IFERROR(MATCH(J253,'Final List'!$F$4:$F$251,0),0)</f>
        <v>0</v>
      </c>
      <c r="N253" s="169">
        <f>IFERROR(MATCH(J253,'Final List'!$H$4:$H$252,0),0)</f>
        <v>0</v>
      </c>
      <c r="O253" s="169">
        <f>IFERROR(MATCH(J253,'Final List'!$J$4:$J$252,0),0)</f>
        <v>0</v>
      </c>
      <c r="P253" s="169">
        <f>IFERROR(MATCH(J253,'Final List'!$L$4:$L$252,0),0)</f>
        <v>0</v>
      </c>
      <c r="Q253" s="169">
        <f>IFERROR(MATCH(J253,'Final List'!$N$4:$N$252,0),0)</f>
        <v>0</v>
      </c>
      <c r="R253" s="169">
        <f>IFERROR(MATCH(J253,'Final List'!$P$4:$P$252,0),0)</f>
        <v>0</v>
      </c>
      <c r="S253" s="169">
        <f t="shared" si="15"/>
        <v>0</v>
      </c>
      <c r="T253" s="147"/>
      <c r="U253" s="147"/>
      <c r="V253" s="147" t="str">
        <f t="shared" si="13"/>
        <v>OY-YOY 1</v>
      </c>
      <c r="W253" s="147" t="s">
        <v>2706</v>
      </c>
      <c r="X253"/>
      <c r="Y253"/>
    </row>
    <row r="254" spans="1:25" x14ac:dyDescent="0.25">
      <c r="A254" s="146"/>
      <c r="B254" s="147" t="s">
        <v>92</v>
      </c>
      <c r="C254" s="147" t="s">
        <v>42</v>
      </c>
      <c r="D254" s="147" t="s">
        <v>128</v>
      </c>
      <c r="E254" s="147" t="s">
        <v>6144</v>
      </c>
      <c r="F254" s="245" t="str">
        <f t="shared" si="14"/>
        <v>DVR 72</v>
      </c>
      <c r="G254" s="147" t="s">
        <v>387</v>
      </c>
      <c r="H254" s="147"/>
      <c r="I254" s="77" t="str">
        <f t="shared" si="12"/>
        <v>L05_JV_027E_RAISE_ISL</v>
      </c>
      <c r="J254" s="147" t="s">
        <v>6152</v>
      </c>
      <c r="K254" s="169">
        <f>IFERROR(MATCH(J254,'Final List'!$B$4:$B$252,0),0)</f>
        <v>0</v>
      </c>
      <c r="L254" s="169">
        <f>IFERROR(MATCH(J254,'Final List'!$D$4:$D$252,0),0)</f>
        <v>0</v>
      </c>
      <c r="M254" s="169">
        <f>IFERROR(MATCH(J254,'Final List'!$F$4:$F$251,0),0)</f>
        <v>0</v>
      </c>
      <c r="N254" s="169">
        <f>IFERROR(MATCH(J254,'Final List'!$H$4:$H$252,0),0)</f>
        <v>0</v>
      </c>
      <c r="O254" s="169">
        <f>IFERROR(MATCH(J254,'Final List'!$J$4:$J$252,0),0)</f>
        <v>0</v>
      </c>
      <c r="P254" s="169">
        <f>IFERROR(MATCH(J254,'Final List'!$L$4:$L$252,0),0)</f>
        <v>0</v>
      </c>
      <c r="Q254" s="169">
        <f>IFERROR(MATCH(J254,'Final List'!$N$4:$N$252,0),0)</f>
        <v>0</v>
      </c>
      <c r="R254" s="169">
        <f>IFERROR(MATCH(J254,'Final List'!$P$4:$P$252,0),0)</f>
        <v>0</v>
      </c>
      <c r="S254" s="169">
        <f t="shared" si="15"/>
        <v>0</v>
      </c>
      <c r="T254" s="147"/>
      <c r="U254" s="147"/>
      <c r="V254" s="147" t="str">
        <f t="shared" si="13"/>
        <v>MAPAYO 1</v>
      </c>
      <c r="W254" s="147" t="s">
        <v>2715</v>
      </c>
    </row>
    <row r="255" spans="1:25" x14ac:dyDescent="0.25">
      <c r="A255" s="146"/>
      <c r="B255" s="147" t="s">
        <v>96</v>
      </c>
      <c r="C255" s="147" t="s">
        <v>56</v>
      </c>
      <c r="D255" s="147" t="s">
        <v>159</v>
      </c>
      <c r="E255" s="147" t="s">
        <v>36</v>
      </c>
      <c r="F255" s="245" t="str">
        <f t="shared" si="14"/>
        <v>StpS 77</v>
      </c>
      <c r="G255" s="147" t="s">
        <v>346</v>
      </c>
      <c r="H255" s="147"/>
      <c r="I255" s="77" t="str">
        <f t="shared" si="12"/>
        <v>L09_GHVFW_023E_STOPE</v>
      </c>
      <c r="J255" s="147" t="s">
        <v>6199</v>
      </c>
      <c r="K255" s="169">
        <f>IFERROR(MATCH(J255,'Final List'!$B$4:$B$252,0),0)</f>
        <v>0</v>
      </c>
      <c r="L255" s="169">
        <f>IFERROR(MATCH(J255,'Final List'!$D$4:$D$252,0),0)</f>
        <v>0</v>
      </c>
      <c r="M255" s="169">
        <f>IFERROR(MATCH(J255,'Final List'!$F$4:$F$251,0),0)</f>
        <v>0</v>
      </c>
      <c r="N255" s="169">
        <f>IFERROR(MATCH(J255,'Final List'!$H$4:$H$252,0),0)</f>
        <v>0</v>
      </c>
      <c r="O255" s="169">
        <f>IFERROR(MATCH(J255,'Final List'!$J$4:$J$252,0),0)</f>
        <v>0</v>
      </c>
      <c r="P255" s="169">
        <f>IFERROR(MATCH(J255,'Final List'!$L$4:$L$252,0),0)</f>
        <v>0</v>
      </c>
      <c r="Q255" s="169">
        <f>IFERROR(MATCH(J255,'Final List'!$N$4:$N$252,0),0)</f>
        <v>0</v>
      </c>
      <c r="R255" s="169">
        <f>IFERROR(MATCH(J255,'Final List'!$P$4:$P$252,0),0)</f>
        <v>0</v>
      </c>
      <c r="S255" s="169">
        <f t="shared" si="15"/>
        <v>0</v>
      </c>
      <c r="T255" s="147" t="s">
        <v>68</v>
      </c>
      <c r="U255" s="147"/>
      <c r="V255" s="147" t="str">
        <f t="shared" si="13"/>
        <v>PANSIT 2</v>
      </c>
      <c r="W255" s="77" t="s">
        <v>2713</v>
      </c>
    </row>
    <row r="256" spans="1:25" x14ac:dyDescent="0.25">
      <c r="A256" s="148"/>
      <c r="B256" s="149" t="s">
        <v>96</v>
      </c>
      <c r="C256" s="149" t="s">
        <v>46</v>
      </c>
      <c r="D256" s="149" t="s">
        <v>164</v>
      </c>
      <c r="E256" s="149" t="s">
        <v>60</v>
      </c>
      <c r="F256" s="245" t="str">
        <f t="shared" si="14"/>
        <v>Dhoz 71</v>
      </c>
      <c r="G256" s="149" t="s">
        <v>389</v>
      </c>
      <c r="H256" s="149"/>
      <c r="I256" s="77" t="str">
        <f t="shared" si="12"/>
        <v>L09_DPVE2_064E_DE</v>
      </c>
      <c r="J256" s="149" t="s">
        <v>5914</v>
      </c>
      <c r="K256" s="169">
        <f>IFERROR(MATCH(J256,'Final List'!$B$4:$B$252,0),0)</f>
        <v>0</v>
      </c>
      <c r="L256" s="169">
        <f>IFERROR(MATCH(J256,'Final List'!$D$4:$D$252,0),0)</f>
        <v>0</v>
      </c>
      <c r="M256" s="169">
        <f>IFERROR(MATCH(J256,'Final List'!$F$4:$F$251,0),0)</f>
        <v>0</v>
      </c>
      <c r="N256" s="169">
        <f>IFERROR(MATCH(J256,'Final List'!$H$4:$H$252,0),0)</f>
        <v>0</v>
      </c>
      <c r="O256" s="169">
        <f>IFERROR(MATCH(J256,'Final List'!$J$4:$J$252,0),0)</f>
        <v>0</v>
      </c>
      <c r="P256" s="169">
        <f>IFERROR(MATCH(J256,'Final List'!$L$4:$L$252,0),0)</f>
        <v>0</v>
      </c>
      <c r="Q256" s="169">
        <f>IFERROR(MATCH(J256,'Final List'!$N$4:$N$252,0),0)</f>
        <v>0</v>
      </c>
      <c r="R256" s="169">
        <f>IFERROR(MATCH(J256,'Final List'!$P$4:$P$252,0),0)</f>
        <v>0</v>
      </c>
      <c r="S256" s="169">
        <f t="shared" si="15"/>
        <v>0</v>
      </c>
      <c r="T256" s="149"/>
      <c r="U256" s="149"/>
      <c r="V256" s="149" t="str">
        <f t="shared" si="13"/>
        <v>CAPPUYO 1</v>
      </c>
      <c r="W256" s="149" t="s">
        <v>8896</v>
      </c>
      <c r="X256" s="118"/>
      <c r="Y256" s="118"/>
    </row>
    <row r="257" spans="1:25" s="118" customFormat="1" x14ac:dyDescent="0.25">
      <c r="A257" s="148"/>
      <c r="B257" s="149" t="s">
        <v>96</v>
      </c>
      <c r="C257" s="149" t="s">
        <v>46</v>
      </c>
      <c r="D257" s="149" t="s">
        <v>5614</v>
      </c>
      <c r="E257" s="149" t="s">
        <v>60</v>
      </c>
      <c r="F257" s="245" t="str">
        <f t="shared" si="14"/>
        <v>Dhoz 71</v>
      </c>
      <c r="G257" s="149" t="s">
        <v>5057</v>
      </c>
      <c r="H257" s="149"/>
      <c r="I257" s="77" t="str">
        <f t="shared" si="12"/>
        <v>L09_DPVE2_055E_DE</v>
      </c>
      <c r="J257" s="149" t="s">
        <v>5915</v>
      </c>
      <c r="K257" s="169">
        <f>IFERROR(MATCH(J257,'Final List'!$B$4:$B$252,0),0)</f>
        <v>0</v>
      </c>
      <c r="L257" s="169">
        <f>IFERROR(MATCH(J257,'Final List'!$D$4:$D$252,0),0)</f>
        <v>0</v>
      </c>
      <c r="M257" s="169">
        <f>IFERROR(MATCH(J257,'Final List'!$F$4:$F$251,0),0)</f>
        <v>0</v>
      </c>
      <c r="N257" s="169">
        <f>IFERROR(MATCH(J257,'Final List'!$H$4:$H$252,0),0)</f>
        <v>0</v>
      </c>
      <c r="O257" s="169">
        <f>IFERROR(MATCH(J257,'Final List'!$J$4:$J$252,0),0)</f>
        <v>0</v>
      </c>
      <c r="P257" s="169">
        <f>IFERROR(MATCH(J257,'Final List'!$L$4:$L$252,0),0)</f>
        <v>0</v>
      </c>
      <c r="Q257" s="169">
        <f>IFERROR(MATCH(J257,'Final List'!$N$4:$N$252,0),0)</f>
        <v>0</v>
      </c>
      <c r="R257" s="169">
        <f>IFERROR(MATCH(J257,'Final List'!$P$4:$P$252,0),0)</f>
        <v>0</v>
      </c>
      <c r="S257" s="169">
        <f t="shared" si="15"/>
        <v>0</v>
      </c>
      <c r="T257" s="149"/>
      <c r="U257" s="149"/>
      <c r="V257" s="149" t="str">
        <f t="shared" si="13"/>
        <v>DELOS REYES V 1</v>
      </c>
      <c r="W257" s="149" t="s">
        <v>8896</v>
      </c>
    </row>
    <row r="258" spans="1:25" s="118" customFormat="1" x14ac:dyDescent="0.25">
      <c r="A258" s="148"/>
      <c r="B258" s="149" t="s">
        <v>96</v>
      </c>
      <c r="C258" s="149" t="s">
        <v>42</v>
      </c>
      <c r="D258" s="149" t="s">
        <v>167</v>
      </c>
      <c r="E258" s="149" t="s">
        <v>19</v>
      </c>
      <c r="F258" s="245" t="str">
        <f t="shared" si="14"/>
        <v>DVR 72</v>
      </c>
      <c r="G258" s="149" t="s">
        <v>460</v>
      </c>
      <c r="H258" s="149"/>
      <c r="I258" s="77" t="str">
        <f t="shared" ref="I258:I321" si="16">CONCATENATE(B258,"_",C258,"_",D258,"_",E258)</f>
        <v>L09_JV_058E_RAISE</v>
      </c>
      <c r="J258" s="149" t="s">
        <v>5893</v>
      </c>
      <c r="K258" s="169">
        <f>IFERROR(MATCH(J258,'Final List'!$B$4:$B$252,0),0)</f>
        <v>0</v>
      </c>
      <c r="L258" s="169">
        <f>IFERROR(MATCH(J258,'Final List'!$D$4:$D$252,0),0)</f>
        <v>0</v>
      </c>
      <c r="M258" s="169">
        <f>IFERROR(MATCH(J258,'Final List'!$F$4:$F$251,0),0)</f>
        <v>0</v>
      </c>
      <c r="N258" s="169">
        <f>IFERROR(MATCH(J258,'Final List'!$H$4:$H$252,0),0)</f>
        <v>0</v>
      </c>
      <c r="O258" s="169">
        <f>IFERROR(MATCH(J258,'Final List'!$J$4:$J$252,0),0)</f>
        <v>0</v>
      </c>
      <c r="P258" s="169">
        <f>IFERROR(MATCH(J258,'Final List'!$L$4:$L$252,0),0)</f>
        <v>0</v>
      </c>
      <c r="Q258" s="169">
        <f>IFERROR(MATCH(J258,'Final List'!$N$4:$N$252,0),0)</f>
        <v>0</v>
      </c>
      <c r="R258" s="169">
        <f>IFERROR(MATCH(J258,'Final List'!$P$4:$P$252,0),0)</f>
        <v>0</v>
      </c>
      <c r="S258" s="169">
        <f t="shared" si="15"/>
        <v>0</v>
      </c>
      <c r="T258" s="149"/>
      <c r="U258" s="149"/>
      <c r="V258" s="149" t="str">
        <f t="shared" ref="V258:V321" si="17">IF(H258="",G258,H258)</f>
        <v>PANSIT 5</v>
      </c>
      <c r="W258" s="149" t="s">
        <v>2715</v>
      </c>
    </row>
    <row r="259" spans="1:25" x14ac:dyDescent="0.25">
      <c r="A259" s="148"/>
      <c r="B259" s="149" t="s">
        <v>96</v>
      </c>
      <c r="C259" s="149" t="s">
        <v>46</v>
      </c>
      <c r="D259" s="149" t="s">
        <v>1230</v>
      </c>
      <c r="E259" s="149" t="s">
        <v>19</v>
      </c>
      <c r="F259" s="245" t="str">
        <f t="shared" ref="F259:F322" si="18">IF(OR(E259="XCN",E259="DE",E259="DW",E259="DN",E259="XCS",E259="XCE",E259="XCW",E259="SUMP",E259="BYPASS",E259="CHAMBER",E259="DRAIN HOLE",E259="DRILLING CHAMBER",E259="DE_ISL",E259="DW_ISL",E259="REHAB"),"Dhoz 71",IF(OR(E259="RAISE",E259="RAISE_ISL"),"DVR 72",IF(E259="ALIMAK","DVA 73",IF(E259="WINZE","DVW 74",IF(E259="SHAFT","DVS 75",IF(AND(E259="WINZE STOPE",T259="S"),"RobC 80",IF(AND(E259="STOPE",T259="S"),"StpS 77",IF(AND(E259="WINZE STOPE",T259="L"),"RobC 80",IF(AND(E259="STOPE",T259="L"),"StpL 78",IF(AND(E259="WINZE STOPE PREP",T259="S"),"RobC 80",IF(AND(E259="STOPE PREP",T259="S"),"StpS 77",IF(AND(E259="WINZE STOPE PREP",T259="L"),"RobC 80",IF(AND(E259="STOPE PREP",T259="L"),"StpL 78",IF(AND(E259="ROBBING",T259="L"),"RobC 80",IF(AND(E259="ROBBING",T259="S"),"RobS 79",0)))))))))))))))</f>
        <v>DVR 72</v>
      </c>
      <c r="G259" s="149" t="s">
        <v>336</v>
      </c>
      <c r="H259" s="149"/>
      <c r="I259" s="77" t="str">
        <f t="shared" si="16"/>
        <v>L09_DPVE2_075E_RAISE</v>
      </c>
      <c r="J259" s="149" t="s">
        <v>4302</v>
      </c>
      <c r="K259" s="169">
        <f>IFERROR(MATCH(J259,'Final List'!$B$4:$B$252,0),0)</f>
        <v>0</v>
      </c>
      <c r="L259" s="169">
        <f>IFERROR(MATCH(J259,'Final List'!$D$4:$D$252,0),0)</f>
        <v>0</v>
      </c>
      <c r="M259" s="169">
        <f>IFERROR(MATCH(J259,'Final List'!$F$4:$F$251,0),0)</f>
        <v>0</v>
      </c>
      <c r="N259" s="169">
        <f>IFERROR(MATCH(J259,'Final List'!$H$4:$H$252,0),0)</f>
        <v>0</v>
      </c>
      <c r="O259" s="169">
        <f>IFERROR(MATCH(J259,'Final List'!$J$4:$J$252,0),0)</f>
        <v>0</v>
      </c>
      <c r="P259" s="169">
        <f>IFERROR(MATCH(J259,'Final List'!$L$4:$L$252,0),0)</f>
        <v>0</v>
      </c>
      <c r="Q259" s="169">
        <f>IFERROR(MATCH(J259,'Final List'!$N$4:$N$252,0),0)</f>
        <v>0</v>
      </c>
      <c r="R259" s="169">
        <f>IFERROR(MATCH(J259,'Final List'!$P$4:$P$252,0),0)</f>
        <v>0</v>
      </c>
      <c r="S259" s="169">
        <f t="shared" ref="S259:S322" si="19">SUM(K259:R259)</f>
        <v>0</v>
      </c>
      <c r="T259" s="149"/>
      <c r="U259" s="149"/>
      <c r="V259" s="149" t="str">
        <f t="shared" si="17"/>
        <v>BALANGHIG 1</v>
      </c>
      <c r="W259" s="149" t="s">
        <v>2715</v>
      </c>
      <c r="X259" s="118"/>
      <c r="Y259" s="118"/>
    </row>
    <row r="260" spans="1:25" x14ac:dyDescent="0.25">
      <c r="A260" s="146"/>
      <c r="B260" s="147" t="s">
        <v>95</v>
      </c>
      <c r="C260" s="147" t="s">
        <v>45</v>
      </c>
      <c r="D260" s="147" t="s">
        <v>201</v>
      </c>
      <c r="E260" s="147" t="s">
        <v>19</v>
      </c>
      <c r="F260" s="245" t="str">
        <f t="shared" si="18"/>
        <v>DVR 72</v>
      </c>
      <c r="G260" s="147" t="s">
        <v>491</v>
      </c>
      <c r="H260" s="147"/>
      <c r="I260" s="77" t="str">
        <f t="shared" si="16"/>
        <v>L08_DPVE_067E_RAISE</v>
      </c>
      <c r="J260" s="147" t="s">
        <v>557</v>
      </c>
      <c r="K260" s="169">
        <f>IFERROR(MATCH(J260,'Final List'!$B$4:$B$252,0),0)</f>
        <v>0</v>
      </c>
      <c r="L260" s="169">
        <f>IFERROR(MATCH(J260,'Final List'!$D$4:$D$252,0),0)</f>
        <v>0</v>
      </c>
      <c r="M260" s="169">
        <f>IFERROR(MATCH(J260,'Final List'!$F$4:$F$251,0),0)</f>
        <v>0</v>
      </c>
      <c r="N260" s="169">
        <f>IFERROR(MATCH(J260,'Final List'!$H$4:$H$252,0),0)</f>
        <v>0</v>
      </c>
      <c r="O260" s="169">
        <f>IFERROR(MATCH(J260,'Final List'!$J$4:$J$252,0),0)</f>
        <v>0</v>
      </c>
      <c r="P260" s="169">
        <f>IFERROR(MATCH(J260,'Final List'!$L$4:$L$252,0),0)</f>
        <v>0</v>
      </c>
      <c r="Q260" s="169">
        <f>IFERROR(MATCH(J260,'Final List'!$N$4:$N$252,0),0)</f>
        <v>0</v>
      </c>
      <c r="R260" s="169">
        <f>IFERROR(MATCH(J260,'Final List'!$P$4:$P$252,0),0)</f>
        <v>0</v>
      </c>
      <c r="S260" s="169">
        <f t="shared" si="19"/>
        <v>0</v>
      </c>
      <c r="T260" s="147"/>
      <c r="U260" s="147"/>
      <c r="V260" s="147" t="str">
        <f t="shared" si="17"/>
        <v>REVITA 2</v>
      </c>
      <c r="W260" s="147" t="s">
        <v>2715</v>
      </c>
    </row>
    <row r="261" spans="1:25" x14ac:dyDescent="0.25">
      <c r="A261" s="146"/>
      <c r="B261" s="147" t="s">
        <v>95</v>
      </c>
      <c r="C261" s="147" t="s">
        <v>87</v>
      </c>
      <c r="D261" s="147" t="s">
        <v>149</v>
      </c>
      <c r="E261" s="147" t="s">
        <v>37</v>
      </c>
      <c r="F261" s="245" t="str">
        <f t="shared" si="18"/>
        <v>Dhoz 71</v>
      </c>
      <c r="G261" s="147" t="s">
        <v>476</v>
      </c>
      <c r="H261" s="147"/>
      <c r="I261" s="77" t="str">
        <f t="shared" si="16"/>
        <v>L08_NONE_021E_XCN</v>
      </c>
      <c r="J261" s="147" t="s">
        <v>5931</v>
      </c>
      <c r="K261" s="169">
        <f>IFERROR(MATCH(J261,'Final List'!$B$4:$B$252,0),0)</f>
        <v>0</v>
      </c>
      <c r="L261" s="169">
        <f>IFERROR(MATCH(J261,'Final List'!$D$4:$D$252,0),0)</f>
        <v>0</v>
      </c>
      <c r="M261" s="169">
        <f>IFERROR(MATCH(J261,'Final List'!$F$4:$F$251,0),0)</f>
        <v>0</v>
      </c>
      <c r="N261" s="169">
        <f>IFERROR(MATCH(J261,'Final List'!$H$4:$H$252,0),0)</f>
        <v>0</v>
      </c>
      <c r="O261" s="169">
        <f>IFERROR(MATCH(J261,'Final List'!$J$4:$J$252,0),0)</f>
        <v>0</v>
      </c>
      <c r="P261" s="169">
        <f>IFERROR(MATCH(J261,'Final List'!$L$4:$L$252,0),0)</f>
        <v>0</v>
      </c>
      <c r="Q261" s="169">
        <f>IFERROR(MATCH(J261,'Final List'!$N$4:$N$252,0),0)</f>
        <v>0</v>
      </c>
      <c r="R261" s="169">
        <f>IFERROR(MATCH(J261,'Final List'!$P$4:$P$252,0),0)</f>
        <v>0</v>
      </c>
      <c r="S261" s="169">
        <f t="shared" si="19"/>
        <v>0</v>
      </c>
      <c r="T261" s="147"/>
      <c r="U261" s="147"/>
      <c r="V261" s="147" t="str">
        <f t="shared" si="17"/>
        <v>VERSOZA 1</v>
      </c>
      <c r="W261" s="147" t="s">
        <v>8897</v>
      </c>
    </row>
    <row r="262" spans="1:25" x14ac:dyDescent="0.25">
      <c r="A262" s="118"/>
      <c r="B262" s="150" t="s">
        <v>258</v>
      </c>
      <c r="C262" s="150" t="s">
        <v>87</v>
      </c>
      <c r="D262" s="150" t="s">
        <v>119</v>
      </c>
      <c r="E262" s="150" t="s">
        <v>70</v>
      </c>
      <c r="F262" s="245" t="str">
        <f t="shared" si="18"/>
        <v>Dhoz 71</v>
      </c>
      <c r="G262" s="150" t="s">
        <v>296</v>
      </c>
      <c r="H262" s="150"/>
      <c r="I262" s="77" t="str">
        <f t="shared" si="16"/>
        <v>L10_NONE_012E_SUMP</v>
      </c>
      <c r="J262" s="150" t="s">
        <v>5899</v>
      </c>
      <c r="K262" s="169">
        <f>IFERROR(MATCH(J262,'Final List'!$B$4:$B$252,0),0)</f>
        <v>0</v>
      </c>
      <c r="L262" s="169">
        <f>IFERROR(MATCH(J262,'Final List'!$D$4:$D$252,0),0)</f>
        <v>0</v>
      </c>
      <c r="M262" s="169">
        <f>IFERROR(MATCH(J262,'Final List'!$F$4:$F$251,0),0)</f>
        <v>0</v>
      </c>
      <c r="N262" s="169">
        <f>IFERROR(MATCH(J262,'Final List'!$H$4:$H$252,0),0)</f>
        <v>0</v>
      </c>
      <c r="O262" s="169">
        <f>IFERROR(MATCH(J262,'Final List'!$J$4:$J$252,0),0)</f>
        <v>0</v>
      </c>
      <c r="P262" s="169">
        <f>IFERROR(MATCH(J262,'Final List'!$L$4:$L$252,0),0)</f>
        <v>0</v>
      </c>
      <c r="Q262" s="169">
        <f>IFERROR(MATCH(J262,'Final List'!$N$4:$N$252,0),0)</f>
        <v>0</v>
      </c>
      <c r="R262" s="169">
        <f>IFERROR(MATCH(J262,'Final List'!$P$4:$P$252,0),0)</f>
        <v>0</v>
      </c>
      <c r="S262" s="169">
        <f t="shared" si="19"/>
        <v>0</v>
      </c>
      <c r="T262" s="150"/>
      <c r="U262" s="150"/>
      <c r="V262" s="150" t="str">
        <f t="shared" si="17"/>
        <v>MONTEBON 2</v>
      </c>
      <c r="W262" s="150" t="s">
        <v>2714</v>
      </c>
      <c r="X262" s="118"/>
      <c r="Y262" s="118"/>
    </row>
    <row r="263" spans="1:25" x14ac:dyDescent="0.25">
      <c r="A263" s="118"/>
      <c r="B263" s="150" t="s">
        <v>95</v>
      </c>
      <c r="C263" s="150" t="s">
        <v>41</v>
      </c>
      <c r="D263" s="150" t="s">
        <v>103</v>
      </c>
      <c r="E263" s="150" t="s">
        <v>62</v>
      </c>
      <c r="F263" s="245" t="str">
        <f t="shared" si="18"/>
        <v>RobS 79</v>
      </c>
      <c r="G263" s="150" t="s">
        <v>474</v>
      </c>
      <c r="H263" s="150"/>
      <c r="I263" s="77" t="str">
        <f t="shared" si="16"/>
        <v>L08_CTV_005E_ROBBING</v>
      </c>
      <c r="J263" s="150" t="s">
        <v>5894</v>
      </c>
      <c r="K263" s="169">
        <f>IFERROR(MATCH(J263,'Final List'!$B$4:$B$252,0),0)</f>
        <v>0</v>
      </c>
      <c r="L263" s="169">
        <f>IFERROR(MATCH(J263,'Final List'!$D$4:$D$252,0),0)</f>
        <v>0</v>
      </c>
      <c r="M263" s="169">
        <f>IFERROR(MATCH(J263,'Final List'!$F$4:$F$251,0),0)</f>
        <v>0</v>
      </c>
      <c r="N263" s="169">
        <f>IFERROR(MATCH(J263,'Final List'!$H$4:$H$252,0),0)</f>
        <v>0</v>
      </c>
      <c r="O263" s="169">
        <f>IFERROR(MATCH(J263,'Final List'!$J$4:$J$252,0),0)</f>
        <v>0</v>
      </c>
      <c r="P263" s="169">
        <f>IFERROR(MATCH(J263,'Final List'!$L$4:$L$252,0),0)</f>
        <v>0</v>
      </c>
      <c r="Q263" s="169">
        <f>IFERROR(MATCH(J263,'Final List'!$N$4:$N$252,0),0)</f>
        <v>0</v>
      </c>
      <c r="R263" s="169">
        <f>IFERROR(MATCH(J263,'Final List'!$P$4:$P$252,0),0)</f>
        <v>0</v>
      </c>
      <c r="S263" s="169">
        <f t="shared" si="19"/>
        <v>0</v>
      </c>
      <c r="T263" s="150" t="s">
        <v>68</v>
      </c>
      <c r="U263" s="150"/>
      <c r="V263" s="150" t="str">
        <f t="shared" si="17"/>
        <v>TORMIS 1</v>
      </c>
      <c r="W263" s="150" t="s">
        <v>2707</v>
      </c>
      <c r="X263" s="118"/>
      <c r="Y263" s="118"/>
    </row>
    <row r="264" spans="1:25" x14ac:dyDescent="0.25">
      <c r="B264" s="77" t="s">
        <v>1166</v>
      </c>
      <c r="C264" s="77" t="s">
        <v>42</v>
      </c>
      <c r="D264" s="77" t="s">
        <v>5614</v>
      </c>
      <c r="E264" s="77" t="s">
        <v>60</v>
      </c>
      <c r="F264" s="245" t="str">
        <f t="shared" si="18"/>
        <v>Dhoz 71</v>
      </c>
      <c r="G264" s="77" t="s">
        <v>6928</v>
      </c>
      <c r="H264" s="77"/>
      <c r="I264" s="77" t="str">
        <f t="shared" si="16"/>
        <v>L11_JV_055E_DE</v>
      </c>
      <c r="J264" s="77" t="s">
        <v>9325</v>
      </c>
      <c r="K264" s="169">
        <f>IFERROR(MATCH(J264,'Final List'!$B$4:$B$252,0),0)</f>
        <v>0</v>
      </c>
      <c r="L264" s="169">
        <f>IFERROR(MATCH(J264,'Final List'!$D$4:$D$252,0),0)</f>
        <v>0</v>
      </c>
      <c r="M264" s="169">
        <f>IFERROR(MATCH(J264,'Final List'!$F$4:$F$251,0),0)</f>
        <v>0</v>
      </c>
      <c r="N264" s="169">
        <f>IFERROR(MATCH(J264,'Final List'!$H$4:$H$252,0),0)</f>
        <v>0</v>
      </c>
      <c r="O264" s="169">
        <f>IFERROR(MATCH(J264,'Final List'!$J$4:$J$252,0),0)</f>
        <v>0</v>
      </c>
      <c r="P264" s="169">
        <f>IFERROR(MATCH(J264,'Final List'!$L$4:$L$252,0),0)</f>
        <v>0</v>
      </c>
      <c r="Q264" s="169">
        <f>IFERROR(MATCH(J264,'Final List'!$N$4:$N$252,0),0)</f>
        <v>0</v>
      </c>
      <c r="R264" s="169">
        <f>IFERROR(MATCH(J264,'Final List'!$P$4:$P$252,0),0)</f>
        <v>0</v>
      </c>
      <c r="S264" s="169">
        <f t="shared" si="19"/>
        <v>0</v>
      </c>
      <c r="T264" s="77"/>
      <c r="U264" s="77"/>
      <c r="V264" s="150" t="str">
        <f t="shared" si="17"/>
        <v>DUHIG, P5</v>
      </c>
      <c r="W264" s="77" t="s">
        <v>8896</v>
      </c>
    </row>
    <row r="265" spans="1:25" x14ac:dyDescent="0.25">
      <c r="B265" s="77" t="s">
        <v>92</v>
      </c>
      <c r="C265" s="77" t="s">
        <v>41</v>
      </c>
      <c r="D265" s="77" t="s">
        <v>120</v>
      </c>
      <c r="E265" s="77" t="s">
        <v>221</v>
      </c>
      <c r="F265" s="245" t="str">
        <f t="shared" si="18"/>
        <v>RobC 80</v>
      </c>
      <c r="G265" s="77" t="s">
        <v>5801</v>
      </c>
      <c r="H265" s="77"/>
      <c r="I265" s="77" t="str">
        <f t="shared" si="16"/>
        <v>L05_CTV_015E_WINZE STOPE</v>
      </c>
      <c r="J265" s="77" t="s">
        <v>5941</v>
      </c>
      <c r="K265" s="169">
        <f>IFERROR(MATCH(J265,'Final List'!$B$4:$B$252,0),0)</f>
        <v>0</v>
      </c>
      <c r="L265" s="169">
        <f>IFERROR(MATCH(J265,'Final List'!$D$4:$D$252,0),0)</f>
        <v>0</v>
      </c>
      <c r="M265" s="169">
        <f>IFERROR(MATCH(J265,'Final List'!$F$4:$F$251,0),0)</f>
        <v>0</v>
      </c>
      <c r="N265" s="169">
        <f>IFERROR(MATCH(J265,'Final List'!$H$4:$H$252,0),0)</f>
        <v>0</v>
      </c>
      <c r="O265" s="169">
        <f>IFERROR(MATCH(J265,'Final List'!$J$4:$J$252,0),0)</f>
        <v>0</v>
      </c>
      <c r="P265" s="169">
        <f>IFERROR(MATCH(J265,'Final List'!$L$4:$L$252,0),0)</f>
        <v>0</v>
      </c>
      <c r="Q265" s="169">
        <f>IFERROR(MATCH(J265,'Final List'!$N$4:$N$252,0),0)</f>
        <v>0</v>
      </c>
      <c r="R265" s="169">
        <f>IFERROR(MATCH(J265,'Final List'!$P$4:$P$252,0),0)</f>
        <v>0</v>
      </c>
      <c r="S265" s="169">
        <f t="shared" si="19"/>
        <v>0</v>
      </c>
      <c r="T265" s="77" t="s">
        <v>68</v>
      </c>
      <c r="U265" s="77"/>
      <c r="V265" s="150" t="str">
        <f t="shared" si="17"/>
        <v>SHEPHERD AM 1</v>
      </c>
      <c r="W265" s="116" t="s">
        <v>2719</v>
      </c>
    </row>
    <row r="266" spans="1:25" x14ac:dyDescent="0.25">
      <c r="B266" s="77" t="s">
        <v>1166</v>
      </c>
      <c r="C266" s="77" t="s">
        <v>55</v>
      </c>
      <c r="D266" s="77" t="s">
        <v>5614</v>
      </c>
      <c r="E266" s="77" t="s">
        <v>61</v>
      </c>
      <c r="F266" s="245" t="str">
        <f t="shared" si="18"/>
        <v>Dhoz 71</v>
      </c>
      <c r="G266" s="77" t="s">
        <v>6929</v>
      </c>
      <c r="H266" s="77"/>
      <c r="I266" s="77" t="str">
        <f t="shared" si="16"/>
        <v>L11_JVFW_055E_DW</v>
      </c>
      <c r="J266" s="77" t="s">
        <v>4597</v>
      </c>
      <c r="K266" s="169">
        <f>IFERROR(MATCH(J266,'Final List'!$B$4:$B$252,0),0)</f>
        <v>0</v>
      </c>
      <c r="L266" s="169">
        <f>IFERROR(MATCH(J266,'Final List'!$D$4:$D$252,0),0)</f>
        <v>0</v>
      </c>
      <c r="M266" s="169">
        <f>IFERROR(MATCH(J266,'Final List'!$F$4:$F$251,0),0)</f>
        <v>0</v>
      </c>
      <c r="N266" s="169">
        <f>IFERROR(MATCH(J266,'Final List'!$H$4:$H$252,0),0)</f>
        <v>0</v>
      </c>
      <c r="O266" s="169">
        <f>IFERROR(MATCH(J266,'Final List'!$J$4:$J$252,0),0)</f>
        <v>0</v>
      </c>
      <c r="P266" s="169">
        <f>IFERROR(MATCH(J266,'Final List'!$L$4:$L$252,0),0)</f>
        <v>0</v>
      </c>
      <c r="Q266" s="169">
        <f>IFERROR(MATCH(J266,'Final List'!$N$4:$N$252,0),0)</f>
        <v>0</v>
      </c>
      <c r="R266" s="169">
        <f>IFERROR(MATCH(J266,'Final List'!$P$4:$P$252,0),0)</f>
        <v>0</v>
      </c>
      <c r="S266" s="169">
        <f t="shared" si="19"/>
        <v>0</v>
      </c>
      <c r="T266" s="77"/>
      <c r="U266" s="77"/>
      <c r="V266" s="150" t="str">
        <f t="shared" si="17"/>
        <v>DUHIG, P4</v>
      </c>
      <c r="W266" s="77" t="s">
        <v>8896</v>
      </c>
    </row>
    <row r="267" spans="1:25" x14ac:dyDescent="0.25">
      <c r="A267" s="118"/>
      <c r="B267" s="150" t="s">
        <v>92</v>
      </c>
      <c r="C267" s="150" t="s">
        <v>45</v>
      </c>
      <c r="D267" s="150" t="s">
        <v>168</v>
      </c>
      <c r="E267" s="150" t="s">
        <v>19</v>
      </c>
      <c r="F267" s="245" t="str">
        <f t="shared" si="18"/>
        <v>DVR 72</v>
      </c>
      <c r="G267" s="150" t="s">
        <v>450</v>
      </c>
      <c r="H267" s="150"/>
      <c r="I267" s="77" t="str">
        <f t="shared" si="16"/>
        <v>L05_DPVE_047E_RAISE</v>
      </c>
      <c r="J267" s="150" t="s">
        <v>5952</v>
      </c>
      <c r="K267" s="169">
        <f>IFERROR(MATCH(J267,'Final List'!$B$4:$B$252,0),0)</f>
        <v>0</v>
      </c>
      <c r="L267" s="169">
        <f>IFERROR(MATCH(J267,'Final List'!$D$4:$D$252,0),0)</f>
        <v>0</v>
      </c>
      <c r="M267" s="169">
        <f>IFERROR(MATCH(J267,'Final List'!$F$4:$F$251,0),0)</f>
        <v>0</v>
      </c>
      <c r="N267" s="169">
        <f>IFERROR(MATCH(J267,'Final List'!$H$4:$H$252,0),0)</f>
        <v>0</v>
      </c>
      <c r="O267" s="169">
        <f>IFERROR(MATCH(J267,'Final List'!$J$4:$J$252,0),0)</f>
        <v>0</v>
      </c>
      <c r="P267" s="169">
        <f>IFERROR(MATCH(J267,'Final List'!$L$4:$L$252,0),0)</f>
        <v>0</v>
      </c>
      <c r="Q267" s="169">
        <f>IFERROR(MATCH(J267,'Final List'!$N$4:$N$252,0),0)</f>
        <v>0</v>
      </c>
      <c r="R267" s="169">
        <f>IFERROR(MATCH(J267,'Final List'!$P$4:$P$252,0),0)</f>
        <v>0</v>
      </c>
      <c r="S267" s="169">
        <f t="shared" si="19"/>
        <v>0</v>
      </c>
      <c r="T267" s="150"/>
      <c r="U267" s="150"/>
      <c r="V267" s="150" t="str">
        <f t="shared" si="17"/>
        <v>BAYOBAY 1</v>
      </c>
      <c r="W267" s="150" t="s">
        <v>2715</v>
      </c>
      <c r="X267" s="118"/>
      <c r="Y267" s="118"/>
    </row>
    <row r="268" spans="1:25" x14ac:dyDescent="0.25">
      <c r="A268" s="118"/>
      <c r="B268" s="150" t="s">
        <v>92</v>
      </c>
      <c r="C268" s="150" t="s">
        <v>45</v>
      </c>
      <c r="D268" s="150" t="s">
        <v>178</v>
      </c>
      <c r="E268" s="150" t="s">
        <v>19</v>
      </c>
      <c r="F268" s="245" t="str">
        <f t="shared" si="18"/>
        <v>DVR 72</v>
      </c>
      <c r="G268" s="150" t="s">
        <v>3920</v>
      </c>
      <c r="H268" s="150"/>
      <c r="I268" s="77" t="str">
        <f t="shared" si="16"/>
        <v>L05_DPVE_048E_RAISE</v>
      </c>
      <c r="J268" s="150" t="s">
        <v>5953</v>
      </c>
      <c r="K268" s="169">
        <f>IFERROR(MATCH(J268,'Final List'!$B$4:$B$252,0),0)</f>
        <v>0</v>
      </c>
      <c r="L268" s="169">
        <f>IFERROR(MATCH(J268,'Final List'!$D$4:$D$252,0),0)</f>
        <v>0</v>
      </c>
      <c r="M268" s="169">
        <f>IFERROR(MATCH(J268,'Final List'!$F$4:$F$251,0),0)</f>
        <v>0</v>
      </c>
      <c r="N268" s="169">
        <f>IFERROR(MATCH(J268,'Final List'!$H$4:$H$252,0),0)</f>
        <v>0</v>
      </c>
      <c r="O268" s="169">
        <f>IFERROR(MATCH(J268,'Final List'!$J$4:$J$252,0),0)</f>
        <v>0</v>
      </c>
      <c r="P268" s="169">
        <f>IFERROR(MATCH(J268,'Final List'!$L$4:$L$252,0),0)</f>
        <v>0</v>
      </c>
      <c r="Q268" s="169">
        <f>IFERROR(MATCH(J268,'Final List'!$N$4:$N$252,0),0)</f>
        <v>0</v>
      </c>
      <c r="R268" s="169">
        <f>IFERROR(MATCH(J268,'Final List'!$P$4:$P$252,0),0)</f>
        <v>0</v>
      </c>
      <c r="S268" s="169">
        <f t="shared" si="19"/>
        <v>0</v>
      </c>
      <c r="T268" s="150"/>
      <c r="U268" s="150"/>
      <c r="V268" s="150" t="str">
        <f t="shared" si="17"/>
        <v>SHEPHERD AD</v>
      </c>
      <c r="W268" s="150" t="s">
        <v>2715</v>
      </c>
      <c r="X268" s="118"/>
      <c r="Y268" s="118"/>
    </row>
    <row r="269" spans="1:25" x14ac:dyDescent="0.25">
      <c r="B269" s="77" t="s">
        <v>92</v>
      </c>
      <c r="C269" s="77" t="s">
        <v>45</v>
      </c>
      <c r="D269" s="77" t="s">
        <v>5742</v>
      </c>
      <c r="E269" s="77" t="s">
        <v>60</v>
      </c>
      <c r="F269" s="245" t="str">
        <f t="shared" si="18"/>
        <v>Dhoz 71</v>
      </c>
      <c r="G269" s="77" t="s">
        <v>3920</v>
      </c>
      <c r="H269" s="77"/>
      <c r="I269" s="77" t="str">
        <f t="shared" si="16"/>
        <v>L05_DPVE_040E_DE</v>
      </c>
      <c r="J269" s="77" t="s">
        <v>4442</v>
      </c>
      <c r="K269" s="169">
        <f>IFERROR(MATCH(J269,'Final List'!$B$4:$B$252,0),0)</f>
        <v>0</v>
      </c>
      <c r="L269" s="169">
        <f>IFERROR(MATCH(J269,'Final List'!$D$4:$D$252,0),0)</f>
        <v>0</v>
      </c>
      <c r="M269" s="169">
        <f>IFERROR(MATCH(J269,'Final List'!$F$4:$F$251,0),0)</f>
        <v>0</v>
      </c>
      <c r="N269" s="169">
        <f>IFERROR(MATCH(J269,'Final List'!$H$4:$H$252,0),0)</f>
        <v>0</v>
      </c>
      <c r="O269" s="169">
        <f>IFERROR(MATCH(J269,'Final List'!$J$4:$J$252,0),0)</f>
        <v>0</v>
      </c>
      <c r="P269" s="169">
        <f>IFERROR(MATCH(J269,'Final List'!$L$4:$L$252,0),0)</f>
        <v>0</v>
      </c>
      <c r="Q269" s="169">
        <f>IFERROR(MATCH(J269,'Final List'!$N$4:$N$252,0),0)</f>
        <v>0</v>
      </c>
      <c r="R269" s="169">
        <f>IFERROR(MATCH(J269,'Final List'!$P$4:$P$252,0),0)</f>
        <v>0</v>
      </c>
      <c r="S269" s="169">
        <f t="shared" si="19"/>
        <v>0</v>
      </c>
      <c r="T269" s="77"/>
      <c r="U269" s="77"/>
      <c r="V269" s="116" t="str">
        <f t="shared" si="17"/>
        <v>SHEPHERD AD</v>
      </c>
      <c r="W269" s="77" t="s">
        <v>8895</v>
      </c>
    </row>
    <row r="270" spans="1:25" x14ac:dyDescent="0.25">
      <c r="B270" s="77" t="s">
        <v>96</v>
      </c>
      <c r="C270" s="77" t="s">
        <v>46</v>
      </c>
      <c r="D270" s="77" t="s">
        <v>164</v>
      </c>
      <c r="E270" s="77" t="s">
        <v>211</v>
      </c>
      <c r="F270" s="245" t="str">
        <f t="shared" si="18"/>
        <v>StpS 77</v>
      </c>
      <c r="G270" s="77" t="s">
        <v>336</v>
      </c>
      <c r="H270" s="77"/>
      <c r="I270" s="77" t="str">
        <f t="shared" si="16"/>
        <v>L09_DPVE2_064E_STOPE PREP</v>
      </c>
      <c r="J270" s="77" t="s">
        <v>5960</v>
      </c>
      <c r="K270" s="169">
        <f>IFERROR(MATCH(J270,'Final List'!$B$4:$B$252,0),0)</f>
        <v>0</v>
      </c>
      <c r="L270" s="169">
        <f>IFERROR(MATCH(J270,'Final List'!$D$4:$D$252,0),0)</f>
        <v>0</v>
      </c>
      <c r="M270" s="169">
        <f>IFERROR(MATCH(J270,'Final List'!$F$4:$F$251,0),0)</f>
        <v>0</v>
      </c>
      <c r="N270" s="169">
        <f>IFERROR(MATCH(J270,'Final List'!$H$4:$H$252,0),0)</f>
        <v>0</v>
      </c>
      <c r="O270" s="169">
        <f>IFERROR(MATCH(J270,'Final List'!$J$4:$J$252,0),0)</f>
        <v>0</v>
      </c>
      <c r="P270" s="169">
        <f>IFERROR(MATCH(J270,'Final List'!$L$4:$L$252,0),0)</f>
        <v>0</v>
      </c>
      <c r="Q270" s="169">
        <f>IFERROR(MATCH(J270,'Final List'!$N$4:$N$252,0),0)</f>
        <v>0</v>
      </c>
      <c r="R270" s="169">
        <f>IFERROR(MATCH(J270,'Final List'!$P$4:$P$252,0),0)</f>
        <v>0</v>
      </c>
      <c r="S270" s="169">
        <f t="shared" si="19"/>
        <v>0</v>
      </c>
      <c r="T270" s="77" t="s">
        <v>68</v>
      </c>
      <c r="U270" s="77"/>
      <c r="V270" s="77" t="str">
        <f t="shared" si="17"/>
        <v>BALANGHIG 1</v>
      </c>
      <c r="W270" s="77" t="s">
        <v>2712</v>
      </c>
    </row>
    <row r="271" spans="1:25" s="118" customFormat="1" x14ac:dyDescent="0.25">
      <c r="A271"/>
      <c r="B271" s="77" t="s">
        <v>96</v>
      </c>
      <c r="C271" s="77" t="s">
        <v>42</v>
      </c>
      <c r="D271" s="77" t="s">
        <v>167</v>
      </c>
      <c r="E271" s="77" t="s">
        <v>211</v>
      </c>
      <c r="F271" s="245" t="str">
        <f t="shared" si="18"/>
        <v>StpS 77</v>
      </c>
      <c r="G271" s="77" t="s">
        <v>460</v>
      </c>
      <c r="H271" s="77"/>
      <c r="I271" s="77" t="str">
        <f t="shared" si="16"/>
        <v>L09_JV_058E_STOPE PREP</v>
      </c>
      <c r="J271" s="77" t="s">
        <v>791</v>
      </c>
      <c r="K271" s="169">
        <f>IFERROR(MATCH(J271,'Final List'!$B$4:$B$252,0),0)</f>
        <v>0</v>
      </c>
      <c r="L271" s="169">
        <f>IFERROR(MATCH(J271,'Final List'!$D$4:$D$252,0),0)</f>
        <v>0</v>
      </c>
      <c r="M271" s="169">
        <f>IFERROR(MATCH(J271,'Final List'!$F$4:$F$251,0),0)</f>
        <v>0</v>
      </c>
      <c r="N271" s="169">
        <f>IFERROR(MATCH(J271,'Final List'!$H$4:$H$252,0),0)</f>
        <v>0</v>
      </c>
      <c r="O271" s="169">
        <f>IFERROR(MATCH(J271,'Final List'!$J$4:$J$252,0),0)</f>
        <v>0</v>
      </c>
      <c r="P271" s="169">
        <f>IFERROR(MATCH(J271,'Final List'!$L$4:$L$252,0),0)</f>
        <v>0</v>
      </c>
      <c r="Q271" s="169">
        <f>IFERROR(MATCH(J271,'Final List'!$N$4:$N$252,0),0)</f>
        <v>0</v>
      </c>
      <c r="R271" s="169">
        <f>IFERROR(MATCH(J271,'Final List'!$P$4:$P$252,0),0)</f>
        <v>0</v>
      </c>
      <c r="S271" s="169">
        <f t="shared" si="19"/>
        <v>0</v>
      </c>
      <c r="T271" s="77" t="s">
        <v>68</v>
      </c>
      <c r="U271" s="77"/>
      <c r="V271" s="77" t="str">
        <f t="shared" si="17"/>
        <v>PANSIT 5</v>
      </c>
      <c r="W271" s="77" t="s">
        <v>2712</v>
      </c>
      <c r="X271"/>
      <c r="Y271"/>
    </row>
    <row r="272" spans="1:25" x14ac:dyDescent="0.25">
      <c r="B272" s="77" t="s">
        <v>95</v>
      </c>
      <c r="C272" s="77" t="s">
        <v>45</v>
      </c>
      <c r="D272" s="77" t="s">
        <v>1230</v>
      </c>
      <c r="E272" s="77" t="s">
        <v>441</v>
      </c>
      <c r="F272" s="245" t="str">
        <f t="shared" si="18"/>
        <v>RobC 80</v>
      </c>
      <c r="G272" s="77" t="s">
        <v>6925</v>
      </c>
      <c r="H272" s="77"/>
      <c r="I272" s="77" t="str">
        <f t="shared" si="16"/>
        <v>L08_DPVE_075E_WINZE STOPE PREP</v>
      </c>
      <c r="J272" s="77" t="s">
        <v>6073</v>
      </c>
      <c r="K272" s="169">
        <f>IFERROR(MATCH(J272,'Final List'!$B$4:$B$252,0),0)</f>
        <v>0</v>
      </c>
      <c r="L272" s="169">
        <f>IFERROR(MATCH(J272,'Final List'!$D$4:$D$252,0),0)</f>
        <v>0</v>
      </c>
      <c r="M272" s="169">
        <f>IFERROR(MATCH(J272,'Final List'!$F$4:$F$251,0),0)</f>
        <v>0</v>
      </c>
      <c r="N272" s="169">
        <f>IFERROR(MATCH(J272,'Final List'!$H$4:$H$252,0),0)</f>
        <v>0</v>
      </c>
      <c r="O272" s="169">
        <f>IFERROR(MATCH(J272,'Final List'!$J$4:$J$252,0),0)</f>
        <v>0</v>
      </c>
      <c r="P272" s="169">
        <f>IFERROR(MATCH(J272,'Final List'!$L$4:$L$252,0),0)</f>
        <v>0</v>
      </c>
      <c r="Q272" s="169">
        <f>IFERROR(MATCH(J272,'Final List'!$N$4:$N$252,0),0)</f>
        <v>0</v>
      </c>
      <c r="R272" s="169">
        <f>IFERROR(MATCH(J272,'Final List'!$P$4:$P$252,0),0)</f>
        <v>0</v>
      </c>
      <c r="S272" s="169">
        <f t="shared" si="19"/>
        <v>0</v>
      </c>
      <c r="T272" s="77" t="s">
        <v>68</v>
      </c>
      <c r="U272" s="77"/>
      <c r="V272" s="77" t="str">
        <f t="shared" si="17"/>
        <v>CAPUYAN 1</v>
      </c>
      <c r="W272" s="77" t="s">
        <v>2716</v>
      </c>
    </row>
    <row r="273" spans="1:25" x14ac:dyDescent="0.25">
      <c r="B273" s="77" t="s">
        <v>93</v>
      </c>
      <c r="C273" s="77" t="s">
        <v>57</v>
      </c>
      <c r="D273" s="77" t="s">
        <v>110</v>
      </c>
      <c r="E273" s="77" t="s">
        <v>60</v>
      </c>
      <c r="F273" s="245" t="str">
        <f t="shared" si="18"/>
        <v>Dhoz 71</v>
      </c>
      <c r="G273" s="77" t="s">
        <v>862</v>
      </c>
      <c r="H273" s="77"/>
      <c r="I273" s="77" t="str">
        <f t="shared" si="16"/>
        <v>L06_JVSPLIT_004E_DE</v>
      </c>
      <c r="J273" s="77" t="s">
        <v>5964</v>
      </c>
      <c r="K273" s="169">
        <f>IFERROR(MATCH(J273,'Final List'!$B$4:$B$252,0),0)</f>
        <v>0</v>
      </c>
      <c r="L273" s="169">
        <f>IFERROR(MATCH(J273,'Final List'!$D$4:$D$252,0),0)</f>
        <v>0</v>
      </c>
      <c r="M273" s="169">
        <f>IFERROR(MATCH(J273,'Final List'!$F$4:$F$251,0),0)</f>
        <v>0</v>
      </c>
      <c r="N273" s="169">
        <f>IFERROR(MATCH(J273,'Final List'!$H$4:$H$252,0),0)</f>
        <v>0</v>
      </c>
      <c r="O273" s="169">
        <f>IFERROR(MATCH(J273,'Final List'!$J$4:$J$252,0),0)</f>
        <v>0</v>
      </c>
      <c r="P273" s="169">
        <f>IFERROR(MATCH(J273,'Final List'!$L$4:$L$252,0),0)</f>
        <v>0</v>
      </c>
      <c r="Q273" s="169">
        <f>IFERROR(MATCH(J273,'Final List'!$N$4:$N$252,0),0)</f>
        <v>0</v>
      </c>
      <c r="R273" s="169">
        <f>IFERROR(MATCH(J273,'Final List'!$P$4:$P$252,0),0)</f>
        <v>0</v>
      </c>
      <c r="S273" s="169">
        <f t="shared" si="19"/>
        <v>0</v>
      </c>
      <c r="T273" s="77"/>
      <c r="U273" s="77"/>
      <c r="V273" s="77" t="str">
        <f t="shared" si="17"/>
        <v>REBOTE 1</v>
      </c>
      <c r="W273" s="77" t="s">
        <v>8895</v>
      </c>
    </row>
    <row r="274" spans="1:25" s="118" customFormat="1" x14ac:dyDescent="0.25">
      <c r="A274"/>
      <c r="B274" s="77" t="s">
        <v>258</v>
      </c>
      <c r="C274" s="77" t="s">
        <v>59</v>
      </c>
      <c r="D274" s="77" t="s">
        <v>198</v>
      </c>
      <c r="E274" s="77" t="s">
        <v>211</v>
      </c>
      <c r="F274" s="245" t="str">
        <f t="shared" si="18"/>
        <v>StpS 77</v>
      </c>
      <c r="G274" s="77" t="s">
        <v>296</v>
      </c>
      <c r="H274" s="77"/>
      <c r="I274" s="77" t="str">
        <f t="shared" si="16"/>
        <v>L10_GHVHW_069E_STOPE PREP</v>
      </c>
      <c r="J274" s="77" t="s">
        <v>5968</v>
      </c>
      <c r="K274" s="169">
        <f>IFERROR(MATCH(J274,'Final List'!$B$4:$B$252,0),0)</f>
        <v>0</v>
      </c>
      <c r="L274" s="169">
        <f>IFERROR(MATCH(J274,'Final List'!$D$4:$D$252,0),0)</f>
        <v>0</v>
      </c>
      <c r="M274" s="169">
        <f>IFERROR(MATCH(J274,'Final List'!$F$4:$F$251,0),0)</f>
        <v>0</v>
      </c>
      <c r="N274" s="169">
        <f>IFERROR(MATCH(J274,'Final List'!$H$4:$H$252,0),0)</f>
        <v>0</v>
      </c>
      <c r="O274" s="169">
        <f>IFERROR(MATCH(J274,'Final List'!$J$4:$J$252,0),0)</f>
        <v>0</v>
      </c>
      <c r="P274" s="169">
        <f>IFERROR(MATCH(J274,'Final List'!$L$4:$L$252,0),0)</f>
        <v>0</v>
      </c>
      <c r="Q274" s="169">
        <f>IFERROR(MATCH(J274,'Final List'!$N$4:$N$252,0),0)</f>
        <v>0</v>
      </c>
      <c r="R274" s="169">
        <f>IFERROR(MATCH(J274,'Final List'!$P$4:$P$252,0),0)</f>
        <v>0</v>
      </c>
      <c r="S274" s="169">
        <f t="shared" si="19"/>
        <v>0</v>
      </c>
      <c r="T274" s="77" t="s">
        <v>68</v>
      </c>
      <c r="U274" s="77"/>
      <c r="V274" s="77" t="str">
        <f t="shared" si="17"/>
        <v>MONTEBON 2</v>
      </c>
      <c r="W274" s="77" t="s">
        <v>2712</v>
      </c>
      <c r="X274"/>
      <c r="Y274"/>
    </row>
    <row r="275" spans="1:25" x14ac:dyDescent="0.25">
      <c r="B275" s="77" t="s">
        <v>258</v>
      </c>
      <c r="C275" s="77" t="s">
        <v>45</v>
      </c>
      <c r="D275" s="77" t="s">
        <v>5742</v>
      </c>
      <c r="E275" s="77" t="s">
        <v>211</v>
      </c>
      <c r="F275" s="245" t="str">
        <f t="shared" si="18"/>
        <v>StpL 78</v>
      </c>
      <c r="G275" s="77" t="s">
        <v>374</v>
      </c>
      <c r="H275" s="77"/>
      <c r="I275" s="77" t="str">
        <f t="shared" si="16"/>
        <v>L10_DPVE_040E_STOPE PREP</v>
      </c>
      <c r="J275" s="77" t="s">
        <v>5969</v>
      </c>
      <c r="K275" s="169">
        <f>IFERROR(MATCH(J275,'Final List'!$B$4:$B$252,0),0)</f>
        <v>0</v>
      </c>
      <c r="L275" s="169">
        <f>IFERROR(MATCH(J275,'Final List'!$D$4:$D$252,0),0)</f>
        <v>0</v>
      </c>
      <c r="M275" s="169">
        <f>IFERROR(MATCH(J275,'Final List'!$F$4:$F$251,0),0)</f>
        <v>0</v>
      </c>
      <c r="N275" s="169">
        <f>IFERROR(MATCH(J275,'Final List'!$H$4:$H$252,0),0)</f>
        <v>0</v>
      </c>
      <c r="O275" s="169">
        <f>IFERROR(MATCH(J275,'Final List'!$J$4:$J$252,0),0)</f>
        <v>0</v>
      </c>
      <c r="P275" s="169">
        <f>IFERROR(MATCH(J275,'Final List'!$L$4:$L$252,0),0)</f>
        <v>0</v>
      </c>
      <c r="Q275" s="169">
        <f>IFERROR(MATCH(J275,'Final List'!$N$4:$N$252,0),0)</f>
        <v>0</v>
      </c>
      <c r="R275" s="169">
        <f>IFERROR(MATCH(J275,'Final List'!$P$4:$P$252,0),0)</f>
        <v>0</v>
      </c>
      <c r="S275" s="169">
        <f t="shared" si="19"/>
        <v>0</v>
      </c>
      <c r="T275" s="77" t="s">
        <v>48</v>
      </c>
      <c r="U275" s="77"/>
      <c r="V275" s="77" t="str">
        <f t="shared" si="17"/>
        <v>TAÑEZA 6</v>
      </c>
      <c r="W275" s="77" t="s">
        <v>2712</v>
      </c>
    </row>
    <row r="276" spans="1:25" x14ac:dyDescent="0.25">
      <c r="B276" s="77" t="s">
        <v>258</v>
      </c>
      <c r="C276" s="77" t="s">
        <v>45</v>
      </c>
      <c r="D276" s="77" t="s">
        <v>165</v>
      </c>
      <c r="E276" s="77" t="s">
        <v>61</v>
      </c>
      <c r="F276" s="245" t="str">
        <f t="shared" si="18"/>
        <v>Dhoz 71</v>
      </c>
      <c r="G276" s="77" t="s">
        <v>5776</v>
      </c>
      <c r="H276" s="77"/>
      <c r="I276" s="77" t="str">
        <f t="shared" si="16"/>
        <v>L10_DPVE_056E_DW</v>
      </c>
      <c r="J276" s="77" t="s">
        <v>5352</v>
      </c>
      <c r="K276" s="169">
        <f>IFERROR(MATCH(J276,'Final List'!$B$4:$B$252,0),0)</f>
        <v>0</v>
      </c>
      <c r="L276" s="169">
        <f>IFERROR(MATCH(J276,'Final List'!$D$4:$D$252,0),0)</f>
        <v>0</v>
      </c>
      <c r="M276" s="169">
        <f>IFERROR(MATCH(J276,'Final List'!$F$4:$F$251,0),0)</f>
        <v>0</v>
      </c>
      <c r="N276" s="169">
        <f>IFERROR(MATCH(J276,'Final List'!$H$4:$H$252,0),0)</f>
        <v>0</v>
      </c>
      <c r="O276" s="169">
        <f>IFERROR(MATCH(J276,'Final List'!$J$4:$J$252,0),0)</f>
        <v>0</v>
      </c>
      <c r="P276" s="169">
        <f>IFERROR(MATCH(J276,'Final List'!$L$4:$L$252,0),0)</f>
        <v>0</v>
      </c>
      <c r="Q276" s="169">
        <f>IFERROR(MATCH(J276,'Final List'!$N$4:$N$252,0),0)</f>
        <v>0</v>
      </c>
      <c r="R276" s="169">
        <f>IFERROR(MATCH(J276,'Final List'!$P$4:$P$252,0),0)</f>
        <v>0</v>
      </c>
      <c r="S276" s="169">
        <f t="shared" si="19"/>
        <v>0</v>
      </c>
      <c r="T276" s="77"/>
      <c r="U276" s="77"/>
      <c r="V276" s="77" t="str">
        <f t="shared" si="17"/>
        <v>CATIGBE 2</v>
      </c>
      <c r="W276" s="77" t="s">
        <v>8896</v>
      </c>
    </row>
    <row r="277" spans="1:25" x14ac:dyDescent="0.25">
      <c r="B277" s="77" t="s">
        <v>94</v>
      </c>
      <c r="C277" s="77" t="s">
        <v>39</v>
      </c>
      <c r="D277" s="77" t="s">
        <v>218</v>
      </c>
      <c r="E277" s="77" t="s">
        <v>20</v>
      </c>
      <c r="F277" s="245" t="str">
        <f t="shared" si="18"/>
        <v>DVW 74</v>
      </c>
      <c r="G277" s="77" t="s">
        <v>676</v>
      </c>
      <c r="H277" s="77"/>
      <c r="I277" s="77" t="str">
        <f t="shared" si="16"/>
        <v>L07_JVHW_062E_WINZE</v>
      </c>
      <c r="J277" s="77" t="s">
        <v>5970</v>
      </c>
      <c r="K277" s="169">
        <f>IFERROR(MATCH(J277,'Final List'!$B$4:$B$252,0),0)</f>
        <v>0</v>
      </c>
      <c r="L277" s="169">
        <f>IFERROR(MATCH(J277,'Final List'!$D$4:$D$252,0),0)</f>
        <v>0</v>
      </c>
      <c r="M277" s="169">
        <f>IFERROR(MATCH(J277,'Final List'!$F$4:$F$251,0),0)</f>
        <v>0</v>
      </c>
      <c r="N277" s="169">
        <f>IFERROR(MATCH(J277,'Final List'!$H$4:$H$252,0),0)</f>
        <v>0</v>
      </c>
      <c r="O277" s="169">
        <f>IFERROR(MATCH(J277,'Final List'!$J$4:$J$252,0),0)</f>
        <v>0</v>
      </c>
      <c r="P277" s="169">
        <f>IFERROR(MATCH(J277,'Final List'!$L$4:$L$252,0),0)</f>
        <v>0</v>
      </c>
      <c r="Q277" s="169">
        <f>IFERROR(MATCH(J277,'Final List'!$N$4:$N$252,0),0)</f>
        <v>0</v>
      </c>
      <c r="R277" s="169">
        <f>IFERROR(MATCH(J277,'Final List'!$P$4:$P$252,0),0)</f>
        <v>0</v>
      </c>
      <c r="S277" s="169">
        <f t="shared" si="19"/>
        <v>0</v>
      </c>
      <c r="T277" s="77"/>
      <c r="U277" s="77"/>
      <c r="V277" s="77" t="str">
        <f t="shared" si="17"/>
        <v>OY-YOY 2</v>
      </c>
      <c r="W277" s="77" t="s">
        <v>2706</v>
      </c>
    </row>
    <row r="278" spans="1:25" x14ac:dyDescent="0.25">
      <c r="B278" s="77" t="s">
        <v>94</v>
      </c>
      <c r="C278" s="77" t="s">
        <v>41</v>
      </c>
      <c r="D278" s="77" t="s">
        <v>118</v>
      </c>
      <c r="E278" s="77" t="s">
        <v>211</v>
      </c>
      <c r="F278" s="245" t="str">
        <f t="shared" si="18"/>
        <v>StpS 77</v>
      </c>
      <c r="G278" s="77" t="s">
        <v>5921</v>
      </c>
      <c r="H278" s="77"/>
      <c r="I278" s="77" t="str">
        <f t="shared" si="16"/>
        <v>L07_CTV_014E_STOPE PREP</v>
      </c>
      <c r="J278" s="77" t="s">
        <v>5971</v>
      </c>
      <c r="K278" s="169">
        <f>IFERROR(MATCH(J278,'Final List'!$B$4:$B$252,0),0)</f>
        <v>0</v>
      </c>
      <c r="L278" s="169">
        <f>IFERROR(MATCH(J278,'Final List'!$D$4:$D$252,0),0)</f>
        <v>0</v>
      </c>
      <c r="M278" s="169">
        <f>IFERROR(MATCH(J278,'Final List'!$F$4:$F$251,0),0)</f>
        <v>0</v>
      </c>
      <c r="N278" s="169">
        <f>IFERROR(MATCH(J278,'Final List'!$H$4:$H$252,0),0)</f>
        <v>0</v>
      </c>
      <c r="O278" s="169">
        <f>IFERROR(MATCH(J278,'Final List'!$J$4:$J$252,0),0)</f>
        <v>0</v>
      </c>
      <c r="P278" s="169">
        <f>IFERROR(MATCH(J278,'Final List'!$L$4:$L$252,0),0)</f>
        <v>0</v>
      </c>
      <c r="Q278" s="169">
        <f>IFERROR(MATCH(J278,'Final List'!$N$4:$N$252,0),0)</f>
        <v>0</v>
      </c>
      <c r="R278" s="169">
        <f>IFERROR(MATCH(J278,'Final List'!$P$4:$P$252,0),0)</f>
        <v>0</v>
      </c>
      <c r="S278" s="169">
        <f t="shared" si="19"/>
        <v>0</v>
      </c>
      <c r="T278" s="77" t="s">
        <v>68</v>
      </c>
      <c r="U278" s="77"/>
      <c r="V278" s="77" t="str">
        <f t="shared" si="17"/>
        <v>TURRA 2</v>
      </c>
      <c r="W278" s="77" t="s">
        <v>2712</v>
      </c>
    </row>
    <row r="279" spans="1:25" s="118" customFormat="1" x14ac:dyDescent="0.25">
      <c r="A279"/>
      <c r="B279" s="77" t="s">
        <v>94</v>
      </c>
      <c r="C279" s="77" t="s">
        <v>45</v>
      </c>
      <c r="D279" s="77" t="s">
        <v>5601</v>
      </c>
      <c r="E279" s="77" t="s">
        <v>62</v>
      </c>
      <c r="F279" s="245" t="str">
        <f t="shared" si="18"/>
        <v>RobS 79</v>
      </c>
      <c r="G279" s="77" t="s">
        <v>577</v>
      </c>
      <c r="H279" s="77"/>
      <c r="I279" s="77" t="str">
        <f t="shared" si="16"/>
        <v>L07_DPVE_026E_ROBBING</v>
      </c>
      <c r="J279" s="77" t="s">
        <v>3194</v>
      </c>
      <c r="K279" s="169">
        <f>IFERROR(MATCH(J279,'Final List'!$B$4:$B$252,0),0)</f>
        <v>0</v>
      </c>
      <c r="L279" s="169">
        <f>IFERROR(MATCH(J279,'Final List'!$D$4:$D$252,0),0)</f>
        <v>0</v>
      </c>
      <c r="M279" s="169">
        <f>IFERROR(MATCH(J279,'Final List'!$F$4:$F$251,0),0)</f>
        <v>0</v>
      </c>
      <c r="N279" s="169">
        <f>IFERROR(MATCH(J279,'Final List'!$H$4:$H$252,0),0)</f>
        <v>0</v>
      </c>
      <c r="O279" s="169">
        <f>IFERROR(MATCH(J279,'Final List'!$J$4:$J$252,0),0)</f>
        <v>0</v>
      </c>
      <c r="P279" s="169">
        <f>IFERROR(MATCH(J279,'Final List'!$L$4:$L$252,0),0)</f>
        <v>0</v>
      </c>
      <c r="Q279" s="169">
        <f>IFERROR(MATCH(J279,'Final List'!$N$4:$N$252,0),0)</f>
        <v>0</v>
      </c>
      <c r="R279" s="169">
        <f>IFERROR(MATCH(J279,'Final List'!$P$4:$P$252,0),0)</f>
        <v>0</v>
      </c>
      <c r="S279" s="169">
        <f t="shared" si="19"/>
        <v>0</v>
      </c>
      <c r="T279" s="77" t="s">
        <v>68</v>
      </c>
      <c r="U279" s="77"/>
      <c r="V279" s="77" t="str">
        <f t="shared" si="17"/>
        <v>CARIKITAN 1</v>
      </c>
      <c r="W279" s="77" t="s">
        <v>2707</v>
      </c>
      <c r="X279"/>
      <c r="Y279"/>
    </row>
    <row r="280" spans="1:25" x14ac:dyDescent="0.25">
      <c r="B280" s="77" t="s">
        <v>258</v>
      </c>
      <c r="C280" s="77" t="s">
        <v>87</v>
      </c>
      <c r="D280" s="77" t="s">
        <v>5781</v>
      </c>
      <c r="E280" s="77" t="s">
        <v>63</v>
      </c>
      <c r="F280" s="245" t="str">
        <f t="shared" si="18"/>
        <v>Dhoz 71</v>
      </c>
      <c r="G280" s="77" t="s">
        <v>296</v>
      </c>
      <c r="H280" s="77"/>
      <c r="I280" s="77" t="str">
        <f t="shared" si="16"/>
        <v>L10_NONE_051E_XCS</v>
      </c>
      <c r="J280" s="77" t="s">
        <v>700</v>
      </c>
      <c r="K280" s="169">
        <f>IFERROR(MATCH(J280,'Final List'!$B$4:$B$252,0),0)</f>
        <v>0</v>
      </c>
      <c r="L280" s="169">
        <f>IFERROR(MATCH(J280,'Final List'!$D$4:$D$252,0),0)</f>
        <v>0</v>
      </c>
      <c r="M280" s="169">
        <f>IFERROR(MATCH(J280,'Final List'!$F$4:$F$251,0),0)</f>
        <v>0</v>
      </c>
      <c r="N280" s="169">
        <f>IFERROR(MATCH(J280,'Final List'!$H$4:$H$252,0),0)</f>
        <v>0</v>
      </c>
      <c r="O280" s="169">
        <f>IFERROR(MATCH(J280,'Final List'!$J$4:$J$252,0),0)</f>
        <v>0</v>
      </c>
      <c r="P280" s="169">
        <f>IFERROR(MATCH(J280,'Final List'!$L$4:$L$252,0),0)</f>
        <v>0</v>
      </c>
      <c r="Q280" s="169">
        <f>IFERROR(MATCH(J280,'Final List'!$N$4:$N$252,0),0)</f>
        <v>0</v>
      </c>
      <c r="R280" s="169">
        <f>IFERROR(MATCH(J280,'Final List'!$P$4:$P$252,0),0)</f>
        <v>0</v>
      </c>
      <c r="S280" s="169">
        <f t="shared" si="19"/>
        <v>0</v>
      </c>
      <c r="T280" s="77"/>
      <c r="U280" s="77"/>
      <c r="V280" s="77" t="str">
        <f t="shared" si="17"/>
        <v>MONTEBON 2</v>
      </c>
      <c r="W280" s="77" t="s">
        <v>2714</v>
      </c>
    </row>
    <row r="281" spans="1:25" x14ac:dyDescent="0.25">
      <c r="A281" s="118"/>
      <c r="B281" s="150" t="s">
        <v>92</v>
      </c>
      <c r="C281" s="150" t="s">
        <v>41</v>
      </c>
      <c r="D281" s="150" t="s">
        <v>103</v>
      </c>
      <c r="E281" s="150" t="s">
        <v>62</v>
      </c>
      <c r="F281" s="245" t="str">
        <f t="shared" si="18"/>
        <v>RobC 80</v>
      </c>
      <c r="G281" s="150" t="s">
        <v>5698</v>
      </c>
      <c r="H281" s="150"/>
      <c r="I281" s="77" t="str">
        <f t="shared" si="16"/>
        <v>L05_CTV_005E_ROBBING</v>
      </c>
      <c r="J281" s="150" t="s">
        <v>3613</v>
      </c>
      <c r="K281" s="169">
        <f>IFERROR(MATCH(J281,'Final List'!$B$4:$B$252,0),0)</f>
        <v>0</v>
      </c>
      <c r="L281" s="169">
        <f>IFERROR(MATCH(J281,'Final List'!$D$4:$D$252,0),0)</f>
        <v>0</v>
      </c>
      <c r="M281" s="169">
        <f>IFERROR(MATCH(J281,'Final List'!$F$4:$F$251,0),0)</f>
        <v>0</v>
      </c>
      <c r="N281" s="169">
        <f>IFERROR(MATCH(J281,'Final List'!$H$4:$H$252,0),0)</f>
        <v>0</v>
      </c>
      <c r="O281" s="169">
        <f>IFERROR(MATCH(J281,'Final List'!$J$4:$J$252,0),0)</f>
        <v>0</v>
      </c>
      <c r="P281" s="169">
        <f>IFERROR(MATCH(J281,'Final List'!$L$4:$L$252,0),0)</f>
        <v>0</v>
      </c>
      <c r="Q281" s="169">
        <f>IFERROR(MATCH(J281,'Final List'!$N$4:$N$252,0),0)</f>
        <v>0</v>
      </c>
      <c r="R281" s="169">
        <f>IFERROR(MATCH(J281,'Final List'!$P$4:$P$252,0),0)</f>
        <v>0</v>
      </c>
      <c r="S281" s="169">
        <f t="shared" si="19"/>
        <v>0</v>
      </c>
      <c r="T281" s="116" t="s">
        <v>48</v>
      </c>
      <c r="U281" s="150"/>
      <c r="V281" s="150" t="str">
        <f t="shared" si="17"/>
        <v>PARAN 1</v>
      </c>
      <c r="W281" s="150" t="s">
        <v>236</v>
      </c>
      <c r="X281" s="118"/>
      <c r="Y281" s="118"/>
    </row>
    <row r="282" spans="1:25" x14ac:dyDescent="0.25">
      <c r="B282" s="77" t="s">
        <v>92</v>
      </c>
      <c r="C282" s="77" t="s">
        <v>45</v>
      </c>
      <c r="D282" s="77" t="s">
        <v>5975</v>
      </c>
      <c r="E282" s="77" t="s">
        <v>19</v>
      </c>
      <c r="F282" s="245" t="str">
        <f t="shared" si="18"/>
        <v>DVR 72</v>
      </c>
      <c r="G282" s="77" t="s">
        <v>1577</v>
      </c>
      <c r="H282" s="77"/>
      <c r="I282" s="77" t="str">
        <f t="shared" si="16"/>
        <v>L05_DPVE_028E_RAISE</v>
      </c>
      <c r="J282" s="77" t="s">
        <v>5974</v>
      </c>
      <c r="K282" s="169">
        <f>IFERROR(MATCH(J282,'Final List'!$B$4:$B$252,0),0)</f>
        <v>0</v>
      </c>
      <c r="L282" s="169">
        <f>IFERROR(MATCH(J282,'Final List'!$D$4:$D$252,0),0)</f>
        <v>0</v>
      </c>
      <c r="M282" s="169">
        <f>IFERROR(MATCH(J282,'Final List'!$F$4:$F$251,0),0)</f>
        <v>0</v>
      </c>
      <c r="N282" s="169">
        <f>IFERROR(MATCH(J282,'Final List'!$H$4:$H$252,0),0)</f>
        <v>0</v>
      </c>
      <c r="O282" s="169">
        <f>IFERROR(MATCH(J282,'Final List'!$J$4:$J$252,0),0)</f>
        <v>0</v>
      </c>
      <c r="P282" s="169">
        <f>IFERROR(MATCH(J282,'Final List'!$L$4:$L$252,0),0)</f>
        <v>0</v>
      </c>
      <c r="Q282" s="169">
        <f>IFERROR(MATCH(J282,'Final List'!$N$4:$N$252,0),0)</f>
        <v>0</v>
      </c>
      <c r="R282" s="169">
        <f>IFERROR(MATCH(J282,'Final List'!$P$4:$P$252,0),0)</f>
        <v>0</v>
      </c>
      <c r="S282" s="169">
        <f t="shared" si="19"/>
        <v>0</v>
      </c>
      <c r="T282" s="77"/>
      <c r="U282" s="77"/>
      <c r="V282" s="77" t="str">
        <f t="shared" si="17"/>
        <v>PANCIT, NOEL 2</v>
      </c>
      <c r="W282" s="77" t="s">
        <v>2715</v>
      </c>
    </row>
    <row r="283" spans="1:25" x14ac:dyDescent="0.25">
      <c r="B283" s="77" t="s">
        <v>91</v>
      </c>
      <c r="C283" s="77" t="s">
        <v>43</v>
      </c>
      <c r="D283" s="77" t="s">
        <v>5669</v>
      </c>
      <c r="E283" s="77" t="s">
        <v>36</v>
      </c>
      <c r="F283" s="245" t="str">
        <f t="shared" si="18"/>
        <v>StpS 77</v>
      </c>
      <c r="G283" s="77" t="s">
        <v>454</v>
      </c>
      <c r="H283" s="77"/>
      <c r="I283" s="77" t="str">
        <f t="shared" si="16"/>
        <v>L04_GHVSPLIT_027W_STOPE</v>
      </c>
      <c r="J283" s="77" t="s">
        <v>5976</v>
      </c>
      <c r="K283" s="169">
        <f>IFERROR(MATCH(J283,'Final List'!$B$4:$B$252,0),0)</f>
        <v>0</v>
      </c>
      <c r="L283" s="169">
        <f>IFERROR(MATCH(J283,'Final List'!$D$4:$D$252,0),0)</f>
        <v>0</v>
      </c>
      <c r="M283" s="169">
        <f>IFERROR(MATCH(J283,'Final List'!$F$4:$F$251,0),0)</f>
        <v>0</v>
      </c>
      <c r="N283" s="169">
        <f>IFERROR(MATCH(J283,'Final List'!$H$4:$H$252,0),0)</f>
        <v>0</v>
      </c>
      <c r="O283" s="169">
        <f>IFERROR(MATCH(J283,'Final List'!$J$4:$J$252,0),0)</f>
        <v>0</v>
      </c>
      <c r="P283" s="169">
        <f>IFERROR(MATCH(J283,'Final List'!$L$4:$L$252,0),0)</f>
        <v>0</v>
      </c>
      <c r="Q283" s="169">
        <f>IFERROR(MATCH(J283,'Final List'!$N$4:$N$252,0),0)</f>
        <v>0</v>
      </c>
      <c r="R283" s="169">
        <f>IFERROR(MATCH(J283,'Final List'!$P$4:$P$252,0),0)</f>
        <v>0</v>
      </c>
      <c r="S283" s="169">
        <f t="shared" si="19"/>
        <v>0</v>
      </c>
      <c r="T283" s="77" t="s">
        <v>68</v>
      </c>
      <c r="U283" s="77"/>
      <c r="V283" s="77" t="str">
        <f t="shared" si="17"/>
        <v>BAÑEZ 8</v>
      </c>
      <c r="W283" s="77" t="s">
        <v>2713</v>
      </c>
    </row>
    <row r="284" spans="1:25" x14ac:dyDescent="0.25">
      <c r="A284" s="118"/>
      <c r="B284" s="150" t="s">
        <v>91</v>
      </c>
      <c r="C284" s="150" t="s">
        <v>43</v>
      </c>
      <c r="D284" s="150" t="s">
        <v>5992</v>
      </c>
      <c r="E284" s="150" t="s">
        <v>19</v>
      </c>
      <c r="F284" s="245" t="str">
        <f t="shared" si="18"/>
        <v>DVR 72</v>
      </c>
      <c r="G284" s="150" t="s">
        <v>352</v>
      </c>
      <c r="H284" s="150"/>
      <c r="I284" s="77" t="str">
        <f t="shared" si="16"/>
        <v>L04_GHVSPLIT_026W_RAISE</v>
      </c>
      <c r="J284" s="150" t="s">
        <v>4422</v>
      </c>
      <c r="K284" s="169">
        <f>IFERROR(MATCH(J284,'Final List'!$B$4:$B$252,0),0)</f>
        <v>0</v>
      </c>
      <c r="L284" s="169">
        <f>IFERROR(MATCH(J284,'Final List'!$D$4:$D$252,0),0)</f>
        <v>0</v>
      </c>
      <c r="M284" s="169">
        <f>IFERROR(MATCH(J284,'Final List'!$F$4:$F$251,0),0)</f>
        <v>0</v>
      </c>
      <c r="N284" s="169">
        <f>IFERROR(MATCH(J284,'Final List'!$H$4:$H$252,0),0)</f>
        <v>0</v>
      </c>
      <c r="O284" s="169">
        <f>IFERROR(MATCH(J284,'Final List'!$J$4:$J$252,0),0)</f>
        <v>0</v>
      </c>
      <c r="P284" s="169">
        <f>IFERROR(MATCH(J284,'Final List'!$L$4:$L$252,0),0)</f>
        <v>0</v>
      </c>
      <c r="Q284" s="169">
        <f>IFERROR(MATCH(J284,'Final List'!$N$4:$N$252,0),0)</f>
        <v>0</v>
      </c>
      <c r="R284" s="169">
        <f>IFERROR(MATCH(J284,'Final List'!$P$4:$P$252,0),0)</f>
        <v>0</v>
      </c>
      <c r="S284" s="169">
        <f t="shared" si="19"/>
        <v>0</v>
      </c>
      <c r="T284" s="150"/>
      <c r="U284" s="150"/>
      <c r="V284" s="150" t="str">
        <f t="shared" si="17"/>
        <v>BAÑEZ 5</v>
      </c>
      <c r="W284" s="150" t="s">
        <v>2715</v>
      </c>
      <c r="X284" s="118"/>
      <c r="Y284" s="118"/>
    </row>
    <row r="285" spans="1:25" x14ac:dyDescent="0.25">
      <c r="B285" s="77" t="s">
        <v>94</v>
      </c>
      <c r="C285" s="77" t="s">
        <v>87</v>
      </c>
      <c r="D285" s="77" t="s">
        <v>131</v>
      </c>
      <c r="E285" s="77" t="s">
        <v>37</v>
      </c>
      <c r="F285" s="245" t="str">
        <f t="shared" si="18"/>
        <v>Dhoz 71</v>
      </c>
      <c r="G285" s="77" t="s">
        <v>5980</v>
      </c>
      <c r="H285" s="77"/>
      <c r="I285" s="77" t="str">
        <f t="shared" si="16"/>
        <v>L07_NONE_011E_XCN</v>
      </c>
      <c r="J285" s="77" t="s">
        <v>5979</v>
      </c>
      <c r="K285" s="169">
        <f>IFERROR(MATCH(J285,'Final List'!$B$4:$B$252,0),0)</f>
        <v>0</v>
      </c>
      <c r="L285" s="169">
        <f>IFERROR(MATCH(J285,'Final List'!$D$4:$D$252,0),0)</f>
        <v>0</v>
      </c>
      <c r="M285" s="169">
        <f>IFERROR(MATCH(J285,'Final List'!$F$4:$F$251,0),0)</f>
        <v>0</v>
      </c>
      <c r="N285" s="169">
        <f>IFERROR(MATCH(J285,'Final List'!$H$4:$H$252,0),0)</f>
        <v>0</v>
      </c>
      <c r="O285" s="169">
        <f>IFERROR(MATCH(J285,'Final List'!$J$4:$J$252,0),0)</f>
        <v>0</v>
      </c>
      <c r="P285" s="169">
        <f>IFERROR(MATCH(J285,'Final List'!$L$4:$L$252,0),0)</f>
        <v>0</v>
      </c>
      <c r="Q285" s="169">
        <f>IFERROR(MATCH(J285,'Final List'!$N$4:$N$252,0),0)</f>
        <v>0</v>
      </c>
      <c r="R285" s="169">
        <f>IFERROR(MATCH(J285,'Final List'!$P$4:$P$252,0),0)</f>
        <v>0</v>
      </c>
      <c r="S285" s="169">
        <f t="shared" si="19"/>
        <v>0</v>
      </c>
      <c r="T285" s="77"/>
      <c r="U285" s="77"/>
      <c r="V285" s="77" t="str">
        <f t="shared" si="17"/>
        <v xml:space="preserve">CARIKITAN 2 </v>
      </c>
      <c r="W285" s="77" t="s">
        <v>8897</v>
      </c>
    </row>
    <row r="286" spans="1:25" x14ac:dyDescent="0.25">
      <c r="B286" s="77" t="s">
        <v>93</v>
      </c>
      <c r="C286" s="77" t="s">
        <v>45</v>
      </c>
      <c r="D286" s="77" t="s">
        <v>121</v>
      </c>
      <c r="E286" s="77" t="s">
        <v>62</v>
      </c>
      <c r="F286" s="245" t="str">
        <f t="shared" si="18"/>
        <v>RobC 80</v>
      </c>
      <c r="G286" s="77" t="s">
        <v>457</v>
      </c>
      <c r="H286" s="77"/>
      <c r="I286" s="77" t="str">
        <f t="shared" si="16"/>
        <v>L06_DPVE_022E_ROBBING</v>
      </c>
      <c r="J286" s="77" t="s">
        <v>3537</v>
      </c>
      <c r="K286" s="169">
        <f>IFERROR(MATCH(J286,'Final List'!$B$4:$B$252,0),0)</f>
        <v>0</v>
      </c>
      <c r="L286" s="169">
        <f>IFERROR(MATCH(J286,'Final List'!$D$4:$D$252,0),0)</f>
        <v>0</v>
      </c>
      <c r="M286" s="169">
        <f>IFERROR(MATCH(J286,'Final List'!$F$4:$F$251,0),0)</f>
        <v>0</v>
      </c>
      <c r="N286" s="169">
        <f>IFERROR(MATCH(J286,'Final List'!$H$4:$H$252,0),0)</f>
        <v>0</v>
      </c>
      <c r="O286" s="169">
        <f>IFERROR(MATCH(J286,'Final List'!$J$4:$J$252,0),0)</f>
        <v>0</v>
      </c>
      <c r="P286" s="169">
        <f>IFERROR(MATCH(J286,'Final List'!$L$4:$L$252,0),0)</f>
        <v>0</v>
      </c>
      <c r="Q286" s="169">
        <f>IFERROR(MATCH(J286,'Final List'!$N$4:$N$252,0),0)</f>
        <v>0</v>
      </c>
      <c r="R286" s="169">
        <f>IFERROR(MATCH(J286,'Final List'!$P$4:$P$252,0),0)</f>
        <v>0</v>
      </c>
      <c r="S286" s="169">
        <f t="shared" si="19"/>
        <v>0</v>
      </c>
      <c r="T286" s="116" t="s">
        <v>48</v>
      </c>
      <c r="U286" s="77"/>
      <c r="V286" s="116" t="str">
        <f t="shared" si="17"/>
        <v>DOLARIZA 1</v>
      </c>
      <c r="W286" s="77" t="s">
        <v>236</v>
      </c>
    </row>
    <row r="287" spans="1:25" x14ac:dyDescent="0.25">
      <c r="B287" s="77" t="s">
        <v>258</v>
      </c>
      <c r="C287" s="77" t="s">
        <v>87</v>
      </c>
      <c r="D287" s="77" t="s">
        <v>110</v>
      </c>
      <c r="E287" s="77" t="s">
        <v>63</v>
      </c>
      <c r="F287" s="245" t="str">
        <f t="shared" si="18"/>
        <v>Dhoz 71</v>
      </c>
      <c r="G287" s="77" t="s">
        <v>5983</v>
      </c>
      <c r="H287" s="77" t="s">
        <v>370</v>
      </c>
      <c r="I287" s="77" t="str">
        <f t="shared" si="16"/>
        <v>L10_NONE_004E_XCS</v>
      </c>
      <c r="J287" s="77" t="s">
        <v>5982</v>
      </c>
      <c r="K287" s="169">
        <f>IFERROR(MATCH(J287,'Final List'!$B$4:$B$252,0),0)</f>
        <v>0</v>
      </c>
      <c r="L287" s="169">
        <f>IFERROR(MATCH(J287,'Final List'!$D$4:$D$252,0),0)</f>
        <v>0</v>
      </c>
      <c r="M287" s="169">
        <f>IFERROR(MATCH(J287,'Final List'!$F$4:$F$251,0),0)</f>
        <v>0</v>
      </c>
      <c r="N287" s="169">
        <f>IFERROR(MATCH(J287,'Final List'!$H$4:$H$252,0),0)</f>
        <v>0</v>
      </c>
      <c r="O287" s="169">
        <f>IFERROR(MATCH(J287,'Final List'!$J$4:$J$252,0),0)</f>
        <v>0</v>
      </c>
      <c r="P287" s="169">
        <f>IFERROR(MATCH(J287,'Final List'!$L$4:$L$252,0),0)</f>
        <v>0</v>
      </c>
      <c r="Q287" s="169">
        <f>IFERROR(MATCH(J287,'Final List'!$N$4:$N$252,0),0)</f>
        <v>0</v>
      </c>
      <c r="R287" s="169">
        <f>IFERROR(MATCH(J287,'Final List'!$P$4:$P$252,0),0)</f>
        <v>0</v>
      </c>
      <c r="S287" s="169">
        <f t="shared" si="19"/>
        <v>0</v>
      </c>
      <c r="T287" s="77"/>
      <c r="U287" s="77"/>
      <c r="V287" s="116" t="str">
        <f t="shared" si="17"/>
        <v>TAÑEZA 2</v>
      </c>
      <c r="W287" s="169" t="s">
        <v>8898</v>
      </c>
    </row>
    <row r="288" spans="1:25" x14ac:dyDescent="0.25">
      <c r="B288" s="77" t="s">
        <v>94</v>
      </c>
      <c r="C288" s="77" t="s">
        <v>42</v>
      </c>
      <c r="D288" s="77" t="s">
        <v>162</v>
      </c>
      <c r="E288" s="77" t="s">
        <v>60</v>
      </c>
      <c r="F288" s="245" t="str">
        <f t="shared" si="18"/>
        <v>Dhoz 71</v>
      </c>
      <c r="G288" s="77" t="s">
        <v>5817</v>
      </c>
      <c r="H288" s="77" t="s">
        <v>5719</v>
      </c>
      <c r="I288" s="77" t="str">
        <f t="shared" si="16"/>
        <v>L07_JV_008E_DE</v>
      </c>
      <c r="J288" s="77" t="s">
        <v>6012</v>
      </c>
      <c r="K288" s="169">
        <f>IFERROR(MATCH(J288,'Final List'!$B$4:$B$252,0),0)</f>
        <v>0</v>
      </c>
      <c r="L288" s="169">
        <f>IFERROR(MATCH(J288,'Final List'!$D$4:$D$252,0),0)</f>
        <v>0</v>
      </c>
      <c r="M288" s="169">
        <f>IFERROR(MATCH(J288,'Final List'!$F$4:$F$251,0),0)</f>
        <v>0</v>
      </c>
      <c r="N288" s="169">
        <f>IFERROR(MATCH(J288,'Final List'!$H$4:$H$252,0),0)</f>
        <v>0</v>
      </c>
      <c r="O288" s="169">
        <f>IFERROR(MATCH(J288,'Final List'!$J$4:$J$252,0),0)</f>
        <v>0</v>
      </c>
      <c r="P288" s="169">
        <f>IFERROR(MATCH(J288,'Final List'!$L$4:$L$252,0),0)</f>
        <v>0</v>
      </c>
      <c r="Q288" s="169">
        <f>IFERROR(MATCH(J288,'Final List'!$N$4:$N$252,0),0)</f>
        <v>0</v>
      </c>
      <c r="R288" s="169">
        <f>IFERROR(MATCH(J288,'Final List'!$P$4:$P$252,0),0)</f>
        <v>0</v>
      </c>
      <c r="S288" s="169">
        <f t="shared" si="19"/>
        <v>0</v>
      </c>
      <c r="T288" s="77"/>
      <c r="U288" s="77"/>
      <c r="V288" s="77" t="str">
        <f t="shared" si="17"/>
        <v>DAVOCOL 1</v>
      </c>
      <c r="W288" s="77" t="s">
        <v>8895</v>
      </c>
    </row>
    <row r="289" spans="1:25" x14ac:dyDescent="0.25">
      <c r="A289" s="118"/>
      <c r="B289" s="150" t="s">
        <v>93</v>
      </c>
      <c r="C289" s="150" t="s">
        <v>45</v>
      </c>
      <c r="D289" s="150" t="s">
        <v>147</v>
      </c>
      <c r="E289" s="150" t="s">
        <v>6143</v>
      </c>
      <c r="F289" s="245" t="str">
        <f t="shared" si="18"/>
        <v>Dhoz 71</v>
      </c>
      <c r="G289" s="150" t="s">
        <v>342</v>
      </c>
      <c r="H289" s="150"/>
      <c r="I289" s="77" t="str">
        <f t="shared" si="16"/>
        <v>L06_DPVE_024E_DE_ISL</v>
      </c>
      <c r="J289" s="150" t="s">
        <v>6155</v>
      </c>
      <c r="K289" s="169">
        <f>IFERROR(MATCH(J289,'Final List'!$B$4:$B$252,0),0)</f>
        <v>0</v>
      </c>
      <c r="L289" s="169">
        <f>IFERROR(MATCH(J289,'Final List'!$D$4:$D$252,0),0)</f>
        <v>0</v>
      </c>
      <c r="M289" s="169">
        <f>IFERROR(MATCH(J289,'Final List'!$F$4:$F$251,0),0)</f>
        <v>0</v>
      </c>
      <c r="N289" s="169">
        <f>IFERROR(MATCH(J289,'Final List'!$H$4:$H$252,0),0)</f>
        <v>0</v>
      </c>
      <c r="O289" s="169">
        <f>IFERROR(MATCH(J289,'Final List'!$J$4:$J$252,0),0)</f>
        <v>0</v>
      </c>
      <c r="P289" s="169">
        <f>IFERROR(MATCH(J289,'Final List'!$L$4:$L$252,0),0)</f>
        <v>0</v>
      </c>
      <c r="Q289" s="169">
        <f>IFERROR(MATCH(J289,'Final List'!$N$4:$N$252,0),0)</f>
        <v>0</v>
      </c>
      <c r="R289" s="169">
        <f>IFERROR(MATCH(J289,'Final List'!$P$4:$P$252,0),0)</f>
        <v>0</v>
      </c>
      <c r="S289" s="169">
        <f t="shared" si="19"/>
        <v>0</v>
      </c>
      <c r="T289" s="150"/>
      <c r="U289" s="150"/>
      <c r="V289" s="150" t="str">
        <f t="shared" si="17"/>
        <v>BADBADON 2</v>
      </c>
      <c r="W289" s="150" t="s">
        <v>2708</v>
      </c>
      <c r="X289" s="118"/>
      <c r="Y289" s="118"/>
    </row>
    <row r="290" spans="1:25" x14ac:dyDescent="0.25">
      <c r="B290" s="77" t="s">
        <v>258</v>
      </c>
      <c r="C290" s="77" t="s">
        <v>42</v>
      </c>
      <c r="D290" s="77" t="s">
        <v>164</v>
      </c>
      <c r="E290" s="77" t="s">
        <v>61</v>
      </c>
      <c r="F290" s="245" t="str">
        <f t="shared" si="18"/>
        <v>Dhoz 71</v>
      </c>
      <c r="G290" s="77" t="s">
        <v>5079</v>
      </c>
      <c r="H290" s="77"/>
      <c r="I290" s="77" t="str">
        <f t="shared" si="16"/>
        <v>L10_JV_064E_DW</v>
      </c>
      <c r="J290" s="77" t="s">
        <v>5321</v>
      </c>
      <c r="K290" s="169">
        <f>IFERROR(MATCH(J290,'Final List'!$B$4:$B$252,0),0)</f>
        <v>0</v>
      </c>
      <c r="L290" s="169">
        <f>IFERROR(MATCH(J290,'Final List'!$D$4:$D$252,0),0)</f>
        <v>0</v>
      </c>
      <c r="M290" s="169">
        <f>IFERROR(MATCH(J290,'Final List'!$F$4:$F$251,0),0)</f>
        <v>0</v>
      </c>
      <c r="N290" s="169">
        <f>IFERROR(MATCH(J290,'Final List'!$H$4:$H$252,0),0)</f>
        <v>0</v>
      </c>
      <c r="O290" s="169">
        <f>IFERROR(MATCH(J290,'Final List'!$J$4:$J$252,0),0)</f>
        <v>0</v>
      </c>
      <c r="P290" s="169">
        <f>IFERROR(MATCH(J290,'Final List'!$L$4:$L$252,0),0)</f>
        <v>0</v>
      </c>
      <c r="Q290" s="169">
        <f>IFERROR(MATCH(J290,'Final List'!$N$4:$N$252,0),0)</f>
        <v>0</v>
      </c>
      <c r="R290" s="169">
        <f>IFERROR(MATCH(J290,'Final List'!$P$4:$P$252,0),0)</f>
        <v>0</v>
      </c>
      <c r="S290" s="169">
        <f t="shared" si="19"/>
        <v>0</v>
      </c>
      <c r="T290" s="77"/>
      <c r="U290" s="77"/>
      <c r="V290" s="77" t="str">
        <f t="shared" si="17"/>
        <v>SHEPHERD AE 2</v>
      </c>
      <c r="W290" s="77" t="s">
        <v>8896</v>
      </c>
    </row>
    <row r="291" spans="1:25" x14ac:dyDescent="0.25">
      <c r="B291" s="77" t="s">
        <v>95</v>
      </c>
      <c r="C291" s="77" t="s">
        <v>57</v>
      </c>
      <c r="D291" s="77" t="s">
        <v>173</v>
      </c>
      <c r="E291" s="77" t="s">
        <v>61</v>
      </c>
      <c r="F291" s="245" t="str">
        <f t="shared" si="18"/>
        <v>Dhoz 71</v>
      </c>
      <c r="G291" s="77" t="s">
        <v>5711</v>
      </c>
      <c r="H291" s="77"/>
      <c r="I291" s="77" t="str">
        <f t="shared" si="16"/>
        <v>L08_JVSPLIT_049E_DW</v>
      </c>
      <c r="J291" s="77" t="s">
        <v>5990</v>
      </c>
      <c r="K291" s="169">
        <f>IFERROR(MATCH(J291,'Final List'!$B$4:$B$252,0),0)</f>
        <v>0</v>
      </c>
      <c r="L291" s="169">
        <f>IFERROR(MATCH(J291,'Final List'!$D$4:$D$252,0),0)</f>
        <v>0</v>
      </c>
      <c r="M291" s="169">
        <f>IFERROR(MATCH(J291,'Final List'!$F$4:$F$251,0),0)</f>
        <v>0</v>
      </c>
      <c r="N291" s="169">
        <f>IFERROR(MATCH(J291,'Final List'!$H$4:$H$252,0),0)</f>
        <v>0</v>
      </c>
      <c r="O291" s="169">
        <f>IFERROR(MATCH(J291,'Final List'!$J$4:$J$252,0),0)</f>
        <v>0</v>
      </c>
      <c r="P291" s="169">
        <f>IFERROR(MATCH(J291,'Final List'!$L$4:$L$252,0),0)</f>
        <v>0</v>
      </c>
      <c r="Q291" s="169">
        <f>IFERROR(MATCH(J291,'Final List'!$N$4:$N$252,0),0)</f>
        <v>0</v>
      </c>
      <c r="R291" s="169">
        <f>IFERROR(MATCH(J291,'Final List'!$P$4:$P$252,0),0)</f>
        <v>0</v>
      </c>
      <c r="S291" s="169">
        <f t="shared" si="19"/>
        <v>0</v>
      </c>
      <c r="T291" s="77"/>
      <c r="U291" s="77"/>
      <c r="V291" s="77" t="str">
        <f t="shared" si="17"/>
        <v>SHEPHERD Q 1</v>
      </c>
      <c r="W291" s="77" t="s">
        <v>8895</v>
      </c>
    </row>
    <row r="292" spans="1:25" x14ac:dyDescent="0.25">
      <c r="B292" s="77" t="s">
        <v>93</v>
      </c>
      <c r="C292" s="77" t="s">
        <v>39</v>
      </c>
      <c r="D292" s="77" t="s">
        <v>118</v>
      </c>
      <c r="E292" s="77" t="s">
        <v>61</v>
      </c>
      <c r="F292" s="245" t="str">
        <f t="shared" si="18"/>
        <v>Dhoz 71</v>
      </c>
      <c r="G292" s="77" t="s">
        <v>5996</v>
      </c>
      <c r="H292" s="77"/>
      <c r="I292" s="77" t="str">
        <f t="shared" si="16"/>
        <v>L06_JVHW_014E_DW</v>
      </c>
      <c r="J292" s="77" t="s">
        <v>5995</v>
      </c>
      <c r="K292" s="169">
        <f>IFERROR(MATCH(J292,'Final List'!$B$4:$B$252,0),0)</f>
        <v>0</v>
      </c>
      <c r="L292" s="169">
        <f>IFERROR(MATCH(J292,'Final List'!$D$4:$D$252,0),0)</f>
        <v>0</v>
      </c>
      <c r="M292" s="169">
        <f>IFERROR(MATCH(J292,'Final List'!$F$4:$F$251,0),0)</f>
        <v>0</v>
      </c>
      <c r="N292" s="169">
        <f>IFERROR(MATCH(J292,'Final List'!$H$4:$H$252,0),0)</f>
        <v>0</v>
      </c>
      <c r="O292" s="169">
        <f>IFERROR(MATCH(J292,'Final List'!$J$4:$J$252,0),0)</f>
        <v>0</v>
      </c>
      <c r="P292" s="169">
        <f>IFERROR(MATCH(J292,'Final List'!$L$4:$L$252,0),0)</f>
        <v>0</v>
      </c>
      <c r="Q292" s="169">
        <f>IFERROR(MATCH(J292,'Final List'!$N$4:$N$252,0),0)</f>
        <v>0</v>
      </c>
      <c r="R292" s="169">
        <f>IFERROR(MATCH(J292,'Final List'!$P$4:$P$252,0),0)</f>
        <v>0</v>
      </c>
      <c r="S292" s="169">
        <f t="shared" si="19"/>
        <v>0</v>
      </c>
      <c r="T292" s="77"/>
      <c r="U292" s="77"/>
      <c r="V292" s="77" t="str">
        <f t="shared" si="17"/>
        <v>BAÑEZ  3</v>
      </c>
      <c r="W292" s="77" t="s">
        <v>8895</v>
      </c>
    </row>
    <row r="293" spans="1:25" x14ac:dyDescent="0.25">
      <c r="B293" s="77" t="s">
        <v>96</v>
      </c>
      <c r="C293" s="77" t="s">
        <v>46</v>
      </c>
      <c r="D293" s="77" t="s">
        <v>5889</v>
      </c>
      <c r="E293" s="77" t="s">
        <v>61</v>
      </c>
      <c r="F293" s="245" t="str">
        <f t="shared" si="18"/>
        <v>Dhoz 71</v>
      </c>
      <c r="G293" s="77" t="s">
        <v>336</v>
      </c>
      <c r="H293" s="77"/>
      <c r="I293" s="77" t="str">
        <f t="shared" si="16"/>
        <v>L09_DPVE2_077E_DW</v>
      </c>
      <c r="J293" s="77" t="s">
        <v>4278</v>
      </c>
      <c r="K293" s="169">
        <f>IFERROR(MATCH(J293,'Final List'!$B$4:$B$252,0),0)</f>
        <v>0</v>
      </c>
      <c r="L293" s="169">
        <f>IFERROR(MATCH(J293,'Final List'!$D$4:$D$252,0),0)</f>
        <v>0</v>
      </c>
      <c r="M293" s="169">
        <f>IFERROR(MATCH(J293,'Final List'!$F$4:$F$251,0),0)</f>
        <v>0</v>
      </c>
      <c r="N293" s="169">
        <f>IFERROR(MATCH(J293,'Final List'!$H$4:$H$252,0),0)</f>
        <v>0</v>
      </c>
      <c r="O293" s="169">
        <f>IFERROR(MATCH(J293,'Final List'!$J$4:$J$252,0),0)</f>
        <v>0</v>
      </c>
      <c r="P293" s="169">
        <f>IFERROR(MATCH(J293,'Final List'!$L$4:$L$252,0),0)</f>
        <v>0</v>
      </c>
      <c r="Q293" s="169">
        <f>IFERROR(MATCH(J293,'Final List'!$N$4:$N$252,0),0)</f>
        <v>0</v>
      </c>
      <c r="R293" s="169">
        <f>IFERROR(MATCH(J293,'Final List'!$P$4:$P$252,0),0)</f>
        <v>0</v>
      </c>
      <c r="S293" s="169">
        <f t="shared" si="19"/>
        <v>0</v>
      </c>
      <c r="T293" s="77"/>
      <c r="U293" s="77"/>
      <c r="V293" s="77" t="str">
        <f t="shared" si="17"/>
        <v>BALANGHIG 1</v>
      </c>
      <c r="W293" s="77" t="s">
        <v>8896</v>
      </c>
    </row>
    <row r="294" spans="1:25" x14ac:dyDescent="0.25">
      <c r="B294" s="77" t="s">
        <v>93</v>
      </c>
      <c r="C294" s="77" t="s">
        <v>45</v>
      </c>
      <c r="D294" s="77" t="s">
        <v>119</v>
      </c>
      <c r="E294" s="77" t="s">
        <v>211</v>
      </c>
      <c r="F294" s="245" t="str">
        <f t="shared" si="18"/>
        <v>StpS 77</v>
      </c>
      <c r="G294" s="77" t="s">
        <v>355</v>
      </c>
      <c r="H294" s="77"/>
      <c r="I294" s="77" t="str">
        <f t="shared" si="16"/>
        <v>L06_DPVE_012E_STOPE PREP</v>
      </c>
      <c r="J294" s="77" t="s">
        <v>6001</v>
      </c>
      <c r="K294" s="169">
        <f>IFERROR(MATCH(J294,'Final List'!$B$4:$B$252,0),0)</f>
        <v>0</v>
      </c>
      <c r="L294" s="169">
        <f>IFERROR(MATCH(J294,'Final List'!$D$4:$D$252,0),0)</f>
        <v>0</v>
      </c>
      <c r="M294" s="169">
        <f>IFERROR(MATCH(J294,'Final List'!$F$4:$F$251,0),0)</f>
        <v>0</v>
      </c>
      <c r="N294" s="169">
        <f>IFERROR(MATCH(J294,'Final List'!$H$4:$H$252,0),0)</f>
        <v>0</v>
      </c>
      <c r="O294" s="169">
        <f>IFERROR(MATCH(J294,'Final List'!$J$4:$J$252,0),0)</f>
        <v>0</v>
      </c>
      <c r="P294" s="169">
        <f>IFERROR(MATCH(J294,'Final List'!$L$4:$L$252,0),0)</f>
        <v>0</v>
      </c>
      <c r="Q294" s="169">
        <f>IFERROR(MATCH(J294,'Final List'!$N$4:$N$252,0),0)</f>
        <v>0</v>
      </c>
      <c r="R294" s="169">
        <f>IFERROR(MATCH(J294,'Final List'!$P$4:$P$252,0),0)</f>
        <v>0</v>
      </c>
      <c r="S294" s="169">
        <f t="shared" si="19"/>
        <v>0</v>
      </c>
      <c r="T294" s="77" t="s">
        <v>68</v>
      </c>
      <c r="U294" s="77"/>
      <c r="V294" s="77" t="str">
        <f t="shared" si="17"/>
        <v>BAÑEZ 2</v>
      </c>
      <c r="W294" s="77" t="s">
        <v>2712</v>
      </c>
    </row>
    <row r="295" spans="1:25" x14ac:dyDescent="0.25">
      <c r="B295" s="77" t="s">
        <v>93</v>
      </c>
      <c r="C295" s="77" t="s">
        <v>38</v>
      </c>
      <c r="D295" s="77" t="s">
        <v>5601</v>
      </c>
      <c r="E295" s="77" t="s">
        <v>211</v>
      </c>
      <c r="F295" s="245" t="str">
        <f t="shared" si="18"/>
        <v>StpS 77</v>
      </c>
      <c r="G295" s="77" t="s">
        <v>862</v>
      </c>
      <c r="H295" s="77"/>
      <c r="I295" s="77" t="str">
        <f t="shared" si="16"/>
        <v>L06_GHV_026E_STOPE PREP</v>
      </c>
      <c r="J295" s="77" t="s">
        <v>6002</v>
      </c>
      <c r="K295" s="169">
        <f>IFERROR(MATCH(J295,'Final List'!$B$4:$B$252,0),0)</f>
        <v>0</v>
      </c>
      <c r="L295" s="169">
        <f>IFERROR(MATCH(J295,'Final List'!$D$4:$D$252,0),0)</f>
        <v>0</v>
      </c>
      <c r="M295" s="169">
        <f>IFERROR(MATCH(J295,'Final List'!$F$4:$F$251,0),0)</f>
        <v>0</v>
      </c>
      <c r="N295" s="169">
        <f>IFERROR(MATCH(J295,'Final List'!$H$4:$H$252,0),0)</f>
        <v>0</v>
      </c>
      <c r="O295" s="169">
        <f>IFERROR(MATCH(J295,'Final List'!$J$4:$J$252,0),0)</f>
        <v>0</v>
      </c>
      <c r="P295" s="169">
        <f>IFERROR(MATCH(J295,'Final List'!$L$4:$L$252,0),0)</f>
        <v>0</v>
      </c>
      <c r="Q295" s="169">
        <f>IFERROR(MATCH(J295,'Final List'!$N$4:$N$252,0),0)</f>
        <v>0</v>
      </c>
      <c r="R295" s="169">
        <f>IFERROR(MATCH(J295,'Final List'!$P$4:$P$252,0),0)</f>
        <v>0</v>
      </c>
      <c r="S295" s="169">
        <f t="shared" si="19"/>
        <v>0</v>
      </c>
      <c r="T295" s="77" t="s">
        <v>68</v>
      </c>
      <c r="U295" s="77"/>
      <c r="V295" s="77" t="str">
        <f t="shared" si="17"/>
        <v>REBOTE 1</v>
      </c>
      <c r="W295" s="77" t="s">
        <v>2712</v>
      </c>
    </row>
    <row r="296" spans="1:25" x14ac:dyDescent="0.25">
      <c r="B296" s="77" t="s">
        <v>94</v>
      </c>
      <c r="C296" s="77" t="s">
        <v>55</v>
      </c>
      <c r="D296" s="77" t="s">
        <v>173</v>
      </c>
      <c r="E296" s="77" t="s">
        <v>62</v>
      </c>
      <c r="F296" s="245" t="str">
        <f t="shared" si="18"/>
        <v>RobS 79</v>
      </c>
      <c r="G296" s="77" t="s">
        <v>604</v>
      </c>
      <c r="H296" s="77"/>
      <c r="I296" s="77" t="str">
        <f t="shared" si="16"/>
        <v>L07_JVFW_049E_ROBBING</v>
      </c>
      <c r="J296" s="77" t="s">
        <v>6019</v>
      </c>
      <c r="K296" s="169">
        <f>IFERROR(MATCH(J296,'Final List'!$B$4:$B$252,0),0)</f>
        <v>0</v>
      </c>
      <c r="L296" s="169">
        <f>IFERROR(MATCH(J296,'Final List'!$D$4:$D$252,0),0)</f>
        <v>0</v>
      </c>
      <c r="M296" s="169">
        <f>IFERROR(MATCH(J296,'Final List'!$F$4:$F$251,0),0)</f>
        <v>0</v>
      </c>
      <c r="N296" s="169">
        <f>IFERROR(MATCH(J296,'Final List'!$H$4:$H$252,0),0)</f>
        <v>0</v>
      </c>
      <c r="O296" s="169">
        <f>IFERROR(MATCH(J296,'Final List'!$J$4:$J$252,0),0)</f>
        <v>0</v>
      </c>
      <c r="P296" s="169">
        <f>IFERROR(MATCH(J296,'Final List'!$L$4:$L$252,0),0)</f>
        <v>0</v>
      </c>
      <c r="Q296" s="169">
        <f>IFERROR(MATCH(J296,'Final List'!$N$4:$N$252,0),0)</f>
        <v>0</v>
      </c>
      <c r="R296" s="169">
        <f>IFERROR(MATCH(J296,'Final List'!$P$4:$P$252,0),0)</f>
        <v>0</v>
      </c>
      <c r="S296" s="169">
        <f t="shared" si="19"/>
        <v>0</v>
      </c>
      <c r="T296" s="77" t="s">
        <v>68</v>
      </c>
      <c r="U296" s="77"/>
      <c r="V296" s="77" t="str">
        <f t="shared" si="17"/>
        <v>CARIKITAN 3</v>
      </c>
      <c r="W296" s="77" t="s">
        <v>2707</v>
      </c>
    </row>
    <row r="297" spans="1:25" x14ac:dyDescent="0.25">
      <c r="B297" s="77" t="s">
        <v>95</v>
      </c>
      <c r="C297" s="77" t="s">
        <v>45</v>
      </c>
      <c r="D297" s="77" t="s">
        <v>130</v>
      </c>
      <c r="E297" s="77" t="s">
        <v>62</v>
      </c>
      <c r="F297" s="245" t="str">
        <f t="shared" si="18"/>
        <v>RobS 79</v>
      </c>
      <c r="G297" s="77" t="s">
        <v>367</v>
      </c>
      <c r="H297" s="77" t="s">
        <v>617</v>
      </c>
      <c r="I297" s="77" t="str">
        <f t="shared" si="16"/>
        <v>L08_DPVE_036E_ROBBING</v>
      </c>
      <c r="J297" s="77" t="s">
        <v>6006</v>
      </c>
      <c r="K297" s="169">
        <f>IFERROR(MATCH(J297,'Final List'!$B$4:$B$252,0),0)</f>
        <v>0</v>
      </c>
      <c r="L297" s="169">
        <f>IFERROR(MATCH(J297,'Final List'!$D$4:$D$252,0),0)</f>
        <v>0</v>
      </c>
      <c r="M297" s="169">
        <f>IFERROR(MATCH(J297,'Final List'!$F$4:$F$251,0),0)</f>
        <v>0</v>
      </c>
      <c r="N297" s="169">
        <f>IFERROR(MATCH(J297,'Final List'!$H$4:$H$252,0),0)</f>
        <v>0</v>
      </c>
      <c r="O297" s="169">
        <f>IFERROR(MATCH(J297,'Final List'!$J$4:$J$252,0),0)</f>
        <v>0</v>
      </c>
      <c r="P297" s="169">
        <f>IFERROR(MATCH(J297,'Final List'!$L$4:$L$252,0),0)</f>
        <v>0</v>
      </c>
      <c r="Q297" s="169">
        <f>IFERROR(MATCH(J297,'Final List'!$N$4:$N$252,0),0)</f>
        <v>0</v>
      </c>
      <c r="R297" s="169">
        <f>IFERROR(MATCH(J297,'Final List'!$P$4:$P$252,0),0)</f>
        <v>0</v>
      </c>
      <c r="S297" s="169">
        <f t="shared" si="19"/>
        <v>0</v>
      </c>
      <c r="T297" s="77" t="s">
        <v>68</v>
      </c>
      <c r="U297" s="77"/>
      <c r="V297" s="77" t="str">
        <f t="shared" si="17"/>
        <v>HANGDAAN 2</v>
      </c>
      <c r="W297" s="77" t="s">
        <v>2707</v>
      </c>
    </row>
    <row r="298" spans="1:25" x14ac:dyDescent="0.25">
      <c r="B298" s="77" t="s">
        <v>96</v>
      </c>
      <c r="C298" s="77" t="s">
        <v>46</v>
      </c>
      <c r="D298" s="77" t="s">
        <v>5602</v>
      </c>
      <c r="E298" s="77" t="s">
        <v>36</v>
      </c>
      <c r="F298" s="245" t="str">
        <f t="shared" si="18"/>
        <v>StpS 77</v>
      </c>
      <c r="G298" s="77" t="s">
        <v>745</v>
      </c>
      <c r="H298" s="77"/>
      <c r="I298" s="77" t="str">
        <f t="shared" si="16"/>
        <v>L09_DPVE2_053E_STOPE</v>
      </c>
      <c r="J298" s="77" t="s">
        <v>6013</v>
      </c>
      <c r="K298" s="169">
        <f>IFERROR(MATCH(J298,'Final List'!$B$4:$B$252,0),0)</f>
        <v>0</v>
      </c>
      <c r="L298" s="169">
        <f>IFERROR(MATCH(J298,'Final List'!$D$4:$D$252,0),0)</f>
        <v>0</v>
      </c>
      <c r="M298" s="169">
        <f>IFERROR(MATCH(J298,'Final List'!$F$4:$F$251,0),0)</f>
        <v>0</v>
      </c>
      <c r="N298" s="169">
        <f>IFERROR(MATCH(J298,'Final List'!$H$4:$H$252,0),0)</f>
        <v>0</v>
      </c>
      <c r="O298" s="169">
        <f>IFERROR(MATCH(J298,'Final List'!$J$4:$J$252,0),0)</f>
        <v>0</v>
      </c>
      <c r="P298" s="169">
        <f>IFERROR(MATCH(J298,'Final List'!$L$4:$L$252,0),0)</f>
        <v>0</v>
      </c>
      <c r="Q298" s="169">
        <f>IFERROR(MATCH(J298,'Final List'!$N$4:$N$252,0),0)</f>
        <v>0</v>
      </c>
      <c r="R298" s="169">
        <f>IFERROR(MATCH(J298,'Final List'!$P$4:$P$252,0),0)</f>
        <v>0</v>
      </c>
      <c r="S298" s="169">
        <f t="shared" si="19"/>
        <v>0</v>
      </c>
      <c r="T298" s="77" t="s">
        <v>68</v>
      </c>
      <c r="U298" s="77"/>
      <c r="V298" s="77" t="str">
        <f t="shared" si="17"/>
        <v>CANOY 2</v>
      </c>
      <c r="W298" s="77" t="s">
        <v>2713</v>
      </c>
    </row>
    <row r="299" spans="1:25" x14ac:dyDescent="0.25">
      <c r="B299" s="77" t="s">
        <v>1166</v>
      </c>
      <c r="C299" s="77" t="s">
        <v>42</v>
      </c>
      <c r="D299" s="77" t="s">
        <v>172</v>
      </c>
      <c r="E299" s="77" t="s">
        <v>61</v>
      </c>
      <c r="F299" s="245" t="str">
        <f t="shared" si="18"/>
        <v>Dhoz 71</v>
      </c>
      <c r="G299" s="77" t="s">
        <v>6928</v>
      </c>
      <c r="H299" s="77"/>
      <c r="I299" s="77" t="str">
        <f t="shared" si="16"/>
        <v>L11_JV_045E_DW</v>
      </c>
      <c r="J299" s="77" t="s">
        <v>6015</v>
      </c>
      <c r="K299" s="169">
        <f>IFERROR(MATCH(J299,'Final List'!$B$4:$B$252,0),0)</f>
        <v>0</v>
      </c>
      <c r="L299" s="169">
        <f>IFERROR(MATCH(J299,'Final List'!$D$4:$D$252,0),0)</f>
        <v>0</v>
      </c>
      <c r="M299" s="169">
        <f>IFERROR(MATCH(J299,'Final List'!$F$4:$F$251,0),0)</f>
        <v>0</v>
      </c>
      <c r="N299" s="169">
        <f>IFERROR(MATCH(J299,'Final List'!$H$4:$H$252,0),0)</f>
        <v>0</v>
      </c>
      <c r="O299" s="169">
        <f>IFERROR(MATCH(J299,'Final List'!$J$4:$J$252,0),0)</f>
        <v>0</v>
      </c>
      <c r="P299" s="169">
        <f>IFERROR(MATCH(J299,'Final List'!$L$4:$L$252,0),0)</f>
        <v>0</v>
      </c>
      <c r="Q299" s="169">
        <f>IFERROR(MATCH(J299,'Final List'!$N$4:$N$252,0),0)</f>
        <v>0</v>
      </c>
      <c r="R299" s="169">
        <f>IFERROR(MATCH(J299,'Final List'!$P$4:$P$252,0),0)</f>
        <v>0</v>
      </c>
      <c r="S299" s="169">
        <f t="shared" si="19"/>
        <v>0</v>
      </c>
      <c r="T299" s="77"/>
      <c r="U299" s="77"/>
      <c r="V299" s="77" t="str">
        <f t="shared" si="17"/>
        <v>DUHIG, P5</v>
      </c>
      <c r="W299" s="77" t="s">
        <v>8896</v>
      </c>
    </row>
    <row r="300" spans="1:25" x14ac:dyDescent="0.25">
      <c r="B300" s="77" t="s">
        <v>94</v>
      </c>
      <c r="C300" s="77" t="s">
        <v>45</v>
      </c>
      <c r="D300" s="77" t="s">
        <v>144</v>
      </c>
      <c r="E300" s="77" t="s">
        <v>441</v>
      </c>
      <c r="F300" s="245" t="str">
        <f t="shared" si="18"/>
        <v>RobC 80</v>
      </c>
      <c r="G300" s="77" t="s">
        <v>358</v>
      </c>
      <c r="H300" s="169" t="s">
        <v>8195</v>
      </c>
      <c r="I300" s="77" t="str">
        <f t="shared" si="16"/>
        <v>L07_DPVE_043E_WINZE STOPE PREP</v>
      </c>
      <c r="J300" s="77" t="s">
        <v>6016</v>
      </c>
      <c r="K300" s="169">
        <f>IFERROR(MATCH(J300,'Final List'!$B$4:$B$252,0),0)</f>
        <v>0</v>
      </c>
      <c r="L300" s="169">
        <f>IFERROR(MATCH(J300,'Final List'!$D$4:$D$252,0),0)</f>
        <v>0</v>
      </c>
      <c r="M300" s="169">
        <f>IFERROR(MATCH(J300,'Final List'!$F$4:$F$251,0),0)</f>
        <v>0</v>
      </c>
      <c r="N300" s="169">
        <f>IFERROR(MATCH(J300,'Final List'!$H$4:$H$252,0),0)</f>
        <v>0</v>
      </c>
      <c r="O300" s="169">
        <f>IFERROR(MATCH(J300,'Final List'!$J$4:$J$252,0),0)</f>
        <v>0</v>
      </c>
      <c r="P300" s="169">
        <f>IFERROR(MATCH(J300,'Final List'!$L$4:$L$252,0),0)</f>
        <v>0</v>
      </c>
      <c r="Q300" s="169">
        <f>IFERROR(MATCH(J300,'Final List'!$N$4:$N$252,0),0)</f>
        <v>0</v>
      </c>
      <c r="R300" s="169">
        <f>IFERROR(MATCH(J300,'Final List'!$P$4:$P$252,0),0)</f>
        <v>0</v>
      </c>
      <c r="S300" s="169">
        <f t="shared" si="19"/>
        <v>0</v>
      </c>
      <c r="T300" s="77" t="s">
        <v>68</v>
      </c>
      <c r="U300" s="77"/>
      <c r="V300" s="77" t="str">
        <f t="shared" si="17"/>
        <v>FERNANDEZ, RG 2</v>
      </c>
      <c r="W300" s="77" t="s">
        <v>2716</v>
      </c>
    </row>
    <row r="301" spans="1:25" x14ac:dyDescent="0.25">
      <c r="B301" s="77" t="s">
        <v>92</v>
      </c>
      <c r="C301" s="77" t="s">
        <v>42</v>
      </c>
      <c r="D301" s="77" t="s">
        <v>121</v>
      </c>
      <c r="E301" s="77" t="s">
        <v>19</v>
      </c>
      <c r="F301" s="245" t="str">
        <f t="shared" si="18"/>
        <v>DVR 72</v>
      </c>
      <c r="G301" s="77" t="s">
        <v>5706</v>
      </c>
      <c r="H301" s="77"/>
      <c r="I301" s="77" t="str">
        <f t="shared" si="16"/>
        <v>L05_JV_022E_RAISE</v>
      </c>
      <c r="J301" s="77" t="s">
        <v>6018</v>
      </c>
      <c r="K301" s="169">
        <f>IFERROR(MATCH(J301,'Final List'!$B$4:$B$252,0),0)</f>
        <v>0</v>
      </c>
      <c r="L301" s="169">
        <f>IFERROR(MATCH(J301,'Final List'!$D$4:$D$252,0),0)</f>
        <v>0</v>
      </c>
      <c r="M301" s="169">
        <f>IFERROR(MATCH(J301,'Final List'!$F$4:$F$251,0),0)</f>
        <v>0</v>
      </c>
      <c r="N301" s="169">
        <f>IFERROR(MATCH(J301,'Final List'!$H$4:$H$252,0),0)</f>
        <v>0</v>
      </c>
      <c r="O301" s="169">
        <f>IFERROR(MATCH(J301,'Final List'!$J$4:$J$252,0),0)</f>
        <v>0</v>
      </c>
      <c r="P301" s="169">
        <f>IFERROR(MATCH(J301,'Final List'!$L$4:$L$252,0),0)</f>
        <v>0</v>
      </c>
      <c r="Q301" s="169">
        <f>IFERROR(MATCH(J301,'Final List'!$N$4:$N$252,0),0)</f>
        <v>0</v>
      </c>
      <c r="R301" s="169">
        <f>IFERROR(MATCH(J301,'Final List'!$P$4:$P$252,0),0)</f>
        <v>0</v>
      </c>
      <c r="S301" s="169">
        <f t="shared" si="19"/>
        <v>0</v>
      </c>
      <c r="T301" s="77"/>
      <c r="U301" s="77"/>
      <c r="V301" s="77" t="str">
        <f t="shared" si="17"/>
        <v>SHEPHERD AF 1</v>
      </c>
      <c r="W301" s="77" t="s">
        <v>2715</v>
      </c>
    </row>
    <row r="302" spans="1:25" x14ac:dyDescent="0.25">
      <c r="B302" s="77" t="s">
        <v>258</v>
      </c>
      <c r="C302" s="77" t="s">
        <v>55</v>
      </c>
      <c r="D302" s="77" t="s">
        <v>201</v>
      </c>
      <c r="E302" s="77" t="s">
        <v>19</v>
      </c>
      <c r="F302" s="245" t="str">
        <f t="shared" si="18"/>
        <v>DVR 72</v>
      </c>
      <c r="G302" s="77" t="s">
        <v>352</v>
      </c>
      <c r="H302" s="77"/>
      <c r="I302" s="77" t="str">
        <f t="shared" si="16"/>
        <v>L10_JVFW_067E_RAISE</v>
      </c>
      <c r="J302" s="77" t="s">
        <v>4229</v>
      </c>
      <c r="K302" s="169">
        <f>IFERROR(MATCH(J302,'Final List'!$B$4:$B$252,0),0)</f>
        <v>0</v>
      </c>
      <c r="L302" s="169">
        <f>IFERROR(MATCH(J302,'Final List'!$D$4:$D$252,0),0)</f>
        <v>0</v>
      </c>
      <c r="M302" s="169">
        <f>IFERROR(MATCH(J302,'Final List'!$F$4:$F$251,0),0)</f>
        <v>0</v>
      </c>
      <c r="N302" s="169">
        <f>IFERROR(MATCH(J302,'Final List'!$H$4:$H$252,0),0)</f>
        <v>0</v>
      </c>
      <c r="O302" s="169">
        <f>IFERROR(MATCH(J302,'Final List'!$J$4:$J$252,0),0)</f>
        <v>0</v>
      </c>
      <c r="P302" s="169">
        <f>IFERROR(MATCH(J302,'Final List'!$L$4:$L$252,0),0)</f>
        <v>0</v>
      </c>
      <c r="Q302" s="169">
        <f>IFERROR(MATCH(J302,'Final List'!$N$4:$N$252,0),0)</f>
        <v>0</v>
      </c>
      <c r="R302" s="169">
        <f>IFERROR(MATCH(J302,'Final List'!$P$4:$P$252,0),0)</f>
        <v>0</v>
      </c>
      <c r="S302" s="169">
        <f t="shared" si="19"/>
        <v>0</v>
      </c>
      <c r="T302" s="77"/>
      <c r="U302" s="77"/>
      <c r="V302" s="77" t="str">
        <f t="shared" si="17"/>
        <v>BAÑEZ 5</v>
      </c>
      <c r="W302" s="77" t="s">
        <v>2715</v>
      </c>
    </row>
    <row r="303" spans="1:25" x14ac:dyDescent="0.25">
      <c r="B303" s="77" t="s">
        <v>1167</v>
      </c>
      <c r="C303" s="77" t="s">
        <v>87</v>
      </c>
      <c r="D303" s="77" t="s">
        <v>5781</v>
      </c>
      <c r="E303" s="77" t="s">
        <v>63</v>
      </c>
      <c r="F303" s="245" t="str">
        <f t="shared" si="18"/>
        <v>Dhoz 71</v>
      </c>
      <c r="G303" s="77" t="s">
        <v>9440</v>
      </c>
      <c r="H303" s="77"/>
      <c r="I303" s="77" t="str">
        <f t="shared" si="16"/>
        <v>L12_NONE_051E_XCS</v>
      </c>
      <c r="J303" s="77" t="s">
        <v>6022</v>
      </c>
      <c r="K303" s="169">
        <f>IFERROR(MATCH(J303,'Final List'!$B$4:$B$252,0),0)</f>
        <v>0</v>
      </c>
      <c r="L303" s="169">
        <f>IFERROR(MATCH(J303,'Final List'!$D$4:$D$252,0),0)</f>
        <v>0</v>
      </c>
      <c r="M303" s="169">
        <f>IFERROR(MATCH(J303,'Final List'!$F$4:$F$251,0),0)</f>
        <v>0</v>
      </c>
      <c r="N303" s="169">
        <f>IFERROR(MATCH(J303,'Final List'!$H$4:$H$252,0),0)</f>
        <v>0</v>
      </c>
      <c r="O303" s="169">
        <f>IFERROR(MATCH(J303,'Final List'!$J$4:$J$252,0),0)</f>
        <v>0</v>
      </c>
      <c r="P303" s="169">
        <f>IFERROR(MATCH(J303,'Final List'!$L$4:$L$252,0),0)</f>
        <v>0</v>
      </c>
      <c r="Q303" s="169">
        <f>IFERROR(MATCH(J303,'Final List'!$N$4:$N$252,0),0)</f>
        <v>0</v>
      </c>
      <c r="R303" s="169">
        <f>IFERROR(MATCH(J303,'Final List'!$P$4:$P$252,0),0)</f>
        <v>0</v>
      </c>
      <c r="S303" s="169">
        <f t="shared" si="19"/>
        <v>0</v>
      </c>
      <c r="T303" s="77"/>
      <c r="U303" s="77"/>
      <c r="V303" s="77" t="str">
        <f t="shared" si="17"/>
        <v>DUHIG, P9</v>
      </c>
      <c r="W303" s="77" t="s">
        <v>8898</v>
      </c>
    </row>
    <row r="304" spans="1:25" x14ac:dyDescent="0.25">
      <c r="B304" s="77" t="s">
        <v>95</v>
      </c>
      <c r="C304" s="77" t="s">
        <v>45</v>
      </c>
      <c r="D304" s="77" t="s">
        <v>146</v>
      </c>
      <c r="E304" s="77" t="s">
        <v>62</v>
      </c>
      <c r="F304" s="245" t="str">
        <f t="shared" si="18"/>
        <v>RobS 79</v>
      </c>
      <c r="G304" s="77" t="s">
        <v>1507</v>
      </c>
      <c r="H304" s="77"/>
      <c r="I304" s="77" t="str">
        <f t="shared" si="16"/>
        <v>L08_DPVE_030E_ROBBING</v>
      </c>
      <c r="J304" s="77" t="s">
        <v>6024</v>
      </c>
      <c r="K304" s="169">
        <f>IFERROR(MATCH(J304,'Final List'!$B$4:$B$252,0),0)</f>
        <v>0</v>
      </c>
      <c r="L304" s="169">
        <f>IFERROR(MATCH(J304,'Final List'!$D$4:$D$252,0),0)</f>
        <v>0</v>
      </c>
      <c r="M304" s="169">
        <f>IFERROR(MATCH(J304,'Final List'!$F$4:$F$251,0),0)</f>
        <v>0</v>
      </c>
      <c r="N304" s="169">
        <f>IFERROR(MATCH(J304,'Final List'!$H$4:$H$252,0),0)</f>
        <v>0</v>
      </c>
      <c r="O304" s="169">
        <f>IFERROR(MATCH(J304,'Final List'!$J$4:$J$252,0),0)</f>
        <v>0</v>
      </c>
      <c r="P304" s="169">
        <f>IFERROR(MATCH(J304,'Final List'!$L$4:$L$252,0),0)</f>
        <v>0</v>
      </c>
      <c r="Q304" s="169">
        <f>IFERROR(MATCH(J304,'Final List'!$N$4:$N$252,0),0)</f>
        <v>0</v>
      </c>
      <c r="R304" s="169">
        <f>IFERROR(MATCH(J304,'Final List'!$P$4:$P$252,0),0)</f>
        <v>0</v>
      </c>
      <c r="S304" s="169">
        <f t="shared" si="19"/>
        <v>0</v>
      </c>
      <c r="T304" s="77" t="s">
        <v>68</v>
      </c>
      <c r="U304" s="77"/>
      <c r="V304" s="77" t="str">
        <f t="shared" si="17"/>
        <v>FERNANDEZ 1</v>
      </c>
      <c r="W304" s="77" t="s">
        <v>2707</v>
      </c>
    </row>
    <row r="305" spans="2:23" x14ac:dyDescent="0.25">
      <c r="B305" s="77" t="s">
        <v>93</v>
      </c>
      <c r="C305" s="77" t="s">
        <v>41</v>
      </c>
      <c r="D305" s="77" t="s">
        <v>5912</v>
      </c>
      <c r="E305" s="77" t="s">
        <v>62</v>
      </c>
      <c r="F305" s="245" t="str">
        <f t="shared" si="18"/>
        <v>RobS 79</v>
      </c>
      <c r="G305" s="77" t="s">
        <v>6027</v>
      </c>
      <c r="H305" s="77"/>
      <c r="I305" s="77" t="str">
        <f t="shared" si="16"/>
        <v>L06_CTV_019E_ROBBING</v>
      </c>
      <c r="J305" s="77" t="s">
        <v>951</v>
      </c>
      <c r="K305" s="169">
        <f>IFERROR(MATCH(J305,'Final List'!$B$4:$B$252,0),0)</f>
        <v>0</v>
      </c>
      <c r="L305" s="169">
        <f>IFERROR(MATCH(J305,'Final List'!$D$4:$D$252,0),0)</f>
        <v>0</v>
      </c>
      <c r="M305" s="169">
        <f>IFERROR(MATCH(J305,'Final List'!$F$4:$F$251,0),0)</f>
        <v>0</v>
      </c>
      <c r="N305" s="169">
        <f>IFERROR(MATCH(J305,'Final List'!$H$4:$H$252,0),0)</f>
        <v>0</v>
      </c>
      <c r="O305" s="169">
        <f>IFERROR(MATCH(J305,'Final List'!$J$4:$J$252,0),0)</f>
        <v>0</v>
      </c>
      <c r="P305" s="169">
        <f>IFERROR(MATCH(J305,'Final List'!$L$4:$L$252,0),0)</f>
        <v>0</v>
      </c>
      <c r="Q305" s="169">
        <f>IFERROR(MATCH(J305,'Final List'!$N$4:$N$252,0),0)</f>
        <v>0</v>
      </c>
      <c r="R305" s="169">
        <f>IFERROR(MATCH(J305,'Final List'!$P$4:$P$252,0),0)</f>
        <v>0</v>
      </c>
      <c r="S305" s="169">
        <f t="shared" si="19"/>
        <v>0</v>
      </c>
      <c r="T305" s="77" t="s">
        <v>68</v>
      </c>
      <c r="U305" s="77"/>
      <c r="V305" s="77" t="str">
        <f t="shared" si="17"/>
        <v>GUNAY 4</v>
      </c>
      <c r="W305" s="77" t="s">
        <v>2707</v>
      </c>
    </row>
    <row r="306" spans="2:23" x14ac:dyDescent="0.25">
      <c r="B306" s="77" t="s">
        <v>96</v>
      </c>
      <c r="C306" s="77" t="s">
        <v>87</v>
      </c>
      <c r="D306" s="77" t="s">
        <v>5689</v>
      </c>
      <c r="E306" s="77" t="s">
        <v>37</v>
      </c>
      <c r="F306" s="245" t="str">
        <f t="shared" si="18"/>
        <v>Dhoz 71</v>
      </c>
      <c r="G306" s="77" t="s">
        <v>4260</v>
      </c>
      <c r="H306" s="77"/>
      <c r="I306" s="77" t="str">
        <f t="shared" si="16"/>
        <v>L09_NONE_003E_XCN</v>
      </c>
      <c r="J306" s="77" t="s">
        <v>6030</v>
      </c>
      <c r="K306" s="169">
        <f>IFERROR(MATCH(J306,'Final List'!$B$4:$B$252,0),0)</f>
        <v>0</v>
      </c>
      <c r="L306" s="169">
        <f>IFERROR(MATCH(J306,'Final List'!$D$4:$D$252,0),0)</f>
        <v>0</v>
      </c>
      <c r="M306" s="169">
        <f>IFERROR(MATCH(J306,'Final List'!$F$4:$F$251,0),0)</f>
        <v>0</v>
      </c>
      <c r="N306" s="169">
        <f>IFERROR(MATCH(J306,'Final List'!$H$4:$H$252,0),0)</f>
        <v>0</v>
      </c>
      <c r="O306" s="169">
        <f>IFERROR(MATCH(J306,'Final List'!$J$4:$J$252,0),0)</f>
        <v>0</v>
      </c>
      <c r="P306" s="169">
        <f>IFERROR(MATCH(J306,'Final List'!$L$4:$L$252,0),0)</f>
        <v>0</v>
      </c>
      <c r="Q306" s="169">
        <f>IFERROR(MATCH(J306,'Final List'!$N$4:$N$252,0),0)</f>
        <v>0</v>
      </c>
      <c r="R306" s="169">
        <f>IFERROR(MATCH(J306,'Final List'!$P$4:$P$252,0),0)</f>
        <v>0</v>
      </c>
      <c r="S306" s="169">
        <f t="shared" si="19"/>
        <v>0</v>
      </c>
      <c r="T306" s="77"/>
      <c r="U306" s="77"/>
      <c r="V306" s="77" t="str">
        <f t="shared" si="17"/>
        <v>PANCIT NOEL 1</v>
      </c>
      <c r="W306" s="77" t="s">
        <v>8898</v>
      </c>
    </row>
    <row r="307" spans="2:23" x14ac:dyDescent="0.25">
      <c r="B307" s="77" t="s">
        <v>91</v>
      </c>
      <c r="C307" s="77" t="s">
        <v>57</v>
      </c>
      <c r="D307" s="77" t="s">
        <v>6033</v>
      </c>
      <c r="E307" s="77" t="s">
        <v>6143</v>
      </c>
      <c r="F307" s="245" t="str">
        <f t="shared" si="18"/>
        <v>Dhoz 71</v>
      </c>
      <c r="G307" s="77" t="s">
        <v>464</v>
      </c>
      <c r="H307" s="77"/>
      <c r="I307" s="77" t="str">
        <f t="shared" si="16"/>
        <v>L04_JVSPLIT_013E_DE_ISL</v>
      </c>
      <c r="J307" s="77" t="s">
        <v>6151</v>
      </c>
      <c r="K307" s="169">
        <f>IFERROR(MATCH(J307,'Final List'!$B$4:$B$252,0),0)</f>
        <v>0</v>
      </c>
      <c r="L307" s="169">
        <f>IFERROR(MATCH(J307,'Final List'!$D$4:$D$252,0),0)</f>
        <v>0</v>
      </c>
      <c r="M307" s="169">
        <f>IFERROR(MATCH(J307,'Final List'!$F$4:$F$251,0),0)</f>
        <v>0</v>
      </c>
      <c r="N307" s="169">
        <f>IFERROR(MATCH(J307,'Final List'!$H$4:$H$252,0),0)</f>
        <v>0</v>
      </c>
      <c r="O307" s="169">
        <f>IFERROR(MATCH(J307,'Final List'!$J$4:$J$252,0),0)</f>
        <v>0</v>
      </c>
      <c r="P307" s="169">
        <f>IFERROR(MATCH(J307,'Final List'!$L$4:$L$252,0),0)</f>
        <v>0</v>
      </c>
      <c r="Q307" s="169">
        <f>IFERROR(MATCH(J307,'Final List'!$N$4:$N$252,0),0)</f>
        <v>0</v>
      </c>
      <c r="R307" s="169">
        <f>IFERROR(MATCH(J307,'Final List'!$P$4:$P$252,0),0)</f>
        <v>0</v>
      </c>
      <c r="S307" s="169">
        <f t="shared" si="19"/>
        <v>0</v>
      </c>
      <c r="T307" s="77"/>
      <c r="U307" s="77"/>
      <c r="V307" s="77" t="str">
        <f t="shared" si="17"/>
        <v>COMAINGKING 3</v>
      </c>
      <c r="W307" s="77" t="s">
        <v>2708</v>
      </c>
    </row>
    <row r="308" spans="2:23" x14ac:dyDescent="0.25">
      <c r="B308" s="77" t="s">
        <v>91</v>
      </c>
      <c r="C308" s="77" t="s">
        <v>41</v>
      </c>
      <c r="D308" s="77" t="s">
        <v>162</v>
      </c>
      <c r="E308" s="77" t="s">
        <v>60</v>
      </c>
      <c r="F308" s="245" t="str">
        <f t="shared" si="18"/>
        <v>Dhoz 71</v>
      </c>
      <c r="G308" s="77" t="s">
        <v>5767</v>
      </c>
      <c r="H308" s="77"/>
      <c r="I308" s="77" t="str">
        <f t="shared" si="16"/>
        <v>L04_CTV_008E_DE</v>
      </c>
      <c r="J308" s="77" t="s">
        <v>6031</v>
      </c>
      <c r="K308" s="169">
        <f>IFERROR(MATCH(J308,'Final List'!$B$4:$B$252,0),0)</f>
        <v>0</v>
      </c>
      <c r="L308" s="169">
        <f>IFERROR(MATCH(J308,'Final List'!$D$4:$D$252,0),0)</f>
        <v>0</v>
      </c>
      <c r="M308" s="169">
        <f>IFERROR(MATCH(J308,'Final List'!$F$4:$F$251,0),0)</f>
        <v>0</v>
      </c>
      <c r="N308" s="169">
        <f>IFERROR(MATCH(J308,'Final List'!$H$4:$H$252,0),0)</f>
        <v>0</v>
      </c>
      <c r="O308" s="169">
        <f>IFERROR(MATCH(J308,'Final List'!$J$4:$J$252,0),0)</f>
        <v>0</v>
      </c>
      <c r="P308" s="169">
        <f>IFERROR(MATCH(J308,'Final List'!$L$4:$L$252,0),0)</f>
        <v>0</v>
      </c>
      <c r="Q308" s="169">
        <f>IFERROR(MATCH(J308,'Final List'!$N$4:$N$252,0),0)</f>
        <v>0</v>
      </c>
      <c r="R308" s="169">
        <f>IFERROR(MATCH(J308,'Final List'!$P$4:$P$252,0),0)</f>
        <v>0</v>
      </c>
      <c r="S308" s="169">
        <f t="shared" si="19"/>
        <v>0</v>
      </c>
      <c r="T308" s="77"/>
      <c r="U308" s="77"/>
      <c r="V308" s="77" t="str">
        <f t="shared" si="17"/>
        <v>MARTINEZ, RON 3</v>
      </c>
      <c r="W308" s="77" t="s">
        <v>8895</v>
      </c>
    </row>
    <row r="309" spans="2:23" x14ac:dyDescent="0.25">
      <c r="B309" s="77" t="s">
        <v>91</v>
      </c>
      <c r="C309" s="77" t="s">
        <v>42</v>
      </c>
      <c r="D309" s="77" t="s">
        <v>99</v>
      </c>
      <c r="E309" s="77" t="s">
        <v>20</v>
      </c>
      <c r="F309" s="245" t="str">
        <f t="shared" si="18"/>
        <v>DVW 74</v>
      </c>
      <c r="G309" s="77" t="s">
        <v>310</v>
      </c>
      <c r="H309" s="77"/>
      <c r="I309" s="77" t="str">
        <f t="shared" si="16"/>
        <v>L04_JV_028W_WINZE</v>
      </c>
      <c r="J309" s="77" t="s">
        <v>6045</v>
      </c>
      <c r="K309" s="169">
        <f>IFERROR(MATCH(J309,'Final List'!$B$4:$B$252,0),0)</f>
        <v>0</v>
      </c>
      <c r="L309" s="169">
        <f>IFERROR(MATCH(J309,'Final List'!$D$4:$D$252,0),0)</f>
        <v>0</v>
      </c>
      <c r="M309" s="169">
        <f>IFERROR(MATCH(J309,'Final List'!$F$4:$F$251,0),0)</f>
        <v>0</v>
      </c>
      <c r="N309" s="169">
        <f>IFERROR(MATCH(J309,'Final List'!$H$4:$H$252,0),0)</f>
        <v>0</v>
      </c>
      <c r="O309" s="169">
        <f>IFERROR(MATCH(J309,'Final List'!$J$4:$J$252,0),0)</f>
        <v>0</v>
      </c>
      <c r="P309" s="169">
        <f>IFERROR(MATCH(J309,'Final List'!$L$4:$L$252,0),0)</f>
        <v>0</v>
      </c>
      <c r="Q309" s="169">
        <f>IFERROR(MATCH(J309,'Final List'!$N$4:$N$252,0),0)</f>
        <v>0</v>
      </c>
      <c r="R309" s="169">
        <f>IFERROR(MATCH(J309,'Final List'!$P$4:$P$252,0),0)</f>
        <v>0</v>
      </c>
      <c r="S309" s="169">
        <f t="shared" si="19"/>
        <v>0</v>
      </c>
      <c r="T309" s="77"/>
      <c r="U309" s="77"/>
      <c r="V309" s="77" t="str">
        <f t="shared" si="17"/>
        <v>MARTINEZ DN 1</v>
      </c>
      <c r="W309" s="77" t="s">
        <v>2706</v>
      </c>
    </row>
    <row r="310" spans="2:23" x14ac:dyDescent="0.25">
      <c r="B310" s="77" t="s">
        <v>95</v>
      </c>
      <c r="C310" s="77" t="s">
        <v>45</v>
      </c>
      <c r="D310" s="77" t="s">
        <v>166</v>
      </c>
      <c r="E310" s="77" t="s">
        <v>19</v>
      </c>
      <c r="F310" s="245" t="str">
        <f t="shared" si="18"/>
        <v>DVR 72</v>
      </c>
      <c r="G310" s="77" t="s">
        <v>491</v>
      </c>
      <c r="H310" s="77"/>
      <c r="I310" s="77" t="str">
        <f t="shared" si="16"/>
        <v>L08_DPVE_068E_RAISE</v>
      </c>
      <c r="J310" s="77" t="s">
        <v>181</v>
      </c>
      <c r="K310" s="169">
        <f>IFERROR(MATCH(J310,'Final List'!$B$4:$B$252,0),0)</f>
        <v>0</v>
      </c>
      <c r="L310" s="169">
        <f>IFERROR(MATCH(J310,'Final List'!$D$4:$D$252,0),0)</f>
        <v>0</v>
      </c>
      <c r="M310" s="169">
        <f>IFERROR(MATCH(J310,'Final List'!$F$4:$F$251,0),0)</f>
        <v>0</v>
      </c>
      <c r="N310" s="169">
        <f>IFERROR(MATCH(J310,'Final List'!$H$4:$H$252,0),0)</f>
        <v>0</v>
      </c>
      <c r="O310" s="169">
        <f>IFERROR(MATCH(J310,'Final List'!$J$4:$J$252,0),0)</f>
        <v>0</v>
      </c>
      <c r="P310" s="169">
        <f>IFERROR(MATCH(J310,'Final List'!$L$4:$L$252,0),0)</f>
        <v>0</v>
      </c>
      <c r="Q310" s="169">
        <f>IFERROR(MATCH(J310,'Final List'!$N$4:$N$252,0),0)</f>
        <v>0</v>
      </c>
      <c r="R310" s="169">
        <f>IFERROR(MATCH(J310,'Final List'!$P$4:$P$252,0),0)</f>
        <v>0</v>
      </c>
      <c r="S310" s="169">
        <f t="shared" si="19"/>
        <v>0</v>
      </c>
      <c r="T310" s="77" t="s">
        <v>2715</v>
      </c>
      <c r="U310" s="77"/>
      <c r="V310" s="77" t="str">
        <f t="shared" si="17"/>
        <v>REVITA 2</v>
      </c>
      <c r="W310" s="77" t="s">
        <v>2715</v>
      </c>
    </row>
    <row r="311" spans="2:23" x14ac:dyDescent="0.25">
      <c r="B311" s="77" t="s">
        <v>93</v>
      </c>
      <c r="C311" s="77" t="s">
        <v>42</v>
      </c>
      <c r="D311" s="77" t="s">
        <v>6036</v>
      </c>
      <c r="E311" s="77" t="s">
        <v>61</v>
      </c>
      <c r="F311" s="245" t="str">
        <f t="shared" si="18"/>
        <v>Dhoz 71</v>
      </c>
      <c r="G311" s="77" t="s">
        <v>354</v>
      </c>
      <c r="H311" s="77"/>
      <c r="I311" s="77" t="str">
        <f t="shared" si="16"/>
        <v>L06_JV_017E_DW</v>
      </c>
      <c r="J311" s="77" t="s">
        <v>6037</v>
      </c>
      <c r="K311" s="169">
        <f>IFERROR(MATCH(J311,'Final List'!$B$4:$B$252,0),0)</f>
        <v>0</v>
      </c>
      <c r="L311" s="169">
        <f>IFERROR(MATCH(J311,'Final List'!$D$4:$D$252,0),0)</f>
        <v>0</v>
      </c>
      <c r="M311" s="169">
        <f>IFERROR(MATCH(J311,'Final List'!$F$4:$F$251,0),0)</f>
        <v>0</v>
      </c>
      <c r="N311" s="169">
        <f>IFERROR(MATCH(J311,'Final List'!$H$4:$H$252,0),0)</f>
        <v>0</v>
      </c>
      <c r="O311" s="169">
        <f>IFERROR(MATCH(J311,'Final List'!$J$4:$J$252,0),0)</f>
        <v>0</v>
      </c>
      <c r="P311" s="169">
        <f>IFERROR(MATCH(J311,'Final List'!$L$4:$L$252,0),0)</f>
        <v>0</v>
      </c>
      <c r="Q311" s="169">
        <f>IFERROR(MATCH(J311,'Final List'!$N$4:$N$252,0),0)</f>
        <v>0</v>
      </c>
      <c r="R311" s="169">
        <f>IFERROR(MATCH(J311,'Final List'!$P$4:$P$252,0),0)</f>
        <v>0</v>
      </c>
      <c r="S311" s="169">
        <f t="shared" si="19"/>
        <v>0</v>
      </c>
      <c r="T311" s="77"/>
      <c r="U311" s="77"/>
      <c r="V311" s="77" t="str">
        <f t="shared" si="17"/>
        <v>BAÑEZ 3</v>
      </c>
      <c r="W311" s="77" t="s">
        <v>8895</v>
      </c>
    </row>
    <row r="312" spans="2:23" x14ac:dyDescent="0.25">
      <c r="B312" s="77" t="s">
        <v>93</v>
      </c>
      <c r="C312" s="77" t="s">
        <v>56</v>
      </c>
      <c r="D312" s="77" t="s">
        <v>5615</v>
      </c>
      <c r="E312" s="77" t="s">
        <v>6154</v>
      </c>
      <c r="F312" s="245" t="str">
        <f t="shared" si="18"/>
        <v>Dhoz 71</v>
      </c>
      <c r="G312" s="77" t="s">
        <v>3252</v>
      </c>
      <c r="H312" s="77"/>
      <c r="I312" s="77" t="str">
        <f t="shared" si="16"/>
        <v>L06_GHVFW_042W_DW_ISL</v>
      </c>
      <c r="J312" s="77" t="str">
        <f>CONCATENATE(B312,"_",C312,"_",D312,"_",E312,)</f>
        <v>L06_GHVFW_042W_DW_ISL</v>
      </c>
      <c r="K312" s="169">
        <f>IFERROR(MATCH(J312,'Final List'!$B$4:$B$252,0),0)</f>
        <v>0</v>
      </c>
      <c r="L312" s="169">
        <f>IFERROR(MATCH(J312,'Final List'!$D$4:$D$252,0),0)</f>
        <v>0</v>
      </c>
      <c r="M312" s="169">
        <f>IFERROR(MATCH(J312,'Final List'!$F$4:$F$251,0),0)</f>
        <v>0</v>
      </c>
      <c r="N312" s="169">
        <f>IFERROR(MATCH(J312,'Final List'!$H$4:$H$252,0),0)</f>
        <v>0</v>
      </c>
      <c r="O312" s="169">
        <f>IFERROR(MATCH(J312,'Final List'!$J$4:$J$252,0),0)</f>
        <v>0</v>
      </c>
      <c r="P312" s="169">
        <f>IFERROR(MATCH(J312,'Final List'!$L$4:$L$252,0),0)</f>
        <v>0</v>
      </c>
      <c r="Q312" s="169">
        <f>IFERROR(MATCH(J312,'Final List'!$N$4:$N$252,0),0)</f>
        <v>0</v>
      </c>
      <c r="R312" s="169">
        <f>IFERROR(MATCH(J312,'Final List'!$P$4:$P$252,0),0)</f>
        <v>0</v>
      </c>
      <c r="S312" s="169">
        <f t="shared" si="19"/>
        <v>0</v>
      </c>
      <c r="T312" s="77" t="s">
        <v>2708</v>
      </c>
      <c r="U312" s="77"/>
      <c r="V312" s="77" t="str">
        <f t="shared" si="17"/>
        <v>SHEPHERD AA1</v>
      </c>
      <c r="W312" s="150" t="s">
        <v>2708</v>
      </c>
    </row>
    <row r="313" spans="2:23" x14ac:dyDescent="0.25">
      <c r="B313" s="77" t="s">
        <v>95</v>
      </c>
      <c r="C313" s="77" t="s">
        <v>59</v>
      </c>
      <c r="D313" s="77" t="s">
        <v>147</v>
      </c>
      <c r="E313" s="77" t="s">
        <v>62</v>
      </c>
      <c r="F313" s="245" t="str">
        <f t="shared" si="18"/>
        <v>RobS 79</v>
      </c>
      <c r="G313" s="77" t="s">
        <v>475</v>
      </c>
      <c r="H313" s="77"/>
      <c r="I313" s="77" t="str">
        <f t="shared" si="16"/>
        <v>L08_GHVHW_024E_ROBBING</v>
      </c>
      <c r="J313" s="77" t="s">
        <v>6050</v>
      </c>
      <c r="K313" s="169">
        <f>IFERROR(MATCH(J313,'Final List'!$B$4:$B$252,0),0)</f>
        <v>0</v>
      </c>
      <c r="L313" s="169">
        <f>IFERROR(MATCH(J313,'Final List'!$D$4:$D$252,0),0)</f>
        <v>0</v>
      </c>
      <c r="M313" s="169">
        <f>IFERROR(MATCH(J313,'Final List'!$F$4:$F$251,0),0)</f>
        <v>0</v>
      </c>
      <c r="N313" s="169">
        <f>IFERROR(MATCH(J313,'Final List'!$H$4:$H$252,0),0)</f>
        <v>0</v>
      </c>
      <c r="O313" s="169">
        <f>IFERROR(MATCH(J313,'Final List'!$J$4:$J$252,0),0)</f>
        <v>0</v>
      </c>
      <c r="P313" s="169">
        <f>IFERROR(MATCH(J313,'Final List'!$L$4:$L$252,0),0)</f>
        <v>0</v>
      </c>
      <c r="Q313" s="169">
        <f>IFERROR(MATCH(J313,'Final List'!$N$4:$N$252,0),0)</f>
        <v>0</v>
      </c>
      <c r="R313" s="169">
        <f>IFERROR(MATCH(J313,'Final List'!$P$4:$P$252,0),0)</f>
        <v>0</v>
      </c>
      <c r="S313" s="169">
        <f t="shared" si="19"/>
        <v>0</v>
      </c>
      <c r="T313" s="77" t="s">
        <v>68</v>
      </c>
      <c r="U313" s="77"/>
      <c r="V313" s="77" t="str">
        <f t="shared" si="17"/>
        <v>TORMIS 2</v>
      </c>
      <c r="W313" s="77" t="s">
        <v>2707</v>
      </c>
    </row>
    <row r="314" spans="2:23" x14ac:dyDescent="0.25">
      <c r="B314" s="77" t="s">
        <v>93</v>
      </c>
      <c r="C314" s="77" t="s">
        <v>57</v>
      </c>
      <c r="D314" s="77" t="s">
        <v>6036</v>
      </c>
      <c r="E314" s="77" t="s">
        <v>61</v>
      </c>
      <c r="F314" s="245" t="str">
        <f t="shared" si="18"/>
        <v>Dhoz 71</v>
      </c>
      <c r="G314" s="77" t="s">
        <v>354</v>
      </c>
      <c r="H314" s="77"/>
      <c r="I314" s="77" t="str">
        <f t="shared" si="16"/>
        <v>L06_JVSPLIT_017E_DW</v>
      </c>
      <c r="J314" s="77" t="s">
        <v>6035</v>
      </c>
      <c r="K314" s="169">
        <f>IFERROR(MATCH(J314,'Final List'!$B$4:$B$252,0),0)</f>
        <v>0</v>
      </c>
      <c r="L314" s="169">
        <f>IFERROR(MATCH(J314,'Final List'!$D$4:$D$252,0),0)</f>
        <v>0</v>
      </c>
      <c r="M314" s="169">
        <f>IFERROR(MATCH(J314,'Final List'!$F$4:$F$251,0),0)</f>
        <v>0</v>
      </c>
      <c r="N314" s="169">
        <f>IFERROR(MATCH(J314,'Final List'!$H$4:$H$252,0),0)</f>
        <v>0</v>
      </c>
      <c r="O314" s="169">
        <f>IFERROR(MATCH(J314,'Final List'!$J$4:$J$252,0),0)</f>
        <v>0</v>
      </c>
      <c r="P314" s="169">
        <f>IFERROR(MATCH(J314,'Final List'!$L$4:$L$252,0),0)</f>
        <v>0</v>
      </c>
      <c r="Q314" s="169">
        <f>IFERROR(MATCH(J314,'Final List'!$N$4:$N$252,0),0)</f>
        <v>0</v>
      </c>
      <c r="R314" s="169">
        <f>IFERROR(MATCH(J314,'Final List'!$P$4:$P$252,0),0)</f>
        <v>0</v>
      </c>
      <c r="S314" s="169">
        <f t="shared" si="19"/>
        <v>0</v>
      </c>
      <c r="T314" s="77"/>
      <c r="U314" s="77"/>
      <c r="V314" s="77" t="str">
        <f t="shared" si="17"/>
        <v>BAÑEZ 3</v>
      </c>
      <c r="W314" s="77" t="s">
        <v>8895</v>
      </c>
    </row>
    <row r="315" spans="2:23" x14ac:dyDescent="0.25">
      <c r="B315" s="77" t="s">
        <v>95</v>
      </c>
      <c r="C315" s="77" t="s">
        <v>38</v>
      </c>
      <c r="D315" s="77" t="s">
        <v>172</v>
      </c>
      <c r="E315" s="77" t="s">
        <v>62</v>
      </c>
      <c r="F315" s="245" t="str">
        <f t="shared" si="18"/>
        <v>RobS 79</v>
      </c>
      <c r="G315" s="77" t="s">
        <v>5718</v>
      </c>
      <c r="H315" s="77"/>
      <c r="I315" s="77" t="str">
        <f t="shared" si="16"/>
        <v>L08_GHV_045E_ROBBING</v>
      </c>
      <c r="J315" s="77" t="s">
        <v>6051</v>
      </c>
      <c r="K315" s="169">
        <f>IFERROR(MATCH(J315,'Final List'!$B$4:$B$252,0),0)</f>
        <v>0</v>
      </c>
      <c r="L315" s="169">
        <f>IFERROR(MATCH(J315,'Final List'!$D$4:$D$252,0),0)</f>
        <v>0</v>
      </c>
      <c r="M315" s="169">
        <f>IFERROR(MATCH(J315,'Final List'!$F$4:$F$251,0),0)</f>
        <v>0</v>
      </c>
      <c r="N315" s="169">
        <f>IFERROR(MATCH(J315,'Final List'!$H$4:$H$252,0),0)</f>
        <v>0</v>
      </c>
      <c r="O315" s="169">
        <f>IFERROR(MATCH(J315,'Final List'!$J$4:$J$252,0),0)</f>
        <v>0</v>
      </c>
      <c r="P315" s="169">
        <f>IFERROR(MATCH(J315,'Final List'!$L$4:$L$252,0),0)</f>
        <v>0</v>
      </c>
      <c r="Q315" s="169">
        <f>IFERROR(MATCH(J315,'Final List'!$N$4:$N$252,0),0)</f>
        <v>0</v>
      </c>
      <c r="R315" s="169">
        <f>IFERROR(MATCH(J315,'Final List'!$P$4:$P$252,0),0)</f>
        <v>0</v>
      </c>
      <c r="S315" s="169">
        <f t="shared" si="19"/>
        <v>0</v>
      </c>
      <c r="T315" s="77" t="s">
        <v>68</v>
      </c>
      <c r="U315" s="77"/>
      <c r="V315" s="77" t="str">
        <f t="shared" si="17"/>
        <v>FERNANDEZ 2</v>
      </c>
      <c r="W315" s="77" t="s">
        <v>2707</v>
      </c>
    </row>
    <row r="316" spans="2:23" x14ac:dyDescent="0.25">
      <c r="B316" s="77" t="s">
        <v>95</v>
      </c>
      <c r="C316" s="77" t="s">
        <v>39</v>
      </c>
      <c r="D316" s="77" t="s">
        <v>177</v>
      </c>
      <c r="E316" s="77" t="s">
        <v>62</v>
      </c>
      <c r="F316" s="245" t="str">
        <f t="shared" si="18"/>
        <v>RobS 79</v>
      </c>
      <c r="G316" s="77" t="s">
        <v>380</v>
      </c>
      <c r="H316" s="77"/>
      <c r="I316" s="77" t="str">
        <f t="shared" si="16"/>
        <v>L08_JVHW_054E_ROBBING</v>
      </c>
      <c r="J316" s="77" t="s">
        <v>6046</v>
      </c>
      <c r="K316" s="169">
        <f>IFERROR(MATCH(J316,'Final List'!$B$4:$B$252,0),0)</f>
        <v>0</v>
      </c>
      <c r="L316" s="169">
        <f>IFERROR(MATCH(J316,'Final List'!$D$4:$D$252,0),0)</f>
        <v>0</v>
      </c>
      <c r="M316" s="169">
        <f>IFERROR(MATCH(J316,'Final List'!$F$4:$F$251,0),0)</f>
        <v>0</v>
      </c>
      <c r="N316" s="169">
        <f>IFERROR(MATCH(J316,'Final List'!$H$4:$H$252,0),0)</f>
        <v>0</v>
      </c>
      <c r="O316" s="169">
        <f>IFERROR(MATCH(J316,'Final List'!$J$4:$J$252,0),0)</f>
        <v>0</v>
      </c>
      <c r="P316" s="169">
        <f>IFERROR(MATCH(J316,'Final List'!$L$4:$L$252,0),0)</f>
        <v>0</v>
      </c>
      <c r="Q316" s="169">
        <f>IFERROR(MATCH(J316,'Final List'!$N$4:$N$252,0),0)</f>
        <v>0</v>
      </c>
      <c r="R316" s="169">
        <f>IFERROR(MATCH(J316,'Final List'!$P$4:$P$252,0),0)</f>
        <v>0</v>
      </c>
      <c r="S316" s="169">
        <f t="shared" si="19"/>
        <v>0</v>
      </c>
      <c r="T316" s="77" t="s">
        <v>68</v>
      </c>
      <c r="U316" s="77"/>
      <c r="V316" s="77" t="str">
        <f t="shared" si="17"/>
        <v>AGLOLO 1</v>
      </c>
      <c r="W316" s="77" t="s">
        <v>2707</v>
      </c>
    </row>
    <row r="317" spans="2:23" x14ac:dyDescent="0.25">
      <c r="B317" s="77" t="s">
        <v>96</v>
      </c>
      <c r="C317" s="77" t="s">
        <v>38</v>
      </c>
      <c r="D317" s="77" t="s">
        <v>5781</v>
      </c>
      <c r="E317" s="77" t="s">
        <v>61</v>
      </c>
      <c r="F317" s="245" t="str">
        <f t="shared" si="18"/>
        <v>Dhoz 71</v>
      </c>
      <c r="G317" s="77" t="s">
        <v>5777</v>
      </c>
      <c r="H317" s="77"/>
      <c r="I317" s="77" t="str">
        <f t="shared" si="16"/>
        <v>L09_GHV_051E_DW</v>
      </c>
      <c r="J317" s="77" t="s">
        <v>6047</v>
      </c>
      <c r="K317" s="169">
        <f>IFERROR(MATCH(J317,'Final List'!$B$4:$B$252,0),0)</f>
        <v>0</v>
      </c>
      <c r="L317" s="169">
        <f>IFERROR(MATCH(J317,'Final List'!$D$4:$D$252,0),0)</f>
        <v>0</v>
      </c>
      <c r="M317" s="169">
        <f>IFERROR(MATCH(J317,'Final List'!$F$4:$F$251,0),0)</f>
        <v>0</v>
      </c>
      <c r="N317" s="169">
        <f>IFERROR(MATCH(J317,'Final List'!$H$4:$H$252,0),0)</f>
        <v>0</v>
      </c>
      <c r="O317" s="169">
        <f>IFERROR(MATCH(J317,'Final List'!$J$4:$J$252,0),0)</f>
        <v>0</v>
      </c>
      <c r="P317" s="169">
        <f>IFERROR(MATCH(J317,'Final List'!$L$4:$L$252,0),0)</f>
        <v>0</v>
      </c>
      <c r="Q317" s="169">
        <f>IFERROR(MATCH(J317,'Final List'!$N$4:$N$252,0),0)</f>
        <v>0</v>
      </c>
      <c r="R317" s="169">
        <f>IFERROR(MATCH(J317,'Final List'!$P$4:$P$252,0),0)</f>
        <v>0</v>
      </c>
      <c r="S317" s="169">
        <f t="shared" si="19"/>
        <v>0</v>
      </c>
      <c r="T317" s="77"/>
      <c r="U317" s="77"/>
      <c r="V317" s="77" t="str">
        <f t="shared" si="17"/>
        <v>REBOTE, JOSELITO 1</v>
      </c>
      <c r="W317" s="77" t="s">
        <v>8896</v>
      </c>
    </row>
    <row r="318" spans="2:23" x14ac:dyDescent="0.25">
      <c r="B318" s="77" t="s">
        <v>96</v>
      </c>
      <c r="C318" s="77" t="s">
        <v>59</v>
      </c>
      <c r="D318" s="77" t="s">
        <v>130</v>
      </c>
      <c r="E318" s="77" t="s">
        <v>19</v>
      </c>
      <c r="F318" s="245" t="str">
        <f t="shared" si="18"/>
        <v>DVR 72</v>
      </c>
      <c r="G318" s="77" t="s">
        <v>362</v>
      </c>
      <c r="H318" s="77"/>
      <c r="I318" s="77" t="str">
        <f t="shared" si="16"/>
        <v>L09_GHVHW_036E_RAISE</v>
      </c>
      <c r="J318" s="77" t="s">
        <v>6048</v>
      </c>
      <c r="K318" s="169">
        <f>IFERROR(MATCH(J318,'Final List'!$B$4:$B$252,0),0)</f>
        <v>0</v>
      </c>
      <c r="L318" s="169">
        <f>IFERROR(MATCH(J318,'Final List'!$D$4:$D$252,0),0)</f>
        <v>0</v>
      </c>
      <c r="M318" s="169">
        <f>IFERROR(MATCH(J318,'Final List'!$F$4:$F$251,0),0)</f>
        <v>0</v>
      </c>
      <c r="N318" s="169">
        <f>IFERROR(MATCH(J318,'Final List'!$H$4:$H$252,0),0)</f>
        <v>0</v>
      </c>
      <c r="O318" s="169">
        <f>IFERROR(MATCH(J318,'Final List'!$J$4:$J$252,0),0)</f>
        <v>0</v>
      </c>
      <c r="P318" s="169">
        <f>IFERROR(MATCH(J318,'Final List'!$L$4:$L$252,0),0)</f>
        <v>0</v>
      </c>
      <c r="Q318" s="169">
        <f>IFERROR(MATCH(J318,'Final List'!$N$4:$N$252,0),0)</f>
        <v>0</v>
      </c>
      <c r="R318" s="169">
        <f>IFERROR(MATCH(J318,'Final List'!$P$4:$P$252,0),0)</f>
        <v>0</v>
      </c>
      <c r="S318" s="169">
        <f t="shared" si="19"/>
        <v>0</v>
      </c>
      <c r="T318" s="77"/>
      <c r="U318" s="77"/>
      <c r="V318" s="77" t="str">
        <f t="shared" si="17"/>
        <v>BABOR 1</v>
      </c>
      <c r="W318" s="77" t="s">
        <v>2715</v>
      </c>
    </row>
    <row r="319" spans="2:23" x14ac:dyDescent="0.25">
      <c r="B319" s="77" t="s">
        <v>258</v>
      </c>
      <c r="C319" s="77" t="s">
        <v>45</v>
      </c>
      <c r="D319" s="77" t="s">
        <v>5741</v>
      </c>
      <c r="E319" s="77" t="s">
        <v>61</v>
      </c>
      <c r="F319" s="245" t="str">
        <f t="shared" si="18"/>
        <v>Dhoz 71</v>
      </c>
      <c r="G319" s="77" t="s">
        <v>372</v>
      </c>
      <c r="H319" s="77"/>
      <c r="I319" s="77" t="str">
        <f t="shared" si="16"/>
        <v>L10_DPVE_035E_DW</v>
      </c>
      <c r="J319" s="77" t="s">
        <v>4248</v>
      </c>
      <c r="K319" s="169">
        <f>IFERROR(MATCH(J319,'Final List'!$B$4:$B$252,0),0)</f>
        <v>0</v>
      </c>
      <c r="L319" s="169">
        <f>IFERROR(MATCH(J319,'Final List'!$D$4:$D$252,0),0)</f>
        <v>0</v>
      </c>
      <c r="M319" s="169">
        <f>IFERROR(MATCH(J319,'Final List'!$F$4:$F$251,0),0)</f>
        <v>0</v>
      </c>
      <c r="N319" s="169">
        <f>IFERROR(MATCH(J319,'Final List'!$H$4:$H$252,0),0)</f>
        <v>0</v>
      </c>
      <c r="O319" s="169">
        <f>IFERROR(MATCH(J319,'Final List'!$J$4:$J$252,0),0)</f>
        <v>0</v>
      </c>
      <c r="P319" s="169">
        <f>IFERROR(MATCH(J319,'Final List'!$L$4:$L$252,0),0)</f>
        <v>0</v>
      </c>
      <c r="Q319" s="169">
        <f>IFERROR(MATCH(J319,'Final List'!$N$4:$N$252,0),0)</f>
        <v>0</v>
      </c>
      <c r="R319" s="169">
        <f>IFERROR(MATCH(J319,'Final List'!$P$4:$P$252,0),0)</f>
        <v>0</v>
      </c>
      <c r="S319" s="169">
        <f t="shared" si="19"/>
        <v>0</v>
      </c>
      <c r="T319" s="77"/>
      <c r="U319" s="77"/>
      <c r="V319" s="77" t="str">
        <f t="shared" si="17"/>
        <v>TAÑEZA 4</v>
      </c>
      <c r="W319" s="77" t="s">
        <v>8896</v>
      </c>
    </row>
    <row r="320" spans="2:23" x14ac:dyDescent="0.25">
      <c r="B320" s="77" t="s">
        <v>95</v>
      </c>
      <c r="C320" s="77" t="s">
        <v>38</v>
      </c>
      <c r="D320" s="77" t="s">
        <v>146</v>
      </c>
      <c r="E320" s="77" t="s">
        <v>6143</v>
      </c>
      <c r="F320" s="245" t="str">
        <f t="shared" si="18"/>
        <v>Dhoz 71</v>
      </c>
      <c r="G320" s="77" t="s">
        <v>467</v>
      </c>
      <c r="H320" s="77"/>
      <c r="I320" s="77" t="str">
        <f t="shared" si="16"/>
        <v>L08_GHV_030E_DE_ISL</v>
      </c>
      <c r="J320" s="77" t="s">
        <v>7412</v>
      </c>
      <c r="K320" s="169">
        <f>IFERROR(MATCH(J320,'Final List'!$B$4:$B$252,0),0)</f>
        <v>0</v>
      </c>
      <c r="L320" s="169">
        <f>IFERROR(MATCH(J320,'Final List'!$D$4:$D$252,0),0)</f>
        <v>0</v>
      </c>
      <c r="M320" s="169">
        <f>IFERROR(MATCH(J320,'Final List'!$F$4:$F$251,0),0)</f>
        <v>0</v>
      </c>
      <c r="N320" s="169">
        <f>IFERROR(MATCH(J320,'Final List'!$H$4:$H$252,0),0)</f>
        <v>0</v>
      </c>
      <c r="O320" s="169">
        <f>IFERROR(MATCH(J320,'Final List'!$J$4:$J$252,0),0)</f>
        <v>0</v>
      </c>
      <c r="P320" s="169">
        <f>IFERROR(MATCH(J320,'Final List'!$L$4:$L$252,0),0)</f>
        <v>0</v>
      </c>
      <c r="Q320" s="169">
        <f>IFERROR(MATCH(J320,'Final List'!$N$4:$N$252,0),0)</f>
        <v>0</v>
      </c>
      <c r="R320" s="169">
        <f>IFERROR(MATCH(J320,'Final List'!$P$4:$P$252,0),0)</f>
        <v>0</v>
      </c>
      <c r="S320" s="169">
        <f t="shared" si="19"/>
        <v>0</v>
      </c>
      <c r="T320" s="77"/>
      <c r="U320" s="77"/>
      <c r="V320" s="77" t="str">
        <f t="shared" si="17"/>
        <v>AGLOLO 2</v>
      </c>
      <c r="W320" s="77" t="s">
        <v>2708</v>
      </c>
    </row>
    <row r="321" spans="2:23" x14ac:dyDescent="0.25">
      <c r="B321" s="77" t="s">
        <v>92</v>
      </c>
      <c r="C321" s="77" t="s">
        <v>41</v>
      </c>
      <c r="D321" s="77" t="s">
        <v>5886</v>
      </c>
      <c r="E321" s="77" t="s">
        <v>62</v>
      </c>
      <c r="F321" s="245" t="str">
        <f t="shared" si="18"/>
        <v>RobS 79</v>
      </c>
      <c r="G321" s="77" t="s">
        <v>401</v>
      </c>
      <c r="H321" s="77"/>
      <c r="I321" s="77" t="str">
        <f t="shared" si="16"/>
        <v>L05_CTV_043W_ROBBING</v>
      </c>
      <c r="J321" s="77" t="s">
        <v>4434</v>
      </c>
      <c r="K321" s="169">
        <f>IFERROR(MATCH(J321,'Final List'!$B$4:$B$252,0),0)</f>
        <v>0</v>
      </c>
      <c r="L321" s="169">
        <f>IFERROR(MATCH(J321,'Final List'!$D$4:$D$252,0),0)</f>
        <v>0</v>
      </c>
      <c r="M321" s="169">
        <f>IFERROR(MATCH(J321,'Final List'!$F$4:$F$251,0),0)</f>
        <v>0</v>
      </c>
      <c r="N321" s="169">
        <f>IFERROR(MATCH(J321,'Final List'!$H$4:$H$252,0),0)</f>
        <v>0</v>
      </c>
      <c r="O321" s="169">
        <f>IFERROR(MATCH(J321,'Final List'!$J$4:$J$252,0),0)</f>
        <v>0</v>
      </c>
      <c r="P321" s="169">
        <f>IFERROR(MATCH(J321,'Final List'!$L$4:$L$252,0),0)</f>
        <v>0</v>
      </c>
      <c r="Q321" s="169">
        <f>IFERROR(MATCH(J321,'Final List'!$N$4:$N$252,0),0)</f>
        <v>0</v>
      </c>
      <c r="R321" s="169">
        <f>IFERROR(MATCH(J321,'Final List'!$P$4:$P$252,0),0)</f>
        <v>0</v>
      </c>
      <c r="S321" s="169">
        <f t="shared" si="19"/>
        <v>0</v>
      </c>
      <c r="T321" s="77" t="s">
        <v>68</v>
      </c>
      <c r="U321" s="77"/>
      <c r="V321" s="77" t="str">
        <f t="shared" si="17"/>
        <v>MAPAYO 2</v>
      </c>
      <c r="W321" s="77" t="s">
        <v>2707</v>
      </c>
    </row>
    <row r="322" spans="2:23" x14ac:dyDescent="0.25">
      <c r="B322" s="77" t="s">
        <v>1166</v>
      </c>
      <c r="C322" s="77" t="s">
        <v>55</v>
      </c>
      <c r="D322" s="77" t="s">
        <v>165</v>
      </c>
      <c r="E322" s="77" t="s">
        <v>60</v>
      </c>
      <c r="F322" s="245" t="str">
        <f t="shared" si="18"/>
        <v>Dhoz 71</v>
      </c>
      <c r="G322" s="77" t="s">
        <v>481</v>
      </c>
      <c r="H322" s="77"/>
      <c r="I322" s="77" t="str">
        <f t="shared" ref="I322:I385" si="20">CONCATENATE(B322,"_",C322,"_",D322,"_",E322)</f>
        <v>L11_JVFW_056E_DE</v>
      </c>
      <c r="J322" s="77" t="s">
        <v>6053</v>
      </c>
      <c r="K322" s="169">
        <f>IFERROR(MATCH(J322,'Final List'!$B$4:$B$252,0),0)</f>
        <v>0</v>
      </c>
      <c r="L322" s="169">
        <f>IFERROR(MATCH(J322,'Final List'!$D$4:$D$252,0),0)</f>
        <v>0</v>
      </c>
      <c r="M322" s="169">
        <f>IFERROR(MATCH(J322,'Final List'!$F$4:$F$251,0),0)</f>
        <v>0</v>
      </c>
      <c r="N322" s="169">
        <f>IFERROR(MATCH(J322,'Final List'!$H$4:$H$252,0),0)</f>
        <v>0</v>
      </c>
      <c r="O322" s="169">
        <f>IFERROR(MATCH(J322,'Final List'!$J$4:$J$252,0),0)</f>
        <v>0</v>
      </c>
      <c r="P322" s="169">
        <f>IFERROR(MATCH(J322,'Final List'!$L$4:$L$252,0),0)</f>
        <v>0</v>
      </c>
      <c r="Q322" s="169">
        <f>IFERROR(MATCH(J322,'Final List'!$N$4:$N$252,0),0)</f>
        <v>0</v>
      </c>
      <c r="R322" s="169">
        <f>IFERROR(MATCH(J322,'Final List'!$P$4:$P$252,0),0)</f>
        <v>0</v>
      </c>
      <c r="S322" s="169">
        <f t="shared" si="19"/>
        <v>0</v>
      </c>
      <c r="T322" s="77"/>
      <c r="U322" s="77"/>
      <c r="V322" s="77" t="str">
        <f t="shared" ref="V322:V385" si="21">IF(H322="",G322,H322)</f>
        <v>DUHIG 4</v>
      </c>
      <c r="W322" s="77" t="s">
        <v>8896</v>
      </c>
    </row>
    <row r="323" spans="2:23" x14ac:dyDescent="0.25">
      <c r="B323" s="77" t="s">
        <v>258</v>
      </c>
      <c r="C323" s="77" t="s">
        <v>45</v>
      </c>
      <c r="D323" s="77" t="s">
        <v>218</v>
      </c>
      <c r="E323" s="77" t="s">
        <v>36</v>
      </c>
      <c r="F323" s="245" t="str">
        <f t="shared" ref="F323:F386" si="22">IF(OR(E323="XCN",E323="DE",E323="DW",E323="DN",E323="XCS",E323="XCE",E323="XCW",E323="SUMP",E323="BYPASS",E323="CHAMBER",E323="DRAIN HOLE",E323="DRILLING CHAMBER",E323="DE_ISL",E323="DW_ISL",E323="REHAB"),"Dhoz 71",IF(OR(E323="RAISE",E323="RAISE_ISL"),"DVR 72",IF(E323="ALIMAK","DVA 73",IF(E323="WINZE","DVW 74",IF(E323="SHAFT","DVS 75",IF(AND(E323="WINZE STOPE",T323="S"),"RobC 80",IF(AND(E323="STOPE",T323="S"),"StpS 77",IF(AND(E323="WINZE STOPE",T323="L"),"RobC 80",IF(AND(E323="STOPE",T323="L"),"StpL 78",IF(AND(E323="WINZE STOPE PREP",T323="S"),"RobC 80",IF(AND(E323="STOPE PREP",T323="S"),"StpS 77",IF(AND(E323="WINZE STOPE PREP",T323="L"),"RobC 80",IF(AND(E323="STOPE PREP",T323="L"),"StpL 78",IF(AND(E323="ROBBING",T323="L"),"RobC 80",IF(AND(E323="ROBBING",T323="S"),"RobS 79",0)))))))))))))))</f>
        <v>StpL 78</v>
      </c>
      <c r="G323" t="s">
        <v>5703</v>
      </c>
      <c r="H323" s="77"/>
      <c r="I323" s="77" t="str">
        <f t="shared" si="20"/>
        <v>L10_DPVE_062E_STOPE</v>
      </c>
      <c r="J323" s="77" t="s">
        <v>6054</v>
      </c>
      <c r="K323" s="169">
        <f>IFERROR(MATCH(J323,'Final List'!$B$4:$B$252,0),0)</f>
        <v>0</v>
      </c>
      <c r="L323" s="169">
        <f>IFERROR(MATCH(J323,'Final List'!$D$4:$D$252,0),0)</f>
        <v>0</v>
      </c>
      <c r="M323" s="169">
        <f>IFERROR(MATCH(J323,'Final List'!$F$4:$F$251,0),0)</f>
        <v>0</v>
      </c>
      <c r="N323" s="169">
        <f>IFERROR(MATCH(J323,'Final List'!$H$4:$H$252,0),0)</f>
        <v>0</v>
      </c>
      <c r="O323" s="169">
        <f>IFERROR(MATCH(J323,'Final List'!$J$4:$J$252,0),0)</f>
        <v>0</v>
      </c>
      <c r="P323" s="169">
        <f>IFERROR(MATCH(J323,'Final List'!$L$4:$L$252,0),0)</f>
        <v>0</v>
      </c>
      <c r="Q323" s="169">
        <f>IFERROR(MATCH(J323,'Final List'!$N$4:$N$252,0),0)</f>
        <v>0</v>
      </c>
      <c r="R323" s="169">
        <f>IFERROR(MATCH(J323,'Final List'!$P$4:$P$252,0),0)</f>
        <v>0</v>
      </c>
      <c r="S323" s="169">
        <f t="shared" ref="S323:S386" si="23">SUM(K323:R323)</f>
        <v>0</v>
      </c>
      <c r="T323" s="77" t="s">
        <v>48</v>
      </c>
      <c r="U323" s="77"/>
      <c r="V323" s="77" t="str">
        <f t="shared" si="21"/>
        <v>OLIVEROS 2</v>
      </c>
      <c r="W323" s="77" t="s">
        <v>2713</v>
      </c>
    </row>
    <row r="324" spans="2:23" x14ac:dyDescent="0.25">
      <c r="B324" s="77" t="s">
        <v>96</v>
      </c>
      <c r="C324" s="77" t="s">
        <v>59</v>
      </c>
      <c r="D324" s="77" t="s">
        <v>166</v>
      </c>
      <c r="E324" s="77" t="s">
        <v>36</v>
      </c>
      <c r="F324" s="245" t="str">
        <f t="shared" si="22"/>
        <v>StpS 77</v>
      </c>
      <c r="G324" s="77" t="s">
        <v>677</v>
      </c>
      <c r="H324" s="77"/>
      <c r="I324" s="77" t="str">
        <f t="shared" si="20"/>
        <v>L09_GHVHW_068E_STOPE</v>
      </c>
      <c r="J324" s="77" t="s">
        <v>6061</v>
      </c>
      <c r="K324" s="169">
        <f>IFERROR(MATCH(J324,'Final List'!$B$4:$B$252,0),0)</f>
        <v>0</v>
      </c>
      <c r="L324" s="169">
        <f>IFERROR(MATCH(J324,'Final List'!$D$4:$D$252,0),0)</f>
        <v>0</v>
      </c>
      <c r="M324" s="169">
        <f>IFERROR(MATCH(J324,'Final List'!$F$4:$F$251,0),0)</f>
        <v>0</v>
      </c>
      <c r="N324" s="169">
        <f>IFERROR(MATCH(J324,'Final List'!$H$4:$H$252,0),0)</f>
        <v>0</v>
      </c>
      <c r="O324" s="169">
        <f>IFERROR(MATCH(J324,'Final List'!$J$4:$J$252,0),0)</f>
        <v>0</v>
      </c>
      <c r="P324" s="169">
        <f>IFERROR(MATCH(J324,'Final List'!$L$4:$L$252,0),0)</f>
        <v>0</v>
      </c>
      <c r="Q324" s="169">
        <f>IFERROR(MATCH(J324,'Final List'!$N$4:$N$252,0),0)</f>
        <v>0</v>
      </c>
      <c r="R324" s="169">
        <f>IFERROR(MATCH(J324,'Final List'!$P$4:$P$252,0),0)</f>
        <v>0</v>
      </c>
      <c r="S324" s="169">
        <f t="shared" si="23"/>
        <v>0</v>
      </c>
      <c r="T324" s="77" t="s">
        <v>68</v>
      </c>
      <c r="U324" s="77"/>
      <c r="V324" s="77" t="str">
        <f t="shared" si="21"/>
        <v>PANSIT 6</v>
      </c>
      <c r="W324" s="77" t="s">
        <v>2713</v>
      </c>
    </row>
    <row r="325" spans="2:23" x14ac:dyDescent="0.25">
      <c r="B325" s="147" t="s">
        <v>94</v>
      </c>
      <c r="C325" s="147" t="s">
        <v>38</v>
      </c>
      <c r="D325" s="147" t="s">
        <v>6068</v>
      </c>
      <c r="E325" s="147" t="s">
        <v>60</v>
      </c>
      <c r="F325" s="245" t="str">
        <f t="shared" si="22"/>
        <v>Dhoz 71</v>
      </c>
      <c r="G325" s="147" t="s">
        <v>585</v>
      </c>
      <c r="H325" s="147"/>
      <c r="I325" s="77" t="str">
        <f t="shared" si="20"/>
        <v>L07_GHV_035W_DE</v>
      </c>
      <c r="J325" s="147" t="s">
        <v>6070</v>
      </c>
      <c r="K325" s="169">
        <f>IFERROR(MATCH(J325,'Final List'!$B$4:$B$252,0),0)</f>
        <v>0</v>
      </c>
      <c r="L325" s="169">
        <f>IFERROR(MATCH(J325,'Final List'!$D$4:$D$252,0),0)</f>
        <v>0</v>
      </c>
      <c r="M325" s="169">
        <f>IFERROR(MATCH(J325,'Final List'!$F$4:$F$251,0),0)</f>
        <v>0</v>
      </c>
      <c r="N325" s="169">
        <f>IFERROR(MATCH(J325,'Final List'!$H$4:$H$252,0),0)</f>
        <v>0</v>
      </c>
      <c r="O325" s="169">
        <f>IFERROR(MATCH(J325,'Final List'!$J$4:$J$252,0),0)</f>
        <v>0</v>
      </c>
      <c r="P325" s="169">
        <f>IFERROR(MATCH(J325,'Final List'!$L$4:$L$252,0),0)</f>
        <v>0</v>
      </c>
      <c r="Q325" s="169">
        <f>IFERROR(MATCH(J325,'Final List'!$N$4:$N$252,0),0)</f>
        <v>0</v>
      </c>
      <c r="R325" s="169">
        <f>IFERROR(MATCH(J325,'Final List'!$P$4:$P$252,0),0)</f>
        <v>0</v>
      </c>
      <c r="S325" s="169">
        <f t="shared" si="23"/>
        <v>0</v>
      </c>
      <c r="T325" s="147"/>
      <c r="U325" s="147"/>
      <c r="V325" s="147" t="str">
        <f t="shared" si="21"/>
        <v>ESPADA 1</v>
      </c>
      <c r="W325" s="147" t="s">
        <v>8895</v>
      </c>
    </row>
    <row r="326" spans="2:23" x14ac:dyDescent="0.25">
      <c r="B326" s="166" t="s">
        <v>92</v>
      </c>
      <c r="C326" s="166" t="s">
        <v>45</v>
      </c>
      <c r="D326" s="166" t="s">
        <v>161</v>
      </c>
      <c r="E326" s="166" t="s">
        <v>20</v>
      </c>
      <c r="F326" s="245" t="str">
        <f t="shared" si="22"/>
        <v>DVW 74</v>
      </c>
      <c r="G326" s="77" t="s">
        <v>538</v>
      </c>
      <c r="H326" s="77"/>
      <c r="I326" s="77" t="str">
        <f t="shared" si="20"/>
        <v>L05_DPVE_044E_WINZE</v>
      </c>
      <c r="J326" s="77" t="s">
        <v>6064</v>
      </c>
      <c r="K326" s="169">
        <f>IFERROR(MATCH(J326,'Final List'!$B$4:$B$252,0),0)</f>
        <v>0</v>
      </c>
      <c r="L326" s="169">
        <f>IFERROR(MATCH(J326,'Final List'!$D$4:$D$252,0),0)</f>
        <v>0</v>
      </c>
      <c r="M326" s="169">
        <f>IFERROR(MATCH(J326,'Final List'!$F$4:$F$251,0),0)</f>
        <v>0</v>
      </c>
      <c r="N326" s="169">
        <f>IFERROR(MATCH(J326,'Final List'!$H$4:$H$252,0),0)</f>
        <v>0</v>
      </c>
      <c r="O326" s="169">
        <f>IFERROR(MATCH(J326,'Final List'!$J$4:$J$252,0),0)</f>
        <v>0</v>
      </c>
      <c r="P326" s="169">
        <f>IFERROR(MATCH(J326,'Final List'!$L$4:$L$252,0),0)</f>
        <v>0</v>
      </c>
      <c r="Q326" s="169">
        <f>IFERROR(MATCH(J326,'Final List'!$N$4:$N$252,0),0)</f>
        <v>0</v>
      </c>
      <c r="R326" s="169">
        <f>IFERROR(MATCH(J326,'Final List'!$P$4:$P$252,0),0)</f>
        <v>0</v>
      </c>
      <c r="S326" s="169">
        <f t="shared" si="23"/>
        <v>0</v>
      </c>
      <c r="T326" s="77"/>
      <c r="U326" s="77"/>
      <c r="V326" s="77" t="str">
        <f t="shared" si="21"/>
        <v>PANCIT, NOEL 4</v>
      </c>
      <c r="W326" s="77" t="s">
        <v>2706</v>
      </c>
    </row>
    <row r="327" spans="2:23" x14ac:dyDescent="0.25">
      <c r="B327" s="77" t="s">
        <v>92</v>
      </c>
      <c r="C327" s="77" t="s">
        <v>87</v>
      </c>
      <c r="D327" s="77" t="s">
        <v>121</v>
      </c>
      <c r="E327" s="77" t="s">
        <v>63</v>
      </c>
      <c r="F327" s="245" t="str">
        <f t="shared" si="22"/>
        <v>Dhoz 71</v>
      </c>
      <c r="G327" s="77" t="s">
        <v>5706</v>
      </c>
      <c r="H327" s="77"/>
      <c r="I327" s="77" t="str">
        <f t="shared" si="20"/>
        <v>L05_NONE_022E_XCS</v>
      </c>
      <c r="J327" s="77" t="s">
        <v>6062</v>
      </c>
      <c r="K327" s="169">
        <f>IFERROR(MATCH(J327,'Final List'!$B$4:$B$252,0),0)</f>
        <v>0</v>
      </c>
      <c r="L327" s="169">
        <f>IFERROR(MATCH(J327,'Final List'!$D$4:$D$252,0),0)</f>
        <v>0</v>
      </c>
      <c r="M327" s="169">
        <f>IFERROR(MATCH(J327,'Final List'!$F$4:$F$251,0),0)</f>
        <v>0</v>
      </c>
      <c r="N327" s="169">
        <f>IFERROR(MATCH(J327,'Final List'!$H$4:$H$252,0),0)</f>
        <v>0</v>
      </c>
      <c r="O327" s="169">
        <f>IFERROR(MATCH(J327,'Final List'!$J$4:$J$252,0),0)</f>
        <v>0</v>
      </c>
      <c r="P327" s="169">
        <f>IFERROR(MATCH(J327,'Final List'!$L$4:$L$252,0),0)</f>
        <v>0</v>
      </c>
      <c r="Q327" s="169">
        <f>IFERROR(MATCH(J327,'Final List'!$N$4:$N$252,0),0)</f>
        <v>0</v>
      </c>
      <c r="R327" s="169">
        <f>IFERROR(MATCH(J327,'Final List'!$P$4:$P$252,0),0)</f>
        <v>0</v>
      </c>
      <c r="S327" s="169">
        <f t="shared" si="23"/>
        <v>0</v>
      </c>
      <c r="T327" s="77"/>
      <c r="U327" s="77"/>
      <c r="V327" s="77" t="str">
        <f t="shared" si="21"/>
        <v>SHEPHERD AF 1</v>
      </c>
      <c r="W327" s="77" t="s">
        <v>8897</v>
      </c>
    </row>
    <row r="328" spans="2:23" x14ac:dyDescent="0.25">
      <c r="B328" s="77" t="s">
        <v>1166</v>
      </c>
      <c r="C328" s="77" t="s">
        <v>55</v>
      </c>
      <c r="D328" s="77" t="s">
        <v>5602</v>
      </c>
      <c r="E328" s="77" t="s">
        <v>61</v>
      </c>
      <c r="F328" s="245" t="str">
        <f t="shared" si="22"/>
        <v>Dhoz 71</v>
      </c>
      <c r="G328" s="77" t="s">
        <v>308</v>
      </c>
      <c r="H328" s="77"/>
      <c r="I328" s="77" t="str">
        <f t="shared" si="20"/>
        <v>L11_JVFW_053E_DW</v>
      </c>
      <c r="J328" s="77" t="s">
        <v>6089</v>
      </c>
      <c r="K328" s="169">
        <f>IFERROR(MATCH(J328,'Final List'!$B$4:$B$252,0),0)</f>
        <v>0</v>
      </c>
      <c r="L328" s="169">
        <f>IFERROR(MATCH(J328,'Final List'!$D$4:$D$252,0),0)</f>
        <v>0</v>
      </c>
      <c r="M328" s="169">
        <f>IFERROR(MATCH(J328,'Final List'!$F$4:$F$251,0),0)</f>
        <v>0</v>
      </c>
      <c r="N328" s="169">
        <f>IFERROR(MATCH(J328,'Final List'!$H$4:$H$252,0),0)</f>
        <v>0</v>
      </c>
      <c r="O328" s="169">
        <f>IFERROR(MATCH(J328,'Final List'!$J$4:$J$252,0),0)</f>
        <v>0</v>
      </c>
      <c r="P328" s="169">
        <f>IFERROR(MATCH(J328,'Final List'!$L$4:$L$252,0),0)</f>
        <v>0</v>
      </c>
      <c r="Q328" s="169">
        <f>IFERROR(MATCH(J328,'Final List'!$N$4:$N$252,0),0)</f>
        <v>0</v>
      </c>
      <c r="R328" s="169">
        <f>IFERROR(MATCH(J328,'Final List'!$P$4:$P$252,0),0)</f>
        <v>0</v>
      </c>
      <c r="S328" s="169">
        <f t="shared" si="23"/>
        <v>0</v>
      </c>
      <c r="T328" s="77"/>
      <c r="U328" s="77"/>
      <c r="V328" s="77" t="str">
        <f t="shared" si="21"/>
        <v>DUHIG 2</v>
      </c>
      <c r="W328" s="77" t="s">
        <v>8896</v>
      </c>
    </row>
    <row r="329" spans="2:23" x14ac:dyDescent="0.25">
      <c r="B329" s="77" t="s">
        <v>1166</v>
      </c>
      <c r="C329" s="77" t="s">
        <v>55</v>
      </c>
      <c r="D329" s="77" t="s">
        <v>177</v>
      </c>
      <c r="E329" s="77" t="s">
        <v>60</v>
      </c>
      <c r="F329" s="245" t="str">
        <f t="shared" si="22"/>
        <v>Dhoz 71</v>
      </c>
      <c r="G329" s="77" t="s">
        <v>308</v>
      </c>
      <c r="H329" s="77" t="s">
        <v>10758</v>
      </c>
      <c r="I329" s="77" t="str">
        <f t="shared" si="20"/>
        <v>L11_JVFW_054E_DE</v>
      </c>
      <c r="J329" s="77" t="s">
        <v>6090</v>
      </c>
      <c r="K329" s="169">
        <f>IFERROR(MATCH(J329,'Final List'!$B$4:$B$252,0),0)</f>
        <v>0</v>
      </c>
      <c r="L329" s="169">
        <f>IFERROR(MATCH(J329,'Final List'!$D$4:$D$252,0),0)</f>
        <v>0</v>
      </c>
      <c r="M329" s="169">
        <f>IFERROR(MATCH(J329,'Final List'!$F$4:$F$251,0),0)</f>
        <v>0</v>
      </c>
      <c r="N329" s="169">
        <f>IFERROR(MATCH(J329,'Final List'!$H$4:$H$252,0),0)</f>
        <v>0</v>
      </c>
      <c r="O329" s="169">
        <f>IFERROR(MATCH(J329,'Final List'!$J$4:$J$252,0),0)</f>
        <v>0</v>
      </c>
      <c r="P329" s="169">
        <f>IFERROR(MATCH(J329,'Final List'!$L$4:$L$252,0),0)</f>
        <v>0</v>
      </c>
      <c r="Q329" s="169">
        <f>IFERROR(MATCH(J329,'Final List'!$N$4:$N$252,0),0)</f>
        <v>0</v>
      </c>
      <c r="R329" s="169">
        <f>IFERROR(MATCH(J329,'Final List'!$P$4:$P$252,0),0)</f>
        <v>0</v>
      </c>
      <c r="S329" s="169">
        <f t="shared" si="23"/>
        <v>0</v>
      </c>
      <c r="T329" s="77"/>
      <c r="U329" s="77"/>
      <c r="V329" s="77" t="str">
        <f t="shared" si="21"/>
        <v>MARTINEZ, DN</v>
      </c>
      <c r="W329" s="77" t="s">
        <v>8896</v>
      </c>
    </row>
    <row r="330" spans="2:23" x14ac:dyDescent="0.25">
      <c r="B330" s="77" t="s">
        <v>95</v>
      </c>
      <c r="C330" s="77" t="s">
        <v>59</v>
      </c>
      <c r="D330" s="77" t="s">
        <v>171</v>
      </c>
      <c r="E330" s="77" t="s">
        <v>211</v>
      </c>
      <c r="F330" s="245" t="str">
        <f t="shared" si="22"/>
        <v>StpS 77</v>
      </c>
      <c r="G330" s="77" t="s">
        <v>5708</v>
      </c>
      <c r="H330" s="77"/>
      <c r="I330" s="77" t="str">
        <f t="shared" si="20"/>
        <v>L08_GHVHW_015W_STOPE PREP</v>
      </c>
      <c r="J330" s="77" t="s">
        <v>6077</v>
      </c>
      <c r="K330" s="169">
        <f>IFERROR(MATCH(J330,'Final List'!$B$4:$B$252,0),0)</f>
        <v>0</v>
      </c>
      <c r="L330" s="169">
        <f>IFERROR(MATCH(J330,'Final List'!$D$4:$D$252,0),0)</f>
        <v>0</v>
      </c>
      <c r="M330" s="169">
        <f>IFERROR(MATCH(J330,'Final List'!$F$4:$F$251,0),0)</f>
        <v>0</v>
      </c>
      <c r="N330" s="169">
        <f>IFERROR(MATCH(J330,'Final List'!$H$4:$H$252,0),0)</f>
        <v>0</v>
      </c>
      <c r="O330" s="169">
        <f>IFERROR(MATCH(J330,'Final List'!$J$4:$J$252,0),0)</f>
        <v>0</v>
      </c>
      <c r="P330" s="169">
        <f>IFERROR(MATCH(J330,'Final List'!$L$4:$L$252,0),0)</f>
        <v>0</v>
      </c>
      <c r="Q330" s="169">
        <f>IFERROR(MATCH(J330,'Final List'!$N$4:$N$252,0),0)</f>
        <v>0</v>
      </c>
      <c r="R330" s="169">
        <f>IFERROR(MATCH(J330,'Final List'!$P$4:$P$252,0),0)</f>
        <v>0</v>
      </c>
      <c r="S330" s="169">
        <f t="shared" si="23"/>
        <v>0</v>
      </c>
      <c r="T330" s="77" t="s">
        <v>68</v>
      </c>
      <c r="U330" s="77"/>
      <c r="V330" s="77" t="str">
        <f t="shared" si="21"/>
        <v>SHEPHERD AJ 1</v>
      </c>
      <c r="W330" s="77" t="s">
        <v>2712</v>
      </c>
    </row>
    <row r="331" spans="2:23" x14ac:dyDescent="0.25">
      <c r="B331" s="77" t="s">
        <v>258</v>
      </c>
      <c r="C331" s="77" t="s">
        <v>45</v>
      </c>
      <c r="D331" s="77" t="s">
        <v>5975</v>
      </c>
      <c r="E331" s="77" t="s">
        <v>19</v>
      </c>
      <c r="F331" s="245" t="str">
        <f t="shared" si="22"/>
        <v>DVR 72</v>
      </c>
      <c r="G331" s="77" t="s">
        <v>5776</v>
      </c>
      <c r="H331" s="77" t="s">
        <v>678</v>
      </c>
      <c r="I331" s="77" t="str">
        <f t="shared" si="20"/>
        <v>L10_DPVE_028E_RAISE</v>
      </c>
      <c r="J331" s="77" t="s">
        <v>6080</v>
      </c>
      <c r="K331" s="169">
        <f>IFERROR(MATCH(J331,'Final List'!$B$4:$B$252,0),0)</f>
        <v>0</v>
      </c>
      <c r="L331" s="169">
        <f>IFERROR(MATCH(J331,'Final List'!$D$4:$D$252,0),0)</f>
        <v>0</v>
      </c>
      <c r="M331" s="169">
        <f>IFERROR(MATCH(J331,'Final List'!$F$4:$F$251,0),0)</f>
        <v>0</v>
      </c>
      <c r="N331" s="169">
        <f>IFERROR(MATCH(J331,'Final List'!$H$4:$H$252,0),0)</f>
        <v>0</v>
      </c>
      <c r="O331" s="169">
        <f>IFERROR(MATCH(J331,'Final List'!$J$4:$J$252,0),0)</f>
        <v>0</v>
      </c>
      <c r="P331" s="169">
        <f>IFERROR(MATCH(J331,'Final List'!$L$4:$L$252,0),0)</f>
        <v>0</v>
      </c>
      <c r="Q331" s="169">
        <f>IFERROR(MATCH(J331,'Final List'!$N$4:$N$252,0),0)</f>
        <v>0</v>
      </c>
      <c r="R331" s="169">
        <f>IFERROR(MATCH(J331,'Final List'!$P$4:$P$252,0),0)</f>
        <v>0</v>
      </c>
      <c r="S331" s="169">
        <f t="shared" si="23"/>
        <v>0</v>
      </c>
      <c r="T331" s="77"/>
      <c r="U331" s="77"/>
      <c r="V331" s="77" t="str">
        <f t="shared" si="21"/>
        <v>TAÑEZA 8</v>
      </c>
      <c r="W331" s="116" t="s">
        <v>2715</v>
      </c>
    </row>
    <row r="332" spans="2:23" x14ac:dyDescent="0.25">
      <c r="B332" s="77" t="s">
        <v>96</v>
      </c>
      <c r="C332" s="77" t="s">
        <v>46</v>
      </c>
      <c r="D332" s="77" t="s">
        <v>164</v>
      </c>
      <c r="E332" s="77" t="s">
        <v>36</v>
      </c>
      <c r="F332" s="245" t="str">
        <f t="shared" si="22"/>
        <v>StpS 77</v>
      </c>
      <c r="G332" s="77" t="s">
        <v>336</v>
      </c>
      <c r="H332" s="77"/>
      <c r="I332" s="77" t="str">
        <f t="shared" si="20"/>
        <v>L09_DPVE2_064E_STOPE</v>
      </c>
      <c r="J332" s="77" t="s">
        <v>6087</v>
      </c>
      <c r="K332" s="169">
        <f>IFERROR(MATCH(J332,'Final List'!$B$4:$B$252,0),0)</f>
        <v>0</v>
      </c>
      <c r="L332" s="169">
        <f>IFERROR(MATCH(J332,'Final List'!$D$4:$D$252,0),0)</f>
        <v>0</v>
      </c>
      <c r="M332" s="169">
        <f>IFERROR(MATCH(J332,'Final List'!$F$4:$F$251,0),0)</f>
        <v>0</v>
      </c>
      <c r="N332" s="169">
        <f>IFERROR(MATCH(J332,'Final List'!$H$4:$H$252,0),0)</f>
        <v>0</v>
      </c>
      <c r="O332" s="169">
        <f>IFERROR(MATCH(J332,'Final List'!$J$4:$J$252,0),0)</f>
        <v>0</v>
      </c>
      <c r="P332" s="169">
        <f>IFERROR(MATCH(J332,'Final List'!$L$4:$L$252,0),0)</f>
        <v>0</v>
      </c>
      <c r="Q332" s="169">
        <f>IFERROR(MATCH(J332,'Final List'!$N$4:$N$252,0),0)</f>
        <v>0</v>
      </c>
      <c r="R332" s="169">
        <f>IFERROR(MATCH(J332,'Final List'!$P$4:$P$252,0),0)</f>
        <v>0</v>
      </c>
      <c r="S332" s="169">
        <f t="shared" si="23"/>
        <v>0</v>
      </c>
      <c r="T332" s="77" t="s">
        <v>68</v>
      </c>
      <c r="U332" s="77"/>
      <c r="V332" s="77" t="str">
        <f t="shared" si="21"/>
        <v>BALANGHIG 1</v>
      </c>
      <c r="W332" s="116" t="s">
        <v>2713</v>
      </c>
    </row>
    <row r="333" spans="2:23" x14ac:dyDescent="0.25">
      <c r="B333" s="77" t="s">
        <v>96</v>
      </c>
      <c r="C333" s="77" t="s">
        <v>46</v>
      </c>
      <c r="D333" s="77" t="s">
        <v>177</v>
      </c>
      <c r="E333" s="77" t="s">
        <v>61</v>
      </c>
      <c r="F333" s="245" t="str">
        <f t="shared" si="22"/>
        <v>Dhoz 71</v>
      </c>
      <c r="G333" s="77" t="s">
        <v>5057</v>
      </c>
      <c r="H333" s="77"/>
      <c r="I333" s="77" t="str">
        <f t="shared" si="20"/>
        <v>L09_DPVE2_054E_DW</v>
      </c>
      <c r="J333" s="77" t="s">
        <v>6088</v>
      </c>
      <c r="K333" s="169">
        <f>IFERROR(MATCH(J333,'Final List'!$B$4:$B$252,0),0)</f>
        <v>0</v>
      </c>
      <c r="L333" s="169">
        <f>IFERROR(MATCH(J333,'Final List'!$D$4:$D$252,0),0)</f>
        <v>0</v>
      </c>
      <c r="M333" s="169">
        <f>IFERROR(MATCH(J333,'Final List'!$F$4:$F$251,0),0)</f>
        <v>0</v>
      </c>
      <c r="N333" s="169">
        <f>IFERROR(MATCH(J333,'Final List'!$H$4:$H$252,0),0)</f>
        <v>0</v>
      </c>
      <c r="O333" s="169">
        <f>IFERROR(MATCH(J333,'Final List'!$J$4:$J$252,0),0)</f>
        <v>0</v>
      </c>
      <c r="P333" s="169">
        <f>IFERROR(MATCH(J333,'Final List'!$L$4:$L$252,0),0)</f>
        <v>0</v>
      </c>
      <c r="Q333" s="169">
        <f>IFERROR(MATCH(J333,'Final List'!$N$4:$N$252,0),0)</f>
        <v>0</v>
      </c>
      <c r="R333" s="169">
        <f>IFERROR(MATCH(J333,'Final List'!$P$4:$P$252,0),0)</f>
        <v>0</v>
      </c>
      <c r="S333" s="169">
        <f t="shared" si="23"/>
        <v>0</v>
      </c>
      <c r="T333" s="77"/>
      <c r="U333" s="77"/>
      <c r="V333" s="77" t="str">
        <f t="shared" si="21"/>
        <v>DELOS REYES V 1</v>
      </c>
      <c r="W333" s="77" t="s">
        <v>8896</v>
      </c>
    </row>
    <row r="334" spans="2:23" x14ac:dyDescent="0.25">
      <c r="B334" s="77" t="s">
        <v>93</v>
      </c>
      <c r="C334" s="77" t="s">
        <v>41</v>
      </c>
      <c r="D334" s="77" t="s">
        <v>195</v>
      </c>
      <c r="E334" s="77" t="s">
        <v>19</v>
      </c>
      <c r="F334" s="245" t="str">
        <f t="shared" si="22"/>
        <v>DVR 72</v>
      </c>
      <c r="G334" s="77" t="s">
        <v>352</v>
      </c>
      <c r="H334" s="77"/>
      <c r="I334" s="77" t="str">
        <f t="shared" si="20"/>
        <v>L06_CTV_008W_RAISE</v>
      </c>
      <c r="J334" s="77" t="s">
        <v>6091</v>
      </c>
      <c r="K334" s="169">
        <f>IFERROR(MATCH(J334,'Final List'!$B$4:$B$252,0),0)</f>
        <v>0</v>
      </c>
      <c r="L334" s="169">
        <f>IFERROR(MATCH(J334,'Final List'!$D$4:$D$252,0),0)</f>
        <v>0</v>
      </c>
      <c r="M334" s="169">
        <f>IFERROR(MATCH(J334,'Final List'!$F$4:$F$251,0),0)</f>
        <v>0</v>
      </c>
      <c r="N334" s="169">
        <f>IFERROR(MATCH(J334,'Final List'!$H$4:$H$252,0),0)</f>
        <v>0</v>
      </c>
      <c r="O334" s="169">
        <f>IFERROR(MATCH(J334,'Final List'!$J$4:$J$252,0),0)</f>
        <v>0</v>
      </c>
      <c r="P334" s="169">
        <f>IFERROR(MATCH(J334,'Final List'!$L$4:$L$252,0),0)</f>
        <v>0</v>
      </c>
      <c r="Q334" s="169">
        <f>IFERROR(MATCH(J334,'Final List'!$N$4:$N$252,0),0)</f>
        <v>0</v>
      </c>
      <c r="R334" s="169">
        <f>IFERROR(MATCH(J334,'Final List'!$P$4:$P$252,0),0)</f>
        <v>0</v>
      </c>
      <c r="S334" s="169">
        <f t="shared" si="23"/>
        <v>0</v>
      </c>
      <c r="T334" s="77"/>
      <c r="U334" s="77"/>
      <c r="V334" s="77" t="str">
        <f t="shared" si="21"/>
        <v>BAÑEZ 5</v>
      </c>
      <c r="W334" s="77" t="s">
        <v>2715</v>
      </c>
    </row>
    <row r="335" spans="2:23" x14ac:dyDescent="0.25">
      <c r="B335" s="77" t="s">
        <v>258</v>
      </c>
      <c r="C335" s="77" t="s">
        <v>57</v>
      </c>
      <c r="D335" s="77" t="s">
        <v>170</v>
      </c>
      <c r="E335" s="77" t="s">
        <v>211</v>
      </c>
      <c r="F335" s="245" t="str">
        <f t="shared" si="22"/>
        <v>StpS 77</v>
      </c>
      <c r="G335" s="77" t="s">
        <v>5918</v>
      </c>
      <c r="H335" s="77"/>
      <c r="I335" s="77" t="str">
        <f t="shared" si="20"/>
        <v>L10_JVSPLIT_071E_STOPE PREP</v>
      </c>
      <c r="J335" s="77" t="s">
        <v>5917</v>
      </c>
      <c r="K335" s="169">
        <f>IFERROR(MATCH(J335,'Final List'!$B$4:$B$252,0),0)</f>
        <v>0</v>
      </c>
      <c r="L335" s="169">
        <f>IFERROR(MATCH(J335,'Final List'!$D$4:$D$252,0),0)</f>
        <v>0</v>
      </c>
      <c r="M335" s="169">
        <f>IFERROR(MATCH(J335,'Final List'!$F$4:$F$251,0),0)</f>
        <v>0</v>
      </c>
      <c r="N335" s="169">
        <f>IFERROR(MATCH(J335,'Final List'!$H$4:$H$252,0),0)</f>
        <v>0</v>
      </c>
      <c r="O335" s="169">
        <f>IFERROR(MATCH(J335,'Final List'!$J$4:$J$252,0),0)</f>
        <v>0</v>
      </c>
      <c r="P335" s="169">
        <f>IFERROR(MATCH(J335,'Final List'!$L$4:$L$252,0),0)</f>
        <v>0</v>
      </c>
      <c r="Q335" s="169">
        <f>IFERROR(MATCH(J335,'Final List'!$N$4:$N$252,0),0)</f>
        <v>0</v>
      </c>
      <c r="R335" s="169">
        <f>IFERROR(MATCH(J335,'Final List'!$P$4:$P$252,0),0)</f>
        <v>0</v>
      </c>
      <c r="S335" s="169">
        <f t="shared" si="23"/>
        <v>0</v>
      </c>
      <c r="T335" s="77" t="s">
        <v>68</v>
      </c>
      <c r="U335" s="77"/>
      <c r="V335" s="150" t="str">
        <f t="shared" si="21"/>
        <v>CAPOY  1</v>
      </c>
      <c r="W335" s="77" t="s">
        <v>2712</v>
      </c>
    </row>
    <row r="336" spans="2:23" x14ac:dyDescent="0.25">
      <c r="B336" s="77" t="s">
        <v>96</v>
      </c>
      <c r="C336" s="77" t="s">
        <v>39</v>
      </c>
      <c r="D336" s="77" t="s">
        <v>5604</v>
      </c>
      <c r="E336" s="77" t="s">
        <v>60</v>
      </c>
      <c r="F336" s="245" t="str">
        <f t="shared" si="22"/>
        <v>Dhoz 71</v>
      </c>
      <c r="G336" s="77" t="s">
        <v>460</v>
      </c>
      <c r="H336" s="77"/>
      <c r="I336" s="77" t="str">
        <f t="shared" si="20"/>
        <v>L09_JVHW_063E_DE</v>
      </c>
      <c r="J336" s="77" t="s">
        <v>6040</v>
      </c>
      <c r="K336" s="169">
        <f>IFERROR(MATCH(J336,'Final List'!$B$4:$B$252,0),0)</f>
        <v>0</v>
      </c>
      <c r="L336" s="169">
        <f>IFERROR(MATCH(J336,'Final List'!$D$4:$D$252,0),0)</f>
        <v>0</v>
      </c>
      <c r="M336" s="169">
        <f>IFERROR(MATCH(J336,'Final List'!$F$4:$F$251,0),0)</f>
        <v>0</v>
      </c>
      <c r="N336" s="169">
        <f>IFERROR(MATCH(J336,'Final List'!$H$4:$H$252,0),0)</f>
        <v>0</v>
      </c>
      <c r="O336" s="169">
        <f>IFERROR(MATCH(J336,'Final List'!$J$4:$J$252,0),0)</f>
        <v>0</v>
      </c>
      <c r="P336" s="169">
        <f>IFERROR(MATCH(J336,'Final List'!$L$4:$L$252,0),0)</f>
        <v>0</v>
      </c>
      <c r="Q336" s="169">
        <f>IFERROR(MATCH(J336,'Final List'!$N$4:$N$252,0),0)</f>
        <v>0</v>
      </c>
      <c r="R336" s="169">
        <f>IFERROR(MATCH(J336,'Final List'!$P$4:$P$252,0),0)</f>
        <v>0</v>
      </c>
      <c r="S336" s="169">
        <f t="shared" si="23"/>
        <v>0</v>
      </c>
      <c r="T336" s="77"/>
      <c r="U336" s="77"/>
      <c r="V336" s="77" t="str">
        <f t="shared" si="21"/>
        <v>PANSIT 5</v>
      </c>
      <c r="W336" s="77" t="s">
        <v>8896</v>
      </c>
    </row>
    <row r="337" spans="2:23" x14ac:dyDescent="0.25">
      <c r="B337" s="77" t="s">
        <v>91</v>
      </c>
      <c r="C337" s="77" t="s">
        <v>41</v>
      </c>
      <c r="D337" s="77" t="s">
        <v>115</v>
      </c>
      <c r="E337" s="77" t="s">
        <v>62</v>
      </c>
      <c r="F337" s="245" t="str">
        <f t="shared" si="22"/>
        <v>RobS 79</v>
      </c>
      <c r="G337" s="77" t="s">
        <v>353</v>
      </c>
      <c r="H337" s="77"/>
      <c r="I337" s="77" t="str">
        <f t="shared" si="20"/>
        <v>L04_CTV_019W_ROBBING</v>
      </c>
      <c r="J337" s="77" t="s">
        <v>4837</v>
      </c>
      <c r="K337" s="169">
        <f>IFERROR(MATCH(J337,'Final List'!$B$4:$B$252,0),0)</f>
        <v>0</v>
      </c>
      <c r="L337" s="169">
        <f>IFERROR(MATCH(J337,'Final List'!$D$4:$D$252,0),0)</f>
        <v>0</v>
      </c>
      <c r="M337" s="169">
        <f>IFERROR(MATCH(J337,'Final List'!$F$4:$F$251,0),0)</f>
        <v>0</v>
      </c>
      <c r="N337" s="169">
        <f>IFERROR(MATCH(J337,'Final List'!$H$4:$H$252,0),0)</f>
        <v>0</v>
      </c>
      <c r="O337" s="169">
        <f>IFERROR(MATCH(J337,'Final List'!$J$4:$J$252,0),0)</f>
        <v>0</v>
      </c>
      <c r="P337" s="169">
        <f>IFERROR(MATCH(J337,'Final List'!$L$4:$L$252,0),0)</f>
        <v>0</v>
      </c>
      <c r="Q337" s="169">
        <f>IFERROR(MATCH(J337,'Final List'!$N$4:$N$252,0),0)</f>
        <v>0</v>
      </c>
      <c r="R337" s="169">
        <f>IFERROR(MATCH(J337,'Final List'!$P$4:$P$252,0),0)</f>
        <v>0</v>
      </c>
      <c r="S337" s="169">
        <f t="shared" si="23"/>
        <v>0</v>
      </c>
      <c r="T337" s="77" t="s">
        <v>68</v>
      </c>
      <c r="U337" s="77"/>
      <c r="V337" s="77" t="str">
        <f t="shared" si="21"/>
        <v>BAÑEZ 4</v>
      </c>
      <c r="W337" s="77" t="s">
        <v>2707</v>
      </c>
    </row>
    <row r="338" spans="2:23" x14ac:dyDescent="0.25">
      <c r="B338" s="77" t="s">
        <v>1166</v>
      </c>
      <c r="C338" s="77" t="s">
        <v>59</v>
      </c>
      <c r="D338" s="77" t="s">
        <v>5602</v>
      </c>
      <c r="E338" s="77" t="s">
        <v>61</v>
      </c>
      <c r="F338" s="245" t="str">
        <f t="shared" si="22"/>
        <v>Dhoz 71</v>
      </c>
      <c r="G338" s="77" t="s">
        <v>6931</v>
      </c>
      <c r="H338" s="77"/>
      <c r="I338" s="77" t="str">
        <f t="shared" si="20"/>
        <v>L11_GHVHW_053E_DW</v>
      </c>
      <c r="J338" s="77" t="s">
        <v>6106</v>
      </c>
      <c r="K338" s="169">
        <f>IFERROR(MATCH(J338,'Final List'!$B$4:$B$252,0),0)</f>
        <v>0</v>
      </c>
      <c r="L338" s="169">
        <f>IFERROR(MATCH(J338,'Final List'!$D$4:$D$252,0),0)</f>
        <v>0</v>
      </c>
      <c r="M338" s="169">
        <f>IFERROR(MATCH(J338,'Final List'!$F$4:$F$251,0),0)</f>
        <v>0</v>
      </c>
      <c r="N338" s="169">
        <f>IFERROR(MATCH(J338,'Final List'!$H$4:$H$252,0),0)</f>
        <v>0</v>
      </c>
      <c r="O338" s="169">
        <f>IFERROR(MATCH(J338,'Final List'!$J$4:$J$252,0),0)</f>
        <v>0</v>
      </c>
      <c r="P338" s="169">
        <f>IFERROR(MATCH(J338,'Final List'!$L$4:$L$252,0),0)</f>
        <v>0</v>
      </c>
      <c r="Q338" s="169">
        <f>IFERROR(MATCH(J338,'Final List'!$N$4:$N$252,0),0)</f>
        <v>0</v>
      </c>
      <c r="R338" s="169">
        <f>IFERROR(MATCH(J338,'Final List'!$P$4:$P$252,0),0)</f>
        <v>0</v>
      </c>
      <c r="S338" s="169">
        <f t="shared" si="23"/>
        <v>0</v>
      </c>
      <c r="T338" s="77"/>
      <c r="U338" s="77"/>
      <c r="V338" s="77" t="str">
        <f t="shared" si="21"/>
        <v>DUHIG, P2</v>
      </c>
      <c r="W338" s="77" t="s">
        <v>8896</v>
      </c>
    </row>
    <row r="339" spans="2:23" x14ac:dyDescent="0.25">
      <c r="B339" s="77" t="s">
        <v>1166</v>
      </c>
      <c r="C339" s="77" t="s">
        <v>59</v>
      </c>
      <c r="D339" s="77" t="s">
        <v>177</v>
      </c>
      <c r="E339" s="77" t="s">
        <v>60</v>
      </c>
      <c r="F339" s="245" t="str">
        <f t="shared" si="22"/>
        <v>Dhoz 71</v>
      </c>
      <c r="G339" s="77" t="s">
        <v>464</v>
      </c>
      <c r="H339" s="77" t="s">
        <v>447</v>
      </c>
      <c r="I339" s="77" t="str">
        <f t="shared" si="20"/>
        <v>L11_GHVHW_054E_DE</v>
      </c>
      <c r="J339" s="77" t="s">
        <v>6107</v>
      </c>
      <c r="K339" s="169">
        <f>IFERROR(MATCH(J339,'Final List'!$B$4:$B$252,0),0)</f>
        <v>0</v>
      </c>
      <c r="L339" s="169">
        <f>IFERROR(MATCH(J339,'Final List'!$D$4:$D$252,0),0)</f>
        <v>0</v>
      </c>
      <c r="M339" s="169">
        <f>IFERROR(MATCH(J339,'Final List'!$F$4:$F$251,0),0)</f>
        <v>0</v>
      </c>
      <c r="N339" s="169">
        <f>IFERROR(MATCH(J339,'Final List'!$H$4:$H$252,0),0)</f>
        <v>0</v>
      </c>
      <c r="O339" s="169">
        <f>IFERROR(MATCH(J339,'Final List'!$J$4:$J$252,0),0)</f>
        <v>0</v>
      </c>
      <c r="P339" s="169">
        <f>IFERROR(MATCH(J339,'Final List'!$L$4:$L$252,0),0)</f>
        <v>0</v>
      </c>
      <c r="Q339" s="169">
        <f>IFERROR(MATCH(J339,'Final List'!$N$4:$N$252,0),0)</f>
        <v>0</v>
      </c>
      <c r="R339" s="169">
        <f>IFERROR(MATCH(J339,'Final List'!$P$4:$P$252,0),0)</f>
        <v>0</v>
      </c>
      <c r="S339" s="169">
        <f t="shared" si="23"/>
        <v>0</v>
      </c>
      <c r="T339" s="77"/>
      <c r="U339" s="77"/>
      <c r="V339" s="77" t="str">
        <f t="shared" si="21"/>
        <v>COMAINGKING 1</v>
      </c>
      <c r="W339" s="77" t="s">
        <v>8896</v>
      </c>
    </row>
    <row r="340" spans="2:23" x14ac:dyDescent="0.25">
      <c r="B340" s="77" t="s">
        <v>92</v>
      </c>
      <c r="C340" s="77" t="s">
        <v>87</v>
      </c>
      <c r="D340" s="77" t="s">
        <v>5781</v>
      </c>
      <c r="E340" s="77" t="s">
        <v>63</v>
      </c>
      <c r="F340" s="245" t="str">
        <f t="shared" si="22"/>
        <v>Dhoz 71</v>
      </c>
      <c r="G340" s="77" t="s">
        <v>3659</v>
      </c>
      <c r="H340" s="77"/>
      <c r="I340" s="77" t="str">
        <f t="shared" si="20"/>
        <v>L05_NONE_051E_XCS</v>
      </c>
      <c r="J340" s="77" t="s">
        <v>6105</v>
      </c>
      <c r="K340" s="169">
        <f>IFERROR(MATCH(J340,'Final List'!$B$4:$B$252,0),0)</f>
        <v>0</v>
      </c>
      <c r="L340" s="169">
        <f>IFERROR(MATCH(J340,'Final List'!$D$4:$D$252,0),0)</f>
        <v>0</v>
      </c>
      <c r="M340" s="169">
        <f>IFERROR(MATCH(J340,'Final List'!$F$4:$F$251,0),0)</f>
        <v>0</v>
      </c>
      <c r="N340" s="169">
        <f>IFERROR(MATCH(J340,'Final List'!$H$4:$H$252,0),0)</f>
        <v>0</v>
      </c>
      <c r="O340" s="169">
        <f>IFERROR(MATCH(J340,'Final List'!$J$4:$J$252,0),0)</f>
        <v>0</v>
      </c>
      <c r="P340" s="169">
        <f>IFERROR(MATCH(J340,'Final List'!$L$4:$L$252,0),0)</f>
        <v>0</v>
      </c>
      <c r="Q340" s="169">
        <f>IFERROR(MATCH(J340,'Final List'!$N$4:$N$252,0),0)</f>
        <v>0</v>
      </c>
      <c r="R340" s="169">
        <f>IFERROR(MATCH(J340,'Final List'!$P$4:$P$252,0),0)</f>
        <v>0</v>
      </c>
      <c r="S340" s="169">
        <f t="shared" si="23"/>
        <v>0</v>
      </c>
      <c r="T340" s="77"/>
      <c r="U340" s="77"/>
      <c r="V340" s="77" t="str">
        <f t="shared" si="21"/>
        <v>SHEPHERD AD 2</v>
      </c>
      <c r="W340" s="77" t="s">
        <v>8897</v>
      </c>
    </row>
    <row r="341" spans="2:23" x14ac:dyDescent="0.25">
      <c r="B341" s="77" t="s">
        <v>92</v>
      </c>
      <c r="C341" s="77" t="s">
        <v>42</v>
      </c>
      <c r="D341" s="77" t="s">
        <v>121</v>
      </c>
      <c r="E341" s="77" t="s">
        <v>60</v>
      </c>
      <c r="F341" s="245" t="str">
        <f t="shared" si="22"/>
        <v>Dhoz 71</v>
      </c>
      <c r="G341" s="77" t="s">
        <v>5706</v>
      </c>
      <c r="H341" s="77"/>
      <c r="I341" s="77" t="str">
        <f t="shared" si="20"/>
        <v>L05_JV_022E_DE</v>
      </c>
      <c r="J341" s="77" t="s">
        <v>6115</v>
      </c>
      <c r="K341" s="169">
        <f>IFERROR(MATCH(J341,'Final List'!$B$4:$B$252,0),0)</f>
        <v>0</v>
      </c>
      <c r="L341" s="169">
        <f>IFERROR(MATCH(J341,'Final List'!$D$4:$D$252,0),0)</f>
        <v>0</v>
      </c>
      <c r="M341" s="169">
        <f>IFERROR(MATCH(J341,'Final List'!$F$4:$F$251,0),0)</f>
        <v>0</v>
      </c>
      <c r="N341" s="169">
        <f>IFERROR(MATCH(J341,'Final List'!$H$4:$H$252,0),0)</f>
        <v>0</v>
      </c>
      <c r="O341" s="169">
        <f>IFERROR(MATCH(J341,'Final List'!$J$4:$J$252,0),0)</f>
        <v>0</v>
      </c>
      <c r="P341" s="169">
        <f>IFERROR(MATCH(J341,'Final List'!$L$4:$L$252,0),0)</f>
        <v>0</v>
      </c>
      <c r="Q341" s="169">
        <f>IFERROR(MATCH(J341,'Final List'!$N$4:$N$252,0),0)</f>
        <v>0</v>
      </c>
      <c r="R341" s="169">
        <f>IFERROR(MATCH(J341,'Final List'!$P$4:$P$252,0),0)</f>
        <v>0</v>
      </c>
      <c r="S341" s="169">
        <f t="shared" si="23"/>
        <v>0</v>
      </c>
      <c r="T341" s="77"/>
      <c r="U341" s="77"/>
      <c r="V341" s="77" t="str">
        <f t="shared" si="21"/>
        <v>SHEPHERD AF 1</v>
      </c>
      <c r="W341" s="77" t="s">
        <v>8895</v>
      </c>
    </row>
    <row r="342" spans="2:23" x14ac:dyDescent="0.25">
      <c r="B342" s="77" t="s">
        <v>258</v>
      </c>
      <c r="C342" s="77" t="s">
        <v>45</v>
      </c>
      <c r="D342" s="77" t="s">
        <v>6114</v>
      </c>
      <c r="E342" s="77" t="s">
        <v>61</v>
      </c>
      <c r="F342" s="245" t="str">
        <f t="shared" si="22"/>
        <v>Dhoz 71</v>
      </c>
      <c r="G342" s="77" t="s">
        <v>5697</v>
      </c>
      <c r="H342" s="77"/>
      <c r="I342" s="77" t="str">
        <f t="shared" si="20"/>
        <v>L10_DPVE_078E_DW</v>
      </c>
      <c r="J342" s="77" t="s">
        <v>6113</v>
      </c>
      <c r="K342" s="169">
        <f>IFERROR(MATCH(J342,'Final List'!$B$4:$B$252,0),0)</f>
        <v>0</v>
      </c>
      <c r="L342" s="169">
        <f>IFERROR(MATCH(J342,'Final List'!$D$4:$D$252,0),0)</f>
        <v>0</v>
      </c>
      <c r="M342" s="169">
        <f>IFERROR(MATCH(J342,'Final List'!$F$4:$F$251,0),0)</f>
        <v>0</v>
      </c>
      <c r="N342" s="169">
        <f>IFERROR(MATCH(J342,'Final List'!$H$4:$H$252,0),0)</f>
        <v>0</v>
      </c>
      <c r="O342" s="169">
        <f>IFERROR(MATCH(J342,'Final List'!$J$4:$J$252,0),0)</f>
        <v>0</v>
      </c>
      <c r="P342" s="169">
        <f>IFERROR(MATCH(J342,'Final List'!$L$4:$L$252,0),0)</f>
        <v>0</v>
      </c>
      <c r="Q342" s="169">
        <f>IFERROR(MATCH(J342,'Final List'!$N$4:$N$252,0),0)</f>
        <v>0</v>
      </c>
      <c r="R342" s="169">
        <f>IFERROR(MATCH(J342,'Final List'!$P$4:$P$252,0),0)</f>
        <v>0</v>
      </c>
      <c r="S342" s="169">
        <f t="shared" si="23"/>
        <v>0</v>
      </c>
      <c r="T342" s="77"/>
      <c r="U342" s="77"/>
      <c r="V342" s="77" t="str">
        <f t="shared" si="21"/>
        <v>OLIVEROS 1</v>
      </c>
      <c r="W342" s="77" t="s">
        <v>8896</v>
      </c>
    </row>
    <row r="343" spans="2:23" x14ac:dyDescent="0.25">
      <c r="B343" s="77" t="s">
        <v>96</v>
      </c>
      <c r="C343" s="77" t="s">
        <v>46</v>
      </c>
      <c r="D343" s="77" t="s">
        <v>6114</v>
      </c>
      <c r="E343" s="77" t="s">
        <v>60</v>
      </c>
      <c r="F343" s="245" t="str">
        <f t="shared" si="22"/>
        <v>Dhoz 71</v>
      </c>
      <c r="G343" s="77" t="s">
        <v>746</v>
      </c>
      <c r="H343" s="77" t="s">
        <v>362</v>
      </c>
      <c r="I343" s="77" t="str">
        <f t="shared" si="20"/>
        <v>L09_DPVE2_078E_DE</v>
      </c>
      <c r="J343" s="77" t="s">
        <v>6110</v>
      </c>
      <c r="K343" s="169">
        <f>IFERROR(MATCH(J343,'Final List'!$B$4:$B$252,0),0)</f>
        <v>0</v>
      </c>
      <c r="L343" s="169">
        <f>IFERROR(MATCH(J343,'Final List'!$D$4:$D$252,0),0)</f>
        <v>0</v>
      </c>
      <c r="M343" s="169">
        <f>IFERROR(MATCH(J343,'Final List'!$F$4:$F$251,0),0)</f>
        <v>0</v>
      </c>
      <c r="N343" s="169">
        <f>IFERROR(MATCH(J343,'Final List'!$H$4:$H$252,0),0)</f>
        <v>0</v>
      </c>
      <c r="O343" s="169">
        <f>IFERROR(MATCH(J343,'Final List'!$J$4:$J$252,0),0)</f>
        <v>0</v>
      </c>
      <c r="P343" s="169">
        <f>IFERROR(MATCH(J343,'Final List'!$L$4:$L$252,0),0)</f>
        <v>0</v>
      </c>
      <c r="Q343" s="169">
        <f>IFERROR(MATCH(J343,'Final List'!$N$4:$N$252,0),0)</f>
        <v>0</v>
      </c>
      <c r="R343" s="169">
        <f>IFERROR(MATCH(J343,'Final List'!$P$4:$P$252,0),0)</f>
        <v>0</v>
      </c>
      <c r="S343" s="169">
        <f t="shared" si="23"/>
        <v>0</v>
      </c>
      <c r="T343" s="77"/>
      <c r="U343" s="77"/>
      <c r="V343" s="77" t="str">
        <f t="shared" si="21"/>
        <v>BABOR 1</v>
      </c>
      <c r="W343" s="77" t="s">
        <v>8896</v>
      </c>
    </row>
    <row r="344" spans="2:23" x14ac:dyDescent="0.25">
      <c r="B344" s="77" t="s">
        <v>96</v>
      </c>
      <c r="C344" s="77" t="s">
        <v>57</v>
      </c>
      <c r="D344" s="77" t="s">
        <v>175</v>
      </c>
      <c r="E344" s="77" t="s">
        <v>60</v>
      </c>
      <c r="F344" s="245" t="str">
        <f t="shared" si="22"/>
        <v>Dhoz 71</v>
      </c>
      <c r="G344" s="77" t="s">
        <v>460</v>
      </c>
      <c r="H344" s="77"/>
      <c r="I344" s="77" t="str">
        <f t="shared" si="20"/>
        <v>L09_JVSPLIT_060E_DE</v>
      </c>
      <c r="J344" s="77" t="s">
        <v>6111</v>
      </c>
      <c r="K344" s="169">
        <f>IFERROR(MATCH(J344,'Final List'!$B$4:$B$252,0),0)</f>
        <v>0</v>
      </c>
      <c r="L344" s="169">
        <f>IFERROR(MATCH(J344,'Final List'!$D$4:$D$252,0),0)</f>
        <v>0</v>
      </c>
      <c r="M344" s="169">
        <f>IFERROR(MATCH(J344,'Final List'!$F$4:$F$251,0),0)</f>
        <v>0</v>
      </c>
      <c r="N344" s="169">
        <f>IFERROR(MATCH(J344,'Final List'!$H$4:$H$252,0),0)</f>
        <v>0</v>
      </c>
      <c r="O344" s="169">
        <f>IFERROR(MATCH(J344,'Final List'!$J$4:$J$252,0),0)</f>
        <v>0</v>
      </c>
      <c r="P344" s="169">
        <f>IFERROR(MATCH(J344,'Final List'!$L$4:$L$252,0),0)</f>
        <v>0</v>
      </c>
      <c r="Q344" s="169">
        <f>IFERROR(MATCH(J344,'Final List'!$N$4:$N$252,0),0)</f>
        <v>0</v>
      </c>
      <c r="R344" s="169">
        <f>IFERROR(MATCH(J344,'Final List'!$P$4:$P$252,0),0)</f>
        <v>0</v>
      </c>
      <c r="S344" s="169">
        <f t="shared" si="23"/>
        <v>0</v>
      </c>
      <c r="T344" s="77"/>
      <c r="U344" s="77"/>
      <c r="V344" s="77" t="str">
        <f t="shared" si="21"/>
        <v>PANSIT 5</v>
      </c>
      <c r="W344" s="77" t="s">
        <v>8896</v>
      </c>
    </row>
    <row r="345" spans="2:23" x14ac:dyDescent="0.25">
      <c r="B345" s="77" t="s">
        <v>96</v>
      </c>
      <c r="C345" s="77" t="s">
        <v>59</v>
      </c>
      <c r="D345" s="77" t="s">
        <v>170</v>
      </c>
      <c r="E345" s="77" t="s">
        <v>19</v>
      </c>
      <c r="F345" s="245" t="str">
        <f t="shared" si="22"/>
        <v>DVR 72</v>
      </c>
      <c r="G345" s="77" t="s">
        <v>461</v>
      </c>
      <c r="H345" s="77"/>
      <c r="I345" s="77" t="str">
        <f t="shared" si="20"/>
        <v>L09_GHVHW_071E_RAISE</v>
      </c>
      <c r="J345" s="77" t="s">
        <v>6112</v>
      </c>
      <c r="K345" s="169">
        <f>IFERROR(MATCH(J345,'Final List'!$B$4:$B$252,0),0)</f>
        <v>0</v>
      </c>
      <c r="L345" s="169">
        <f>IFERROR(MATCH(J345,'Final List'!$D$4:$D$252,0),0)</f>
        <v>0</v>
      </c>
      <c r="M345" s="169">
        <f>IFERROR(MATCH(J345,'Final List'!$F$4:$F$251,0),0)</f>
        <v>0</v>
      </c>
      <c r="N345" s="169">
        <f>IFERROR(MATCH(J345,'Final List'!$H$4:$H$252,0),0)</f>
        <v>0</v>
      </c>
      <c r="O345" s="169">
        <f>IFERROR(MATCH(J345,'Final List'!$J$4:$J$252,0),0)</f>
        <v>0</v>
      </c>
      <c r="P345" s="169">
        <f>IFERROR(MATCH(J345,'Final List'!$L$4:$L$252,0),0)</f>
        <v>0</v>
      </c>
      <c r="Q345" s="169">
        <f>IFERROR(MATCH(J345,'Final List'!$N$4:$N$252,0),0)</f>
        <v>0</v>
      </c>
      <c r="R345" s="169">
        <f>IFERROR(MATCH(J345,'Final List'!$P$4:$P$252,0),0)</f>
        <v>0</v>
      </c>
      <c r="S345" s="169">
        <f t="shared" si="23"/>
        <v>0</v>
      </c>
      <c r="T345" s="77"/>
      <c r="U345" s="77"/>
      <c r="V345" s="77" t="str">
        <f t="shared" si="21"/>
        <v>PANSIT 4</v>
      </c>
      <c r="W345" s="77" t="s">
        <v>2715</v>
      </c>
    </row>
    <row r="346" spans="2:23" x14ac:dyDescent="0.25">
      <c r="B346" s="77" t="s">
        <v>91</v>
      </c>
      <c r="C346" s="77" t="s">
        <v>42</v>
      </c>
      <c r="D346" s="77" t="s">
        <v>146</v>
      </c>
      <c r="E346" s="77" t="s">
        <v>20</v>
      </c>
      <c r="F346" s="245" t="str">
        <f t="shared" si="22"/>
        <v>DVW 74</v>
      </c>
      <c r="G346" s="77" t="s">
        <v>311</v>
      </c>
      <c r="H346" s="77"/>
      <c r="I346" s="77" t="str">
        <f t="shared" si="20"/>
        <v>L04_JV_030E_WINZE</v>
      </c>
      <c r="J346" s="77" t="s">
        <v>6121</v>
      </c>
      <c r="K346" s="169">
        <f>IFERROR(MATCH(J346,'Final List'!$B$4:$B$252,0),0)</f>
        <v>0</v>
      </c>
      <c r="L346" s="169">
        <f>IFERROR(MATCH(J346,'Final List'!$D$4:$D$252,0),0)</f>
        <v>0</v>
      </c>
      <c r="M346" s="169">
        <f>IFERROR(MATCH(J346,'Final List'!$F$4:$F$251,0),0)</f>
        <v>0</v>
      </c>
      <c r="N346" s="169">
        <f>IFERROR(MATCH(J346,'Final List'!$H$4:$H$252,0),0)</f>
        <v>0</v>
      </c>
      <c r="O346" s="169">
        <f>IFERROR(MATCH(J346,'Final List'!$J$4:$J$252,0),0)</f>
        <v>0</v>
      </c>
      <c r="P346" s="169">
        <f>IFERROR(MATCH(J346,'Final List'!$L$4:$L$252,0),0)</f>
        <v>0</v>
      </c>
      <c r="Q346" s="169">
        <f>IFERROR(MATCH(J346,'Final List'!$N$4:$N$252,0),0)</f>
        <v>0</v>
      </c>
      <c r="R346" s="169">
        <f>IFERROR(MATCH(J346,'Final List'!$P$4:$P$252,0),0)</f>
        <v>0</v>
      </c>
      <c r="S346" s="169">
        <f t="shared" si="23"/>
        <v>0</v>
      </c>
      <c r="T346" s="77"/>
      <c r="U346" s="77"/>
      <c r="V346" s="77" t="str">
        <f t="shared" si="21"/>
        <v>MARTINEZ DN 2</v>
      </c>
      <c r="W346" s="77" t="s">
        <v>2706</v>
      </c>
    </row>
    <row r="347" spans="2:23" x14ac:dyDescent="0.25">
      <c r="B347" s="77" t="s">
        <v>91</v>
      </c>
      <c r="C347" s="77" t="s">
        <v>42</v>
      </c>
      <c r="D347" s="77" t="s">
        <v>97</v>
      </c>
      <c r="E347" s="77" t="s">
        <v>62</v>
      </c>
      <c r="F347" s="245" t="str">
        <f t="shared" si="22"/>
        <v>RobC 80</v>
      </c>
      <c r="G347" s="77" t="s">
        <v>394</v>
      </c>
      <c r="H347" s="77"/>
      <c r="I347" s="77" t="str">
        <f t="shared" si="20"/>
        <v>L04_JV_012W_ROBBING</v>
      </c>
      <c r="J347" s="77" t="s">
        <v>267</v>
      </c>
      <c r="K347" s="169">
        <f>IFERROR(MATCH(J347,'Final List'!$B$4:$B$252,0),0)</f>
        <v>0</v>
      </c>
      <c r="L347" s="169">
        <f>IFERROR(MATCH(J347,'Final List'!$D$4:$D$252,0),0)</f>
        <v>0</v>
      </c>
      <c r="M347" s="169">
        <f>IFERROR(MATCH(J347,'Final List'!$F$4:$F$251,0),0)</f>
        <v>0</v>
      </c>
      <c r="N347" s="169">
        <f>IFERROR(MATCH(J347,'Final List'!$H$4:$H$252,0),0)</f>
        <v>0</v>
      </c>
      <c r="O347" s="169">
        <f>IFERROR(MATCH(J347,'Final List'!$J$4:$J$252,0),0)</f>
        <v>0</v>
      </c>
      <c r="P347" s="169">
        <f>IFERROR(MATCH(J347,'Final List'!$L$4:$L$252,0),0)</f>
        <v>0</v>
      </c>
      <c r="Q347" s="169">
        <f>IFERROR(MATCH(J347,'Final List'!$N$4:$N$252,0),0)</f>
        <v>0</v>
      </c>
      <c r="R347" s="169">
        <f>IFERROR(MATCH(J347,'Final List'!$P$4:$P$252,0),0)</f>
        <v>0</v>
      </c>
      <c r="S347" s="169">
        <f t="shared" si="23"/>
        <v>0</v>
      </c>
      <c r="T347" s="77" t="s">
        <v>48</v>
      </c>
      <c r="U347" s="77"/>
      <c r="V347" s="77" t="str">
        <f t="shared" si="21"/>
        <v>ANDILAB 1</v>
      </c>
      <c r="W347" s="77" t="s">
        <v>236</v>
      </c>
    </row>
    <row r="348" spans="2:23" x14ac:dyDescent="0.25">
      <c r="B348" s="77" t="s">
        <v>91</v>
      </c>
      <c r="C348" s="77" t="s">
        <v>42</v>
      </c>
      <c r="D348" s="77" t="s">
        <v>5612</v>
      </c>
      <c r="E348" s="77" t="s">
        <v>62</v>
      </c>
      <c r="F348" s="245" t="str">
        <f t="shared" si="22"/>
        <v>RobS 79</v>
      </c>
      <c r="G348" s="77" t="s">
        <v>9269</v>
      </c>
      <c r="H348" s="77"/>
      <c r="I348" s="77" t="str">
        <f t="shared" si="20"/>
        <v>L04_JV_011W_ROBBING</v>
      </c>
      <c r="J348" s="77" t="s">
        <v>6122</v>
      </c>
      <c r="K348" s="169">
        <f>IFERROR(MATCH(J348,'Final List'!$B$4:$B$252,0),0)</f>
        <v>0</v>
      </c>
      <c r="L348" s="169">
        <f>IFERROR(MATCH(J348,'Final List'!$D$4:$D$252,0),0)</f>
        <v>0</v>
      </c>
      <c r="M348" s="169">
        <f>IFERROR(MATCH(J348,'Final List'!$F$4:$F$251,0),0)</f>
        <v>0</v>
      </c>
      <c r="N348" s="169">
        <f>IFERROR(MATCH(J348,'Final List'!$H$4:$H$252,0),0)</f>
        <v>0</v>
      </c>
      <c r="O348" s="169">
        <f>IFERROR(MATCH(J348,'Final List'!$J$4:$J$252,0),0)</f>
        <v>0</v>
      </c>
      <c r="P348" s="169">
        <f>IFERROR(MATCH(J348,'Final List'!$L$4:$L$252,0),0)</f>
        <v>0</v>
      </c>
      <c r="Q348" s="169">
        <f>IFERROR(MATCH(J348,'Final List'!$N$4:$N$252,0),0)</f>
        <v>0</v>
      </c>
      <c r="R348" s="169">
        <f>IFERROR(MATCH(J348,'Final List'!$P$4:$P$252,0),0)</f>
        <v>0</v>
      </c>
      <c r="S348" s="169">
        <f t="shared" si="23"/>
        <v>0</v>
      </c>
      <c r="T348" s="77" t="s">
        <v>68</v>
      </c>
      <c r="U348" s="77"/>
      <c r="V348" s="77" t="str">
        <f t="shared" si="21"/>
        <v>SHEPHERD AR 2</v>
      </c>
      <c r="W348" s="77" t="s">
        <v>2707</v>
      </c>
    </row>
    <row r="349" spans="2:23" x14ac:dyDescent="0.25">
      <c r="B349" s="77" t="s">
        <v>94</v>
      </c>
      <c r="C349" s="77" t="s">
        <v>59</v>
      </c>
      <c r="D349" s="77" t="s">
        <v>128</v>
      </c>
      <c r="E349" s="77" t="s">
        <v>61</v>
      </c>
      <c r="F349" s="245" t="str">
        <f t="shared" si="22"/>
        <v>Dhoz 71</v>
      </c>
      <c r="G349" s="77" t="s">
        <v>5719</v>
      </c>
      <c r="H349" s="77"/>
      <c r="I349" s="77" t="str">
        <f t="shared" si="20"/>
        <v>L07_GHVHW_027E_DW</v>
      </c>
      <c r="J349" s="77" t="s">
        <v>6124</v>
      </c>
      <c r="K349" s="169">
        <f>IFERROR(MATCH(J349,'Final List'!$B$4:$B$252,0),0)</f>
        <v>0</v>
      </c>
      <c r="L349" s="169">
        <f>IFERROR(MATCH(J349,'Final List'!$D$4:$D$252,0),0)</f>
        <v>0</v>
      </c>
      <c r="M349" s="169">
        <f>IFERROR(MATCH(J349,'Final List'!$F$4:$F$251,0),0)</f>
        <v>0</v>
      </c>
      <c r="N349" s="169">
        <f>IFERROR(MATCH(J349,'Final List'!$H$4:$H$252,0),0)</f>
        <v>0</v>
      </c>
      <c r="O349" s="169">
        <f>IFERROR(MATCH(J349,'Final List'!$J$4:$J$252,0),0)</f>
        <v>0</v>
      </c>
      <c r="P349" s="169">
        <f>IFERROR(MATCH(J349,'Final List'!$L$4:$L$252,0),0)</f>
        <v>0</v>
      </c>
      <c r="Q349" s="169">
        <f>IFERROR(MATCH(J349,'Final List'!$N$4:$N$252,0),0)</f>
        <v>0</v>
      </c>
      <c r="R349" s="169">
        <f>IFERROR(MATCH(J349,'Final List'!$P$4:$P$252,0),0)</f>
        <v>0</v>
      </c>
      <c r="S349" s="169">
        <f t="shared" si="23"/>
        <v>0</v>
      </c>
      <c r="T349" s="77"/>
      <c r="U349" s="77"/>
      <c r="V349" s="77" t="str">
        <f t="shared" si="21"/>
        <v>DAVOCOL 1</v>
      </c>
      <c r="W349" s="77" t="s">
        <v>8895</v>
      </c>
    </row>
    <row r="350" spans="2:23" x14ac:dyDescent="0.25">
      <c r="B350" s="77" t="s">
        <v>93</v>
      </c>
      <c r="C350" s="77" t="s">
        <v>57</v>
      </c>
      <c r="D350" s="77" t="s">
        <v>5850</v>
      </c>
      <c r="E350" s="77" t="s">
        <v>221</v>
      </c>
      <c r="F350" s="245" t="str">
        <f t="shared" si="22"/>
        <v>RobC 80</v>
      </c>
      <c r="G350" s="77" t="s">
        <v>378</v>
      </c>
      <c r="H350" s="77"/>
      <c r="I350" s="77" t="str">
        <f t="shared" si="20"/>
        <v>L06_JVSPLIT_016E_WINZE STOPE</v>
      </c>
      <c r="J350" s="77" t="s">
        <v>6126</v>
      </c>
      <c r="K350" s="169">
        <f>IFERROR(MATCH(J350,'Final List'!$B$4:$B$252,0),0)</f>
        <v>0</v>
      </c>
      <c r="L350" s="169">
        <f>IFERROR(MATCH(J350,'Final List'!$D$4:$D$252,0),0)</f>
        <v>0</v>
      </c>
      <c r="M350" s="169">
        <f>IFERROR(MATCH(J350,'Final List'!$F$4:$F$251,0),0)</f>
        <v>0</v>
      </c>
      <c r="N350" s="169">
        <f>IFERROR(MATCH(J350,'Final List'!$H$4:$H$252,0),0)</f>
        <v>0</v>
      </c>
      <c r="O350" s="169">
        <f>IFERROR(MATCH(J350,'Final List'!$J$4:$J$252,0),0)</f>
        <v>0</v>
      </c>
      <c r="P350" s="169">
        <f>IFERROR(MATCH(J350,'Final List'!$L$4:$L$252,0),0)</f>
        <v>0</v>
      </c>
      <c r="Q350" s="169">
        <f>IFERROR(MATCH(J350,'Final List'!$N$4:$N$252,0),0)</f>
        <v>0</v>
      </c>
      <c r="R350" s="169">
        <f>IFERROR(MATCH(J350,'Final List'!$P$4:$P$252,0),0)</f>
        <v>0</v>
      </c>
      <c r="S350" s="169">
        <f t="shared" si="23"/>
        <v>0</v>
      </c>
      <c r="T350" s="77" t="s">
        <v>68</v>
      </c>
      <c r="U350" s="77"/>
      <c r="V350" s="77" t="str">
        <f t="shared" si="21"/>
        <v>GUNAY 1</v>
      </c>
      <c r="W350" s="77" t="s">
        <v>2719</v>
      </c>
    </row>
    <row r="351" spans="2:23" x14ac:dyDescent="0.25">
      <c r="B351" s="77" t="s">
        <v>95</v>
      </c>
      <c r="C351" s="77" t="s">
        <v>43</v>
      </c>
      <c r="D351" s="77" t="s">
        <v>175</v>
      </c>
      <c r="E351" s="77" t="s">
        <v>61</v>
      </c>
      <c r="F351" s="245" t="str">
        <f t="shared" si="22"/>
        <v>Dhoz 71</v>
      </c>
      <c r="G351" s="77" t="s">
        <v>303</v>
      </c>
      <c r="H351" s="77"/>
      <c r="I351" s="77" t="str">
        <f t="shared" si="20"/>
        <v>L08_GHVSPLIT_060E_DW</v>
      </c>
      <c r="J351" s="77" t="s">
        <v>6127</v>
      </c>
      <c r="K351" s="169">
        <f>IFERROR(MATCH(J351,'Final List'!$B$4:$B$252,0),0)</f>
        <v>0</v>
      </c>
      <c r="L351" s="169">
        <f>IFERROR(MATCH(J351,'Final List'!$D$4:$D$252,0),0)</f>
        <v>0</v>
      </c>
      <c r="M351" s="169">
        <f>IFERROR(MATCH(J351,'Final List'!$F$4:$F$251,0),0)</f>
        <v>0</v>
      </c>
      <c r="N351" s="169">
        <f>IFERROR(MATCH(J351,'Final List'!$H$4:$H$252,0),0)</f>
        <v>0</v>
      </c>
      <c r="O351" s="169">
        <f>IFERROR(MATCH(J351,'Final List'!$J$4:$J$252,0),0)</f>
        <v>0</v>
      </c>
      <c r="P351" s="169">
        <f>IFERROR(MATCH(J351,'Final List'!$L$4:$L$252,0),0)</f>
        <v>0</v>
      </c>
      <c r="Q351" s="169">
        <f>IFERROR(MATCH(J351,'Final List'!$N$4:$N$252,0),0)</f>
        <v>0</v>
      </c>
      <c r="R351" s="169">
        <f>IFERROR(MATCH(J351,'Final List'!$P$4:$P$252,0),0)</f>
        <v>0</v>
      </c>
      <c r="S351" s="169">
        <f t="shared" si="23"/>
        <v>0</v>
      </c>
      <c r="T351" s="77"/>
      <c r="U351" s="77"/>
      <c r="V351" s="77" t="str">
        <f t="shared" si="21"/>
        <v>BELICAN 1</v>
      </c>
      <c r="W351" s="77" t="s">
        <v>8895</v>
      </c>
    </row>
    <row r="352" spans="2:23" x14ac:dyDescent="0.25">
      <c r="B352" s="77" t="s">
        <v>95</v>
      </c>
      <c r="C352" s="77" t="s">
        <v>57</v>
      </c>
      <c r="D352" s="77" t="s">
        <v>170</v>
      </c>
      <c r="E352" s="77" t="s">
        <v>19</v>
      </c>
      <c r="F352" s="245" t="str">
        <f t="shared" si="22"/>
        <v>DVR 72</v>
      </c>
      <c r="G352" s="77" t="s">
        <v>474</v>
      </c>
      <c r="H352" s="77"/>
      <c r="I352" s="77" t="str">
        <f t="shared" si="20"/>
        <v>L08_JVSPLIT_071E_RAISE</v>
      </c>
      <c r="J352" s="77" t="s">
        <v>6128</v>
      </c>
      <c r="K352" s="169">
        <f>IFERROR(MATCH(J352,'Final List'!$B$4:$B$252,0),0)</f>
        <v>0</v>
      </c>
      <c r="L352" s="169">
        <f>IFERROR(MATCH(J352,'Final List'!$D$4:$D$252,0),0)</f>
        <v>0</v>
      </c>
      <c r="M352" s="169">
        <f>IFERROR(MATCH(J352,'Final List'!$F$4:$F$251,0),0)</f>
        <v>0</v>
      </c>
      <c r="N352" s="169">
        <f>IFERROR(MATCH(J352,'Final List'!$H$4:$H$252,0),0)</f>
        <v>0</v>
      </c>
      <c r="O352" s="169">
        <f>IFERROR(MATCH(J352,'Final List'!$J$4:$J$252,0),0)</f>
        <v>0</v>
      </c>
      <c r="P352" s="169">
        <f>IFERROR(MATCH(J352,'Final List'!$L$4:$L$252,0),0)</f>
        <v>0</v>
      </c>
      <c r="Q352" s="169">
        <f>IFERROR(MATCH(J352,'Final List'!$N$4:$N$252,0),0)</f>
        <v>0</v>
      </c>
      <c r="R352" s="169">
        <f>IFERROR(MATCH(J352,'Final List'!$P$4:$P$252,0),0)</f>
        <v>0</v>
      </c>
      <c r="S352" s="169">
        <f t="shared" si="23"/>
        <v>0</v>
      </c>
      <c r="T352" s="77"/>
      <c r="U352" s="77"/>
      <c r="V352" s="77" t="str">
        <f t="shared" si="21"/>
        <v>TORMIS 1</v>
      </c>
      <c r="W352" s="77" t="s">
        <v>2715</v>
      </c>
    </row>
    <row r="353" spans="1:23" x14ac:dyDescent="0.25">
      <c r="B353" s="77" t="s">
        <v>91</v>
      </c>
      <c r="C353" s="77" t="s">
        <v>56</v>
      </c>
      <c r="D353" s="77" t="s">
        <v>112</v>
      </c>
      <c r="E353" s="77" t="s">
        <v>6143</v>
      </c>
      <c r="F353" s="245" t="str">
        <f t="shared" si="22"/>
        <v>Dhoz 71</v>
      </c>
      <c r="G353" s="77" t="s">
        <v>5713</v>
      </c>
      <c r="H353" s="77"/>
      <c r="I353" s="77" t="str">
        <f t="shared" si="20"/>
        <v>L04_GHVFW_018E_DE_ISL</v>
      </c>
      <c r="J353" s="77" t="s">
        <v>6438</v>
      </c>
      <c r="K353" s="169">
        <f>IFERROR(MATCH(J353,'Final List'!$B$4:$B$252,0),0)</f>
        <v>0</v>
      </c>
      <c r="L353" s="169">
        <f>IFERROR(MATCH(J353,'Final List'!$D$4:$D$252,0),0)</f>
        <v>0</v>
      </c>
      <c r="M353" s="169">
        <f>IFERROR(MATCH(J353,'Final List'!$F$4:$F$251,0),0)</f>
        <v>0</v>
      </c>
      <c r="N353" s="169">
        <f>IFERROR(MATCH(J353,'Final List'!$H$4:$H$252,0),0)</f>
        <v>0</v>
      </c>
      <c r="O353" s="169">
        <f>IFERROR(MATCH(J353,'Final List'!$J$4:$J$252,0),0)</f>
        <v>0</v>
      </c>
      <c r="P353" s="169">
        <f>IFERROR(MATCH(J353,'Final List'!$L$4:$L$252,0),0)</f>
        <v>0</v>
      </c>
      <c r="Q353" s="169">
        <f>IFERROR(MATCH(J353,'Final List'!$N$4:$N$252,0),0)</f>
        <v>0</v>
      </c>
      <c r="R353" s="169">
        <f>IFERROR(MATCH(J353,'Final List'!$P$4:$P$252,0),0)</f>
        <v>0</v>
      </c>
      <c r="S353" s="169">
        <f t="shared" si="23"/>
        <v>0</v>
      </c>
      <c r="T353" s="77"/>
      <c r="U353" s="77"/>
      <c r="V353" s="77" t="str">
        <f t="shared" si="21"/>
        <v>SHEPHERD AL 1</v>
      </c>
      <c r="W353" s="77" t="s">
        <v>2708</v>
      </c>
    </row>
    <row r="354" spans="1:23" x14ac:dyDescent="0.25">
      <c r="B354" s="77" t="s">
        <v>94</v>
      </c>
      <c r="C354" s="77" t="s">
        <v>55</v>
      </c>
      <c r="D354" s="77" t="s">
        <v>142</v>
      </c>
      <c r="E354" s="77" t="s">
        <v>221</v>
      </c>
      <c r="F354" s="245" t="str">
        <f t="shared" si="22"/>
        <v>RobC 80</v>
      </c>
      <c r="G354" s="77" t="s">
        <v>2970</v>
      </c>
      <c r="H354" s="77"/>
      <c r="I354" s="77" t="str">
        <f t="shared" si="20"/>
        <v>L07_JVFW_038E_WINZE STOPE</v>
      </c>
      <c r="J354" s="77" t="s">
        <v>6129</v>
      </c>
      <c r="K354" s="169">
        <f>IFERROR(MATCH(J354,'Final List'!$B$4:$B$252,0),0)</f>
        <v>0</v>
      </c>
      <c r="L354" s="169">
        <f>IFERROR(MATCH(J354,'Final List'!$D$4:$D$252,0),0)</f>
        <v>0</v>
      </c>
      <c r="M354" s="169">
        <f>IFERROR(MATCH(J354,'Final List'!$F$4:$F$251,0),0)</f>
        <v>0</v>
      </c>
      <c r="N354" s="169">
        <f>IFERROR(MATCH(J354,'Final List'!$H$4:$H$252,0),0)</f>
        <v>0</v>
      </c>
      <c r="O354" s="169">
        <f>IFERROR(MATCH(J354,'Final List'!$J$4:$J$252,0),0)</f>
        <v>0</v>
      </c>
      <c r="P354" s="169">
        <f>IFERROR(MATCH(J354,'Final List'!$L$4:$L$252,0),0)</f>
        <v>0</v>
      </c>
      <c r="Q354" s="169">
        <f>IFERROR(MATCH(J354,'Final List'!$N$4:$N$252,0),0)</f>
        <v>0</v>
      </c>
      <c r="R354" s="169">
        <f>IFERROR(MATCH(J354,'Final List'!$P$4:$P$252,0),0)</f>
        <v>0</v>
      </c>
      <c r="S354" s="169">
        <f t="shared" si="23"/>
        <v>0</v>
      </c>
      <c r="T354" s="77" t="s">
        <v>68</v>
      </c>
      <c r="U354" s="77"/>
      <c r="V354" s="77" t="str">
        <f t="shared" si="21"/>
        <v>FABROA 2</v>
      </c>
      <c r="W354" s="77" t="s">
        <v>2719</v>
      </c>
    </row>
    <row r="355" spans="1:23" x14ac:dyDescent="0.25">
      <c r="B355" s="77" t="s">
        <v>94</v>
      </c>
      <c r="C355" s="77" t="s">
        <v>41</v>
      </c>
      <c r="D355" s="77" t="s">
        <v>118</v>
      </c>
      <c r="E355" s="77" t="s">
        <v>36</v>
      </c>
      <c r="F355" s="245" t="str">
        <f t="shared" si="22"/>
        <v>StpS 77</v>
      </c>
      <c r="G355" s="77" t="s">
        <v>5921</v>
      </c>
      <c r="H355" s="77"/>
      <c r="I355" s="77" t="str">
        <f t="shared" si="20"/>
        <v>L07_CTV_014E_STOPE</v>
      </c>
      <c r="J355" s="77" t="s">
        <v>6130</v>
      </c>
      <c r="K355" s="169">
        <f>IFERROR(MATCH(J355,'Final List'!$B$4:$B$252,0),0)</f>
        <v>0</v>
      </c>
      <c r="L355" s="169">
        <f>IFERROR(MATCH(J355,'Final List'!$D$4:$D$252,0),0)</f>
        <v>0</v>
      </c>
      <c r="M355" s="169">
        <f>IFERROR(MATCH(J355,'Final List'!$F$4:$F$251,0),0)</f>
        <v>0</v>
      </c>
      <c r="N355" s="169">
        <f>IFERROR(MATCH(J355,'Final List'!$H$4:$H$252,0),0)</f>
        <v>0</v>
      </c>
      <c r="O355" s="169">
        <f>IFERROR(MATCH(J355,'Final List'!$J$4:$J$252,0),0)</f>
        <v>0</v>
      </c>
      <c r="P355" s="169">
        <f>IFERROR(MATCH(J355,'Final List'!$L$4:$L$252,0),0)</f>
        <v>0</v>
      </c>
      <c r="Q355" s="169">
        <f>IFERROR(MATCH(J355,'Final List'!$N$4:$N$252,0),0)</f>
        <v>0</v>
      </c>
      <c r="R355" s="169">
        <f>IFERROR(MATCH(J355,'Final List'!$P$4:$P$252,0),0)</f>
        <v>0</v>
      </c>
      <c r="S355" s="169">
        <f t="shared" si="23"/>
        <v>0</v>
      </c>
      <c r="T355" s="77" t="s">
        <v>68</v>
      </c>
      <c r="U355" s="77"/>
      <c r="V355" s="77" t="str">
        <f t="shared" si="21"/>
        <v>TURRA 2</v>
      </c>
      <c r="W355" s="77" t="s">
        <v>2713</v>
      </c>
    </row>
    <row r="356" spans="1:23" x14ac:dyDescent="0.25">
      <c r="B356" s="77" t="s">
        <v>96</v>
      </c>
      <c r="C356" s="77" t="s">
        <v>57</v>
      </c>
      <c r="D356" s="77" t="s">
        <v>122</v>
      </c>
      <c r="E356" s="77" t="s">
        <v>19</v>
      </c>
      <c r="F356" s="245" t="str">
        <f t="shared" si="22"/>
        <v>DVR 72</v>
      </c>
      <c r="G356" s="77" t="s">
        <v>345</v>
      </c>
      <c r="H356" s="77"/>
      <c r="I356" s="77" t="str">
        <f t="shared" si="20"/>
        <v>L09_JVSPLIT_025E_RAISE</v>
      </c>
      <c r="J356" s="77" t="s">
        <v>6136</v>
      </c>
      <c r="K356" s="169">
        <f>IFERROR(MATCH(J356,'Final List'!$B$4:$B$252,0),0)</f>
        <v>0</v>
      </c>
      <c r="L356" s="169">
        <f>IFERROR(MATCH(J356,'Final List'!$D$4:$D$252,0),0)</f>
        <v>0</v>
      </c>
      <c r="M356" s="169">
        <f>IFERROR(MATCH(J356,'Final List'!$F$4:$F$251,0),0)</f>
        <v>0</v>
      </c>
      <c r="N356" s="169">
        <f>IFERROR(MATCH(J356,'Final List'!$H$4:$H$252,0),0)</f>
        <v>0</v>
      </c>
      <c r="O356" s="169">
        <f>IFERROR(MATCH(J356,'Final List'!$J$4:$J$252,0),0)</f>
        <v>0</v>
      </c>
      <c r="P356" s="169">
        <f>IFERROR(MATCH(J356,'Final List'!$L$4:$L$252,0),0)</f>
        <v>0</v>
      </c>
      <c r="Q356" s="169">
        <f>IFERROR(MATCH(J356,'Final List'!$N$4:$N$252,0),0)</f>
        <v>0</v>
      </c>
      <c r="R356" s="169">
        <f>IFERROR(MATCH(J356,'Final List'!$P$4:$P$252,0),0)</f>
        <v>0</v>
      </c>
      <c r="S356" s="169">
        <f t="shared" si="23"/>
        <v>0</v>
      </c>
      <c r="T356" s="77"/>
      <c r="U356" s="77"/>
      <c r="V356" s="77" t="str">
        <f t="shared" si="21"/>
        <v>PANSIT 1</v>
      </c>
      <c r="W356" s="77" t="s">
        <v>2715</v>
      </c>
    </row>
    <row r="357" spans="1:23" x14ac:dyDescent="0.25">
      <c r="B357" s="77" t="s">
        <v>258</v>
      </c>
      <c r="C357" s="77" t="s">
        <v>59</v>
      </c>
      <c r="D357" s="77" t="s">
        <v>167</v>
      </c>
      <c r="E357" s="77" t="s">
        <v>61</v>
      </c>
      <c r="F357" s="245" t="str">
        <f t="shared" si="22"/>
        <v>Dhoz 71</v>
      </c>
      <c r="G357" s="77" t="s">
        <v>5702</v>
      </c>
      <c r="H357" s="77"/>
      <c r="I357" s="77" t="str">
        <f t="shared" si="20"/>
        <v>L10_GHVHW_058E_DW</v>
      </c>
      <c r="J357" s="77" t="s">
        <v>7138</v>
      </c>
      <c r="K357" s="169">
        <f>IFERROR(MATCH(J357,'Final List'!$B$4:$B$252,0),0)</f>
        <v>0</v>
      </c>
      <c r="L357" s="169">
        <f>IFERROR(MATCH(J357,'Final List'!$D$4:$D$252,0),0)</f>
        <v>0</v>
      </c>
      <c r="M357" s="169">
        <f>IFERROR(MATCH(J357,'Final List'!$F$4:$F$251,0),0)</f>
        <v>0</v>
      </c>
      <c r="N357" s="169">
        <f>IFERROR(MATCH(J357,'Final List'!$H$4:$H$252,0),0)</f>
        <v>0</v>
      </c>
      <c r="O357" s="169">
        <f>IFERROR(MATCH(J357,'Final List'!$J$4:$J$252,0),0)</f>
        <v>0</v>
      </c>
      <c r="P357" s="169">
        <f>IFERROR(MATCH(J357,'Final List'!$L$4:$L$252,0),0)</f>
        <v>0</v>
      </c>
      <c r="Q357" s="169">
        <f>IFERROR(MATCH(J357,'Final List'!$N$4:$N$252,0),0)</f>
        <v>0</v>
      </c>
      <c r="R357" s="169">
        <f>IFERROR(MATCH(J357,'Final List'!$P$4:$P$252,0),0)</f>
        <v>0</v>
      </c>
      <c r="S357" s="169">
        <f t="shared" si="23"/>
        <v>0</v>
      </c>
      <c r="T357" s="77"/>
      <c r="U357" s="77"/>
      <c r="V357" s="77" t="str">
        <f t="shared" si="21"/>
        <v>LARGO 3</v>
      </c>
      <c r="W357" s="77" t="s">
        <v>8896</v>
      </c>
    </row>
    <row r="358" spans="1:23" x14ac:dyDescent="0.25">
      <c r="B358" s="77" t="s">
        <v>94</v>
      </c>
      <c r="C358" s="77" t="s">
        <v>41</v>
      </c>
      <c r="D358" s="77" t="s">
        <v>119</v>
      </c>
      <c r="E358" s="77" t="s">
        <v>62</v>
      </c>
      <c r="F358" s="245" t="str">
        <f t="shared" si="22"/>
        <v>RobS 79</v>
      </c>
      <c r="G358" s="77" t="s">
        <v>324</v>
      </c>
      <c r="H358" s="77"/>
      <c r="I358" s="77" t="str">
        <f t="shared" si="20"/>
        <v>L07_CTV_012E_ROBBING</v>
      </c>
      <c r="J358" s="77" t="s">
        <v>6137</v>
      </c>
      <c r="K358" s="169">
        <f>IFERROR(MATCH(J358,'Final List'!$B$4:$B$252,0),0)</f>
        <v>0</v>
      </c>
      <c r="L358" s="169">
        <f>IFERROR(MATCH(J358,'Final List'!$D$4:$D$252,0),0)</f>
        <v>0</v>
      </c>
      <c r="M358" s="169">
        <f>IFERROR(MATCH(J358,'Final List'!$F$4:$F$251,0),0)</f>
        <v>0</v>
      </c>
      <c r="N358" s="169">
        <f>IFERROR(MATCH(J358,'Final List'!$H$4:$H$252,0),0)</f>
        <v>0</v>
      </c>
      <c r="O358" s="169">
        <f>IFERROR(MATCH(J358,'Final List'!$J$4:$J$252,0),0)</f>
        <v>0</v>
      </c>
      <c r="P358" s="169">
        <f>IFERROR(MATCH(J358,'Final List'!$L$4:$L$252,0),0)</f>
        <v>0</v>
      </c>
      <c r="Q358" s="169">
        <f>IFERROR(MATCH(J358,'Final List'!$N$4:$N$252,0),0)</f>
        <v>0</v>
      </c>
      <c r="R358" s="169">
        <f>IFERROR(MATCH(J358,'Final List'!$P$4:$P$252,0),0)</f>
        <v>0</v>
      </c>
      <c r="S358" s="169">
        <f t="shared" si="23"/>
        <v>0</v>
      </c>
      <c r="T358" s="77" t="s">
        <v>68</v>
      </c>
      <c r="U358" s="77"/>
      <c r="V358" s="77" t="str">
        <f t="shared" si="21"/>
        <v>CAYABAS 1</v>
      </c>
      <c r="W358" s="77" t="s">
        <v>2707</v>
      </c>
    </row>
    <row r="359" spans="1:23" x14ac:dyDescent="0.25">
      <c r="B359" s="77" t="s">
        <v>94</v>
      </c>
      <c r="C359" s="77" t="s">
        <v>56</v>
      </c>
      <c r="D359" s="77" t="s">
        <v>6139</v>
      </c>
      <c r="E359" s="77" t="s">
        <v>211</v>
      </c>
      <c r="F359" s="245" t="str">
        <f t="shared" si="22"/>
        <v>StpS 77</v>
      </c>
      <c r="G359" s="77" t="s">
        <v>376</v>
      </c>
      <c r="H359" s="77"/>
      <c r="I359" s="77" t="str">
        <f t="shared" si="20"/>
        <v>L07_GHVFW_030W_STOPE PREP</v>
      </c>
      <c r="J359" s="77" t="s">
        <v>6138</v>
      </c>
      <c r="K359" s="169">
        <f>IFERROR(MATCH(J359,'Final List'!$B$4:$B$252,0),0)</f>
        <v>0</v>
      </c>
      <c r="L359" s="169">
        <f>IFERROR(MATCH(J359,'Final List'!$D$4:$D$252,0),0)</f>
        <v>0</v>
      </c>
      <c r="M359" s="169">
        <f>IFERROR(MATCH(J359,'Final List'!$F$4:$F$251,0),0)</f>
        <v>0</v>
      </c>
      <c r="N359" s="169">
        <f>IFERROR(MATCH(J359,'Final List'!$H$4:$H$252,0),0)</f>
        <v>0</v>
      </c>
      <c r="O359" s="169">
        <f>IFERROR(MATCH(J359,'Final List'!$J$4:$J$252,0),0)</f>
        <v>0</v>
      </c>
      <c r="P359" s="169">
        <f>IFERROR(MATCH(J359,'Final List'!$L$4:$L$252,0),0)</f>
        <v>0</v>
      </c>
      <c r="Q359" s="169">
        <f>IFERROR(MATCH(J359,'Final List'!$N$4:$N$252,0),0)</f>
        <v>0</v>
      </c>
      <c r="R359" s="169">
        <f>IFERROR(MATCH(J359,'Final List'!$P$4:$P$252,0),0)</f>
        <v>0</v>
      </c>
      <c r="S359" s="169">
        <f t="shared" si="23"/>
        <v>0</v>
      </c>
      <c r="T359" s="77" t="s">
        <v>68</v>
      </c>
      <c r="U359" s="77"/>
      <c r="V359" s="77" t="str">
        <f t="shared" si="21"/>
        <v>BORERO 2</v>
      </c>
      <c r="W359" s="77" t="s">
        <v>2712</v>
      </c>
    </row>
    <row r="360" spans="1:23" x14ac:dyDescent="0.25">
      <c r="B360" s="77" t="s">
        <v>95</v>
      </c>
      <c r="C360" s="77" t="s">
        <v>38</v>
      </c>
      <c r="D360" s="77" t="s">
        <v>5601</v>
      </c>
      <c r="E360" s="77" t="s">
        <v>6144</v>
      </c>
      <c r="F360" s="245" t="str">
        <f t="shared" si="22"/>
        <v>DVR 72</v>
      </c>
      <c r="G360" s="77" t="s">
        <v>467</v>
      </c>
      <c r="H360" s="77"/>
      <c r="I360" s="77" t="str">
        <f t="shared" si="20"/>
        <v>L08_GHV_026E_RAISE_ISL</v>
      </c>
      <c r="J360" s="77" t="s">
        <v>6142</v>
      </c>
      <c r="K360" s="169">
        <f>IFERROR(MATCH(J360,'Final List'!$B$4:$B$252,0),0)</f>
        <v>0</v>
      </c>
      <c r="L360" s="169">
        <f>IFERROR(MATCH(J360,'Final List'!$D$4:$D$252,0),0)</f>
        <v>0</v>
      </c>
      <c r="M360" s="169">
        <f>IFERROR(MATCH(J360,'Final List'!$F$4:$F$251,0),0)</f>
        <v>0</v>
      </c>
      <c r="N360" s="169">
        <f>IFERROR(MATCH(J360,'Final List'!$H$4:$H$252,0),0)</f>
        <v>0</v>
      </c>
      <c r="O360" s="169">
        <f>IFERROR(MATCH(J360,'Final List'!$J$4:$J$252,0),0)</f>
        <v>0</v>
      </c>
      <c r="P360" s="169">
        <f>IFERROR(MATCH(J360,'Final List'!$L$4:$L$252,0),0)</f>
        <v>0</v>
      </c>
      <c r="Q360" s="169">
        <f>IFERROR(MATCH(J360,'Final List'!$N$4:$N$252,0),0)</f>
        <v>0</v>
      </c>
      <c r="R360" s="169">
        <f>IFERROR(MATCH(J360,'Final List'!$P$4:$P$252,0),0)</f>
        <v>0</v>
      </c>
      <c r="S360" s="169">
        <f t="shared" si="23"/>
        <v>0</v>
      </c>
      <c r="T360" s="77"/>
      <c r="U360" s="77"/>
      <c r="V360" s="77" t="str">
        <f t="shared" si="21"/>
        <v>AGLOLO 2</v>
      </c>
      <c r="W360" s="77" t="s">
        <v>2715</v>
      </c>
    </row>
    <row r="361" spans="1:23" x14ac:dyDescent="0.25">
      <c r="A361" s="77"/>
      <c r="B361" s="77" t="s">
        <v>258</v>
      </c>
      <c r="C361" s="77" t="s">
        <v>43</v>
      </c>
      <c r="D361" s="77" t="s">
        <v>165</v>
      </c>
      <c r="E361" s="77" t="s">
        <v>19</v>
      </c>
      <c r="F361" s="245" t="str">
        <f t="shared" si="22"/>
        <v>DVR 72</v>
      </c>
      <c r="G361" s="77" t="s">
        <v>1905</v>
      </c>
      <c r="H361" s="77"/>
      <c r="I361" s="77" t="str">
        <f t="shared" si="20"/>
        <v>L10_GHVSPLIT_056E_RAISE</v>
      </c>
      <c r="J361" s="77" t="s">
        <v>6116</v>
      </c>
      <c r="K361" s="169">
        <f>IFERROR(MATCH(J361,'Final List'!$B$4:$B$252,0),0)</f>
        <v>0</v>
      </c>
      <c r="L361" s="169">
        <f>IFERROR(MATCH(J361,'Final List'!$D$4:$D$252,0),0)</f>
        <v>0</v>
      </c>
      <c r="M361" s="169">
        <f>IFERROR(MATCH(J361,'Final List'!$F$4:$F$251,0),0)</f>
        <v>0</v>
      </c>
      <c r="N361" s="169">
        <f>IFERROR(MATCH(J361,'Final List'!$H$4:$H$252,0),0)</f>
        <v>0</v>
      </c>
      <c r="O361" s="169">
        <f>IFERROR(MATCH(J361,'Final List'!$J$4:$J$252,0),0)</f>
        <v>0</v>
      </c>
      <c r="P361" s="169">
        <f>IFERROR(MATCH(J361,'Final List'!$L$4:$L$252,0),0)</f>
        <v>0</v>
      </c>
      <c r="Q361" s="169">
        <f>IFERROR(MATCH(J361,'Final List'!$N$4:$N$252,0),0)</f>
        <v>0</v>
      </c>
      <c r="R361" s="169">
        <f>IFERROR(MATCH(J361,'Final List'!$P$4:$P$252,0),0)</f>
        <v>0</v>
      </c>
      <c r="S361" s="169">
        <f t="shared" si="23"/>
        <v>0</v>
      </c>
      <c r="T361" s="77"/>
      <c r="U361" s="77"/>
      <c r="V361" s="77" t="str">
        <f t="shared" si="21"/>
        <v>MONTEBON 1</v>
      </c>
      <c r="W361" s="77" t="s">
        <v>2715</v>
      </c>
    </row>
    <row r="362" spans="1:23" x14ac:dyDescent="0.25">
      <c r="B362" s="77" t="s">
        <v>93</v>
      </c>
      <c r="C362" s="77" t="s">
        <v>55</v>
      </c>
      <c r="D362" s="77" t="s">
        <v>133</v>
      </c>
      <c r="E362" s="77" t="s">
        <v>6143</v>
      </c>
      <c r="F362" s="245" t="str">
        <f t="shared" si="22"/>
        <v>Dhoz 71</v>
      </c>
      <c r="G362" s="77" t="s">
        <v>379</v>
      </c>
      <c r="H362" s="77"/>
      <c r="I362" s="77" t="str">
        <f t="shared" si="20"/>
        <v>L06_JVFW_037E_DE_ISL</v>
      </c>
      <c r="J362" s="77" t="s">
        <v>6153</v>
      </c>
      <c r="K362" s="169">
        <f>IFERROR(MATCH(J362,'Final List'!$B$4:$B$252,0),0)</f>
        <v>0</v>
      </c>
      <c r="L362" s="169">
        <f>IFERROR(MATCH(J362,'Final List'!$D$4:$D$252,0),0)</f>
        <v>0</v>
      </c>
      <c r="M362" s="169">
        <f>IFERROR(MATCH(J362,'Final List'!$F$4:$F$251,0),0)</f>
        <v>0</v>
      </c>
      <c r="N362" s="169">
        <f>IFERROR(MATCH(J362,'Final List'!$H$4:$H$252,0),0)</f>
        <v>0</v>
      </c>
      <c r="O362" s="169">
        <f>IFERROR(MATCH(J362,'Final List'!$J$4:$J$252,0),0)</f>
        <v>0</v>
      </c>
      <c r="P362" s="169">
        <f>IFERROR(MATCH(J362,'Final List'!$L$4:$L$252,0),0)</f>
        <v>0</v>
      </c>
      <c r="Q362" s="169">
        <f>IFERROR(MATCH(J362,'Final List'!$N$4:$N$252,0),0)</f>
        <v>0</v>
      </c>
      <c r="R362" s="169">
        <f>IFERROR(MATCH(J362,'Final List'!$P$4:$P$252,0),0)</f>
        <v>0</v>
      </c>
      <c r="S362" s="169">
        <f t="shared" si="23"/>
        <v>0</v>
      </c>
      <c r="T362" s="77"/>
      <c r="U362" s="77"/>
      <c r="V362" s="77" t="str">
        <f t="shared" si="21"/>
        <v>GUNAY 3</v>
      </c>
      <c r="W362" s="77" t="s">
        <v>2708</v>
      </c>
    </row>
    <row r="363" spans="1:23" x14ac:dyDescent="0.25">
      <c r="B363" s="77" t="s">
        <v>96</v>
      </c>
      <c r="C363" s="77" t="s">
        <v>46</v>
      </c>
      <c r="D363" s="77" t="s">
        <v>147</v>
      </c>
      <c r="E363" s="77" t="s">
        <v>19</v>
      </c>
      <c r="F363" s="245" t="str">
        <f t="shared" si="22"/>
        <v>DVR 72</v>
      </c>
      <c r="G363" s="77" t="s">
        <v>1899</v>
      </c>
      <c r="H363" s="77" t="s">
        <v>461</v>
      </c>
      <c r="I363" s="77" t="str">
        <f t="shared" si="20"/>
        <v>L09_DPVE2_024E_RAISE</v>
      </c>
      <c r="J363" s="77" t="s">
        <v>6146</v>
      </c>
      <c r="K363" s="169">
        <f>IFERROR(MATCH(J363,'Final List'!$B$4:$B$252,0),0)</f>
        <v>0</v>
      </c>
      <c r="L363" s="169">
        <f>IFERROR(MATCH(J363,'Final List'!$D$4:$D$252,0),0)</f>
        <v>0</v>
      </c>
      <c r="M363" s="169">
        <f>IFERROR(MATCH(J363,'Final List'!$F$4:$F$251,0),0)</f>
        <v>0</v>
      </c>
      <c r="N363" s="169">
        <f>IFERROR(MATCH(J363,'Final List'!$H$4:$H$252,0),0)</f>
        <v>0</v>
      </c>
      <c r="O363" s="169">
        <f>IFERROR(MATCH(J363,'Final List'!$J$4:$J$252,0),0)</f>
        <v>0</v>
      </c>
      <c r="P363" s="169">
        <f>IFERROR(MATCH(J363,'Final List'!$L$4:$L$252,0),0)</f>
        <v>0</v>
      </c>
      <c r="Q363" s="169">
        <f>IFERROR(MATCH(J363,'Final List'!$N$4:$N$252,0),0)</f>
        <v>0</v>
      </c>
      <c r="R363" s="169">
        <f>IFERROR(MATCH(J363,'Final List'!$P$4:$P$252,0),0)</f>
        <v>0</v>
      </c>
      <c r="S363" s="169">
        <f t="shared" si="23"/>
        <v>0</v>
      </c>
      <c r="T363" s="77"/>
      <c r="U363" s="77"/>
      <c r="V363" s="77" t="str">
        <f t="shared" si="21"/>
        <v>PANSIT 4</v>
      </c>
      <c r="W363" s="77" t="s">
        <v>2715</v>
      </c>
    </row>
    <row r="364" spans="1:23" x14ac:dyDescent="0.25">
      <c r="B364" s="77" t="s">
        <v>96</v>
      </c>
      <c r="C364" s="77" t="s">
        <v>59</v>
      </c>
      <c r="D364" s="77" t="s">
        <v>5604</v>
      </c>
      <c r="E364" s="77" t="s">
        <v>19</v>
      </c>
      <c r="F364" s="245" t="str">
        <f t="shared" si="22"/>
        <v>DVR 72</v>
      </c>
      <c r="G364" s="77" t="s">
        <v>362</v>
      </c>
      <c r="H364" s="77" t="s">
        <v>585</v>
      </c>
      <c r="I364" s="77" t="str">
        <f t="shared" si="20"/>
        <v>L09_GHVHW_063E_RAISE</v>
      </c>
      <c r="J364" s="77" t="s">
        <v>6147</v>
      </c>
      <c r="K364" s="169">
        <f>IFERROR(MATCH(J364,'Final List'!$B$4:$B$252,0),0)</f>
        <v>0</v>
      </c>
      <c r="L364" s="169">
        <f>IFERROR(MATCH(J364,'Final List'!$D$4:$D$252,0),0)</f>
        <v>0</v>
      </c>
      <c r="M364" s="169">
        <f>IFERROR(MATCH(J364,'Final List'!$F$4:$F$251,0),0)</f>
        <v>0</v>
      </c>
      <c r="N364" s="169">
        <f>IFERROR(MATCH(J364,'Final List'!$H$4:$H$252,0),0)</f>
        <v>0</v>
      </c>
      <c r="O364" s="169">
        <f>IFERROR(MATCH(J364,'Final List'!$J$4:$J$252,0),0)</f>
        <v>0</v>
      </c>
      <c r="P364" s="169">
        <f>IFERROR(MATCH(J364,'Final List'!$L$4:$L$252,0),0)</f>
        <v>0</v>
      </c>
      <c r="Q364" s="169">
        <f>IFERROR(MATCH(J364,'Final List'!$N$4:$N$252,0),0)</f>
        <v>0</v>
      </c>
      <c r="R364" s="169">
        <f>IFERROR(MATCH(J364,'Final List'!$P$4:$P$252,0),0)</f>
        <v>0</v>
      </c>
      <c r="S364" s="169">
        <f t="shared" si="23"/>
        <v>0</v>
      </c>
      <c r="T364" s="77"/>
      <c r="U364" s="77"/>
      <c r="V364" s="77" t="str">
        <f t="shared" si="21"/>
        <v>ESPADA 1</v>
      </c>
      <c r="W364" s="77" t="s">
        <v>2715</v>
      </c>
    </row>
    <row r="365" spans="1:23" x14ac:dyDescent="0.25">
      <c r="B365" s="77" t="s">
        <v>96</v>
      </c>
      <c r="C365" s="77" t="s">
        <v>46</v>
      </c>
      <c r="D365" s="77" t="s">
        <v>870</v>
      </c>
      <c r="E365" s="77" t="s">
        <v>19</v>
      </c>
      <c r="F365" s="245" t="str">
        <f t="shared" si="22"/>
        <v>DVR 72</v>
      </c>
      <c r="G365" s="77" t="s">
        <v>5778</v>
      </c>
      <c r="H365" s="77" t="s">
        <v>363</v>
      </c>
      <c r="I365" s="77" t="str">
        <f t="shared" si="20"/>
        <v>L09_DPVE2_073E_RAISE</v>
      </c>
      <c r="J365" s="169" t="s">
        <v>6148</v>
      </c>
      <c r="K365" s="169">
        <f>IFERROR(MATCH(J365,'Final List'!$B$4:$B$252,0),0)</f>
        <v>0</v>
      </c>
      <c r="L365" s="169">
        <f>IFERROR(MATCH(J365,'Final List'!$D$4:$D$252,0),0)</f>
        <v>0</v>
      </c>
      <c r="M365" s="169">
        <f>IFERROR(MATCH(J365,'Final List'!$F$4:$F$251,0),0)</f>
        <v>0</v>
      </c>
      <c r="N365" s="169">
        <f>IFERROR(MATCH(J365,'Final List'!$H$4:$H$252,0),0)</f>
        <v>0</v>
      </c>
      <c r="O365" s="169">
        <f>IFERROR(MATCH(J365,'Final List'!$J$4:$J$252,0),0)</f>
        <v>0</v>
      </c>
      <c r="P365" s="169">
        <f>IFERROR(MATCH(J365,'Final List'!$L$4:$L$252,0),0)</f>
        <v>0</v>
      </c>
      <c r="Q365" s="169">
        <f>IFERROR(MATCH(J365,'Final List'!$N$4:$N$252,0),0)</f>
        <v>0</v>
      </c>
      <c r="R365" s="169">
        <f>IFERROR(MATCH(J365,'Final List'!$P$4:$P$252,0),0)</f>
        <v>0</v>
      </c>
      <c r="S365" s="169">
        <f t="shared" si="23"/>
        <v>0</v>
      </c>
      <c r="T365" s="77"/>
      <c r="U365" s="77"/>
      <c r="V365" s="77" t="str">
        <f t="shared" si="21"/>
        <v>BABOR 2</v>
      </c>
      <c r="W365" s="77" t="s">
        <v>2715</v>
      </c>
    </row>
    <row r="366" spans="1:23" x14ac:dyDescent="0.25">
      <c r="B366" s="77" t="s">
        <v>92</v>
      </c>
      <c r="C366" s="77" t="s">
        <v>42</v>
      </c>
      <c r="D366" s="77" t="s">
        <v>123</v>
      </c>
      <c r="E366" s="77" t="s">
        <v>6154</v>
      </c>
      <c r="F366" s="245" t="str">
        <f t="shared" si="22"/>
        <v>Dhoz 71</v>
      </c>
      <c r="G366" s="77" t="s">
        <v>2969</v>
      </c>
      <c r="H366" s="77"/>
      <c r="I366" s="77" t="str">
        <f t="shared" si="20"/>
        <v>L05_JV_031E_DW_ISL</v>
      </c>
      <c r="J366" s="77" t="s">
        <v>6168</v>
      </c>
      <c r="K366" s="169">
        <f>IFERROR(MATCH(J366,'Final List'!$B$4:$B$252,0),0)</f>
        <v>0</v>
      </c>
      <c r="L366" s="169">
        <f>IFERROR(MATCH(J366,'Final List'!$D$4:$D$252,0),0)</f>
        <v>0</v>
      </c>
      <c r="M366" s="169">
        <f>IFERROR(MATCH(J366,'Final List'!$F$4:$F$251,0),0)</f>
        <v>0</v>
      </c>
      <c r="N366" s="169">
        <f>IFERROR(MATCH(J366,'Final List'!$H$4:$H$252,0),0)</f>
        <v>0</v>
      </c>
      <c r="O366" s="169">
        <f>IFERROR(MATCH(J366,'Final List'!$J$4:$J$252,0),0)</f>
        <v>0</v>
      </c>
      <c r="P366" s="169">
        <f>IFERROR(MATCH(J366,'Final List'!$L$4:$L$252,0),0)</f>
        <v>0</v>
      </c>
      <c r="Q366" s="169">
        <f>IFERROR(MATCH(J366,'Final List'!$N$4:$N$252,0),0)</f>
        <v>0</v>
      </c>
      <c r="R366" s="169">
        <f>IFERROR(MATCH(J366,'Final List'!$P$4:$P$252,0),0)</f>
        <v>0</v>
      </c>
      <c r="S366" s="169">
        <f t="shared" si="23"/>
        <v>0</v>
      </c>
      <c r="T366" s="77"/>
      <c r="U366" s="77"/>
      <c r="V366" s="77" t="str">
        <f t="shared" si="21"/>
        <v>SAMBERE 1</v>
      </c>
      <c r="W366" s="77" t="s">
        <v>2708</v>
      </c>
    </row>
    <row r="367" spans="1:23" x14ac:dyDescent="0.25">
      <c r="B367" s="77" t="s">
        <v>258</v>
      </c>
      <c r="C367" s="77" t="s">
        <v>59</v>
      </c>
      <c r="D367" s="77" t="s">
        <v>132</v>
      </c>
      <c r="E367" s="77" t="s">
        <v>19</v>
      </c>
      <c r="F367" s="245" t="str">
        <f t="shared" si="22"/>
        <v>DVR 72</v>
      </c>
      <c r="G367" s="77" t="s">
        <v>5704</v>
      </c>
      <c r="H367" s="77"/>
      <c r="I367" s="77" t="str">
        <f t="shared" si="20"/>
        <v>L10_GHVHW_033E_RAISE</v>
      </c>
      <c r="J367" s="77" t="s">
        <v>6169</v>
      </c>
      <c r="K367" s="169">
        <f>IFERROR(MATCH(J367,'Final List'!$B$4:$B$252,0),0)</f>
        <v>0</v>
      </c>
      <c r="L367" s="169">
        <f>IFERROR(MATCH(J367,'Final List'!$D$4:$D$252,0),0)</f>
        <v>0</v>
      </c>
      <c r="M367" s="169">
        <f>IFERROR(MATCH(J367,'Final List'!$F$4:$F$251,0),0)</f>
        <v>0</v>
      </c>
      <c r="N367" s="169">
        <f>IFERROR(MATCH(J367,'Final List'!$H$4:$H$252,0),0)</f>
        <v>0</v>
      </c>
      <c r="O367" s="169">
        <f>IFERROR(MATCH(J367,'Final List'!$J$4:$J$252,0),0)</f>
        <v>0</v>
      </c>
      <c r="P367" s="169">
        <f>IFERROR(MATCH(J367,'Final List'!$L$4:$L$252,0),0)</f>
        <v>0</v>
      </c>
      <c r="Q367" s="169">
        <f>IFERROR(MATCH(J367,'Final List'!$N$4:$N$252,0),0)</f>
        <v>0</v>
      </c>
      <c r="R367" s="169">
        <f>IFERROR(MATCH(J367,'Final List'!$P$4:$P$252,0),0)</f>
        <v>0</v>
      </c>
      <c r="S367" s="169">
        <f t="shared" si="23"/>
        <v>0</v>
      </c>
      <c r="T367" s="77"/>
      <c r="U367" s="77"/>
      <c r="V367" s="77" t="str">
        <f t="shared" si="21"/>
        <v>OLIVEROS 3</v>
      </c>
      <c r="W367" s="77" t="s">
        <v>2715</v>
      </c>
    </row>
    <row r="368" spans="1:23" x14ac:dyDescent="0.25">
      <c r="B368" s="77" t="s">
        <v>92</v>
      </c>
      <c r="C368" s="77" t="s">
        <v>45</v>
      </c>
      <c r="D368" s="77" t="s">
        <v>5975</v>
      </c>
      <c r="E368" s="77" t="s">
        <v>211</v>
      </c>
      <c r="F368" s="245" t="str">
        <f t="shared" si="22"/>
        <v>StpS 77</v>
      </c>
      <c r="G368" s="77" t="s">
        <v>1577</v>
      </c>
      <c r="H368" s="77"/>
      <c r="I368" s="77" t="str">
        <f t="shared" si="20"/>
        <v>L05_DPVE_028E_STOPE PREP</v>
      </c>
      <c r="J368" s="77" t="s">
        <v>6171</v>
      </c>
      <c r="K368" s="169">
        <f>IFERROR(MATCH(J368,'Final List'!$B$4:$B$252,0),0)</f>
        <v>0</v>
      </c>
      <c r="L368" s="169">
        <f>IFERROR(MATCH(J368,'Final List'!$D$4:$D$252,0),0)</f>
        <v>0</v>
      </c>
      <c r="M368" s="169">
        <f>IFERROR(MATCH(J368,'Final List'!$F$4:$F$251,0),0)</f>
        <v>0</v>
      </c>
      <c r="N368" s="169">
        <f>IFERROR(MATCH(J368,'Final List'!$H$4:$H$252,0),0)</f>
        <v>0</v>
      </c>
      <c r="O368" s="169">
        <f>IFERROR(MATCH(J368,'Final List'!$J$4:$J$252,0),0)</f>
        <v>0</v>
      </c>
      <c r="P368" s="169">
        <f>IFERROR(MATCH(J368,'Final List'!$L$4:$L$252,0),0)</f>
        <v>0</v>
      </c>
      <c r="Q368" s="169">
        <f>IFERROR(MATCH(J368,'Final List'!$N$4:$N$252,0),0)</f>
        <v>0</v>
      </c>
      <c r="R368" s="169">
        <f>IFERROR(MATCH(J368,'Final List'!$P$4:$P$252,0),0)</f>
        <v>0</v>
      </c>
      <c r="S368" s="169">
        <f t="shared" si="23"/>
        <v>0</v>
      </c>
      <c r="T368" s="77" t="s">
        <v>68</v>
      </c>
      <c r="U368" s="77"/>
      <c r="V368" s="77" t="str">
        <f t="shared" si="21"/>
        <v>PANCIT, NOEL 2</v>
      </c>
      <c r="W368" s="77" t="s">
        <v>2712</v>
      </c>
    </row>
    <row r="369" spans="2:23" x14ac:dyDescent="0.25">
      <c r="B369" s="77" t="s">
        <v>92</v>
      </c>
      <c r="C369" s="77" t="s">
        <v>42</v>
      </c>
      <c r="D369" s="77" t="s">
        <v>128</v>
      </c>
      <c r="E369" s="77" t="s">
        <v>441</v>
      </c>
      <c r="F369" s="245" t="str">
        <f t="shared" si="22"/>
        <v>RobC 80</v>
      </c>
      <c r="G369" s="77" t="s">
        <v>387</v>
      </c>
      <c r="H369" s="77"/>
      <c r="I369" s="77" t="str">
        <f t="shared" si="20"/>
        <v>L05_JV_027E_WINZE STOPE PREP</v>
      </c>
      <c r="J369" s="77" t="s">
        <v>6177</v>
      </c>
      <c r="K369" s="169">
        <f>IFERROR(MATCH(J369,'Final List'!$B$4:$B$252,0),0)</f>
        <v>0</v>
      </c>
      <c r="L369" s="169">
        <f>IFERROR(MATCH(J369,'Final List'!$D$4:$D$252,0),0)</f>
        <v>0</v>
      </c>
      <c r="M369" s="169">
        <f>IFERROR(MATCH(J369,'Final List'!$F$4:$F$251,0),0)</f>
        <v>0</v>
      </c>
      <c r="N369" s="169">
        <f>IFERROR(MATCH(J369,'Final List'!$H$4:$H$252,0),0)</f>
        <v>0</v>
      </c>
      <c r="O369" s="169">
        <f>IFERROR(MATCH(J369,'Final List'!$J$4:$J$252,0),0)</f>
        <v>0</v>
      </c>
      <c r="P369" s="169">
        <f>IFERROR(MATCH(J369,'Final List'!$L$4:$L$252,0),0)</f>
        <v>0</v>
      </c>
      <c r="Q369" s="169">
        <f>IFERROR(MATCH(J369,'Final List'!$N$4:$N$252,0),0)</f>
        <v>0</v>
      </c>
      <c r="R369" s="169">
        <f>IFERROR(MATCH(J369,'Final List'!$P$4:$P$252,0),0)</f>
        <v>0</v>
      </c>
      <c r="S369" s="169">
        <f t="shared" si="23"/>
        <v>0</v>
      </c>
      <c r="T369" s="77" t="s">
        <v>48</v>
      </c>
      <c r="U369" s="77"/>
      <c r="V369" s="77" t="str">
        <f t="shared" si="21"/>
        <v>MAPAYO 1</v>
      </c>
      <c r="W369" s="77" t="s">
        <v>2716</v>
      </c>
    </row>
    <row r="370" spans="2:23" x14ac:dyDescent="0.25">
      <c r="B370" s="77" t="s">
        <v>91</v>
      </c>
      <c r="C370" s="77" t="s">
        <v>44</v>
      </c>
      <c r="D370" s="77" t="s">
        <v>5940</v>
      </c>
      <c r="E370" s="77" t="s">
        <v>61</v>
      </c>
      <c r="F370" s="245" t="str">
        <f t="shared" si="22"/>
        <v>Dhoz 71</v>
      </c>
      <c r="G370" s="77" t="s">
        <v>488</v>
      </c>
      <c r="H370" s="77"/>
      <c r="I370" s="77" t="str">
        <f t="shared" si="20"/>
        <v>L04_CV_022W_DW</v>
      </c>
      <c r="J370" s="77" t="s">
        <v>6173</v>
      </c>
      <c r="K370" s="169">
        <f>IFERROR(MATCH(J370,'Final List'!$B$4:$B$252,0),0)</f>
        <v>0</v>
      </c>
      <c r="L370" s="169">
        <f>IFERROR(MATCH(J370,'Final List'!$D$4:$D$252,0),0)</f>
        <v>0</v>
      </c>
      <c r="M370" s="169">
        <f>IFERROR(MATCH(J370,'Final List'!$F$4:$F$251,0),0)</f>
        <v>0</v>
      </c>
      <c r="N370" s="169">
        <f>IFERROR(MATCH(J370,'Final List'!$H$4:$H$252,0),0)</f>
        <v>0</v>
      </c>
      <c r="O370" s="169">
        <f>IFERROR(MATCH(J370,'Final List'!$J$4:$J$252,0),0)</f>
        <v>0</v>
      </c>
      <c r="P370" s="169">
        <f>IFERROR(MATCH(J370,'Final List'!$L$4:$L$252,0),0)</f>
        <v>0</v>
      </c>
      <c r="Q370" s="169">
        <f>IFERROR(MATCH(J370,'Final List'!$N$4:$N$252,0),0)</f>
        <v>0</v>
      </c>
      <c r="R370" s="169">
        <f>IFERROR(MATCH(J370,'Final List'!$P$4:$P$252,0),0)</f>
        <v>0</v>
      </c>
      <c r="S370" s="169">
        <f t="shared" si="23"/>
        <v>0</v>
      </c>
      <c r="T370" s="77"/>
      <c r="U370" s="77"/>
      <c r="V370" s="77" t="str">
        <f t="shared" si="21"/>
        <v>BAÑEZ 9</v>
      </c>
      <c r="W370" s="77" t="s">
        <v>8895</v>
      </c>
    </row>
    <row r="371" spans="2:23" x14ac:dyDescent="0.25">
      <c r="B371" s="77" t="s">
        <v>92</v>
      </c>
      <c r="C371" s="77" t="s">
        <v>87</v>
      </c>
      <c r="D371" s="77" t="s">
        <v>162</v>
      </c>
      <c r="E371" s="77" t="s">
        <v>70</v>
      </c>
      <c r="F371" s="245" t="str">
        <f t="shared" si="22"/>
        <v>Dhoz 71</v>
      </c>
      <c r="G371" s="77" t="s">
        <v>5707</v>
      </c>
      <c r="H371" s="77"/>
      <c r="I371" s="77" t="str">
        <f t="shared" si="20"/>
        <v>L05_NONE_008E_SUMP</v>
      </c>
      <c r="J371" s="77" t="s">
        <v>6175</v>
      </c>
      <c r="K371" s="169">
        <f>IFERROR(MATCH(J371,'Final List'!$B$4:$B$252,0),0)</f>
        <v>0</v>
      </c>
      <c r="L371" s="169">
        <f>IFERROR(MATCH(J371,'Final List'!$D$4:$D$252,0),0)</f>
        <v>0</v>
      </c>
      <c r="M371" s="169">
        <f>IFERROR(MATCH(J371,'Final List'!$F$4:$F$251,0),0)</f>
        <v>0</v>
      </c>
      <c r="N371" s="169">
        <f>IFERROR(MATCH(J371,'Final List'!$H$4:$H$252,0),0)</f>
        <v>0</v>
      </c>
      <c r="O371" s="169">
        <f>IFERROR(MATCH(J371,'Final List'!$J$4:$J$252,0),0)</f>
        <v>0</v>
      </c>
      <c r="P371" s="169">
        <f>IFERROR(MATCH(J371,'Final List'!$L$4:$L$252,0),0)</f>
        <v>0</v>
      </c>
      <c r="Q371" s="169">
        <f>IFERROR(MATCH(J371,'Final List'!$N$4:$N$252,0),0)</f>
        <v>0</v>
      </c>
      <c r="R371" s="169">
        <f>IFERROR(MATCH(J371,'Final List'!$P$4:$P$252,0),0)</f>
        <v>0</v>
      </c>
      <c r="S371" s="169">
        <f t="shared" si="23"/>
        <v>0</v>
      </c>
      <c r="T371" s="77"/>
      <c r="U371" s="77"/>
      <c r="V371" s="77" t="str">
        <f t="shared" si="21"/>
        <v>SHEPHERD AF 2</v>
      </c>
      <c r="W371" s="181" t="s">
        <v>2714</v>
      </c>
    </row>
    <row r="372" spans="2:23" x14ac:dyDescent="0.25">
      <c r="B372" s="77" t="s">
        <v>258</v>
      </c>
      <c r="C372" s="77" t="s">
        <v>87</v>
      </c>
      <c r="D372" s="77" t="s">
        <v>5940</v>
      </c>
      <c r="E372" s="77" t="s">
        <v>37</v>
      </c>
      <c r="F372" s="245" t="str">
        <f t="shared" si="22"/>
        <v>Dhoz 71</v>
      </c>
      <c r="G372" s="77" t="s">
        <v>447</v>
      </c>
      <c r="H372" s="77"/>
      <c r="I372" s="77" t="str">
        <f t="shared" si="20"/>
        <v>L10_NONE_022W_XCN</v>
      </c>
      <c r="J372" s="77" t="s">
        <v>6185</v>
      </c>
      <c r="K372" s="169">
        <f>IFERROR(MATCH(J372,'Final List'!$B$4:$B$252,0),0)</f>
        <v>0</v>
      </c>
      <c r="L372" s="169">
        <f>IFERROR(MATCH(J372,'Final List'!$D$4:$D$252,0),0)</f>
        <v>0</v>
      </c>
      <c r="M372" s="169">
        <f>IFERROR(MATCH(J372,'Final List'!$F$4:$F$251,0),0)</f>
        <v>0</v>
      </c>
      <c r="N372" s="169">
        <f>IFERROR(MATCH(J372,'Final List'!$H$4:$H$252,0),0)</f>
        <v>0</v>
      </c>
      <c r="O372" s="169">
        <f>IFERROR(MATCH(J372,'Final List'!$J$4:$J$252,0),0)</f>
        <v>0</v>
      </c>
      <c r="P372" s="169">
        <f>IFERROR(MATCH(J372,'Final List'!$L$4:$L$252,0),0)</f>
        <v>0</v>
      </c>
      <c r="Q372" s="169">
        <f>IFERROR(MATCH(J372,'Final List'!$N$4:$N$252,0),0)</f>
        <v>0</v>
      </c>
      <c r="R372" s="169">
        <f>IFERROR(MATCH(J372,'Final List'!$P$4:$P$252,0),0)</f>
        <v>0</v>
      </c>
      <c r="S372" s="169">
        <f t="shared" si="23"/>
        <v>0</v>
      </c>
      <c r="T372" s="77"/>
      <c r="U372" s="77"/>
      <c r="V372" s="77" t="str">
        <f t="shared" si="21"/>
        <v>COMAINGKING 1</v>
      </c>
      <c r="W372" s="77" t="s">
        <v>8898</v>
      </c>
    </row>
    <row r="373" spans="2:23" x14ac:dyDescent="0.25">
      <c r="B373" s="77" t="s">
        <v>258</v>
      </c>
      <c r="C373" s="77" t="s">
        <v>45</v>
      </c>
      <c r="D373" s="77" t="s">
        <v>143</v>
      </c>
      <c r="E373" s="77" t="s">
        <v>211</v>
      </c>
      <c r="F373" s="245" t="str">
        <f t="shared" si="22"/>
        <v>StpL 78</v>
      </c>
      <c r="G373" s="77" t="s">
        <v>370</v>
      </c>
      <c r="H373" s="77"/>
      <c r="I373" s="77" t="str">
        <f t="shared" si="20"/>
        <v>L10_DPVE_032E_STOPE PREP</v>
      </c>
      <c r="J373" s="77" t="s">
        <v>6186</v>
      </c>
      <c r="K373" s="169">
        <f>IFERROR(MATCH(J373,'Final List'!$B$4:$B$252,0),0)</f>
        <v>0</v>
      </c>
      <c r="L373" s="169">
        <f>IFERROR(MATCH(J373,'Final List'!$D$4:$D$252,0),0)</f>
        <v>0</v>
      </c>
      <c r="M373" s="169">
        <f>IFERROR(MATCH(J373,'Final List'!$F$4:$F$251,0),0)</f>
        <v>0</v>
      </c>
      <c r="N373" s="169">
        <f>IFERROR(MATCH(J373,'Final List'!$H$4:$H$252,0),0)</f>
        <v>0</v>
      </c>
      <c r="O373" s="169">
        <f>IFERROR(MATCH(J373,'Final List'!$J$4:$J$252,0),0)</f>
        <v>0</v>
      </c>
      <c r="P373" s="169">
        <f>IFERROR(MATCH(J373,'Final List'!$L$4:$L$252,0),0)</f>
        <v>0</v>
      </c>
      <c r="Q373" s="169">
        <f>IFERROR(MATCH(J373,'Final List'!$N$4:$N$252,0),0)</f>
        <v>0</v>
      </c>
      <c r="R373" s="169">
        <f>IFERROR(MATCH(J373,'Final List'!$P$4:$P$252,0),0)</f>
        <v>0</v>
      </c>
      <c r="S373" s="169">
        <f t="shared" si="23"/>
        <v>0</v>
      </c>
      <c r="T373" s="77" t="s">
        <v>48</v>
      </c>
      <c r="U373" s="77"/>
      <c r="V373" s="77" t="str">
        <f t="shared" si="21"/>
        <v>TAÑEZA 2</v>
      </c>
      <c r="W373" s="77" t="s">
        <v>2712</v>
      </c>
    </row>
    <row r="374" spans="2:23" x14ac:dyDescent="0.25">
      <c r="B374" s="77" t="s">
        <v>95</v>
      </c>
      <c r="C374" s="77" t="s">
        <v>43</v>
      </c>
      <c r="D374" s="77" t="s">
        <v>117</v>
      </c>
      <c r="E374" s="77" t="s">
        <v>6154</v>
      </c>
      <c r="F374" s="245" t="str">
        <f t="shared" si="22"/>
        <v>Dhoz 71</v>
      </c>
      <c r="G374" s="77" t="s">
        <v>1533</v>
      </c>
      <c r="H374" s="77"/>
      <c r="I374" s="77" t="str">
        <f t="shared" si="20"/>
        <v>L08_GHVSPLIT_006W_DW_ISL</v>
      </c>
      <c r="J374" s="77" t="s">
        <v>6213</v>
      </c>
      <c r="K374" s="169">
        <f>IFERROR(MATCH(J374,'Final List'!$B$4:$B$252,0),0)</f>
        <v>0</v>
      </c>
      <c r="L374" s="169">
        <f>IFERROR(MATCH(J374,'Final List'!$D$4:$D$252,0),0)</f>
        <v>0</v>
      </c>
      <c r="M374" s="169">
        <f>IFERROR(MATCH(J374,'Final List'!$F$4:$F$251,0),0)</f>
        <v>0</v>
      </c>
      <c r="N374" s="169">
        <f>IFERROR(MATCH(J374,'Final List'!$H$4:$H$252,0),0)</f>
        <v>0</v>
      </c>
      <c r="O374" s="169">
        <f>IFERROR(MATCH(J374,'Final List'!$J$4:$J$252,0),0)</f>
        <v>0</v>
      </c>
      <c r="P374" s="169">
        <f>IFERROR(MATCH(J374,'Final List'!$L$4:$L$252,0),0)</f>
        <v>0</v>
      </c>
      <c r="Q374" s="169">
        <f>IFERROR(MATCH(J374,'Final List'!$N$4:$N$252,0),0)</f>
        <v>0</v>
      </c>
      <c r="R374" s="169">
        <f>IFERROR(MATCH(J374,'Final List'!$P$4:$P$252,0),0)</f>
        <v>0</v>
      </c>
      <c r="S374" s="169">
        <f t="shared" si="23"/>
        <v>0</v>
      </c>
      <c r="T374" s="77"/>
      <c r="U374" s="77"/>
      <c r="V374" s="77" t="str">
        <f t="shared" si="21"/>
        <v>AGLOLO</v>
      </c>
      <c r="W374" s="77" t="s">
        <v>2708</v>
      </c>
    </row>
    <row r="375" spans="2:23" x14ac:dyDescent="0.25">
      <c r="B375" s="77" t="s">
        <v>258</v>
      </c>
      <c r="C375" s="77" t="s">
        <v>45</v>
      </c>
      <c r="D375" s="77" t="s">
        <v>168</v>
      </c>
      <c r="E375" s="77" t="s">
        <v>36</v>
      </c>
      <c r="F375" s="245" t="str">
        <f t="shared" si="22"/>
        <v>StpL 78</v>
      </c>
      <c r="G375" s="77" t="s">
        <v>373</v>
      </c>
      <c r="H375" s="77"/>
      <c r="I375" s="77" t="str">
        <f t="shared" si="20"/>
        <v>L10_DPVE_047E_STOPE</v>
      </c>
      <c r="J375" s="77" t="s">
        <v>6187</v>
      </c>
      <c r="K375" s="169">
        <f>IFERROR(MATCH(J375,'Final List'!$B$4:$B$252,0),0)</f>
        <v>0</v>
      </c>
      <c r="L375" s="169">
        <f>IFERROR(MATCH(J375,'Final List'!$D$4:$D$252,0),0)</f>
        <v>0</v>
      </c>
      <c r="M375" s="169">
        <f>IFERROR(MATCH(J375,'Final List'!$F$4:$F$251,0),0)</f>
        <v>0</v>
      </c>
      <c r="N375" s="169">
        <f>IFERROR(MATCH(J375,'Final List'!$H$4:$H$252,0),0)</f>
        <v>0</v>
      </c>
      <c r="O375" s="169">
        <f>IFERROR(MATCH(J375,'Final List'!$J$4:$J$252,0),0)</f>
        <v>0</v>
      </c>
      <c r="P375" s="169">
        <f>IFERROR(MATCH(J375,'Final List'!$L$4:$L$252,0),0)</f>
        <v>0</v>
      </c>
      <c r="Q375" s="169">
        <f>IFERROR(MATCH(J375,'Final List'!$N$4:$N$252,0),0)</f>
        <v>0</v>
      </c>
      <c r="R375" s="169">
        <f>IFERROR(MATCH(J375,'Final List'!$P$4:$P$252,0),0)</f>
        <v>0</v>
      </c>
      <c r="S375" s="169">
        <f t="shared" si="23"/>
        <v>0</v>
      </c>
      <c r="T375" s="77" t="s">
        <v>48</v>
      </c>
      <c r="U375" s="77"/>
      <c r="V375" s="77" t="str">
        <f t="shared" si="21"/>
        <v>TAÑEZA 5</v>
      </c>
      <c r="W375" s="77" t="s">
        <v>2713</v>
      </c>
    </row>
    <row r="376" spans="2:23" x14ac:dyDescent="0.25">
      <c r="B376" s="77" t="s">
        <v>258</v>
      </c>
      <c r="C376" s="77" t="s">
        <v>55</v>
      </c>
      <c r="D376" s="77" t="s">
        <v>5602</v>
      </c>
      <c r="E376" s="77" t="s">
        <v>19</v>
      </c>
      <c r="F376" s="245" t="str">
        <f t="shared" si="22"/>
        <v>DVR 72</v>
      </c>
      <c r="G376" s="77" t="s">
        <v>5079</v>
      </c>
      <c r="H376" s="77"/>
      <c r="I376" s="77" t="str">
        <f t="shared" si="20"/>
        <v>L10_JVFW_053E_RAISE</v>
      </c>
      <c r="J376" s="77" t="s">
        <v>6270</v>
      </c>
      <c r="K376" s="169">
        <f>IFERROR(MATCH(J376,'Final List'!$B$4:$B$252,0),0)</f>
        <v>0</v>
      </c>
      <c r="L376" s="169">
        <f>IFERROR(MATCH(J376,'Final List'!$D$4:$D$252,0),0)</f>
        <v>0</v>
      </c>
      <c r="M376" s="169">
        <f>IFERROR(MATCH(J376,'Final List'!$F$4:$F$251,0),0)</f>
        <v>0</v>
      </c>
      <c r="N376" s="169">
        <f>IFERROR(MATCH(J376,'Final List'!$H$4:$H$252,0),0)</f>
        <v>0</v>
      </c>
      <c r="O376" s="169">
        <f>IFERROR(MATCH(J376,'Final List'!$J$4:$J$252,0),0)</f>
        <v>0</v>
      </c>
      <c r="P376" s="169">
        <f>IFERROR(MATCH(J376,'Final List'!$L$4:$L$252,0),0)</f>
        <v>0</v>
      </c>
      <c r="Q376" s="169">
        <f>IFERROR(MATCH(J376,'Final List'!$N$4:$N$252,0),0)</f>
        <v>0</v>
      </c>
      <c r="R376" s="169">
        <f>IFERROR(MATCH(J376,'Final List'!$P$4:$P$252,0),0)</f>
        <v>0</v>
      </c>
      <c r="S376" s="169">
        <f t="shared" si="23"/>
        <v>0</v>
      </c>
      <c r="T376" s="77"/>
      <c r="U376" s="77"/>
      <c r="V376" s="77" t="str">
        <f t="shared" si="21"/>
        <v>SHEPHERD AE 2</v>
      </c>
      <c r="W376" s="77" t="s">
        <v>2715</v>
      </c>
    </row>
    <row r="377" spans="2:23" x14ac:dyDescent="0.25">
      <c r="B377" s="77" t="s">
        <v>258</v>
      </c>
      <c r="C377" s="77" t="s">
        <v>55</v>
      </c>
      <c r="D377" s="77" t="s">
        <v>205</v>
      </c>
      <c r="E377" s="77" t="s">
        <v>19</v>
      </c>
      <c r="F377" s="245" t="str">
        <f t="shared" si="22"/>
        <v>DVR 72</v>
      </c>
      <c r="G377" t="s">
        <v>453</v>
      </c>
      <c r="H377" s="77"/>
      <c r="I377" s="77" t="str">
        <f t="shared" si="20"/>
        <v>L10_JVFW_066E_RAISE</v>
      </c>
      <c r="J377" s="77" t="s">
        <v>6197</v>
      </c>
      <c r="K377" s="169">
        <f>IFERROR(MATCH(J377,'Final List'!$B$4:$B$252,0),0)</f>
        <v>0</v>
      </c>
      <c r="L377" s="169">
        <f>IFERROR(MATCH(J377,'Final List'!$D$4:$D$252,0),0)</f>
        <v>0</v>
      </c>
      <c r="M377" s="169">
        <f>IFERROR(MATCH(J377,'Final List'!$F$4:$F$251,0),0)</f>
        <v>0</v>
      </c>
      <c r="N377" s="169">
        <f>IFERROR(MATCH(J377,'Final List'!$H$4:$H$252,0),0)</f>
        <v>0</v>
      </c>
      <c r="O377" s="169">
        <f>IFERROR(MATCH(J377,'Final List'!$J$4:$J$252,0),0)</f>
        <v>0</v>
      </c>
      <c r="P377" s="169">
        <f>IFERROR(MATCH(J377,'Final List'!$L$4:$L$252,0),0)</f>
        <v>0</v>
      </c>
      <c r="Q377" s="169">
        <f>IFERROR(MATCH(J377,'Final List'!$N$4:$N$252,0),0)</f>
        <v>0</v>
      </c>
      <c r="R377" s="169">
        <f>IFERROR(MATCH(J377,'Final List'!$P$4:$P$252,0),0)</f>
        <v>0</v>
      </c>
      <c r="S377" s="169">
        <f t="shared" si="23"/>
        <v>0</v>
      </c>
      <c r="T377" s="77"/>
      <c r="U377" s="77"/>
      <c r="V377" s="77" t="str">
        <f t="shared" si="21"/>
        <v>BAÑEZ 7</v>
      </c>
      <c r="W377" s="77" t="s">
        <v>2715</v>
      </c>
    </row>
    <row r="378" spans="2:23" x14ac:dyDescent="0.25">
      <c r="B378" s="77" t="s">
        <v>95</v>
      </c>
      <c r="C378" s="77" t="s">
        <v>57</v>
      </c>
      <c r="D378" s="77" t="s">
        <v>179</v>
      </c>
      <c r="E378" s="77" t="s">
        <v>19</v>
      </c>
      <c r="F378" s="245" t="str">
        <f t="shared" si="22"/>
        <v>DVR 72</v>
      </c>
      <c r="G378" s="77" t="s">
        <v>5711</v>
      </c>
      <c r="H378" s="77"/>
      <c r="I378" s="77" t="str">
        <f t="shared" si="20"/>
        <v>L08_JVSPLIT_050E_RAISE</v>
      </c>
      <c r="J378" s="77" t="s">
        <v>6201</v>
      </c>
      <c r="K378" s="169">
        <f>IFERROR(MATCH(J378,'Final List'!$B$4:$B$252,0),0)</f>
        <v>0</v>
      </c>
      <c r="L378" s="169">
        <f>IFERROR(MATCH(J378,'Final List'!$D$4:$D$252,0),0)</f>
        <v>0</v>
      </c>
      <c r="M378" s="169">
        <f>IFERROR(MATCH(J378,'Final List'!$F$4:$F$251,0),0)</f>
        <v>0</v>
      </c>
      <c r="N378" s="169">
        <f>IFERROR(MATCH(J378,'Final List'!$H$4:$H$252,0),0)</f>
        <v>0</v>
      </c>
      <c r="O378" s="169">
        <f>IFERROR(MATCH(J378,'Final List'!$J$4:$J$252,0),0)</f>
        <v>0</v>
      </c>
      <c r="P378" s="169">
        <f>IFERROR(MATCH(J378,'Final List'!$L$4:$L$252,0),0)</f>
        <v>0</v>
      </c>
      <c r="Q378" s="169">
        <f>IFERROR(MATCH(J378,'Final List'!$N$4:$N$252,0),0)</f>
        <v>0</v>
      </c>
      <c r="R378" s="169">
        <f>IFERROR(MATCH(J378,'Final List'!$P$4:$P$252,0),0)</f>
        <v>0</v>
      </c>
      <c r="S378" s="169">
        <f t="shared" si="23"/>
        <v>0</v>
      </c>
      <c r="T378" s="77"/>
      <c r="U378" s="77"/>
      <c r="V378" s="77" t="str">
        <f t="shared" si="21"/>
        <v>SHEPHERD Q 1</v>
      </c>
      <c r="W378" s="77" t="s">
        <v>2715</v>
      </c>
    </row>
    <row r="379" spans="2:23" x14ac:dyDescent="0.25">
      <c r="B379" s="77" t="s">
        <v>92</v>
      </c>
      <c r="C379" s="77" t="s">
        <v>45</v>
      </c>
      <c r="D379" s="77" t="s">
        <v>179</v>
      </c>
      <c r="E379" s="77" t="s">
        <v>19</v>
      </c>
      <c r="F379" s="245" t="str">
        <f t="shared" si="22"/>
        <v>DVR 72</v>
      </c>
      <c r="G379" s="77" t="s">
        <v>7329</v>
      </c>
      <c r="H379" s="77"/>
      <c r="I379" s="77" t="str">
        <f t="shared" si="20"/>
        <v>L05_DPVE_050E_RAISE</v>
      </c>
      <c r="J379" s="77" t="s">
        <v>6207</v>
      </c>
      <c r="K379" s="169">
        <f>IFERROR(MATCH(J379,'Final List'!$B$4:$B$252,0),0)</f>
        <v>0</v>
      </c>
      <c r="L379" s="169">
        <f>IFERROR(MATCH(J379,'Final List'!$D$4:$D$252,0),0)</f>
        <v>0</v>
      </c>
      <c r="M379" s="169">
        <f>IFERROR(MATCH(J379,'Final List'!$F$4:$F$251,0),0)</f>
        <v>0</v>
      </c>
      <c r="N379" s="169">
        <f>IFERROR(MATCH(J379,'Final List'!$H$4:$H$252,0),0)</f>
        <v>0</v>
      </c>
      <c r="O379" s="169">
        <f>IFERROR(MATCH(J379,'Final List'!$J$4:$J$252,0),0)</f>
        <v>0</v>
      </c>
      <c r="P379" s="169">
        <f>IFERROR(MATCH(J379,'Final List'!$L$4:$L$252,0),0)</f>
        <v>0</v>
      </c>
      <c r="Q379" s="169">
        <f>IFERROR(MATCH(J379,'Final List'!$N$4:$N$252,0),0)</f>
        <v>0</v>
      </c>
      <c r="R379" s="169">
        <f>IFERROR(MATCH(J379,'Final List'!$P$4:$P$252,0),0)</f>
        <v>0</v>
      </c>
      <c r="S379" s="169">
        <f t="shared" si="23"/>
        <v>0</v>
      </c>
      <c r="T379" s="77"/>
      <c r="U379" s="77"/>
      <c r="V379" s="77" t="str">
        <f t="shared" si="21"/>
        <v>SHEPHERD RG</v>
      </c>
      <c r="W379" s="77" t="s">
        <v>2715</v>
      </c>
    </row>
    <row r="380" spans="2:23" x14ac:dyDescent="0.25">
      <c r="B380" s="77" t="s">
        <v>95</v>
      </c>
      <c r="C380" s="77" t="s">
        <v>38</v>
      </c>
      <c r="D380" s="77" t="s">
        <v>5723</v>
      </c>
      <c r="E380" s="77" t="s">
        <v>62</v>
      </c>
      <c r="F380" s="245" t="str">
        <f t="shared" si="22"/>
        <v>RobS 79</v>
      </c>
      <c r="G380" s="77" t="s">
        <v>5718</v>
      </c>
      <c r="H380" s="77"/>
      <c r="I380" s="77" t="str">
        <f t="shared" si="20"/>
        <v>L08_GHV_046E_ROBBING</v>
      </c>
      <c r="J380" s="77" t="s">
        <v>6208</v>
      </c>
      <c r="K380" s="169">
        <f>IFERROR(MATCH(J380,'Final List'!$B$4:$B$252,0),0)</f>
        <v>0</v>
      </c>
      <c r="L380" s="169">
        <f>IFERROR(MATCH(J380,'Final List'!$D$4:$D$252,0),0)</f>
        <v>0</v>
      </c>
      <c r="M380" s="169">
        <f>IFERROR(MATCH(J380,'Final List'!$F$4:$F$251,0),0)</f>
        <v>0</v>
      </c>
      <c r="N380" s="169">
        <f>IFERROR(MATCH(J380,'Final List'!$H$4:$H$252,0),0)</f>
        <v>0</v>
      </c>
      <c r="O380" s="169">
        <f>IFERROR(MATCH(J380,'Final List'!$J$4:$J$252,0),0)</f>
        <v>0</v>
      </c>
      <c r="P380" s="169">
        <f>IFERROR(MATCH(J380,'Final List'!$L$4:$L$252,0),0)</f>
        <v>0</v>
      </c>
      <c r="Q380" s="169">
        <f>IFERROR(MATCH(J380,'Final List'!$N$4:$N$252,0),0)</f>
        <v>0</v>
      </c>
      <c r="R380" s="169">
        <f>IFERROR(MATCH(J380,'Final List'!$P$4:$P$252,0),0)</f>
        <v>0</v>
      </c>
      <c r="S380" s="169">
        <f t="shared" si="23"/>
        <v>0</v>
      </c>
      <c r="T380" s="77" t="s">
        <v>68</v>
      </c>
      <c r="U380" s="77"/>
      <c r="V380" s="77" t="str">
        <f t="shared" si="21"/>
        <v>FERNANDEZ 2</v>
      </c>
      <c r="W380" s="77" t="s">
        <v>2707</v>
      </c>
    </row>
    <row r="381" spans="2:23" x14ac:dyDescent="0.25">
      <c r="B381" s="77" t="s">
        <v>258</v>
      </c>
      <c r="C381" s="77" t="s">
        <v>45</v>
      </c>
      <c r="D381" s="77" t="s">
        <v>142</v>
      </c>
      <c r="E381" s="77" t="s">
        <v>61</v>
      </c>
      <c r="F381" s="245" t="str">
        <f t="shared" si="22"/>
        <v>Dhoz 71</v>
      </c>
      <c r="G381" s="77" t="s">
        <v>5957</v>
      </c>
      <c r="H381" s="77"/>
      <c r="I381" s="77" t="str">
        <f t="shared" si="20"/>
        <v>L10_DPVE_038E_DW</v>
      </c>
      <c r="J381" s="77" t="s">
        <v>6198</v>
      </c>
      <c r="K381" s="169">
        <f>IFERROR(MATCH(J381,'Final List'!$B$4:$B$252,0),0)</f>
        <v>0</v>
      </c>
      <c r="L381" s="169">
        <f>IFERROR(MATCH(J381,'Final List'!$D$4:$D$252,0),0)</f>
        <v>0</v>
      </c>
      <c r="M381" s="169">
        <f>IFERROR(MATCH(J381,'Final List'!$F$4:$F$251,0),0)</f>
        <v>0</v>
      </c>
      <c r="N381" s="169">
        <f>IFERROR(MATCH(J381,'Final List'!$H$4:$H$252,0),0)</f>
        <v>0</v>
      </c>
      <c r="O381" s="169">
        <f>IFERROR(MATCH(J381,'Final List'!$J$4:$J$252,0),0)</f>
        <v>0</v>
      </c>
      <c r="P381" s="169">
        <f>IFERROR(MATCH(J381,'Final List'!$L$4:$L$252,0),0)</f>
        <v>0</v>
      </c>
      <c r="Q381" s="169">
        <f>IFERROR(MATCH(J381,'Final List'!$N$4:$N$252,0),0)</f>
        <v>0</v>
      </c>
      <c r="R381" s="169">
        <f>IFERROR(MATCH(J381,'Final List'!$P$4:$P$252,0),0)</f>
        <v>0</v>
      </c>
      <c r="S381" s="169">
        <f t="shared" si="23"/>
        <v>0</v>
      </c>
      <c r="T381" s="77"/>
      <c r="U381" s="77"/>
      <c r="V381" s="77" t="str">
        <f t="shared" si="21"/>
        <v>ALMASA 3</v>
      </c>
      <c r="W381" s="77" t="s">
        <v>8896</v>
      </c>
    </row>
    <row r="382" spans="2:23" x14ac:dyDescent="0.25">
      <c r="B382" s="77" t="s">
        <v>94</v>
      </c>
      <c r="C382" s="77" t="s">
        <v>45</v>
      </c>
      <c r="D382" s="77" t="s">
        <v>145</v>
      </c>
      <c r="E382" s="77" t="s">
        <v>61</v>
      </c>
      <c r="F382" s="245" t="str">
        <f t="shared" si="22"/>
        <v>Dhoz 71</v>
      </c>
      <c r="G382" s="77" t="s">
        <v>5980</v>
      </c>
      <c r="H382" s="77"/>
      <c r="I382" s="77" t="str">
        <f t="shared" si="20"/>
        <v>L07_DPVE_009E_DW</v>
      </c>
      <c r="J382" s="77" t="s">
        <v>6203</v>
      </c>
      <c r="K382" s="169">
        <f>IFERROR(MATCH(J382,'Final List'!$B$4:$B$252,0),0)</f>
        <v>0</v>
      </c>
      <c r="L382" s="169">
        <f>IFERROR(MATCH(J382,'Final List'!$D$4:$D$252,0),0)</f>
        <v>0</v>
      </c>
      <c r="M382" s="169">
        <f>IFERROR(MATCH(J382,'Final List'!$F$4:$F$251,0),0)</f>
        <v>0</v>
      </c>
      <c r="N382" s="169">
        <f>IFERROR(MATCH(J382,'Final List'!$H$4:$H$252,0),0)</f>
        <v>0</v>
      </c>
      <c r="O382" s="169">
        <f>IFERROR(MATCH(J382,'Final List'!$J$4:$J$252,0),0)</f>
        <v>0</v>
      </c>
      <c r="P382" s="169">
        <f>IFERROR(MATCH(J382,'Final List'!$L$4:$L$252,0),0)</f>
        <v>0</v>
      </c>
      <c r="Q382" s="169">
        <f>IFERROR(MATCH(J382,'Final List'!$N$4:$N$252,0),0)</f>
        <v>0</v>
      </c>
      <c r="R382" s="169">
        <f>IFERROR(MATCH(J382,'Final List'!$P$4:$P$252,0),0)</f>
        <v>0</v>
      </c>
      <c r="S382" s="169">
        <f t="shared" si="23"/>
        <v>0</v>
      </c>
      <c r="T382" s="77"/>
      <c r="U382" s="77"/>
      <c r="V382" s="77" t="str">
        <f t="shared" si="21"/>
        <v xml:space="preserve">CARIKITAN 2 </v>
      </c>
      <c r="W382" s="77" t="s">
        <v>8895</v>
      </c>
    </row>
    <row r="383" spans="2:23" x14ac:dyDescent="0.25">
      <c r="B383" s="77" t="s">
        <v>96</v>
      </c>
      <c r="C383" s="77" t="s">
        <v>57</v>
      </c>
      <c r="D383" s="77" t="s">
        <v>103</v>
      </c>
      <c r="E383" s="77" t="s">
        <v>61</v>
      </c>
      <c r="F383" s="245" t="str">
        <f t="shared" si="22"/>
        <v>Dhoz 71</v>
      </c>
      <c r="G383" s="77" t="s">
        <v>5777</v>
      </c>
      <c r="H383" s="77"/>
      <c r="I383" s="77" t="str">
        <f t="shared" si="20"/>
        <v>L09_JVSPLIT_005E_DW</v>
      </c>
      <c r="J383" s="77" t="s">
        <v>6193</v>
      </c>
      <c r="K383" s="169">
        <f>IFERROR(MATCH(J383,'Final List'!$B$4:$B$252,0),0)</f>
        <v>0</v>
      </c>
      <c r="L383" s="169">
        <f>IFERROR(MATCH(J383,'Final List'!$D$4:$D$252,0),0)</f>
        <v>0</v>
      </c>
      <c r="M383" s="169">
        <f>IFERROR(MATCH(J383,'Final List'!$F$4:$F$251,0),0)</f>
        <v>0</v>
      </c>
      <c r="N383" s="169">
        <f>IFERROR(MATCH(J383,'Final List'!$H$4:$H$252,0),0)</f>
        <v>0</v>
      </c>
      <c r="O383" s="169">
        <f>IFERROR(MATCH(J383,'Final List'!$J$4:$J$252,0),0)</f>
        <v>0</v>
      </c>
      <c r="P383" s="169">
        <f>IFERROR(MATCH(J383,'Final List'!$L$4:$L$252,0),0)</f>
        <v>0</v>
      </c>
      <c r="Q383" s="169">
        <f>IFERROR(MATCH(J383,'Final List'!$N$4:$N$252,0),0)</f>
        <v>0</v>
      </c>
      <c r="R383" s="169">
        <f>IFERROR(MATCH(J383,'Final List'!$P$4:$P$252,0),0)</f>
        <v>0</v>
      </c>
      <c r="S383" s="169">
        <f t="shared" si="23"/>
        <v>0</v>
      </c>
      <c r="T383" s="77"/>
      <c r="U383" s="77"/>
      <c r="V383" s="77" t="str">
        <f t="shared" si="21"/>
        <v>REBOTE, JOSELITO 1</v>
      </c>
      <c r="W383" s="77" t="s">
        <v>8896</v>
      </c>
    </row>
    <row r="384" spans="2:23" x14ac:dyDescent="0.25">
      <c r="B384" s="77" t="s">
        <v>96</v>
      </c>
      <c r="C384" s="77" t="s">
        <v>45</v>
      </c>
      <c r="D384" s="77" t="s">
        <v>5850</v>
      </c>
      <c r="E384" s="77" t="s">
        <v>61</v>
      </c>
      <c r="F384" s="245" t="str">
        <f t="shared" si="22"/>
        <v>Dhoz 71</v>
      </c>
      <c r="G384" s="77" t="s">
        <v>349</v>
      </c>
      <c r="H384" s="77"/>
      <c r="I384" s="77" t="str">
        <f t="shared" si="20"/>
        <v>L09_DPVE_016E_DW</v>
      </c>
      <c r="J384" s="77" t="s">
        <v>6194</v>
      </c>
      <c r="K384" s="169">
        <f>IFERROR(MATCH(J384,'Final List'!$B$4:$B$252,0),0)</f>
        <v>0</v>
      </c>
      <c r="L384" s="169">
        <f>IFERROR(MATCH(J384,'Final List'!$D$4:$D$252,0),0)</f>
        <v>0</v>
      </c>
      <c r="M384" s="169">
        <f>IFERROR(MATCH(J384,'Final List'!$F$4:$F$251,0),0)</f>
        <v>0</v>
      </c>
      <c r="N384" s="169">
        <f>IFERROR(MATCH(J384,'Final List'!$H$4:$H$252,0),0)</f>
        <v>0</v>
      </c>
      <c r="O384" s="169">
        <f>IFERROR(MATCH(J384,'Final List'!$J$4:$J$252,0),0)</f>
        <v>0</v>
      </c>
      <c r="P384" s="169">
        <f>IFERROR(MATCH(J384,'Final List'!$L$4:$L$252,0),0)</f>
        <v>0</v>
      </c>
      <c r="Q384" s="169">
        <f>IFERROR(MATCH(J384,'Final List'!$N$4:$N$252,0),0)</f>
        <v>0</v>
      </c>
      <c r="R384" s="169">
        <f>IFERROR(MATCH(J384,'Final List'!$P$4:$P$252,0),0)</f>
        <v>0</v>
      </c>
      <c r="S384" s="169">
        <f t="shared" si="23"/>
        <v>0</v>
      </c>
      <c r="T384" s="77"/>
      <c r="U384" s="77"/>
      <c r="V384" s="77" t="str">
        <f t="shared" si="21"/>
        <v>QUIJANO 2</v>
      </c>
      <c r="W384" s="77" t="s">
        <v>8896</v>
      </c>
    </row>
    <row r="385" spans="2:23" x14ac:dyDescent="0.25">
      <c r="B385" s="77" t="s">
        <v>94</v>
      </c>
      <c r="C385" s="77" t="s">
        <v>41</v>
      </c>
      <c r="D385" s="77" t="s">
        <v>129</v>
      </c>
      <c r="E385" s="77" t="s">
        <v>6143</v>
      </c>
      <c r="F385" s="245" t="str">
        <f t="shared" si="22"/>
        <v>Dhoz 71</v>
      </c>
      <c r="G385" s="77" t="s">
        <v>344</v>
      </c>
      <c r="H385" s="77"/>
      <c r="I385" s="77" t="str">
        <f t="shared" si="20"/>
        <v>L07_CTV_010E_DE_ISL</v>
      </c>
      <c r="J385" s="77" t="s">
        <v>6204</v>
      </c>
      <c r="K385" s="169">
        <f>IFERROR(MATCH(J385,'Final List'!$B$4:$B$252,0),0)</f>
        <v>0</v>
      </c>
      <c r="L385" s="169">
        <f>IFERROR(MATCH(J385,'Final List'!$D$4:$D$252,0),0)</f>
        <v>0</v>
      </c>
      <c r="M385" s="169">
        <f>IFERROR(MATCH(J385,'Final List'!$F$4:$F$251,0),0)</f>
        <v>0</v>
      </c>
      <c r="N385" s="169">
        <f>IFERROR(MATCH(J385,'Final List'!$H$4:$H$252,0),0)</f>
        <v>0</v>
      </c>
      <c r="O385" s="169">
        <f>IFERROR(MATCH(J385,'Final List'!$J$4:$J$252,0),0)</f>
        <v>0</v>
      </c>
      <c r="P385" s="169">
        <f>IFERROR(MATCH(J385,'Final List'!$L$4:$L$252,0),0)</f>
        <v>0</v>
      </c>
      <c r="Q385" s="169">
        <f>IFERROR(MATCH(J385,'Final List'!$N$4:$N$252,0),0)</f>
        <v>0</v>
      </c>
      <c r="R385" s="169">
        <f>IFERROR(MATCH(J385,'Final List'!$P$4:$P$252,0),0)</f>
        <v>0</v>
      </c>
      <c r="S385" s="169">
        <f t="shared" si="23"/>
        <v>0</v>
      </c>
      <c r="T385" s="77"/>
      <c r="U385" s="77"/>
      <c r="V385" s="77" t="str">
        <f t="shared" si="21"/>
        <v>UDLOS 1</v>
      </c>
      <c r="W385" s="77" t="s">
        <v>2708</v>
      </c>
    </row>
    <row r="386" spans="2:23" x14ac:dyDescent="0.25">
      <c r="B386" s="77" t="s">
        <v>95</v>
      </c>
      <c r="C386" s="77" t="s">
        <v>43</v>
      </c>
      <c r="D386" s="77" t="s">
        <v>140</v>
      </c>
      <c r="E386" s="77" t="s">
        <v>6154</v>
      </c>
      <c r="F386" s="245" t="str">
        <f t="shared" si="22"/>
        <v>Dhoz 71</v>
      </c>
      <c r="G386" s="77" t="s">
        <v>617</v>
      </c>
      <c r="H386" s="77"/>
      <c r="I386" s="77" t="str">
        <f t="shared" ref="I386:I449" si="24">CONCATENATE(B386,"_",C386,"_",D386,"_",E386)</f>
        <v>L08_GHVSPLIT_005W_DW_ISL</v>
      </c>
      <c r="J386" s="77" t="s">
        <v>6214</v>
      </c>
      <c r="K386" s="169">
        <f>IFERROR(MATCH(J386,'Final List'!$B$4:$B$252,0),0)</f>
        <v>0</v>
      </c>
      <c r="L386" s="169">
        <f>IFERROR(MATCH(J386,'Final List'!$D$4:$D$252,0),0)</f>
        <v>0</v>
      </c>
      <c r="M386" s="169">
        <f>IFERROR(MATCH(J386,'Final List'!$F$4:$F$251,0),0)</f>
        <v>0</v>
      </c>
      <c r="N386" s="169">
        <f>IFERROR(MATCH(J386,'Final List'!$H$4:$H$252,0),0)</f>
        <v>0</v>
      </c>
      <c r="O386" s="169">
        <f>IFERROR(MATCH(J386,'Final List'!$J$4:$J$252,0),0)</f>
        <v>0</v>
      </c>
      <c r="P386" s="169">
        <f>IFERROR(MATCH(J386,'Final List'!$L$4:$L$252,0),0)</f>
        <v>0</v>
      </c>
      <c r="Q386" s="169">
        <f>IFERROR(MATCH(J386,'Final List'!$N$4:$N$252,0),0)</f>
        <v>0</v>
      </c>
      <c r="R386" s="169">
        <f>IFERROR(MATCH(J386,'Final List'!$P$4:$P$252,0),0)</f>
        <v>0</v>
      </c>
      <c r="S386" s="169">
        <f t="shared" si="23"/>
        <v>0</v>
      </c>
      <c r="T386" s="77"/>
      <c r="U386" s="77"/>
      <c r="V386" s="77" t="str">
        <f t="shared" ref="V386:V449" si="25">IF(H386="",G386,H386)</f>
        <v>HANGDAAN 2</v>
      </c>
      <c r="W386" s="77" t="s">
        <v>2708</v>
      </c>
    </row>
    <row r="387" spans="2:23" x14ac:dyDescent="0.25">
      <c r="B387" s="77" t="s">
        <v>95</v>
      </c>
      <c r="C387" s="77" t="s">
        <v>42</v>
      </c>
      <c r="D387" s="77" t="s">
        <v>5975</v>
      </c>
      <c r="E387" s="77" t="s">
        <v>62</v>
      </c>
      <c r="F387" s="245" t="str">
        <f t="shared" ref="F387:F450" si="26">IF(OR(E387="XCN",E387="DE",E387="DW",E387="DN",E387="XCS",E387="XCE",E387="XCW",E387="SUMP",E387="BYPASS",E387="CHAMBER",E387="DRAIN HOLE",E387="DRILLING CHAMBER",E387="DE_ISL",E387="DW_ISL",E387="REHAB"),"Dhoz 71",IF(OR(E387="RAISE",E387="RAISE_ISL"),"DVR 72",IF(E387="ALIMAK","DVA 73",IF(E387="WINZE","DVW 74",IF(E387="SHAFT","DVS 75",IF(AND(E387="WINZE STOPE",T387="S"),"RobC 80",IF(AND(E387="STOPE",T387="S"),"StpS 77",IF(AND(E387="WINZE STOPE",T387="L"),"RobC 80",IF(AND(E387="STOPE",T387="L"),"StpL 78",IF(AND(E387="WINZE STOPE PREP",T387="S"),"RobC 80",IF(AND(E387="STOPE PREP",T387="S"),"StpS 77",IF(AND(E387="WINZE STOPE PREP",T387="L"),"RobC 80",IF(AND(E387="STOPE PREP",T387="L"),"StpL 78",IF(AND(E387="ROBBING",T387="L"),"RobC 80",IF(AND(E387="ROBBING",T387="S"),"RobS 79",0)))))))))))))))</f>
        <v>RobS 79</v>
      </c>
      <c r="G387" s="77" t="s">
        <v>574</v>
      </c>
      <c r="H387" s="77"/>
      <c r="I387" s="77" t="str">
        <f t="shared" si="24"/>
        <v>L08_JV_028E_ROBBING</v>
      </c>
      <c r="J387" s="77" t="s">
        <v>6212</v>
      </c>
      <c r="K387" s="169">
        <f>IFERROR(MATCH(J387,'Final List'!$B$4:$B$252,0),0)</f>
        <v>0</v>
      </c>
      <c r="L387" s="169">
        <f>IFERROR(MATCH(J387,'Final List'!$D$4:$D$252,0),0)</f>
        <v>0</v>
      </c>
      <c r="M387" s="169">
        <f>IFERROR(MATCH(J387,'Final List'!$F$4:$F$251,0),0)</f>
        <v>0</v>
      </c>
      <c r="N387" s="169">
        <f>IFERROR(MATCH(J387,'Final List'!$H$4:$H$252,0),0)</f>
        <v>0</v>
      </c>
      <c r="O387" s="169">
        <f>IFERROR(MATCH(J387,'Final List'!$J$4:$J$252,0),0)</f>
        <v>0</v>
      </c>
      <c r="P387" s="169">
        <f>IFERROR(MATCH(J387,'Final List'!$L$4:$L$252,0),0)</f>
        <v>0</v>
      </c>
      <c r="Q387" s="169">
        <f>IFERROR(MATCH(J387,'Final List'!$N$4:$N$252,0),0)</f>
        <v>0</v>
      </c>
      <c r="R387" s="169">
        <f>IFERROR(MATCH(J387,'Final List'!$P$4:$P$252,0),0)</f>
        <v>0</v>
      </c>
      <c r="S387" s="169">
        <f t="shared" ref="S387:S450" si="27">SUM(K387:R387)</f>
        <v>0</v>
      </c>
      <c r="T387" s="77" t="s">
        <v>68</v>
      </c>
      <c r="U387" s="77"/>
      <c r="V387" s="77" t="str">
        <f t="shared" si="25"/>
        <v>TORMIS 3</v>
      </c>
      <c r="W387" s="77" t="s">
        <v>2707</v>
      </c>
    </row>
    <row r="388" spans="2:23" x14ac:dyDescent="0.25">
      <c r="B388" s="77" t="s">
        <v>93</v>
      </c>
      <c r="C388" s="77" t="s">
        <v>57</v>
      </c>
      <c r="D388" s="77" t="s">
        <v>6036</v>
      </c>
      <c r="E388" s="77" t="s">
        <v>19</v>
      </c>
      <c r="F388" s="245" t="str">
        <f t="shared" si="26"/>
        <v>DVR 72</v>
      </c>
      <c r="G388" s="77" t="s">
        <v>354</v>
      </c>
      <c r="H388" s="77"/>
      <c r="I388" s="77" t="str">
        <f t="shared" si="24"/>
        <v>L06_JVSPLIT_017E_RAISE</v>
      </c>
      <c r="J388" s="77" t="s">
        <v>4713</v>
      </c>
      <c r="K388" s="169">
        <f>IFERROR(MATCH(J388,'Final List'!$B$4:$B$252,0),0)</f>
        <v>0</v>
      </c>
      <c r="L388" s="169">
        <f>IFERROR(MATCH(J388,'Final List'!$D$4:$D$252,0),0)</f>
        <v>0</v>
      </c>
      <c r="M388" s="169">
        <f>IFERROR(MATCH(J388,'Final List'!$F$4:$F$251,0),0)</f>
        <v>0</v>
      </c>
      <c r="N388" s="169">
        <f>IFERROR(MATCH(J388,'Final List'!$H$4:$H$252,0),0)</f>
        <v>0</v>
      </c>
      <c r="O388" s="169">
        <f>IFERROR(MATCH(J388,'Final List'!$J$4:$J$252,0),0)</f>
        <v>0</v>
      </c>
      <c r="P388" s="169">
        <f>IFERROR(MATCH(J388,'Final List'!$L$4:$L$252,0),0)</f>
        <v>0</v>
      </c>
      <c r="Q388" s="169">
        <f>IFERROR(MATCH(J388,'Final List'!$N$4:$N$252,0),0)</f>
        <v>0</v>
      </c>
      <c r="R388" s="169">
        <f>IFERROR(MATCH(J388,'Final List'!$P$4:$P$252,0),0)</f>
        <v>0</v>
      </c>
      <c r="S388" s="169">
        <f t="shared" si="27"/>
        <v>0</v>
      </c>
      <c r="T388" s="77"/>
      <c r="U388" s="77"/>
      <c r="V388" s="77" t="str">
        <f t="shared" si="25"/>
        <v>BAÑEZ 3</v>
      </c>
      <c r="W388" s="77" t="s">
        <v>2715</v>
      </c>
    </row>
    <row r="389" spans="2:23" x14ac:dyDescent="0.25">
      <c r="B389" s="77" t="s">
        <v>93</v>
      </c>
      <c r="C389" s="77" t="s">
        <v>45</v>
      </c>
      <c r="D389" s="77" t="s">
        <v>119</v>
      </c>
      <c r="E389" s="77" t="s">
        <v>36</v>
      </c>
      <c r="F389" s="245" t="str">
        <f t="shared" si="26"/>
        <v>StpS 77</v>
      </c>
      <c r="G389" s="77" t="s">
        <v>355</v>
      </c>
      <c r="H389" s="77"/>
      <c r="I389" s="77" t="str">
        <f t="shared" si="24"/>
        <v>L06_DPVE_012E_STOPE</v>
      </c>
      <c r="J389" s="77" t="s">
        <v>6221</v>
      </c>
      <c r="K389" s="169">
        <f>IFERROR(MATCH(J389,'Final List'!$B$4:$B$252,0),0)</f>
        <v>0</v>
      </c>
      <c r="L389" s="169">
        <f>IFERROR(MATCH(J389,'Final List'!$D$4:$D$252,0),0)</f>
        <v>0</v>
      </c>
      <c r="M389" s="169">
        <f>IFERROR(MATCH(J389,'Final List'!$F$4:$F$251,0),0)</f>
        <v>0</v>
      </c>
      <c r="N389" s="169">
        <f>IFERROR(MATCH(J389,'Final List'!$H$4:$H$252,0),0)</f>
        <v>0</v>
      </c>
      <c r="O389" s="169">
        <f>IFERROR(MATCH(J389,'Final List'!$J$4:$J$252,0),0)</f>
        <v>0</v>
      </c>
      <c r="P389" s="169">
        <f>IFERROR(MATCH(J389,'Final List'!$L$4:$L$252,0),0)</f>
        <v>0</v>
      </c>
      <c r="Q389" s="169">
        <f>IFERROR(MATCH(J389,'Final List'!$N$4:$N$252,0),0)</f>
        <v>0</v>
      </c>
      <c r="R389" s="169">
        <f>IFERROR(MATCH(J389,'Final List'!$P$4:$P$252,0),0)</f>
        <v>0</v>
      </c>
      <c r="S389" s="169">
        <f t="shared" si="27"/>
        <v>0</v>
      </c>
      <c r="T389" s="77" t="s">
        <v>68</v>
      </c>
      <c r="U389" s="77"/>
      <c r="V389" s="77" t="str">
        <f t="shared" si="25"/>
        <v>BAÑEZ 2</v>
      </c>
      <c r="W389" s="77" t="s">
        <v>2713</v>
      </c>
    </row>
    <row r="390" spans="2:23" x14ac:dyDescent="0.25">
      <c r="B390" s="77" t="s">
        <v>95</v>
      </c>
      <c r="C390" s="77" t="s">
        <v>38</v>
      </c>
      <c r="D390" s="77" t="s">
        <v>218</v>
      </c>
      <c r="E390" s="77" t="s">
        <v>62</v>
      </c>
      <c r="F390" s="245" t="str">
        <f t="shared" si="26"/>
        <v>RobS 79</v>
      </c>
      <c r="G390" s="77" t="s">
        <v>13199</v>
      </c>
      <c r="H390" s="77" t="s">
        <v>6216</v>
      </c>
      <c r="I390" s="77" t="str">
        <f t="shared" si="24"/>
        <v>L08_GHV_062E_ROBBING</v>
      </c>
      <c r="J390" s="77" t="s">
        <v>6215</v>
      </c>
      <c r="K390" s="169">
        <f>IFERROR(MATCH(J390,'Final List'!$B$4:$B$252,0),0)</f>
        <v>0</v>
      </c>
      <c r="L390" s="169">
        <f>IFERROR(MATCH(J390,'Final List'!$D$4:$D$252,0),0)</f>
        <v>0</v>
      </c>
      <c r="M390" s="169">
        <f>IFERROR(MATCH(J390,'Final List'!$F$4:$F$251,0),0)</f>
        <v>0</v>
      </c>
      <c r="N390" s="169">
        <f>IFERROR(MATCH(J390,'Final List'!$H$4:$H$252,0),0)</f>
        <v>0</v>
      </c>
      <c r="O390" s="169">
        <f>IFERROR(MATCH(J390,'Final List'!$J$4:$J$252,0),0)</f>
        <v>0</v>
      </c>
      <c r="P390" s="169">
        <f>IFERROR(MATCH(J390,'Final List'!$L$4:$L$252,0),0)</f>
        <v>0</v>
      </c>
      <c r="Q390" s="169">
        <f>IFERROR(MATCH(J390,'Final List'!$N$4:$N$252,0),0)</f>
        <v>0</v>
      </c>
      <c r="R390" s="169">
        <f>IFERROR(MATCH(J390,'Final List'!$P$4:$P$252,0),0)</f>
        <v>0</v>
      </c>
      <c r="S390" s="169">
        <f t="shared" si="27"/>
        <v>0</v>
      </c>
      <c r="T390" s="77" t="s">
        <v>68</v>
      </c>
      <c r="U390" s="77"/>
      <c r="V390" s="77" t="str">
        <f t="shared" si="25"/>
        <v>FERNANDEZ</v>
      </c>
      <c r="W390" s="77" t="s">
        <v>2707</v>
      </c>
    </row>
    <row r="391" spans="2:23" x14ac:dyDescent="0.25">
      <c r="B391" s="77" t="s">
        <v>258</v>
      </c>
      <c r="C391" s="77" t="s">
        <v>45</v>
      </c>
      <c r="D391" s="77" t="s">
        <v>128</v>
      </c>
      <c r="E391" s="77" t="s">
        <v>211</v>
      </c>
      <c r="F391" s="245" t="str">
        <f t="shared" si="26"/>
        <v>StpL 78</v>
      </c>
      <c r="G391" s="77" t="s">
        <v>372</v>
      </c>
      <c r="H391" s="77"/>
      <c r="I391" s="77" t="str">
        <f t="shared" si="24"/>
        <v>L10_DPVE_027E_STOPE PREP</v>
      </c>
      <c r="J391" s="77" t="s">
        <v>6225</v>
      </c>
      <c r="K391" s="169">
        <f>IFERROR(MATCH(J391,'Final List'!$B$4:$B$252,0),0)</f>
        <v>0</v>
      </c>
      <c r="L391" s="169">
        <f>IFERROR(MATCH(J391,'Final List'!$D$4:$D$252,0),0)</f>
        <v>0</v>
      </c>
      <c r="M391" s="169">
        <f>IFERROR(MATCH(J391,'Final List'!$F$4:$F$251,0),0)</f>
        <v>0</v>
      </c>
      <c r="N391" s="169">
        <f>IFERROR(MATCH(J391,'Final List'!$H$4:$H$252,0),0)</f>
        <v>0</v>
      </c>
      <c r="O391" s="169">
        <f>IFERROR(MATCH(J391,'Final List'!$J$4:$J$252,0),0)</f>
        <v>0</v>
      </c>
      <c r="P391" s="169">
        <f>IFERROR(MATCH(J391,'Final List'!$L$4:$L$252,0),0)</f>
        <v>0</v>
      </c>
      <c r="Q391" s="169">
        <f>IFERROR(MATCH(J391,'Final List'!$N$4:$N$252,0),0)</f>
        <v>0</v>
      </c>
      <c r="R391" s="169">
        <f>IFERROR(MATCH(J391,'Final List'!$P$4:$P$252,0),0)</f>
        <v>0</v>
      </c>
      <c r="S391" s="169">
        <f t="shared" si="27"/>
        <v>0</v>
      </c>
      <c r="T391" s="77" t="s">
        <v>48</v>
      </c>
      <c r="U391" s="77"/>
      <c r="V391" s="77" t="str">
        <f t="shared" si="25"/>
        <v>TAÑEZA 4</v>
      </c>
      <c r="W391" s="77" t="s">
        <v>2712</v>
      </c>
    </row>
    <row r="392" spans="2:23" x14ac:dyDescent="0.25">
      <c r="B392" s="77" t="s">
        <v>258</v>
      </c>
      <c r="C392" s="77" t="s">
        <v>38</v>
      </c>
      <c r="D392" s="77" t="s">
        <v>110</v>
      </c>
      <c r="E392" s="77" t="s">
        <v>62</v>
      </c>
      <c r="F392" s="245" t="str">
        <f t="shared" si="26"/>
        <v>RobS 79</v>
      </c>
      <c r="G392" s="77" t="s">
        <v>447</v>
      </c>
      <c r="H392" s="77" t="s">
        <v>3860</v>
      </c>
      <c r="I392" s="77" t="str">
        <f t="shared" si="24"/>
        <v>L10_GHV_004E_ROBBING</v>
      </c>
      <c r="J392" s="77" t="s">
        <v>6227</v>
      </c>
      <c r="K392" s="169">
        <f>IFERROR(MATCH(J392,'Final List'!$B$4:$B$252,0),0)</f>
        <v>0</v>
      </c>
      <c r="L392" s="169">
        <f>IFERROR(MATCH(J392,'Final List'!$D$4:$D$252,0),0)</f>
        <v>0</v>
      </c>
      <c r="M392" s="169">
        <f>IFERROR(MATCH(J392,'Final List'!$F$4:$F$251,0),0)</f>
        <v>0</v>
      </c>
      <c r="N392" s="169">
        <f>IFERROR(MATCH(J392,'Final List'!$H$4:$H$252,0),0)</f>
        <v>0</v>
      </c>
      <c r="O392" s="169">
        <f>IFERROR(MATCH(J392,'Final List'!$J$4:$J$252,0),0)</f>
        <v>0</v>
      </c>
      <c r="P392" s="169">
        <f>IFERROR(MATCH(J392,'Final List'!$L$4:$L$252,0),0)</f>
        <v>0</v>
      </c>
      <c r="Q392" s="169">
        <f>IFERROR(MATCH(J392,'Final List'!$N$4:$N$252,0),0)</f>
        <v>0</v>
      </c>
      <c r="R392" s="169">
        <f>IFERROR(MATCH(J392,'Final List'!$P$4:$P$252,0),0)</f>
        <v>0</v>
      </c>
      <c r="S392" s="169">
        <f t="shared" si="27"/>
        <v>0</v>
      </c>
      <c r="T392" s="77" t="s">
        <v>68</v>
      </c>
      <c r="U392" s="77"/>
      <c r="V392" s="77" t="str">
        <f t="shared" si="25"/>
        <v>FERNANDEZ, REX 1</v>
      </c>
      <c r="W392" s="77" t="s">
        <v>2707</v>
      </c>
    </row>
    <row r="393" spans="2:23" x14ac:dyDescent="0.25">
      <c r="B393" s="77" t="s">
        <v>258</v>
      </c>
      <c r="C393" s="77" t="s">
        <v>57</v>
      </c>
      <c r="D393" s="77" t="s">
        <v>170</v>
      </c>
      <c r="E393" s="77" t="s">
        <v>36</v>
      </c>
      <c r="F393" s="245" t="str">
        <f t="shared" si="26"/>
        <v>StpS 77</v>
      </c>
      <c r="G393" s="77" t="s">
        <v>5918</v>
      </c>
      <c r="H393" s="77"/>
      <c r="I393" s="77" t="str">
        <f t="shared" si="24"/>
        <v>L10_JVSPLIT_071E_STOPE</v>
      </c>
      <c r="J393" s="77" t="s">
        <v>6235</v>
      </c>
      <c r="K393" s="169">
        <f>IFERROR(MATCH(J393,'Final List'!$B$4:$B$252,0),0)</f>
        <v>0</v>
      </c>
      <c r="L393" s="169">
        <f>IFERROR(MATCH(J393,'Final List'!$D$4:$D$252,0),0)</f>
        <v>0</v>
      </c>
      <c r="M393" s="169">
        <f>IFERROR(MATCH(J393,'Final List'!$F$4:$F$251,0),0)</f>
        <v>0</v>
      </c>
      <c r="N393" s="169">
        <f>IFERROR(MATCH(J393,'Final List'!$H$4:$H$252,0),0)</f>
        <v>0</v>
      </c>
      <c r="O393" s="169">
        <f>IFERROR(MATCH(J393,'Final List'!$J$4:$J$252,0),0)</f>
        <v>0</v>
      </c>
      <c r="P393" s="169">
        <f>IFERROR(MATCH(J393,'Final List'!$L$4:$L$252,0),0)</f>
        <v>0</v>
      </c>
      <c r="Q393" s="169">
        <f>IFERROR(MATCH(J393,'Final List'!$N$4:$N$252,0),0)</f>
        <v>0</v>
      </c>
      <c r="R393" s="169">
        <f>IFERROR(MATCH(J393,'Final List'!$P$4:$P$252,0),0)</f>
        <v>0</v>
      </c>
      <c r="S393" s="169">
        <f t="shared" si="27"/>
        <v>0</v>
      </c>
      <c r="T393" s="77" t="s">
        <v>68</v>
      </c>
      <c r="U393" s="77"/>
      <c r="V393" s="77" t="str">
        <f t="shared" si="25"/>
        <v>CAPOY  1</v>
      </c>
      <c r="W393" s="77" t="s">
        <v>2713</v>
      </c>
    </row>
    <row r="394" spans="2:23" x14ac:dyDescent="0.25">
      <c r="B394" s="77" t="s">
        <v>258</v>
      </c>
      <c r="C394" s="77" t="s">
        <v>56</v>
      </c>
      <c r="D394" s="77" t="s">
        <v>160</v>
      </c>
      <c r="E394" s="77" t="s">
        <v>62</v>
      </c>
      <c r="F394" s="245" t="str">
        <f t="shared" si="26"/>
        <v>RobC 80</v>
      </c>
      <c r="G394" s="77" t="s">
        <v>3252</v>
      </c>
      <c r="H394" s="77"/>
      <c r="I394" s="77" t="str">
        <f t="shared" si="24"/>
        <v>L10_GHVFW_042E_ROBBING</v>
      </c>
      <c r="J394" s="77" t="s">
        <v>6238</v>
      </c>
      <c r="K394" s="169">
        <f>IFERROR(MATCH(J394,'Final List'!$B$4:$B$252,0),0)</f>
        <v>0</v>
      </c>
      <c r="L394" s="169">
        <f>IFERROR(MATCH(J394,'Final List'!$D$4:$D$252,0),0)</f>
        <v>0</v>
      </c>
      <c r="M394" s="169">
        <f>IFERROR(MATCH(J394,'Final List'!$F$4:$F$251,0),0)</f>
        <v>0</v>
      </c>
      <c r="N394" s="169">
        <f>IFERROR(MATCH(J394,'Final List'!$H$4:$H$252,0),0)</f>
        <v>0</v>
      </c>
      <c r="O394" s="169">
        <f>IFERROR(MATCH(J394,'Final List'!$J$4:$J$252,0),0)</f>
        <v>0</v>
      </c>
      <c r="P394" s="169">
        <f>IFERROR(MATCH(J394,'Final List'!$L$4:$L$252,0),0)</f>
        <v>0</v>
      </c>
      <c r="Q394" s="169">
        <f>IFERROR(MATCH(J394,'Final List'!$N$4:$N$252,0),0)</f>
        <v>0</v>
      </c>
      <c r="R394" s="169">
        <f>IFERROR(MATCH(J394,'Final List'!$P$4:$P$252,0),0)</f>
        <v>0</v>
      </c>
      <c r="S394" s="169">
        <f t="shared" si="27"/>
        <v>0</v>
      </c>
      <c r="T394" s="77" t="s">
        <v>48</v>
      </c>
      <c r="U394" s="77"/>
      <c r="V394" s="77" t="str">
        <f t="shared" si="25"/>
        <v>SHEPHERD AA1</v>
      </c>
      <c r="W394" s="77" t="s">
        <v>236</v>
      </c>
    </row>
    <row r="395" spans="2:23" x14ac:dyDescent="0.25">
      <c r="B395" s="77" t="s">
        <v>93</v>
      </c>
      <c r="C395" s="77" t="s">
        <v>42</v>
      </c>
      <c r="D395" s="77" t="s">
        <v>129</v>
      </c>
      <c r="E395" s="77" t="s">
        <v>6154</v>
      </c>
      <c r="F395" s="245" t="str">
        <f t="shared" si="26"/>
        <v>Dhoz 71</v>
      </c>
      <c r="G395" s="77" t="s">
        <v>341</v>
      </c>
      <c r="H395" s="77"/>
      <c r="I395" s="77" t="str">
        <f t="shared" si="24"/>
        <v>L06_JV_010E_DW_ISL</v>
      </c>
      <c r="J395" s="77" t="s">
        <v>6239</v>
      </c>
      <c r="K395" s="169">
        <f>IFERROR(MATCH(J395,'Final List'!$B$4:$B$252,0),0)</f>
        <v>0</v>
      </c>
      <c r="L395" s="169">
        <f>IFERROR(MATCH(J395,'Final List'!$D$4:$D$252,0),0)</f>
        <v>0</v>
      </c>
      <c r="M395" s="169">
        <f>IFERROR(MATCH(J395,'Final List'!$F$4:$F$251,0),0)</f>
        <v>0</v>
      </c>
      <c r="N395" s="169">
        <f>IFERROR(MATCH(J395,'Final List'!$H$4:$H$252,0),0)</f>
        <v>0</v>
      </c>
      <c r="O395" s="169">
        <f>IFERROR(MATCH(J395,'Final List'!$J$4:$J$252,0),0)</f>
        <v>0</v>
      </c>
      <c r="P395" s="169">
        <f>IFERROR(MATCH(J395,'Final List'!$L$4:$L$252,0),0)</f>
        <v>0</v>
      </c>
      <c r="Q395" s="169">
        <f>IFERROR(MATCH(J395,'Final List'!$N$4:$N$252,0),0)</f>
        <v>0</v>
      </c>
      <c r="R395" s="169">
        <f>IFERROR(MATCH(J395,'Final List'!$P$4:$P$252,0),0)</f>
        <v>0</v>
      </c>
      <c r="S395" s="169">
        <f t="shared" si="27"/>
        <v>0</v>
      </c>
      <c r="T395" s="77" t="s">
        <v>47</v>
      </c>
      <c r="U395" s="77"/>
      <c r="V395" s="77" t="str">
        <f t="shared" si="25"/>
        <v>BADBADON 1</v>
      </c>
      <c r="W395" s="77" t="s">
        <v>2708</v>
      </c>
    </row>
    <row r="396" spans="2:23" x14ac:dyDescent="0.25">
      <c r="B396" s="77" t="s">
        <v>258</v>
      </c>
      <c r="C396" s="77" t="s">
        <v>45</v>
      </c>
      <c r="D396" s="77" t="s">
        <v>5742</v>
      </c>
      <c r="E396" s="77" t="s">
        <v>36</v>
      </c>
      <c r="F396" s="245" t="str">
        <f t="shared" si="26"/>
        <v>StpL 78</v>
      </c>
      <c r="G396" s="77" t="s">
        <v>374</v>
      </c>
      <c r="H396" s="77"/>
      <c r="I396" s="77" t="str">
        <f t="shared" si="24"/>
        <v>L10_DPVE_040E_STOPE</v>
      </c>
      <c r="J396" s="77" t="s">
        <v>6240</v>
      </c>
      <c r="K396" s="169">
        <f>IFERROR(MATCH(J396,'Final List'!$B$4:$B$252,0),0)</f>
        <v>0</v>
      </c>
      <c r="L396" s="169">
        <f>IFERROR(MATCH(J396,'Final List'!$D$4:$D$252,0),0)</f>
        <v>0</v>
      </c>
      <c r="M396" s="169">
        <f>IFERROR(MATCH(J396,'Final List'!$F$4:$F$251,0),0)</f>
        <v>0</v>
      </c>
      <c r="N396" s="169">
        <f>IFERROR(MATCH(J396,'Final List'!$H$4:$H$252,0),0)</f>
        <v>0</v>
      </c>
      <c r="O396" s="169">
        <f>IFERROR(MATCH(J396,'Final List'!$J$4:$J$252,0),0)</f>
        <v>0</v>
      </c>
      <c r="P396" s="169">
        <f>IFERROR(MATCH(J396,'Final List'!$L$4:$L$252,0),0)</f>
        <v>0</v>
      </c>
      <c r="Q396" s="169">
        <f>IFERROR(MATCH(J396,'Final List'!$N$4:$N$252,0),0)</f>
        <v>0</v>
      </c>
      <c r="R396" s="169">
        <f>IFERROR(MATCH(J396,'Final List'!$P$4:$P$252,0),0)</f>
        <v>0</v>
      </c>
      <c r="S396" s="169">
        <f t="shared" si="27"/>
        <v>0</v>
      </c>
      <c r="T396" s="77" t="s">
        <v>48</v>
      </c>
      <c r="U396" s="77"/>
      <c r="V396" s="77" t="str">
        <f t="shared" si="25"/>
        <v>TAÑEZA 6</v>
      </c>
      <c r="W396" s="77" t="s">
        <v>2713</v>
      </c>
    </row>
    <row r="397" spans="2:23" x14ac:dyDescent="0.25">
      <c r="B397" s="77" t="s">
        <v>95</v>
      </c>
      <c r="C397" s="77" t="s">
        <v>45</v>
      </c>
      <c r="D397" s="77" t="s">
        <v>247</v>
      </c>
      <c r="E397" s="77" t="s">
        <v>20</v>
      </c>
      <c r="F397" s="245" t="str">
        <f t="shared" si="26"/>
        <v>DVW 74</v>
      </c>
      <c r="G397" s="77" t="s">
        <v>329</v>
      </c>
      <c r="H397" s="77"/>
      <c r="I397" s="77" t="str">
        <f t="shared" si="24"/>
        <v>L08_DPVE_080E_WINZE</v>
      </c>
      <c r="J397" s="77" t="s">
        <v>6244</v>
      </c>
      <c r="K397" s="169">
        <f>IFERROR(MATCH(J397,'Final List'!$B$4:$B$252,0),0)</f>
        <v>0</v>
      </c>
      <c r="L397" s="169">
        <f>IFERROR(MATCH(J397,'Final List'!$D$4:$D$252,0),0)</f>
        <v>0</v>
      </c>
      <c r="M397" s="169">
        <f>IFERROR(MATCH(J397,'Final List'!$F$4:$F$251,0),0)</f>
        <v>0</v>
      </c>
      <c r="N397" s="169">
        <f>IFERROR(MATCH(J397,'Final List'!$H$4:$H$252,0),0)</f>
        <v>0</v>
      </c>
      <c r="O397" s="169">
        <f>IFERROR(MATCH(J397,'Final List'!$J$4:$J$252,0),0)</f>
        <v>0</v>
      </c>
      <c r="P397" s="169">
        <f>IFERROR(MATCH(J397,'Final List'!$L$4:$L$252,0),0)</f>
        <v>0</v>
      </c>
      <c r="Q397" s="169">
        <f>IFERROR(MATCH(J397,'Final List'!$N$4:$N$252,0),0)</f>
        <v>0</v>
      </c>
      <c r="R397" s="169">
        <f>IFERROR(MATCH(J397,'Final List'!$P$4:$P$252,0),0)</f>
        <v>0</v>
      </c>
      <c r="S397" s="169">
        <f t="shared" si="27"/>
        <v>0</v>
      </c>
      <c r="T397" s="77" t="s">
        <v>48</v>
      </c>
      <c r="U397" s="77"/>
      <c r="V397" s="77" t="str">
        <f t="shared" si="25"/>
        <v>OY-YOY 1</v>
      </c>
      <c r="W397" s="77" t="s">
        <v>2706</v>
      </c>
    </row>
    <row r="398" spans="2:23" x14ac:dyDescent="0.25">
      <c r="B398" s="77" t="s">
        <v>95</v>
      </c>
      <c r="C398" s="77" t="s">
        <v>38</v>
      </c>
      <c r="D398" s="77" t="s">
        <v>122</v>
      </c>
      <c r="E398" s="77" t="s">
        <v>62</v>
      </c>
      <c r="F398" s="245" t="str">
        <f t="shared" si="26"/>
        <v>RobS 79</v>
      </c>
      <c r="G398" s="77" t="s">
        <v>5720</v>
      </c>
      <c r="H398" s="77"/>
      <c r="I398" s="77" t="str">
        <f t="shared" si="24"/>
        <v>L08_GHV_025E_ROBBING</v>
      </c>
      <c r="J398" s="77" t="s">
        <v>6245</v>
      </c>
      <c r="K398" s="169">
        <f>IFERROR(MATCH(J398,'Final List'!$B$4:$B$252,0),0)</f>
        <v>0</v>
      </c>
      <c r="L398" s="169">
        <f>IFERROR(MATCH(J398,'Final List'!$D$4:$D$252,0),0)</f>
        <v>0</v>
      </c>
      <c r="M398" s="169">
        <f>IFERROR(MATCH(J398,'Final List'!$F$4:$F$251,0),0)</f>
        <v>0</v>
      </c>
      <c r="N398" s="169">
        <f>IFERROR(MATCH(J398,'Final List'!$H$4:$H$252,0),0)</f>
        <v>0</v>
      </c>
      <c r="O398" s="169">
        <f>IFERROR(MATCH(J398,'Final List'!$J$4:$J$252,0),0)</f>
        <v>0</v>
      </c>
      <c r="P398" s="169">
        <f>IFERROR(MATCH(J398,'Final List'!$L$4:$L$252,0),0)</f>
        <v>0</v>
      </c>
      <c r="Q398" s="169">
        <f>IFERROR(MATCH(J398,'Final List'!$N$4:$N$252,0),0)</f>
        <v>0</v>
      </c>
      <c r="R398" s="169">
        <f>IFERROR(MATCH(J398,'Final List'!$P$4:$P$252,0),0)</f>
        <v>0</v>
      </c>
      <c r="S398" s="169">
        <f t="shared" si="27"/>
        <v>0</v>
      </c>
      <c r="T398" s="77" t="s">
        <v>68</v>
      </c>
      <c r="U398" s="77"/>
      <c r="V398" s="77" t="str">
        <f t="shared" si="25"/>
        <v>TURRA 1</v>
      </c>
      <c r="W398" s="77" t="s">
        <v>2707</v>
      </c>
    </row>
    <row r="399" spans="2:23" x14ac:dyDescent="0.25">
      <c r="B399" s="77" t="s">
        <v>96</v>
      </c>
      <c r="C399" s="77" t="s">
        <v>55</v>
      </c>
      <c r="D399" s="77" t="s">
        <v>284</v>
      </c>
      <c r="E399" s="77" t="s">
        <v>61</v>
      </c>
      <c r="F399" s="245" t="str">
        <f t="shared" si="26"/>
        <v>Dhoz 71</v>
      </c>
      <c r="G399" s="77" t="s">
        <v>5779</v>
      </c>
      <c r="H399" s="77"/>
      <c r="I399" s="77" t="str">
        <f t="shared" si="24"/>
        <v>L09_JVFW_061E_DW</v>
      </c>
      <c r="J399" s="77" t="s">
        <v>6250</v>
      </c>
      <c r="K399" s="169">
        <f>IFERROR(MATCH(J399,'Final List'!$B$4:$B$252,0),0)</f>
        <v>0</v>
      </c>
      <c r="L399" s="169">
        <f>IFERROR(MATCH(J399,'Final List'!$D$4:$D$252,0),0)</f>
        <v>0</v>
      </c>
      <c r="M399" s="169">
        <f>IFERROR(MATCH(J399,'Final List'!$F$4:$F$251,0),0)</f>
        <v>0</v>
      </c>
      <c r="N399" s="169">
        <f>IFERROR(MATCH(J399,'Final List'!$H$4:$H$252,0),0)</f>
        <v>0</v>
      </c>
      <c r="O399" s="169">
        <f>IFERROR(MATCH(J399,'Final List'!$J$4:$J$252,0),0)</f>
        <v>0</v>
      </c>
      <c r="P399" s="169">
        <f>IFERROR(MATCH(J399,'Final List'!$L$4:$L$252,0),0)</f>
        <v>0</v>
      </c>
      <c r="Q399" s="169">
        <f>IFERROR(MATCH(J399,'Final List'!$N$4:$N$252,0),0)</f>
        <v>0</v>
      </c>
      <c r="R399" s="169">
        <f>IFERROR(MATCH(J399,'Final List'!$P$4:$P$252,0),0)</f>
        <v>0</v>
      </c>
      <c r="S399" s="169">
        <f t="shared" si="27"/>
        <v>0</v>
      </c>
      <c r="T399" s="77"/>
      <c r="U399" s="77"/>
      <c r="V399" s="77" t="str">
        <f t="shared" si="25"/>
        <v>REBOTE, JONATHAN 2</v>
      </c>
      <c r="W399" s="77" t="s">
        <v>8896</v>
      </c>
    </row>
    <row r="400" spans="2:23" x14ac:dyDescent="0.25">
      <c r="B400" s="77" t="s">
        <v>92</v>
      </c>
      <c r="C400" s="77" t="s">
        <v>39</v>
      </c>
      <c r="D400" s="77" t="s">
        <v>195</v>
      </c>
      <c r="E400" s="77" t="s">
        <v>20</v>
      </c>
      <c r="F400" s="245" t="str">
        <f t="shared" si="26"/>
        <v>DVW 74</v>
      </c>
      <c r="G400" s="77" t="s">
        <v>5801</v>
      </c>
      <c r="H400" s="77"/>
      <c r="I400" s="77" t="str">
        <f t="shared" si="24"/>
        <v>L05_JVHW_008W_WINZE</v>
      </c>
      <c r="J400" s="77" t="s">
        <v>6247</v>
      </c>
      <c r="K400" s="169">
        <f>IFERROR(MATCH(J400,'Final List'!$B$4:$B$252,0),0)</f>
        <v>0</v>
      </c>
      <c r="L400" s="169">
        <f>IFERROR(MATCH(J400,'Final List'!$D$4:$D$252,0),0)</f>
        <v>0</v>
      </c>
      <c r="M400" s="169">
        <f>IFERROR(MATCH(J400,'Final List'!$F$4:$F$251,0),0)</f>
        <v>0</v>
      </c>
      <c r="N400" s="169">
        <f>IFERROR(MATCH(J400,'Final List'!$H$4:$H$252,0),0)</f>
        <v>0</v>
      </c>
      <c r="O400" s="169">
        <f>IFERROR(MATCH(J400,'Final List'!$J$4:$J$252,0),0)</f>
        <v>0</v>
      </c>
      <c r="P400" s="169">
        <f>IFERROR(MATCH(J400,'Final List'!$L$4:$L$252,0),0)</f>
        <v>0</v>
      </c>
      <c r="Q400" s="169">
        <f>IFERROR(MATCH(J400,'Final List'!$N$4:$N$252,0),0)</f>
        <v>0</v>
      </c>
      <c r="R400" s="169">
        <f>IFERROR(MATCH(J400,'Final List'!$P$4:$P$252,0),0)</f>
        <v>0</v>
      </c>
      <c r="S400" s="169">
        <f t="shared" si="27"/>
        <v>0</v>
      </c>
      <c r="T400" s="77"/>
      <c r="U400" s="77"/>
      <c r="V400" s="77" t="str">
        <f t="shared" si="25"/>
        <v>SHEPHERD AM 1</v>
      </c>
      <c r="W400" s="77" t="s">
        <v>2706</v>
      </c>
    </row>
    <row r="401" spans="2:23" x14ac:dyDescent="0.25">
      <c r="B401" s="77" t="s">
        <v>96</v>
      </c>
      <c r="C401" s="77" t="s">
        <v>42</v>
      </c>
      <c r="D401" s="77" t="s">
        <v>167</v>
      </c>
      <c r="E401" s="77" t="s">
        <v>36</v>
      </c>
      <c r="F401" s="245" t="str">
        <f t="shared" si="26"/>
        <v>StpS 77</v>
      </c>
      <c r="G401" s="77" t="s">
        <v>460</v>
      </c>
      <c r="H401" s="77"/>
      <c r="I401" s="77" t="str">
        <f t="shared" si="24"/>
        <v>L09_JV_058E_STOPE</v>
      </c>
      <c r="J401" s="77" t="s">
        <v>6195</v>
      </c>
      <c r="K401" s="169">
        <f>IFERROR(MATCH(J401,'Final List'!$B$4:$B$252,0),0)</f>
        <v>0</v>
      </c>
      <c r="L401" s="169">
        <f>IFERROR(MATCH(J401,'Final List'!$D$4:$D$252,0),0)</f>
        <v>0</v>
      </c>
      <c r="M401" s="169">
        <f>IFERROR(MATCH(J401,'Final List'!$F$4:$F$251,0),0)</f>
        <v>0</v>
      </c>
      <c r="N401" s="169">
        <f>IFERROR(MATCH(J401,'Final List'!$H$4:$H$252,0),0)</f>
        <v>0</v>
      </c>
      <c r="O401" s="169">
        <f>IFERROR(MATCH(J401,'Final List'!$J$4:$J$252,0),0)</f>
        <v>0</v>
      </c>
      <c r="P401" s="169">
        <f>IFERROR(MATCH(J401,'Final List'!$L$4:$L$252,0),0)</f>
        <v>0</v>
      </c>
      <c r="Q401" s="169">
        <f>IFERROR(MATCH(J401,'Final List'!$N$4:$N$252,0),0)</f>
        <v>0</v>
      </c>
      <c r="R401" s="169">
        <f>IFERROR(MATCH(J401,'Final List'!$P$4:$P$252,0),0)</f>
        <v>0</v>
      </c>
      <c r="S401" s="169">
        <f t="shared" si="27"/>
        <v>0</v>
      </c>
      <c r="T401" s="77" t="s">
        <v>68</v>
      </c>
      <c r="U401" s="77"/>
      <c r="V401" s="77" t="str">
        <f t="shared" si="25"/>
        <v>PANSIT 5</v>
      </c>
      <c r="W401" s="77" t="s">
        <v>2713</v>
      </c>
    </row>
    <row r="402" spans="2:23" x14ac:dyDescent="0.25">
      <c r="B402" s="77" t="s">
        <v>96</v>
      </c>
      <c r="C402" s="77" t="s">
        <v>43</v>
      </c>
      <c r="D402" s="77" t="s">
        <v>201</v>
      </c>
      <c r="E402" s="77" t="s">
        <v>60</v>
      </c>
      <c r="F402" s="245" t="str">
        <f t="shared" si="26"/>
        <v>Dhoz 71</v>
      </c>
      <c r="G402" s="77" t="s">
        <v>348</v>
      </c>
      <c r="H402" s="77"/>
      <c r="I402" s="77" t="str">
        <f t="shared" si="24"/>
        <v>L09_GHVSPLIT_067E_DE</v>
      </c>
      <c r="J402" s="77" t="s">
        <v>6229</v>
      </c>
      <c r="K402" s="169">
        <f>IFERROR(MATCH(J402,'Final List'!$B$4:$B$252,0),0)</f>
        <v>0</v>
      </c>
      <c r="L402" s="169">
        <f>IFERROR(MATCH(J402,'Final List'!$D$4:$D$252,0),0)</f>
        <v>0</v>
      </c>
      <c r="M402" s="169">
        <f>IFERROR(MATCH(J402,'Final List'!$F$4:$F$251,0),0)</f>
        <v>0</v>
      </c>
      <c r="N402" s="169">
        <f>IFERROR(MATCH(J402,'Final List'!$H$4:$H$252,0),0)</f>
        <v>0</v>
      </c>
      <c r="O402" s="169">
        <f>IFERROR(MATCH(J402,'Final List'!$J$4:$J$252,0),0)</f>
        <v>0</v>
      </c>
      <c r="P402" s="169">
        <f>IFERROR(MATCH(J402,'Final List'!$L$4:$L$252,0),0)</f>
        <v>0</v>
      </c>
      <c r="Q402" s="169">
        <f>IFERROR(MATCH(J402,'Final List'!$N$4:$N$252,0),0)</f>
        <v>0</v>
      </c>
      <c r="R402" s="169">
        <f>IFERROR(MATCH(J402,'Final List'!$P$4:$P$252,0),0)</f>
        <v>0</v>
      </c>
      <c r="S402" s="169">
        <f t="shared" si="27"/>
        <v>0</v>
      </c>
      <c r="T402" s="77"/>
      <c r="U402" s="77"/>
      <c r="V402" s="77" t="str">
        <f t="shared" si="25"/>
        <v>QUIJANO 3</v>
      </c>
      <c r="W402" s="77" t="s">
        <v>8896</v>
      </c>
    </row>
    <row r="403" spans="2:23" x14ac:dyDescent="0.25">
      <c r="B403" s="77" t="s">
        <v>96</v>
      </c>
      <c r="C403" s="77" t="s">
        <v>46</v>
      </c>
      <c r="D403" s="77" t="s">
        <v>121</v>
      </c>
      <c r="E403" s="77" t="s">
        <v>60</v>
      </c>
      <c r="F403" s="245" t="str">
        <f t="shared" si="26"/>
        <v>Dhoz 71</v>
      </c>
      <c r="G403" s="77" t="s">
        <v>1899</v>
      </c>
      <c r="H403" s="77"/>
      <c r="I403" s="77" t="str">
        <f t="shared" si="24"/>
        <v>L09_DPVE2_022E_DE</v>
      </c>
      <c r="J403" s="77" t="s">
        <v>4409</v>
      </c>
      <c r="K403" s="169">
        <f>IFERROR(MATCH(J403,'Final List'!$B$4:$B$252,0),0)</f>
        <v>0</v>
      </c>
      <c r="L403" s="169">
        <f>IFERROR(MATCH(J403,'Final List'!$D$4:$D$252,0),0)</f>
        <v>0</v>
      </c>
      <c r="M403" s="169">
        <f>IFERROR(MATCH(J403,'Final List'!$F$4:$F$251,0),0)</f>
        <v>0</v>
      </c>
      <c r="N403" s="169">
        <f>IFERROR(MATCH(J403,'Final List'!$H$4:$H$252,0),0)</f>
        <v>0</v>
      </c>
      <c r="O403" s="169">
        <f>IFERROR(MATCH(J403,'Final List'!$J$4:$J$252,0),0)</f>
        <v>0</v>
      </c>
      <c r="P403" s="169">
        <f>IFERROR(MATCH(J403,'Final List'!$L$4:$L$252,0),0)</f>
        <v>0</v>
      </c>
      <c r="Q403" s="169">
        <f>IFERROR(MATCH(J403,'Final List'!$N$4:$N$252,0),0)</f>
        <v>0</v>
      </c>
      <c r="R403" s="169">
        <f>IFERROR(MATCH(J403,'Final List'!$P$4:$P$252,0),0)</f>
        <v>0</v>
      </c>
      <c r="S403" s="169">
        <f t="shared" si="27"/>
        <v>0</v>
      </c>
      <c r="T403" s="77"/>
      <c r="U403" s="77"/>
      <c r="V403" s="77" t="str">
        <f t="shared" si="25"/>
        <v>DELOS REYES V 2</v>
      </c>
      <c r="W403" s="77" t="s">
        <v>8896</v>
      </c>
    </row>
    <row r="404" spans="2:23" x14ac:dyDescent="0.25">
      <c r="B404" s="77" t="s">
        <v>92</v>
      </c>
      <c r="C404" s="77" t="s">
        <v>45</v>
      </c>
      <c r="D404" s="77" t="s">
        <v>146</v>
      </c>
      <c r="E404" s="77" t="s">
        <v>19</v>
      </c>
      <c r="F404" s="245" t="str">
        <f t="shared" si="26"/>
        <v>DVR 72</v>
      </c>
      <c r="G404" s="77" t="s">
        <v>5716</v>
      </c>
      <c r="H404" s="77"/>
      <c r="I404" s="77" t="str">
        <f t="shared" si="24"/>
        <v>L05_DPVE_030E_RAISE</v>
      </c>
      <c r="J404" s="77" t="s">
        <v>5143</v>
      </c>
      <c r="K404" s="169">
        <f>IFERROR(MATCH(J404,'Final List'!$B$4:$B$252,0),0)</f>
        <v>0</v>
      </c>
      <c r="L404" s="169">
        <f>IFERROR(MATCH(J404,'Final List'!$D$4:$D$252,0),0)</f>
        <v>0</v>
      </c>
      <c r="M404" s="169">
        <f>IFERROR(MATCH(J404,'Final List'!$F$4:$F$251,0),0)</f>
        <v>0</v>
      </c>
      <c r="N404" s="169">
        <f>IFERROR(MATCH(J404,'Final List'!$H$4:$H$252,0),0)</f>
        <v>0</v>
      </c>
      <c r="O404" s="169">
        <f>IFERROR(MATCH(J404,'Final List'!$J$4:$J$252,0),0)</f>
        <v>0</v>
      </c>
      <c r="P404" s="169">
        <f>IFERROR(MATCH(J404,'Final List'!$L$4:$L$252,0),0)</f>
        <v>0</v>
      </c>
      <c r="Q404" s="169">
        <f>IFERROR(MATCH(J404,'Final List'!$N$4:$N$252,0),0)</f>
        <v>0</v>
      </c>
      <c r="R404" s="169">
        <f>IFERROR(MATCH(J404,'Final List'!$P$4:$P$252,0),0)</f>
        <v>0</v>
      </c>
      <c r="S404" s="169">
        <f t="shared" si="27"/>
        <v>0</v>
      </c>
      <c r="T404" s="77"/>
      <c r="U404" s="77"/>
      <c r="V404" s="77" t="str">
        <f t="shared" si="25"/>
        <v>SHEPHERD AB 1</v>
      </c>
      <c r="W404" s="77" t="s">
        <v>2715</v>
      </c>
    </row>
    <row r="405" spans="2:23" x14ac:dyDescent="0.25">
      <c r="B405" s="77" t="s">
        <v>92</v>
      </c>
      <c r="C405" s="77" t="s">
        <v>45</v>
      </c>
      <c r="D405" s="77" t="s">
        <v>5723</v>
      </c>
      <c r="E405" s="77" t="s">
        <v>60</v>
      </c>
      <c r="F405" s="245" t="str">
        <f t="shared" si="26"/>
        <v>Dhoz 71</v>
      </c>
      <c r="G405" s="77" t="s">
        <v>3658</v>
      </c>
      <c r="H405" s="77"/>
      <c r="I405" s="77" t="str">
        <f t="shared" si="24"/>
        <v>L05_DPVE_046E_DE</v>
      </c>
      <c r="J405" s="77" t="s">
        <v>6246</v>
      </c>
      <c r="K405" s="169">
        <f>IFERROR(MATCH(J405,'Final List'!$B$4:$B$252,0),0)</f>
        <v>0</v>
      </c>
      <c r="L405" s="169">
        <f>IFERROR(MATCH(J405,'Final List'!$D$4:$D$252,0),0)</f>
        <v>0</v>
      </c>
      <c r="M405" s="169">
        <f>IFERROR(MATCH(J405,'Final List'!$F$4:$F$251,0),0)</f>
        <v>0</v>
      </c>
      <c r="N405" s="169">
        <f>IFERROR(MATCH(J405,'Final List'!$H$4:$H$252,0),0)</f>
        <v>0</v>
      </c>
      <c r="O405" s="169">
        <f>IFERROR(MATCH(J405,'Final List'!$J$4:$J$252,0),0)</f>
        <v>0</v>
      </c>
      <c r="P405" s="169">
        <f>IFERROR(MATCH(J405,'Final List'!$L$4:$L$252,0),0)</f>
        <v>0</v>
      </c>
      <c r="Q405" s="169">
        <f>IFERROR(MATCH(J405,'Final List'!$N$4:$N$252,0),0)</f>
        <v>0</v>
      </c>
      <c r="R405" s="169">
        <f>IFERROR(MATCH(J405,'Final List'!$P$4:$P$252,0),0)</f>
        <v>0</v>
      </c>
      <c r="S405" s="169">
        <f t="shared" si="27"/>
        <v>0</v>
      </c>
      <c r="T405" s="77"/>
      <c r="U405" s="77"/>
      <c r="V405" s="77" t="str">
        <f t="shared" si="25"/>
        <v>SHEPHERD AD 1</v>
      </c>
      <c r="W405" s="77" t="s">
        <v>8895</v>
      </c>
    </row>
    <row r="406" spans="2:23" x14ac:dyDescent="0.25">
      <c r="B406" s="77" t="s">
        <v>92</v>
      </c>
      <c r="C406" s="77" t="s">
        <v>41</v>
      </c>
      <c r="D406" s="77" t="s">
        <v>5601</v>
      </c>
      <c r="E406" s="77" t="s">
        <v>20</v>
      </c>
      <c r="F406" s="245" t="str">
        <f t="shared" si="26"/>
        <v>DVW 74</v>
      </c>
      <c r="G406" s="77" t="s">
        <v>5698</v>
      </c>
      <c r="H406" s="77"/>
      <c r="I406" s="77" t="str">
        <f t="shared" si="24"/>
        <v>L05_CTV_026E_WINZE</v>
      </c>
      <c r="J406" s="77" t="s">
        <v>5295</v>
      </c>
      <c r="K406" s="169">
        <f>IFERROR(MATCH(J406,'Final List'!$B$4:$B$252,0),0)</f>
        <v>0</v>
      </c>
      <c r="L406" s="169">
        <f>IFERROR(MATCH(J406,'Final List'!$D$4:$D$252,0),0)</f>
        <v>0</v>
      </c>
      <c r="M406" s="169">
        <f>IFERROR(MATCH(J406,'Final List'!$F$4:$F$251,0),0)</f>
        <v>0</v>
      </c>
      <c r="N406" s="169">
        <f>IFERROR(MATCH(J406,'Final List'!$H$4:$H$252,0),0)</f>
        <v>0</v>
      </c>
      <c r="O406" s="169">
        <f>IFERROR(MATCH(J406,'Final List'!$J$4:$J$252,0),0)</f>
        <v>0</v>
      </c>
      <c r="P406" s="169">
        <f>IFERROR(MATCH(J406,'Final List'!$L$4:$L$252,0),0)</f>
        <v>0</v>
      </c>
      <c r="Q406" s="169">
        <f>IFERROR(MATCH(J406,'Final List'!$N$4:$N$252,0),0)</f>
        <v>0</v>
      </c>
      <c r="R406" s="169">
        <f>IFERROR(MATCH(J406,'Final List'!$P$4:$P$252,0),0)</f>
        <v>0</v>
      </c>
      <c r="S406" s="169">
        <f t="shared" si="27"/>
        <v>0</v>
      </c>
      <c r="T406" s="77"/>
      <c r="U406" s="77"/>
      <c r="V406" s="77" t="str">
        <f t="shared" si="25"/>
        <v>PARAN 1</v>
      </c>
      <c r="W406" s="77" t="s">
        <v>2706</v>
      </c>
    </row>
    <row r="407" spans="2:23" x14ac:dyDescent="0.25">
      <c r="B407" s="77" t="s">
        <v>95</v>
      </c>
      <c r="C407" s="77" t="s">
        <v>45</v>
      </c>
      <c r="D407" s="77" t="s">
        <v>247</v>
      </c>
      <c r="E407" s="77" t="s">
        <v>20</v>
      </c>
      <c r="F407" s="245" t="str">
        <f t="shared" si="26"/>
        <v>DVW 74</v>
      </c>
      <c r="G407" s="77" t="s">
        <v>6243</v>
      </c>
      <c r="H407" s="77"/>
      <c r="I407" s="77" t="str">
        <f t="shared" si="24"/>
        <v>L08_DPVE_080E_WINZE</v>
      </c>
      <c r="J407" s="77" t="s">
        <v>6242</v>
      </c>
      <c r="K407" s="169">
        <f>IFERROR(MATCH(J407,'Final List'!$B$4:$B$252,0),0)</f>
        <v>0</v>
      </c>
      <c r="L407" s="169">
        <f>IFERROR(MATCH(J407,'Final List'!$D$4:$D$252,0),0)</f>
        <v>0</v>
      </c>
      <c r="M407" s="169">
        <f>IFERROR(MATCH(J407,'Final List'!$F$4:$F$251,0),0)</f>
        <v>0</v>
      </c>
      <c r="N407" s="169">
        <f>IFERROR(MATCH(J407,'Final List'!$H$4:$H$252,0),0)</f>
        <v>0</v>
      </c>
      <c r="O407" s="169">
        <f>IFERROR(MATCH(J407,'Final List'!$J$4:$J$252,0),0)</f>
        <v>0</v>
      </c>
      <c r="P407" s="169">
        <f>IFERROR(MATCH(J407,'Final List'!$L$4:$L$252,0),0)</f>
        <v>0</v>
      </c>
      <c r="Q407" s="169">
        <f>IFERROR(MATCH(J407,'Final List'!$N$4:$N$252,0),0)</f>
        <v>0</v>
      </c>
      <c r="R407" s="169">
        <f>IFERROR(MATCH(J407,'Final List'!$P$4:$P$252,0),0)</f>
        <v>0</v>
      </c>
      <c r="S407" s="169">
        <f t="shared" si="27"/>
        <v>0</v>
      </c>
      <c r="T407" s="77"/>
      <c r="U407" s="77"/>
      <c r="V407" s="77" t="str">
        <f t="shared" si="25"/>
        <v>OY-OYOY 1</v>
      </c>
      <c r="W407" s="77" t="s">
        <v>2706</v>
      </c>
    </row>
    <row r="408" spans="2:23" x14ac:dyDescent="0.25">
      <c r="B408" s="77" t="s">
        <v>93</v>
      </c>
      <c r="C408" s="77" t="s">
        <v>56</v>
      </c>
      <c r="D408" s="77" t="s">
        <v>5615</v>
      </c>
      <c r="E408" s="77" t="s">
        <v>62</v>
      </c>
      <c r="F408" s="245" t="str">
        <f t="shared" si="26"/>
        <v>RobC 80</v>
      </c>
      <c r="G408" s="77" t="s">
        <v>3252</v>
      </c>
      <c r="H408" s="77"/>
      <c r="I408" s="77" t="str">
        <f t="shared" si="24"/>
        <v>L06_GHVFW_042W_ROBBING</v>
      </c>
      <c r="J408" s="77" t="s">
        <v>6237</v>
      </c>
      <c r="K408" s="169">
        <f>IFERROR(MATCH(J408,'Final List'!$B$4:$B$252,0),0)</f>
        <v>0</v>
      </c>
      <c r="L408" s="169">
        <f>IFERROR(MATCH(J408,'Final List'!$D$4:$D$252,0),0)</f>
        <v>0</v>
      </c>
      <c r="M408" s="169">
        <f>IFERROR(MATCH(J408,'Final List'!$F$4:$F$251,0),0)</f>
        <v>0</v>
      </c>
      <c r="N408" s="169">
        <f>IFERROR(MATCH(J408,'Final List'!$H$4:$H$252,0),0)</f>
        <v>0</v>
      </c>
      <c r="O408" s="169">
        <f>IFERROR(MATCH(J408,'Final List'!$J$4:$J$252,0),0)</f>
        <v>0</v>
      </c>
      <c r="P408" s="169">
        <f>IFERROR(MATCH(J408,'Final List'!$L$4:$L$252,0),0)</f>
        <v>0</v>
      </c>
      <c r="Q408" s="169">
        <f>IFERROR(MATCH(J408,'Final List'!$N$4:$N$252,0),0)</f>
        <v>0</v>
      </c>
      <c r="R408" s="169">
        <f>IFERROR(MATCH(J408,'Final List'!$P$4:$P$252,0),0)</f>
        <v>0</v>
      </c>
      <c r="S408" s="169">
        <f t="shared" si="27"/>
        <v>0</v>
      </c>
      <c r="T408" s="77" t="s">
        <v>48</v>
      </c>
      <c r="U408" s="77"/>
      <c r="V408" s="77" t="str">
        <f t="shared" si="25"/>
        <v>SHEPHERD AA1</v>
      </c>
      <c r="W408" s="77" t="s">
        <v>236</v>
      </c>
    </row>
    <row r="409" spans="2:23" x14ac:dyDescent="0.25">
      <c r="B409" s="77" t="s">
        <v>96</v>
      </c>
      <c r="C409" s="77" t="s">
        <v>59</v>
      </c>
      <c r="D409" s="77" t="s">
        <v>5872</v>
      </c>
      <c r="E409" s="77" t="s">
        <v>19</v>
      </c>
      <c r="F409" s="245" t="str">
        <f t="shared" si="26"/>
        <v>DVR 72</v>
      </c>
      <c r="G409" s="169" t="s">
        <v>389</v>
      </c>
      <c r="H409" s="77" t="s">
        <v>364</v>
      </c>
      <c r="I409" s="77" t="str">
        <f t="shared" si="24"/>
        <v>L09_GHVHW_076E_RAISE</v>
      </c>
      <c r="J409" s="77" t="s">
        <v>6268</v>
      </c>
      <c r="K409" s="169">
        <f>IFERROR(MATCH(J409,'Final List'!$B$4:$B$252,0),0)</f>
        <v>0</v>
      </c>
      <c r="L409" s="169">
        <f>IFERROR(MATCH(J409,'Final List'!$D$4:$D$252,0),0)</f>
        <v>0</v>
      </c>
      <c r="M409" s="169">
        <f>IFERROR(MATCH(J409,'Final List'!$F$4:$F$251,0),0)</f>
        <v>0</v>
      </c>
      <c r="N409" s="169">
        <f>IFERROR(MATCH(J409,'Final List'!$H$4:$H$252,0),0)</f>
        <v>0</v>
      </c>
      <c r="O409" s="169">
        <f>IFERROR(MATCH(J409,'Final List'!$J$4:$J$252,0),0)</f>
        <v>0</v>
      </c>
      <c r="P409" s="169">
        <f>IFERROR(MATCH(J409,'Final List'!$L$4:$L$252,0),0)</f>
        <v>0</v>
      </c>
      <c r="Q409" s="169">
        <f>IFERROR(MATCH(J409,'Final List'!$N$4:$N$252,0),0)</f>
        <v>0</v>
      </c>
      <c r="R409" s="169">
        <f>IFERROR(MATCH(J409,'Final List'!$P$4:$P$252,0),0)</f>
        <v>0</v>
      </c>
      <c r="S409" s="169">
        <f t="shared" si="27"/>
        <v>0</v>
      </c>
      <c r="T409" s="77"/>
      <c r="U409" s="77"/>
      <c r="V409" s="77" t="str">
        <f t="shared" si="25"/>
        <v>BABOR 3</v>
      </c>
      <c r="W409" s="77" t="s">
        <v>2715</v>
      </c>
    </row>
    <row r="410" spans="2:23" x14ac:dyDescent="0.25">
      <c r="B410" s="150" t="s">
        <v>95</v>
      </c>
      <c r="C410" s="150" t="s">
        <v>59</v>
      </c>
      <c r="D410" s="150" t="s">
        <v>171</v>
      </c>
      <c r="E410" s="150" t="s">
        <v>36</v>
      </c>
      <c r="F410" s="245" t="str">
        <f t="shared" si="26"/>
        <v>StpS 77</v>
      </c>
      <c r="G410" s="77" t="s">
        <v>5708</v>
      </c>
      <c r="H410" s="77"/>
      <c r="I410" s="77" t="str">
        <f t="shared" si="24"/>
        <v>L08_GHVHW_015W_STOPE</v>
      </c>
      <c r="J410" s="77" t="s">
        <v>6262</v>
      </c>
      <c r="K410" s="169">
        <f>IFERROR(MATCH(J410,'Final List'!$B$4:$B$252,0),0)</f>
        <v>0</v>
      </c>
      <c r="L410" s="169">
        <f>IFERROR(MATCH(J410,'Final List'!$D$4:$D$252,0),0)</f>
        <v>0</v>
      </c>
      <c r="M410" s="169">
        <f>IFERROR(MATCH(J410,'Final List'!$F$4:$F$251,0),0)</f>
        <v>0</v>
      </c>
      <c r="N410" s="169">
        <f>IFERROR(MATCH(J410,'Final List'!$H$4:$H$252,0),0)</f>
        <v>0</v>
      </c>
      <c r="O410" s="169">
        <f>IFERROR(MATCH(J410,'Final List'!$J$4:$J$252,0),0)</f>
        <v>0</v>
      </c>
      <c r="P410" s="169">
        <f>IFERROR(MATCH(J410,'Final List'!$L$4:$L$252,0),0)</f>
        <v>0</v>
      </c>
      <c r="Q410" s="169">
        <f>IFERROR(MATCH(J410,'Final List'!$N$4:$N$252,0),0)</f>
        <v>0</v>
      </c>
      <c r="R410" s="169">
        <f>IFERROR(MATCH(J410,'Final List'!$P$4:$P$252,0),0)</f>
        <v>0</v>
      </c>
      <c r="S410" s="169">
        <f t="shared" si="27"/>
        <v>0</v>
      </c>
      <c r="T410" s="77" t="s">
        <v>68</v>
      </c>
      <c r="U410" s="77"/>
      <c r="V410" s="77" t="str">
        <f t="shared" si="25"/>
        <v>SHEPHERD AJ 1</v>
      </c>
      <c r="W410" s="77" t="s">
        <v>2713</v>
      </c>
    </row>
    <row r="411" spans="2:23" x14ac:dyDescent="0.25">
      <c r="B411" s="150" t="s">
        <v>93</v>
      </c>
      <c r="C411" s="150" t="s">
        <v>38</v>
      </c>
      <c r="D411" s="150" t="s">
        <v>5601</v>
      </c>
      <c r="E411" s="150" t="s">
        <v>36</v>
      </c>
      <c r="F411" s="245" t="str">
        <f t="shared" si="26"/>
        <v>StpS 77</v>
      </c>
      <c r="G411" s="77" t="s">
        <v>862</v>
      </c>
      <c r="H411" s="77"/>
      <c r="I411" s="77" t="str">
        <f t="shared" si="24"/>
        <v>L06_GHV_026E_STOPE</v>
      </c>
      <c r="J411" s="77" t="s">
        <v>6266</v>
      </c>
      <c r="K411" s="169">
        <f>IFERROR(MATCH(J411,'Final List'!$B$4:$B$252,0),0)</f>
        <v>0</v>
      </c>
      <c r="L411" s="169">
        <f>IFERROR(MATCH(J411,'Final List'!$D$4:$D$252,0),0)</f>
        <v>0</v>
      </c>
      <c r="M411" s="169">
        <f>IFERROR(MATCH(J411,'Final List'!$F$4:$F$251,0),0)</f>
        <v>0</v>
      </c>
      <c r="N411" s="169">
        <f>IFERROR(MATCH(J411,'Final List'!$H$4:$H$252,0),0)</f>
        <v>0</v>
      </c>
      <c r="O411" s="169">
        <f>IFERROR(MATCH(J411,'Final List'!$J$4:$J$252,0),0)</f>
        <v>0</v>
      </c>
      <c r="P411" s="169">
        <f>IFERROR(MATCH(J411,'Final List'!$L$4:$L$252,0),0)</f>
        <v>0</v>
      </c>
      <c r="Q411" s="169">
        <f>IFERROR(MATCH(J411,'Final List'!$N$4:$N$252,0),0)</f>
        <v>0</v>
      </c>
      <c r="R411" s="169">
        <f>IFERROR(MATCH(J411,'Final List'!$P$4:$P$252,0),0)</f>
        <v>0</v>
      </c>
      <c r="S411" s="169">
        <f t="shared" si="27"/>
        <v>0</v>
      </c>
      <c r="T411" s="77" t="s">
        <v>68</v>
      </c>
      <c r="U411" s="77"/>
      <c r="V411" s="77" t="str">
        <f t="shared" si="25"/>
        <v>REBOTE 1</v>
      </c>
      <c r="W411" s="77" t="s">
        <v>2713</v>
      </c>
    </row>
    <row r="412" spans="2:23" x14ac:dyDescent="0.25">
      <c r="B412" s="77" t="s">
        <v>258</v>
      </c>
      <c r="C412" s="77" t="s">
        <v>55</v>
      </c>
      <c r="D412" s="77" t="s">
        <v>5602</v>
      </c>
      <c r="E412" s="77" t="s">
        <v>211</v>
      </c>
      <c r="F412" s="245" t="str">
        <f t="shared" si="26"/>
        <v>StpS 77</v>
      </c>
      <c r="G412" s="77" t="s">
        <v>6927</v>
      </c>
      <c r="H412" s="77"/>
      <c r="I412" s="77" t="str">
        <f t="shared" si="24"/>
        <v>L10_JVFW_053E_STOPE PREP</v>
      </c>
      <c r="J412" s="77" t="s">
        <v>6260</v>
      </c>
      <c r="K412" s="169">
        <f>IFERROR(MATCH(J412,'Final List'!$B$4:$B$252,0),0)</f>
        <v>0</v>
      </c>
      <c r="L412" s="169">
        <f>IFERROR(MATCH(J412,'Final List'!$D$4:$D$252,0),0)</f>
        <v>0</v>
      </c>
      <c r="M412" s="169">
        <f>IFERROR(MATCH(J412,'Final List'!$F$4:$F$251,0),0)</f>
        <v>0</v>
      </c>
      <c r="N412" s="169">
        <f>IFERROR(MATCH(J412,'Final List'!$H$4:$H$252,0),0)</f>
        <v>0</v>
      </c>
      <c r="O412" s="169">
        <f>IFERROR(MATCH(J412,'Final List'!$J$4:$J$252,0),0)</f>
        <v>0</v>
      </c>
      <c r="P412" s="169">
        <f>IFERROR(MATCH(J412,'Final List'!$L$4:$L$252,0),0)</f>
        <v>0</v>
      </c>
      <c r="Q412" s="169">
        <f>IFERROR(MATCH(J412,'Final List'!$N$4:$N$252,0),0)</f>
        <v>0</v>
      </c>
      <c r="R412" s="169">
        <f>IFERROR(MATCH(J412,'Final List'!$P$4:$P$252,0),0)</f>
        <v>0</v>
      </c>
      <c r="S412" s="169">
        <f t="shared" si="27"/>
        <v>0</v>
      </c>
      <c r="T412" s="77" t="s">
        <v>68</v>
      </c>
      <c r="U412" s="77"/>
      <c r="V412" s="77" t="str">
        <f t="shared" si="25"/>
        <v>DUHIG, R2</v>
      </c>
      <c r="W412" s="77" t="s">
        <v>2712</v>
      </c>
    </row>
    <row r="413" spans="2:23" x14ac:dyDescent="0.25">
      <c r="B413" s="77" t="s">
        <v>258</v>
      </c>
      <c r="C413" s="77" t="s">
        <v>59</v>
      </c>
      <c r="D413" s="77" t="s">
        <v>870</v>
      </c>
      <c r="E413" s="77" t="s">
        <v>19</v>
      </c>
      <c r="F413" s="245" t="str">
        <f t="shared" si="26"/>
        <v>DVR 72</v>
      </c>
      <c r="G413" s="77" t="s">
        <v>317</v>
      </c>
      <c r="H413" s="77"/>
      <c r="I413" s="77" t="str">
        <f t="shared" si="24"/>
        <v>L10_GHVHW_073E_RAISE</v>
      </c>
      <c r="J413" s="77" t="s">
        <v>6261</v>
      </c>
      <c r="K413" s="169">
        <f>IFERROR(MATCH(J413,'Final List'!$B$4:$B$252,0),0)</f>
        <v>0</v>
      </c>
      <c r="L413" s="169">
        <f>IFERROR(MATCH(J413,'Final List'!$D$4:$D$252,0),0)</f>
        <v>0</v>
      </c>
      <c r="M413" s="169">
        <f>IFERROR(MATCH(J413,'Final List'!$F$4:$F$251,0),0)</f>
        <v>0</v>
      </c>
      <c r="N413" s="169">
        <f>IFERROR(MATCH(J413,'Final List'!$H$4:$H$252,0),0)</f>
        <v>0</v>
      </c>
      <c r="O413" s="169">
        <f>IFERROR(MATCH(J413,'Final List'!$J$4:$J$252,0),0)</f>
        <v>0</v>
      </c>
      <c r="P413" s="169">
        <f>IFERROR(MATCH(J413,'Final List'!$L$4:$L$252,0),0)</f>
        <v>0</v>
      </c>
      <c r="Q413" s="169">
        <f>IFERROR(MATCH(J413,'Final List'!$N$4:$N$252,0),0)</f>
        <v>0</v>
      </c>
      <c r="R413" s="169">
        <f>IFERROR(MATCH(J413,'Final List'!$P$4:$P$252,0),0)</f>
        <v>0</v>
      </c>
      <c r="S413" s="169">
        <f t="shared" si="27"/>
        <v>0</v>
      </c>
      <c r="T413" s="77"/>
      <c r="U413" s="77"/>
      <c r="V413" s="77" t="str">
        <f t="shared" si="25"/>
        <v>PARAGUYA 2</v>
      </c>
      <c r="W413" s="77" t="s">
        <v>2715</v>
      </c>
    </row>
    <row r="414" spans="2:23" x14ac:dyDescent="0.25">
      <c r="B414" s="77" t="s">
        <v>258</v>
      </c>
      <c r="C414" s="77" t="s">
        <v>45</v>
      </c>
      <c r="D414" s="77" t="s">
        <v>164</v>
      </c>
      <c r="E414" s="77" t="s">
        <v>19</v>
      </c>
      <c r="F414" s="245" t="str">
        <f t="shared" si="26"/>
        <v>DVR 72</v>
      </c>
      <c r="G414" s="77" t="s">
        <v>454</v>
      </c>
      <c r="H414" s="77" t="s">
        <v>5701</v>
      </c>
      <c r="I414" s="77" t="str">
        <f t="shared" si="24"/>
        <v>L10_DPVE_064E_RAISE</v>
      </c>
      <c r="J414" s="77" t="s">
        <v>6259</v>
      </c>
      <c r="K414" s="169">
        <f>IFERROR(MATCH(J414,'Final List'!$B$4:$B$252,0),0)</f>
        <v>0</v>
      </c>
      <c r="L414" s="169">
        <f>IFERROR(MATCH(J414,'Final List'!$D$4:$D$252,0),0)</f>
        <v>0</v>
      </c>
      <c r="M414" s="169">
        <f>IFERROR(MATCH(J414,'Final List'!$F$4:$F$251,0),0)</f>
        <v>0</v>
      </c>
      <c r="N414" s="169">
        <f>IFERROR(MATCH(J414,'Final List'!$H$4:$H$252,0),0)</f>
        <v>0</v>
      </c>
      <c r="O414" s="169">
        <f>IFERROR(MATCH(J414,'Final List'!$J$4:$J$252,0),0)</f>
        <v>0</v>
      </c>
      <c r="P414" s="169">
        <f>IFERROR(MATCH(J414,'Final List'!$L$4:$L$252,0),0)</f>
        <v>0</v>
      </c>
      <c r="Q414" s="169">
        <f>IFERROR(MATCH(J414,'Final List'!$N$4:$N$252,0),0)</f>
        <v>0</v>
      </c>
      <c r="R414" s="169">
        <f>IFERROR(MATCH(J414,'Final List'!$P$4:$P$252,0),0)</f>
        <v>0</v>
      </c>
      <c r="S414" s="169">
        <f t="shared" si="27"/>
        <v>0</v>
      </c>
      <c r="T414" s="77"/>
      <c r="U414" s="77"/>
      <c r="V414" s="77" t="str">
        <f t="shared" si="25"/>
        <v>LARGO 2</v>
      </c>
      <c r="W414" s="77" t="s">
        <v>2715</v>
      </c>
    </row>
    <row r="415" spans="2:23" x14ac:dyDescent="0.25">
      <c r="B415" s="77" t="s">
        <v>95</v>
      </c>
      <c r="C415" s="77" t="s">
        <v>55</v>
      </c>
      <c r="D415" s="77" t="s">
        <v>169</v>
      </c>
      <c r="E415" s="77" t="s">
        <v>36</v>
      </c>
      <c r="F415" s="245" t="str">
        <f t="shared" si="26"/>
        <v>StpS 77</v>
      </c>
      <c r="G415" s="77" t="s">
        <v>367</v>
      </c>
      <c r="H415" s="77"/>
      <c r="I415" s="77" t="str">
        <f t="shared" si="24"/>
        <v>L08_JVFW_065E_STOPE</v>
      </c>
      <c r="J415" s="77" t="s">
        <v>6283</v>
      </c>
      <c r="K415" s="169">
        <f>IFERROR(MATCH(J415,'Final List'!$B$4:$B$252,0),0)</f>
        <v>0</v>
      </c>
      <c r="L415" s="169">
        <f>IFERROR(MATCH(J415,'Final List'!$D$4:$D$252,0),0)</f>
        <v>0</v>
      </c>
      <c r="M415" s="169">
        <f>IFERROR(MATCH(J415,'Final List'!$F$4:$F$251,0),0)</f>
        <v>0</v>
      </c>
      <c r="N415" s="169">
        <f>IFERROR(MATCH(J415,'Final List'!$H$4:$H$252,0),0)</f>
        <v>0</v>
      </c>
      <c r="O415" s="169">
        <f>IFERROR(MATCH(J415,'Final List'!$J$4:$J$252,0),0)</f>
        <v>0</v>
      </c>
      <c r="P415" s="169">
        <f>IFERROR(MATCH(J415,'Final List'!$L$4:$L$252,0),0)</f>
        <v>0</v>
      </c>
      <c r="Q415" s="169">
        <f>IFERROR(MATCH(J415,'Final List'!$N$4:$N$252,0),0)</f>
        <v>0</v>
      </c>
      <c r="R415" s="169">
        <f>IFERROR(MATCH(J415,'Final List'!$P$4:$P$252,0),0)</f>
        <v>0</v>
      </c>
      <c r="S415" s="169">
        <f t="shared" si="27"/>
        <v>0</v>
      </c>
      <c r="T415" s="77" t="s">
        <v>68</v>
      </c>
      <c r="U415" s="77"/>
      <c r="V415" s="77" t="str">
        <f t="shared" si="25"/>
        <v>LERIO 1</v>
      </c>
      <c r="W415" s="77" t="s">
        <v>2711</v>
      </c>
    </row>
    <row r="416" spans="2:23" x14ac:dyDescent="0.25">
      <c r="B416" s="77" t="s">
        <v>94</v>
      </c>
      <c r="C416" s="77" t="s">
        <v>59</v>
      </c>
      <c r="D416" s="77" t="s">
        <v>128</v>
      </c>
      <c r="E416" s="77" t="s">
        <v>19</v>
      </c>
      <c r="F416" s="245" t="str">
        <f t="shared" si="26"/>
        <v>DVR 72</v>
      </c>
      <c r="G416" s="77" t="s">
        <v>5719</v>
      </c>
      <c r="H416" s="77"/>
      <c r="I416" s="77" t="str">
        <f t="shared" si="24"/>
        <v>L07_GHVHW_027E_RAISE</v>
      </c>
      <c r="J416" s="77" t="s">
        <v>6287</v>
      </c>
      <c r="K416" s="169">
        <f>IFERROR(MATCH(J416,'Final List'!$B$4:$B$252,0),0)</f>
        <v>0</v>
      </c>
      <c r="L416" s="169">
        <f>IFERROR(MATCH(J416,'Final List'!$D$4:$D$252,0),0)</f>
        <v>0</v>
      </c>
      <c r="M416" s="169">
        <f>IFERROR(MATCH(J416,'Final List'!$F$4:$F$251,0),0)</f>
        <v>0</v>
      </c>
      <c r="N416" s="169">
        <f>IFERROR(MATCH(J416,'Final List'!$H$4:$H$252,0),0)</f>
        <v>0</v>
      </c>
      <c r="O416" s="169">
        <f>IFERROR(MATCH(J416,'Final List'!$J$4:$J$252,0),0)</f>
        <v>0</v>
      </c>
      <c r="P416" s="169">
        <f>IFERROR(MATCH(J416,'Final List'!$L$4:$L$252,0),0)</f>
        <v>0</v>
      </c>
      <c r="Q416" s="169">
        <f>IFERROR(MATCH(J416,'Final List'!$N$4:$N$252,0),0)</f>
        <v>0</v>
      </c>
      <c r="R416" s="169">
        <f>IFERROR(MATCH(J416,'Final List'!$P$4:$P$252,0),0)</f>
        <v>0</v>
      </c>
      <c r="S416" s="169">
        <f t="shared" si="27"/>
        <v>0</v>
      </c>
      <c r="T416" s="77"/>
      <c r="U416" s="77"/>
      <c r="V416" s="77" t="str">
        <f t="shared" si="25"/>
        <v>DAVOCOL 1</v>
      </c>
      <c r="W416" s="77" t="s">
        <v>2715</v>
      </c>
    </row>
    <row r="417" spans="2:23" x14ac:dyDescent="0.25">
      <c r="B417" s="77" t="s">
        <v>94</v>
      </c>
      <c r="C417" s="77" t="s">
        <v>42</v>
      </c>
      <c r="D417" s="77" t="s">
        <v>179</v>
      </c>
      <c r="E417" s="77" t="s">
        <v>20</v>
      </c>
      <c r="F417" s="245" t="str">
        <f t="shared" si="26"/>
        <v>DVW 74</v>
      </c>
      <c r="G417" s="77" t="s">
        <v>329</v>
      </c>
      <c r="H417" s="77"/>
      <c r="I417" s="77" t="str">
        <f t="shared" si="24"/>
        <v>L07_JV_050E_WINZE</v>
      </c>
      <c r="J417" s="77" t="s">
        <v>2858</v>
      </c>
      <c r="K417" s="169">
        <f>IFERROR(MATCH(J417,'Final List'!$B$4:$B$252,0),0)</f>
        <v>0</v>
      </c>
      <c r="L417" s="169">
        <f>IFERROR(MATCH(J417,'Final List'!$D$4:$D$252,0),0)</f>
        <v>0</v>
      </c>
      <c r="M417" s="169">
        <f>IFERROR(MATCH(J417,'Final List'!$F$4:$F$251,0),0)</f>
        <v>0</v>
      </c>
      <c r="N417" s="169">
        <f>IFERROR(MATCH(J417,'Final List'!$H$4:$H$252,0),0)</f>
        <v>0</v>
      </c>
      <c r="O417" s="169">
        <f>IFERROR(MATCH(J417,'Final List'!$J$4:$J$252,0),0)</f>
        <v>0</v>
      </c>
      <c r="P417" s="169">
        <f>IFERROR(MATCH(J417,'Final List'!$L$4:$L$252,0),0)</f>
        <v>0</v>
      </c>
      <c r="Q417" s="169">
        <f>IFERROR(MATCH(J417,'Final List'!$N$4:$N$252,0),0)</f>
        <v>0</v>
      </c>
      <c r="R417" s="169">
        <f>IFERROR(MATCH(J417,'Final List'!$P$4:$P$252,0),0)</f>
        <v>0</v>
      </c>
      <c r="S417" s="169">
        <f t="shared" si="27"/>
        <v>0</v>
      </c>
      <c r="T417" s="77"/>
      <c r="U417" s="77"/>
      <c r="V417" s="77" t="str">
        <f t="shared" si="25"/>
        <v>OY-YOY 1</v>
      </c>
      <c r="W417" s="77" t="s">
        <v>2706</v>
      </c>
    </row>
    <row r="418" spans="2:23" x14ac:dyDescent="0.25">
      <c r="B418" s="77" t="s">
        <v>94</v>
      </c>
      <c r="C418" s="77" t="s">
        <v>45</v>
      </c>
      <c r="D418" s="77" t="s">
        <v>5601</v>
      </c>
      <c r="E418" s="77" t="s">
        <v>20</v>
      </c>
      <c r="F418" s="245" t="str">
        <f t="shared" si="26"/>
        <v>DVW 74</v>
      </c>
      <c r="G418" s="77" t="s">
        <v>2972</v>
      </c>
      <c r="H418" s="77"/>
      <c r="I418" s="77" t="str">
        <f t="shared" si="24"/>
        <v>L07_DPVE_026E_WINZE</v>
      </c>
      <c r="J418" s="77" t="s">
        <v>6288</v>
      </c>
      <c r="K418" s="169">
        <f>IFERROR(MATCH(J418,'Final List'!$B$4:$B$252,0),0)</f>
        <v>0</v>
      </c>
      <c r="L418" s="169">
        <f>IFERROR(MATCH(J418,'Final List'!$D$4:$D$252,0),0)</f>
        <v>0</v>
      </c>
      <c r="M418" s="169">
        <f>IFERROR(MATCH(J418,'Final List'!$F$4:$F$251,0),0)</f>
        <v>0</v>
      </c>
      <c r="N418" s="169">
        <f>IFERROR(MATCH(J418,'Final List'!$H$4:$H$252,0),0)</f>
        <v>0</v>
      </c>
      <c r="O418" s="169">
        <f>IFERROR(MATCH(J418,'Final List'!$J$4:$J$252,0),0)</f>
        <v>0</v>
      </c>
      <c r="P418" s="169">
        <f>IFERROR(MATCH(J418,'Final List'!$L$4:$L$252,0),0)</f>
        <v>0</v>
      </c>
      <c r="Q418" s="169">
        <f>IFERROR(MATCH(J418,'Final List'!$N$4:$N$252,0),0)</f>
        <v>0</v>
      </c>
      <c r="R418" s="169">
        <f>IFERROR(MATCH(J418,'Final List'!$P$4:$P$252,0),0)</f>
        <v>0</v>
      </c>
      <c r="S418" s="169">
        <f t="shared" si="27"/>
        <v>0</v>
      </c>
      <c r="T418" s="77"/>
      <c r="U418" s="77"/>
      <c r="V418" s="77" t="str">
        <f t="shared" si="25"/>
        <v>FABROA 1</v>
      </c>
      <c r="W418" s="77" t="s">
        <v>2706</v>
      </c>
    </row>
    <row r="419" spans="2:23" x14ac:dyDescent="0.25">
      <c r="B419" s="77" t="s">
        <v>94</v>
      </c>
      <c r="C419" s="77" t="s">
        <v>57</v>
      </c>
      <c r="D419" s="77" t="s">
        <v>113</v>
      </c>
      <c r="E419" s="77" t="s">
        <v>62</v>
      </c>
      <c r="F419" s="245" t="str">
        <f t="shared" si="26"/>
        <v>RobS 79</v>
      </c>
      <c r="G419" s="77" t="s">
        <v>5921</v>
      </c>
      <c r="H419" s="77"/>
      <c r="I419" s="77" t="str">
        <f t="shared" si="24"/>
        <v>L07_JVSPLIT_001W_ROBBING</v>
      </c>
      <c r="J419" s="77" t="s">
        <v>6289</v>
      </c>
      <c r="K419" s="169">
        <f>IFERROR(MATCH(J419,'Final List'!$B$4:$B$252,0),0)</f>
        <v>0</v>
      </c>
      <c r="L419" s="169">
        <f>IFERROR(MATCH(J419,'Final List'!$D$4:$D$252,0),0)</f>
        <v>0</v>
      </c>
      <c r="M419" s="169">
        <f>IFERROR(MATCH(J419,'Final List'!$F$4:$F$251,0),0)</f>
        <v>0</v>
      </c>
      <c r="N419" s="169">
        <f>IFERROR(MATCH(J419,'Final List'!$H$4:$H$252,0),0)</f>
        <v>0</v>
      </c>
      <c r="O419" s="169">
        <f>IFERROR(MATCH(J419,'Final List'!$J$4:$J$252,0),0)</f>
        <v>0</v>
      </c>
      <c r="P419" s="169">
        <f>IFERROR(MATCH(J419,'Final List'!$L$4:$L$252,0),0)</f>
        <v>0</v>
      </c>
      <c r="Q419" s="169">
        <f>IFERROR(MATCH(J419,'Final List'!$N$4:$N$252,0),0)</f>
        <v>0</v>
      </c>
      <c r="R419" s="169">
        <f>IFERROR(MATCH(J419,'Final List'!$P$4:$P$252,0),0)</f>
        <v>0</v>
      </c>
      <c r="S419" s="169">
        <f t="shared" si="27"/>
        <v>0</v>
      </c>
      <c r="T419" s="77" t="s">
        <v>68</v>
      </c>
      <c r="U419" s="77"/>
      <c r="V419" s="77" t="str">
        <f t="shared" si="25"/>
        <v>TURRA 2</v>
      </c>
      <c r="W419" s="77" t="s">
        <v>2707</v>
      </c>
    </row>
    <row r="420" spans="2:23" x14ac:dyDescent="0.25">
      <c r="B420" s="77" t="s">
        <v>96</v>
      </c>
      <c r="C420" s="77" t="s">
        <v>56</v>
      </c>
      <c r="D420" s="77" t="s">
        <v>128</v>
      </c>
      <c r="E420" s="77" t="s">
        <v>62</v>
      </c>
      <c r="F420" s="245" t="str">
        <f t="shared" si="26"/>
        <v>RobS 79</v>
      </c>
      <c r="G420" s="77" t="s">
        <v>746</v>
      </c>
      <c r="H420" s="77" t="s">
        <v>350</v>
      </c>
      <c r="I420" s="77" t="str">
        <f t="shared" si="24"/>
        <v>L09_GHVFW_027E_ROBBING</v>
      </c>
      <c r="J420" s="77" t="s">
        <v>6291</v>
      </c>
      <c r="K420" s="169">
        <f>IFERROR(MATCH(J420,'Final List'!$B$4:$B$252,0),0)</f>
        <v>0</v>
      </c>
      <c r="L420" s="169">
        <f>IFERROR(MATCH(J420,'Final List'!$D$4:$D$252,0),0)</f>
        <v>0</v>
      </c>
      <c r="M420" s="169">
        <f>IFERROR(MATCH(J420,'Final List'!$F$4:$F$251,0),0)</f>
        <v>0</v>
      </c>
      <c r="N420" s="169">
        <f>IFERROR(MATCH(J420,'Final List'!$H$4:$H$252,0),0)</f>
        <v>0</v>
      </c>
      <c r="O420" s="169">
        <f>IFERROR(MATCH(J420,'Final List'!$J$4:$J$252,0),0)</f>
        <v>0</v>
      </c>
      <c r="P420" s="169">
        <f>IFERROR(MATCH(J420,'Final List'!$L$4:$L$252,0),0)</f>
        <v>0</v>
      </c>
      <c r="Q420" s="169">
        <f>IFERROR(MATCH(J420,'Final List'!$N$4:$N$252,0),0)</f>
        <v>0</v>
      </c>
      <c r="R420" s="169">
        <f>IFERROR(MATCH(J420,'Final List'!$P$4:$P$252,0),0)</f>
        <v>0</v>
      </c>
      <c r="S420" s="169">
        <f t="shared" si="27"/>
        <v>0</v>
      </c>
      <c r="T420" s="77" t="s">
        <v>68</v>
      </c>
      <c r="U420" s="77"/>
      <c r="V420" s="77" t="str">
        <f t="shared" si="25"/>
        <v>QUIJANO 1</v>
      </c>
      <c r="W420" s="77" t="s">
        <v>2707</v>
      </c>
    </row>
    <row r="421" spans="2:23" x14ac:dyDescent="0.25">
      <c r="B421" s="77" t="s">
        <v>95</v>
      </c>
      <c r="C421" s="77" t="s">
        <v>42</v>
      </c>
      <c r="D421" s="77" t="s">
        <v>5602</v>
      </c>
      <c r="E421" s="77" t="s">
        <v>6143</v>
      </c>
      <c r="F421" s="245" t="str">
        <f t="shared" si="26"/>
        <v>Dhoz 71</v>
      </c>
      <c r="G421" s="77" t="s">
        <v>1369</v>
      </c>
      <c r="H421" s="77"/>
      <c r="I421" s="77" t="str">
        <f t="shared" si="24"/>
        <v>L08_JV_053E_DE_ISL</v>
      </c>
      <c r="J421" s="77" t="s">
        <v>6293</v>
      </c>
      <c r="K421" s="169">
        <f>IFERROR(MATCH(J421,'Final List'!$B$4:$B$252,0),0)</f>
        <v>0</v>
      </c>
      <c r="L421" s="169">
        <f>IFERROR(MATCH(J421,'Final List'!$D$4:$D$252,0),0)</f>
        <v>0</v>
      </c>
      <c r="M421" s="169">
        <f>IFERROR(MATCH(J421,'Final List'!$F$4:$F$251,0),0)</f>
        <v>0</v>
      </c>
      <c r="N421" s="169">
        <f>IFERROR(MATCH(J421,'Final List'!$H$4:$H$252,0),0)</f>
        <v>0</v>
      </c>
      <c r="O421" s="169">
        <f>IFERROR(MATCH(J421,'Final List'!$J$4:$J$252,0),0)</f>
        <v>0</v>
      </c>
      <c r="P421" s="169">
        <f>IFERROR(MATCH(J421,'Final List'!$L$4:$L$252,0),0)</f>
        <v>0</v>
      </c>
      <c r="Q421" s="169">
        <f>IFERROR(MATCH(J421,'Final List'!$N$4:$N$252,0),0)</f>
        <v>0</v>
      </c>
      <c r="R421" s="169">
        <f>IFERROR(MATCH(J421,'Final List'!$P$4:$P$252,0),0)</f>
        <v>0</v>
      </c>
      <c r="S421" s="169">
        <f t="shared" si="27"/>
        <v>0</v>
      </c>
      <c r="T421" s="77"/>
      <c r="U421" s="77"/>
      <c r="V421" s="77" t="str">
        <f t="shared" si="25"/>
        <v>TORMIS</v>
      </c>
      <c r="W421" s="77" t="s">
        <v>8895</v>
      </c>
    </row>
    <row r="422" spans="2:23" x14ac:dyDescent="0.25">
      <c r="B422" s="77" t="s">
        <v>95</v>
      </c>
      <c r="C422" s="77" t="s">
        <v>38</v>
      </c>
      <c r="D422" s="77" t="s">
        <v>6068</v>
      </c>
      <c r="E422" s="77" t="s">
        <v>61</v>
      </c>
      <c r="F422" s="245" t="str">
        <f t="shared" si="26"/>
        <v>Dhoz 71</v>
      </c>
      <c r="G422" s="77" t="s">
        <v>491</v>
      </c>
      <c r="H422" s="77"/>
      <c r="I422" s="77" t="str">
        <f t="shared" si="24"/>
        <v>L08_GHV_035W_DW</v>
      </c>
      <c r="J422" s="77" t="s">
        <v>6294</v>
      </c>
      <c r="K422" s="169">
        <f>IFERROR(MATCH(J422,'Final List'!$B$4:$B$252,0),0)</f>
        <v>0</v>
      </c>
      <c r="L422" s="169">
        <f>IFERROR(MATCH(J422,'Final List'!$D$4:$D$252,0),0)</f>
        <v>0</v>
      </c>
      <c r="M422" s="169">
        <f>IFERROR(MATCH(J422,'Final List'!$F$4:$F$251,0),0)</f>
        <v>0</v>
      </c>
      <c r="N422" s="169">
        <f>IFERROR(MATCH(J422,'Final List'!$H$4:$H$252,0),0)</f>
        <v>0</v>
      </c>
      <c r="O422" s="169">
        <f>IFERROR(MATCH(J422,'Final List'!$J$4:$J$252,0),0)</f>
        <v>0</v>
      </c>
      <c r="P422" s="169">
        <f>IFERROR(MATCH(J422,'Final List'!$L$4:$L$252,0),0)</f>
        <v>0</v>
      </c>
      <c r="Q422" s="169">
        <f>IFERROR(MATCH(J422,'Final List'!$N$4:$N$252,0),0)</f>
        <v>0</v>
      </c>
      <c r="R422" s="169">
        <f>IFERROR(MATCH(J422,'Final List'!$P$4:$P$252,0),0)</f>
        <v>0</v>
      </c>
      <c r="S422" s="169">
        <f t="shared" si="27"/>
        <v>0</v>
      </c>
      <c r="T422" s="77"/>
      <c r="U422" s="77"/>
      <c r="V422" s="77" t="str">
        <f t="shared" si="25"/>
        <v>REVITA 2</v>
      </c>
      <c r="W422" s="77" t="s">
        <v>8895</v>
      </c>
    </row>
    <row r="423" spans="2:23" x14ac:dyDescent="0.25">
      <c r="B423" s="77" t="s">
        <v>95</v>
      </c>
      <c r="C423" s="77" t="s">
        <v>39</v>
      </c>
      <c r="D423" s="77" t="s">
        <v>169</v>
      </c>
      <c r="E423" s="77" t="s">
        <v>36</v>
      </c>
      <c r="F423" s="245" t="str">
        <f t="shared" si="26"/>
        <v>StpS 77</v>
      </c>
      <c r="G423" s="77" t="s">
        <v>367</v>
      </c>
      <c r="H423" s="77"/>
      <c r="I423" s="77" t="str">
        <f t="shared" si="24"/>
        <v>L08_JVHW_065E_STOPE</v>
      </c>
      <c r="J423" s="77" t="s">
        <v>6281</v>
      </c>
      <c r="K423" s="169">
        <f>IFERROR(MATCH(J423,'Final List'!$B$4:$B$252,0),0)</f>
        <v>0</v>
      </c>
      <c r="L423" s="169">
        <f>IFERROR(MATCH(J423,'Final List'!$D$4:$D$252,0),0)</f>
        <v>0</v>
      </c>
      <c r="M423" s="169">
        <f>IFERROR(MATCH(J423,'Final List'!$F$4:$F$251,0),0)</f>
        <v>0</v>
      </c>
      <c r="N423" s="169">
        <f>IFERROR(MATCH(J423,'Final List'!$H$4:$H$252,0),0)</f>
        <v>0</v>
      </c>
      <c r="O423" s="169">
        <f>IFERROR(MATCH(J423,'Final List'!$J$4:$J$252,0),0)</f>
        <v>0</v>
      </c>
      <c r="P423" s="169">
        <f>IFERROR(MATCH(J423,'Final List'!$L$4:$L$252,0),0)</f>
        <v>0</v>
      </c>
      <c r="Q423" s="169">
        <f>IFERROR(MATCH(J423,'Final List'!$N$4:$N$252,0),0)</f>
        <v>0</v>
      </c>
      <c r="R423" s="169">
        <f>IFERROR(MATCH(J423,'Final List'!$P$4:$P$252,0),0)</f>
        <v>0</v>
      </c>
      <c r="S423" s="169">
        <f t="shared" si="27"/>
        <v>0</v>
      </c>
      <c r="T423" s="77" t="s">
        <v>68</v>
      </c>
      <c r="U423" s="77"/>
      <c r="V423" s="77" t="str">
        <f t="shared" si="25"/>
        <v>LERIO 1</v>
      </c>
      <c r="W423" s="77" t="s">
        <v>2713</v>
      </c>
    </row>
    <row r="424" spans="2:23" x14ac:dyDescent="0.25">
      <c r="B424" s="77" t="s">
        <v>93</v>
      </c>
      <c r="C424" s="77" t="s">
        <v>57</v>
      </c>
      <c r="D424" s="77" t="s">
        <v>132</v>
      </c>
      <c r="E424" s="77" t="s">
        <v>60</v>
      </c>
      <c r="F424" s="245" t="str">
        <f t="shared" si="26"/>
        <v>Dhoz 71</v>
      </c>
      <c r="G424" s="77" t="s">
        <v>350</v>
      </c>
      <c r="H424" s="77"/>
      <c r="I424" s="77" t="str">
        <f t="shared" si="24"/>
        <v>L06_JVSPLIT_033E_DE</v>
      </c>
      <c r="J424" s="77" t="s">
        <v>6295</v>
      </c>
      <c r="K424" s="169">
        <f>IFERROR(MATCH(J424,'Final List'!$B$4:$B$252,0),0)</f>
        <v>0</v>
      </c>
      <c r="L424" s="169">
        <f>IFERROR(MATCH(J424,'Final List'!$D$4:$D$252,0),0)</f>
        <v>0</v>
      </c>
      <c r="M424" s="169">
        <f>IFERROR(MATCH(J424,'Final List'!$F$4:$F$251,0),0)</f>
        <v>0</v>
      </c>
      <c r="N424" s="169">
        <f>IFERROR(MATCH(J424,'Final List'!$H$4:$H$252,0),0)</f>
        <v>0</v>
      </c>
      <c r="O424" s="169">
        <f>IFERROR(MATCH(J424,'Final List'!$J$4:$J$252,0),0)</f>
        <v>0</v>
      </c>
      <c r="P424" s="169">
        <f>IFERROR(MATCH(J424,'Final List'!$L$4:$L$252,0),0)</f>
        <v>0</v>
      </c>
      <c r="Q424" s="169">
        <f>IFERROR(MATCH(J424,'Final List'!$N$4:$N$252,0),0)</f>
        <v>0</v>
      </c>
      <c r="R424" s="169">
        <f>IFERROR(MATCH(J424,'Final List'!$P$4:$P$252,0),0)</f>
        <v>0</v>
      </c>
      <c r="S424" s="169">
        <f t="shared" si="27"/>
        <v>0</v>
      </c>
      <c r="T424" s="77"/>
      <c r="U424" s="77"/>
      <c r="V424" s="77" t="str">
        <f t="shared" si="25"/>
        <v>QUIJANO 1</v>
      </c>
      <c r="W424" s="77" t="s">
        <v>8895</v>
      </c>
    </row>
    <row r="425" spans="2:23" x14ac:dyDescent="0.25">
      <c r="B425" s="77" t="s">
        <v>258</v>
      </c>
      <c r="C425" s="77" t="s">
        <v>87</v>
      </c>
      <c r="D425" s="77" t="s">
        <v>131</v>
      </c>
      <c r="E425" s="77" t="s">
        <v>72</v>
      </c>
      <c r="F425" s="245" t="str">
        <f t="shared" si="26"/>
        <v>Dhoz 71</v>
      </c>
      <c r="G425" s="77" t="s">
        <v>454</v>
      </c>
      <c r="H425" s="77" t="s">
        <v>338</v>
      </c>
      <c r="I425" s="77" t="str">
        <f t="shared" si="24"/>
        <v>L10_NONE_011E_CHAMBER</v>
      </c>
      <c r="J425" s="77" t="s">
        <v>1202</v>
      </c>
      <c r="K425" s="169">
        <f>IFERROR(MATCH(J425,'Final List'!$B$4:$B$252,0),0)</f>
        <v>0</v>
      </c>
      <c r="L425" s="169">
        <f>IFERROR(MATCH(J425,'Final List'!$D$4:$D$252,0),0)</f>
        <v>0</v>
      </c>
      <c r="M425" s="169">
        <f>IFERROR(MATCH(J425,'Final List'!$F$4:$F$251,0),0)</f>
        <v>0</v>
      </c>
      <c r="N425" s="169">
        <f>IFERROR(MATCH(J425,'Final List'!$H$4:$H$252,0),0)</f>
        <v>0</v>
      </c>
      <c r="O425" s="169">
        <f>IFERROR(MATCH(J425,'Final List'!$J$4:$J$252,0),0)</f>
        <v>0</v>
      </c>
      <c r="P425" s="169">
        <f>IFERROR(MATCH(J425,'Final List'!$L$4:$L$252,0),0)</f>
        <v>0</v>
      </c>
      <c r="Q425" s="169">
        <f>IFERROR(MATCH(J425,'Final List'!$N$4:$N$252,0),0)</f>
        <v>0</v>
      </c>
      <c r="R425" s="169">
        <f>IFERROR(MATCH(J425,'Final List'!$P$4:$P$252,0),0)</f>
        <v>0</v>
      </c>
      <c r="S425" s="169">
        <f t="shared" si="27"/>
        <v>0</v>
      </c>
      <c r="T425" s="77"/>
      <c r="U425" s="77"/>
      <c r="V425" s="77" t="str">
        <f t="shared" si="25"/>
        <v>DEMALATA 1</v>
      </c>
      <c r="W425" s="77" t="s">
        <v>2714</v>
      </c>
    </row>
    <row r="426" spans="2:23" x14ac:dyDescent="0.25">
      <c r="B426" s="150" t="s">
        <v>93</v>
      </c>
      <c r="C426" s="150" t="s">
        <v>45</v>
      </c>
      <c r="D426" s="150" t="s">
        <v>120</v>
      </c>
      <c r="E426" s="150" t="s">
        <v>211</v>
      </c>
      <c r="F426" s="245" t="str">
        <f t="shared" si="26"/>
        <v>StpS 77</v>
      </c>
      <c r="G426" s="77" t="s">
        <v>353</v>
      </c>
      <c r="H426" s="77"/>
      <c r="I426" s="77" t="str">
        <f t="shared" si="24"/>
        <v>L06_DPVE_015E_STOPE PREP</v>
      </c>
      <c r="J426" s="77" t="s">
        <v>6297</v>
      </c>
      <c r="K426" s="169">
        <f>IFERROR(MATCH(J426,'Final List'!$B$4:$B$252,0),0)</f>
        <v>0</v>
      </c>
      <c r="L426" s="169">
        <f>IFERROR(MATCH(J426,'Final List'!$D$4:$D$252,0),0)</f>
        <v>0</v>
      </c>
      <c r="M426" s="169">
        <f>IFERROR(MATCH(J426,'Final List'!$F$4:$F$251,0),0)</f>
        <v>0</v>
      </c>
      <c r="N426" s="169">
        <f>IFERROR(MATCH(J426,'Final List'!$H$4:$H$252,0),0)</f>
        <v>0</v>
      </c>
      <c r="O426" s="169">
        <f>IFERROR(MATCH(J426,'Final List'!$J$4:$J$252,0),0)</f>
        <v>0</v>
      </c>
      <c r="P426" s="169">
        <f>IFERROR(MATCH(J426,'Final List'!$L$4:$L$252,0),0)</f>
        <v>0</v>
      </c>
      <c r="Q426" s="169">
        <f>IFERROR(MATCH(J426,'Final List'!$N$4:$N$252,0),0)</f>
        <v>0</v>
      </c>
      <c r="R426" s="169">
        <f>IFERROR(MATCH(J426,'Final List'!$P$4:$P$252,0),0)</f>
        <v>0</v>
      </c>
      <c r="S426" s="169">
        <f t="shared" si="27"/>
        <v>0</v>
      </c>
      <c r="T426" s="77" t="s">
        <v>68</v>
      </c>
      <c r="U426" s="77"/>
      <c r="V426" s="77" t="str">
        <f t="shared" si="25"/>
        <v>BAÑEZ 4</v>
      </c>
      <c r="W426" s="77" t="s">
        <v>2712</v>
      </c>
    </row>
    <row r="427" spans="2:23" x14ac:dyDescent="0.25">
      <c r="B427" s="150" t="s">
        <v>96</v>
      </c>
      <c r="C427" s="150" t="s">
        <v>55</v>
      </c>
      <c r="D427" s="150" t="s">
        <v>289</v>
      </c>
      <c r="E427" s="150" t="s">
        <v>60</v>
      </c>
      <c r="F427" s="245" t="str">
        <f t="shared" si="26"/>
        <v>Dhoz 71</v>
      </c>
      <c r="G427" s="77" t="s">
        <v>460</v>
      </c>
      <c r="H427" s="77"/>
      <c r="I427" s="77" t="str">
        <f t="shared" si="24"/>
        <v>L09_JVFW_059E_DE</v>
      </c>
      <c r="J427" s="77" t="s">
        <v>1084</v>
      </c>
      <c r="K427" s="169">
        <f>IFERROR(MATCH(J427,'Final List'!$B$4:$B$252,0),0)</f>
        <v>0</v>
      </c>
      <c r="L427" s="169">
        <f>IFERROR(MATCH(J427,'Final List'!$D$4:$D$252,0),0)</f>
        <v>0</v>
      </c>
      <c r="M427" s="169">
        <f>IFERROR(MATCH(J427,'Final List'!$F$4:$F$251,0),0)</f>
        <v>0</v>
      </c>
      <c r="N427" s="169">
        <f>IFERROR(MATCH(J427,'Final List'!$H$4:$H$252,0),0)</f>
        <v>0</v>
      </c>
      <c r="O427" s="169">
        <f>IFERROR(MATCH(J427,'Final List'!$J$4:$J$252,0),0)</f>
        <v>0</v>
      </c>
      <c r="P427" s="169">
        <f>IFERROR(MATCH(J427,'Final List'!$L$4:$L$252,0),0)</f>
        <v>0</v>
      </c>
      <c r="Q427" s="169">
        <f>IFERROR(MATCH(J427,'Final List'!$N$4:$N$252,0),0)</f>
        <v>0</v>
      </c>
      <c r="R427" s="169">
        <f>IFERROR(MATCH(J427,'Final List'!$P$4:$P$252,0),0)</f>
        <v>0</v>
      </c>
      <c r="S427" s="169">
        <f t="shared" si="27"/>
        <v>0</v>
      </c>
      <c r="T427" s="77"/>
      <c r="U427" s="77"/>
      <c r="V427" s="77" t="str">
        <f t="shared" si="25"/>
        <v>PANSIT 5</v>
      </c>
      <c r="W427" s="77" t="s">
        <v>8896</v>
      </c>
    </row>
    <row r="428" spans="2:23" x14ac:dyDescent="0.25">
      <c r="B428" s="77" t="s">
        <v>258</v>
      </c>
      <c r="C428" s="77" t="s">
        <v>59</v>
      </c>
      <c r="D428" s="77" t="s">
        <v>175</v>
      </c>
      <c r="E428" s="77" t="s">
        <v>36</v>
      </c>
      <c r="F428" s="245" t="str">
        <f t="shared" si="26"/>
        <v>StpS 77</v>
      </c>
      <c r="G428" s="77" t="s">
        <v>6254</v>
      </c>
      <c r="H428" s="77"/>
      <c r="I428" s="77" t="str">
        <f t="shared" si="24"/>
        <v>L10_GHVHW_060E_STOPE</v>
      </c>
      <c r="J428" s="77" t="s">
        <v>6300</v>
      </c>
      <c r="K428" s="169">
        <f>IFERROR(MATCH(J428,'Final List'!$B$4:$B$252,0),0)</f>
        <v>0</v>
      </c>
      <c r="L428" s="169">
        <f>IFERROR(MATCH(J428,'Final List'!$D$4:$D$252,0),0)</f>
        <v>0</v>
      </c>
      <c r="M428" s="169">
        <f>IFERROR(MATCH(J428,'Final List'!$F$4:$F$251,0),0)</f>
        <v>0</v>
      </c>
      <c r="N428" s="169">
        <f>IFERROR(MATCH(J428,'Final List'!$H$4:$H$252,0),0)</f>
        <v>0</v>
      </c>
      <c r="O428" s="169">
        <f>IFERROR(MATCH(J428,'Final List'!$J$4:$J$252,0),0)</f>
        <v>0</v>
      </c>
      <c r="P428" s="169">
        <f>IFERROR(MATCH(J428,'Final List'!$L$4:$L$252,0),0)</f>
        <v>0</v>
      </c>
      <c r="Q428" s="169">
        <f>IFERROR(MATCH(J428,'Final List'!$N$4:$N$252,0),0)</f>
        <v>0</v>
      </c>
      <c r="R428" s="169">
        <f>IFERROR(MATCH(J428,'Final List'!$P$4:$P$252,0),0)</f>
        <v>0</v>
      </c>
      <c r="S428" s="169">
        <f t="shared" si="27"/>
        <v>0</v>
      </c>
      <c r="T428" s="77" t="s">
        <v>68</v>
      </c>
      <c r="U428" s="77"/>
      <c r="V428" s="77" t="str">
        <f t="shared" si="25"/>
        <v xml:space="preserve"> OLIVEROS 4</v>
      </c>
      <c r="W428" s="77" t="s">
        <v>2713</v>
      </c>
    </row>
    <row r="429" spans="2:23" x14ac:dyDescent="0.25">
      <c r="B429" s="77" t="s">
        <v>92</v>
      </c>
      <c r="C429" s="77" t="s">
        <v>42</v>
      </c>
      <c r="D429" s="77" t="s">
        <v>143</v>
      </c>
      <c r="E429" s="77" t="s">
        <v>6144</v>
      </c>
      <c r="F429" s="245" t="str">
        <f t="shared" si="26"/>
        <v>DVR 72</v>
      </c>
      <c r="G429" s="77" t="s">
        <v>2969</v>
      </c>
      <c r="H429" s="77"/>
      <c r="I429" s="77" t="str">
        <f t="shared" si="24"/>
        <v>L05_JV_032E_RAISE_ISL</v>
      </c>
      <c r="J429" s="77" t="s">
        <v>6304</v>
      </c>
      <c r="K429" s="169">
        <f>IFERROR(MATCH(J429,'Final List'!$B$4:$B$252,0),0)</f>
        <v>0</v>
      </c>
      <c r="L429" s="169">
        <f>IFERROR(MATCH(J429,'Final List'!$D$4:$D$252,0),0)</f>
        <v>0</v>
      </c>
      <c r="M429" s="169">
        <f>IFERROR(MATCH(J429,'Final List'!$F$4:$F$251,0),0)</f>
        <v>0</v>
      </c>
      <c r="N429" s="169">
        <f>IFERROR(MATCH(J429,'Final List'!$H$4:$H$252,0),0)</f>
        <v>0</v>
      </c>
      <c r="O429" s="169">
        <f>IFERROR(MATCH(J429,'Final List'!$J$4:$J$252,0),0)</f>
        <v>0</v>
      </c>
      <c r="P429" s="169">
        <f>IFERROR(MATCH(J429,'Final List'!$L$4:$L$252,0),0)</f>
        <v>0</v>
      </c>
      <c r="Q429" s="169">
        <f>IFERROR(MATCH(J429,'Final List'!$N$4:$N$252,0),0)</f>
        <v>0</v>
      </c>
      <c r="R429" s="169">
        <f>IFERROR(MATCH(J429,'Final List'!$P$4:$P$252,0),0)</f>
        <v>0</v>
      </c>
      <c r="S429" s="169">
        <f t="shared" si="27"/>
        <v>0</v>
      </c>
      <c r="T429" s="77"/>
      <c r="U429" s="77"/>
      <c r="V429" s="77" t="str">
        <f t="shared" si="25"/>
        <v>SAMBERE 1</v>
      </c>
      <c r="W429" s="77" t="s">
        <v>2715</v>
      </c>
    </row>
    <row r="430" spans="2:23" x14ac:dyDescent="0.25">
      <c r="B430" s="77" t="s">
        <v>258</v>
      </c>
      <c r="C430" s="77" t="s">
        <v>59</v>
      </c>
      <c r="D430" s="77" t="s">
        <v>198</v>
      </c>
      <c r="E430" s="77" t="s">
        <v>36</v>
      </c>
      <c r="F430" s="245" t="str">
        <f t="shared" si="26"/>
        <v>StpS 77</v>
      </c>
      <c r="G430" s="77" t="s">
        <v>296</v>
      </c>
      <c r="H430" s="77" t="s">
        <v>6410</v>
      </c>
      <c r="I430" s="77" t="str">
        <f t="shared" si="24"/>
        <v>L10_GHVHW_069E_STOPE</v>
      </c>
      <c r="J430" s="77" t="s">
        <v>6306</v>
      </c>
      <c r="K430" s="169">
        <f>IFERROR(MATCH(J430,'Final List'!$B$4:$B$252,0),0)</f>
        <v>0</v>
      </c>
      <c r="L430" s="169">
        <f>IFERROR(MATCH(J430,'Final List'!$D$4:$D$252,0),0)</f>
        <v>0</v>
      </c>
      <c r="M430" s="169">
        <f>IFERROR(MATCH(J430,'Final List'!$F$4:$F$251,0),0)</f>
        <v>0</v>
      </c>
      <c r="N430" s="169">
        <f>IFERROR(MATCH(J430,'Final List'!$H$4:$H$252,0),0)</f>
        <v>0</v>
      </c>
      <c r="O430" s="169">
        <f>IFERROR(MATCH(J430,'Final List'!$J$4:$J$252,0),0)</f>
        <v>0</v>
      </c>
      <c r="P430" s="169">
        <f>IFERROR(MATCH(J430,'Final List'!$L$4:$L$252,0),0)</f>
        <v>0</v>
      </c>
      <c r="Q430" s="169">
        <f>IFERROR(MATCH(J430,'Final List'!$N$4:$N$252,0),0)</f>
        <v>0</v>
      </c>
      <c r="R430" s="169">
        <f>IFERROR(MATCH(J430,'Final List'!$P$4:$P$252,0),0)</f>
        <v>0</v>
      </c>
      <c r="S430" s="169">
        <f t="shared" si="27"/>
        <v>0</v>
      </c>
      <c r="T430" s="77" t="s">
        <v>68</v>
      </c>
      <c r="U430" s="77"/>
      <c r="V430" s="77" t="str">
        <f t="shared" si="25"/>
        <v xml:space="preserve">OLIVEROS 3 </v>
      </c>
      <c r="W430" s="77" t="s">
        <v>2713</v>
      </c>
    </row>
    <row r="431" spans="2:23" x14ac:dyDescent="0.25">
      <c r="B431" s="77" t="s">
        <v>95</v>
      </c>
      <c r="C431" s="77" t="s">
        <v>87</v>
      </c>
      <c r="D431" s="77" t="s">
        <v>144</v>
      </c>
      <c r="E431" s="77" t="s">
        <v>37</v>
      </c>
      <c r="F431" s="245" t="str">
        <f t="shared" si="26"/>
        <v>Dhoz 71</v>
      </c>
      <c r="G431" s="77" t="s">
        <v>617</v>
      </c>
      <c r="H431" s="77"/>
      <c r="I431" s="77" t="str">
        <f t="shared" si="24"/>
        <v>L08_NONE_043E_XCN</v>
      </c>
      <c r="J431" s="77" t="s">
        <v>6303</v>
      </c>
      <c r="K431" s="169">
        <f>IFERROR(MATCH(J431,'Final List'!$B$4:$B$252,0),0)</f>
        <v>0</v>
      </c>
      <c r="L431" s="169">
        <f>IFERROR(MATCH(J431,'Final List'!$D$4:$D$252,0),0)</f>
        <v>0</v>
      </c>
      <c r="M431" s="169">
        <f>IFERROR(MATCH(J431,'Final List'!$F$4:$F$251,0),0)</f>
        <v>0</v>
      </c>
      <c r="N431" s="169">
        <f>IFERROR(MATCH(J431,'Final List'!$H$4:$H$252,0),0)</f>
        <v>0</v>
      </c>
      <c r="O431" s="169">
        <f>IFERROR(MATCH(J431,'Final List'!$J$4:$J$252,0),0)</f>
        <v>0</v>
      </c>
      <c r="P431" s="169">
        <f>IFERROR(MATCH(J431,'Final List'!$L$4:$L$252,0),0)</f>
        <v>0</v>
      </c>
      <c r="Q431" s="169">
        <f>IFERROR(MATCH(J431,'Final List'!$N$4:$N$252,0),0)</f>
        <v>0</v>
      </c>
      <c r="R431" s="169">
        <f>IFERROR(MATCH(J431,'Final List'!$P$4:$P$252,0),0)</f>
        <v>0</v>
      </c>
      <c r="S431" s="169">
        <f t="shared" si="27"/>
        <v>0</v>
      </c>
      <c r="T431" s="77"/>
      <c r="U431" s="77">
        <f>+U433</f>
        <v>0</v>
      </c>
      <c r="V431" s="77" t="str">
        <f t="shared" si="25"/>
        <v>HANGDAAN 2</v>
      </c>
      <c r="W431" s="77" t="s">
        <v>2714</v>
      </c>
    </row>
    <row r="432" spans="2:23" x14ac:dyDescent="0.25">
      <c r="B432" s="77" t="s">
        <v>92</v>
      </c>
      <c r="C432" s="77" t="s">
        <v>45</v>
      </c>
      <c r="D432" s="77" t="s">
        <v>5975</v>
      </c>
      <c r="E432" s="77" t="s">
        <v>36</v>
      </c>
      <c r="F432" s="245" t="str">
        <f t="shared" si="26"/>
        <v>StpS 77</v>
      </c>
      <c r="G432" s="77" t="s">
        <v>1577</v>
      </c>
      <c r="H432" s="77"/>
      <c r="I432" s="77" t="str">
        <f t="shared" si="24"/>
        <v>L05_DPVE_028E_STOPE</v>
      </c>
      <c r="J432" s="77" t="s">
        <v>6308</v>
      </c>
      <c r="K432" s="169">
        <f>IFERROR(MATCH(J432,'Final List'!$B$4:$B$252,0),0)</f>
        <v>0</v>
      </c>
      <c r="L432" s="169">
        <f>IFERROR(MATCH(J432,'Final List'!$D$4:$D$252,0),0)</f>
        <v>0</v>
      </c>
      <c r="M432" s="169">
        <f>IFERROR(MATCH(J432,'Final List'!$F$4:$F$251,0),0)</f>
        <v>0</v>
      </c>
      <c r="N432" s="169">
        <f>IFERROR(MATCH(J432,'Final List'!$H$4:$H$252,0),0)</f>
        <v>0</v>
      </c>
      <c r="O432" s="169">
        <f>IFERROR(MATCH(J432,'Final List'!$J$4:$J$252,0),0)</f>
        <v>0</v>
      </c>
      <c r="P432" s="169">
        <f>IFERROR(MATCH(J432,'Final List'!$L$4:$L$252,0),0)</f>
        <v>0</v>
      </c>
      <c r="Q432" s="169">
        <f>IFERROR(MATCH(J432,'Final List'!$N$4:$N$252,0),0)</f>
        <v>0</v>
      </c>
      <c r="R432" s="169">
        <f>IFERROR(MATCH(J432,'Final List'!$P$4:$P$252,0),0)</f>
        <v>0</v>
      </c>
      <c r="S432" s="169">
        <f t="shared" si="27"/>
        <v>0</v>
      </c>
      <c r="T432" s="77" t="s">
        <v>68</v>
      </c>
      <c r="U432" s="77"/>
      <c r="V432" s="77" t="str">
        <f t="shared" si="25"/>
        <v>PANCIT, NOEL 2</v>
      </c>
      <c r="W432" s="77" t="s">
        <v>2713</v>
      </c>
    </row>
    <row r="433" spans="1:25" x14ac:dyDescent="0.25">
      <c r="B433" s="77" t="s">
        <v>92</v>
      </c>
      <c r="C433" s="77" t="s">
        <v>45</v>
      </c>
      <c r="D433" s="77" t="s">
        <v>168</v>
      </c>
      <c r="E433" s="77" t="s">
        <v>211</v>
      </c>
      <c r="F433" s="245" t="str">
        <f t="shared" si="26"/>
        <v>StpS 77</v>
      </c>
      <c r="G433" s="77" t="s">
        <v>450</v>
      </c>
      <c r="H433" s="77"/>
      <c r="I433" s="77" t="str">
        <f t="shared" si="24"/>
        <v>L05_DPVE_047E_STOPE PREP</v>
      </c>
      <c r="J433" s="77" t="s">
        <v>6311</v>
      </c>
      <c r="K433" s="169">
        <f>IFERROR(MATCH(J433,'Final List'!$B$4:$B$252,0),0)</f>
        <v>0</v>
      </c>
      <c r="L433" s="169">
        <f>IFERROR(MATCH(J433,'Final List'!$D$4:$D$252,0),0)</f>
        <v>0</v>
      </c>
      <c r="M433" s="169">
        <f>IFERROR(MATCH(J433,'Final List'!$F$4:$F$251,0),0)</f>
        <v>0</v>
      </c>
      <c r="N433" s="169">
        <f>IFERROR(MATCH(J433,'Final List'!$H$4:$H$252,0),0)</f>
        <v>0</v>
      </c>
      <c r="O433" s="169">
        <f>IFERROR(MATCH(J433,'Final List'!$J$4:$J$252,0),0)</f>
        <v>0</v>
      </c>
      <c r="P433" s="169">
        <f>IFERROR(MATCH(J433,'Final List'!$L$4:$L$252,0),0)</f>
        <v>0</v>
      </c>
      <c r="Q433" s="169">
        <f>IFERROR(MATCH(J433,'Final List'!$N$4:$N$252,0),0)</f>
        <v>0</v>
      </c>
      <c r="R433" s="169">
        <f>IFERROR(MATCH(J433,'Final List'!$P$4:$P$252,0),0)</f>
        <v>0</v>
      </c>
      <c r="S433" s="169">
        <f t="shared" si="27"/>
        <v>0</v>
      </c>
      <c r="T433" s="77" t="s">
        <v>68</v>
      </c>
      <c r="U433" s="77"/>
      <c r="V433" s="77" t="str">
        <f t="shared" si="25"/>
        <v>BAYOBAY 1</v>
      </c>
      <c r="W433" s="77" t="s">
        <v>2712</v>
      </c>
    </row>
    <row r="434" spans="1:25" x14ac:dyDescent="0.25">
      <c r="B434" s="77" t="s">
        <v>92</v>
      </c>
      <c r="C434" s="77" t="s">
        <v>42</v>
      </c>
      <c r="D434" s="77" t="s">
        <v>149</v>
      </c>
      <c r="E434" s="77" t="s">
        <v>61</v>
      </c>
      <c r="F434" s="245" t="str">
        <f t="shared" si="26"/>
        <v>Dhoz 71</v>
      </c>
      <c r="G434" s="77" t="s">
        <v>3659</v>
      </c>
      <c r="H434" s="77"/>
      <c r="I434" s="77" t="str">
        <f t="shared" si="24"/>
        <v>L05_JV_021E_DW</v>
      </c>
      <c r="J434" s="77" t="s">
        <v>6317</v>
      </c>
      <c r="K434" s="169">
        <f>IFERROR(MATCH(J434,'Final List'!$B$4:$B$252,0),0)</f>
        <v>0</v>
      </c>
      <c r="L434" s="169">
        <f>IFERROR(MATCH(J434,'Final List'!$D$4:$D$252,0),0)</f>
        <v>0</v>
      </c>
      <c r="M434" s="169">
        <f>IFERROR(MATCH(J434,'Final List'!$F$4:$F$251,0),0)</f>
        <v>0</v>
      </c>
      <c r="N434" s="169">
        <f>IFERROR(MATCH(J434,'Final List'!$H$4:$H$252,0),0)</f>
        <v>0</v>
      </c>
      <c r="O434" s="169">
        <f>IFERROR(MATCH(J434,'Final List'!$J$4:$J$252,0),0)</f>
        <v>0</v>
      </c>
      <c r="P434" s="169">
        <f>IFERROR(MATCH(J434,'Final List'!$L$4:$L$252,0),0)</f>
        <v>0</v>
      </c>
      <c r="Q434" s="169">
        <f>IFERROR(MATCH(J434,'Final List'!$N$4:$N$252,0),0)</f>
        <v>0</v>
      </c>
      <c r="R434" s="169">
        <f>IFERROR(MATCH(J434,'Final List'!$P$4:$P$252,0),0)</f>
        <v>0</v>
      </c>
      <c r="S434" s="169">
        <f t="shared" si="27"/>
        <v>0</v>
      </c>
      <c r="T434" s="77"/>
      <c r="U434" s="77"/>
      <c r="V434" s="77" t="str">
        <f t="shared" si="25"/>
        <v>SHEPHERD AD 2</v>
      </c>
      <c r="W434" s="77" t="s">
        <v>8895</v>
      </c>
    </row>
    <row r="435" spans="1:25" x14ac:dyDescent="0.25">
      <c r="B435" s="77" t="s">
        <v>258</v>
      </c>
      <c r="C435" s="77" t="s">
        <v>59</v>
      </c>
      <c r="D435" s="77" t="s">
        <v>167</v>
      </c>
      <c r="E435" s="77" t="s">
        <v>19</v>
      </c>
      <c r="F435" s="245" t="str">
        <f t="shared" si="26"/>
        <v>DVR 72</v>
      </c>
      <c r="G435" s="77" t="s">
        <v>5702</v>
      </c>
      <c r="H435" s="77" t="s">
        <v>311</v>
      </c>
      <c r="I435" s="77" t="str">
        <f t="shared" si="24"/>
        <v>L10_GHVHW_058E_RAISE</v>
      </c>
      <c r="J435" s="77" t="s">
        <v>6315</v>
      </c>
      <c r="K435" s="169">
        <f>IFERROR(MATCH(J435,'Final List'!$B$4:$B$252,0),0)</f>
        <v>0</v>
      </c>
      <c r="L435" s="169">
        <f>IFERROR(MATCH(J435,'Final List'!$D$4:$D$252,0),0)</f>
        <v>0</v>
      </c>
      <c r="M435" s="169">
        <f>IFERROR(MATCH(J435,'Final List'!$F$4:$F$251,0),0)</f>
        <v>0</v>
      </c>
      <c r="N435" s="169">
        <f>IFERROR(MATCH(J435,'Final List'!$H$4:$H$252,0),0)</f>
        <v>0</v>
      </c>
      <c r="O435" s="169">
        <f>IFERROR(MATCH(J435,'Final List'!$J$4:$J$252,0),0)</f>
        <v>0</v>
      </c>
      <c r="P435" s="169">
        <f>IFERROR(MATCH(J435,'Final List'!$L$4:$L$252,0),0)</f>
        <v>0</v>
      </c>
      <c r="Q435" s="169">
        <f>IFERROR(MATCH(J435,'Final List'!$N$4:$N$252,0),0)</f>
        <v>0</v>
      </c>
      <c r="R435" s="169">
        <f>IFERROR(MATCH(J435,'Final List'!$P$4:$P$252,0),0)</f>
        <v>0</v>
      </c>
      <c r="S435" s="169">
        <f t="shared" si="27"/>
        <v>0</v>
      </c>
      <c r="T435" s="77"/>
      <c r="U435" s="77"/>
      <c r="V435" s="77" t="str">
        <f t="shared" si="25"/>
        <v>MARTINEZ DN 2</v>
      </c>
      <c r="W435" s="77" t="s">
        <v>2715</v>
      </c>
    </row>
    <row r="436" spans="1:25" s="118" customFormat="1" x14ac:dyDescent="0.25">
      <c r="A436"/>
      <c r="B436" s="77" t="s">
        <v>92</v>
      </c>
      <c r="C436" s="77" t="s">
        <v>42</v>
      </c>
      <c r="D436" s="77" t="s">
        <v>121</v>
      </c>
      <c r="E436" s="77" t="s">
        <v>211</v>
      </c>
      <c r="F436" s="245" t="str">
        <f t="shared" si="26"/>
        <v>StpS 77</v>
      </c>
      <c r="G436" s="77" t="s">
        <v>5706</v>
      </c>
      <c r="H436" s="77"/>
      <c r="I436" s="77" t="str">
        <f t="shared" si="24"/>
        <v>L05_JV_022E_STOPE PREP</v>
      </c>
      <c r="J436" s="77" t="s">
        <v>6318</v>
      </c>
      <c r="K436" s="169">
        <f>IFERROR(MATCH(J436,'Final List'!$B$4:$B$252,0),0)</f>
        <v>0</v>
      </c>
      <c r="L436" s="169">
        <f>IFERROR(MATCH(J436,'Final List'!$D$4:$D$252,0),0)</f>
        <v>0</v>
      </c>
      <c r="M436" s="169">
        <f>IFERROR(MATCH(J436,'Final List'!$F$4:$F$251,0),0)</f>
        <v>0</v>
      </c>
      <c r="N436" s="169">
        <f>IFERROR(MATCH(J436,'Final List'!$H$4:$H$252,0),0)</f>
        <v>0</v>
      </c>
      <c r="O436" s="169">
        <f>IFERROR(MATCH(J436,'Final List'!$J$4:$J$252,0),0)</f>
        <v>0</v>
      </c>
      <c r="P436" s="169">
        <f>IFERROR(MATCH(J436,'Final List'!$L$4:$L$252,0),0)</f>
        <v>0</v>
      </c>
      <c r="Q436" s="169">
        <f>IFERROR(MATCH(J436,'Final List'!$N$4:$N$252,0),0)</f>
        <v>0</v>
      </c>
      <c r="R436" s="169">
        <f>IFERROR(MATCH(J436,'Final List'!$P$4:$P$252,0),0)</f>
        <v>0</v>
      </c>
      <c r="S436" s="169">
        <f t="shared" si="27"/>
        <v>0</v>
      </c>
      <c r="T436" s="77" t="s">
        <v>68</v>
      </c>
      <c r="U436" s="77"/>
      <c r="V436" s="77" t="str">
        <f t="shared" si="25"/>
        <v>SHEPHERD AF 1</v>
      </c>
      <c r="W436" s="77" t="s">
        <v>2712</v>
      </c>
      <c r="X436"/>
      <c r="Y436"/>
    </row>
    <row r="437" spans="1:25" s="118" customFormat="1" x14ac:dyDescent="0.25">
      <c r="A437"/>
      <c r="B437" s="77" t="s">
        <v>94</v>
      </c>
      <c r="C437" s="77" t="s">
        <v>57</v>
      </c>
      <c r="D437" s="77" t="s">
        <v>141</v>
      </c>
      <c r="E437" s="77" t="s">
        <v>61</v>
      </c>
      <c r="F437" s="245" t="str">
        <f t="shared" si="26"/>
        <v>Dhoz 71</v>
      </c>
      <c r="G437" s="77" t="s">
        <v>324</v>
      </c>
      <c r="H437" s="77"/>
      <c r="I437" s="77" t="str">
        <f t="shared" si="24"/>
        <v>L07_JVSPLIT_029E_DW</v>
      </c>
      <c r="J437" s="77" t="s">
        <v>6319</v>
      </c>
      <c r="K437" s="169">
        <f>IFERROR(MATCH(J437,'Final List'!$B$4:$B$252,0),0)</f>
        <v>0</v>
      </c>
      <c r="L437" s="169">
        <f>IFERROR(MATCH(J437,'Final List'!$D$4:$D$252,0),0)</f>
        <v>0</v>
      </c>
      <c r="M437" s="169">
        <f>IFERROR(MATCH(J437,'Final List'!$F$4:$F$251,0),0)</f>
        <v>0</v>
      </c>
      <c r="N437" s="169">
        <f>IFERROR(MATCH(J437,'Final List'!$H$4:$H$252,0),0)</f>
        <v>0</v>
      </c>
      <c r="O437" s="169">
        <f>IFERROR(MATCH(J437,'Final List'!$J$4:$J$252,0),0)</f>
        <v>0</v>
      </c>
      <c r="P437" s="169">
        <f>IFERROR(MATCH(J437,'Final List'!$L$4:$L$252,0),0)</f>
        <v>0</v>
      </c>
      <c r="Q437" s="169">
        <f>IFERROR(MATCH(J437,'Final List'!$N$4:$N$252,0),0)</f>
        <v>0</v>
      </c>
      <c r="R437" s="169">
        <f>IFERROR(MATCH(J437,'Final List'!$P$4:$P$252,0),0)</f>
        <v>0</v>
      </c>
      <c r="S437" s="169">
        <f t="shared" si="27"/>
        <v>0</v>
      </c>
      <c r="T437" s="77"/>
      <c r="U437" s="77"/>
      <c r="V437" s="77" t="str">
        <f t="shared" si="25"/>
        <v>CAYABAS 1</v>
      </c>
      <c r="W437" s="77" t="s">
        <v>8895</v>
      </c>
      <c r="X437"/>
      <c r="Y437"/>
    </row>
    <row r="438" spans="1:25" x14ac:dyDescent="0.25">
      <c r="B438" s="77" t="s">
        <v>92</v>
      </c>
      <c r="C438" s="77" t="s">
        <v>45</v>
      </c>
      <c r="D438" s="77" t="s">
        <v>122</v>
      </c>
      <c r="E438" s="77" t="s">
        <v>61</v>
      </c>
      <c r="F438" s="245" t="str">
        <f t="shared" si="26"/>
        <v>Dhoz 71</v>
      </c>
      <c r="G438" s="77" t="s">
        <v>551</v>
      </c>
      <c r="H438" s="77"/>
      <c r="I438" s="77" t="str">
        <f t="shared" si="24"/>
        <v>L05_DPVE_025E_DW</v>
      </c>
      <c r="J438" s="77" t="s">
        <v>6323</v>
      </c>
      <c r="K438" s="169">
        <f>IFERROR(MATCH(J438,'Final List'!$B$4:$B$252,0),0)</f>
        <v>0</v>
      </c>
      <c r="L438" s="169">
        <f>IFERROR(MATCH(J438,'Final List'!$D$4:$D$252,0),0)</f>
        <v>0</v>
      </c>
      <c r="M438" s="169">
        <f>IFERROR(MATCH(J438,'Final List'!$F$4:$F$251,0),0)</f>
        <v>0</v>
      </c>
      <c r="N438" s="169">
        <f>IFERROR(MATCH(J438,'Final List'!$H$4:$H$252,0),0)</f>
        <v>0</v>
      </c>
      <c r="O438" s="169">
        <f>IFERROR(MATCH(J438,'Final List'!$J$4:$J$252,0),0)</f>
        <v>0</v>
      </c>
      <c r="P438" s="169">
        <f>IFERROR(MATCH(J438,'Final List'!$L$4:$L$252,0),0)</f>
        <v>0</v>
      </c>
      <c r="Q438" s="169">
        <f>IFERROR(MATCH(J438,'Final List'!$N$4:$N$252,0),0)</f>
        <v>0</v>
      </c>
      <c r="R438" s="169">
        <f>IFERROR(MATCH(J438,'Final List'!$P$4:$P$252,0),0)</f>
        <v>0</v>
      </c>
      <c r="S438" s="169">
        <f t="shared" si="27"/>
        <v>0</v>
      </c>
      <c r="T438" s="77"/>
      <c r="U438" s="77"/>
      <c r="V438" s="77" t="str">
        <f t="shared" si="25"/>
        <v>PANCIT, NOEL 3</v>
      </c>
      <c r="W438" s="77" t="s">
        <v>8895</v>
      </c>
    </row>
    <row r="439" spans="1:25" x14ac:dyDescent="0.25">
      <c r="B439" s="77" t="s">
        <v>91</v>
      </c>
      <c r="C439" s="77" t="s">
        <v>44</v>
      </c>
      <c r="D439" s="77" t="s">
        <v>114</v>
      </c>
      <c r="E439" s="77" t="s">
        <v>19</v>
      </c>
      <c r="F439" s="245" t="str">
        <f t="shared" si="26"/>
        <v>DVR 72</v>
      </c>
      <c r="G439" s="77" t="s">
        <v>488</v>
      </c>
      <c r="H439" s="77"/>
      <c r="I439" s="77" t="str">
        <f t="shared" si="24"/>
        <v>L04_CV_025W_RAISE</v>
      </c>
      <c r="J439" s="77" t="s">
        <v>6344</v>
      </c>
      <c r="K439" s="169">
        <f>IFERROR(MATCH(J439,'Final List'!$B$4:$B$252,0),0)</f>
        <v>0</v>
      </c>
      <c r="L439" s="169">
        <f>IFERROR(MATCH(J439,'Final List'!$D$4:$D$252,0),0)</f>
        <v>0</v>
      </c>
      <c r="M439" s="169">
        <f>IFERROR(MATCH(J439,'Final List'!$F$4:$F$251,0),0)</f>
        <v>0</v>
      </c>
      <c r="N439" s="169">
        <f>IFERROR(MATCH(J439,'Final List'!$H$4:$H$252,0),0)</f>
        <v>0</v>
      </c>
      <c r="O439" s="169">
        <f>IFERROR(MATCH(J439,'Final List'!$J$4:$J$252,0),0)</f>
        <v>0</v>
      </c>
      <c r="P439" s="169">
        <f>IFERROR(MATCH(J439,'Final List'!$L$4:$L$252,0),0)</f>
        <v>0</v>
      </c>
      <c r="Q439" s="169">
        <f>IFERROR(MATCH(J439,'Final List'!$N$4:$N$252,0),0)</f>
        <v>0</v>
      </c>
      <c r="R439" s="169">
        <f>IFERROR(MATCH(J439,'Final List'!$P$4:$P$252,0),0)</f>
        <v>0</v>
      </c>
      <c r="S439" s="169">
        <f t="shared" si="27"/>
        <v>0</v>
      </c>
      <c r="T439" s="77"/>
      <c r="U439" s="77"/>
      <c r="V439" s="77" t="str">
        <f t="shared" si="25"/>
        <v>BAÑEZ 9</v>
      </c>
      <c r="W439" s="77" t="s">
        <v>2715</v>
      </c>
    </row>
    <row r="440" spans="1:25" x14ac:dyDescent="0.25">
      <c r="B440" s="150" t="s">
        <v>91</v>
      </c>
      <c r="C440" s="150" t="s">
        <v>43</v>
      </c>
      <c r="D440" s="150" t="s">
        <v>5992</v>
      </c>
      <c r="E440" s="150" t="s">
        <v>211</v>
      </c>
      <c r="F440" s="245" t="str">
        <f t="shared" si="26"/>
        <v>StpS 77</v>
      </c>
      <c r="G440" s="77" t="s">
        <v>352</v>
      </c>
      <c r="H440" s="77"/>
      <c r="I440" s="77" t="str">
        <f t="shared" si="24"/>
        <v>L04_GHVSPLIT_026W_STOPE PREP</v>
      </c>
      <c r="J440" s="77" t="s">
        <v>6345</v>
      </c>
      <c r="K440" s="169">
        <f>IFERROR(MATCH(J440,'Final List'!$B$4:$B$252,0),0)</f>
        <v>0</v>
      </c>
      <c r="L440" s="169">
        <f>IFERROR(MATCH(J440,'Final List'!$D$4:$D$252,0),0)</f>
        <v>0</v>
      </c>
      <c r="M440" s="169">
        <f>IFERROR(MATCH(J440,'Final List'!$F$4:$F$251,0),0)</f>
        <v>0</v>
      </c>
      <c r="N440" s="169">
        <f>IFERROR(MATCH(J440,'Final List'!$H$4:$H$252,0),0)</f>
        <v>0</v>
      </c>
      <c r="O440" s="169">
        <f>IFERROR(MATCH(J440,'Final List'!$J$4:$J$252,0),0)</f>
        <v>0</v>
      </c>
      <c r="P440" s="169">
        <f>IFERROR(MATCH(J440,'Final List'!$L$4:$L$252,0),0)</f>
        <v>0</v>
      </c>
      <c r="Q440" s="169">
        <f>IFERROR(MATCH(J440,'Final List'!$N$4:$N$252,0),0)</f>
        <v>0</v>
      </c>
      <c r="R440" s="169">
        <f>IFERROR(MATCH(J440,'Final List'!$P$4:$P$252,0),0)</f>
        <v>0</v>
      </c>
      <c r="S440" s="169">
        <f t="shared" si="27"/>
        <v>0</v>
      </c>
      <c r="T440" s="77" t="s">
        <v>68</v>
      </c>
      <c r="U440" s="77"/>
      <c r="V440" s="77" t="str">
        <f t="shared" si="25"/>
        <v>BAÑEZ 5</v>
      </c>
      <c r="W440" s="77" t="s">
        <v>2712</v>
      </c>
    </row>
    <row r="441" spans="1:25" x14ac:dyDescent="0.25">
      <c r="B441" s="77" t="s">
        <v>91</v>
      </c>
      <c r="C441" s="77" t="s">
        <v>57</v>
      </c>
      <c r="D441" s="77" t="s">
        <v>118</v>
      </c>
      <c r="E441" s="77" t="s">
        <v>6143</v>
      </c>
      <c r="F441" s="245" t="str">
        <f t="shared" si="26"/>
        <v>Dhoz 71</v>
      </c>
      <c r="G441" s="77" t="s">
        <v>464</v>
      </c>
      <c r="H441" s="77"/>
      <c r="I441" s="77" t="str">
        <f t="shared" si="24"/>
        <v>L04_JVSPLIT_014E_DE_ISL</v>
      </c>
      <c r="J441" s="77" t="s">
        <v>6347</v>
      </c>
      <c r="K441" s="169">
        <f>IFERROR(MATCH(J441,'Final List'!$B$4:$B$252,0),0)</f>
        <v>0</v>
      </c>
      <c r="L441" s="169">
        <f>IFERROR(MATCH(J441,'Final List'!$D$4:$D$252,0),0)</f>
        <v>0</v>
      </c>
      <c r="M441" s="169">
        <f>IFERROR(MATCH(J441,'Final List'!$F$4:$F$251,0),0)</f>
        <v>0</v>
      </c>
      <c r="N441" s="169">
        <f>IFERROR(MATCH(J441,'Final List'!$H$4:$H$252,0),0)</f>
        <v>0</v>
      </c>
      <c r="O441" s="169">
        <f>IFERROR(MATCH(J441,'Final List'!$J$4:$J$252,0),0)</f>
        <v>0</v>
      </c>
      <c r="P441" s="169">
        <f>IFERROR(MATCH(J441,'Final List'!$L$4:$L$252,0),0)</f>
        <v>0</v>
      </c>
      <c r="Q441" s="169">
        <f>IFERROR(MATCH(J441,'Final List'!$N$4:$N$252,0),0)</f>
        <v>0</v>
      </c>
      <c r="R441" s="169">
        <f>IFERROR(MATCH(J441,'Final List'!$P$4:$P$252,0),0)</f>
        <v>0</v>
      </c>
      <c r="S441" s="169">
        <f t="shared" si="27"/>
        <v>0</v>
      </c>
      <c r="T441" s="77"/>
      <c r="U441" s="77"/>
      <c r="V441" s="77" t="str">
        <f t="shared" si="25"/>
        <v>COMAINGKING 3</v>
      </c>
      <c r="W441" s="77" t="s">
        <v>2708</v>
      </c>
    </row>
    <row r="442" spans="1:25" x14ac:dyDescent="0.25">
      <c r="B442" s="77" t="s">
        <v>258</v>
      </c>
      <c r="C442" s="77" t="s">
        <v>56</v>
      </c>
      <c r="D442" s="77" t="s">
        <v>5781</v>
      </c>
      <c r="E442" s="77" t="s">
        <v>61</v>
      </c>
      <c r="F442" s="245" t="str">
        <f t="shared" si="26"/>
        <v>Dhoz 71</v>
      </c>
      <c r="G442" s="77" t="s">
        <v>1905</v>
      </c>
      <c r="H442" s="77" t="s">
        <v>5705</v>
      </c>
      <c r="I442" s="77" t="str">
        <f t="shared" si="24"/>
        <v>L10_GHVFW_051E_DW</v>
      </c>
      <c r="J442" s="77" t="s">
        <v>2750</v>
      </c>
      <c r="K442" s="169">
        <f>IFERROR(MATCH(J442,'Final List'!$B$4:$B$252,0),0)</f>
        <v>0</v>
      </c>
      <c r="L442" s="169">
        <f>IFERROR(MATCH(J442,'Final List'!$D$4:$D$252,0),0)</f>
        <v>0</v>
      </c>
      <c r="M442" s="169">
        <f>IFERROR(MATCH(J442,'Final List'!$F$4:$F$251,0),0)</f>
        <v>0</v>
      </c>
      <c r="N442" s="169">
        <f>IFERROR(MATCH(J442,'Final List'!$H$4:$H$252,0),0)</f>
        <v>0</v>
      </c>
      <c r="O442" s="169">
        <f>IFERROR(MATCH(J442,'Final List'!$J$4:$J$252,0),0)</f>
        <v>0</v>
      </c>
      <c r="P442" s="169">
        <f>IFERROR(MATCH(J442,'Final List'!$L$4:$L$252,0),0)</f>
        <v>0</v>
      </c>
      <c r="Q442" s="169">
        <f>IFERROR(MATCH(J442,'Final List'!$N$4:$N$252,0),0)</f>
        <v>0</v>
      </c>
      <c r="R442" s="169">
        <f>IFERROR(MATCH(J442,'Final List'!$P$4:$P$252,0),0)</f>
        <v>0</v>
      </c>
      <c r="S442" s="169">
        <f t="shared" si="27"/>
        <v>0</v>
      </c>
      <c r="T442" s="77"/>
      <c r="U442" s="77"/>
      <c r="V442" s="77" t="str">
        <f t="shared" si="25"/>
        <v>OLIVEROS 4</v>
      </c>
      <c r="W442" s="77" t="s">
        <v>8896</v>
      </c>
    </row>
    <row r="443" spans="1:25" x14ac:dyDescent="0.25">
      <c r="B443" s="77" t="s">
        <v>258</v>
      </c>
      <c r="C443" s="77" t="s">
        <v>38</v>
      </c>
      <c r="D443" s="77" t="s">
        <v>289</v>
      </c>
      <c r="E443" s="77" t="s">
        <v>211</v>
      </c>
      <c r="F443" s="245" t="str">
        <f t="shared" si="26"/>
        <v>StpS 77</v>
      </c>
      <c r="G443" s="77" t="s">
        <v>316</v>
      </c>
      <c r="H443" s="77"/>
      <c r="I443" s="77" t="str">
        <f t="shared" si="24"/>
        <v>L10_GHV_059E_STOPE PREP</v>
      </c>
      <c r="J443" s="77" t="s">
        <v>6351</v>
      </c>
      <c r="K443" s="169">
        <f>IFERROR(MATCH(J443,'Final List'!$B$4:$B$252,0),0)</f>
        <v>0</v>
      </c>
      <c r="L443" s="169">
        <f>IFERROR(MATCH(J443,'Final List'!$D$4:$D$252,0),0)</f>
        <v>0</v>
      </c>
      <c r="M443" s="169">
        <f>IFERROR(MATCH(J443,'Final List'!$F$4:$F$251,0),0)</f>
        <v>0</v>
      </c>
      <c r="N443" s="169">
        <f>IFERROR(MATCH(J443,'Final List'!$H$4:$H$252,0),0)</f>
        <v>0</v>
      </c>
      <c r="O443" s="169">
        <f>IFERROR(MATCH(J443,'Final List'!$J$4:$J$252,0),0)</f>
        <v>0</v>
      </c>
      <c r="P443" s="169">
        <f>IFERROR(MATCH(J443,'Final List'!$L$4:$L$252,0),0)</f>
        <v>0</v>
      </c>
      <c r="Q443" s="169">
        <f>IFERROR(MATCH(J443,'Final List'!$N$4:$N$252,0),0)</f>
        <v>0</v>
      </c>
      <c r="R443" s="169">
        <f>IFERROR(MATCH(J443,'Final List'!$P$4:$P$252,0),0)</f>
        <v>0</v>
      </c>
      <c r="S443" s="169">
        <f t="shared" si="27"/>
        <v>0</v>
      </c>
      <c r="T443" s="77" t="s">
        <v>68</v>
      </c>
      <c r="U443" s="77"/>
      <c r="V443" s="77" t="str">
        <f t="shared" si="25"/>
        <v>PARAGUYA 1</v>
      </c>
      <c r="W443" s="77" t="s">
        <v>2712</v>
      </c>
    </row>
    <row r="444" spans="1:25" x14ac:dyDescent="0.25">
      <c r="B444" s="150" t="s">
        <v>93</v>
      </c>
      <c r="C444" s="150" t="s">
        <v>55</v>
      </c>
      <c r="D444" s="150" t="s">
        <v>130</v>
      </c>
      <c r="E444" s="150" t="s">
        <v>6154</v>
      </c>
      <c r="F444" s="245" t="str">
        <f t="shared" si="26"/>
        <v>Dhoz 71</v>
      </c>
      <c r="G444" s="77" t="s">
        <v>379</v>
      </c>
      <c r="H444" s="77"/>
      <c r="I444" s="77" t="str">
        <f t="shared" si="24"/>
        <v>L06_JVFW_036E_DW_ISL</v>
      </c>
      <c r="J444" s="77" t="s">
        <v>6354</v>
      </c>
      <c r="K444" s="169">
        <f>IFERROR(MATCH(J444,'Final List'!$B$4:$B$252,0),0)</f>
        <v>0</v>
      </c>
      <c r="L444" s="169">
        <f>IFERROR(MATCH(J444,'Final List'!$D$4:$D$252,0),0)</f>
        <v>0</v>
      </c>
      <c r="M444" s="169">
        <f>IFERROR(MATCH(J444,'Final List'!$F$4:$F$251,0),0)</f>
        <v>0</v>
      </c>
      <c r="N444" s="169">
        <f>IFERROR(MATCH(J444,'Final List'!$H$4:$H$252,0),0)</f>
        <v>0</v>
      </c>
      <c r="O444" s="169">
        <f>IFERROR(MATCH(J444,'Final List'!$J$4:$J$252,0),0)</f>
        <v>0</v>
      </c>
      <c r="P444" s="169">
        <f>IFERROR(MATCH(J444,'Final List'!$L$4:$L$252,0),0)</f>
        <v>0</v>
      </c>
      <c r="Q444" s="169">
        <f>IFERROR(MATCH(J444,'Final List'!$N$4:$N$252,0),0)</f>
        <v>0</v>
      </c>
      <c r="R444" s="169">
        <f>IFERROR(MATCH(J444,'Final List'!$P$4:$P$252,0),0)</f>
        <v>0</v>
      </c>
      <c r="S444" s="169">
        <f t="shared" si="27"/>
        <v>0</v>
      </c>
      <c r="T444" s="77"/>
      <c r="U444" s="77"/>
      <c r="V444" s="77" t="str">
        <f t="shared" si="25"/>
        <v>GUNAY 3</v>
      </c>
      <c r="W444" s="77" t="s">
        <v>2708</v>
      </c>
    </row>
    <row r="445" spans="1:25" x14ac:dyDescent="0.25">
      <c r="B445" s="150" t="s">
        <v>93</v>
      </c>
      <c r="C445" s="150" t="s">
        <v>57</v>
      </c>
      <c r="D445" s="150" t="s">
        <v>112</v>
      </c>
      <c r="E445" s="150" t="s">
        <v>19</v>
      </c>
      <c r="F445" s="245" t="str">
        <f t="shared" si="26"/>
        <v>DVR 72</v>
      </c>
      <c r="G445" s="77" t="s">
        <v>354</v>
      </c>
      <c r="H445" s="77"/>
      <c r="I445" s="77" t="str">
        <f t="shared" si="24"/>
        <v>L06_JVSPLIT_018E_RAISE</v>
      </c>
      <c r="J445" s="77" t="s">
        <v>3824</v>
      </c>
      <c r="K445" s="169">
        <f>IFERROR(MATCH(J445,'Final List'!$B$4:$B$252,0),0)</f>
        <v>0</v>
      </c>
      <c r="L445" s="169">
        <f>IFERROR(MATCH(J445,'Final List'!$D$4:$D$252,0),0)</f>
        <v>0</v>
      </c>
      <c r="M445" s="169">
        <f>IFERROR(MATCH(J445,'Final List'!$F$4:$F$251,0),0)</f>
        <v>0</v>
      </c>
      <c r="N445" s="169">
        <f>IFERROR(MATCH(J445,'Final List'!$H$4:$H$252,0),0)</f>
        <v>0</v>
      </c>
      <c r="O445" s="169">
        <f>IFERROR(MATCH(J445,'Final List'!$J$4:$J$252,0),0)</f>
        <v>0</v>
      </c>
      <c r="P445" s="169">
        <f>IFERROR(MATCH(J445,'Final List'!$L$4:$L$252,0),0)</f>
        <v>0</v>
      </c>
      <c r="Q445" s="169">
        <f>IFERROR(MATCH(J445,'Final List'!$N$4:$N$252,0),0)</f>
        <v>0</v>
      </c>
      <c r="R445" s="169">
        <f>IFERROR(MATCH(J445,'Final List'!$P$4:$P$252,0),0)</f>
        <v>0</v>
      </c>
      <c r="S445" s="169">
        <f t="shared" si="27"/>
        <v>0</v>
      </c>
      <c r="T445" s="77"/>
      <c r="U445" s="77"/>
      <c r="V445" s="77" t="str">
        <f t="shared" si="25"/>
        <v>BAÑEZ 3</v>
      </c>
      <c r="W445" s="77" t="s">
        <v>2715</v>
      </c>
    </row>
    <row r="446" spans="1:25" x14ac:dyDescent="0.25">
      <c r="A446" s="118"/>
      <c r="B446" s="150" t="s">
        <v>96</v>
      </c>
      <c r="C446" s="150" t="s">
        <v>46</v>
      </c>
      <c r="D446" s="150" t="s">
        <v>595</v>
      </c>
      <c r="E446" s="150" t="s">
        <v>19</v>
      </c>
      <c r="F446" s="245" t="str">
        <f t="shared" si="26"/>
        <v>DVR 72</v>
      </c>
      <c r="G446" s="150" t="s">
        <v>336</v>
      </c>
      <c r="H446" s="150"/>
      <c r="I446" s="150" t="str">
        <f t="shared" si="24"/>
        <v>L09_DPVE2_072E_RAISE</v>
      </c>
      <c r="J446" s="150" t="s">
        <v>6355</v>
      </c>
      <c r="K446" s="169">
        <f>IFERROR(MATCH(J446,'Final List'!$B$4:$B$252,0),0)</f>
        <v>0</v>
      </c>
      <c r="L446" s="169">
        <f>IFERROR(MATCH(J446,'Final List'!$D$4:$D$252,0),0)</f>
        <v>0</v>
      </c>
      <c r="M446" s="169">
        <f>IFERROR(MATCH(J446,'Final List'!$F$4:$F$251,0),0)</f>
        <v>0</v>
      </c>
      <c r="N446" s="169">
        <f>IFERROR(MATCH(J446,'Final List'!$H$4:$H$252,0),0)</f>
        <v>0</v>
      </c>
      <c r="O446" s="169">
        <f>IFERROR(MATCH(J446,'Final List'!$J$4:$J$252,0),0)</f>
        <v>0</v>
      </c>
      <c r="P446" s="169">
        <f>IFERROR(MATCH(J446,'Final List'!$L$4:$L$252,0),0)</f>
        <v>0</v>
      </c>
      <c r="Q446" s="169">
        <f>IFERROR(MATCH(J446,'Final List'!$N$4:$N$252,0),0)</f>
        <v>0</v>
      </c>
      <c r="R446" s="169">
        <f>IFERROR(MATCH(J446,'Final List'!$P$4:$P$252,0),0)</f>
        <v>0</v>
      </c>
      <c r="S446" s="169">
        <f t="shared" si="27"/>
        <v>0</v>
      </c>
      <c r="T446" s="150"/>
      <c r="U446" s="150"/>
      <c r="V446" s="150" t="str">
        <f t="shared" si="25"/>
        <v>BALANGHIG 1</v>
      </c>
      <c r="W446" s="150" t="s">
        <v>2715</v>
      </c>
      <c r="X446" s="118"/>
      <c r="Y446" s="118"/>
    </row>
    <row r="447" spans="1:25" x14ac:dyDescent="0.25">
      <c r="A447" s="118"/>
      <c r="B447" s="150" t="s">
        <v>96</v>
      </c>
      <c r="C447" s="150" t="s">
        <v>46</v>
      </c>
      <c r="D447" s="150" t="s">
        <v>6358</v>
      </c>
      <c r="E447" s="150" t="s">
        <v>60</v>
      </c>
      <c r="F447" s="245" t="str">
        <f t="shared" si="26"/>
        <v>Dhoz 71</v>
      </c>
      <c r="G447" s="150" t="s">
        <v>4558</v>
      </c>
      <c r="H447" s="150" t="s">
        <v>336</v>
      </c>
      <c r="I447" s="150" t="str">
        <f t="shared" si="24"/>
        <v>L09_DPVE2_087E_DE</v>
      </c>
      <c r="J447" s="150" t="s">
        <v>6356</v>
      </c>
      <c r="K447" s="169">
        <f>IFERROR(MATCH(J447,'Final List'!$B$4:$B$252,0),0)</f>
        <v>0</v>
      </c>
      <c r="L447" s="169">
        <f>IFERROR(MATCH(J447,'Final List'!$D$4:$D$252,0),0)</f>
        <v>0</v>
      </c>
      <c r="M447" s="169">
        <f>IFERROR(MATCH(J447,'Final List'!$F$4:$F$251,0),0)</f>
        <v>0</v>
      </c>
      <c r="N447" s="169">
        <f>IFERROR(MATCH(J447,'Final List'!$H$4:$H$252,0),0)</f>
        <v>0</v>
      </c>
      <c r="O447" s="169">
        <f>IFERROR(MATCH(J447,'Final List'!$J$4:$J$252,0),0)</f>
        <v>0</v>
      </c>
      <c r="P447" s="169">
        <f>IFERROR(MATCH(J447,'Final List'!$L$4:$L$252,0),0)</f>
        <v>0</v>
      </c>
      <c r="Q447" s="169">
        <f>IFERROR(MATCH(J447,'Final List'!$N$4:$N$252,0),0)</f>
        <v>0</v>
      </c>
      <c r="R447" s="169">
        <f>IFERROR(MATCH(J447,'Final List'!$P$4:$P$252,0),0)</f>
        <v>0</v>
      </c>
      <c r="S447" s="169">
        <f t="shared" si="27"/>
        <v>0</v>
      </c>
      <c r="T447" s="150"/>
      <c r="U447" s="150"/>
      <c r="V447" s="150" t="str">
        <f t="shared" si="25"/>
        <v>BALANGHIG 1</v>
      </c>
      <c r="W447" s="150" t="s">
        <v>8896</v>
      </c>
      <c r="X447" s="118"/>
      <c r="Y447" s="118"/>
    </row>
    <row r="448" spans="1:25" x14ac:dyDescent="0.25">
      <c r="B448" s="77" t="s">
        <v>94</v>
      </c>
      <c r="C448" s="77" t="s">
        <v>38</v>
      </c>
      <c r="D448" s="77" t="s">
        <v>6360</v>
      </c>
      <c r="E448" s="77" t="s">
        <v>60</v>
      </c>
      <c r="F448" s="245" t="str">
        <f t="shared" si="26"/>
        <v>Dhoz 71</v>
      </c>
      <c r="G448" s="77" t="s">
        <v>585</v>
      </c>
      <c r="H448" s="77"/>
      <c r="I448" s="77" t="str">
        <f t="shared" si="24"/>
        <v>L07_GHV_036W_DE</v>
      </c>
      <c r="J448" s="77" t="s">
        <v>6361</v>
      </c>
      <c r="K448" s="169">
        <f>IFERROR(MATCH(J448,'Final List'!$B$4:$B$252,0),0)</f>
        <v>0</v>
      </c>
      <c r="L448" s="169">
        <f>IFERROR(MATCH(J448,'Final List'!$D$4:$D$252,0),0)</f>
        <v>0</v>
      </c>
      <c r="M448" s="169">
        <f>IFERROR(MATCH(J448,'Final List'!$F$4:$F$251,0),0)</f>
        <v>0</v>
      </c>
      <c r="N448" s="169">
        <f>IFERROR(MATCH(J448,'Final List'!$H$4:$H$252,0),0)</f>
        <v>0</v>
      </c>
      <c r="O448" s="169">
        <f>IFERROR(MATCH(J448,'Final List'!$J$4:$J$252,0),0)</f>
        <v>0</v>
      </c>
      <c r="P448" s="169">
        <f>IFERROR(MATCH(J448,'Final List'!$L$4:$L$252,0),0)</f>
        <v>0</v>
      </c>
      <c r="Q448" s="169">
        <f>IFERROR(MATCH(J448,'Final List'!$N$4:$N$252,0),0)</f>
        <v>0</v>
      </c>
      <c r="R448" s="169">
        <f>IFERROR(MATCH(J448,'Final List'!$P$4:$P$252,0),0)</f>
        <v>0</v>
      </c>
      <c r="S448" s="169">
        <f t="shared" si="27"/>
        <v>0</v>
      </c>
      <c r="T448" s="77"/>
      <c r="U448" s="77"/>
      <c r="V448" s="77" t="str">
        <f t="shared" si="25"/>
        <v>ESPADA 1</v>
      </c>
      <c r="W448" s="77" t="s">
        <v>8895</v>
      </c>
    </row>
    <row r="449" spans="2:23" x14ac:dyDescent="0.25">
      <c r="B449" s="77" t="s">
        <v>94</v>
      </c>
      <c r="C449" s="77" t="s">
        <v>45</v>
      </c>
      <c r="D449" s="77" t="s">
        <v>6033</v>
      </c>
      <c r="E449" s="77" t="s">
        <v>60</v>
      </c>
      <c r="F449" s="245" t="str">
        <f t="shared" si="26"/>
        <v>Dhoz 71</v>
      </c>
      <c r="G449" s="77" t="s">
        <v>5980</v>
      </c>
      <c r="H449" s="77"/>
      <c r="I449" s="77" t="str">
        <f t="shared" si="24"/>
        <v>L07_DPVE_013E_DE</v>
      </c>
      <c r="J449" s="77" t="s">
        <v>6362</v>
      </c>
      <c r="K449" s="169">
        <f>IFERROR(MATCH(J449,'Final List'!$B$4:$B$252,0),0)</f>
        <v>0</v>
      </c>
      <c r="L449" s="169">
        <f>IFERROR(MATCH(J449,'Final List'!$D$4:$D$252,0),0)</f>
        <v>0</v>
      </c>
      <c r="M449" s="169">
        <f>IFERROR(MATCH(J449,'Final List'!$F$4:$F$251,0),0)</f>
        <v>0</v>
      </c>
      <c r="N449" s="169">
        <f>IFERROR(MATCH(J449,'Final List'!$H$4:$H$252,0),0)</f>
        <v>0</v>
      </c>
      <c r="O449" s="169">
        <f>IFERROR(MATCH(J449,'Final List'!$J$4:$J$252,0),0)</f>
        <v>0</v>
      </c>
      <c r="P449" s="169">
        <f>IFERROR(MATCH(J449,'Final List'!$L$4:$L$252,0),0)</f>
        <v>0</v>
      </c>
      <c r="Q449" s="169">
        <f>IFERROR(MATCH(J449,'Final List'!$N$4:$N$252,0),0)</f>
        <v>0</v>
      </c>
      <c r="R449" s="169">
        <f>IFERROR(MATCH(J449,'Final List'!$P$4:$P$252,0),0)</f>
        <v>0</v>
      </c>
      <c r="S449" s="169">
        <f t="shared" si="27"/>
        <v>0</v>
      </c>
      <c r="T449" s="77"/>
      <c r="U449" s="77"/>
      <c r="V449" s="77" t="str">
        <f t="shared" si="25"/>
        <v xml:space="preserve">CARIKITAN 2 </v>
      </c>
      <c r="W449" s="77" t="s">
        <v>8895</v>
      </c>
    </row>
    <row r="450" spans="2:23" x14ac:dyDescent="0.25">
      <c r="B450" s="150" t="s">
        <v>94</v>
      </c>
      <c r="C450" s="150" t="s">
        <v>45</v>
      </c>
      <c r="D450" s="150" t="s">
        <v>144</v>
      </c>
      <c r="E450" s="150" t="s">
        <v>221</v>
      </c>
      <c r="F450" s="245" t="str">
        <f t="shared" si="26"/>
        <v>RobC 80</v>
      </c>
      <c r="G450" s="77" t="s">
        <v>358</v>
      </c>
      <c r="H450" s="77"/>
      <c r="I450" s="77" t="str">
        <f t="shared" ref="I450:I513" si="28">CONCATENATE(B450,"_",C450,"_",D450,"_",E450)</f>
        <v>L07_DPVE_043E_WINZE STOPE</v>
      </c>
      <c r="J450" s="77" t="s">
        <v>6364</v>
      </c>
      <c r="K450" s="169">
        <f>IFERROR(MATCH(J450,'Final List'!$B$4:$B$252,0),0)</f>
        <v>0</v>
      </c>
      <c r="L450" s="169">
        <f>IFERROR(MATCH(J450,'Final List'!$D$4:$D$252,0),0)</f>
        <v>0</v>
      </c>
      <c r="M450" s="169">
        <f>IFERROR(MATCH(J450,'Final List'!$F$4:$F$251,0),0)</f>
        <v>0</v>
      </c>
      <c r="N450" s="169">
        <f>IFERROR(MATCH(J450,'Final List'!$H$4:$H$252,0),0)</f>
        <v>0</v>
      </c>
      <c r="O450" s="169">
        <f>IFERROR(MATCH(J450,'Final List'!$J$4:$J$252,0),0)</f>
        <v>0</v>
      </c>
      <c r="P450" s="169">
        <f>IFERROR(MATCH(J450,'Final List'!$L$4:$L$252,0),0)</f>
        <v>0</v>
      </c>
      <c r="Q450" s="169">
        <f>IFERROR(MATCH(J450,'Final List'!$N$4:$N$252,0),0)</f>
        <v>0</v>
      </c>
      <c r="R450" s="169">
        <f>IFERROR(MATCH(J450,'Final List'!$P$4:$P$252,0),0)</f>
        <v>0</v>
      </c>
      <c r="S450" s="169">
        <f t="shared" si="27"/>
        <v>0</v>
      </c>
      <c r="T450" s="77" t="s">
        <v>68</v>
      </c>
      <c r="U450" s="77"/>
      <c r="V450" s="77" t="str">
        <f t="shared" ref="V450:V513" si="29">IF(H450="",G450,H450)</f>
        <v>ALEÑAR 1</v>
      </c>
      <c r="W450" s="77" t="s">
        <v>2719</v>
      </c>
    </row>
    <row r="451" spans="2:23" x14ac:dyDescent="0.25">
      <c r="B451" s="150" t="s">
        <v>94</v>
      </c>
      <c r="C451" s="150" t="s">
        <v>42</v>
      </c>
      <c r="D451" s="150" t="s">
        <v>143</v>
      </c>
      <c r="E451" s="150" t="s">
        <v>62</v>
      </c>
      <c r="F451" s="245" t="str">
        <f t="shared" ref="F451:F514" si="30">IF(OR(E451="XCN",E451="DE",E451="DW",E451="DN",E451="XCS",E451="XCE",E451="XCW",E451="SUMP",E451="BYPASS",E451="CHAMBER",E451="DRAIN HOLE",E451="DRILLING CHAMBER",E451="DE_ISL",E451="DW_ISL",E451="REHAB"),"Dhoz 71",IF(OR(E451="RAISE",E451="RAISE_ISL"),"DVR 72",IF(E451="ALIMAK","DVA 73",IF(E451="WINZE","DVW 74",IF(E451="SHAFT","DVS 75",IF(AND(E451="WINZE STOPE",T451="S"),"RobC 80",IF(AND(E451="STOPE",T451="S"),"StpS 77",IF(AND(E451="WINZE STOPE",T451="L"),"RobC 80",IF(AND(E451="STOPE",T451="L"),"StpL 78",IF(AND(E451="WINZE STOPE PREP",T451="S"),"RobC 80",IF(AND(E451="STOPE PREP",T451="S"),"StpS 77",IF(AND(E451="WINZE STOPE PREP",T451="L"),"RobC 80",IF(AND(E451="STOPE PREP",T451="L"),"StpL 78",IF(AND(E451="ROBBING",T451="L"),"RobC 80",IF(AND(E451="ROBBING",T451="S"),"RobS 79",0)))))))))))))))</f>
        <v>RobC 80</v>
      </c>
      <c r="G451" s="77" t="s">
        <v>324</v>
      </c>
      <c r="H451" s="77"/>
      <c r="I451" s="77" t="str">
        <f t="shared" si="28"/>
        <v>L07_JV_032E_ROBBING</v>
      </c>
      <c r="J451" s="77" t="s">
        <v>6367</v>
      </c>
      <c r="K451" s="169">
        <f>IFERROR(MATCH(J451,'Final List'!$B$4:$B$252,0),0)</f>
        <v>0</v>
      </c>
      <c r="L451" s="169">
        <f>IFERROR(MATCH(J451,'Final List'!$D$4:$D$252,0),0)</f>
        <v>0</v>
      </c>
      <c r="M451" s="169">
        <f>IFERROR(MATCH(J451,'Final List'!$F$4:$F$251,0),0)</f>
        <v>0</v>
      </c>
      <c r="N451" s="169">
        <f>IFERROR(MATCH(J451,'Final List'!$H$4:$H$252,0),0)</f>
        <v>0</v>
      </c>
      <c r="O451" s="169">
        <f>IFERROR(MATCH(J451,'Final List'!$J$4:$J$252,0),0)</f>
        <v>0</v>
      </c>
      <c r="P451" s="169">
        <f>IFERROR(MATCH(J451,'Final List'!$L$4:$L$252,0),0)</f>
        <v>0</v>
      </c>
      <c r="Q451" s="169">
        <f>IFERROR(MATCH(J451,'Final List'!$N$4:$N$252,0),0)</f>
        <v>0</v>
      </c>
      <c r="R451" s="169">
        <f>IFERROR(MATCH(J451,'Final List'!$P$4:$P$252,0),0)</f>
        <v>0</v>
      </c>
      <c r="S451" s="169">
        <f t="shared" ref="S451:S514" si="31">SUM(K451:R451)</f>
        <v>0</v>
      </c>
      <c r="T451" s="116" t="s">
        <v>48</v>
      </c>
      <c r="U451" s="77"/>
      <c r="V451" s="77" t="str">
        <f t="shared" si="29"/>
        <v>CAYABAS 1</v>
      </c>
      <c r="W451" s="77" t="s">
        <v>236</v>
      </c>
    </row>
    <row r="452" spans="2:23" x14ac:dyDescent="0.25">
      <c r="B452" s="77" t="s">
        <v>258</v>
      </c>
      <c r="C452" s="77" t="s">
        <v>45</v>
      </c>
      <c r="D452" s="77" t="s">
        <v>130</v>
      </c>
      <c r="E452" s="77" t="s">
        <v>19</v>
      </c>
      <c r="F452" s="245" t="str">
        <f t="shared" si="30"/>
        <v>DVR 72</v>
      </c>
      <c r="G452" s="77" t="s">
        <v>360</v>
      </c>
      <c r="H452" s="77"/>
      <c r="I452" s="77" t="str">
        <f t="shared" si="28"/>
        <v>L10_DPVE_036E_RAISE</v>
      </c>
      <c r="J452" s="77" t="s">
        <v>6369</v>
      </c>
      <c r="K452" s="169">
        <f>IFERROR(MATCH(J452,'Final List'!$B$4:$B$252,0),0)</f>
        <v>0</v>
      </c>
      <c r="L452" s="169">
        <f>IFERROR(MATCH(J452,'Final List'!$D$4:$D$252,0),0)</f>
        <v>0</v>
      </c>
      <c r="M452" s="169">
        <f>IFERROR(MATCH(J452,'Final List'!$F$4:$F$251,0),0)</f>
        <v>0</v>
      </c>
      <c r="N452" s="169">
        <f>IFERROR(MATCH(J452,'Final List'!$H$4:$H$252,0),0)</f>
        <v>0</v>
      </c>
      <c r="O452" s="169">
        <f>IFERROR(MATCH(J452,'Final List'!$J$4:$J$252,0),0)</f>
        <v>0</v>
      </c>
      <c r="P452" s="169">
        <f>IFERROR(MATCH(J452,'Final List'!$L$4:$L$252,0),0)</f>
        <v>0</v>
      </c>
      <c r="Q452" s="169">
        <f>IFERROR(MATCH(J452,'Final List'!$N$4:$N$252,0),0)</f>
        <v>0</v>
      </c>
      <c r="R452" s="169">
        <f>IFERROR(MATCH(J452,'Final List'!$P$4:$P$252,0),0)</f>
        <v>0</v>
      </c>
      <c r="S452" s="169">
        <f t="shared" si="31"/>
        <v>0</v>
      </c>
      <c r="T452" s="77"/>
      <c r="U452" s="77"/>
      <c r="V452" s="77" t="str">
        <f t="shared" si="29"/>
        <v>ALMASA 1</v>
      </c>
      <c r="W452" s="77" t="s">
        <v>2715</v>
      </c>
    </row>
    <row r="453" spans="2:23" x14ac:dyDescent="0.25">
      <c r="B453" s="77" t="s">
        <v>95</v>
      </c>
      <c r="C453" s="77" t="s">
        <v>38</v>
      </c>
      <c r="D453" s="77" t="s">
        <v>5601</v>
      </c>
      <c r="E453" s="77" t="s">
        <v>441</v>
      </c>
      <c r="F453" s="245" t="str">
        <f t="shared" si="30"/>
        <v>RobC 80</v>
      </c>
      <c r="G453" s="77" t="s">
        <v>467</v>
      </c>
      <c r="H453" s="77"/>
      <c r="I453" s="77" t="str">
        <f t="shared" si="28"/>
        <v>L08_GHV_026E_WINZE STOPE PREP</v>
      </c>
      <c r="J453" s="77" t="s">
        <v>6370</v>
      </c>
      <c r="K453" s="169">
        <f>IFERROR(MATCH(J453,'Final List'!$B$4:$B$252,0),0)</f>
        <v>0</v>
      </c>
      <c r="L453" s="169">
        <f>IFERROR(MATCH(J453,'Final List'!$D$4:$D$252,0),0)</f>
        <v>0</v>
      </c>
      <c r="M453" s="169">
        <f>IFERROR(MATCH(J453,'Final List'!$F$4:$F$251,0),0)</f>
        <v>0</v>
      </c>
      <c r="N453" s="169">
        <f>IFERROR(MATCH(J453,'Final List'!$H$4:$H$252,0),0)</f>
        <v>0</v>
      </c>
      <c r="O453" s="169">
        <f>IFERROR(MATCH(J453,'Final List'!$J$4:$J$252,0),0)</f>
        <v>0</v>
      </c>
      <c r="P453" s="169">
        <f>IFERROR(MATCH(J453,'Final List'!$L$4:$L$252,0),0)</f>
        <v>0</v>
      </c>
      <c r="Q453" s="169">
        <f>IFERROR(MATCH(J453,'Final List'!$N$4:$N$252,0),0)</f>
        <v>0</v>
      </c>
      <c r="R453" s="169">
        <f>IFERROR(MATCH(J453,'Final List'!$P$4:$P$252,0),0)</f>
        <v>0</v>
      </c>
      <c r="S453" s="169">
        <f t="shared" si="31"/>
        <v>0</v>
      </c>
      <c r="T453" s="77" t="s">
        <v>48</v>
      </c>
      <c r="U453" s="77"/>
      <c r="V453" s="77" t="str">
        <f t="shared" si="29"/>
        <v>AGLOLO 2</v>
      </c>
      <c r="W453" s="77" t="s">
        <v>2716</v>
      </c>
    </row>
    <row r="454" spans="2:23" x14ac:dyDescent="0.25">
      <c r="B454" s="77" t="s">
        <v>96</v>
      </c>
      <c r="C454" s="77" t="s">
        <v>46</v>
      </c>
      <c r="D454" s="77" t="s">
        <v>174</v>
      </c>
      <c r="E454" s="77" t="s">
        <v>19</v>
      </c>
      <c r="F454" s="245" t="str">
        <f t="shared" si="30"/>
        <v>DVR 72</v>
      </c>
      <c r="G454" s="77" t="s">
        <v>346</v>
      </c>
      <c r="H454" s="77"/>
      <c r="I454" s="77" t="str">
        <f t="shared" si="28"/>
        <v>L09_DPVE2_052E_RAISE</v>
      </c>
      <c r="J454" s="77" t="s">
        <v>6373</v>
      </c>
      <c r="K454" s="169">
        <f>IFERROR(MATCH(J454,'Final List'!$B$4:$B$252,0),0)</f>
        <v>0</v>
      </c>
      <c r="L454" s="169">
        <f>IFERROR(MATCH(J454,'Final List'!$D$4:$D$252,0),0)</f>
        <v>0</v>
      </c>
      <c r="M454" s="169">
        <f>IFERROR(MATCH(J454,'Final List'!$F$4:$F$251,0),0)</f>
        <v>0</v>
      </c>
      <c r="N454" s="169">
        <f>IFERROR(MATCH(J454,'Final List'!$H$4:$H$252,0),0)</f>
        <v>0</v>
      </c>
      <c r="O454" s="169">
        <f>IFERROR(MATCH(J454,'Final List'!$J$4:$J$252,0),0)</f>
        <v>0</v>
      </c>
      <c r="P454" s="169">
        <f>IFERROR(MATCH(J454,'Final List'!$L$4:$L$252,0),0)</f>
        <v>0</v>
      </c>
      <c r="Q454" s="169">
        <f>IFERROR(MATCH(J454,'Final List'!$N$4:$N$252,0),0)</f>
        <v>0</v>
      </c>
      <c r="R454" s="169">
        <f>IFERROR(MATCH(J454,'Final List'!$P$4:$P$252,0),0)</f>
        <v>0</v>
      </c>
      <c r="S454" s="169">
        <f t="shared" si="31"/>
        <v>0</v>
      </c>
      <c r="T454" s="77"/>
      <c r="U454" s="77"/>
      <c r="V454" s="77" t="str">
        <f t="shared" si="29"/>
        <v>PANSIT 2</v>
      </c>
      <c r="W454" s="77" t="s">
        <v>2715</v>
      </c>
    </row>
    <row r="455" spans="2:23" x14ac:dyDescent="0.25">
      <c r="B455" s="77" t="s">
        <v>94</v>
      </c>
      <c r="C455" s="77" t="s">
        <v>41</v>
      </c>
      <c r="D455" s="77" t="s">
        <v>119</v>
      </c>
      <c r="E455" s="77" t="s">
        <v>6143</v>
      </c>
      <c r="F455" s="245" t="str">
        <f t="shared" si="30"/>
        <v>Dhoz 71</v>
      </c>
      <c r="G455" s="77" t="s">
        <v>344</v>
      </c>
      <c r="H455" s="77"/>
      <c r="I455" s="77" t="str">
        <f t="shared" si="28"/>
        <v>L07_CTV_012E_DE_ISL</v>
      </c>
      <c r="J455" s="77" t="s">
        <v>6409</v>
      </c>
      <c r="K455" s="169">
        <f>IFERROR(MATCH(J455,'Final List'!$B$4:$B$252,0),0)</f>
        <v>0</v>
      </c>
      <c r="L455" s="169">
        <f>IFERROR(MATCH(J455,'Final List'!$D$4:$D$252,0),0)</f>
        <v>0</v>
      </c>
      <c r="M455" s="169">
        <f>IFERROR(MATCH(J455,'Final List'!$F$4:$F$251,0),0)</f>
        <v>0</v>
      </c>
      <c r="N455" s="169">
        <f>IFERROR(MATCH(J455,'Final List'!$H$4:$H$252,0),0)</f>
        <v>0</v>
      </c>
      <c r="O455" s="169">
        <f>IFERROR(MATCH(J455,'Final List'!$J$4:$J$252,0),0)</f>
        <v>0</v>
      </c>
      <c r="P455" s="169">
        <f>IFERROR(MATCH(J455,'Final List'!$L$4:$L$252,0),0)</f>
        <v>0</v>
      </c>
      <c r="Q455" s="169">
        <f>IFERROR(MATCH(J455,'Final List'!$N$4:$N$252,0),0)</f>
        <v>0</v>
      </c>
      <c r="R455" s="169">
        <f>IFERROR(MATCH(J455,'Final List'!$P$4:$P$252,0),0)</f>
        <v>0</v>
      </c>
      <c r="S455" s="169">
        <f t="shared" si="31"/>
        <v>0</v>
      </c>
      <c r="T455" s="77" t="s">
        <v>2708</v>
      </c>
      <c r="U455" s="77"/>
      <c r="V455" s="77" t="str">
        <f t="shared" si="29"/>
        <v>UDLOS 1</v>
      </c>
      <c r="W455" s="77" t="s">
        <v>8895</v>
      </c>
    </row>
    <row r="456" spans="2:23" x14ac:dyDescent="0.25">
      <c r="B456" s="77" t="s">
        <v>95</v>
      </c>
      <c r="C456" s="77" t="s">
        <v>45</v>
      </c>
      <c r="D456" s="77" t="s">
        <v>1230</v>
      </c>
      <c r="E456" s="77" t="s">
        <v>221</v>
      </c>
      <c r="F456" s="245" t="str">
        <f t="shared" si="30"/>
        <v>RobC 80</v>
      </c>
      <c r="G456" s="77" t="s">
        <v>6925</v>
      </c>
      <c r="H456" s="77"/>
      <c r="I456" s="77" t="str">
        <f t="shared" si="28"/>
        <v>L08_DPVE_075E_WINZE STOPE</v>
      </c>
      <c r="J456" s="77" t="s">
        <v>6379</v>
      </c>
      <c r="K456" s="169">
        <f>IFERROR(MATCH(J456,'Final List'!$B$4:$B$252,0),0)</f>
        <v>0</v>
      </c>
      <c r="L456" s="169">
        <f>IFERROR(MATCH(J456,'Final List'!$D$4:$D$252,0),0)</f>
        <v>0</v>
      </c>
      <c r="M456" s="169">
        <f>IFERROR(MATCH(J456,'Final List'!$F$4:$F$251,0),0)</f>
        <v>0</v>
      </c>
      <c r="N456" s="169">
        <f>IFERROR(MATCH(J456,'Final List'!$H$4:$H$252,0),0)</f>
        <v>0</v>
      </c>
      <c r="O456" s="169">
        <f>IFERROR(MATCH(J456,'Final List'!$J$4:$J$252,0),0)</f>
        <v>0</v>
      </c>
      <c r="P456" s="169">
        <f>IFERROR(MATCH(J456,'Final List'!$L$4:$L$252,0),0)</f>
        <v>0</v>
      </c>
      <c r="Q456" s="169">
        <f>IFERROR(MATCH(J456,'Final List'!$N$4:$N$252,0),0)</f>
        <v>0</v>
      </c>
      <c r="R456" s="169">
        <f>IFERROR(MATCH(J456,'Final List'!$P$4:$P$252,0),0)</f>
        <v>0</v>
      </c>
      <c r="S456" s="169">
        <f t="shared" si="31"/>
        <v>0</v>
      </c>
      <c r="T456" s="77" t="s">
        <v>48</v>
      </c>
      <c r="U456" s="77"/>
      <c r="V456" s="77" t="str">
        <f t="shared" si="29"/>
        <v>CAPUYAN 1</v>
      </c>
      <c r="W456" s="77" t="s">
        <v>2719</v>
      </c>
    </row>
    <row r="457" spans="2:23" x14ac:dyDescent="0.25">
      <c r="B457" s="77" t="s">
        <v>94</v>
      </c>
      <c r="C457" s="77" t="s">
        <v>56</v>
      </c>
      <c r="D457" s="77" t="s">
        <v>6139</v>
      </c>
      <c r="E457" s="77" t="s">
        <v>36</v>
      </c>
      <c r="F457" s="245" t="str">
        <f t="shared" si="30"/>
        <v>StpS 77</v>
      </c>
      <c r="G457" s="77" t="s">
        <v>376</v>
      </c>
      <c r="H457" s="77"/>
      <c r="I457" s="77" t="str">
        <f t="shared" si="28"/>
        <v>L07_GHVFW_030W_STOPE</v>
      </c>
      <c r="J457" s="77" t="s">
        <v>6382</v>
      </c>
      <c r="K457" s="169">
        <f>IFERROR(MATCH(J457,'Final List'!$B$4:$B$252,0),0)</f>
        <v>0</v>
      </c>
      <c r="L457" s="169">
        <f>IFERROR(MATCH(J457,'Final List'!$D$4:$D$252,0),0)</f>
        <v>0</v>
      </c>
      <c r="M457" s="169">
        <f>IFERROR(MATCH(J457,'Final List'!$F$4:$F$251,0),0)</f>
        <v>0</v>
      </c>
      <c r="N457" s="169">
        <f>IFERROR(MATCH(J457,'Final List'!$H$4:$H$252,0),0)</f>
        <v>0</v>
      </c>
      <c r="O457" s="169">
        <f>IFERROR(MATCH(J457,'Final List'!$J$4:$J$252,0),0)</f>
        <v>0</v>
      </c>
      <c r="P457" s="169">
        <f>IFERROR(MATCH(J457,'Final List'!$L$4:$L$252,0),0)</f>
        <v>0</v>
      </c>
      <c r="Q457" s="169">
        <f>IFERROR(MATCH(J457,'Final List'!$N$4:$N$252,0),0)</f>
        <v>0</v>
      </c>
      <c r="R457" s="169">
        <f>IFERROR(MATCH(J457,'Final List'!$P$4:$P$252,0),0)</f>
        <v>0</v>
      </c>
      <c r="S457" s="169">
        <f t="shared" si="31"/>
        <v>0</v>
      </c>
      <c r="T457" s="77" t="s">
        <v>68</v>
      </c>
      <c r="U457" s="77"/>
      <c r="V457" s="77" t="str">
        <f t="shared" si="29"/>
        <v>BORERO 2</v>
      </c>
      <c r="W457" s="77" t="s">
        <v>2713</v>
      </c>
    </row>
    <row r="458" spans="2:23" x14ac:dyDescent="0.25">
      <c r="B458" s="77" t="s">
        <v>92</v>
      </c>
      <c r="C458" s="77" t="s">
        <v>87</v>
      </c>
      <c r="D458" s="77" t="s">
        <v>5781</v>
      </c>
      <c r="E458" s="77" t="s">
        <v>37</v>
      </c>
      <c r="F458" s="245" t="str">
        <f t="shared" si="30"/>
        <v>Dhoz 71</v>
      </c>
      <c r="G458" s="77" t="s">
        <v>3659</v>
      </c>
      <c r="H458" s="77"/>
      <c r="I458" s="77" t="str">
        <f t="shared" si="28"/>
        <v>L05_NONE_051E_XCN</v>
      </c>
      <c r="J458" s="77" t="s">
        <v>6384</v>
      </c>
      <c r="K458" s="169">
        <f>IFERROR(MATCH(J458,'Final List'!$B$4:$B$252,0),0)</f>
        <v>0</v>
      </c>
      <c r="L458" s="169">
        <f>IFERROR(MATCH(J458,'Final List'!$D$4:$D$252,0),0)</f>
        <v>0</v>
      </c>
      <c r="M458" s="169">
        <f>IFERROR(MATCH(J458,'Final List'!$F$4:$F$251,0),0)</f>
        <v>0</v>
      </c>
      <c r="N458" s="169">
        <f>IFERROR(MATCH(J458,'Final List'!$H$4:$H$252,0),0)</f>
        <v>0</v>
      </c>
      <c r="O458" s="169">
        <f>IFERROR(MATCH(J458,'Final List'!$J$4:$J$252,0),0)</f>
        <v>0</v>
      </c>
      <c r="P458" s="169">
        <f>IFERROR(MATCH(J458,'Final List'!$L$4:$L$252,0),0)</f>
        <v>0</v>
      </c>
      <c r="Q458" s="169">
        <f>IFERROR(MATCH(J458,'Final List'!$N$4:$N$252,0),0)</f>
        <v>0</v>
      </c>
      <c r="R458" s="169">
        <f>IFERROR(MATCH(J458,'Final List'!$P$4:$P$252,0),0)</f>
        <v>0</v>
      </c>
      <c r="S458" s="169">
        <f t="shared" si="31"/>
        <v>0</v>
      </c>
      <c r="T458" s="77"/>
      <c r="U458" s="77"/>
      <c r="V458" s="77" t="str">
        <f t="shared" si="29"/>
        <v>SHEPHERD AD 2</v>
      </c>
      <c r="W458" s="77" t="s">
        <v>8897</v>
      </c>
    </row>
    <row r="459" spans="2:23" x14ac:dyDescent="0.25">
      <c r="B459" s="77" t="s">
        <v>96</v>
      </c>
      <c r="C459" s="77" t="s">
        <v>59</v>
      </c>
      <c r="D459" s="77" t="s">
        <v>6387</v>
      </c>
      <c r="E459" s="77" t="s">
        <v>19</v>
      </c>
      <c r="F459" s="245" t="str">
        <f t="shared" si="30"/>
        <v>DVR 72</v>
      </c>
      <c r="G459" s="77" t="s">
        <v>389</v>
      </c>
      <c r="H459" s="77" t="s">
        <v>585</v>
      </c>
      <c r="I459" s="77" t="str">
        <f t="shared" si="28"/>
        <v>L09_GHVHW_079E_RAISE</v>
      </c>
      <c r="J459" s="77" t="s">
        <v>6385</v>
      </c>
      <c r="K459" s="169">
        <f>IFERROR(MATCH(J459,'Final List'!$B$4:$B$252,0),0)</f>
        <v>0</v>
      </c>
      <c r="L459" s="169">
        <f>IFERROR(MATCH(J459,'Final List'!$D$4:$D$252,0),0)</f>
        <v>0</v>
      </c>
      <c r="M459" s="169">
        <f>IFERROR(MATCH(J459,'Final List'!$F$4:$F$251,0),0)</f>
        <v>0</v>
      </c>
      <c r="N459" s="169">
        <f>IFERROR(MATCH(J459,'Final List'!$H$4:$H$252,0),0)</f>
        <v>0</v>
      </c>
      <c r="O459" s="169">
        <f>IFERROR(MATCH(J459,'Final List'!$J$4:$J$252,0),0)</f>
        <v>0</v>
      </c>
      <c r="P459" s="169">
        <f>IFERROR(MATCH(J459,'Final List'!$L$4:$L$252,0),0)</f>
        <v>0</v>
      </c>
      <c r="Q459" s="169">
        <f>IFERROR(MATCH(J459,'Final List'!$N$4:$N$252,0),0)</f>
        <v>0</v>
      </c>
      <c r="R459" s="169">
        <f>IFERROR(MATCH(J459,'Final List'!$P$4:$P$252,0),0)</f>
        <v>0</v>
      </c>
      <c r="S459" s="169">
        <f t="shared" si="31"/>
        <v>0</v>
      </c>
      <c r="T459" s="77"/>
      <c r="U459" s="77"/>
      <c r="V459" s="77" t="str">
        <f t="shared" si="29"/>
        <v>ESPADA 1</v>
      </c>
      <c r="W459" s="77" t="s">
        <v>2715</v>
      </c>
    </row>
    <row r="460" spans="2:23" x14ac:dyDescent="0.25">
      <c r="B460" s="77" t="s">
        <v>96</v>
      </c>
      <c r="C460" s="77" t="s">
        <v>55</v>
      </c>
      <c r="D460" s="77" t="s">
        <v>289</v>
      </c>
      <c r="E460" s="77" t="s">
        <v>61</v>
      </c>
      <c r="F460" s="245" t="str">
        <f t="shared" si="30"/>
        <v>Dhoz 71</v>
      </c>
      <c r="G460" s="77" t="s">
        <v>460</v>
      </c>
      <c r="H460" s="77"/>
      <c r="I460" s="77" t="str">
        <f t="shared" si="28"/>
        <v>L09_JVFW_059E_DW</v>
      </c>
      <c r="J460" s="77" t="s">
        <v>6392</v>
      </c>
      <c r="K460" s="169">
        <f>IFERROR(MATCH(J460,'Final List'!$B$4:$B$252,0),0)</f>
        <v>0</v>
      </c>
      <c r="L460" s="169">
        <f>IFERROR(MATCH(J460,'Final List'!$D$4:$D$252,0),0)</f>
        <v>0</v>
      </c>
      <c r="M460" s="169">
        <f>IFERROR(MATCH(J460,'Final List'!$F$4:$F$251,0),0)</f>
        <v>0</v>
      </c>
      <c r="N460" s="169">
        <f>IFERROR(MATCH(J460,'Final List'!$H$4:$H$252,0),0)</f>
        <v>0</v>
      </c>
      <c r="O460" s="169">
        <f>IFERROR(MATCH(J460,'Final List'!$J$4:$J$252,0),0)</f>
        <v>0</v>
      </c>
      <c r="P460" s="169">
        <f>IFERROR(MATCH(J460,'Final List'!$L$4:$L$252,0),0)</f>
        <v>0</v>
      </c>
      <c r="Q460" s="169">
        <f>IFERROR(MATCH(J460,'Final List'!$N$4:$N$252,0),0)</f>
        <v>0</v>
      </c>
      <c r="R460" s="169">
        <f>IFERROR(MATCH(J460,'Final List'!$P$4:$P$252,0),0)</f>
        <v>0</v>
      </c>
      <c r="S460" s="169">
        <f t="shared" si="31"/>
        <v>0</v>
      </c>
      <c r="T460" s="77"/>
      <c r="U460" s="77"/>
      <c r="V460" s="77" t="str">
        <f t="shared" si="29"/>
        <v>PANSIT 5</v>
      </c>
      <c r="W460" s="77" t="s">
        <v>8896</v>
      </c>
    </row>
    <row r="461" spans="2:23" x14ac:dyDescent="0.25">
      <c r="B461" s="150" t="s">
        <v>94</v>
      </c>
      <c r="C461" s="150" t="s">
        <v>41</v>
      </c>
      <c r="D461" s="150" t="s">
        <v>131</v>
      </c>
      <c r="E461" s="150" t="s">
        <v>211</v>
      </c>
      <c r="F461" s="245" t="str">
        <f t="shared" si="30"/>
        <v>StpS 77</v>
      </c>
      <c r="G461" s="77" t="s">
        <v>5720</v>
      </c>
      <c r="H461" s="77"/>
      <c r="I461" s="77" t="str">
        <f t="shared" si="28"/>
        <v>L07_CTV_011E_STOPE PREP</v>
      </c>
      <c r="J461" s="77" t="s">
        <v>6393</v>
      </c>
      <c r="K461" s="169">
        <f>IFERROR(MATCH(J461,'Final List'!$B$4:$B$252,0),0)</f>
        <v>0</v>
      </c>
      <c r="L461" s="169">
        <f>IFERROR(MATCH(J461,'Final List'!$D$4:$D$252,0),0)</f>
        <v>0</v>
      </c>
      <c r="M461" s="169">
        <f>IFERROR(MATCH(J461,'Final List'!$F$4:$F$251,0),0)</f>
        <v>0</v>
      </c>
      <c r="N461" s="169">
        <f>IFERROR(MATCH(J461,'Final List'!$H$4:$H$252,0),0)</f>
        <v>0</v>
      </c>
      <c r="O461" s="169">
        <f>IFERROR(MATCH(J461,'Final List'!$J$4:$J$252,0),0)</f>
        <v>0</v>
      </c>
      <c r="P461" s="169">
        <f>IFERROR(MATCH(J461,'Final List'!$L$4:$L$252,0),0)</f>
        <v>0</v>
      </c>
      <c r="Q461" s="169">
        <f>IFERROR(MATCH(J461,'Final List'!$N$4:$N$252,0),0)</f>
        <v>0</v>
      </c>
      <c r="R461" s="169">
        <f>IFERROR(MATCH(J461,'Final List'!$P$4:$P$252,0),0)</f>
        <v>0</v>
      </c>
      <c r="S461" s="169">
        <f t="shared" si="31"/>
        <v>0</v>
      </c>
      <c r="T461" s="77" t="s">
        <v>68</v>
      </c>
      <c r="U461" s="77"/>
      <c r="V461" s="77" t="str">
        <f t="shared" si="29"/>
        <v>TURRA 1</v>
      </c>
      <c r="W461" s="77" t="s">
        <v>2712</v>
      </c>
    </row>
    <row r="462" spans="2:23" x14ac:dyDescent="0.25">
      <c r="B462" s="150" t="s">
        <v>258</v>
      </c>
      <c r="C462" s="150" t="s">
        <v>55</v>
      </c>
      <c r="D462" s="150" t="s">
        <v>166</v>
      </c>
      <c r="E462" s="150" t="s">
        <v>211</v>
      </c>
      <c r="F462" s="245" t="str">
        <f t="shared" si="30"/>
        <v>StpS 77</v>
      </c>
      <c r="G462" s="77" t="s">
        <v>453</v>
      </c>
      <c r="H462" s="77"/>
      <c r="I462" s="77" t="str">
        <f t="shared" si="28"/>
        <v>L10_JVFW_068E_STOPE PREP</v>
      </c>
      <c r="J462" s="77" t="s">
        <v>6398</v>
      </c>
      <c r="K462" s="169">
        <f>IFERROR(MATCH(J462,'Final List'!$B$4:$B$252,0),0)</f>
        <v>0</v>
      </c>
      <c r="L462" s="169">
        <f>IFERROR(MATCH(J462,'Final List'!$D$4:$D$252,0),0)</f>
        <v>0</v>
      </c>
      <c r="M462" s="169">
        <f>IFERROR(MATCH(J462,'Final List'!$F$4:$F$251,0),0)</f>
        <v>0</v>
      </c>
      <c r="N462" s="169">
        <f>IFERROR(MATCH(J462,'Final List'!$H$4:$H$252,0),0)</f>
        <v>0</v>
      </c>
      <c r="O462" s="169">
        <f>IFERROR(MATCH(J462,'Final List'!$J$4:$J$252,0),0)</f>
        <v>0</v>
      </c>
      <c r="P462" s="169">
        <f>IFERROR(MATCH(J462,'Final List'!$L$4:$L$252,0),0)</f>
        <v>0</v>
      </c>
      <c r="Q462" s="169">
        <f>IFERROR(MATCH(J462,'Final List'!$N$4:$N$252,0),0)</f>
        <v>0</v>
      </c>
      <c r="R462" s="169">
        <f>IFERROR(MATCH(J462,'Final List'!$P$4:$P$252,0),0)</f>
        <v>0</v>
      </c>
      <c r="S462" s="169">
        <f t="shared" si="31"/>
        <v>0</v>
      </c>
      <c r="T462" s="77" t="s">
        <v>68</v>
      </c>
      <c r="U462" s="77"/>
      <c r="V462" s="77" t="str">
        <f t="shared" si="29"/>
        <v>BAÑEZ 7</v>
      </c>
      <c r="W462" s="77" t="s">
        <v>2712</v>
      </c>
    </row>
    <row r="463" spans="2:23" x14ac:dyDescent="0.25">
      <c r="B463" s="150" t="s">
        <v>1166</v>
      </c>
      <c r="C463" s="150" t="s">
        <v>42</v>
      </c>
      <c r="D463" s="150" t="s">
        <v>168</v>
      </c>
      <c r="E463" s="150" t="s">
        <v>19</v>
      </c>
      <c r="F463" s="245" t="str">
        <f t="shared" si="30"/>
        <v>DVR 72</v>
      </c>
      <c r="G463" s="77" t="s">
        <v>6934</v>
      </c>
      <c r="H463" s="77"/>
      <c r="I463" s="77" t="str">
        <f t="shared" si="28"/>
        <v>L11_JV_047E_RAISE</v>
      </c>
      <c r="J463" s="77" t="s">
        <v>6402</v>
      </c>
      <c r="K463" s="169">
        <f>IFERROR(MATCH(J463,'Final List'!$B$4:$B$252,0),0)</f>
        <v>0</v>
      </c>
      <c r="L463" s="169">
        <f>IFERROR(MATCH(J463,'Final List'!$D$4:$D$252,0),0)</f>
        <v>0</v>
      </c>
      <c r="M463" s="169">
        <f>IFERROR(MATCH(J463,'Final List'!$F$4:$F$251,0),0)</f>
        <v>0</v>
      </c>
      <c r="N463" s="169">
        <f>IFERROR(MATCH(J463,'Final List'!$H$4:$H$252,0),0)</f>
        <v>0</v>
      </c>
      <c r="O463" s="169">
        <f>IFERROR(MATCH(J463,'Final List'!$J$4:$J$252,0),0)</f>
        <v>0</v>
      </c>
      <c r="P463" s="169">
        <f>IFERROR(MATCH(J463,'Final List'!$L$4:$L$252,0),0)</f>
        <v>0</v>
      </c>
      <c r="Q463" s="169">
        <f>IFERROR(MATCH(J463,'Final List'!$N$4:$N$252,0),0)</f>
        <v>0</v>
      </c>
      <c r="R463" s="169">
        <f>IFERROR(MATCH(J463,'Final List'!$P$4:$P$252,0),0)</f>
        <v>0</v>
      </c>
      <c r="S463" s="169">
        <f t="shared" si="31"/>
        <v>0</v>
      </c>
      <c r="T463" s="77"/>
      <c r="U463" s="77"/>
      <c r="V463" s="77" t="str">
        <f t="shared" si="29"/>
        <v>DUHIG, P7</v>
      </c>
      <c r="W463" s="77" t="s">
        <v>2715</v>
      </c>
    </row>
    <row r="464" spans="2:23" x14ac:dyDescent="0.25">
      <c r="B464" s="178" t="s">
        <v>1166</v>
      </c>
      <c r="C464" s="178" t="s">
        <v>55</v>
      </c>
      <c r="D464" s="178" t="s">
        <v>175</v>
      </c>
      <c r="E464" s="150" t="s">
        <v>19</v>
      </c>
      <c r="F464" s="245" t="str">
        <f t="shared" si="30"/>
        <v>DVR 72</v>
      </c>
      <c r="G464" s="169" t="s">
        <v>481</v>
      </c>
      <c r="I464" s="77" t="str">
        <f t="shared" si="28"/>
        <v>L11_JVFW_060E_RAISE</v>
      </c>
      <c r="J464" s="169" t="s">
        <v>6404</v>
      </c>
      <c r="K464" s="169">
        <f>IFERROR(MATCH(J464,'Final List'!$B$4:$B$252,0),0)</f>
        <v>0</v>
      </c>
      <c r="L464" s="169">
        <f>IFERROR(MATCH(J464,'Final List'!$D$4:$D$252,0),0)</f>
        <v>0</v>
      </c>
      <c r="M464" s="169">
        <f>IFERROR(MATCH(J464,'Final List'!$F$4:$F$251,0),0)</f>
        <v>0</v>
      </c>
      <c r="N464" s="169">
        <f>IFERROR(MATCH(J464,'Final List'!$H$4:$H$252,0),0)</f>
        <v>0</v>
      </c>
      <c r="O464" s="169">
        <f>IFERROR(MATCH(J464,'Final List'!$J$4:$J$252,0),0)</f>
        <v>0</v>
      </c>
      <c r="P464" s="169">
        <f>IFERROR(MATCH(J464,'Final List'!$L$4:$L$252,0),0)</f>
        <v>0</v>
      </c>
      <c r="Q464" s="169">
        <f>IFERROR(MATCH(J464,'Final List'!$N$4:$N$252,0),0)</f>
        <v>0</v>
      </c>
      <c r="R464" s="169">
        <f>IFERROR(MATCH(J464,'Final List'!$P$4:$P$252,0),0)</f>
        <v>0</v>
      </c>
      <c r="S464" s="169">
        <f t="shared" si="31"/>
        <v>0</v>
      </c>
      <c r="V464" s="77" t="str">
        <f t="shared" si="29"/>
        <v>DUHIG 4</v>
      </c>
      <c r="W464" s="77" t="s">
        <v>2715</v>
      </c>
    </row>
    <row r="465" spans="2:23" x14ac:dyDescent="0.25">
      <c r="B465" s="178" t="s">
        <v>1166</v>
      </c>
      <c r="C465" s="178" t="s">
        <v>59</v>
      </c>
      <c r="D465" s="178" t="s">
        <v>5614</v>
      </c>
      <c r="E465" s="150" t="s">
        <v>19</v>
      </c>
      <c r="F465" s="245" t="str">
        <f t="shared" si="30"/>
        <v>DVR 72</v>
      </c>
      <c r="G465" s="169" t="s">
        <v>308</v>
      </c>
      <c r="I465" s="77" t="str">
        <f t="shared" si="28"/>
        <v>L11_GHVHW_055E_RAISE</v>
      </c>
      <c r="J465" s="169" t="s">
        <v>6403</v>
      </c>
      <c r="K465" s="169">
        <f>IFERROR(MATCH(J465,'Final List'!$B$4:$B$252,0),0)</f>
        <v>0</v>
      </c>
      <c r="L465" s="169">
        <f>IFERROR(MATCH(J465,'Final List'!$D$4:$D$252,0),0)</f>
        <v>0</v>
      </c>
      <c r="M465" s="169">
        <f>IFERROR(MATCH(J465,'Final List'!$F$4:$F$251,0),0)</f>
        <v>0</v>
      </c>
      <c r="N465" s="169">
        <f>IFERROR(MATCH(J465,'Final List'!$H$4:$H$252,0),0)</f>
        <v>0</v>
      </c>
      <c r="O465" s="169">
        <f>IFERROR(MATCH(J465,'Final List'!$J$4:$J$252,0),0)</f>
        <v>0</v>
      </c>
      <c r="P465" s="169">
        <f>IFERROR(MATCH(J465,'Final List'!$L$4:$L$252,0),0)</f>
        <v>0</v>
      </c>
      <c r="Q465" s="169">
        <f>IFERROR(MATCH(J465,'Final List'!$N$4:$N$252,0),0)</f>
        <v>0</v>
      </c>
      <c r="R465" s="169">
        <f>IFERROR(MATCH(J465,'Final List'!$P$4:$P$252,0),0)</f>
        <v>0</v>
      </c>
      <c r="S465" s="169">
        <f t="shared" si="31"/>
        <v>0</v>
      </c>
      <c r="V465" s="77" t="str">
        <f t="shared" si="29"/>
        <v>DUHIG 2</v>
      </c>
      <c r="W465" s="77" t="s">
        <v>2715</v>
      </c>
    </row>
    <row r="466" spans="2:23" x14ac:dyDescent="0.25">
      <c r="B466" s="169" t="s">
        <v>95</v>
      </c>
      <c r="C466" s="169" t="s">
        <v>38</v>
      </c>
      <c r="D466" s="169" t="s">
        <v>162</v>
      </c>
      <c r="E466" s="169" t="s">
        <v>61</v>
      </c>
      <c r="F466" s="245" t="str">
        <f t="shared" si="30"/>
        <v>Dhoz 71</v>
      </c>
      <c r="G466" s="169" t="s">
        <v>6406</v>
      </c>
      <c r="I466" s="169" t="str">
        <f t="shared" si="28"/>
        <v>L08_GHV_008E_DW</v>
      </c>
      <c r="J466" s="169" t="s">
        <v>6405</v>
      </c>
      <c r="K466" s="169">
        <f>IFERROR(MATCH(J466,'Final List'!$B$4:$B$252,0),0)</f>
        <v>0</v>
      </c>
      <c r="L466" s="169">
        <f>IFERROR(MATCH(J466,'Final List'!$D$4:$D$252,0),0)</f>
        <v>0</v>
      </c>
      <c r="M466" s="169">
        <f>IFERROR(MATCH(J466,'Final List'!$F$4:$F$251,0),0)</f>
        <v>0</v>
      </c>
      <c r="N466" s="169">
        <f>IFERROR(MATCH(J466,'Final List'!$H$4:$H$252,0),0)</f>
        <v>0</v>
      </c>
      <c r="O466" s="169">
        <f>IFERROR(MATCH(J466,'Final List'!$J$4:$J$252,0),0)</f>
        <v>0</v>
      </c>
      <c r="P466" s="169">
        <f>IFERROR(MATCH(J466,'Final List'!$L$4:$L$252,0),0)</f>
        <v>0</v>
      </c>
      <c r="Q466" s="169">
        <f>IFERROR(MATCH(J466,'Final List'!$N$4:$N$252,0),0)</f>
        <v>0</v>
      </c>
      <c r="R466" s="169">
        <f>IFERROR(MATCH(J466,'Final List'!$P$4:$P$252,0),0)</f>
        <v>0</v>
      </c>
      <c r="S466" s="169">
        <f t="shared" si="31"/>
        <v>0</v>
      </c>
      <c r="V466" s="77" t="str">
        <f t="shared" si="29"/>
        <v>TURRA</v>
      </c>
      <c r="W466" s="169" t="s">
        <v>8895</v>
      </c>
    </row>
    <row r="467" spans="2:23" x14ac:dyDescent="0.25">
      <c r="B467" s="178" t="s">
        <v>91</v>
      </c>
      <c r="C467" s="178" t="s">
        <v>42</v>
      </c>
      <c r="D467" s="178" t="s">
        <v>118</v>
      </c>
      <c r="E467" s="178" t="s">
        <v>62</v>
      </c>
      <c r="F467" s="245" t="str">
        <f t="shared" si="30"/>
        <v>RobS 79</v>
      </c>
      <c r="G467" s="169" t="s">
        <v>5714</v>
      </c>
      <c r="I467" s="169" t="str">
        <f t="shared" si="28"/>
        <v>L04_JV_014E_ROBBING</v>
      </c>
      <c r="J467" s="169" t="s">
        <v>6407</v>
      </c>
      <c r="K467" s="169">
        <f>IFERROR(MATCH(J467,'Final List'!$B$4:$B$252,0),0)</f>
        <v>0</v>
      </c>
      <c r="L467" s="169">
        <f>IFERROR(MATCH(J467,'Final List'!$D$4:$D$252,0),0)</f>
        <v>0</v>
      </c>
      <c r="M467" s="169">
        <f>IFERROR(MATCH(J467,'Final List'!$F$4:$F$251,0),0)</f>
        <v>0</v>
      </c>
      <c r="N467" s="169">
        <f>IFERROR(MATCH(J467,'Final List'!$H$4:$H$252,0),0)</f>
        <v>0</v>
      </c>
      <c r="O467" s="169">
        <f>IFERROR(MATCH(J467,'Final List'!$J$4:$J$252,0),0)</f>
        <v>0</v>
      </c>
      <c r="P467" s="169">
        <f>IFERROR(MATCH(J467,'Final List'!$L$4:$L$252,0),0)</f>
        <v>0</v>
      </c>
      <c r="Q467" s="169">
        <f>IFERROR(MATCH(J467,'Final List'!$N$4:$N$252,0),0)</f>
        <v>0</v>
      </c>
      <c r="R467" s="169">
        <f>IFERROR(MATCH(J467,'Final List'!$P$4:$P$252,0),0)</f>
        <v>0</v>
      </c>
      <c r="S467" s="169">
        <f t="shared" si="31"/>
        <v>0</v>
      </c>
      <c r="T467" s="169" t="s">
        <v>68</v>
      </c>
      <c r="V467" s="77" t="str">
        <f t="shared" si="29"/>
        <v>MARTINEZ, RON 2</v>
      </c>
      <c r="W467" s="169" t="s">
        <v>2707</v>
      </c>
    </row>
    <row r="468" spans="2:23" x14ac:dyDescent="0.25">
      <c r="B468" s="178" t="s">
        <v>91</v>
      </c>
      <c r="C468" s="178" t="s">
        <v>41</v>
      </c>
      <c r="D468" s="178" t="s">
        <v>162</v>
      </c>
      <c r="E468" s="178" t="s">
        <v>211</v>
      </c>
      <c r="F468" s="245" t="str">
        <f t="shared" si="30"/>
        <v>StpS 77</v>
      </c>
      <c r="G468" s="169" t="s">
        <v>5767</v>
      </c>
      <c r="I468" s="169" t="str">
        <f t="shared" si="28"/>
        <v>L04_CTV_008E_STOPE PREP</v>
      </c>
      <c r="J468" s="169" t="s">
        <v>6408</v>
      </c>
      <c r="K468" s="169">
        <f>IFERROR(MATCH(J468,'Final List'!$B$4:$B$252,0),0)</f>
        <v>0</v>
      </c>
      <c r="L468" s="169">
        <f>IFERROR(MATCH(J468,'Final List'!$D$4:$D$252,0),0)</f>
        <v>0</v>
      </c>
      <c r="M468" s="169">
        <f>IFERROR(MATCH(J468,'Final List'!$F$4:$F$251,0),0)</f>
        <v>0</v>
      </c>
      <c r="N468" s="169">
        <f>IFERROR(MATCH(J468,'Final List'!$H$4:$H$252,0),0)</f>
        <v>0</v>
      </c>
      <c r="O468" s="169">
        <f>IFERROR(MATCH(J468,'Final List'!$J$4:$J$252,0),0)</f>
        <v>0</v>
      </c>
      <c r="P468" s="169">
        <f>IFERROR(MATCH(J468,'Final List'!$L$4:$L$252,0),0)</f>
        <v>0</v>
      </c>
      <c r="Q468" s="169">
        <f>IFERROR(MATCH(J468,'Final List'!$N$4:$N$252,0),0)</f>
        <v>0</v>
      </c>
      <c r="R468" s="169">
        <f>IFERROR(MATCH(J468,'Final List'!$P$4:$P$252,0),0)</f>
        <v>0</v>
      </c>
      <c r="S468" s="169">
        <f t="shared" si="31"/>
        <v>0</v>
      </c>
      <c r="T468" s="169" t="s">
        <v>68</v>
      </c>
      <c r="V468" s="77" t="str">
        <f t="shared" si="29"/>
        <v>MARTINEZ, RON 3</v>
      </c>
      <c r="W468" s="169" t="s">
        <v>2712</v>
      </c>
    </row>
    <row r="469" spans="2:23" x14ac:dyDescent="0.25">
      <c r="B469" s="169" t="s">
        <v>93</v>
      </c>
      <c r="C469" s="169" t="s">
        <v>45</v>
      </c>
      <c r="D469" s="169" t="s">
        <v>147</v>
      </c>
      <c r="E469" s="169" t="s">
        <v>441</v>
      </c>
      <c r="F469" s="245" t="str">
        <f t="shared" si="30"/>
        <v>RobC 80</v>
      </c>
      <c r="G469" s="169" t="s">
        <v>342</v>
      </c>
      <c r="I469" s="169" t="str">
        <f t="shared" si="28"/>
        <v>L06_DPVE_024E_WINZE STOPE PREP</v>
      </c>
      <c r="J469" s="169" t="s">
        <v>6411</v>
      </c>
      <c r="K469" s="169">
        <f>IFERROR(MATCH(J469,'Final List'!$B$4:$B$252,0),0)</f>
        <v>0</v>
      </c>
      <c r="L469" s="169">
        <f>IFERROR(MATCH(J469,'Final List'!$D$4:$D$252,0),0)</f>
        <v>0</v>
      </c>
      <c r="M469" s="169">
        <f>IFERROR(MATCH(J469,'Final List'!$F$4:$F$251,0),0)</f>
        <v>0</v>
      </c>
      <c r="N469" s="169">
        <f>IFERROR(MATCH(J469,'Final List'!$H$4:$H$252,0),0)</f>
        <v>0</v>
      </c>
      <c r="O469" s="169">
        <f>IFERROR(MATCH(J469,'Final List'!$J$4:$J$252,0),0)</f>
        <v>0</v>
      </c>
      <c r="P469" s="169">
        <f>IFERROR(MATCH(J469,'Final List'!$L$4:$L$252,0),0)</f>
        <v>0</v>
      </c>
      <c r="Q469" s="169">
        <f>IFERROR(MATCH(J469,'Final List'!$N$4:$N$252,0),0)</f>
        <v>0</v>
      </c>
      <c r="R469" s="169">
        <f>IFERROR(MATCH(J469,'Final List'!$P$4:$P$252,0),0)</f>
        <v>0</v>
      </c>
      <c r="S469" s="169">
        <f t="shared" si="31"/>
        <v>0</v>
      </c>
      <c r="T469" s="169" t="s">
        <v>68</v>
      </c>
      <c r="V469" s="77" t="str">
        <f t="shared" si="29"/>
        <v>BADBADON 2</v>
      </c>
      <c r="W469" s="169" t="s">
        <v>2716</v>
      </c>
    </row>
    <row r="470" spans="2:23" x14ac:dyDescent="0.25">
      <c r="B470" s="169" t="s">
        <v>95</v>
      </c>
      <c r="C470" s="169" t="s">
        <v>43</v>
      </c>
      <c r="D470" s="169" t="s">
        <v>175</v>
      </c>
      <c r="E470" s="169" t="s">
        <v>60</v>
      </c>
      <c r="F470" s="245" t="str">
        <f t="shared" si="30"/>
        <v>Dhoz 71</v>
      </c>
      <c r="G470" s="169" t="s">
        <v>1734</v>
      </c>
      <c r="I470" s="169" t="str">
        <f t="shared" si="28"/>
        <v>L08_GHVSPLIT_060E_DE</v>
      </c>
      <c r="J470" s="169" t="s">
        <v>1770</v>
      </c>
      <c r="K470" s="169">
        <f>IFERROR(MATCH(J470,'Final List'!$B$4:$B$252,0),0)</f>
        <v>0</v>
      </c>
      <c r="L470" s="169">
        <f>IFERROR(MATCH(J470,'Final List'!$D$4:$D$252,0),0)</f>
        <v>0</v>
      </c>
      <c r="M470" s="169">
        <f>IFERROR(MATCH(J470,'Final List'!$F$4:$F$251,0),0)</f>
        <v>0</v>
      </c>
      <c r="N470" s="169">
        <f>IFERROR(MATCH(J470,'Final List'!$H$4:$H$252,0),0)</f>
        <v>0</v>
      </c>
      <c r="O470" s="169">
        <f>IFERROR(MATCH(J470,'Final List'!$J$4:$J$252,0),0)</f>
        <v>0</v>
      </c>
      <c r="P470" s="169">
        <f>IFERROR(MATCH(J470,'Final List'!$L$4:$L$252,0),0)</f>
        <v>0</v>
      </c>
      <c r="Q470" s="169">
        <f>IFERROR(MATCH(J470,'Final List'!$N$4:$N$252,0),0)</f>
        <v>0</v>
      </c>
      <c r="R470" s="169">
        <f>IFERROR(MATCH(J470,'Final List'!$P$4:$P$252,0),0)</f>
        <v>0</v>
      </c>
      <c r="S470" s="169">
        <f t="shared" si="31"/>
        <v>0</v>
      </c>
      <c r="V470" s="77" t="str">
        <f t="shared" si="29"/>
        <v>SHEPHERD Q1</v>
      </c>
      <c r="W470" s="169" t="s">
        <v>8895</v>
      </c>
    </row>
    <row r="471" spans="2:23" x14ac:dyDescent="0.25">
      <c r="B471" s="169" t="s">
        <v>258</v>
      </c>
      <c r="C471" s="169" t="s">
        <v>45</v>
      </c>
      <c r="D471" s="169" t="s">
        <v>178</v>
      </c>
      <c r="E471" s="169" t="s">
        <v>61</v>
      </c>
      <c r="F471" s="245" t="str">
        <f t="shared" si="30"/>
        <v>Dhoz 71</v>
      </c>
      <c r="G471" s="169" t="s">
        <v>454</v>
      </c>
      <c r="I471" s="169" t="str">
        <f t="shared" si="28"/>
        <v>L10_DPVE_048E_DW</v>
      </c>
      <c r="J471" s="169" t="s">
        <v>5286</v>
      </c>
      <c r="K471" s="169">
        <f>IFERROR(MATCH(J471,'Final List'!$B$4:$B$252,0),0)</f>
        <v>0</v>
      </c>
      <c r="L471" s="169">
        <f>IFERROR(MATCH(J471,'Final List'!$D$4:$D$252,0),0)</f>
        <v>0</v>
      </c>
      <c r="M471" s="169">
        <f>IFERROR(MATCH(J471,'Final List'!$F$4:$F$251,0),0)</f>
        <v>0</v>
      </c>
      <c r="N471" s="169">
        <f>IFERROR(MATCH(J471,'Final List'!$H$4:$H$252,0),0)</f>
        <v>0</v>
      </c>
      <c r="O471" s="169">
        <f>IFERROR(MATCH(J471,'Final List'!$J$4:$J$252,0),0)</f>
        <v>0</v>
      </c>
      <c r="P471" s="169">
        <f>IFERROR(MATCH(J471,'Final List'!$L$4:$L$252,0),0)</f>
        <v>0</v>
      </c>
      <c r="Q471" s="169">
        <f>IFERROR(MATCH(J471,'Final List'!$N$4:$N$252,0),0)</f>
        <v>0</v>
      </c>
      <c r="R471" s="169">
        <f>IFERROR(MATCH(J471,'Final List'!$P$4:$P$252,0),0)</f>
        <v>0</v>
      </c>
      <c r="S471" s="169">
        <f t="shared" si="31"/>
        <v>0</v>
      </c>
      <c r="V471" s="77" t="str">
        <f t="shared" si="29"/>
        <v>BAÑEZ 8</v>
      </c>
      <c r="W471" s="169" t="s">
        <v>8896</v>
      </c>
    </row>
    <row r="472" spans="2:23" x14ac:dyDescent="0.25">
      <c r="B472" s="169" t="s">
        <v>92</v>
      </c>
      <c r="C472" s="169" t="s">
        <v>45</v>
      </c>
      <c r="D472" s="169" t="s">
        <v>148</v>
      </c>
      <c r="E472" s="169" t="s">
        <v>61</v>
      </c>
      <c r="F472" s="245" t="str">
        <f t="shared" si="30"/>
        <v>Dhoz 71</v>
      </c>
      <c r="G472" s="169" t="s">
        <v>3659</v>
      </c>
      <c r="I472" s="169" t="str">
        <f t="shared" si="28"/>
        <v>L05_DPVE_039E_DW</v>
      </c>
      <c r="J472" s="169" t="s">
        <v>6418</v>
      </c>
      <c r="K472" s="169">
        <f>IFERROR(MATCH(J472,'Final List'!$B$4:$B$252,0),0)</f>
        <v>0</v>
      </c>
      <c r="L472" s="169">
        <f>IFERROR(MATCH(J472,'Final List'!$D$4:$D$252,0),0)</f>
        <v>0</v>
      </c>
      <c r="M472" s="169">
        <f>IFERROR(MATCH(J472,'Final List'!$F$4:$F$251,0),0)</f>
        <v>0</v>
      </c>
      <c r="N472" s="169">
        <f>IFERROR(MATCH(J472,'Final List'!$H$4:$H$252,0),0)</f>
        <v>0</v>
      </c>
      <c r="O472" s="169">
        <f>IFERROR(MATCH(J472,'Final List'!$J$4:$J$252,0),0)</f>
        <v>0</v>
      </c>
      <c r="P472" s="169">
        <f>IFERROR(MATCH(J472,'Final List'!$L$4:$L$252,0),0)</f>
        <v>0</v>
      </c>
      <c r="Q472" s="169">
        <f>IFERROR(MATCH(J472,'Final List'!$N$4:$N$252,0),0)</f>
        <v>0</v>
      </c>
      <c r="R472" s="169">
        <f>IFERROR(MATCH(J472,'Final List'!$P$4:$P$252,0),0)</f>
        <v>0</v>
      </c>
      <c r="S472" s="169">
        <f t="shared" si="31"/>
        <v>0</v>
      </c>
      <c r="V472" s="77" t="str">
        <f t="shared" si="29"/>
        <v>SHEPHERD AD 2</v>
      </c>
      <c r="W472" s="169" t="s">
        <v>8895</v>
      </c>
    </row>
    <row r="473" spans="2:23" x14ac:dyDescent="0.25">
      <c r="B473" s="169" t="s">
        <v>96</v>
      </c>
      <c r="C473" s="169" t="s">
        <v>46</v>
      </c>
      <c r="D473" s="169" t="s">
        <v>149</v>
      </c>
      <c r="E473" s="169" t="s">
        <v>19</v>
      </c>
      <c r="F473" s="245" t="str">
        <f t="shared" si="30"/>
        <v>DVR 72</v>
      </c>
      <c r="G473" s="169" t="s">
        <v>1899</v>
      </c>
      <c r="H473" s="169" t="s">
        <v>5778</v>
      </c>
      <c r="I473" s="169" t="str">
        <f t="shared" si="28"/>
        <v>L09_DPVE2_021E_RAISE</v>
      </c>
      <c r="J473" s="169" t="s">
        <v>6423</v>
      </c>
      <c r="K473" s="169">
        <f>IFERROR(MATCH(J473,'Final List'!$B$4:$B$252,0),0)</f>
        <v>0</v>
      </c>
      <c r="L473" s="169">
        <f>IFERROR(MATCH(J473,'Final List'!$D$4:$D$252,0),0)</f>
        <v>0</v>
      </c>
      <c r="M473" s="169">
        <f>IFERROR(MATCH(J473,'Final List'!$F$4:$F$251,0),0)</f>
        <v>0</v>
      </c>
      <c r="N473" s="169">
        <f>IFERROR(MATCH(J473,'Final List'!$H$4:$H$252,0),0)</f>
        <v>0</v>
      </c>
      <c r="O473" s="169">
        <f>IFERROR(MATCH(J473,'Final List'!$J$4:$J$252,0),0)</f>
        <v>0</v>
      </c>
      <c r="P473" s="169">
        <f>IFERROR(MATCH(J473,'Final List'!$L$4:$L$252,0),0)</f>
        <v>0</v>
      </c>
      <c r="Q473" s="169">
        <f>IFERROR(MATCH(J473,'Final List'!$N$4:$N$252,0),0)</f>
        <v>0</v>
      </c>
      <c r="R473" s="169">
        <f>IFERROR(MATCH(J473,'Final List'!$P$4:$P$252,0),0)</f>
        <v>0</v>
      </c>
      <c r="S473" s="169">
        <f t="shared" si="31"/>
        <v>0</v>
      </c>
      <c r="V473" s="77" t="str">
        <f t="shared" si="29"/>
        <v>REBOTE, JONATHAN 1</v>
      </c>
      <c r="W473" s="169" t="s">
        <v>2715</v>
      </c>
    </row>
    <row r="474" spans="2:23" x14ac:dyDescent="0.25">
      <c r="B474" s="169" t="s">
        <v>95</v>
      </c>
      <c r="C474" s="169" t="s">
        <v>43</v>
      </c>
      <c r="D474" s="169" t="s">
        <v>117</v>
      </c>
      <c r="E474" s="169" t="s">
        <v>62</v>
      </c>
      <c r="F474" s="245" t="str">
        <f t="shared" si="30"/>
        <v>RobC 80</v>
      </c>
      <c r="G474" s="169" t="s">
        <v>1533</v>
      </c>
      <c r="I474" s="169" t="str">
        <f t="shared" si="28"/>
        <v>L08_GHVSPLIT_006W_ROBBING</v>
      </c>
      <c r="J474" s="169" t="s">
        <v>6424</v>
      </c>
      <c r="K474" s="169">
        <f>IFERROR(MATCH(J474,'Final List'!$B$4:$B$252,0),0)</f>
        <v>0</v>
      </c>
      <c r="L474" s="169">
        <f>IFERROR(MATCH(J474,'Final List'!$D$4:$D$252,0),0)</f>
        <v>0</v>
      </c>
      <c r="M474" s="169">
        <f>IFERROR(MATCH(J474,'Final List'!$F$4:$F$251,0),0)</f>
        <v>0</v>
      </c>
      <c r="N474" s="169">
        <f>IFERROR(MATCH(J474,'Final List'!$H$4:$H$252,0),0)</f>
        <v>0</v>
      </c>
      <c r="O474" s="169">
        <f>IFERROR(MATCH(J474,'Final List'!$J$4:$J$252,0),0)</f>
        <v>0</v>
      </c>
      <c r="P474" s="169">
        <f>IFERROR(MATCH(J474,'Final List'!$L$4:$L$252,0),0)</f>
        <v>0</v>
      </c>
      <c r="Q474" s="169">
        <f>IFERROR(MATCH(J474,'Final List'!$N$4:$N$252,0),0)</f>
        <v>0</v>
      </c>
      <c r="R474" s="169">
        <f>IFERROR(MATCH(J474,'Final List'!$P$4:$P$252,0),0)</f>
        <v>0</v>
      </c>
      <c r="S474" s="169">
        <f t="shared" si="31"/>
        <v>0</v>
      </c>
      <c r="T474" s="169" t="s">
        <v>48</v>
      </c>
      <c r="V474" s="77" t="str">
        <f t="shared" si="29"/>
        <v>AGLOLO</v>
      </c>
      <c r="W474" s="169" t="s">
        <v>236</v>
      </c>
    </row>
    <row r="475" spans="2:23" x14ac:dyDescent="0.25">
      <c r="B475" s="169" t="s">
        <v>95</v>
      </c>
      <c r="C475" s="169" t="s">
        <v>43</v>
      </c>
      <c r="D475" s="169" t="s">
        <v>167</v>
      </c>
      <c r="E475" s="169" t="s">
        <v>19</v>
      </c>
      <c r="F475" s="245" t="str">
        <f t="shared" si="30"/>
        <v>DVR 72</v>
      </c>
      <c r="G475" s="169" t="s">
        <v>5</v>
      </c>
      <c r="I475" s="169" t="str">
        <f t="shared" si="28"/>
        <v>L08_GHVSPLIT_058E_RAISE</v>
      </c>
      <c r="J475" s="169" t="s">
        <v>6425</v>
      </c>
      <c r="K475" s="169">
        <f>IFERROR(MATCH(J475,'Final List'!$B$4:$B$252,0),0)</f>
        <v>0</v>
      </c>
      <c r="L475" s="169">
        <f>IFERROR(MATCH(J475,'Final List'!$D$4:$D$252,0),0)</f>
        <v>0</v>
      </c>
      <c r="M475" s="169">
        <f>IFERROR(MATCH(J475,'Final List'!$F$4:$F$251,0),0)</f>
        <v>0</v>
      </c>
      <c r="N475" s="169">
        <f>IFERROR(MATCH(J475,'Final List'!$H$4:$H$252,0),0)</f>
        <v>0</v>
      </c>
      <c r="O475" s="169">
        <f>IFERROR(MATCH(J475,'Final List'!$J$4:$J$252,0),0)</f>
        <v>0</v>
      </c>
      <c r="P475" s="169">
        <f>IFERROR(MATCH(J475,'Final List'!$L$4:$L$252,0),0)</f>
        <v>0</v>
      </c>
      <c r="Q475" s="169">
        <f>IFERROR(MATCH(J475,'Final List'!$N$4:$N$252,0),0)</f>
        <v>0</v>
      </c>
      <c r="R475" s="169">
        <f>IFERROR(MATCH(J475,'Final List'!$P$4:$P$252,0),0)</f>
        <v>0</v>
      </c>
      <c r="S475" s="169">
        <f t="shared" si="31"/>
        <v>0</v>
      </c>
      <c r="V475" s="77" t="str">
        <f t="shared" si="29"/>
        <v>BELICAN</v>
      </c>
      <c r="W475" s="169" t="s">
        <v>2715</v>
      </c>
    </row>
    <row r="476" spans="2:23" x14ac:dyDescent="0.25">
      <c r="B476" s="178" t="s">
        <v>92</v>
      </c>
      <c r="C476" s="178" t="s">
        <v>45</v>
      </c>
      <c r="D476" s="178" t="s">
        <v>122</v>
      </c>
      <c r="E476" s="178" t="s">
        <v>19</v>
      </c>
      <c r="F476" s="245" t="str">
        <f t="shared" si="30"/>
        <v>DVR 72</v>
      </c>
      <c r="G476" s="169" t="s">
        <v>551</v>
      </c>
      <c r="I476" s="169" t="str">
        <f t="shared" si="28"/>
        <v>L05_DPVE_025E_RAISE</v>
      </c>
      <c r="J476" s="169" t="s">
        <v>6426</v>
      </c>
      <c r="K476" s="169">
        <f>IFERROR(MATCH(J476,'Final List'!$B$4:$B$252,0),0)</f>
        <v>0</v>
      </c>
      <c r="L476" s="169">
        <f>IFERROR(MATCH(J476,'Final List'!$D$4:$D$252,0),0)</f>
        <v>0</v>
      </c>
      <c r="M476" s="169">
        <f>IFERROR(MATCH(J476,'Final List'!$F$4:$F$251,0),0)</f>
        <v>0</v>
      </c>
      <c r="N476" s="169">
        <f>IFERROR(MATCH(J476,'Final List'!$H$4:$H$252,0),0)</f>
        <v>0</v>
      </c>
      <c r="O476" s="169">
        <f>IFERROR(MATCH(J476,'Final List'!$J$4:$J$252,0),0)</f>
        <v>0</v>
      </c>
      <c r="P476" s="169">
        <f>IFERROR(MATCH(J476,'Final List'!$L$4:$L$252,0),0)</f>
        <v>0</v>
      </c>
      <c r="Q476" s="169">
        <f>IFERROR(MATCH(J476,'Final List'!$N$4:$N$252,0),0)</f>
        <v>0</v>
      </c>
      <c r="R476" s="169">
        <f>IFERROR(MATCH(J476,'Final List'!$P$4:$P$252,0),0)</f>
        <v>0</v>
      </c>
      <c r="S476" s="169">
        <f t="shared" si="31"/>
        <v>0</v>
      </c>
      <c r="V476" s="169" t="str">
        <f t="shared" si="29"/>
        <v>PANCIT, NOEL 3</v>
      </c>
      <c r="W476" s="169" t="s">
        <v>2715</v>
      </c>
    </row>
    <row r="477" spans="2:23" x14ac:dyDescent="0.25">
      <c r="B477" s="169" t="s">
        <v>92</v>
      </c>
      <c r="C477" s="169" t="s">
        <v>42</v>
      </c>
      <c r="D477" s="169" t="s">
        <v>143</v>
      </c>
      <c r="E477" s="169" t="s">
        <v>441</v>
      </c>
      <c r="F477" s="245" t="str">
        <f t="shared" si="30"/>
        <v>RobC 80</v>
      </c>
      <c r="G477" s="169" t="s">
        <v>2969</v>
      </c>
      <c r="I477" s="169" t="str">
        <f t="shared" si="28"/>
        <v>L05_JV_032E_WINZE STOPE PREP</v>
      </c>
      <c r="J477" s="169" t="s">
        <v>6433</v>
      </c>
      <c r="K477" s="169">
        <f>IFERROR(MATCH(J477,'Final List'!$B$4:$B$252,0),0)</f>
        <v>0</v>
      </c>
      <c r="L477" s="169">
        <f>IFERROR(MATCH(J477,'Final List'!$D$4:$D$252,0),0)</f>
        <v>0</v>
      </c>
      <c r="M477" s="169">
        <f>IFERROR(MATCH(J477,'Final List'!$F$4:$F$251,0),0)</f>
        <v>0</v>
      </c>
      <c r="N477" s="169">
        <f>IFERROR(MATCH(J477,'Final List'!$H$4:$H$252,0),0)</f>
        <v>0</v>
      </c>
      <c r="O477" s="169">
        <f>IFERROR(MATCH(J477,'Final List'!$J$4:$J$252,0),0)</f>
        <v>0</v>
      </c>
      <c r="P477" s="169">
        <f>IFERROR(MATCH(J477,'Final List'!$L$4:$L$252,0),0)</f>
        <v>0</v>
      </c>
      <c r="Q477" s="169">
        <f>IFERROR(MATCH(J477,'Final List'!$N$4:$N$252,0),0)</f>
        <v>0</v>
      </c>
      <c r="R477" s="169">
        <f>IFERROR(MATCH(J477,'Final List'!$P$4:$P$252,0),0)</f>
        <v>0</v>
      </c>
      <c r="S477" s="169">
        <f t="shared" si="31"/>
        <v>0</v>
      </c>
      <c r="T477" s="169" t="s">
        <v>68</v>
      </c>
      <c r="V477" s="169" t="str">
        <f t="shared" si="29"/>
        <v>SAMBERE 1</v>
      </c>
      <c r="W477" s="169" t="s">
        <v>2716</v>
      </c>
    </row>
    <row r="478" spans="2:23" x14ac:dyDescent="0.25">
      <c r="B478" s="178" t="s">
        <v>258</v>
      </c>
      <c r="C478" s="178" t="s">
        <v>87</v>
      </c>
      <c r="D478" s="178" t="s">
        <v>1230</v>
      </c>
      <c r="E478" s="178" t="s">
        <v>37</v>
      </c>
      <c r="F478" s="245" t="str">
        <f t="shared" si="30"/>
        <v>Dhoz 71</v>
      </c>
      <c r="G478" s="169" t="s">
        <v>317</v>
      </c>
      <c r="I478" s="169" t="str">
        <f t="shared" si="28"/>
        <v>L10_NONE_075E_XCN</v>
      </c>
      <c r="J478" s="169" t="s">
        <v>6430</v>
      </c>
      <c r="K478" s="169">
        <f>IFERROR(MATCH(J478,'Final List'!$B$4:$B$252,0),0)</f>
        <v>0</v>
      </c>
      <c r="L478" s="169">
        <f>IFERROR(MATCH(J478,'Final List'!$D$4:$D$252,0),0)</f>
        <v>0</v>
      </c>
      <c r="M478" s="169">
        <f>IFERROR(MATCH(J478,'Final List'!$F$4:$F$251,0),0)</f>
        <v>0</v>
      </c>
      <c r="N478" s="169">
        <f>IFERROR(MATCH(J478,'Final List'!$H$4:$H$252,0),0)</f>
        <v>0</v>
      </c>
      <c r="O478" s="169">
        <f>IFERROR(MATCH(J478,'Final List'!$J$4:$J$252,0),0)</f>
        <v>0</v>
      </c>
      <c r="P478" s="169">
        <f>IFERROR(MATCH(J478,'Final List'!$L$4:$L$252,0),0)</f>
        <v>0</v>
      </c>
      <c r="Q478" s="169">
        <f>IFERROR(MATCH(J478,'Final List'!$N$4:$N$252,0),0)</f>
        <v>0</v>
      </c>
      <c r="R478" s="169">
        <f>IFERROR(MATCH(J478,'Final List'!$P$4:$P$252,0),0)</f>
        <v>0</v>
      </c>
      <c r="S478" s="169">
        <f t="shared" si="31"/>
        <v>0</v>
      </c>
      <c r="V478" s="169" t="str">
        <f t="shared" si="29"/>
        <v>PARAGUYA 2</v>
      </c>
      <c r="W478" s="169" t="s">
        <v>8898</v>
      </c>
    </row>
    <row r="479" spans="2:23" x14ac:dyDescent="0.25">
      <c r="B479" s="178" t="s">
        <v>94</v>
      </c>
      <c r="C479" s="178" t="s">
        <v>42</v>
      </c>
      <c r="D479" s="178" t="s">
        <v>5742</v>
      </c>
      <c r="E479" s="178" t="s">
        <v>62</v>
      </c>
      <c r="F479" s="245" t="str">
        <f t="shared" si="30"/>
        <v>RobS 79</v>
      </c>
      <c r="G479" s="169" t="s">
        <v>6432</v>
      </c>
      <c r="H479" s="169" t="s">
        <v>9352</v>
      </c>
      <c r="I479" s="169" t="str">
        <f t="shared" si="28"/>
        <v>L07_JV_040E_ROBBING</v>
      </c>
      <c r="J479" s="169" t="s">
        <v>6431</v>
      </c>
      <c r="K479" s="169">
        <f>IFERROR(MATCH(J479,'Final List'!$B$4:$B$252,0),0)</f>
        <v>0</v>
      </c>
      <c r="L479" s="169">
        <f>IFERROR(MATCH(J479,'Final List'!$D$4:$D$252,0),0)</f>
        <v>0</v>
      </c>
      <c r="M479" s="169">
        <f>IFERROR(MATCH(J479,'Final List'!$F$4:$F$251,0),0)</f>
        <v>0</v>
      </c>
      <c r="N479" s="169">
        <f>IFERROR(MATCH(J479,'Final List'!$H$4:$H$252,0),0)</f>
        <v>0</v>
      </c>
      <c r="O479" s="169">
        <f>IFERROR(MATCH(J479,'Final List'!$J$4:$J$252,0),0)</f>
        <v>0</v>
      </c>
      <c r="P479" s="169">
        <f>IFERROR(MATCH(J479,'Final List'!$L$4:$L$252,0),0)</f>
        <v>0</v>
      </c>
      <c r="Q479" s="169">
        <f>IFERROR(MATCH(J479,'Final List'!$N$4:$N$252,0),0)</f>
        <v>0</v>
      </c>
      <c r="R479" s="169">
        <f>IFERROR(MATCH(J479,'Final List'!$P$4:$P$252,0),0)</f>
        <v>0</v>
      </c>
      <c r="S479" s="169">
        <f t="shared" si="31"/>
        <v>0</v>
      </c>
      <c r="T479" s="169" t="s">
        <v>68</v>
      </c>
      <c r="V479" s="169" t="str">
        <f t="shared" si="29"/>
        <v>SHEPHERD AA 1</v>
      </c>
      <c r="W479" s="169" t="s">
        <v>2707</v>
      </c>
    </row>
    <row r="480" spans="2:23" x14ac:dyDescent="0.25">
      <c r="B480" s="169" t="s">
        <v>93</v>
      </c>
      <c r="C480" s="169" t="s">
        <v>57</v>
      </c>
      <c r="D480" s="169" t="s">
        <v>5850</v>
      </c>
      <c r="E480" s="169" t="s">
        <v>62</v>
      </c>
      <c r="F480" s="245" t="str">
        <f t="shared" si="30"/>
        <v>RobC 80</v>
      </c>
      <c r="G480" s="169" t="s">
        <v>378</v>
      </c>
      <c r="I480" s="77" t="str">
        <f t="shared" si="28"/>
        <v>L06_JVSPLIT_016E_ROBBING</v>
      </c>
      <c r="J480" s="169" t="s">
        <v>6440</v>
      </c>
      <c r="K480" s="169">
        <f>IFERROR(MATCH(J480,'Final List'!$B$4:$B$252,0),0)</f>
        <v>0</v>
      </c>
      <c r="L480" s="169">
        <f>IFERROR(MATCH(J480,'Final List'!$D$4:$D$252,0),0)</f>
        <v>0</v>
      </c>
      <c r="M480" s="169">
        <f>IFERROR(MATCH(J480,'Final List'!$F$4:$F$251,0),0)</f>
        <v>0</v>
      </c>
      <c r="N480" s="169">
        <f>IFERROR(MATCH(J480,'Final List'!$H$4:$H$252,0),0)</f>
        <v>0</v>
      </c>
      <c r="O480" s="169">
        <f>IFERROR(MATCH(J480,'Final List'!$J$4:$J$252,0),0)</f>
        <v>0</v>
      </c>
      <c r="P480" s="169">
        <f>IFERROR(MATCH(J480,'Final List'!$L$4:$L$252,0),0)</f>
        <v>0</v>
      </c>
      <c r="Q480" s="169">
        <f>IFERROR(MATCH(J480,'Final List'!$N$4:$N$252,0),0)</f>
        <v>0</v>
      </c>
      <c r="R480" s="169">
        <f>IFERROR(MATCH(J480,'Final List'!$P$4:$P$252,0),0)</f>
        <v>0</v>
      </c>
      <c r="S480" s="169">
        <f t="shared" si="31"/>
        <v>0</v>
      </c>
      <c r="T480" s="169" t="s">
        <v>48</v>
      </c>
      <c r="V480" s="169" t="str">
        <f t="shared" si="29"/>
        <v>GUNAY 1</v>
      </c>
      <c r="W480" s="169" t="s">
        <v>236</v>
      </c>
    </row>
    <row r="481" spans="2:23" x14ac:dyDescent="0.25">
      <c r="B481" s="169" t="s">
        <v>94</v>
      </c>
      <c r="C481" s="169" t="s">
        <v>41</v>
      </c>
      <c r="D481" s="169" t="s">
        <v>123</v>
      </c>
      <c r="E481" s="169" t="s">
        <v>61</v>
      </c>
      <c r="F481" s="245" t="str">
        <f t="shared" si="30"/>
        <v>Dhoz 71</v>
      </c>
      <c r="G481" s="169" t="s">
        <v>324</v>
      </c>
      <c r="I481" s="169" t="str">
        <f t="shared" si="28"/>
        <v>L07_CTV_031E_DW</v>
      </c>
      <c r="J481" s="169" t="s">
        <v>6444</v>
      </c>
      <c r="K481" s="169">
        <f>IFERROR(MATCH(J481,'Final List'!$B$4:$B$252,0),0)</f>
        <v>0</v>
      </c>
      <c r="L481" s="169">
        <f>IFERROR(MATCH(J481,'Final List'!$D$4:$D$252,0),0)</f>
        <v>0</v>
      </c>
      <c r="M481" s="169">
        <f>IFERROR(MATCH(J481,'Final List'!$F$4:$F$251,0),0)</f>
        <v>0</v>
      </c>
      <c r="N481" s="169">
        <f>IFERROR(MATCH(J481,'Final List'!$H$4:$H$252,0),0)</f>
        <v>0</v>
      </c>
      <c r="O481" s="169">
        <f>IFERROR(MATCH(J481,'Final List'!$J$4:$J$252,0),0)</f>
        <v>0</v>
      </c>
      <c r="P481" s="169">
        <f>IFERROR(MATCH(J481,'Final List'!$L$4:$L$252,0),0)</f>
        <v>0</v>
      </c>
      <c r="Q481" s="169">
        <f>IFERROR(MATCH(J481,'Final List'!$N$4:$N$252,0),0)</f>
        <v>0</v>
      </c>
      <c r="R481" s="169">
        <f>IFERROR(MATCH(J481,'Final List'!$P$4:$P$252,0),0)</f>
        <v>0</v>
      </c>
      <c r="S481" s="169">
        <f t="shared" si="31"/>
        <v>0</v>
      </c>
      <c r="V481" s="169" t="str">
        <f t="shared" si="29"/>
        <v>CAYABAS 1</v>
      </c>
      <c r="W481" s="169" t="s">
        <v>8895</v>
      </c>
    </row>
    <row r="482" spans="2:23" x14ac:dyDescent="0.25">
      <c r="B482" s="169" t="s">
        <v>96</v>
      </c>
      <c r="C482" s="169" t="s">
        <v>59</v>
      </c>
      <c r="D482" s="169" t="s">
        <v>1230</v>
      </c>
      <c r="E482" s="169" t="s">
        <v>60</v>
      </c>
      <c r="F482" s="245" t="str">
        <f t="shared" si="30"/>
        <v>Dhoz 71</v>
      </c>
      <c r="G482" s="169" t="s">
        <v>389</v>
      </c>
      <c r="I482" s="169" t="str">
        <f t="shared" si="28"/>
        <v>L09_GHVHW_075E_DE</v>
      </c>
      <c r="J482" s="169" t="s">
        <v>6445</v>
      </c>
      <c r="K482" s="169">
        <f>IFERROR(MATCH(J482,'Final List'!$B$4:$B$252,0),0)</f>
        <v>0</v>
      </c>
      <c r="L482" s="169">
        <f>IFERROR(MATCH(J482,'Final List'!$D$4:$D$252,0),0)</f>
        <v>0</v>
      </c>
      <c r="M482" s="169">
        <f>IFERROR(MATCH(J482,'Final List'!$F$4:$F$251,0),0)</f>
        <v>0</v>
      </c>
      <c r="N482" s="169">
        <f>IFERROR(MATCH(J482,'Final List'!$H$4:$H$252,0),0)</f>
        <v>0</v>
      </c>
      <c r="O482" s="169">
        <f>IFERROR(MATCH(J482,'Final List'!$J$4:$J$252,0),0)</f>
        <v>0</v>
      </c>
      <c r="P482" s="169">
        <f>IFERROR(MATCH(J482,'Final List'!$L$4:$L$252,0),0)</f>
        <v>0</v>
      </c>
      <c r="Q482" s="169">
        <f>IFERROR(MATCH(J482,'Final List'!$N$4:$N$252,0),0)</f>
        <v>0</v>
      </c>
      <c r="R482" s="169">
        <f>IFERROR(MATCH(J482,'Final List'!$P$4:$P$252,0),0)</f>
        <v>0</v>
      </c>
      <c r="S482" s="169">
        <f t="shared" si="31"/>
        <v>0</v>
      </c>
      <c r="T482" s="169" t="s">
        <v>2709</v>
      </c>
      <c r="V482" s="169" t="str">
        <f t="shared" si="29"/>
        <v>CAPPUYO 1</v>
      </c>
      <c r="W482" s="169" t="s">
        <v>8896</v>
      </c>
    </row>
    <row r="483" spans="2:23" x14ac:dyDescent="0.25">
      <c r="B483" s="169" t="s">
        <v>94</v>
      </c>
      <c r="C483" s="169" t="s">
        <v>43</v>
      </c>
      <c r="D483" s="169" t="s">
        <v>102</v>
      </c>
      <c r="E483" s="169" t="s">
        <v>61</v>
      </c>
      <c r="F483" s="245" t="str">
        <f t="shared" si="30"/>
        <v>Dhoz 71</v>
      </c>
      <c r="G483" s="169" t="s">
        <v>585</v>
      </c>
      <c r="I483" s="169" t="str">
        <f t="shared" si="28"/>
        <v>L07_GHVSPLIT_034W_DW</v>
      </c>
      <c r="J483" s="169" t="s">
        <v>6446</v>
      </c>
      <c r="K483" s="169">
        <f>IFERROR(MATCH(J483,'Final List'!$B$4:$B$252,0),0)</f>
        <v>0</v>
      </c>
      <c r="L483" s="169">
        <f>IFERROR(MATCH(J483,'Final List'!$D$4:$D$252,0),0)</f>
        <v>0</v>
      </c>
      <c r="M483" s="169">
        <f>IFERROR(MATCH(J483,'Final List'!$F$4:$F$251,0),0)</f>
        <v>0</v>
      </c>
      <c r="N483" s="169">
        <f>IFERROR(MATCH(J483,'Final List'!$H$4:$H$252,0),0)</f>
        <v>0</v>
      </c>
      <c r="O483" s="169">
        <f>IFERROR(MATCH(J483,'Final List'!$J$4:$J$252,0),0)</f>
        <v>0</v>
      </c>
      <c r="P483" s="169">
        <f>IFERROR(MATCH(J483,'Final List'!$L$4:$L$252,0),0)</f>
        <v>0</v>
      </c>
      <c r="Q483" s="169">
        <f>IFERROR(MATCH(J483,'Final List'!$N$4:$N$252,0),0)</f>
        <v>0</v>
      </c>
      <c r="R483" s="169">
        <f>IFERROR(MATCH(J483,'Final List'!$P$4:$P$252,0),0)</f>
        <v>0</v>
      </c>
      <c r="S483" s="169">
        <f t="shared" si="31"/>
        <v>0</v>
      </c>
      <c r="V483" s="169" t="str">
        <f t="shared" si="29"/>
        <v>ESPADA 1</v>
      </c>
      <c r="W483" s="169" t="s">
        <v>8895</v>
      </c>
    </row>
    <row r="484" spans="2:23" x14ac:dyDescent="0.25">
      <c r="B484" s="169" t="s">
        <v>93</v>
      </c>
      <c r="C484" s="169" t="s">
        <v>44</v>
      </c>
      <c r="D484" s="169" t="s">
        <v>111</v>
      </c>
      <c r="E484" s="169" t="s">
        <v>62</v>
      </c>
      <c r="F484" s="245" t="str">
        <f t="shared" si="30"/>
        <v>RobS 79</v>
      </c>
      <c r="G484" s="169" t="s">
        <v>348</v>
      </c>
      <c r="I484" s="169" t="str">
        <f t="shared" si="28"/>
        <v>L06_CV_004W_ROBBING</v>
      </c>
      <c r="J484" s="169" t="s">
        <v>4642</v>
      </c>
      <c r="K484" s="169">
        <f>IFERROR(MATCH(J484,'Final List'!$B$4:$B$252,0),0)</f>
        <v>0</v>
      </c>
      <c r="L484" s="169">
        <f>IFERROR(MATCH(J484,'Final List'!$D$4:$D$252,0),0)</f>
        <v>0</v>
      </c>
      <c r="M484" s="169">
        <f>IFERROR(MATCH(J484,'Final List'!$F$4:$F$251,0),0)</f>
        <v>0</v>
      </c>
      <c r="N484" s="169">
        <f>IFERROR(MATCH(J484,'Final List'!$H$4:$H$252,0),0)</f>
        <v>0</v>
      </c>
      <c r="O484" s="169">
        <f>IFERROR(MATCH(J484,'Final List'!$J$4:$J$252,0),0)</f>
        <v>0</v>
      </c>
      <c r="P484" s="169">
        <f>IFERROR(MATCH(J484,'Final List'!$L$4:$L$252,0),0)</f>
        <v>0</v>
      </c>
      <c r="Q484" s="169">
        <f>IFERROR(MATCH(J484,'Final List'!$N$4:$N$252,0),0)</f>
        <v>0</v>
      </c>
      <c r="R484" s="169">
        <f>IFERROR(MATCH(J484,'Final List'!$P$4:$P$252,0),0)</f>
        <v>0</v>
      </c>
      <c r="S484" s="169">
        <f t="shared" si="31"/>
        <v>0</v>
      </c>
      <c r="T484" s="169" t="s">
        <v>68</v>
      </c>
      <c r="V484" s="169" t="str">
        <f t="shared" si="29"/>
        <v>QUIJANO 3</v>
      </c>
      <c r="W484" s="169" t="s">
        <v>2707</v>
      </c>
    </row>
    <row r="485" spans="2:23" x14ac:dyDescent="0.25">
      <c r="B485" s="169" t="s">
        <v>93</v>
      </c>
      <c r="C485" s="169" t="s">
        <v>45</v>
      </c>
      <c r="D485" s="169" t="s">
        <v>120</v>
      </c>
      <c r="E485" s="169" t="s">
        <v>36</v>
      </c>
      <c r="F485" s="245" t="str">
        <f t="shared" si="30"/>
        <v>StpS 77</v>
      </c>
      <c r="G485" s="169" t="s">
        <v>353</v>
      </c>
      <c r="I485" s="77" t="str">
        <f t="shared" si="28"/>
        <v>L06_DPVE_015E_STOPE</v>
      </c>
      <c r="J485" s="169" t="s">
        <v>6450</v>
      </c>
      <c r="K485" s="169">
        <f>IFERROR(MATCH(J485,'Final List'!$B$4:$B$252,0),0)</f>
        <v>0</v>
      </c>
      <c r="L485" s="169">
        <f>IFERROR(MATCH(J485,'Final List'!$D$4:$D$252,0),0)</f>
        <v>0</v>
      </c>
      <c r="M485" s="169">
        <f>IFERROR(MATCH(J485,'Final List'!$F$4:$F$251,0),0)</f>
        <v>0</v>
      </c>
      <c r="N485" s="169">
        <f>IFERROR(MATCH(J485,'Final List'!$H$4:$H$252,0),0)</f>
        <v>0</v>
      </c>
      <c r="O485" s="169">
        <f>IFERROR(MATCH(J485,'Final List'!$J$4:$J$252,0),0)</f>
        <v>0</v>
      </c>
      <c r="P485" s="169">
        <f>IFERROR(MATCH(J485,'Final List'!$L$4:$L$252,0),0)</f>
        <v>0</v>
      </c>
      <c r="Q485" s="169">
        <f>IFERROR(MATCH(J485,'Final List'!$N$4:$N$252,0),0)</f>
        <v>0</v>
      </c>
      <c r="R485" s="169">
        <f>IFERROR(MATCH(J485,'Final List'!$P$4:$P$252,0),0)</f>
        <v>0</v>
      </c>
      <c r="S485" s="169">
        <f t="shared" si="31"/>
        <v>0</v>
      </c>
      <c r="T485" s="169" t="s">
        <v>68</v>
      </c>
      <c r="V485" s="169" t="str">
        <f t="shared" si="29"/>
        <v>BAÑEZ 4</v>
      </c>
      <c r="W485" s="169" t="s">
        <v>2713</v>
      </c>
    </row>
    <row r="486" spans="2:23" x14ac:dyDescent="0.25">
      <c r="B486" s="169" t="s">
        <v>258</v>
      </c>
      <c r="C486" s="169" t="s">
        <v>45</v>
      </c>
      <c r="D486" s="169" t="s">
        <v>128</v>
      </c>
      <c r="E486" s="169" t="s">
        <v>36</v>
      </c>
      <c r="F486" s="245" t="str">
        <f t="shared" si="30"/>
        <v>StpS 77</v>
      </c>
      <c r="G486" s="169" t="s">
        <v>372</v>
      </c>
      <c r="I486" s="169" t="str">
        <f t="shared" si="28"/>
        <v>L10_DPVE_027E_STOPE</v>
      </c>
      <c r="J486" s="169" t="s">
        <v>6453</v>
      </c>
      <c r="K486" s="169">
        <f>IFERROR(MATCH(J486,'Final List'!$B$4:$B$252,0),0)</f>
        <v>0</v>
      </c>
      <c r="L486" s="169">
        <f>IFERROR(MATCH(J486,'Final List'!$D$4:$D$252,0),0)</f>
        <v>0</v>
      </c>
      <c r="M486" s="169">
        <f>IFERROR(MATCH(J486,'Final List'!$F$4:$F$251,0),0)</f>
        <v>0</v>
      </c>
      <c r="N486" s="169">
        <f>IFERROR(MATCH(J486,'Final List'!$H$4:$H$252,0),0)</f>
        <v>0</v>
      </c>
      <c r="O486" s="169">
        <f>IFERROR(MATCH(J486,'Final List'!$J$4:$J$252,0),0)</f>
        <v>0</v>
      </c>
      <c r="P486" s="169">
        <f>IFERROR(MATCH(J486,'Final List'!$L$4:$L$252,0),0)</f>
        <v>0</v>
      </c>
      <c r="Q486" s="169">
        <f>IFERROR(MATCH(J486,'Final List'!$N$4:$N$252,0),0)</f>
        <v>0</v>
      </c>
      <c r="R486" s="169">
        <f>IFERROR(MATCH(J486,'Final List'!$P$4:$P$252,0),0)</f>
        <v>0</v>
      </c>
      <c r="S486" s="169">
        <f t="shared" si="31"/>
        <v>0</v>
      </c>
      <c r="T486" s="169" t="s">
        <v>68</v>
      </c>
      <c r="V486" s="169" t="str">
        <f t="shared" si="29"/>
        <v>TAÑEZA 4</v>
      </c>
      <c r="W486" s="169" t="s">
        <v>2713</v>
      </c>
    </row>
    <row r="487" spans="2:23" x14ac:dyDescent="0.25">
      <c r="B487" s="169" t="s">
        <v>96</v>
      </c>
      <c r="C487" s="169" t="s">
        <v>42</v>
      </c>
      <c r="D487" s="169" t="s">
        <v>5741</v>
      </c>
      <c r="E487" s="169" t="s">
        <v>61</v>
      </c>
      <c r="F487" s="245" t="str">
        <f t="shared" si="30"/>
        <v>Dhoz 71</v>
      </c>
      <c r="G487" s="169" t="s">
        <v>5057</v>
      </c>
      <c r="I487" s="169" t="str">
        <f t="shared" si="28"/>
        <v>L09_JV_035E_DW</v>
      </c>
      <c r="J487" s="169" t="s">
        <v>6435</v>
      </c>
      <c r="K487" s="169">
        <f>IFERROR(MATCH(J487,'Final List'!$B$4:$B$252,0),0)</f>
        <v>0</v>
      </c>
      <c r="L487" s="169">
        <f>IFERROR(MATCH(J487,'Final List'!$D$4:$D$252,0),0)</f>
        <v>0</v>
      </c>
      <c r="M487" s="169">
        <f>IFERROR(MATCH(J487,'Final List'!$F$4:$F$251,0),0)</f>
        <v>0</v>
      </c>
      <c r="N487" s="169">
        <f>IFERROR(MATCH(J487,'Final List'!$H$4:$H$252,0),0)</f>
        <v>0</v>
      </c>
      <c r="O487" s="169">
        <f>IFERROR(MATCH(J487,'Final List'!$J$4:$J$252,0),0)</f>
        <v>0</v>
      </c>
      <c r="P487" s="169">
        <f>IFERROR(MATCH(J487,'Final List'!$L$4:$L$252,0),0)</f>
        <v>0</v>
      </c>
      <c r="Q487" s="169">
        <f>IFERROR(MATCH(J487,'Final List'!$N$4:$N$252,0),0)</f>
        <v>0</v>
      </c>
      <c r="R487" s="169">
        <f>IFERROR(MATCH(J487,'Final List'!$P$4:$P$252,0),0)</f>
        <v>0</v>
      </c>
      <c r="S487" s="169">
        <f t="shared" si="31"/>
        <v>0</v>
      </c>
      <c r="V487" s="169" t="str">
        <f t="shared" si="29"/>
        <v>DELOS REYES V 1</v>
      </c>
      <c r="W487" s="169" t="s">
        <v>8896</v>
      </c>
    </row>
    <row r="488" spans="2:23" x14ac:dyDescent="0.25">
      <c r="B488" s="169" t="s">
        <v>96</v>
      </c>
      <c r="C488" s="169" t="s">
        <v>43</v>
      </c>
      <c r="D488" s="169" t="s">
        <v>113</v>
      </c>
      <c r="E488" s="169" t="s">
        <v>61</v>
      </c>
      <c r="F488" s="245" t="str">
        <f t="shared" si="30"/>
        <v>Dhoz 71</v>
      </c>
      <c r="G488" s="169" t="s">
        <v>337</v>
      </c>
      <c r="I488" s="169" t="str">
        <f t="shared" si="28"/>
        <v>L09_GHVSPLIT_001W_DW</v>
      </c>
      <c r="J488" s="169" t="s">
        <v>6439</v>
      </c>
      <c r="K488" s="169">
        <f>IFERROR(MATCH(J488,'Final List'!$B$4:$B$252,0),0)</f>
        <v>0</v>
      </c>
      <c r="L488" s="169">
        <f>IFERROR(MATCH(J488,'Final List'!$D$4:$D$252,0),0)</f>
        <v>0</v>
      </c>
      <c r="M488" s="169">
        <f>IFERROR(MATCH(J488,'Final List'!$F$4:$F$251,0),0)</f>
        <v>0</v>
      </c>
      <c r="N488" s="169">
        <f>IFERROR(MATCH(J488,'Final List'!$H$4:$H$252,0),0)</f>
        <v>0</v>
      </c>
      <c r="O488" s="169">
        <f>IFERROR(MATCH(J488,'Final List'!$J$4:$J$252,0),0)</f>
        <v>0</v>
      </c>
      <c r="P488" s="169">
        <f>IFERROR(MATCH(J488,'Final List'!$L$4:$L$252,0),0)</f>
        <v>0</v>
      </c>
      <c r="Q488" s="169">
        <f>IFERROR(MATCH(J488,'Final List'!$N$4:$N$252,0),0)</f>
        <v>0</v>
      </c>
      <c r="R488" s="169">
        <f>IFERROR(MATCH(J488,'Final List'!$P$4:$P$252,0),0)</f>
        <v>0</v>
      </c>
      <c r="S488" s="169">
        <f t="shared" si="31"/>
        <v>0</v>
      </c>
      <c r="V488" s="169" t="str">
        <f t="shared" si="29"/>
        <v>BALANGHIG 2</v>
      </c>
      <c r="W488" s="169" t="s">
        <v>8896</v>
      </c>
    </row>
    <row r="489" spans="2:23" x14ac:dyDescent="0.25">
      <c r="B489" s="169" t="s">
        <v>96</v>
      </c>
      <c r="C489" s="169" t="s">
        <v>45</v>
      </c>
      <c r="D489" s="169" t="s">
        <v>119</v>
      </c>
      <c r="E489" s="169" t="s">
        <v>19</v>
      </c>
      <c r="F489" s="245" t="str">
        <f t="shared" si="30"/>
        <v>DVR 72</v>
      </c>
      <c r="G489" s="169" t="s">
        <v>345</v>
      </c>
      <c r="H489" s="169" t="s">
        <v>746</v>
      </c>
      <c r="I489" s="169" t="str">
        <f t="shared" si="28"/>
        <v>L09_DPVE_012E_RAISE</v>
      </c>
      <c r="J489" s="169" t="s">
        <v>6436</v>
      </c>
      <c r="K489" s="169">
        <f>IFERROR(MATCH(J489,'Final List'!$B$4:$B$252,0),0)</f>
        <v>0</v>
      </c>
      <c r="L489" s="169">
        <f>IFERROR(MATCH(J489,'Final List'!$D$4:$D$252,0),0)</f>
        <v>0</v>
      </c>
      <c r="M489" s="169">
        <f>IFERROR(MATCH(J489,'Final List'!$F$4:$F$251,0),0)</f>
        <v>0</v>
      </c>
      <c r="N489" s="169">
        <f>IFERROR(MATCH(J489,'Final List'!$H$4:$H$252,0),0)</f>
        <v>0</v>
      </c>
      <c r="O489" s="169">
        <f>IFERROR(MATCH(J489,'Final List'!$J$4:$J$252,0),0)</f>
        <v>0</v>
      </c>
      <c r="P489" s="169">
        <f>IFERROR(MATCH(J489,'Final List'!$L$4:$L$252,0),0)</f>
        <v>0</v>
      </c>
      <c r="Q489" s="169">
        <f>IFERROR(MATCH(J489,'Final List'!$N$4:$N$252,0),0)</f>
        <v>0</v>
      </c>
      <c r="R489" s="169">
        <f>IFERROR(MATCH(J489,'Final List'!$P$4:$P$252,0),0)</f>
        <v>0</v>
      </c>
      <c r="S489" s="169">
        <f t="shared" si="31"/>
        <v>0</v>
      </c>
      <c r="V489" s="169" t="str">
        <f t="shared" si="29"/>
        <v>CANOY 1</v>
      </c>
      <c r="W489" s="169" t="s">
        <v>2715</v>
      </c>
    </row>
    <row r="490" spans="2:23" x14ac:dyDescent="0.25">
      <c r="B490" s="169" t="s">
        <v>92</v>
      </c>
      <c r="C490" s="169" t="s">
        <v>42</v>
      </c>
      <c r="D490" s="169" t="s">
        <v>128</v>
      </c>
      <c r="E490" s="169" t="s">
        <v>221</v>
      </c>
      <c r="F490" s="245" t="str">
        <f t="shared" si="30"/>
        <v>RobC 80</v>
      </c>
      <c r="G490" s="169" t="s">
        <v>387</v>
      </c>
      <c r="I490" s="169" t="str">
        <f t="shared" si="28"/>
        <v>L05_JV_027E_WINZE STOPE</v>
      </c>
      <c r="J490" s="169" t="s">
        <v>6457</v>
      </c>
      <c r="K490" s="169">
        <f>IFERROR(MATCH(J490,'Final List'!$B$4:$B$252,0),0)</f>
        <v>0</v>
      </c>
      <c r="L490" s="169">
        <f>IFERROR(MATCH(J490,'Final List'!$D$4:$D$252,0),0)</f>
        <v>0</v>
      </c>
      <c r="M490" s="169">
        <f>IFERROR(MATCH(J490,'Final List'!$F$4:$F$251,0),0)</f>
        <v>0</v>
      </c>
      <c r="N490" s="169">
        <f>IFERROR(MATCH(J490,'Final List'!$H$4:$H$252,0),0)</f>
        <v>0</v>
      </c>
      <c r="O490" s="169">
        <f>IFERROR(MATCH(J490,'Final List'!$J$4:$J$252,0),0)</f>
        <v>0</v>
      </c>
      <c r="P490" s="169">
        <f>IFERROR(MATCH(J490,'Final List'!$L$4:$L$252,0),0)</f>
        <v>0</v>
      </c>
      <c r="Q490" s="169">
        <f>IFERROR(MATCH(J490,'Final List'!$N$4:$N$252,0),0)</f>
        <v>0</v>
      </c>
      <c r="R490" s="169">
        <f>IFERROR(MATCH(J490,'Final List'!$P$4:$P$252,0),0)</f>
        <v>0</v>
      </c>
      <c r="S490" s="169">
        <f t="shared" si="31"/>
        <v>0</v>
      </c>
      <c r="T490" s="169" t="s">
        <v>68</v>
      </c>
      <c r="V490" s="169" t="str">
        <f t="shared" si="29"/>
        <v>MAPAYO 1</v>
      </c>
      <c r="W490" s="169" t="s">
        <v>2719</v>
      </c>
    </row>
    <row r="491" spans="2:23" x14ac:dyDescent="0.25">
      <c r="B491" s="169" t="s">
        <v>92</v>
      </c>
      <c r="C491" s="169" t="s">
        <v>41</v>
      </c>
      <c r="D491" s="169" t="s">
        <v>106</v>
      </c>
      <c r="E491" s="169" t="s">
        <v>62</v>
      </c>
      <c r="F491" s="245" t="str">
        <f t="shared" si="30"/>
        <v>RobC 80</v>
      </c>
      <c r="G491" s="169" t="s">
        <v>401</v>
      </c>
      <c r="I491" s="169" t="str">
        <f t="shared" si="28"/>
        <v>L05_CTV_033W_ROBBING</v>
      </c>
      <c r="J491" s="169" t="s">
        <v>6487</v>
      </c>
      <c r="K491" s="169">
        <f>IFERROR(MATCH(J491,'Final List'!$B$4:$B$252,0),0)</f>
        <v>0</v>
      </c>
      <c r="L491" s="169">
        <f>IFERROR(MATCH(J491,'Final List'!$D$4:$D$252,0),0)</f>
        <v>0</v>
      </c>
      <c r="M491" s="169">
        <f>IFERROR(MATCH(J491,'Final List'!$F$4:$F$251,0),0)</f>
        <v>0</v>
      </c>
      <c r="N491" s="169">
        <f>IFERROR(MATCH(J491,'Final List'!$H$4:$H$252,0),0)</f>
        <v>0</v>
      </c>
      <c r="O491" s="169">
        <f>IFERROR(MATCH(J491,'Final List'!$J$4:$J$252,0),0)</f>
        <v>0</v>
      </c>
      <c r="P491" s="169">
        <f>IFERROR(MATCH(J491,'Final List'!$L$4:$L$252,0),0)</f>
        <v>0</v>
      </c>
      <c r="Q491" s="169">
        <f>IFERROR(MATCH(J491,'Final List'!$N$4:$N$252,0),0)</f>
        <v>0</v>
      </c>
      <c r="R491" s="169">
        <f>IFERROR(MATCH(J491,'Final List'!$P$4:$P$252,0),0)</f>
        <v>0</v>
      </c>
      <c r="S491" s="169">
        <f t="shared" si="31"/>
        <v>0</v>
      </c>
      <c r="T491" s="169" t="s">
        <v>48</v>
      </c>
      <c r="V491" s="169" t="str">
        <f t="shared" si="29"/>
        <v>MAPAYO 2</v>
      </c>
      <c r="W491" s="169" t="s">
        <v>236</v>
      </c>
    </row>
    <row r="492" spans="2:23" x14ac:dyDescent="0.25">
      <c r="B492" s="169" t="s">
        <v>92</v>
      </c>
      <c r="C492" s="169" t="s">
        <v>55</v>
      </c>
      <c r="D492" s="169" t="s">
        <v>171</v>
      </c>
      <c r="E492" s="169" t="s">
        <v>6144</v>
      </c>
      <c r="F492" s="245" t="str">
        <f t="shared" si="30"/>
        <v>DVR 72</v>
      </c>
      <c r="G492" s="169" t="s">
        <v>484</v>
      </c>
      <c r="I492" s="169" t="str">
        <f t="shared" si="28"/>
        <v>L05_JVFW_015W_RAISE_ISL</v>
      </c>
      <c r="J492" s="169" t="s">
        <v>6459</v>
      </c>
      <c r="K492" s="169">
        <f>IFERROR(MATCH(J492,'Final List'!$B$4:$B$252,0),0)</f>
        <v>0</v>
      </c>
      <c r="L492" s="169">
        <f>IFERROR(MATCH(J492,'Final List'!$D$4:$D$252,0),0)</f>
        <v>0</v>
      </c>
      <c r="M492" s="169">
        <f>IFERROR(MATCH(J492,'Final List'!$F$4:$F$251,0),0)</f>
        <v>0</v>
      </c>
      <c r="N492" s="169">
        <f>IFERROR(MATCH(J492,'Final List'!$H$4:$H$252,0),0)</f>
        <v>0</v>
      </c>
      <c r="O492" s="169">
        <f>IFERROR(MATCH(J492,'Final List'!$J$4:$J$252,0),0)</f>
        <v>0</v>
      </c>
      <c r="P492" s="169">
        <f>IFERROR(MATCH(J492,'Final List'!$L$4:$L$252,0),0)</f>
        <v>0</v>
      </c>
      <c r="Q492" s="169">
        <f>IFERROR(MATCH(J492,'Final List'!$N$4:$N$252,0),0)</f>
        <v>0</v>
      </c>
      <c r="R492" s="169">
        <f>IFERROR(MATCH(J492,'Final List'!$P$4:$P$252,0),0)</f>
        <v>0</v>
      </c>
      <c r="S492" s="169">
        <f t="shared" si="31"/>
        <v>0</v>
      </c>
      <c r="V492" s="169" t="str">
        <f t="shared" si="29"/>
        <v>COMAINGKING 4</v>
      </c>
      <c r="W492" s="169" t="s">
        <v>2715</v>
      </c>
    </row>
    <row r="493" spans="2:23" x14ac:dyDescent="0.25">
      <c r="B493" s="169" t="s">
        <v>92</v>
      </c>
      <c r="C493" s="169" t="s">
        <v>87</v>
      </c>
      <c r="D493" s="169" t="s">
        <v>101</v>
      </c>
      <c r="E493" s="169" t="s">
        <v>37</v>
      </c>
      <c r="F493" s="245" t="str">
        <f t="shared" si="30"/>
        <v>Dhoz 71</v>
      </c>
      <c r="G493" s="169" t="s">
        <v>5707</v>
      </c>
      <c r="I493" s="169" t="str">
        <f t="shared" si="28"/>
        <v>L05_NONE_023W_XCN</v>
      </c>
      <c r="J493" s="169" t="s">
        <v>6461</v>
      </c>
      <c r="K493" s="169">
        <f>IFERROR(MATCH(J493,'Final List'!$B$4:$B$252,0),0)</f>
        <v>0</v>
      </c>
      <c r="L493" s="169">
        <f>IFERROR(MATCH(J493,'Final List'!$D$4:$D$252,0),0)</f>
        <v>0</v>
      </c>
      <c r="M493" s="169">
        <f>IFERROR(MATCH(J493,'Final List'!$F$4:$F$251,0),0)</f>
        <v>0</v>
      </c>
      <c r="N493" s="169">
        <f>IFERROR(MATCH(J493,'Final List'!$H$4:$H$252,0),0)</f>
        <v>0</v>
      </c>
      <c r="O493" s="169">
        <f>IFERROR(MATCH(J493,'Final List'!$J$4:$J$252,0),0)</f>
        <v>0</v>
      </c>
      <c r="P493" s="169">
        <f>IFERROR(MATCH(J493,'Final List'!$L$4:$L$252,0),0)</f>
        <v>0</v>
      </c>
      <c r="Q493" s="169">
        <f>IFERROR(MATCH(J493,'Final List'!$N$4:$N$252,0),0)</f>
        <v>0</v>
      </c>
      <c r="R493" s="169">
        <f>IFERROR(MATCH(J493,'Final List'!$P$4:$P$252,0),0)</f>
        <v>0</v>
      </c>
      <c r="S493" s="169">
        <f t="shared" si="31"/>
        <v>0</v>
      </c>
      <c r="V493" s="169" t="str">
        <f t="shared" si="29"/>
        <v>SHEPHERD AF 2</v>
      </c>
      <c r="W493" s="169" t="s">
        <v>8897</v>
      </c>
    </row>
    <row r="494" spans="2:23" x14ac:dyDescent="0.25">
      <c r="B494" s="178" t="s">
        <v>91</v>
      </c>
      <c r="C494" s="178" t="s">
        <v>56</v>
      </c>
      <c r="D494" s="178" t="s">
        <v>5912</v>
      </c>
      <c r="E494" s="178" t="s">
        <v>441</v>
      </c>
      <c r="F494" s="245" t="str">
        <f t="shared" si="30"/>
        <v>RobC 80</v>
      </c>
      <c r="G494" s="169" t="s">
        <v>5713</v>
      </c>
      <c r="I494" s="169" t="str">
        <f t="shared" si="28"/>
        <v>L04_GHVFW_019E_WINZE STOPE PREP</v>
      </c>
      <c r="J494" s="169" t="s">
        <v>6463</v>
      </c>
      <c r="K494" s="169">
        <f>IFERROR(MATCH(J494,'Final List'!$B$4:$B$252,0),0)</f>
        <v>0</v>
      </c>
      <c r="L494" s="169">
        <f>IFERROR(MATCH(J494,'Final List'!$D$4:$D$252,0),0)</f>
        <v>0</v>
      </c>
      <c r="M494" s="169">
        <f>IFERROR(MATCH(J494,'Final List'!$F$4:$F$251,0),0)</f>
        <v>0</v>
      </c>
      <c r="N494" s="169">
        <f>IFERROR(MATCH(J494,'Final List'!$H$4:$H$252,0),0)</f>
        <v>0</v>
      </c>
      <c r="O494" s="169">
        <f>IFERROR(MATCH(J494,'Final List'!$J$4:$J$252,0),0)</f>
        <v>0</v>
      </c>
      <c r="P494" s="169">
        <f>IFERROR(MATCH(J494,'Final List'!$L$4:$L$252,0),0)</f>
        <v>0</v>
      </c>
      <c r="Q494" s="169">
        <f>IFERROR(MATCH(J494,'Final List'!$N$4:$N$252,0),0)</f>
        <v>0</v>
      </c>
      <c r="R494" s="169">
        <f>IFERROR(MATCH(J494,'Final List'!$P$4:$P$252,0),0)</f>
        <v>0</v>
      </c>
      <c r="S494" s="169">
        <f t="shared" si="31"/>
        <v>0</v>
      </c>
      <c r="T494" s="169" t="s">
        <v>68</v>
      </c>
      <c r="V494" s="169" t="str">
        <f t="shared" si="29"/>
        <v>SHEPHERD AL 1</v>
      </c>
      <c r="W494" s="169" t="s">
        <v>2716</v>
      </c>
    </row>
    <row r="495" spans="2:23" x14ac:dyDescent="0.25">
      <c r="B495" s="178" t="s">
        <v>91</v>
      </c>
      <c r="C495" s="178" t="s">
        <v>42</v>
      </c>
      <c r="D495" s="178" t="s">
        <v>146</v>
      </c>
      <c r="E495" s="178" t="s">
        <v>6154</v>
      </c>
      <c r="F495" s="245" t="str">
        <f t="shared" si="30"/>
        <v>Dhoz 71</v>
      </c>
      <c r="G495" s="169" t="s">
        <v>311</v>
      </c>
      <c r="I495" s="169" t="str">
        <f t="shared" si="28"/>
        <v>L04_JV_030E_DW_ISL</v>
      </c>
      <c r="J495" s="169" t="s">
        <v>6465</v>
      </c>
      <c r="K495" s="169">
        <f>IFERROR(MATCH(J495,'Final List'!$B$4:$B$252,0),0)</f>
        <v>0</v>
      </c>
      <c r="L495" s="169">
        <f>IFERROR(MATCH(J495,'Final List'!$D$4:$D$252,0),0)</f>
        <v>0</v>
      </c>
      <c r="M495" s="169">
        <f>IFERROR(MATCH(J495,'Final List'!$F$4:$F$251,0),0)</f>
        <v>0</v>
      </c>
      <c r="N495" s="169">
        <f>IFERROR(MATCH(J495,'Final List'!$H$4:$H$252,0),0)</f>
        <v>0</v>
      </c>
      <c r="O495" s="169">
        <f>IFERROR(MATCH(J495,'Final List'!$J$4:$J$252,0),0)</f>
        <v>0</v>
      </c>
      <c r="P495" s="169">
        <f>IFERROR(MATCH(J495,'Final List'!$L$4:$L$252,0),0)</f>
        <v>0</v>
      </c>
      <c r="Q495" s="169">
        <f>IFERROR(MATCH(J495,'Final List'!$N$4:$N$252,0),0)</f>
        <v>0</v>
      </c>
      <c r="R495" s="169">
        <f>IFERROR(MATCH(J495,'Final List'!$P$4:$P$252,0),0)</f>
        <v>0</v>
      </c>
      <c r="S495" s="169">
        <f t="shared" si="31"/>
        <v>0</v>
      </c>
      <c r="V495" s="169" t="str">
        <f t="shared" si="29"/>
        <v>MARTINEZ DN 2</v>
      </c>
      <c r="W495" s="169" t="s">
        <v>2708</v>
      </c>
    </row>
    <row r="496" spans="2:23" x14ac:dyDescent="0.25">
      <c r="B496" s="169" t="s">
        <v>258</v>
      </c>
      <c r="C496" s="169" t="s">
        <v>45</v>
      </c>
      <c r="D496" s="169" t="s">
        <v>143</v>
      </c>
      <c r="E496" s="169" t="s">
        <v>36</v>
      </c>
      <c r="F496" s="245" t="str">
        <f t="shared" si="30"/>
        <v>StpS 77</v>
      </c>
      <c r="G496" s="169" t="s">
        <v>17</v>
      </c>
      <c r="I496" s="169" t="str">
        <f t="shared" si="28"/>
        <v>L10_DPVE_032E_STOPE</v>
      </c>
      <c r="J496" s="169" t="s">
        <v>6468</v>
      </c>
      <c r="K496" s="169">
        <f>IFERROR(MATCH(J496,'Final List'!$B$4:$B$252,0),0)</f>
        <v>0</v>
      </c>
      <c r="L496" s="169">
        <f>IFERROR(MATCH(J496,'Final List'!$D$4:$D$252,0),0)</f>
        <v>0</v>
      </c>
      <c r="M496" s="169">
        <f>IFERROR(MATCH(J496,'Final List'!$F$4:$F$251,0),0)</f>
        <v>0</v>
      </c>
      <c r="N496" s="169">
        <f>IFERROR(MATCH(J496,'Final List'!$H$4:$H$252,0),0)</f>
        <v>0</v>
      </c>
      <c r="O496" s="169">
        <f>IFERROR(MATCH(J496,'Final List'!$J$4:$J$252,0),0)</f>
        <v>0</v>
      </c>
      <c r="P496" s="169">
        <f>IFERROR(MATCH(J496,'Final List'!$L$4:$L$252,0),0)</f>
        <v>0</v>
      </c>
      <c r="Q496" s="169">
        <f>IFERROR(MATCH(J496,'Final List'!$N$4:$N$252,0),0)</f>
        <v>0</v>
      </c>
      <c r="R496" s="169">
        <f>IFERROR(MATCH(J496,'Final List'!$P$4:$P$252,0),0)</f>
        <v>0</v>
      </c>
      <c r="S496" s="169">
        <f t="shared" si="31"/>
        <v>0</v>
      </c>
      <c r="T496" s="169" t="s">
        <v>68</v>
      </c>
      <c r="V496" s="169" t="str">
        <f t="shared" si="29"/>
        <v>TAÑEZA</v>
      </c>
      <c r="W496" s="169" t="s">
        <v>2711</v>
      </c>
    </row>
    <row r="497" spans="2:23" x14ac:dyDescent="0.25">
      <c r="B497" s="178" t="s">
        <v>94</v>
      </c>
      <c r="C497" s="178" t="s">
        <v>41</v>
      </c>
      <c r="D497" s="178" t="s">
        <v>129</v>
      </c>
      <c r="E497" s="178" t="s">
        <v>62</v>
      </c>
      <c r="F497" s="245" t="str">
        <f t="shared" si="30"/>
        <v>RobC 80</v>
      </c>
      <c r="G497" s="169" t="s">
        <v>344</v>
      </c>
      <c r="I497" s="169" t="str">
        <f t="shared" si="28"/>
        <v>L07_CTV_010E_ROBBING</v>
      </c>
      <c r="J497" s="169" t="s">
        <v>3365</v>
      </c>
      <c r="K497" s="169">
        <f>IFERROR(MATCH(J497,'Final List'!$B$4:$B$252,0),0)</f>
        <v>0</v>
      </c>
      <c r="L497" s="169">
        <f>IFERROR(MATCH(J497,'Final List'!$D$4:$D$252,0),0)</f>
        <v>0</v>
      </c>
      <c r="M497" s="169">
        <f>IFERROR(MATCH(J497,'Final List'!$F$4:$F$251,0),0)</f>
        <v>0</v>
      </c>
      <c r="N497" s="169">
        <f>IFERROR(MATCH(J497,'Final List'!$H$4:$H$252,0),0)</f>
        <v>0</v>
      </c>
      <c r="O497" s="169">
        <f>IFERROR(MATCH(J497,'Final List'!$J$4:$J$252,0),0)</f>
        <v>0</v>
      </c>
      <c r="P497" s="169">
        <f>IFERROR(MATCH(J497,'Final List'!$L$4:$L$252,0),0)</f>
        <v>0</v>
      </c>
      <c r="Q497" s="169">
        <f>IFERROR(MATCH(J497,'Final List'!$N$4:$N$252,0),0)</f>
        <v>0</v>
      </c>
      <c r="R497" s="169">
        <f>IFERROR(MATCH(J497,'Final List'!$P$4:$P$252,0),0)</f>
        <v>0</v>
      </c>
      <c r="S497" s="169">
        <f t="shared" si="31"/>
        <v>0</v>
      </c>
      <c r="T497" s="169" t="s">
        <v>48</v>
      </c>
      <c r="V497" s="169" t="str">
        <f t="shared" si="29"/>
        <v>UDLOS 1</v>
      </c>
      <c r="W497" s="169" t="s">
        <v>236</v>
      </c>
    </row>
    <row r="498" spans="2:23" x14ac:dyDescent="0.25">
      <c r="B498" s="169" t="s">
        <v>96</v>
      </c>
      <c r="C498" s="169" t="s">
        <v>46</v>
      </c>
      <c r="D498" s="169" t="s">
        <v>5601</v>
      </c>
      <c r="E498" s="169" t="s">
        <v>19</v>
      </c>
      <c r="F498" s="245" t="str">
        <f t="shared" si="30"/>
        <v>DVR 72</v>
      </c>
      <c r="G498" s="169" t="s">
        <v>5778</v>
      </c>
      <c r="I498" s="169" t="str">
        <f t="shared" si="28"/>
        <v>L09_DPVE2_026E_RAISE</v>
      </c>
      <c r="J498" s="169" t="s">
        <v>6472</v>
      </c>
      <c r="K498" s="169">
        <f>IFERROR(MATCH(J498,'Final List'!$B$4:$B$252,0),0)</f>
        <v>0</v>
      </c>
      <c r="L498" s="169">
        <f>IFERROR(MATCH(J498,'Final List'!$D$4:$D$252,0),0)</f>
        <v>0</v>
      </c>
      <c r="M498" s="169">
        <f>IFERROR(MATCH(J498,'Final List'!$F$4:$F$251,0),0)</f>
        <v>0</v>
      </c>
      <c r="N498" s="169">
        <f>IFERROR(MATCH(J498,'Final List'!$H$4:$H$252,0),0)</f>
        <v>0</v>
      </c>
      <c r="O498" s="169">
        <f>IFERROR(MATCH(J498,'Final List'!$J$4:$J$252,0),0)</f>
        <v>0</v>
      </c>
      <c r="P498" s="169">
        <f>IFERROR(MATCH(J498,'Final List'!$L$4:$L$252,0),0)</f>
        <v>0</v>
      </c>
      <c r="Q498" s="169">
        <f>IFERROR(MATCH(J498,'Final List'!$N$4:$N$252,0),0)</f>
        <v>0</v>
      </c>
      <c r="R498" s="169">
        <f>IFERROR(MATCH(J498,'Final List'!$P$4:$P$252,0),0)</f>
        <v>0</v>
      </c>
      <c r="S498" s="169">
        <f t="shared" si="31"/>
        <v>0</v>
      </c>
      <c r="V498" s="169" t="str">
        <f t="shared" si="29"/>
        <v>REBOTE, JONATHAN 1</v>
      </c>
      <c r="W498" s="169" t="s">
        <v>2715</v>
      </c>
    </row>
    <row r="499" spans="2:23" x14ac:dyDescent="0.25">
      <c r="B499" s="178" t="s">
        <v>94</v>
      </c>
      <c r="C499" s="178" t="s">
        <v>45</v>
      </c>
      <c r="D499" s="178" t="s">
        <v>118</v>
      </c>
      <c r="E499" s="178" t="s">
        <v>19</v>
      </c>
      <c r="F499" s="245" t="str">
        <f t="shared" si="30"/>
        <v>DVR 72</v>
      </c>
      <c r="G499" s="169" t="s">
        <v>5980</v>
      </c>
      <c r="I499" s="169" t="str">
        <f t="shared" si="28"/>
        <v>L07_DPVE_014E_RAISE</v>
      </c>
      <c r="J499" s="169" t="s">
        <v>6478</v>
      </c>
      <c r="K499" s="169">
        <f>IFERROR(MATCH(J499,'Final List'!$B$4:$B$252,0),0)</f>
        <v>0</v>
      </c>
      <c r="L499" s="169">
        <f>IFERROR(MATCH(J499,'Final List'!$D$4:$D$252,0),0)</f>
        <v>0</v>
      </c>
      <c r="M499" s="169">
        <f>IFERROR(MATCH(J499,'Final List'!$F$4:$F$251,0),0)</f>
        <v>0</v>
      </c>
      <c r="N499" s="169">
        <f>IFERROR(MATCH(J499,'Final List'!$H$4:$H$252,0),0)</f>
        <v>0</v>
      </c>
      <c r="O499" s="169">
        <f>IFERROR(MATCH(J499,'Final List'!$J$4:$J$252,0),0)</f>
        <v>0</v>
      </c>
      <c r="P499" s="169">
        <f>IFERROR(MATCH(J499,'Final List'!$L$4:$L$252,0),0)</f>
        <v>0</v>
      </c>
      <c r="Q499" s="169">
        <f>IFERROR(MATCH(J499,'Final List'!$N$4:$N$252,0),0)</f>
        <v>0</v>
      </c>
      <c r="R499" s="169">
        <f>IFERROR(MATCH(J499,'Final List'!$P$4:$P$252,0),0)</f>
        <v>0</v>
      </c>
      <c r="S499" s="169">
        <f t="shared" si="31"/>
        <v>0</v>
      </c>
      <c r="V499" s="169" t="str">
        <f t="shared" si="29"/>
        <v xml:space="preserve">CARIKITAN 2 </v>
      </c>
      <c r="W499" s="169" t="s">
        <v>2715</v>
      </c>
    </row>
    <row r="500" spans="2:23" x14ac:dyDescent="0.25">
      <c r="B500" s="169" t="s">
        <v>95</v>
      </c>
      <c r="C500" s="169" t="s">
        <v>57</v>
      </c>
      <c r="D500" s="169" t="s">
        <v>201</v>
      </c>
      <c r="E500" s="169" t="s">
        <v>19</v>
      </c>
      <c r="F500" s="245" t="str">
        <f t="shared" si="30"/>
        <v>DVR 72</v>
      </c>
      <c r="G500" s="169" t="s">
        <v>5710</v>
      </c>
      <c r="I500" s="169" t="str">
        <f t="shared" si="28"/>
        <v>L08_JVSPLIT_067E_RAISE</v>
      </c>
      <c r="J500" s="169" t="s">
        <v>6481</v>
      </c>
      <c r="K500" s="169">
        <f>IFERROR(MATCH(J500,'Final List'!$B$4:$B$252,0),0)</f>
        <v>0</v>
      </c>
      <c r="L500" s="169">
        <f>IFERROR(MATCH(J500,'Final List'!$D$4:$D$252,0),0)</f>
        <v>0</v>
      </c>
      <c r="M500" s="169">
        <f>IFERROR(MATCH(J500,'Final List'!$F$4:$F$251,0),0)</f>
        <v>0</v>
      </c>
      <c r="N500" s="169">
        <f>IFERROR(MATCH(J500,'Final List'!$H$4:$H$252,0),0)</f>
        <v>0</v>
      </c>
      <c r="O500" s="169">
        <f>IFERROR(MATCH(J500,'Final List'!$J$4:$J$252,0),0)</f>
        <v>0</v>
      </c>
      <c r="P500" s="169">
        <f>IFERROR(MATCH(J500,'Final List'!$L$4:$L$252,0),0)</f>
        <v>0</v>
      </c>
      <c r="Q500" s="169">
        <f>IFERROR(MATCH(J500,'Final List'!$N$4:$N$252,0),0)</f>
        <v>0</v>
      </c>
      <c r="R500" s="169">
        <f>IFERROR(MATCH(J500,'Final List'!$P$4:$P$252,0),0)</f>
        <v>0</v>
      </c>
      <c r="S500" s="169">
        <f t="shared" si="31"/>
        <v>0</v>
      </c>
      <c r="V500" s="169" t="str">
        <f t="shared" si="29"/>
        <v>SHEPHERD AJ 3</v>
      </c>
      <c r="W500" s="169" t="s">
        <v>2715</v>
      </c>
    </row>
    <row r="501" spans="2:23" x14ac:dyDescent="0.25">
      <c r="B501" s="169" t="s">
        <v>95</v>
      </c>
      <c r="C501" s="169" t="s">
        <v>42</v>
      </c>
      <c r="D501" s="169" t="s">
        <v>284</v>
      </c>
      <c r="E501" s="169" t="s">
        <v>62</v>
      </c>
      <c r="F501" s="245" t="str">
        <f t="shared" si="30"/>
        <v>RobS 79</v>
      </c>
      <c r="G501" s="169" t="s">
        <v>368</v>
      </c>
      <c r="I501" s="169" t="str">
        <f t="shared" si="28"/>
        <v>L08_JV_061E_ROBBING</v>
      </c>
      <c r="J501" s="169" t="s">
        <v>6482</v>
      </c>
      <c r="K501" s="169">
        <f>IFERROR(MATCH(J501,'Final List'!$B$4:$B$252,0),0)</f>
        <v>0</v>
      </c>
      <c r="L501" s="169">
        <f>IFERROR(MATCH(J501,'Final List'!$D$4:$D$252,0),0)</f>
        <v>0</v>
      </c>
      <c r="M501" s="169">
        <f>IFERROR(MATCH(J501,'Final List'!$F$4:$F$251,0),0)</f>
        <v>0</v>
      </c>
      <c r="N501" s="169">
        <f>IFERROR(MATCH(J501,'Final List'!$H$4:$H$252,0),0)</f>
        <v>0</v>
      </c>
      <c r="O501" s="169">
        <f>IFERROR(MATCH(J501,'Final List'!$J$4:$J$252,0),0)</f>
        <v>0</v>
      </c>
      <c r="P501" s="169">
        <f>IFERROR(MATCH(J501,'Final List'!$L$4:$L$252,0),0)</f>
        <v>0</v>
      </c>
      <c r="Q501" s="169">
        <f>IFERROR(MATCH(J501,'Final List'!$N$4:$N$252,0),0)</f>
        <v>0</v>
      </c>
      <c r="R501" s="169">
        <f>IFERROR(MATCH(J501,'Final List'!$P$4:$P$252,0),0)</f>
        <v>0</v>
      </c>
      <c r="S501" s="169">
        <f t="shared" si="31"/>
        <v>0</v>
      </c>
      <c r="T501" s="169" t="s">
        <v>68</v>
      </c>
      <c r="V501" s="169" t="str">
        <f t="shared" si="29"/>
        <v>LERIO 2</v>
      </c>
      <c r="W501" s="169" t="s">
        <v>2707</v>
      </c>
    </row>
    <row r="502" spans="2:23" x14ac:dyDescent="0.25">
      <c r="B502" s="169" t="s">
        <v>96</v>
      </c>
      <c r="C502" s="169" t="s">
        <v>39</v>
      </c>
      <c r="D502" s="169" t="s">
        <v>141</v>
      </c>
      <c r="E502" s="169" t="s">
        <v>19</v>
      </c>
      <c r="F502" s="245" t="str">
        <f t="shared" si="30"/>
        <v>DVR 72</v>
      </c>
      <c r="G502" s="169" t="s">
        <v>363</v>
      </c>
      <c r="I502" s="169" t="str">
        <f t="shared" si="28"/>
        <v>L09_JVHW_029E_RAISE</v>
      </c>
      <c r="J502" s="169" t="s">
        <v>6483</v>
      </c>
      <c r="K502" s="169">
        <f>IFERROR(MATCH(J502,'Final List'!$B$4:$B$252,0),0)</f>
        <v>0</v>
      </c>
      <c r="L502" s="169">
        <f>IFERROR(MATCH(J502,'Final List'!$D$4:$D$252,0),0)</f>
        <v>0</v>
      </c>
      <c r="M502" s="169">
        <f>IFERROR(MATCH(J502,'Final List'!$F$4:$F$251,0),0)</f>
        <v>0</v>
      </c>
      <c r="N502" s="169">
        <f>IFERROR(MATCH(J502,'Final List'!$H$4:$H$252,0),0)</f>
        <v>0</v>
      </c>
      <c r="O502" s="169">
        <f>IFERROR(MATCH(J502,'Final List'!$J$4:$J$252,0),0)</f>
        <v>0</v>
      </c>
      <c r="P502" s="169">
        <f>IFERROR(MATCH(J502,'Final List'!$L$4:$L$252,0),0)</f>
        <v>0</v>
      </c>
      <c r="Q502" s="169">
        <f>IFERROR(MATCH(J502,'Final List'!$N$4:$N$252,0),0)</f>
        <v>0</v>
      </c>
      <c r="R502" s="169">
        <f>IFERROR(MATCH(J502,'Final List'!$P$4:$P$252,0),0)</f>
        <v>0</v>
      </c>
      <c r="S502" s="169">
        <f t="shared" si="31"/>
        <v>0</v>
      </c>
      <c r="V502" s="169" t="str">
        <f t="shared" si="29"/>
        <v>BABOR 2</v>
      </c>
      <c r="W502" s="169" t="s">
        <v>2715</v>
      </c>
    </row>
    <row r="503" spans="2:23" x14ac:dyDescent="0.25">
      <c r="B503" s="169" t="s">
        <v>258</v>
      </c>
      <c r="C503" s="169" t="s">
        <v>45</v>
      </c>
      <c r="D503" s="169" t="s">
        <v>5601</v>
      </c>
      <c r="E503" s="169" t="s">
        <v>19</v>
      </c>
      <c r="F503" s="245" t="str">
        <f t="shared" si="30"/>
        <v>DVR 72</v>
      </c>
      <c r="G503" s="169" t="s">
        <v>5775</v>
      </c>
      <c r="H503" s="169" t="s">
        <v>10897</v>
      </c>
      <c r="I503" s="169" t="str">
        <f t="shared" si="28"/>
        <v>L10_DPVE_026E_RAISE</v>
      </c>
      <c r="J503" s="169" t="s">
        <v>6485</v>
      </c>
      <c r="K503" s="169">
        <f>IFERROR(MATCH(J503,'Final List'!$B$4:$B$252,0),0)</f>
        <v>0</v>
      </c>
      <c r="L503" s="169">
        <f>IFERROR(MATCH(J503,'Final List'!$D$4:$D$252,0),0)</f>
        <v>0</v>
      </c>
      <c r="M503" s="169">
        <f>IFERROR(MATCH(J503,'Final List'!$F$4:$F$251,0),0)</f>
        <v>0</v>
      </c>
      <c r="N503" s="169">
        <f>IFERROR(MATCH(J503,'Final List'!$H$4:$H$252,0),0)</f>
        <v>0</v>
      </c>
      <c r="O503" s="169">
        <f>IFERROR(MATCH(J503,'Final List'!$J$4:$J$252,0),0)</f>
        <v>0</v>
      </c>
      <c r="P503" s="169">
        <f>IFERROR(MATCH(J503,'Final List'!$L$4:$L$252,0),0)</f>
        <v>0</v>
      </c>
      <c r="Q503" s="169">
        <f>IFERROR(MATCH(J503,'Final List'!$N$4:$N$252,0),0)</f>
        <v>0</v>
      </c>
      <c r="R503" s="169">
        <f>IFERROR(MATCH(J503,'Final List'!$P$4:$P$252,0),0)</f>
        <v>0</v>
      </c>
      <c r="S503" s="169">
        <f t="shared" si="31"/>
        <v>0</v>
      </c>
      <c r="V503" s="169" t="str">
        <f t="shared" si="29"/>
        <v>SHEPHERD BC 3</v>
      </c>
      <c r="W503" s="169" t="s">
        <v>2715</v>
      </c>
    </row>
    <row r="504" spans="2:23" x14ac:dyDescent="0.25">
      <c r="B504" s="178" t="s">
        <v>91</v>
      </c>
      <c r="C504" s="178" t="s">
        <v>43</v>
      </c>
      <c r="D504" s="178" t="s">
        <v>5992</v>
      </c>
      <c r="E504" s="178" t="s">
        <v>36</v>
      </c>
      <c r="F504" s="245" t="str">
        <f t="shared" si="30"/>
        <v>StpS 77</v>
      </c>
      <c r="G504" s="169" t="s">
        <v>352</v>
      </c>
      <c r="I504" s="169" t="str">
        <f t="shared" si="28"/>
        <v>L04_GHVSPLIT_026W_STOPE</v>
      </c>
      <c r="J504" s="169" t="s">
        <v>6488</v>
      </c>
      <c r="K504" s="169">
        <f>IFERROR(MATCH(J504,'Final List'!$B$4:$B$252,0),0)</f>
        <v>0</v>
      </c>
      <c r="L504" s="169">
        <f>IFERROR(MATCH(J504,'Final List'!$D$4:$D$252,0),0)</f>
        <v>0</v>
      </c>
      <c r="M504" s="169">
        <f>IFERROR(MATCH(J504,'Final List'!$F$4:$F$251,0),0)</f>
        <v>0</v>
      </c>
      <c r="N504" s="169">
        <f>IFERROR(MATCH(J504,'Final List'!$H$4:$H$252,0),0)</f>
        <v>0</v>
      </c>
      <c r="O504" s="169">
        <f>IFERROR(MATCH(J504,'Final List'!$J$4:$J$252,0),0)</f>
        <v>0</v>
      </c>
      <c r="P504" s="169">
        <f>IFERROR(MATCH(J504,'Final List'!$L$4:$L$252,0),0)</f>
        <v>0</v>
      </c>
      <c r="Q504" s="169">
        <f>IFERROR(MATCH(J504,'Final List'!$N$4:$N$252,0),0)</f>
        <v>0</v>
      </c>
      <c r="R504" s="169">
        <f>IFERROR(MATCH(J504,'Final List'!$P$4:$P$252,0),0)</f>
        <v>0</v>
      </c>
      <c r="S504" s="169">
        <f t="shared" si="31"/>
        <v>0</v>
      </c>
      <c r="T504" s="169" t="s">
        <v>68</v>
      </c>
      <c r="V504" s="169" t="str">
        <f t="shared" si="29"/>
        <v>BAÑEZ 5</v>
      </c>
      <c r="W504" s="169" t="s">
        <v>2713</v>
      </c>
    </row>
    <row r="505" spans="2:23" x14ac:dyDescent="0.25">
      <c r="B505" s="178" t="s">
        <v>94</v>
      </c>
      <c r="C505" s="178" t="s">
        <v>42</v>
      </c>
      <c r="D505" s="178" t="s">
        <v>161</v>
      </c>
      <c r="E505" s="178" t="s">
        <v>62</v>
      </c>
      <c r="F505" s="245" t="str">
        <f t="shared" si="30"/>
        <v>RobS 79</v>
      </c>
      <c r="G505" s="169" t="s">
        <v>6432</v>
      </c>
      <c r="I505" s="169" t="str">
        <f t="shared" si="28"/>
        <v>L07_JV_044E_ROBBING</v>
      </c>
      <c r="J505" s="169" t="s">
        <v>6490</v>
      </c>
      <c r="K505" s="169">
        <f>IFERROR(MATCH(J505,'Final List'!$B$4:$B$252,0),0)</f>
        <v>0</v>
      </c>
      <c r="L505" s="169">
        <f>IFERROR(MATCH(J505,'Final List'!$D$4:$D$252,0),0)</f>
        <v>0</v>
      </c>
      <c r="M505" s="169">
        <f>IFERROR(MATCH(J505,'Final List'!$F$4:$F$251,0),0)</f>
        <v>0</v>
      </c>
      <c r="N505" s="169">
        <f>IFERROR(MATCH(J505,'Final List'!$H$4:$H$252,0),0)</f>
        <v>0</v>
      </c>
      <c r="O505" s="169">
        <f>IFERROR(MATCH(J505,'Final List'!$J$4:$J$252,0),0)</f>
        <v>0</v>
      </c>
      <c r="P505" s="169">
        <f>IFERROR(MATCH(J505,'Final List'!$L$4:$L$252,0),0)</f>
        <v>0</v>
      </c>
      <c r="Q505" s="169">
        <f>IFERROR(MATCH(J505,'Final List'!$N$4:$N$252,0),0)</f>
        <v>0</v>
      </c>
      <c r="R505" s="169">
        <f>IFERROR(MATCH(J505,'Final List'!$P$4:$P$252,0),0)</f>
        <v>0</v>
      </c>
      <c r="S505" s="169">
        <f t="shared" si="31"/>
        <v>0</v>
      </c>
      <c r="T505" s="169" t="s">
        <v>68</v>
      </c>
      <c r="V505" s="169" t="str">
        <f t="shared" si="29"/>
        <v>CARIKITAN</v>
      </c>
      <c r="W505" s="169" t="s">
        <v>2707</v>
      </c>
    </row>
    <row r="506" spans="2:23" x14ac:dyDescent="0.25">
      <c r="B506" s="178" t="s">
        <v>93</v>
      </c>
      <c r="C506" s="178" t="s">
        <v>57</v>
      </c>
      <c r="D506" s="178" t="s">
        <v>135</v>
      </c>
      <c r="E506" s="178" t="s">
        <v>19</v>
      </c>
      <c r="F506" s="245" t="str">
        <f t="shared" si="30"/>
        <v>DVR 72</v>
      </c>
      <c r="G506" s="169" t="s">
        <v>350</v>
      </c>
      <c r="I506" s="169" t="str">
        <f t="shared" si="28"/>
        <v>L06_JVSPLIT_034E_RAISE</v>
      </c>
      <c r="J506" s="169" t="s">
        <v>6495</v>
      </c>
      <c r="K506" s="169">
        <f>IFERROR(MATCH(J506,'Final List'!$B$4:$B$252,0),0)</f>
        <v>0</v>
      </c>
      <c r="L506" s="169">
        <f>IFERROR(MATCH(J506,'Final List'!$D$4:$D$252,0),0)</f>
        <v>0</v>
      </c>
      <c r="M506" s="169">
        <f>IFERROR(MATCH(J506,'Final List'!$F$4:$F$251,0),0)</f>
        <v>0</v>
      </c>
      <c r="N506" s="169">
        <f>IFERROR(MATCH(J506,'Final List'!$H$4:$H$252,0),0)</f>
        <v>0</v>
      </c>
      <c r="O506" s="169">
        <f>IFERROR(MATCH(J506,'Final List'!$J$4:$J$252,0),0)</f>
        <v>0</v>
      </c>
      <c r="P506" s="169">
        <f>IFERROR(MATCH(J506,'Final List'!$L$4:$L$252,0),0)</f>
        <v>0</v>
      </c>
      <c r="Q506" s="169">
        <f>IFERROR(MATCH(J506,'Final List'!$N$4:$N$252,0),0)</f>
        <v>0</v>
      </c>
      <c r="R506" s="169">
        <f>IFERROR(MATCH(J506,'Final List'!$P$4:$P$252,0),0)</f>
        <v>0</v>
      </c>
      <c r="S506" s="169">
        <f t="shared" si="31"/>
        <v>0</v>
      </c>
      <c r="V506" s="169" t="str">
        <f t="shared" si="29"/>
        <v>QUIJANO 1</v>
      </c>
      <c r="W506" s="169" t="s">
        <v>2715</v>
      </c>
    </row>
    <row r="507" spans="2:23" x14ac:dyDescent="0.25">
      <c r="B507" s="178" t="s">
        <v>258</v>
      </c>
      <c r="C507" s="178" t="s">
        <v>45</v>
      </c>
      <c r="D507" s="178" t="s">
        <v>164</v>
      </c>
      <c r="E507" s="178" t="s">
        <v>60</v>
      </c>
      <c r="F507" s="245" t="str">
        <f t="shared" si="30"/>
        <v>Dhoz 71</v>
      </c>
      <c r="G507" s="169" t="s">
        <v>352</v>
      </c>
      <c r="I507" s="169" t="str">
        <f t="shared" si="28"/>
        <v>L10_DPVE_064E_DE</v>
      </c>
      <c r="J507" s="169" t="s">
        <v>6496</v>
      </c>
      <c r="K507" s="169">
        <f>IFERROR(MATCH(J507,'Final List'!$B$4:$B$252,0),0)</f>
        <v>0</v>
      </c>
      <c r="L507" s="169">
        <f>IFERROR(MATCH(J507,'Final List'!$D$4:$D$252,0),0)</f>
        <v>0</v>
      </c>
      <c r="M507" s="169">
        <f>IFERROR(MATCH(J507,'Final List'!$F$4:$F$251,0),0)</f>
        <v>0</v>
      </c>
      <c r="N507" s="169">
        <f>IFERROR(MATCH(J507,'Final List'!$H$4:$H$252,0),0)</f>
        <v>0</v>
      </c>
      <c r="O507" s="169">
        <f>IFERROR(MATCH(J507,'Final List'!$J$4:$J$252,0),0)</f>
        <v>0</v>
      </c>
      <c r="P507" s="169">
        <f>IFERROR(MATCH(J507,'Final List'!$L$4:$L$252,0),0)</f>
        <v>0</v>
      </c>
      <c r="Q507" s="169">
        <f>IFERROR(MATCH(J507,'Final List'!$N$4:$N$252,0),0)</f>
        <v>0</v>
      </c>
      <c r="R507" s="169">
        <f>IFERROR(MATCH(J507,'Final List'!$P$4:$P$252,0),0)</f>
        <v>0</v>
      </c>
      <c r="S507" s="169">
        <f t="shared" si="31"/>
        <v>0</v>
      </c>
      <c r="V507" s="169" t="str">
        <f t="shared" si="29"/>
        <v>BAÑEZ 5</v>
      </c>
      <c r="W507" s="169" t="s">
        <v>8896</v>
      </c>
    </row>
    <row r="508" spans="2:23" x14ac:dyDescent="0.25">
      <c r="B508" s="169" t="s">
        <v>258</v>
      </c>
      <c r="C508" s="169" t="s">
        <v>45</v>
      </c>
      <c r="D508" s="169" t="s">
        <v>226</v>
      </c>
      <c r="E508" s="169" t="s">
        <v>19</v>
      </c>
      <c r="F508" s="245" t="str">
        <f t="shared" si="30"/>
        <v>DVR 72</v>
      </c>
      <c r="G508" s="169" t="s">
        <v>5697</v>
      </c>
      <c r="I508" s="169" t="str">
        <f t="shared" si="28"/>
        <v>L10_DPVE_074E_RAISE</v>
      </c>
      <c r="J508" s="169" t="s">
        <v>6502</v>
      </c>
      <c r="K508" s="169">
        <f>IFERROR(MATCH(J508,'Final List'!$B$4:$B$252,0),0)</f>
        <v>0</v>
      </c>
      <c r="L508" s="169">
        <f>IFERROR(MATCH(J508,'Final List'!$D$4:$D$252,0),0)</f>
        <v>0</v>
      </c>
      <c r="M508" s="169">
        <f>IFERROR(MATCH(J508,'Final List'!$F$4:$F$251,0),0)</f>
        <v>0</v>
      </c>
      <c r="N508" s="169">
        <f>IFERROR(MATCH(J508,'Final List'!$H$4:$H$252,0),0)</f>
        <v>0</v>
      </c>
      <c r="O508" s="169">
        <f>IFERROR(MATCH(J508,'Final List'!$J$4:$J$252,0),0)</f>
        <v>0</v>
      </c>
      <c r="P508" s="169">
        <f>IFERROR(MATCH(J508,'Final List'!$L$4:$L$252,0),0)</f>
        <v>0</v>
      </c>
      <c r="Q508" s="169">
        <f>IFERROR(MATCH(J508,'Final List'!$N$4:$N$252,0),0)</f>
        <v>0</v>
      </c>
      <c r="R508" s="169">
        <f>IFERROR(MATCH(J508,'Final List'!$P$4:$P$252,0),0)</f>
        <v>0</v>
      </c>
      <c r="S508" s="169">
        <f t="shared" si="31"/>
        <v>0</v>
      </c>
      <c r="V508" s="169" t="str">
        <f t="shared" si="29"/>
        <v>OLIVEROS 1</v>
      </c>
      <c r="W508" s="169" t="s">
        <v>2715</v>
      </c>
    </row>
    <row r="509" spans="2:23" x14ac:dyDescent="0.25">
      <c r="B509" s="169" t="s">
        <v>94</v>
      </c>
      <c r="C509" s="169" t="s">
        <v>38</v>
      </c>
      <c r="D509" s="169" t="s">
        <v>104</v>
      </c>
      <c r="E509" s="169" t="s">
        <v>19</v>
      </c>
      <c r="F509" s="245" t="str">
        <f t="shared" si="30"/>
        <v>DVR 72</v>
      </c>
      <c r="G509" s="169" t="s">
        <v>5770</v>
      </c>
      <c r="I509" s="169" t="str">
        <f t="shared" si="28"/>
        <v>L07_GHV_029W_RAISE</v>
      </c>
      <c r="J509" s="169" t="s">
        <v>6532</v>
      </c>
      <c r="K509" s="169">
        <f>IFERROR(MATCH(J509,'Final List'!$B$4:$B$252,0),0)</f>
        <v>0</v>
      </c>
      <c r="L509" s="169">
        <f>IFERROR(MATCH(J509,'Final List'!$D$4:$D$252,0),0)</f>
        <v>0</v>
      </c>
      <c r="M509" s="169">
        <f>IFERROR(MATCH(J509,'Final List'!$F$4:$F$251,0),0)</f>
        <v>0</v>
      </c>
      <c r="N509" s="169">
        <f>IFERROR(MATCH(J509,'Final List'!$H$4:$H$252,0),0)</f>
        <v>0</v>
      </c>
      <c r="O509" s="169">
        <f>IFERROR(MATCH(J509,'Final List'!$J$4:$J$252,0),0)</f>
        <v>0</v>
      </c>
      <c r="P509" s="169">
        <f>IFERROR(MATCH(J509,'Final List'!$L$4:$L$252,0),0)</f>
        <v>0</v>
      </c>
      <c r="Q509" s="169">
        <f>IFERROR(MATCH(J509,'Final List'!$N$4:$N$252,0),0)</f>
        <v>0</v>
      </c>
      <c r="R509" s="169">
        <f>IFERROR(MATCH(J509,'Final List'!$P$4:$P$252,0),0)</f>
        <v>0</v>
      </c>
      <c r="S509" s="169">
        <f t="shared" si="31"/>
        <v>0</v>
      </c>
      <c r="V509" s="169" t="str">
        <f t="shared" si="29"/>
        <v>SHEPHERD AK 2</v>
      </c>
      <c r="W509" s="169" t="s">
        <v>2715</v>
      </c>
    </row>
    <row r="510" spans="2:23" x14ac:dyDescent="0.25">
      <c r="B510" s="178" t="s">
        <v>92</v>
      </c>
      <c r="C510" s="178" t="s">
        <v>45</v>
      </c>
      <c r="D510" s="178" t="s">
        <v>179</v>
      </c>
      <c r="E510" s="178" t="s">
        <v>60</v>
      </c>
      <c r="F510" s="245" t="str">
        <f t="shared" si="30"/>
        <v>Dhoz 71</v>
      </c>
      <c r="G510" s="169" t="s">
        <v>3659</v>
      </c>
      <c r="I510" s="169" t="str">
        <f t="shared" si="28"/>
        <v>L05_DPVE_050E_DE</v>
      </c>
      <c r="J510" s="169" t="s">
        <v>6501</v>
      </c>
      <c r="K510" s="169">
        <f>IFERROR(MATCH(J510,'Final List'!$B$4:$B$252,0),0)</f>
        <v>0</v>
      </c>
      <c r="L510" s="169">
        <f>IFERROR(MATCH(J510,'Final List'!$D$4:$D$252,0),0)</f>
        <v>0</v>
      </c>
      <c r="M510" s="169">
        <f>IFERROR(MATCH(J510,'Final List'!$F$4:$F$251,0),0)</f>
        <v>0</v>
      </c>
      <c r="N510" s="169">
        <f>IFERROR(MATCH(J510,'Final List'!$H$4:$H$252,0),0)</f>
        <v>0</v>
      </c>
      <c r="O510" s="169">
        <f>IFERROR(MATCH(J510,'Final List'!$J$4:$J$252,0),0)</f>
        <v>0</v>
      </c>
      <c r="P510" s="169">
        <f>IFERROR(MATCH(J510,'Final List'!$L$4:$L$252,0),0)</f>
        <v>0</v>
      </c>
      <c r="Q510" s="169">
        <f>IFERROR(MATCH(J510,'Final List'!$N$4:$N$252,0),0)</f>
        <v>0</v>
      </c>
      <c r="R510" s="169">
        <f>IFERROR(MATCH(J510,'Final List'!$P$4:$P$252,0),0)</f>
        <v>0</v>
      </c>
      <c r="S510" s="169">
        <f t="shared" si="31"/>
        <v>0</v>
      </c>
      <c r="V510" s="169" t="str">
        <f t="shared" si="29"/>
        <v>SHEPHERD AD 2</v>
      </c>
      <c r="W510" s="169" t="s">
        <v>8895</v>
      </c>
    </row>
    <row r="511" spans="2:23" x14ac:dyDescent="0.25">
      <c r="B511" s="178" t="s">
        <v>95</v>
      </c>
      <c r="C511" s="178" t="s">
        <v>39</v>
      </c>
      <c r="D511" s="178" t="s">
        <v>169</v>
      </c>
      <c r="E511" s="178" t="s">
        <v>19</v>
      </c>
      <c r="F511" s="245" t="str">
        <f t="shared" si="30"/>
        <v>DVR 72</v>
      </c>
      <c r="G511" s="169" t="s">
        <v>1376</v>
      </c>
      <c r="I511" s="169" t="str">
        <f t="shared" si="28"/>
        <v>L08_JVHW_065E_RAISE</v>
      </c>
      <c r="J511" s="169" t="s">
        <v>4784</v>
      </c>
      <c r="K511" s="169">
        <f>IFERROR(MATCH(J511,'Final List'!$B$4:$B$252,0),0)</f>
        <v>0</v>
      </c>
      <c r="L511" s="169">
        <f>IFERROR(MATCH(J511,'Final List'!$D$4:$D$252,0),0)</f>
        <v>0</v>
      </c>
      <c r="M511" s="169">
        <f>IFERROR(MATCH(J511,'Final List'!$F$4:$F$251,0),0)</f>
        <v>0</v>
      </c>
      <c r="N511" s="169">
        <f>IFERROR(MATCH(J511,'Final List'!$H$4:$H$252,0),0)</f>
        <v>0</v>
      </c>
      <c r="O511" s="169">
        <f>IFERROR(MATCH(J511,'Final List'!$J$4:$J$252,0),0)</f>
        <v>0</v>
      </c>
      <c r="P511" s="169">
        <f>IFERROR(MATCH(J511,'Final List'!$L$4:$L$252,0),0)</f>
        <v>0</v>
      </c>
      <c r="Q511" s="169">
        <f>IFERROR(MATCH(J511,'Final List'!$N$4:$N$252,0),0)</f>
        <v>0</v>
      </c>
      <c r="R511" s="169">
        <f>IFERROR(MATCH(J511,'Final List'!$P$4:$P$252,0),0)</f>
        <v>0</v>
      </c>
      <c r="S511" s="169">
        <f t="shared" si="31"/>
        <v>0</v>
      </c>
      <c r="V511" s="169" t="str">
        <f t="shared" si="29"/>
        <v>LERIO</v>
      </c>
      <c r="W511" s="169" t="s">
        <v>2715</v>
      </c>
    </row>
    <row r="512" spans="2:23" x14ac:dyDescent="0.25">
      <c r="B512" s="178" t="s">
        <v>95</v>
      </c>
      <c r="C512" s="178" t="s">
        <v>45</v>
      </c>
      <c r="D512" s="178" t="s">
        <v>164</v>
      </c>
      <c r="E512" s="178" t="s">
        <v>19</v>
      </c>
      <c r="F512" s="245" t="str">
        <f t="shared" si="30"/>
        <v>DVR 72</v>
      </c>
      <c r="G512" s="169" t="s">
        <v>386</v>
      </c>
      <c r="H512" s="169" t="s">
        <v>6925</v>
      </c>
      <c r="I512" s="169" t="str">
        <f t="shared" si="28"/>
        <v>L08_DPVE_064E_RAISE</v>
      </c>
      <c r="J512" s="169" t="s">
        <v>6401</v>
      </c>
      <c r="K512" s="169">
        <f>IFERROR(MATCH(J512,'Final List'!$B$4:$B$252,0),0)</f>
        <v>0</v>
      </c>
      <c r="L512" s="169">
        <f>IFERROR(MATCH(J512,'Final List'!$D$4:$D$252,0),0)</f>
        <v>0</v>
      </c>
      <c r="M512" s="169">
        <f>IFERROR(MATCH(J512,'Final List'!$F$4:$F$251,0),0)</f>
        <v>0</v>
      </c>
      <c r="N512" s="169">
        <f>IFERROR(MATCH(J512,'Final List'!$H$4:$H$252,0),0)</f>
        <v>0</v>
      </c>
      <c r="O512" s="169">
        <f>IFERROR(MATCH(J512,'Final List'!$J$4:$J$252,0),0)</f>
        <v>0</v>
      </c>
      <c r="P512" s="169">
        <f>IFERROR(MATCH(J512,'Final List'!$L$4:$L$252,0),0)</f>
        <v>0</v>
      </c>
      <c r="Q512" s="169">
        <f>IFERROR(MATCH(J512,'Final List'!$N$4:$N$252,0),0)</f>
        <v>0</v>
      </c>
      <c r="R512" s="169">
        <f>IFERROR(MATCH(J512,'Final List'!$P$4:$P$252,0),0)</f>
        <v>0</v>
      </c>
      <c r="S512" s="169">
        <f t="shared" si="31"/>
        <v>0</v>
      </c>
      <c r="V512" s="169" t="str">
        <f t="shared" si="29"/>
        <v>CAPUYAN 1</v>
      </c>
      <c r="W512" s="169" t="s">
        <v>2715</v>
      </c>
    </row>
    <row r="513" spans="2:23" x14ac:dyDescent="0.25">
      <c r="B513" s="178" t="s">
        <v>95</v>
      </c>
      <c r="C513" s="178" t="s">
        <v>38</v>
      </c>
      <c r="D513" s="178" t="s">
        <v>171</v>
      </c>
      <c r="E513" s="178" t="s">
        <v>20</v>
      </c>
      <c r="F513" s="245" t="str">
        <f t="shared" si="30"/>
        <v>DVW 74</v>
      </c>
      <c r="G513" s="169" t="s">
        <v>6503</v>
      </c>
      <c r="I513" s="169" t="str">
        <f t="shared" si="28"/>
        <v>L08_GHV_015W_WINZE</v>
      </c>
      <c r="J513" s="169" t="s">
        <v>3276</v>
      </c>
      <c r="K513" s="169">
        <f>IFERROR(MATCH(J513,'Final List'!$B$4:$B$252,0),0)</f>
        <v>0</v>
      </c>
      <c r="L513" s="169">
        <f>IFERROR(MATCH(J513,'Final List'!$D$4:$D$252,0),0)</f>
        <v>0</v>
      </c>
      <c r="M513" s="169">
        <f>IFERROR(MATCH(J513,'Final List'!$F$4:$F$251,0),0)</f>
        <v>0</v>
      </c>
      <c r="N513" s="169">
        <f>IFERROR(MATCH(J513,'Final List'!$H$4:$H$252,0),0)</f>
        <v>0</v>
      </c>
      <c r="O513" s="169">
        <f>IFERROR(MATCH(J513,'Final List'!$J$4:$J$252,0),0)</f>
        <v>0</v>
      </c>
      <c r="P513" s="169">
        <f>IFERROR(MATCH(J513,'Final List'!$L$4:$L$252,0),0)</f>
        <v>0</v>
      </c>
      <c r="Q513" s="169">
        <f>IFERROR(MATCH(J513,'Final List'!$N$4:$N$252,0),0)</f>
        <v>0</v>
      </c>
      <c r="R513" s="169">
        <f>IFERROR(MATCH(J513,'Final List'!$P$4:$P$252,0),0)</f>
        <v>0</v>
      </c>
      <c r="S513" s="169">
        <f t="shared" si="31"/>
        <v>0</v>
      </c>
      <c r="V513" s="169" t="str">
        <f t="shared" si="29"/>
        <v>ANGCOG 1</v>
      </c>
      <c r="W513" s="169" t="s">
        <v>2706</v>
      </c>
    </row>
    <row r="514" spans="2:23" x14ac:dyDescent="0.25">
      <c r="B514" s="178" t="s">
        <v>91</v>
      </c>
      <c r="C514" s="178" t="s">
        <v>41</v>
      </c>
      <c r="D514" s="178" t="s">
        <v>116</v>
      </c>
      <c r="E514" s="178" t="s">
        <v>36</v>
      </c>
      <c r="F514" s="245" t="str">
        <f t="shared" si="30"/>
        <v>StpS 77</v>
      </c>
      <c r="G514" s="169" t="s">
        <v>299</v>
      </c>
      <c r="I514" s="169" t="str">
        <f t="shared" ref="I514:I539" si="32">CONCATENATE(B514,"_",C514,"_",D514,"_",E514)</f>
        <v>L04_CTV_021W_STOPE</v>
      </c>
      <c r="J514" s="169" t="s">
        <v>6505</v>
      </c>
      <c r="K514" s="169">
        <f>IFERROR(MATCH(J514,'Final List'!$B$4:$B$252,0),0)</f>
        <v>0</v>
      </c>
      <c r="L514" s="169">
        <f>IFERROR(MATCH(J514,'Final List'!$D$4:$D$252,0),0)</f>
        <v>0</v>
      </c>
      <c r="M514" s="169">
        <f>IFERROR(MATCH(J514,'Final List'!$F$4:$F$251,0),0)</f>
        <v>0</v>
      </c>
      <c r="N514" s="169">
        <f>IFERROR(MATCH(J514,'Final List'!$H$4:$H$252,0),0)</f>
        <v>0</v>
      </c>
      <c r="O514" s="169">
        <f>IFERROR(MATCH(J514,'Final List'!$J$4:$J$252,0),0)</f>
        <v>0</v>
      </c>
      <c r="P514" s="169">
        <f>IFERROR(MATCH(J514,'Final List'!$L$4:$L$252,0),0)</f>
        <v>0</v>
      </c>
      <c r="Q514" s="169">
        <f>IFERROR(MATCH(J514,'Final List'!$N$4:$N$252,0),0)</f>
        <v>0</v>
      </c>
      <c r="R514" s="169">
        <f>IFERROR(MATCH(J514,'Final List'!$P$4:$P$252,0),0)</f>
        <v>0</v>
      </c>
      <c r="S514" s="169">
        <f t="shared" si="31"/>
        <v>0</v>
      </c>
      <c r="T514" s="169" t="s">
        <v>68</v>
      </c>
      <c r="V514" s="169" t="str">
        <f t="shared" ref="V514:V577" si="33">IF(H514="",G514,H514)</f>
        <v>NOCOS 2</v>
      </c>
      <c r="W514" s="169" t="s">
        <v>2713</v>
      </c>
    </row>
    <row r="515" spans="2:23" x14ac:dyDescent="0.25">
      <c r="B515" s="178" t="s">
        <v>92</v>
      </c>
      <c r="C515" s="178" t="s">
        <v>45</v>
      </c>
      <c r="D515" s="178" t="s">
        <v>179</v>
      </c>
      <c r="E515" s="178" t="s">
        <v>61</v>
      </c>
      <c r="F515" s="245" t="str">
        <f t="shared" ref="F515:F578" si="34">IF(OR(E515="XCN",E515="DE",E515="DW",E515="DN",E515="XCS",E515="XCE",E515="XCW",E515="SUMP",E515="BYPASS",E515="CHAMBER",E515="DRAIN HOLE",E515="DRILLING CHAMBER",E515="DE_ISL",E515="DW_ISL",E515="REHAB"),"Dhoz 71",IF(OR(E515="RAISE",E515="RAISE_ISL"),"DVR 72",IF(E515="ALIMAK","DVA 73",IF(E515="WINZE","DVW 74",IF(E515="SHAFT","DVS 75",IF(AND(E515="WINZE STOPE",T515="S"),"RobC 80",IF(AND(E515="STOPE",T515="S"),"StpS 77",IF(AND(E515="WINZE STOPE",T515="L"),"RobC 80",IF(AND(E515="STOPE",T515="L"),"StpL 78",IF(AND(E515="WINZE STOPE PREP",T515="S"),"RobC 80",IF(AND(E515="STOPE PREP",T515="S"),"StpS 77",IF(AND(E515="WINZE STOPE PREP",T515="L"),"RobC 80",IF(AND(E515="STOPE PREP",T515="L"),"StpL 78",IF(AND(E515="ROBBING",T515="L"),"RobC 80",IF(AND(E515="ROBBING",T515="S"),"RobS 79",0)))))))))))))))</f>
        <v>Dhoz 71</v>
      </c>
      <c r="G515" s="169" t="s">
        <v>3659</v>
      </c>
      <c r="I515" s="169" t="str">
        <f t="shared" si="32"/>
        <v>L05_DPVE_050E_DW</v>
      </c>
      <c r="J515" s="169" t="s">
        <v>6510</v>
      </c>
      <c r="K515" s="169">
        <f>IFERROR(MATCH(J515,'Final List'!$B$4:$B$252,0),0)</f>
        <v>0</v>
      </c>
      <c r="L515" s="169">
        <f>IFERROR(MATCH(J515,'Final List'!$D$4:$D$252,0),0)</f>
        <v>0</v>
      </c>
      <c r="M515" s="169">
        <f>IFERROR(MATCH(J515,'Final List'!$F$4:$F$251,0),0)</f>
        <v>0</v>
      </c>
      <c r="N515" s="169">
        <f>IFERROR(MATCH(J515,'Final List'!$H$4:$H$252,0),0)</f>
        <v>0</v>
      </c>
      <c r="O515" s="169">
        <f>IFERROR(MATCH(J515,'Final List'!$J$4:$J$252,0),0)</f>
        <v>0</v>
      </c>
      <c r="P515" s="169">
        <f>IFERROR(MATCH(J515,'Final List'!$L$4:$L$252,0),0)</f>
        <v>0</v>
      </c>
      <c r="Q515" s="169">
        <f>IFERROR(MATCH(J515,'Final List'!$N$4:$N$252,0),0)</f>
        <v>0</v>
      </c>
      <c r="R515" s="169">
        <f>IFERROR(MATCH(J515,'Final List'!$P$4:$P$252,0),0)</f>
        <v>0</v>
      </c>
      <c r="S515" s="169">
        <f t="shared" ref="S515:S578" si="35">SUM(K515:R515)</f>
        <v>0</v>
      </c>
      <c r="V515" s="169" t="str">
        <f t="shared" si="33"/>
        <v>SHEPHERD AD 2</v>
      </c>
      <c r="W515" s="169" t="s">
        <v>8895</v>
      </c>
    </row>
    <row r="516" spans="2:23" x14ac:dyDescent="0.25">
      <c r="B516" s="178" t="s">
        <v>258</v>
      </c>
      <c r="C516" s="178" t="s">
        <v>87</v>
      </c>
      <c r="D516" s="178" t="s">
        <v>5781</v>
      </c>
      <c r="E516" s="178" t="s">
        <v>37</v>
      </c>
      <c r="F516" s="245" t="str">
        <f t="shared" si="34"/>
        <v>Dhoz 71</v>
      </c>
      <c r="G516" s="169" t="s">
        <v>296</v>
      </c>
      <c r="I516" s="169" t="str">
        <f t="shared" si="32"/>
        <v>L10_NONE_051E_XCN</v>
      </c>
      <c r="J516" s="169" t="s">
        <v>6513</v>
      </c>
      <c r="K516" s="169">
        <f>IFERROR(MATCH(J516,'Final List'!$B$4:$B$252,0),0)</f>
        <v>0</v>
      </c>
      <c r="L516" s="169">
        <f>IFERROR(MATCH(J516,'Final List'!$D$4:$D$252,0),0)</f>
        <v>0</v>
      </c>
      <c r="M516" s="169">
        <f>IFERROR(MATCH(J516,'Final List'!$F$4:$F$251,0),0)</f>
        <v>0</v>
      </c>
      <c r="N516" s="169">
        <f>IFERROR(MATCH(J516,'Final List'!$H$4:$H$252,0),0)</f>
        <v>0</v>
      </c>
      <c r="O516" s="169">
        <f>IFERROR(MATCH(J516,'Final List'!$J$4:$J$252,0),0)</f>
        <v>0</v>
      </c>
      <c r="P516" s="169">
        <f>IFERROR(MATCH(J516,'Final List'!$L$4:$L$252,0),0)</f>
        <v>0</v>
      </c>
      <c r="Q516" s="169">
        <f>IFERROR(MATCH(J516,'Final List'!$N$4:$N$252,0),0)</f>
        <v>0</v>
      </c>
      <c r="R516" s="169">
        <f>IFERROR(MATCH(J516,'Final List'!$P$4:$P$252,0),0)</f>
        <v>0</v>
      </c>
      <c r="S516" s="169">
        <f t="shared" si="35"/>
        <v>0</v>
      </c>
      <c r="V516" s="169" t="str">
        <f t="shared" si="33"/>
        <v>MONTEBON 2</v>
      </c>
      <c r="W516" s="169" t="s">
        <v>8898</v>
      </c>
    </row>
    <row r="517" spans="2:23" x14ac:dyDescent="0.25">
      <c r="B517" s="178" t="s">
        <v>96</v>
      </c>
      <c r="C517" s="178" t="s">
        <v>46</v>
      </c>
      <c r="D517" s="178" t="s">
        <v>226</v>
      </c>
      <c r="E517" s="178" t="s">
        <v>19</v>
      </c>
      <c r="F517" s="245" t="str">
        <f t="shared" si="34"/>
        <v>DVR 72</v>
      </c>
      <c r="G517" s="169" t="s">
        <v>485</v>
      </c>
      <c r="I517" s="169" t="str">
        <f t="shared" si="32"/>
        <v>L09_DPVE2_074E_RAISE</v>
      </c>
      <c r="J517" s="169" t="s">
        <v>3257</v>
      </c>
      <c r="K517" s="169">
        <f>IFERROR(MATCH(J517,'Final List'!$B$4:$B$252,0),0)</f>
        <v>0</v>
      </c>
      <c r="L517" s="169">
        <f>IFERROR(MATCH(J517,'Final List'!$D$4:$D$252,0),0)</f>
        <v>0</v>
      </c>
      <c r="M517" s="169">
        <f>IFERROR(MATCH(J517,'Final List'!$F$4:$F$251,0),0)</f>
        <v>0</v>
      </c>
      <c r="N517" s="169">
        <f>IFERROR(MATCH(J517,'Final List'!$H$4:$H$252,0),0)</f>
        <v>0</v>
      </c>
      <c r="O517" s="169">
        <f>IFERROR(MATCH(J517,'Final List'!$J$4:$J$252,0),0)</f>
        <v>0</v>
      </c>
      <c r="P517" s="169">
        <f>IFERROR(MATCH(J517,'Final List'!$L$4:$L$252,0),0)</f>
        <v>0</v>
      </c>
      <c r="Q517" s="169">
        <f>IFERROR(MATCH(J517,'Final List'!$N$4:$N$252,0),0)</f>
        <v>0</v>
      </c>
      <c r="R517" s="169">
        <f>IFERROR(MATCH(J517,'Final List'!$P$4:$P$252,0),0)</f>
        <v>0</v>
      </c>
      <c r="S517" s="169">
        <f t="shared" si="35"/>
        <v>0</v>
      </c>
      <c r="V517" s="169" t="str">
        <f t="shared" si="33"/>
        <v>BALANGHIG 3</v>
      </c>
      <c r="W517" s="169" t="s">
        <v>2715</v>
      </c>
    </row>
    <row r="518" spans="2:23" x14ac:dyDescent="0.25">
      <c r="B518" s="178" t="s">
        <v>96</v>
      </c>
      <c r="C518" s="178" t="s">
        <v>39</v>
      </c>
      <c r="D518" s="178" t="s">
        <v>132</v>
      </c>
      <c r="E518" s="178" t="s">
        <v>61</v>
      </c>
      <c r="F518" s="245" t="str">
        <f t="shared" si="34"/>
        <v>Dhoz 71</v>
      </c>
      <c r="G518" s="169" t="s">
        <v>363</v>
      </c>
      <c r="I518" s="169" t="str">
        <f t="shared" si="32"/>
        <v>L09_JVHW_033E_DW</v>
      </c>
      <c r="J518" s="169" t="s">
        <v>6514</v>
      </c>
      <c r="K518" s="169">
        <f>IFERROR(MATCH(J518,'Final List'!$B$4:$B$252,0),0)</f>
        <v>0</v>
      </c>
      <c r="L518" s="169">
        <f>IFERROR(MATCH(J518,'Final List'!$D$4:$D$252,0),0)</f>
        <v>0</v>
      </c>
      <c r="M518" s="169">
        <f>IFERROR(MATCH(J518,'Final List'!$F$4:$F$251,0),0)</f>
        <v>0</v>
      </c>
      <c r="N518" s="169">
        <f>IFERROR(MATCH(J518,'Final List'!$H$4:$H$252,0),0)</f>
        <v>0</v>
      </c>
      <c r="O518" s="169">
        <f>IFERROR(MATCH(J518,'Final List'!$J$4:$J$252,0),0)</f>
        <v>0</v>
      </c>
      <c r="P518" s="169">
        <f>IFERROR(MATCH(J518,'Final List'!$L$4:$L$252,0),0)</f>
        <v>0</v>
      </c>
      <c r="Q518" s="169">
        <f>IFERROR(MATCH(J518,'Final List'!$N$4:$N$252,0),0)</f>
        <v>0</v>
      </c>
      <c r="R518" s="169">
        <f>IFERROR(MATCH(J518,'Final List'!$P$4:$P$252,0),0)</f>
        <v>0</v>
      </c>
      <c r="S518" s="169">
        <f t="shared" si="35"/>
        <v>0</v>
      </c>
      <c r="V518" s="169" t="str">
        <f t="shared" si="33"/>
        <v>BABOR 2</v>
      </c>
      <c r="W518" s="169" t="s">
        <v>8896</v>
      </c>
    </row>
    <row r="519" spans="2:23" x14ac:dyDescent="0.25">
      <c r="B519" s="178" t="s">
        <v>95</v>
      </c>
      <c r="C519" s="178" t="s">
        <v>38</v>
      </c>
      <c r="D519" s="178" t="s">
        <v>6518</v>
      </c>
      <c r="E519" s="178" t="s">
        <v>19</v>
      </c>
      <c r="F519" s="245" t="str">
        <f t="shared" si="34"/>
        <v>DVR 72</v>
      </c>
      <c r="G519" s="169" t="s">
        <v>6406</v>
      </c>
      <c r="H519" s="169" t="s">
        <v>6216</v>
      </c>
      <c r="I519" s="169" t="str">
        <f t="shared" si="32"/>
        <v>L08_GHV_007E_RAISE</v>
      </c>
      <c r="J519" s="169" t="s">
        <v>6517</v>
      </c>
      <c r="K519" s="169">
        <f>IFERROR(MATCH(J519,'Final List'!$B$4:$B$252,0),0)</f>
        <v>0</v>
      </c>
      <c r="L519" s="169">
        <f>IFERROR(MATCH(J519,'Final List'!$D$4:$D$252,0),0)</f>
        <v>0</v>
      </c>
      <c r="M519" s="169">
        <f>IFERROR(MATCH(J519,'Final List'!$F$4:$F$251,0),0)</f>
        <v>0</v>
      </c>
      <c r="N519" s="169">
        <f>IFERROR(MATCH(J519,'Final List'!$H$4:$H$252,0),0)</f>
        <v>0</v>
      </c>
      <c r="O519" s="169">
        <f>IFERROR(MATCH(J519,'Final List'!$J$4:$J$252,0),0)</f>
        <v>0</v>
      </c>
      <c r="P519" s="169">
        <f>IFERROR(MATCH(J519,'Final List'!$L$4:$L$252,0),0)</f>
        <v>0</v>
      </c>
      <c r="Q519" s="169">
        <f>IFERROR(MATCH(J519,'Final List'!$N$4:$N$252,0),0)</f>
        <v>0</v>
      </c>
      <c r="R519" s="169">
        <f>IFERROR(MATCH(J519,'Final List'!$P$4:$P$252,0),0)</f>
        <v>0</v>
      </c>
      <c r="S519" s="169">
        <f t="shared" si="35"/>
        <v>0</v>
      </c>
      <c r="V519" s="169" t="str">
        <f t="shared" si="33"/>
        <v>FERNANDEZ</v>
      </c>
      <c r="W519" s="169" t="s">
        <v>2715</v>
      </c>
    </row>
    <row r="520" spans="2:23" x14ac:dyDescent="0.25">
      <c r="B520" s="178" t="s">
        <v>92</v>
      </c>
      <c r="C520" s="178" t="s">
        <v>87</v>
      </c>
      <c r="D520" s="178" t="s">
        <v>130</v>
      </c>
      <c r="E520" s="178" t="s">
        <v>37</v>
      </c>
      <c r="F520" s="245" t="str">
        <f t="shared" si="34"/>
        <v>Dhoz 71</v>
      </c>
      <c r="G520" s="169" t="s">
        <v>551</v>
      </c>
      <c r="I520" s="169" t="str">
        <f t="shared" si="32"/>
        <v>L05_NONE_036E_XCN</v>
      </c>
      <c r="J520" s="169" t="s">
        <v>6522</v>
      </c>
      <c r="K520" s="169">
        <f>IFERROR(MATCH(J520,'Final List'!$B$4:$B$252,0),0)</f>
        <v>0</v>
      </c>
      <c r="L520" s="169">
        <f>IFERROR(MATCH(J520,'Final List'!$D$4:$D$252,0),0)</f>
        <v>0</v>
      </c>
      <c r="M520" s="169">
        <f>IFERROR(MATCH(J520,'Final List'!$F$4:$F$251,0),0)</f>
        <v>0</v>
      </c>
      <c r="N520" s="169">
        <f>IFERROR(MATCH(J520,'Final List'!$H$4:$H$252,0),0)</f>
        <v>0</v>
      </c>
      <c r="O520" s="169">
        <f>IFERROR(MATCH(J520,'Final List'!$J$4:$J$252,0),0)</f>
        <v>0</v>
      </c>
      <c r="P520" s="169">
        <f>IFERROR(MATCH(J520,'Final List'!$L$4:$L$252,0),0)</f>
        <v>0</v>
      </c>
      <c r="Q520" s="169">
        <f>IFERROR(MATCH(J520,'Final List'!$N$4:$N$252,0),0)</f>
        <v>0</v>
      </c>
      <c r="R520" s="169">
        <f>IFERROR(MATCH(J520,'Final List'!$P$4:$P$252,0),0)</f>
        <v>0</v>
      </c>
      <c r="S520" s="169">
        <f t="shared" si="35"/>
        <v>0</v>
      </c>
      <c r="V520" s="169" t="str">
        <f t="shared" si="33"/>
        <v>PANCIT, NOEL 3</v>
      </c>
      <c r="W520" s="169" t="s">
        <v>8897</v>
      </c>
    </row>
    <row r="521" spans="2:23" x14ac:dyDescent="0.25">
      <c r="B521" s="169" t="s">
        <v>95</v>
      </c>
      <c r="C521" s="169" t="s">
        <v>38</v>
      </c>
      <c r="D521" s="169" t="s">
        <v>5601</v>
      </c>
      <c r="E521" s="169" t="s">
        <v>221</v>
      </c>
      <c r="F521" s="245" t="str">
        <f t="shared" si="34"/>
        <v>RobC 80</v>
      </c>
      <c r="G521" s="169" t="s">
        <v>6526</v>
      </c>
      <c r="I521" s="169" t="str">
        <f t="shared" si="32"/>
        <v>L08_GHV_026E_WINZE STOPE</v>
      </c>
      <c r="J521" s="169" t="s">
        <v>6524</v>
      </c>
      <c r="K521" s="169">
        <f>IFERROR(MATCH(J521,'Final List'!$B$4:$B$252,0),0)</f>
        <v>0</v>
      </c>
      <c r="L521" s="169">
        <f>IFERROR(MATCH(J521,'Final List'!$D$4:$D$252,0),0)</f>
        <v>0</v>
      </c>
      <c r="M521" s="169">
        <f>IFERROR(MATCH(J521,'Final List'!$F$4:$F$251,0),0)</f>
        <v>0</v>
      </c>
      <c r="N521" s="169">
        <f>IFERROR(MATCH(J521,'Final List'!$H$4:$H$252,0),0)</f>
        <v>0</v>
      </c>
      <c r="O521" s="169">
        <f>IFERROR(MATCH(J521,'Final List'!$J$4:$J$252,0),0)</f>
        <v>0</v>
      </c>
      <c r="P521" s="169">
        <f>IFERROR(MATCH(J521,'Final List'!$L$4:$L$252,0),0)</f>
        <v>0</v>
      </c>
      <c r="Q521" s="169">
        <f>IFERROR(MATCH(J521,'Final List'!$N$4:$N$252,0),0)</f>
        <v>0</v>
      </c>
      <c r="R521" s="169">
        <f>IFERROR(MATCH(J521,'Final List'!$P$4:$P$252,0),0)</f>
        <v>0</v>
      </c>
      <c r="S521" s="169">
        <f t="shared" si="35"/>
        <v>0</v>
      </c>
      <c r="T521" s="169" t="s">
        <v>68</v>
      </c>
      <c r="V521" s="169" t="str">
        <f t="shared" si="33"/>
        <v>AGOLO 2</v>
      </c>
      <c r="W521" s="77" t="s">
        <v>2719</v>
      </c>
    </row>
    <row r="522" spans="2:23" x14ac:dyDescent="0.25">
      <c r="B522" s="169" t="s">
        <v>258</v>
      </c>
      <c r="C522" s="169" t="s">
        <v>59</v>
      </c>
      <c r="D522" s="169" t="s">
        <v>174</v>
      </c>
      <c r="E522" s="169" t="s">
        <v>19</v>
      </c>
      <c r="F522" s="245" t="str">
        <f t="shared" si="34"/>
        <v>DVR 72</v>
      </c>
      <c r="G522" s="169" t="s">
        <v>5700</v>
      </c>
      <c r="I522" s="169" t="str">
        <f t="shared" si="32"/>
        <v>L10_GHVHW_052E_RAISE</v>
      </c>
      <c r="J522" s="169" t="s">
        <v>6527</v>
      </c>
      <c r="K522" s="169">
        <f>IFERROR(MATCH(J522,'Final List'!$B$4:$B$252,0),0)</f>
        <v>0</v>
      </c>
      <c r="L522" s="169">
        <f>IFERROR(MATCH(J522,'Final List'!$D$4:$D$252,0),0)</f>
        <v>0</v>
      </c>
      <c r="M522" s="169">
        <f>IFERROR(MATCH(J522,'Final List'!$F$4:$F$251,0),0)</f>
        <v>0</v>
      </c>
      <c r="N522" s="169">
        <f>IFERROR(MATCH(J522,'Final List'!$H$4:$H$252,0),0)</f>
        <v>0</v>
      </c>
      <c r="O522" s="169">
        <f>IFERROR(MATCH(J522,'Final List'!$J$4:$J$252,0),0)</f>
        <v>0</v>
      </c>
      <c r="P522" s="169">
        <f>IFERROR(MATCH(J522,'Final List'!$L$4:$L$252,0),0)</f>
        <v>0</v>
      </c>
      <c r="Q522" s="169">
        <f>IFERROR(MATCH(J522,'Final List'!$N$4:$N$252,0),0)</f>
        <v>0</v>
      </c>
      <c r="R522" s="169">
        <f>IFERROR(MATCH(J522,'Final List'!$P$4:$P$252,0),0)</f>
        <v>0</v>
      </c>
      <c r="S522" s="169">
        <f t="shared" si="35"/>
        <v>0</v>
      </c>
      <c r="V522" s="169" t="str">
        <f t="shared" si="33"/>
        <v>LARGO 1</v>
      </c>
      <c r="W522" s="169" t="s">
        <v>2715</v>
      </c>
    </row>
    <row r="523" spans="2:23" x14ac:dyDescent="0.25">
      <c r="B523" s="169" t="s">
        <v>96</v>
      </c>
      <c r="C523" s="169" t="s">
        <v>39</v>
      </c>
      <c r="D523" s="169" t="s">
        <v>5601</v>
      </c>
      <c r="E523" s="169" t="s">
        <v>61</v>
      </c>
      <c r="F523" s="245" t="str">
        <f t="shared" si="34"/>
        <v>Dhoz 71</v>
      </c>
      <c r="G523" s="169" t="s">
        <v>362</v>
      </c>
      <c r="I523" s="169" t="str">
        <f t="shared" si="32"/>
        <v>L09_JVHW_026E_DW</v>
      </c>
      <c r="J523" s="169" t="s">
        <v>6528</v>
      </c>
      <c r="K523" s="169">
        <f>IFERROR(MATCH(J523,'Final List'!$B$4:$B$252,0),0)</f>
        <v>0</v>
      </c>
      <c r="L523" s="169">
        <f>IFERROR(MATCH(J523,'Final List'!$D$4:$D$252,0),0)</f>
        <v>0</v>
      </c>
      <c r="M523" s="169">
        <f>IFERROR(MATCH(J523,'Final List'!$F$4:$F$251,0),0)</f>
        <v>0</v>
      </c>
      <c r="N523" s="169">
        <f>IFERROR(MATCH(J523,'Final List'!$H$4:$H$252,0),0)</f>
        <v>0</v>
      </c>
      <c r="O523" s="169">
        <f>IFERROR(MATCH(J523,'Final List'!$J$4:$J$252,0),0)</f>
        <v>0</v>
      </c>
      <c r="P523" s="169">
        <f>IFERROR(MATCH(J523,'Final List'!$L$4:$L$252,0),0)</f>
        <v>0</v>
      </c>
      <c r="Q523" s="169">
        <f>IFERROR(MATCH(J523,'Final List'!$N$4:$N$252,0),0)</f>
        <v>0</v>
      </c>
      <c r="R523" s="169">
        <f>IFERROR(MATCH(J523,'Final List'!$P$4:$P$252,0),0)</f>
        <v>0</v>
      </c>
      <c r="S523" s="169">
        <f t="shared" si="35"/>
        <v>0</v>
      </c>
      <c r="V523" s="169" t="str">
        <f t="shared" si="33"/>
        <v>BABOR 1</v>
      </c>
      <c r="W523" s="169" t="s">
        <v>8896</v>
      </c>
    </row>
    <row r="524" spans="2:23" x14ac:dyDescent="0.25">
      <c r="B524" s="169" t="s">
        <v>96</v>
      </c>
      <c r="C524" s="169" t="s">
        <v>45</v>
      </c>
      <c r="D524" s="169" t="s">
        <v>5975</v>
      </c>
      <c r="E524" s="169" t="s">
        <v>60</v>
      </c>
      <c r="F524" s="245" t="str">
        <f t="shared" si="34"/>
        <v>Dhoz 71</v>
      </c>
      <c r="G524" s="169" t="s">
        <v>349</v>
      </c>
      <c r="I524" s="169" t="str">
        <f t="shared" si="32"/>
        <v>L09_DPVE_028E_DE</v>
      </c>
      <c r="J524" s="169" t="s">
        <v>6530</v>
      </c>
      <c r="K524" s="169">
        <f>IFERROR(MATCH(J524,'Final List'!$B$4:$B$252,0),0)</f>
        <v>0</v>
      </c>
      <c r="L524" s="169">
        <f>IFERROR(MATCH(J524,'Final List'!$D$4:$D$252,0),0)</f>
        <v>0</v>
      </c>
      <c r="M524" s="169">
        <f>IFERROR(MATCH(J524,'Final List'!$F$4:$F$251,0),0)</f>
        <v>0</v>
      </c>
      <c r="N524" s="169">
        <f>IFERROR(MATCH(J524,'Final List'!$H$4:$H$252,0),0)</f>
        <v>0</v>
      </c>
      <c r="O524" s="169">
        <f>IFERROR(MATCH(J524,'Final List'!$J$4:$J$252,0),0)</f>
        <v>0</v>
      </c>
      <c r="P524" s="169">
        <f>IFERROR(MATCH(J524,'Final List'!$L$4:$L$252,0),0)</f>
        <v>0</v>
      </c>
      <c r="Q524" s="169">
        <f>IFERROR(MATCH(J524,'Final List'!$N$4:$N$252,0),0)</f>
        <v>0</v>
      </c>
      <c r="R524" s="169">
        <f>IFERROR(MATCH(J524,'Final List'!$P$4:$P$252,0),0)</f>
        <v>0</v>
      </c>
      <c r="S524" s="169">
        <f t="shared" si="35"/>
        <v>0</v>
      </c>
      <c r="V524" s="169" t="str">
        <f t="shared" si="33"/>
        <v>QUIJANO 2</v>
      </c>
      <c r="W524" s="169" t="s">
        <v>8896</v>
      </c>
    </row>
    <row r="525" spans="2:23" x14ac:dyDescent="0.25">
      <c r="B525" s="169" t="s">
        <v>96</v>
      </c>
      <c r="C525" s="169" t="s">
        <v>43</v>
      </c>
      <c r="D525" s="169" t="s">
        <v>118</v>
      </c>
      <c r="E525" s="169" t="s">
        <v>19</v>
      </c>
      <c r="F525" s="245" t="str">
        <f t="shared" si="34"/>
        <v>DVR 72</v>
      </c>
      <c r="G525" s="169" t="s">
        <v>5774</v>
      </c>
      <c r="I525" s="169" t="str">
        <f t="shared" si="32"/>
        <v>L09_GHVSPLIT_014E_RAISE</v>
      </c>
      <c r="J525" s="169" t="s">
        <v>6531</v>
      </c>
      <c r="K525" s="169">
        <f>IFERROR(MATCH(J525,'Final List'!$B$4:$B$252,0),0)</f>
        <v>0</v>
      </c>
      <c r="L525" s="169">
        <f>IFERROR(MATCH(J525,'Final List'!$D$4:$D$252,0),0)</f>
        <v>0</v>
      </c>
      <c r="M525" s="169">
        <f>IFERROR(MATCH(J525,'Final List'!$F$4:$F$251,0),0)</f>
        <v>0</v>
      </c>
      <c r="N525" s="169">
        <f>IFERROR(MATCH(J525,'Final List'!$H$4:$H$252,0),0)</f>
        <v>0</v>
      </c>
      <c r="O525" s="169">
        <f>IFERROR(MATCH(J525,'Final List'!$J$4:$J$252,0),0)</f>
        <v>0</v>
      </c>
      <c r="P525" s="169">
        <f>IFERROR(MATCH(J525,'Final List'!$L$4:$L$252,0),0)</f>
        <v>0</v>
      </c>
      <c r="Q525" s="169">
        <f>IFERROR(MATCH(J525,'Final List'!$N$4:$N$252,0),0)</f>
        <v>0</v>
      </c>
      <c r="R525" s="169">
        <f>IFERROR(MATCH(J525,'Final List'!$P$4:$P$252,0),0)</f>
        <v>0</v>
      </c>
      <c r="S525" s="169">
        <f t="shared" si="35"/>
        <v>0</v>
      </c>
      <c r="V525" s="169" t="str">
        <f t="shared" si="33"/>
        <v>BANTAYAN 1</v>
      </c>
      <c r="W525" s="169" t="s">
        <v>2715</v>
      </c>
    </row>
    <row r="526" spans="2:23" x14ac:dyDescent="0.25">
      <c r="B526" s="178" t="s">
        <v>96</v>
      </c>
      <c r="C526" s="178" t="s">
        <v>38</v>
      </c>
      <c r="D526" s="178" t="s">
        <v>5604</v>
      </c>
      <c r="E526" s="178" t="s">
        <v>20</v>
      </c>
      <c r="F526" s="245" t="str">
        <f t="shared" si="34"/>
        <v>DVW 74</v>
      </c>
      <c r="G526" s="169" t="s">
        <v>744</v>
      </c>
      <c r="H526" s="169" t="s">
        <v>8199</v>
      </c>
      <c r="I526" s="169" t="str">
        <f t="shared" si="32"/>
        <v>L09_GHV_063E_WINZE</v>
      </c>
      <c r="J526" s="169" t="s">
        <v>861</v>
      </c>
      <c r="K526" s="169">
        <f>IFERROR(MATCH(J526,'Final List'!$B$4:$B$252,0),0)</f>
        <v>0</v>
      </c>
      <c r="L526" s="169">
        <f>IFERROR(MATCH(J526,'Final List'!$D$4:$D$252,0),0)</f>
        <v>0</v>
      </c>
      <c r="M526" s="169">
        <f>IFERROR(MATCH(J526,'Final List'!$F$4:$F$251,0),0)</f>
        <v>0</v>
      </c>
      <c r="N526" s="169">
        <f>IFERROR(MATCH(J526,'Final List'!$H$4:$H$252,0),0)</f>
        <v>0</v>
      </c>
      <c r="O526" s="169">
        <f>IFERROR(MATCH(J526,'Final List'!$J$4:$J$252,0),0)</f>
        <v>0</v>
      </c>
      <c r="P526" s="169">
        <f>IFERROR(MATCH(J526,'Final List'!$L$4:$L$252,0),0)</f>
        <v>0</v>
      </c>
      <c r="Q526" s="169">
        <f>IFERROR(MATCH(J526,'Final List'!$N$4:$N$252,0),0)</f>
        <v>0</v>
      </c>
      <c r="R526" s="169">
        <f>IFERROR(MATCH(J526,'Final List'!$P$4:$P$252,0),0)</f>
        <v>0</v>
      </c>
      <c r="S526" s="169">
        <f t="shared" si="35"/>
        <v>0</v>
      </c>
      <c r="V526" s="169" t="str">
        <f t="shared" si="33"/>
        <v>SHEPHERD AT 1</v>
      </c>
      <c r="W526" s="169" t="s">
        <v>2717</v>
      </c>
    </row>
    <row r="527" spans="2:23" x14ac:dyDescent="0.25">
      <c r="B527" s="169" t="s">
        <v>95</v>
      </c>
      <c r="C527" s="169" t="s">
        <v>42</v>
      </c>
      <c r="D527" s="169" t="s">
        <v>143</v>
      </c>
      <c r="E527" s="169" t="s">
        <v>20</v>
      </c>
      <c r="F527" s="245" t="str">
        <f t="shared" si="34"/>
        <v>DVW 74</v>
      </c>
      <c r="G527" s="169" t="s">
        <v>942</v>
      </c>
      <c r="H527" s="169" t="s">
        <v>329</v>
      </c>
      <c r="I527" s="169" t="str">
        <f t="shared" si="32"/>
        <v>L08_JV_032E_WINZE</v>
      </c>
      <c r="J527" s="169" t="s">
        <v>7654</v>
      </c>
      <c r="K527" s="169">
        <f>IFERROR(MATCH(J527,'Final List'!$B$4:$B$252,0),0)</f>
        <v>0</v>
      </c>
      <c r="L527" s="169">
        <f>IFERROR(MATCH(J527,'Final List'!$D$4:$D$252,0),0)</f>
        <v>0</v>
      </c>
      <c r="M527" s="169">
        <f>IFERROR(MATCH(J527,'Final List'!$F$4:$F$251,0),0)</f>
        <v>0</v>
      </c>
      <c r="N527" s="169">
        <f>IFERROR(MATCH(J527,'Final List'!$H$4:$H$252,0),0)</f>
        <v>0</v>
      </c>
      <c r="O527" s="169">
        <f>IFERROR(MATCH(J527,'Final List'!$J$4:$J$252,0),0)</f>
        <v>0</v>
      </c>
      <c r="P527" s="169">
        <f>IFERROR(MATCH(J527,'Final List'!$L$4:$L$252,0),0)</f>
        <v>0</v>
      </c>
      <c r="Q527" s="169">
        <f>IFERROR(MATCH(J527,'Final List'!$N$4:$N$252,0),0)</f>
        <v>0</v>
      </c>
      <c r="R527" s="169">
        <f>IFERROR(MATCH(J527,'Final List'!$P$4:$P$252,0),0)</f>
        <v>0</v>
      </c>
      <c r="S527" s="169">
        <f t="shared" si="35"/>
        <v>0</v>
      </c>
      <c r="V527" s="169" t="str">
        <f t="shared" si="33"/>
        <v>OY-YOY 1</v>
      </c>
      <c r="W527" s="169" t="s">
        <v>2706</v>
      </c>
    </row>
    <row r="528" spans="2:23" x14ac:dyDescent="0.25">
      <c r="B528" s="169" t="s">
        <v>96</v>
      </c>
      <c r="C528" s="169" t="s">
        <v>55</v>
      </c>
      <c r="D528" s="169" t="s">
        <v>176</v>
      </c>
      <c r="E528" s="169" t="s">
        <v>19</v>
      </c>
      <c r="F528" s="245" t="str">
        <f t="shared" si="34"/>
        <v>DVR 72</v>
      </c>
      <c r="G528" s="169" t="s">
        <v>460</v>
      </c>
      <c r="I528" s="169" t="str">
        <f t="shared" si="32"/>
        <v>L09_JVFW_057E_RAISE</v>
      </c>
      <c r="J528" s="169" t="s">
        <v>5160</v>
      </c>
      <c r="K528" s="169">
        <f>IFERROR(MATCH(J528,'Final List'!$B$4:$B$252,0),0)</f>
        <v>0</v>
      </c>
      <c r="L528" s="169">
        <f>IFERROR(MATCH(J528,'Final List'!$D$4:$D$252,0),0)</f>
        <v>0</v>
      </c>
      <c r="M528" s="169">
        <f>IFERROR(MATCH(J528,'Final List'!$F$4:$F$251,0),0)</f>
        <v>0</v>
      </c>
      <c r="N528" s="169">
        <f>IFERROR(MATCH(J528,'Final List'!$H$4:$H$252,0),0)</f>
        <v>0</v>
      </c>
      <c r="O528" s="169">
        <f>IFERROR(MATCH(J528,'Final List'!$J$4:$J$252,0),0)</f>
        <v>0</v>
      </c>
      <c r="P528" s="169">
        <f>IFERROR(MATCH(J528,'Final List'!$L$4:$L$252,0),0)</f>
        <v>0</v>
      </c>
      <c r="Q528" s="169">
        <f>IFERROR(MATCH(J528,'Final List'!$N$4:$N$252,0),0)</f>
        <v>0</v>
      </c>
      <c r="R528" s="169">
        <f>IFERROR(MATCH(J528,'Final List'!$P$4:$P$252,0),0)</f>
        <v>0</v>
      </c>
      <c r="S528" s="169">
        <f t="shared" si="35"/>
        <v>0</v>
      </c>
      <c r="V528" s="169" t="str">
        <f t="shared" si="33"/>
        <v>PANSIT 5</v>
      </c>
      <c r="W528" s="169" t="s">
        <v>2715</v>
      </c>
    </row>
    <row r="529" spans="2:23" x14ac:dyDescent="0.25">
      <c r="B529" s="169" t="s">
        <v>93</v>
      </c>
      <c r="C529" s="169" t="s">
        <v>55</v>
      </c>
      <c r="D529" s="169" t="s">
        <v>133</v>
      </c>
      <c r="E529" s="169" t="s">
        <v>441</v>
      </c>
      <c r="F529" s="245" t="str">
        <f t="shared" si="34"/>
        <v>RobC 80</v>
      </c>
      <c r="G529" s="169" t="s">
        <v>379</v>
      </c>
      <c r="I529" s="169" t="str">
        <f t="shared" si="32"/>
        <v>L06_JVFW_037E_WINZE STOPE PREP</v>
      </c>
      <c r="J529" s="169" t="s">
        <v>6539</v>
      </c>
      <c r="K529" s="169">
        <f>IFERROR(MATCH(J529,'Final List'!$B$4:$B$252,0),0)</f>
        <v>0</v>
      </c>
      <c r="L529" s="169">
        <f>IFERROR(MATCH(J529,'Final List'!$D$4:$D$252,0),0)</f>
        <v>0</v>
      </c>
      <c r="M529" s="169">
        <f>IFERROR(MATCH(J529,'Final List'!$F$4:$F$251,0),0)</f>
        <v>0</v>
      </c>
      <c r="N529" s="169">
        <f>IFERROR(MATCH(J529,'Final List'!$H$4:$H$252,0),0)</f>
        <v>0</v>
      </c>
      <c r="O529" s="169">
        <f>IFERROR(MATCH(J529,'Final List'!$J$4:$J$252,0),0)</f>
        <v>0</v>
      </c>
      <c r="P529" s="169">
        <f>IFERROR(MATCH(J529,'Final List'!$L$4:$L$252,0),0)</f>
        <v>0</v>
      </c>
      <c r="Q529" s="169">
        <f>IFERROR(MATCH(J529,'Final List'!$N$4:$N$252,0),0)</f>
        <v>0</v>
      </c>
      <c r="R529" s="169">
        <f>IFERROR(MATCH(J529,'Final List'!$P$4:$P$252,0),0)</f>
        <v>0</v>
      </c>
      <c r="S529" s="169">
        <f t="shared" si="35"/>
        <v>0</v>
      </c>
      <c r="T529" s="169" t="s">
        <v>68</v>
      </c>
      <c r="V529" s="169" t="str">
        <f t="shared" si="33"/>
        <v>GUNAY 3</v>
      </c>
      <c r="W529" s="169" t="s">
        <v>2716</v>
      </c>
    </row>
    <row r="530" spans="2:23" x14ac:dyDescent="0.25">
      <c r="B530" s="169" t="s">
        <v>93</v>
      </c>
      <c r="C530" s="169" t="s">
        <v>42</v>
      </c>
      <c r="D530" s="169" t="s">
        <v>130</v>
      </c>
      <c r="E530" s="169" t="s">
        <v>60</v>
      </c>
      <c r="F530" s="245" t="str">
        <f t="shared" si="34"/>
        <v>Dhoz 71</v>
      </c>
      <c r="G530" s="169" t="s">
        <v>348</v>
      </c>
      <c r="I530" s="169" t="str">
        <f t="shared" si="32"/>
        <v>L06_JV_036E_DE</v>
      </c>
      <c r="J530" s="169" t="s">
        <v>6540</v>
      </c>
      <c r="K530" s="169">
        <f>IFERROR(MATCH(J530,'Final List'!$B$4:$B$252,0),0)</f>
        <v>0</v>
      </c>
      <c r="L530" s="169">
        <f>IFERROR(MATCH(J530,'Final List'!$D$4:$D$252,0),0)</f>
        <v>0</v>
      </c>
      <c r="M530" s="169">
        <f>IFERROR(MATCH(J530,'Final List'!$F$4:$F$251,0),0)</f>
        <v>0</v>
      </c>
      <c r="N530" s="169">
        <f>IFERROR(MATCH(J530,'Final List'!$H$4:$H$252,0),0)</f>
        <v>0</v>
      </c>
      <c r="O530" s="169">
        <f>IFERROR(MATCH(J530,'Final List'!$J$4:$J$252,0),0)</f>
        <v>0</v>
      </c>
      <c r="P530" s="169">
        <f>IFERROR(MATCH(J530,'Final List'!$L$4:$L$252,0),0)</f>
        <v>0</v>
      </c>
      <c r="Q530" s="169">
        <f>IFERROR(MATCH(J530,'Final List'!$N$4:$N$252,0),0)</f>
        <v>0</v>
      </c>
      <c r="R530" s="169">
        <f>IFERROR(MATCH(J530,'Final List'!$P$4:$P$252,0),0)</f>
        <v>0</v>
      </c>
      <c r="S530" s="169">
        <f t="shared" si="35"/>
        <v>0</v>
      </c>
      <c r="V530" s="169" t="str">
        <f t="shared" si="33"/>
        <v>QUIJANO 3</v>
      </c>
      <c r="W530" s="169" t="s">
        <v>8895</v>
      </c>
    </row>
    <row r="531" spans="2:23" x14ac:dyDescent="0.25">
      <c r="B531" s="169" t="s">
        <v>96</v>
      </c>
      <c r="C531" s="169" t="s">
        <v>46</v>
      </c>
      <c r="D531" s="169" t="s">
        <v>5889</v>
      </c>
      <c r="E531" s="169" t="s">
        <v>60</v>
      </c>
      <c r="F531" s="245" t="str">
        <f t="shared" si="34"/>
        <v>Dhoz 71</v>
      </c>
      <c r="G531" s="169" t="s">
        <v>5777</v>
      </c>
      <c r="I531" s="169" t="str">
        <f t="shared" si="32"/>
        <v>L09_DPVE2_077E_DE</v>
      </c>
      <c r="J531" s="169" t="s">
        <v>4873</v>
      </c>
      <c r="K531" s="169">
        <f>IFERROR(MATCH(J531,'Final List'!$B$4:$B$252,0),0)</f>
        <v>0</v>
      </c>
      <c r="L531" s="169">
        <f>IFERROR(MATCH(J531,'Final List'!$D$4:$D$252,0),0)</f>
        <v>0</v>
      </c>
      <c r="M531" s="169">
        <f>IFERROR(MATCH(J531,'Final List'!$F$4:$F$251,0),0)</f>
        <v>0</v>
      </c>
      <c r="N531" s="169">
        <f>IFERROR(MATCH(J531,'Final List'!$H$4:$H$252,0),0)</f>
        <v>0</v>
      </c>
      <c r="O531" s="169">
        <f>IFERROR(MATCH(J531,'Final List'!$J$4:$J$252,0),0)</f>
        <v>0</v>
      </c>
      <c r="P531" s="169">
        <f>IFERROR(MATCH(J531,'Final List'!$L$4:$L$252,0),0)</f>
        <v>0</v>
      </c>
      <c r="Q531" s="169">
        <f>IFERROR(MATCH(J531,'Final List'!$N$4:$N$252,0),0)</f>
        <v>0</v>
      </c>
      <c r="R531" s="169">
        <f>IFERROR(MATCH(J531,'Final List'!$P$4:$P$252,0),0)</f>
        <v>0</v>
      </c>
      <c r="S531" s="169">
        <f t="shared" si="35"/>
        <v>0</v>
      </c>
      <c r="V531" s="169" t="str">
        <f t="shared" si="33"/>
        <v>REBOTE, JOSELITO 1</v>
      </c>
      <c r="W531" s="169" t="s">
        <v>8896</v>
      </c>
    </row>
    <row r="532" spans="2:23" x14ac:dyDescent="0.25">
      <c r="B532" s="169" t="s">
        <v>96</v>
      </c>
      <c r="C532" s="169" t="s">
        <v>39</v>
      </c>
      <c r="D532" s="169" t="s">
        <v>128</v>
      </c>
      <c r="E532" s="169" t="s">
        <v>61</v>
      </c>
      <c r="F532" s="245" t="str">
        <f t="shared" si="34"/>
        <v>Dhoz 71</v>
      </c>
      <c r="G532" s="169" t="s">
        <v>362</v>
      </c>
      <c r="I532" s="169" t="str">
        <f t="shared" si="32"/>
        <v>L09_JVHW_027E_DW</v>
      </c>
      <c r="J532" s="169" t="s">
        <v>6538</v>
      </c>
      <c r="K532" s="169">
        <f>IFERROR(MATCH(J532,'Final List'!$B$4:$B$252,0),0)</f>
        <v>0</v>
      </c>
      <c r="L532" s="169">
        <f>IFERROR(MATCH(J532,'Final List'!$D$4:$D$252,0),0)</f>
        <v>0</v>
      </c>
      <c r="M532" s="169">
        <f>IFERROR(MATCH(J532,'Final List'!$F$4:$F$251,0),0)</f>
        <v>0</v>
      </c>
      <c r="N532" s="169">
        <f>IFERROR(MATCH(J532,'Final List'!$H$4:$H$252,0),0)</f>
        <v>0</v>
      </c>
      <c r="O532" s="169">
        <f>IFERROR(MATCH(J532,'Final List'!$J$4:$J$252,0),0)</f>
        <v>0</v>
      </c>
      <c r="P532" s="169">
        <f>IFERROR(MATCH(J532,'Final List'!$L$4:$L$252,0),0)</f>
        <v>0</v>
      </c>
      <c r="Q532" s="169">
        <f>IFERROR(MATCH(J532,'Final List'!$N$4:$N$252,0),0)</f>
        <v>0</v>
      </c>
      <c r="R532" s="169">
        <f>IFERROR(MATCH(J532,'Final List'!$P$4:$P$252,0),0)</f>
        <v>0</v>
      </c>
      <c r="S532" s="169">
        <f t="shared" si="35"/>
        <v>0</v>
      </c>
      <c r="V532" s="169" t="str">
        <f t="shared" si="33"/>
        <v>BABOR 1</v>
      </c>
      <c r="W532" s="169" t="s">
        <v>8896</v>
      </c>
    </row>
    <row r="533" spans="2:23" x14ac:dyDescent="0.25">
      <c r="B533" s="169" t="s">
        <v>91</v>
      </c>
      <c r="C533" s="169" t="s">
        <v>41</v>
      </c>
      <c r="D533" s="169" t="s">
        <v>162</v>
      </c>
      <c r="E533" s="169" t="s">
        <v>36</v>
      </c>
      <c r="F533" s="245" t="str">
        <f t="shared" si="34"/>
        <v>StpS 77</v>
      </c>
      <c r="G533" s="169" t="s">
        <v>5767</v>
      </c>
      <c r="I533" s="169" t="str">
        <f t="shared" si="32"/>
        <v>L04_CTV_008E_STOPE</v>
      </c>
      <c r="J533" s="169" t="s">
        <v>6541</v>
      </c>
      <c r="K533" s="169">
        <f>IFERROR(MATCH(J533,'Final List'!$B$4:$B$252,0),0)</f>
        <v>0</v>
      </c>
      <c r="L533" s="169">
        <f>IFERROR(MATCH(J533,'Final List'!$D$4:$D$252,0),0)</f>
        <v>0</v>
      </c>
      <c r="M533" s="169">
        <f>IFERROR(MATCH(J533,'Final List'!$F$4:$F$251,0),0)</f>
        <v>0</v>
      </c>
      <c r="N533" s="169">
        <f>IFERROR(MATCH(J533,'Final List'!$H$4:$H$252,0),0)</f>
        <v>0</v>
      </c>
      <c r="O533" s="169">
        <f>IFERROR(MATCH(J533,'Final List'!$J$4:$J$252,0),0)</f>
        <v>0</v>
      </c>
      <c r="P533" s="169">
        <f>IFERROR(MATCH(J533,'Final List'!$L$4:$L$252,0),0)</f>
        <v>0</v>
      </c>
      <c r="Q533" s="169">
        <f>IFERROR(MATCH(J533,'Final List'!$N$4:$N$252,0),0)</f>
        <v>0</v>
      </c>
      <c r="R533" s="169">
        <f>IFERROR(MATCH(J533,'Final List'!$P$4:$P$252,0),0)</f>
        <v>0</v>
      </c>
      <c r="S533" s="169">
        <f t="shared" si="35"/>
        <v>0</v>
      </c>
      <c r="T533" s="169" t="s">
        <v>68</v>
      </c>
      <c r="V533" s="169" t="str">
        <f t="shared" si="33"/>
        <v>MARTINEZ, RON 3</v>
      </c>
      <c r="W533" s="169" t="s">
        <v>2713</v>
      </c>
    </row>
    <row r="534" spans="2:23" x14ac:dyDescent="0.25">
      <c r="B534" s="169" t="s">
        <v>93</v>
      </c>
      <c r="C534" s="169" t="s">
        <v>41</v>
      </c>
      <c r="D534" s="169" t="s">
        <v>6518</v>
      </c>
      <c r="E534" s="169" t="s">
        <v>62</v>
      </c>
      <c r="F534" s="245" t="str">
        <f t="shared" si="34"/>
        <v>RobC 80</v>
      </c>
      <c r="G534" s="169" t="s">
        <v>341</v>
      </c>
      <c r="I534" s="169" t="str">
        <f t="shared" si="32"/>
        <v>L06_CTV_007E_ROBBING</v>
      </c>
      <c r="J534" s="169" t="s">
        <v>6545</v>
      </c>
      <c r="K534" s="169">
        <f>IFERROR(MATCH(J534,'Final List'!$B$4:$B$252,0),0)</f>
        <v>0</v>
      </c>
      <c r="L534" s="169">
        <f>IFERROR(MATCH(J534,'Final List'!$D$4:$D$252,0),0)</f>
        <v>0</v>
      </c>
      <c r="M534" s="169">
        <f>IFERROR(MATCH(J534,'Final List'!$F$4:$F$251,0),0)</f>
        <v>0</v>
      </c>
      <c r="N534" s="169">
        <f>IFERROR(MATCH(J534,'Final List'!$H$4:$H$252,0),0)</f>
        <v>0</v>
      </c>
      <c r="O534" s="169">
        <f>IFERROR(MATCH(J534,'Final List'!$J$4:$J$252,0),0)</f>
        <v>0</v>
      </c>
      <c r="P534" s="169">
        <f>IFERROR(MATCH(J534,'Final List'!$L$4:$L$252,0),0)</f>
        <v>0</v>
      </c>
      <c r="Q534" s="169">
        <f>IFERROR(MATCH(J534,'Final List'!$N$4:$N$252,0),0)</f>
        <v>0</v>
      </c>
      <c r="R534" s="169">
        <f>IFERROR(MATCH(J534,'Final List'!$P$4:$P$252,0),0)</f>
        <v>0</v>
      </c>
      <c r="S534" s="169">
        <f t="shared" si="35"/>
        <v>0</v>
      </c>
      <c r="T534" s="169" t="s">
        <v>48</v>
      </c>
      <c r="V534" s="169" t="str">
        <f t="shared" si="33"/>
        <v>BADBADON 1</v>
      </c>
      <c r="W534" s="169" t="s">
        <v>236</v>
      </c>
    </row>
    <row r="535" spans="2:23" x14ac:dyDescent="0.25">
      <c r="B535" s="169" t="s">
        <v>96</v>
      </c>
      <c r="C535" s="169" t="s">
        <v>46</v>
      </c>
      <c r="D535" s="169" t="s">
        <v>5078</v>
      </c>
      <c r="E535" s="169" t="s">
        <v>61</v>
      </c>
      <c r="F535" s="245" t="str">
        <f t="shared" si="34"/>
        <v>Dhoz 71</v>
      </c>
      <c r="G535" s="169" t="s">
        <v>4558</v>
      </c>
      <c r="I535" s="169" t="str">
        <f t="shared" si="32"/>
        <v>L09_DPVE2_086E_DW</v>
      </c>
      <c r="J535" s="169" t="s">
        <v>6547</v>
      </c>
      <c r="K535" s="169">
        <f>IFERROR(MATCH(J535,'Final List'!$B$4:$B$252,0),0)</f>
        <v>0</v>
      </c>
      <c r="L535" s="169">
        <f>IFERROR(MATCH(J535,'Final List'!$D$4:$D$252,0),0)</f>
        <v>0</v>
      </c>
      <c r="M535" s="169">
        <f>IFERROR(MATCH(J535,'Final List'!$F$4:$F$251,0),0)</f>
        <v>0</v>
      </c>
      <c r="N535" s="169">
        <f>IFERROR(MATCH(J535,'Final List'!$H$4:$H$252,0),0)</f>
        <v>0</v>
      </c>
      <c r="O535" s="169">
        <f>IFERROR(MATCH(J535,'Final List'!$J$4:$J$252,0),0)</f>
        <v>0</v>
      </c>
      <c r="P535" s="169">
        <f>IFERROR(MATCH(J535,'Final List'!$L$4:$L$252,0),0)</f>
        <v>0</v>
      </c>
      <c r="Q535" s="169">
        <f>IFERROR(MATCH(J535,'Final List'!$N$4:$N$252,0),0)</f>
        <v>0</v>
      </c>
      <c r="R535" s="169">
        <f>IFERROR(MATCH(J535,'Final List'!$P$4:$P$252,0),0)</f>
        <v>0</v>
      </c>
      <c r="S535" s="169">
        <f t="shared" si="35"/>
        <v>0</v>
      </c>
      <c r="V535" s="169" t="str">
        <f t="shared" si="33"/>
        <v>DELOS REYES V 3</v>
      </c>
      <c r="W535" s="169" t="s">
        <v>8896</v>
      </c>
    </row>
    <row r="536" spans="2:23" x14ac:dyDescent="0.25">
      <c r="B536" s="169" t="s">
        <v>96</v>
      </c>
      <c r="C536" s="169" t="s">
        <v>42</v>
      </c>
      <c r="D536" s="169" t="s">
        <v>198</v>
      </c>
      <c r="E536" s="169" t="s">
        <v>20</v>
      </c>
      <c r="F536" s="245" t="str">
        <f t="shared" si="34"/>
        <v>DVW 74</v>
      </c>
      <c r="G536" s="169" t="s">
        <v>746</v>
      </c>
      <c r="I536" s="169" t="str">
        <f t="shared" si="32"/>
        <v>L09_JV_069E_WINZE</v>
      </c>
      <c r="J536" s="169" t="s">
        <v>6548</v>
      </c>
      <c r="K536" s="169">
        <f>IFERROR(MATCH(J536,'Final List'!$B$4:$B$252,0),0)</f>
        <v>0</v>
      </c>
      <c r="L536" s="169">
        <f>IFERROR(MATCH(J536,'Final List'!$D$4:$D$252,0),0)</f>
        <v>0</v>
      </c>
      <c r="M536" s="169">
        <f>IFERROR(MATCH(J536,'Final List'!$F$4:$F$251,0),0)</f>
        <v>0</v>
      </c>
      <c r="N536" s="169">
        <f>IFERROR(MATCH(J536,'Final List'!$H$4:$H$252,0),0)</f>
        <v>0</v>
      </c>
      <c r="O536" s="169">
        <f>IFERROR(MATCH(J536,'Final List'!$J$4:$J$252,0),0)</f>
        <v>0</v>
      </c>
      <c r="P536" s="169">
        <f>IFERROR(MATCH(J536,'Final List'!$L$4:$L$252,0),0)</f>
        <v>0</v>
      </c>
      <c r="Q536" s="169">
        <f>IFERROR(MATCH(J536,'Final List'!$N$4:$N$252,0),0)</f>
        <v>0</v>
      </c>
      <c r="R536" s="169">
        <f>IFERROR(MATCH(J536,'Final List'!$P$4:$P$252,0),0)</f>
        <v>0</v>
      </c>
      <c r="S536" s="169">
        <f t="shared" si="35"/>
        <v>0</v>
      </c>
      <c r="V536" s="169" t="str">
        <f t="shared" si="33"/>
        <v>CANOY 1</v>
      </c>
      <c r="W536" s="169" t="s">
        <v>2717</v>
      </c>
    </row>
    <row r="537" spans="2:23" x14ac:dyDescent="0.25">
      <c r="B537" s="169" t="s">
        <v>92</v>
      </c>
      <c r="C537" s="169" t="s">
        <v>45</v>
      </c>
      <c r="D537" s="169" t="s">
        <v>168</v>
      </c>
      <c r="E537" s="169" t="s">
        <v>36</v>
      </c>
      <c r="F537" s="245" t="str">
        <f t="shared" si="34"/>
        <v>StpS 77</v>
      </c>
      <c r="G537" s="169" t="s">
        <v>450</v>
      </c>
      <c r="I537" s="169" t="str">
        <f t="shared" si="32"/>
        <v>L05_DPVE_047E_STOPE</v>
      </c>
      <c r="J537" s="169" t="s">
        <v>6552</v>
      </c>
      <c r="K537" s="169">
        <f>IFERROR(MATCH(J537,'Final List'!$B$4:$B$252,0),0)</f>
        <v>0</v>
      </c>
      <c r="L537" s="169">
        <f>IFERROR(MATCH(J537,'Final List'!$D$4:$D$252,0),0)</f>
        <v>0</v>
      </c>
      <c r="M537" s="169">
        <f>IFERROR(MATCH(J537,'Final List'!$F$4:$F$251,0),0)</f>
        <v>0</v>
      </c>
      <c r="N537" s="169">
        <f>IFERROR(MATCH(J537,'Final List'!$H$4:$H$252,0),0)</f>
        <v>0</v>
      </c>
      <c r="O537" s="169">
        <f>IFERROR(MATCH(J537,'Final List'!$J$4:$J$252,0),0)</f>
        <v>0</v>
      </c>
      <c r="P537" s="169">
        <f>IFERROR(MATCH(J537,'Final List'!$L$4:$L$252,0),0)</f>
        <v>0</v>
      </c>
      <c r="Q537" s="169">
        <f>IFERROR(MATCH(J537,'Final List'!$N$4:$N$252,0),0)</f>
        <v>0</v>
      </c>
      <c r="R537" s="169">
        <f>IFERROR(MATCH(J537,'Final List'!$P$4:$P$252,0),0)</f>
        <v>0</v>
      </c>
      <c r="S537" s="169">
        <f t="shared" si="35"/>
        <v>0</v>
      </c>
      <c r="T537" s="169" t="s">
        <v>68</v>
      </c>
      <c r="V537" s="169" t="str">
        <f t="shared" si="33"/>
        <v>BAYOBAY 1</v>
      </c>
      <c r="W537" s="169" t="s">
        <v>2711</v>
      </c>
    </row>
    <row r="538" spans="2:23" x14ac:dyDescent="0.25">
      <c r="B538" s="178" t="s">
        <v>96</v>
      </c>
      <c r="C538" s="178" t="s">
        <v>57</v>
      </c>
      <c r="D538" s="178" t="s">
        <v>122</v>
      </c>
      <c r="E538" s="178" t="s">
        <v>211</v>
      </c>
      <c r="F538" s="245" t="str">
        <f t="shared" si="34"/>
        <v>StpS 77</v>
      </c>
      <c r="G538" s="169" t="s">
        <v>345</v>
      </c>
      <c r="I538" s="169" t="str">
        <f t="shared" si="32"/>
        <v>L09_JVSPLIT_025E_STOPE PREP</v>
      </c>
      <c r="J538" s="169" t="s">
        <v>6556</v>
      </c>
      <c r="K538" s="169">
        <f>IFERROR(MATCH(J538,'Final List'!$B$4:$B$252,0),0)</f>
        <v>0</v>
      </c>
      <c r="L538" s="169">
        <f>IFERROR(MATCH(J538,'Final List'!$D$4:$D$252,0),0)</f>
        <v>0</v>
      </c>
      <c r="M538" s="169">
        <f>IFERROR(MATCH(J538,'Final List'!$F$4:$F$251,0),0)</f>
        <v>0</v>
      </c>
      <c r="N538" s="169">
        <f>IFERROR(MATCH(J538,'Final List'!$H$4:$H$252,0),0)</f>
        <v>0</v>
      </c>
      <c r="O538" s="169">
        <f>IFERROR(MATCH(J538,'Final List'!$J$4:$J$252,0),0)</f>
        <v>0</v>
      </c>
      <c r="P538" s="169">
        <f>IFERROR(MATCH(J538,'Final List'!$L$4:$L$252,0),0)</f>
        <v>0</v>
      </c>
      <c r="Q538" s="169">
        <f>IFERROR(MATCH(J538,'Final List'!$N$4:$N$252,0),0)</f>
        <v>0</v>
      </c>
      <c r="R538" s="169">
        <f>IFERROR(MATCH(J538,'Final List'!$P$4:$P$252,0),0)</f>
        <v>0</v>
      </c>
      <c r="S538" s="169">
        <f t="shared" si="35"/>
        <v>0</v>
      </c>
      <c r="T538" s="169" t="s">
        <v>68</v>
      </c>
      <c r="V538" s="169" t="str">
        <f t="shared" si="33"/>
        <v>PANSIT 1</v>
      </c>
      <c r="W538" s="169" t="s">
        <v>2712</v>
      </c>
    </row>
    <row r="539" spans="2:23" x14ac:dyDescent="0.25">
      <c r="B539" s="169" t="s">
        <v>92</v>
      </c>
      <c r="C539" s="169" t="s">
        <v>42</v>
      </c>
      <c r="D539" s="169" t="s">
        <v>143</v>
      </c>
      <c r="E539" s="169" t="s">
        <v>221</v>
      </c>
      <c r="F539" s="245" t="str">
        <f t="shared" si="34"/>
        <v>RobC 80</v>
      </c>
      <c r="G539" s="169" t="s">
        <v>2969</v>
      </c>
      <c r="I539" s="169" t="str">
        <f t="shared" si="32"/>
        <v>L05_JV_032E_WINZE STOPE</v>
      </c>
      <c r="J539" s="169" t="s">
        <v>6557</v>
      </c>
      <c r="K539" s="169">
        <f>IFERROR(MATCH(J539,'Final List'!$B$4:$B$252,0),0)</f>
        <v>0</v>
      </c>
      <c r="L539" s="169">
        <f>IFERROR(MATCH(J539,'Final List'!$D$4:$D$252,0),0)</f>
        <v>0</v>
      </c>
      <c r="M539" s="169">
        <f>IFERROR(MATCH(J539,'Final List'!$F$4:$F$251,0),0)</f>
        <v>0</v>
      </c>
      <c r="N539" s="169">
        <f>IFERROR(MATCH(J539,'Final List'!$H$4:$H$252,0),0)</f>
        <v>0</v>
      </c>
      <c r="O539" s="169">
        <f>IFERROR(MATCH(J539,'Final List'!$J$4:$J$252,0),0)</f>
        <v>0</v>
      </c>
      <c r="P539" s="169">
        <f>IFERROR(MATCH(J539,'Final List'!$L$4:$L$252,0),0)</f>
        <v>0</v>
      </c>
      <c r="Q539" s="169">
        <f>IFERROR(MATCH(J539,'Final List'!$N$4:$N$252,0),0)</f>
        <v>0</v>
      </c>
      <c r="R539" s="169">
        <f>IFERROR(MATCH(J539,'Final List'!$P$4:$P$252,0),0)</f>
        <v>0</v>
      </c>
      <c r="S539" s="169">
        <f t="shared" si="35"/>
        <v>0</v>
      </c>
      <c r="T539" s="169" t="s">
        <v>68</v>
      </c>
      <c r="V539" s="169" t="str">
        <f t="shared" si="33"/>
        <v>SAMBERE 1</v>
      </c>
      <c r="W539" s="169" t="s">
        <v>2719</v>
      </c>
    </row>
    <row r="540" spans="2:23" x14ac:dyDescent="0.25">
      <c r="B540" s="178" t="s">
        <v>91</v>
      </c>
      <c r="C540" s="178" t="s">
        <v>42</v>
      </c>
      <c r="D540" s="178" t="s">
        <v>5615</v>
      </c>
      <c r="E540" s="178" t="s">
        <v>62</v>
      </c>
      <c r="F540" s="245" t="str">
        <f t="shared" si="34"/>
        <v>RobS 79</v>
      </c>
      <c r="G540" s="169" t="s">
        <v>5714</v>
      </c>
      <c r="I540" s="169" t="s">
        <v>6562</v>
      </c>
      <c r="J540" s="169" t="s">
        <v>6562</v>
      </c>
      <c r="K540" s="169">
        <f>IFERROR(MATCH(J540,'Final List'!$B$4:$B$252,0),0)</f>
        <v>0</v>
      </c>
      <c r="L540" s="169">
        <f>IFERROR(MATCH(J540,'Final List'!$D$4:$D$252,0),0)</f>
        <v>0</v>
      </c>
      <c r="M540" s="169">
        <f>IFERROR(MATCH(J540,'Final List'!$F$4:$F$251,0),0)</f>
        <v>0</v>
      </c>
      <c r="N540" s="169">
        <f>IFERROR(MATCH(J540,'Final List'!$H$4:$H$252,0),0)</f>
        <v>0</v>
      </c>
      <c r="O540" s="169">
        <f>IFERROR(MATCH(J540,'Final List'!$J$4:$J$252,0),0)</f>
        <v>0</v>
      </c>
      <c r="P540" s="169">
        <f>IFERROR(MATCH(J540,'Final List'!$L$4:$L$252,0),0)</f>
        <v>0</v>
      </c>
      <c r="Q540" s="169">
        <f>IFERROR(MATCH(J540,'Final List'!$N$4:$N$252,0),0)</f>
        <v>0</v>
      </c>
      <c r="R540" s="169">
        <f>IFERROR(MATCH(J540,'Final List'!$P$4:$P$252,0),0)</f>
        <v>0</v>
      </c>
      <c r="S540" s="169">
        <f t="shared" si="35"/>
        <v>0</v>
      </c>
      <c r="T540" s="169" t="s">
        <v>68</v>
      </c>
      <c r="V540" s="169" t="str">
        <f t="shared" si="33"/>
        <v>MARTINEZ, RON 2</v>
      </c>
      <c r="W540" s="169" t="s">
        <v>2707</v>
      </c>
    </row>
    <row r="541" spans="2:23" x14ac:dyDescent="0.25">
      <c r="B541" s="169" t="s">
        <v>91</v>
      </c>
      <c r="C541" s="169" t="s">
        <v>42</v>
      </c>
      <c r="D541" s="169" t="s">
        <v>99</v>
      </c>
      <c r="E541" s="169" t="s">
        <v>6154</v>
      </c>
      <c r="F541" s="245" t="str">
        <f t="shared" si="34"/>
        <v>Dhoz 71</v>
      </c>
      <c r="G541" s="169" t="s">
        <v>310</v>
      </c>
      <c r="I541" s="169" t="str">
        <f t="shared" ref="I541:I604" si="36">CONCATENATE(B541,"_",C541,"_",D541,"_",E541)</f>
        <v>L04_JV_028W_DW_ISL</v>
      </c>
      <c r="J541" s="169" t="s">
        <v>6564</v>
      </c>
      <c r="K541" s="169">
        <f>IFERROR(MATCH(J541,'Final List'!$B$4:$B$252,0),0)</f>
        <v>0</v>
      </c>
      <c r="L541" s="169">
        <f>IFERROR(MATCH(J541,'Final List'!$D$4:$D$252,0),0)</f>
        <v>0</v>
      </c>
      <c r="M541" s="169">
        <f>IFERROR(MATCH(J541,'Final List'!$F$4:$F$251,0),0)</f>
        <v>0</v>
      </c>
      <c r="N541" s="169">
        <f>IFERROR(MATCH(J541,'Final List'!$H$4:$H$252,0),0)</f>
        <v>0</v>
      </c>
      <c r="O541" s="169">
        <f>IFERROR(MATCH(J541,'Final List'!$J$4:$J$252,0),0)</f>
        <v>0</v>
      </c>
      <c r="P541" s="169">
        <f>IFERROR(MATCH(J541,'Final List'!$L$4:$L$252,0),0)</f>
        <v>0</v>
      </c>
      <c r="Q541" s="169">
        <f>IFERROR(MATCH(J541,'Final List'!$N$4:$N$252,0),0)</f>
        <v>0</v>
      </c>
      <c r="R541" s="169">
        <f>IFERROR(MATCH(J541,'Final List'!$P$4:$P$252,0),0)</f>
        <v>0</v>
      </c>
      <c r="S541" s="169">
        <f t="shared" si="35"/>
        <v>0</v>
      </c>
      <c r="V541" s="169" t="str">
        <f t="shared" si="33"/>
        <v>MARTINEZ DN 1</v>
      </c>
      <c r="W541" s="169" t="s">
        <v>2708</v>
      </c>
    </row>
    <row r="542" spans="2:23" x14ac:dyDescent="0.25">
      <c r="B542" s="169" t="s">
        <v>258</v>
      </c>
      <c r="C542" s="169" t="s">
        <v>43</v>
      </c>
      <c r="D542" s="169" t="s">
        <v>5604</v>
      </c>
      <c r="E542" s="169" t="s">
        <v>19</v>
      </c>
      <c r="F542" s="245" t="str">
        <f t="shared" si="34"/>
        <v>DVR 72</v>
      </c>
      <c r="G542" s="169" t="s">
        <v>6587</v>
      </c>
      <c r="I542" s="169" t="str">
        <f t="shared" si="36"/>
        <v>L10_GHVSPLIT_063E_RAISE</v>
      </c>
      <c r="J542" s="169" t="s">
        <v>6568</v>
      </c>
      <c r="K542" s="169">
        <f>IFERROR(MATCH(J542,'Final List'!$B$4:$B$252,0),0)</f>
        <v>0</v>
      </c>
      <c r="L542" s="169">
        <f>IFERROR(MATCH(J542,'Final List'!$D$4:$D$252,0),0)</f>
        <v>0</v>
      </c>
      <c r="M542" s="169">
        <f>IFERROR(MATCH(J542,'Final List'!$F$4:$F$251,0),0)</f>
        <v>0</v>
      </c>
      <c r="N542" s="169">
        <f>IFERROR(MATCH(J542,'Final List'!$H$4:$H$252,0),0)</f>
        <v>0</v>
      </c>
      <c r="O542" s="169">
        <f>IFERROR(MATCH(J542,'Final List'!$J$4:$J$252,0),0)</f>
        <v>0</v>
      </c>
      <c r="P542" s="169">
        <f>IFERROR(MATCH(J542,'Final List'!$L$4:$L$252,0),0)</f>
        <v>0</v>
      </c>
      <c r="Q542" s="169">
        <f>IFERROR(MATCH(J542,'Final List'!$N$4:$N$252,0),0)</f>
        <v>0</v>
      </c>
      <c r="R542" s="169">
        <f>IFERROR(MATCH(J542,'Final List'!$P$4:$P$252,0),0)</f>
        <v>0</v>
      </c>
      <c r="S542" s="169">
        <f t="shared" si="35"/>
        <v>0</v>
      </c>
      <c r="V542" s="169" t="str">
        <f t="shared" si="33"/>
        <v>SHEPEHRD W</v>
      </c>
      <c r="W542" s="169" t="s">
        <v>2715</v>
      </c>
    </row>
    <row r="543" spans="2:23" x14ac:dyDescent="0.25">
      <c r="B543" s="169" t="s">
        <v>96</v>
      </c>
      <c r="C543" s="169" t="s">
        <v>42</v>
      </c>
      <c r="D543" s="169" t="s">
        <v>135</v>
      </c>
      <c r="E543" s="169" t="s">
        <v>19</v>
      </c>
      <c r="F543" s="245" t="str">
        <f t="shared" si="34"/>
        <v>DVR 72</v>
      </c>
      <c r="G543" s="169" t="s">
        <v>345</v>
      </c>
      <c r="H543" s="169" t="s">
        <v>2972</v>
      </c>
      <c r="I543" s="169" t="str">
        <f t="shared" si="36"/>
        <v>L09_JV_034E_RAISE</v>
      </c>
      <c r="J543" s="169" t="s">
        <v>6574</v>
      </c>
      <c r="K543" s="169">
        <f>IFERROR(MATCH(J543,'Final List'!$B$4:$B$252,0),0)</f>
        <v>0</v>
      </c>
      <c r="L543" s="169">
        <f>IFERROR(MATCH(J543,'Final List'!$D$4:$D$252,0),0)</f>
        <v>0</v>
      </c>
      <c r="M543" s="169">
        <f>IFERROR(MATCH(J543,'Final List'!$F$4:$F$251,0),0)</f>
        <v>0</v>
      </c>
      <c r="N543" s="169">
        <f>IFERROR(MATCH(J543,'Final List'!$H$4:$H$252,0),0)</f>
        <v>0</v>
      </c>
      <c r="O543" s="169">
        <f>IFERROR(MATCH(J543,'Final List'!$J$4:$J$252,0),0)</f>
        <v>0</v>
      </c>
      <c r="P543" s="169">
        <f>IFERROR(MATCH(J543,'Final List'!$L$4:$L$252,0),0)</f>
        <v>0</v>
      </c>
      <c r="Q543" s="169">
        <f>IFERROR(MATCH(J543,'Final List'!$N$4:$N$252,0),0)</f>
        <v>0</v>
      </c>
      <c r="R543" s="169">
        <f>IFERROR(MATCH(J543,'Final List'!$P$4:$P$252,0),0)</f>
        <v>0</v>
      </c>
      <c r="S543" s="169">
        <f t="shared" si="35"/>
        <v>0</v>
      </c>
      <c r="V543" s="169" t="str">
        <f t="shared" si="33"/>
        <v>FABROA 1</v>
      </c>
      <c r="W543" s="169" t="s">
        <v>2715</v>
      </c>
    </row>
    <row r="544" spans="2:23" x14ac:dyDescent="0.25">
      <c r="B544" s="169" t="s">
        <v>96</v>
      </c>
      <c r="C544" s="169" t="s">
        <v>43</v>
      </c>
      <c r="D544" s="169" t="s">
        <v>205</v>
      </c>
      <c r="E544" s="169" t="s">
        <v>19</v>
      </c>
      <c r="F544" s="245" t="str">
        <f t="shared" si="34"/>
        <v>DVR 72</v>
      </c>
      <c r="G544" s="169" t="s">
        <v>350</v>
      </c>
      <c r="H544" s="169" t="s">
        <v>745</v>
      </c>
      <c r="I544" s="169" t="str">
        <f t="shared" si="36"/>
        <v>L09_GHVSPLIT_066E_RAISE</v>
      </c>
      <c r="J544" s="169" t="s">
        <v>6575</v>
      </c>
      <c r="K544" s="169">
        <f>IFERROR(MATCH(J544,'Final List'!$B$4:$B$252,0),0)</f>
        <v>0</v>
      </c>
      <c r="L544" s="169">
        <f>IFERROR(MATCH(J544,'Final List'!$D$4:$D$252,0),0)</f>
        <v>0</v>
      </c>
      <c r="M544" s="169">
        <f>IFERROR(MATCH(J544,'Final List'!$F$4:$F$251,0),0)</f>
        <v>0</v>
      </c>
      <c r="N544" s="169">
        <f>IFERROR(MATCH(J544,'Final List'!$H$4:$H$252,0),0)</f>
        <v>0</v>
      </c>
      <c r="O544" s="169">
        <f>IFERROR(MATCH(J544,'Final List'!$J$4:$J$252,0),0)</f>
        <v>0</v>
      </c>
      <c r="P544" s="169">
        <f>IFERROR(MATCH(J544,'Final List'!$L$4:$L$252,0),0)</f>
        <v>0</v>
      </c>
      <c r="Q544" s="169">
        <f>IFERROR(MATCH(J544,'Final List'!$N$4:$N$252,0),0)</f>
        <v>0</v>
      </c>
      <c r="R544" s="169">
        <f>IFERROR(MATCH(J544,'Final List'!$P$4:$P$252,0),0)</f>
        <v>0</v>
      </c>
      <c r="S544" s="169">
        <f t="shared" si="35"/>
        <v>0</v>
      </c>
      <c r="V544" s="169" t="str">
        <f t="shared" si="33"/>
        <v>CANOY 2</v>
      </c>
      <c r="W544" s="169" t="s">
        <v>2715</v>
      </c>
    </row>
    <row r="545" spans="2:23" x14ac:dyDescent="0.25">
      <c r="B545" s="169" t="s">
        <v>96</v>
      </c>
      <c r="C545" s="169" t="s">
        <v>39</v>
      </c>
      <c r="D545" s="169" t="s">
        <v>146</v>
      </c>
      <c r="E545" s="169" t="s">
        <v>61</v>
      </c>
      <c r="F545" s="245" t="str">
        <f t="shared" si="34"/>
        <v>Dhoz 71</v>
      </c>
      <c r="G545" s="169" t="s">
        <v>363</v>
      </c>
      <c r="I545" s="169" t="str">
        <f t="shared" si="36"/>
        <v>L09_JVHW_030E_DW</v>
      </c>
      <c r="J545" s="169" t="s">
        <v>6573</v>
      </c>
      <c r="K545" s="169">
        <f>IFERROR(MATCH(J545,'Final List'!$B$4:$B$252,0),0)</f>
        <v>0</v>
      </c>
      <c r="L545" s="169">
        <f>IFERROR(MATCH(J545,'Final List'!$D$4:$D$252,0),0)</f>
        <v>0</v>
      </c>
      <c r="M545" s="169">
        <f>IFERROR(MATCH(J545,'Final List'!$F$4:$F$251,0),0)</f>
        <v>0</v>
      </c>
      <c r="N545" s="169">
        <f>IFERROR(MATCH(J545,'Final List'!$H$4:$H$252,0),0)</f>
        <v>0</v>
      </c>
      <c r="O545" s="169">
        <f>IFERROR(MATCH(J545,'Final List'!$J$4:$J$252,0),0)</f>
        <v>0</v>
      </c>
      <c r="P545" s="169">
        <f>IFERROR(MATCH(J545,'Final List'!$L$4:$L$252,0),0)</f>
        <v>0</v>
      </c>
      <c r="Q545" s="169">
        <f>IFERROR(MATCH(J545,'Final List'!$N$4:$N$252,0),0)</f>
        <v>0</v>
      </c>
      <c r="R545" s="169">
        <f>IFERROR(MATCH(J545,'Final List'!$P$4:$P$252,0),0)</f>
        <v>0</v>
      </c>
      <c r="S545" s="169">
        <f t="shared" si="35"/>
        <v>0</v>
      </c>
      <c r="V545" s="169" t="str">
        <f t="shared" si="33"/>
        <v>BABOR 2</v>
      </c>
      <c r="W545" s="169" t="s">
        <v>8896</v>
      </c>
    </row>
    <row r="546" spans="2:23" x14ac:dyDescent="0.25">
      <c r="B546" s="169" t="s">
        <v>96</v>
      </c>
      <c r="C546" s="169" t="s">
        <v>87</v>
      </c>
      <c r="D546" s="169" t="s">
        <v>4482</v>
      </c>
      <c r="E546" s="169" t="s">
        <v>63</v>
      </c>
      <c r="F546" s="245" t="str">
        <f t="shared" si="34"/>
        <v>Dhoz 71</v>
      </c>
      <c r="G546" s="169" t="s">
        <v>5101</v>
      </c>
      <c r="I546" s="169" t="str">
        <f t="shared" si="36"/>
        <v>L09_NONE_084E_XCS</v>
      </c>
      <c r="J546" s="169" t="s">
        <v>6576</v>
      </c>
      <c r="K546" s="169">
        <f>IFERROR(MATCH(J546,'Final List'!$B$4:$B$252,0),0)</f>
        <v>0</v>
      </c>
      <c r="L546" s="169">
        <f>IFERROR(MATCH(J546,'Final List'!$D$4:$D$252,0),0)</f>
        <v>0</v>
      </c>
      <c r="M546" s="169">
        <f>IFERROR(MATCH(J546,'Final List'!$F$4:$F$251,0),0)</f>
        <v>0</v>
      </c>
      <c r="N546" s="169">
        <f>IFERROR(MATCH(J546,'Final List'!$H$4:$H$252,0),0)</f>
        <v>0</v>
      </c>
      <c r="O546" s="169">
        <f>IFERROR(MATCH(J546,'Final List'!$J$4:$J$252,0),0)</f>
        <v>0</v>
      </c>
      <c r="P546" s="169">
        <f>IFERROR(MATCH(J546,'Final List'!$L$4:$L$252,0),0)</f>
        <v>0</v>
      </c>
      <c r="Q546" s="169">
        <f>IFERROR(MATCH(J546,'Final List'!$N$4:$N$252,0),0)</f>
        <v>0</v>
      </c>
      <c r="R546" s="169">
        <f>IFERROR(MATCH(J546,'Final List'!$P$4:$P$252,0),0)</f>
        <v>0</v>
      </c>
      <c r="S546" s="169">
        <f t="shared" si="35"/>
        <v>0</v>
      </c>
      <c r="V546" s="169" t="str">
        <f t="shared" si="33"/>
        <v>DELOS REYES V3</v>
      </c>
      <c r="W546" s="169" t="s">
        <v>8898</v>
      </c>
    </row>
    <row r="547" spans="2:23" x14ac:dyDescent="0.25">
      <c r="B547" s="169" t="s">
        <v>96</v>
      </c>
      <c r="C547" s="169" t="s">
        <v>59</v>
      </c>
      <c r="D547" s="169" t="s">
        <v>1230</v>
      </c>
      <c r="E547" s="169" t="s">
        <v>19</v>
      </c>
      <c r="F547" s="245" t="str">
        <f t="shared" si="34"/>
        <v>DVR 72</v>
      </c>
      <c r="G547" s="169" t="s">
        <v>389</v>
      </c>
      <c r="I547" s="169" t="str">
        <f t="shared" si="36"/>
        <v>L09_GHVHW_075E_RAISE</v>
      </c>
      <c r="J547" s="169" t="s">
        <v>6579</v>
      </c>
      <c r="K547" s="169">
        <f>IFERROR(MATCH(J547,'Final List'!$B$4:$B$252,0),0)</f>
        <v>0</v>
      </c>
      <c r="L547" s="169">
        <f>IFERROR(MATCH(J547,'Final List'!$D$4:$D$252,0),0)</f>
        <v>0</v>
      </c>
      <c r="M547" s="169">
        <f>IFERROR(MATCH(J547,'Final List'!$F$4:$F$251,0),0)</f>
        <v>0</v>
      </c>
      <c r="N547" s="169">
        <f>IFERROR(MATCH(J547,'Final List'!$H$4:$H$252,0),0)</f>
        <v>0</v>
      </c>
      <c r="O547" s="169">
        <f>IFERROR(MATCH(J547,'Final List'!$J$4:$J$252,0),0)</f>
        <v>0</v>
      </c>
      <c r="P547" s="169">
        <f>IFERROR(MATCH(J547,'Final List'!$L$4:$L$252,0),0)</f>
        <v>0</v>
      </c>
      <c r="Q547" s="169">
        <f>IFERROR(MATCH(J547,'Final List'!$N$4:$N$252,0),0)</f>
        <v>0</v>
      </c>
      <c r="R547" s="169">
        <f>IFERROR(MATCH(J547,'Final List'!$P$4:$P$252,0),0)</f>
        <v>0</v>
      </c>
      <c r="S547" s="169">
        <f t="shared" si="35"/>
        <v>0</v>
      </c>
      <c r="V547" s="169" t="str">
        <f t="shared" si="33"/>
        <v>CAPPUYO 1</v>
      </c>
      <c r="W547" s="169" t="s">
        <v>2715</v>
      </c>
    </row>
    <row r="548" spans="2:23" x14ac:dyDescent="0.25">
      <c r="B548" s="169" t="s">
        <v>95</v>
      </c>
      <c r="C548" s="169" t="s">
        <v>38</v>
      </c>
      <c r="D548" s="169" t="s">
        <v>106</v>
      </c>
      <c r="E548" s="169" t="s">
        <v>19</v>
      </c>
      <c r="F548" s="245" t="str">
        <f t="shared" si="34"/>
        <v>DVR 72</v>
      </c>
      <c r="G548" s="169" t="s">
        <v>491</v>
      </c>
      <c r="I548" s="169" t="str">
        <f t="shared" si="36"/>
        <v>L08_GHV_033W_RAISE</v>
      </c>
      <c r="J548" s="169" t="s">
        <v>3831</v>
      </c>
      <c r="K548" s="169">
        <f>IFERROR(MATCH(J548,'Final List'!$B$4:$B$252,0),0)</f>
        <v>0</v>
      </c>
      <c r="L548" s="169">
        <f>IFERROR(MATCH(J548,'Final List'!$D$4:$D$252,0),0)</f>
        <v>0</v>
      </c>
      <c r="M548" s="169">
        <f>IFERROR(MATCH(J548,'Final List'!$F$4:$F$251,0),0)</f>
        <v>0</v>
      </c>
      <c r="N548" s="169">
        <f>IFERROR(MATCH(J548,'Final List'!$H$4:$H$252,0),0)</f>
        <v>0</v>
      </c>
      <c r="O548" s="169">
        <f>IFERROR(MATCH(J548,'Final List'!$J$4:$J$252,0),0)</f>
        <v>0</v>
      </c>
      <c r="P548" s="169">
        <f>IFERROR(MATCH(J548,'Final List'!$L$4:$L$252,0),0)</f>
        <v>0</v>
      </c>
      <c r="Q548" s="169">
        <f>IFERROR(MATCH(J548,'Final List'!$N$4:$N$252,0),0)</f>
        <v>0</v>
      </c>
      <c r="R548" s="169">
        <f>IFERROR(MATCH(J548,'Final List'!$P$4:$P$252,0),0)</f>
        <v>0</v>
      </c>
      <c r="S548" s="169">
        <f t="shared" si="35"/>
        <v>0</v>
      </c>
      <c r="V548" s="169" t="str">
        <f t="shared" si="33"/>
        <v>REVITA 2</v>
      </c>
      <c r="W548" s="169" t="s">
        <v>2715</v>
      </c>
    </row>
    <row r="549" spans="2:23" x14ac:dyDescent="0.25">
      <c r="B549" s="169" t="s">
        <v>92</v>
      </c>
      <c r="C549" s="169" t="s">
        <v>41</v>
      </c>
      <c r="D549" s="169" t="s">
        <v>5601</v>
      </c>
      <c r="E549" s="169" t="s">
        <v>6154</v>
      </c>
      <c r="F549" s="245" t="str">
        <f t="shared" si="34"/>
        <v>Dhoz 71</v>
      </c>
      <c r="G549" s="169" t="s">
        <v>5698</v>
      </c>
      <c r="I549" s="169" t="str">
        <f t="shared" si="36"/>
        <v>L05_CTV_026E_DW_ISL</v>
      </c>
      <c r="J549" s="169" t="s">
        <v>7457</v>
      </c>
      <c r="K549" s="169">
        <f>IFERROR(MATCH(J549,'Final List'!$B$4:$B$252,0),0)</f>
        <v>0</v>
      </c>
      <c r="L549" s="169">
        <f>IFERROR(MATCH(J549,'Final List'!$D$4:$D$252,0),0)</f>
        <v>0</v>
      </c>
      <c r="M549" s="169">
        <f>IFERROR(MATCH(J549,'Final List'!$F$4:$F$251,0),0)</f>
        <v>0</v>
      </c>
      <c r="N549" s="169">
        <f>IFERROR(MATCH(J549,'Final List'!$H$4:$H$252,0),0)</f>
        <v>0</v>
      </c>
      <c r="O549" s="169">
        <f>IFERROR(MATCH(J549,'Final List'!$J$4:$J$252,0),0)</f>
        <v>0</v>
      </c>
      <c r="P549" s="169">
        <f>IFERROR(MATCH(J549,'Final List'!$L$4:$L$252,0),0)</f>
        <v>0</v>
      </c>
      <c r="Q549" s="169">
        <f>IFERROR(MATCH(J549,'Final List'!$N$4:$N$252,0),0)</f>
        <v>0</v>
      </c>
      <c r="R549" s="169">
        <f>IFERROR(MATCH(J549,'Final List'!$P$4:$P$252,0),0)</f>
        <v>0</v>
      </c>
      <c r="S549" s="169">
        <f t="shared" si="35"/>
        <v>0</v>
      </c>
      <c r="V549" s="169" t="str">
        <f t="shared" si="33"/>
        <v>PARAN 1</v>
      </c>
      <c r="W549" s="169" t="s">
        <v>2708</v>
      </c>
    </row>
    <row r="550" spans="2:23" x14ac:dyDescent="0.25">
      <c r="B550" s="169" t="s">
        <v>258</v>
      </c>
      <c r="C550" s="169" t="s">
        <v>38</v>
      </c>
      <c r="D550" s="169" t="s">
        <v>289</v>
      </c>
      <c r="E550" s="169" t="s">
        <v>36</v>
      </c>
      <c r="F550" s="245" t="str">
        <f t="shared" si="34"/>
        <v>StpS 77</v>
      </c>
      <c r="G550" s="169" t="s">
        <v>316</v>
      </c>
      <c r="I550" s="169" t="str">
        <f t="shared" si="36"/>
        <v>L10_GHV_059E_STOPE</v>
      </c>
      <c r="J550" s="169" t="s">
        <v>6582</v>
      </c>
      <c r="K550" s="169">
        <f>IFERROR(MATCH(J550,'Final List'!$B$4:$B$252,0),0)</f>
        <v>0</v>
      </c>
      <c r="L550" s="169">
        <f>IFERROR(MATCH(J550,'Final List'!$D$4:$D$252,0),0)</f>
        <v>0</v>
      </c>
      <c r="M550" s="169">
        <f>IFERROR(MATCH(J550,'Final List'!$F$4:$F$251,0),0)</f>
        <v>0</v>
      </c>
      <c r="N550" s="169">
        <f>IFERROR(MATCH(J550,'Final List'!$H$4:$H$252,0),0)</f>
        <v>0</v>
      </c>
      <c r="O550" s="169">
        <f>IFERROR(MATCH(J550,'Final List'!$J$4:$J$252,0),0)</f>
        <v>0</v>
      </c>
      <c r="P550" s="169">
        <f>IFERROR(MATCH(J550,'Final List'!$L$4:$L$252,0),0)</f>
        <v>0</v>
      </c>
      <c r="Q550" s="169">
        <f>IFERROR(MATCH(J550,'Final List'!$N$4:$N$252,0),0)</f>
        <v>0</v>
      </c>
      <c r="R550" s="169">
        <f>IFERROR(MATCH(J550,'Final List'!$P$4:$P$252,0),0)</f>
        <v>0</v>
      </c>
      <c r="S550" s="169">
        <f t="shared" si="35"/>
        <v>0</v>
      </c>
      <c r="T550" s="169" t="s">
        <v>68</v>
      </c>
      <c r="V550" s="169" t="str">
        <f t="shared" si="33"/>
        <v>PARAGUYA 1</v>
      </c>
      <c r="W550" s="169" t="s">
        <v>2713</v>
      </c>
    </row>
    <row r="551" spans="2:23" x14ac:dyDescent="0.25">
      <c r="B551" s="178" t="s">
        <v>93</v>
      </c>
      <c r="C551" s="178" t="s">
        <v>55</v>
      </c>
      <c r="D551" s="178" t="s">
        <v>5844</v>
      </c>
      <c r="E551" s="178" t="s">
        <v>60</v>
      </c>
      <c r="F551" s="245" t="str">
        <f t="shared" si="34"/>
        <v>Dhoz 71</v>
      </c>
      <c r="G551" s="169" t="s">
        <v>356</v>
      </c>
      <c r="I551" s="169" t="str">
        <f t="shared" si="36"/>
        <v>L06_JVFW_009W_DE</v>
      </c>
      <c r="J551" s="169" t="s">
        <v>6613</v>
      </c>
      <c r="K551" s="169">
        <f>IFERROR(MATCH(J551,'Final List'!$B$4:$B$252,0),0)</f>
        <v>0</v>
      </c>
      <c r="L551" s="169">
        <f>IFERROR(MATCH(J551,'Final List'!$D$4:$D$252,0),0)</f>
        <v>0</v>
      </c>
      <c r="M551" s="169">
        <f>IFERROR(MATCH(J551,'Final List'!$F$4:$F$251,0),0)</f>
        <v>0</v>
      </c>
      <c r="N551" s="169">
        <f>IFERROR(MATCH(J551,'Final List'!$H$4:$H$252,0),0)</f>
        <v>0</v>
      </c>
      <c r="O551" s="169">
        <f>IFERROR(MATCH(J551,'Final List'!$J$4:$J$252,0),0)</f>
        <v>0</v>
      </c>
      <c r="P551" s="169">
        <f>IFERROR(MATCH(J551,'Final List'!$L$4:$L$252,0),0)</f>
        <v>0</v>
      </c>
      <c r="Q551" s="169">
        <f>IFERROR(MATCH(J551,'Final List'!$N$4:$N$252,0),0)</f>
        <v>0</v>
      </c>
      <c r="R551" s="169">
        <f>IFERROR(MATCH(J551,'Final List'!$P$4:$P$252,0),0)</f>
        <v>0</v>
      </c>
      <c r="S551" s="169">
        <f t="shared" si="35"/>
        <v>0</v>
      </c>
      <c r="V551" s="169" t="str">
        <f t="shared" si="33"/>
        <v>BAÑEZ 1</v>
      </c>
      <c r="W551" s="169" t="s">
        <v>8895</v>
      </c>
    </row>
    <row r="552" spans="2:23" x14ac:dyDescent="0.25">
      <c r="B552" s="178" t="s">
        <v>93</v>
      </c>
      <c r="C552" s="178" t="s">
        <v>55</v>
      </c>
      <c r="D552" s="178" t="s">
        <v>6036</v>
      </c>
      <c r="E552" s="178" t="s">
        <v>20</v>
      </c>
      <c r="F552" s="245" t="str">
        <f t="shared" si="34"/>
        <v>DVW 74</v>
      </c>
      <c r="G552" s="169" t="s">
        <v>5717</v>
      </c>
      <c r="I552" s="77" t="str">
        <f t="shared" si="36"/>
        <v>L06_JVFW_017E_WINZE</v>
      </c>
      <c r="J552" s="169" t="s">
        <v>6583</v>
      </c>
      <c r="K552" s="169">
        <f>IFERROR(MATCH(J552,'Final List'!$B$4:$B$252,0),0)</f>
        <v>0</v>
      </c>
      <c r="L552" s="169">
        <f>IFERROR(MATCH(J552,'Final List'!$D$4:$D$252,0),0)</f>
        <v>0</v>
      </c>
      <c r="M552" s="169">
        <f>IFERROR(MATCH(J552,'Final List'!$F$4:$F$251,0),0)</f>
        <v>0</v>
      </c>
      <c r="N552" s="169">
        <f>IFERROR(MATCH(J552,'Final List'!$H$4:$H$252,0),0)</f>
        <v>0</v>
      </c>
      <c r="O552" s="169">
        <f>IFERROR(MATCH(J552,'Final List'!$J$4:$J$252,0),0)</f>
        <v>0</v>
      </c>
      <c r="P552" s="169">
        <f>IFERROR(MATCH(J552,'Final List'!$L$4:$L$252,0),0)</f>
        <v>0</v>
      </c>
      <c r="Q552" s="169">
        <f>IFERROR(MATCH(J552,'Final List'!$N$4:$N$252,0),0)</f>
        <v>0</v>
      </c>
      <c r="R552" s="169">
        <f>IFERROR(MATCH(J552,'Final List'!$P$4:$P$252,0),0)</f>
        <v>0</v>
      </c>
      <c r="S552" s="169">
        <f t="shared" si="35"/>
        <v>0</v>
      </c>
      <c r="V552" s="169" t="str">
        <f t="shared" si="33"/>
        <v>SHEPHERD AC 1</v>
      </c>
      <c r="W552" s="169" t="s">
        <v>2706</v>
      </c>
    </row>
    <row r="553" spans="2:23" x14ac:dyDescent="0.25">
      <c r="B553" s="178" t="s">
        <v>93</v>
      </c>
      <c r="C553" s="178" t="s">
        <v>87</v>
      </c>
      <c r="D553" s="178" t="s">
        <v>5741</v>
      </c>
      <c r="E553" s="178" t="s">
        <v>63</v>
      </c>
      <c r="F553" s="245" t="str">
        <f t="shared" si="34"/>
        <v>Dhoz 71</v>
      </c>
      <c r="G553" s="169" t="s">
        <v>356</v>
      </c>
      <c r="I553" s="77" t="str">
        <f t="shared" si="36"/>
        <v>L06_NONE_035E_XCS</v>
      </c>
      <c r="J553" s="169" t="s">
        <v>3649</v>
      </c>
      <c r="K553" s="169">
        <f>IFERROR(MATCH(J553,'Final List'!$B$4:$B$252,0),0)</f>
        <v>0</v>
      </c>
      <c r="L553" s="169">
        <f>IFERROR(MATCH(J553,'Final List'!$D$4:$D$252,0),0)</f>
        <v>0</v>
      </c>
      <c r="M553" s="169">
        <f>IFERROR(MATCH(J553,'Final List'!$F$4:$F$251,0),0)</f>
        <v>0</v>
      </c>
      <c r="N553" s="169">
        <f>IFERROR(MATCH(J553,'Final List'!$H$4:$H$252,0),0)</f>
        <v>0</v>
      </c>
      <c r="O553" s="169">
        <f>IFERROR(MATCH(J553,'Final List'!$J$4:$J$252,0),0)</f>
        <v>0</v>
      </c>
      <c r="P553" s="169">
        <f>IFERROR(MATCH(J553,'Final List'!$L$4:$L$252,0),0)</f>
        <v>0</v>
      </c>
      <c r="Q553" s="169">
        <f>IFERROR(MATCH(J553,'Final List'!$N$4:$N$252,0),0)</f>
        <v>0</v>
      </c>
      <c r="R553" s="169">
        <f>IFERROR(MATCH(J553,'Final List'!$P$4:$P$252,0),0)</f>
        <v>0</v>
      </c>
      <c r="S553" s="169">
        <f t="shared" si="35"/>
        <v>0</v>
      </c>
      <c r="V553" s="169" t="str">
        <f t="shared" si="33"/>
        <v>BAÑEZ 1</v>
      </c>
      <c r="W553" s="169" t="s">
        <v>8897</v>
      </c>
    </row>
    <row r="554" spans="2:23" x14ac:dyDescent="0.25">
      <c r="B554" s="178" t="s">
        <v>94</v>
      </c>
      <c r="C554" s="178" t="s">
        <v>42</v>
      </c>
      <c r="D554" s="178" t="s">
        <v>179</v>
      </c>
      <c r="E554" s="178" t="s">
        <v>6143</v>
      </c>
      <c r="F554" s="245" t="str">
        <f t="shared" si="34"/>
        <v>Dhoz 71</v>
      </c>
      <c r="G554" s="169" t="s">
        <v>329</v>
      </c>
      <c r="I554" s="169" t="str">
        <f t="shared" si="36"/>
        <v>L07_JV_050E_DE_ISL</v>
      </c>
      <c r="J554" s="169" t="s">
        <v>6592</v>
      </c>
      <c r="K554" s="169">
        <f>IFERROR(MATCH(J554,'Final List'!$B$4:$B$252,0),0)</f>
        <v>0</v>
      </c>
      <c r="L554" s="169">
        <f>IFERROR(MATCH(J554,'Final List'!$D$4:$D$252,0),0)</f>
        <v>0</v>
      </c>
      <c r="M554" s="169">
        <f>IFERROR(MATCH(J554,'Final List'!$F$4:$F$251,0),0)</f>
        <v>0</v>
      </c>
      <c r="N554" s="169">
        <f>IFERROR(MATCH(J554,'Final List'!$H$4:$H$252,0),0)</f>
        <v>0</v>
      </c>
      <c r="O554" s="169">
        <f>IFERROR(MATCH(J554,'Final List'!$J$4:$J$252,0),0)</f>
        <v>0</v>
      </c>
      <c r="P554" s="169">
        <f>IFERROR(MATCH(J554,'Final List'!$L$4:$L$252,0),0)</f>
        <v>0</v>
      </c>
      <c r="Q554" s="169">
        <f>IFERROR(MATCH(J554,'Final List'!$N$4:$N$252,0),0)</f>
        <v>0</v>
      </c>
      <c r="R554" s="169">
        <f>IFERROR(MATCH(J554,'Final List'!$P$4:$P$252,0),0)</f>
        <v>0</v>
      </c>
      <c r="S554" s="169">
        <f t="shared" si="35"/>
        <v>0</v>
      </c>
      <c r="V554" s="169" t="str">
        <f t="shared" si="33"/>
        <v>OY-YOY 1</v>
      </c>
      <c r="W554" s="169" t="s">
        <v>2708</v>
      </c>
    </row>
    <row r="555" spans="2:23" x14ac:dyDescent="0.25">
      <c r="B555" s="169" t="s">
        <v>258</v>
      </c>
      <c r="C555" s="169" t="s">
        <v>45</v>
      </c>
      <c r="D555" s="169" t="s">
        <v>166</v>
      </c>
      <c r="E555" s="169" t="s">
        <v>60</v>
      </c>
      <c r="F555" s="245" t="str">
        <f t="shared" si="34"/>
        <v>Dhoz 71</v>
      </c>
      <c r="G555" s="169" t="s">
        <v>5703</v>
      </c>
      <c r="I555" s="169" t="str">
        <f t="shared" si="36"/>
        <v>L10_DPVE_068E_DE</v>
      </c>
      <c r="J555" s="169" t="s">
        <v>5218</v>
      </c>
      <c r="K555" s="169">
        <f>IFERROR(MATCH(J555,'Final List'!$B$4:$B$252,0),0)</f>
        <v>0</v>
      </c>
      <c r="L555" s="169">
        <f>IFERROR(MATCH(J555,'Final List'!$D$4:$D$252,0),0)</f>
        <v>0</v>
      </c>
      <c r="M555" s="169">
        <f>IFERROR(MATCH(J555,'Final List'!$F$4:$F$251,0),0)</f>
        <v>0</v>
      </c>
      <c r="N555" s="169">
        <f>IFERROR(MATCH(J555,'Final List'!$H$4:$H$252,0),0)</f>
        <v>0</v>
      </c>
      <c r="O555" s="169">
        <f>IFERROR(MATCH(J555,'Final List'!$J$4:$J$252,0),0)</f>
        <v>0</v>
      </c>
      <c r="P555" s="169">
        <f>IFERROR(MATCH(J555,'Final List'!$L$4:$L$252,0),0)</f>
        <v>0</v>
      </c>
      <c r="Q555" s="169">
        <f>IFERROR(MATCH(J555,'Final List'!$N$4:$N$252,0),0)</f>
        <v>0</v>
      </c>
      <c r="R555" s="169">
        <f>IFERROR(MATCH(J555,'Final List'!$P$4:$P$252,0),0)</f>
        <v>0</v>
      </c>
      <c r="S555" s="169">
        <f t="shared" si="35"/>
        <v>0</v>
      </c>
      <c r="V555" s="169" t="str">
        <f t="shared" si="33"/>
        <v>OLIVEROS 2</v>
      </c>
      <c r="W555" s="169" t="s">
        <v>8896</v>
      </c>
    </row>
    <row r="556" spans="2:23" x14ac:dyDescent="0.25">
      <c r="B556" s="169" t="s">
        <v>258</v>
      </c>
      <c r="C556" s="169" t="s">
        <v>56</v>
      </c>
      <c r="D556" s="169" t="s">
        <v>174</v>
      </c>
      <c r="E556" s="169" t="s">
        <v>60</v>
      </c>
      <c r="F556" s="245" t="str">
        <f t="shared" si="34"/>
        <v>Dhoz 71</v>
      </c>
      <c r="G556" s="169" t="s">
        <v>296</v>
      </c>
      <c r="I556" s="169" t="str">
        <f t="shared" si="36"/>
        <v>L10_GHVFW_052E_DE</v>
      </c>
      <c r="J556" s="169" t="s">
        <v>6593</v>
      </c>
      <c r="K556" s="169">
        <f>IFERROR(MATCH(J556,'Final List'!$B$4:$B$252,0),0)</f>
        <v>0</v>
      </c>
      <c r="L556" s="169">
        <f>IFERROR(MATCH(J556,'Final List'!$D$4:$D$252,0),0)</f>
        <v>0</v>
      </c>
      <c r="M556" s="169">
        <f>IFERROR(MATCH(J556,'Final List'!$F$4:$F$251,0),0)</f>
        <v>0</v>
      </c>
      <c r="N556" s="169">
        <f>IFERROR(MATCH(J556,'Final List'!$H$4:$H$252,0),0)</f>
        <v>0</v>
      </c>
      <c r="O556" s="169">
        <f>IFERROR(MATCH(J556,'Final List'!$J$4:$J$252,0),0)</f>
        <v>0</v>
      </c>
      <c r="P556" s="169">
        <f>IFERROR(MATCH(J556,'Final List'!$L$4:$L$252,0),0)</f>
        <v>0</v>
      </c>
      <c r="Q556" s="169">
        <f>IFERROR(MATCH(J556,'Final List'!$N$4:$N$252,0),0)</f>
        <v>0</v>
      </c>
      <c r="R556" s="169">
        <f>IFERROR(MATCH(J556,'Final List'!$P$4:$P$252,0),0)</f>
        <v>0</v>
      </c>
      <c r="S556" s="169">
        <f t="shared" si="35"/>
        <v>0</v>
      </c>
      <c r="V556" s="169" t="str">
        <f t="shared" si="33"/>
        <v>MONTEBON 2</v>
      </c>
      <c r="W556" s="169" t="s">
        <v>8896</v>
      </c>
    </row>
    <row r="557" spans="2:23" x14ac:dyDescent="0.25">
      <c r="B557" s="178" t="s">
        <v>96</v>
      </c>
      <c r="C557" s="178" t="s">
        <v>56</v>
      </c>
      <c r="D557" s="178" t="s">
        <v>148</v>
      </c>
      <c r="E557" s="178" t="s">
        <v>60</v>
      </c>
      <c r="F557" s="245" t="str">
        <f t="shared" si="34"/>
        <v>Dhoz 71</v>
      </c>
      <c r="G557" s="169" t="s">
        <v>461</v>
      </c>
      <c r="I557" s="169" t="str">
        <f t="shared" si="36"/>
        <v>L09_GHVFW_039E_DE</v>
      </c>
      <c r="J557" s="169" t="s">
        <v>6594</v>
      </c>
      <c r="K557" s="169">
        <f>IFERROR(MATCH(J557,'Final List'!$B$4:$B$252,0),0)</f>
        <v>0</v>
      </c>
      <c r="L557" s="169">
        <f>IFERROR(MATCH(J557,'Final List'!$D$4:$D$252,0),0)</f>
        <v>0</v>
      </c>
      <c r="M557" s="169">
        <f>IFERROR(MATCH(J557,'Final List'!$F$4:$F$251,0),0)</f>
        <v>0</v>
      </c>
      <c r="N557" s="169">
        <f>IFERROR(MATCH(J557,'Final List'!$H$4:$H$252,0),0)</f>
        <v>0</v>
      </c>
      <c r="O557" s="169">
        <f>IFERROR(MATCH(J557,'Final List'!$J$4:$J$252,0),0)</f>
        <v>0</v>
      </c>
      <c r="P557" s="169">
        <f>IFERROR(MATCH(J557,'Final List'!$L$4:$L$252,0),0)</f>
        <v>0</v>
      </c>
      <c r="Q557" s="169">
        <f>IFERROR(MATCH(J557,'Final List'!$N$4:$N$252,0),0)</f>
        <v>0</v>
      </c>
      <c r="R557" s="169">
        <f>IFERROR(MATCH(J557,'Final List'!$P$4:$P$252,0),0)</f>
        <v>0</v>
      </c>
      <c r="S557" s="169">
        <f t="shared" si="35"/>
        <v>0</v>
      </c>
      <c r="V557" s="169" t="str">
        <f t="shared" si="33"/>
        <v>PANSIT 4</v>
      </c>
      <c r="W557" s="169" t="s">
        <v>8896</v>
      </c>
    </row>
    <row r="558" spans="2:23" x14ac:dyDescent="0.25">
      <c r="B558" s="178" t="s">
        <v>96</v>
      </c>
      <c r="C558" s="178" t="s">
        <v>46</v>
      </c>
      <c r="D558" s="178" t="s">
        <v>5604</v>
      </c>
      <c r="E558" s="178" t="s">
        <v>60</v>
      </c>
      <c r="F558" s="245" t="str">
        <f t="shared" si="34"/>
        <v>Dhoz 71</v>
      </c>
      <c r="G558" s="169" t="s">
        <v>389</v>
      </c>
      <c r="I558" s="169" t="str">
        <f t="shared" si="36"/>
        <v>L09_DPVE2_063E_DE</v>
      </c>
      <c r="J558" s="169" t="s">
        <v>6595</v>
      </c>
      <c r="K558" s="169">
        <f>IFERROR(MATCH(J558,'Final List'!$B$4:$B$252,0),0)</f>
        <v>0</v>
      </c>
      <c r="L558" s="169">
        <f>IFERROR(MATCH(J558,'Final List'!$D$4:$D$252,0),0)</f>
        <v>0</v>
      </c>
      <c r="M558" s="169">
        <f>IFERROR(MATCH(J558,'Final List'!$F$4:$F$251,0),0)</f>
        <v>0</v>
      </c>
      <c r="N558" s="169">
        <f>IFERROR(MATCH(J558,'Final List'!$H$4:$H$252,0),0)</f>
        <v>0</v>
      </c>
      <c r="O558" s="169">
        <f>IFERROR(MATCH(J558,'Final List'!$J$4:$J$252,0),0)</f>
        <v>0</v>
      </c>
      <c r="P558" s="169">
        <f>IFERROR(MATCH(J558,'Final List'!$L$4:$L$252,0),0)</f>
        <v>0</v>
      </c>
      <c r="Q558" s="169">
        <f>IFERROR(MATCH(J558,'Final List'!$N$4:$N$252,0),0)</f>
        <v>0</v>
      </c>
      <c r="R558" s="169">
        <f>IFERROR(MATCH(J558,'Final List'!$P$4:$P$252,0),0)</f>
        <v>0</v>
      </c>
      <c r="S558" s="169">
        <f t="shared" si="35"/>
        <v>0</v>
      </c>
      <c r="V558" s="169" t="str">
        <f t="shared" si="33"/>
        <v>CAPPUYO 1</v>
      </c>
      <c r="W558" s="169" t="s">
        <v>8896</v>
      </c>
    </row>
    <row r="559" spans="2:23" x14ac:dyDescent="0.25">
      <c r="B559" s="169" t="s">
        <v>96</v>
      </c>
      <c r="C559" s="169" t="s">
        <v>56</v>
      </c>
      <c r="D559" s="169" t="s">
        <v>143</v>
      </c>
      <c r="E559" s="169" t="s">
        <v>60</v>
      </c>
      <c r="F559" s="245" t="str">
        <f t="shared" si="34"/>
        <v>Dhoz 71</v>
      </c>
      <c r="G559" s="169" t="s">
        <v>461</v>
      </c>
      <c r="I559" s="169" t="str">
        <f t="shared" si="36"/>
        <v>L09_GHVFW_032E_DE</v>
      </c>
      <c r="J559" s="169" t="s">
        <v>6596</v>
      </c>
      <c r="K559" s="169">
        <f>IFERROR(MATCH(J559,'Final List'!$B$4:$B$252,0),0)</f>
        <v>0</v>
      </c>
      <c r="L559" s="169">
        <f>IFERROR(MATCH(J559,'Final List'!$D$4:$D$252,0),0)</f>
        <v>0</v>
      </c>
      <c r="M559" s="169">
        <f>IFERROR(MATCH(J559,'Final List'!$F$4:$F$251,0),0)</f>
        <v>0</v>
      </c>
      <c r="N559" s="169">
        <f>IFERROR(MATCH(J559,'Final List'!$H$4:$H$252,0),0)</f>
        <v>0</v>
      </c>
      <c r="O559" s="169">
        <f>IFERROR(MATCH(J559,'Final List'!$J$4:$J$252,0),0)</f>
        <v>0</v>
      </c>
      <c r="P559" s="169">
        <f>IFERROR(MATCH(J559,'Final List'!$L$4:$L$252,0),0)</f>
        <v>0</v>
      </c>
      <c r="Q559" s="169">
        <f>IFERROR(MATCH(J559,'Final List'!$N$4:$N$252,0),0)</f>
        <v>0</v>
      </c>
      <c r="R559" s="169">
        <f>IFERROR(MATCH(J559,'Final List'!$P$4:$P$252,0),0)</f>
        <v>0</v>
      </c>
      <c r="S559" s="169">
        <f t="shared" si="35"/>
        <v>0</v>
      </c>
      <c r="V559" s="169" t="str">
        <f t="shared" si="33"/>
        <v>PANSIT 4</v>
      </c>
      <c r="W559" s="169" t="s">
        <v>8896</v>
      </c>
    </row>
    <row r="560" spans="2:23" x14ac:dyDescent="0.25">
      <c r="B560" s="169" t="s">
        <v>95</v>
      </c>
      <c r="C560" s="169" t="s">
        <v>45</v>
      </c>
      <c r="D560" s="169" t="s">
        <v>130</v>
      </c>
      <c r="E560" s="169" t="s">
        <v>20</v>
      </c>
      <c r="F560" s="245" t="str">
        <f t="shared" si="34"/>
        <v>DVW 74</v>
      </c>
      <c r="G560" s="169" t="s">
        <v>617</v>
      </c>
      <c r="I560" s="169" t="str">
        <f t="shared" si="36"/>
        <v>L08_DPVE_036E_WINZE</v>
      </c>
      <c r="J560" s="169" t="s">
        <v>6598</v>
      </c>
      <c r="K560" s="169">
        <f>IFERROR(MATCH(J560,'Final List'!$B$4:$B$252,0),0)</f>
        <v>0</v>
      </c>
      <c r="L560" s="169">
        <f>IFERROR(MATCH(J560,'Final List'!$D$4:$D$252,0),0)</f>
        <v>0</v>
      </c>
      <c r="M560" s="169">
        <f>IFERROR(MATCH(J560,'Final List'!$F$4:$F$251,0),0)</f>
        <v>0</v>
      </c>
      <c r="N560" s="169">
        <f>IFERROR(MATCH(J560,'Final List'!$H$4:$H$252,0),0)</f>
        <v>0</v>
      </c>
      <c r="O560" s="169">
        <f>IFERROR(MATCH(J560,'Final List'!$J$4:$J$252,0),0)</f>
        <v>0</v>
      </c>
      <c r="P560" s="169">
        <f>IFERROR(MATCH(J560,'Final List'!$L$4:$L$252,0),0)</f>
        <v>0</v>
      </c>
      <c r="Q560" s="169">
        <f>IFERROR(MATCH(J560,'Final List'!$N$4:$N$252,0),0)</f>
        <v>0</v>
      </c>
      <c r="R560" s="169">
        <f>IFERROR(MATCH(J560,'Final List'!$P$4:$P$252,0),0)</f>
        <v>0</v>
      </c>
      <c r="S560" s="169">
        <f t="shared" si="35"/>
        <v>0</v>
      </c>
      <c r="V560" s="169" t="str">
        <f t="shared" si="33"/>
        <v>HANGDAAN 2</v>
      </c>
      <c r="W560" s="169" t="s">
        <v>2706</v>
      </c>
    </row>
    <row r="561" spans="2:23" x14ac:dyDescent="0.25">
      <c r="B561" s="169" t="s">
        <v>95</v>
      </c>
      <c r="C561" s="169" t="s">
        <v>56</v>
      </c>
      <c r="D561" s="169" t="s">
        <v>109</v>
      </c>
      <c r="E561" s="169" t="s">
        <v>20</v>
      </c>
      <c r="F561" s="245" t="str">
        <f t="shared" si="34"/>
        <v>DVW 74</v>
      </c>
      <c r="G561" s="169" t="s">
        <v>1369</v>
      </c>
      <c r="I561" s="169" t="str">
        <f t="shared" si="36"/>
        <v>L08_GHVFW_002W_WINZE</v>
      </c>
      <c r="J561" s="169" t="s">
        <v>6599</v>
      </c>
      <c r="K561" s="169">
        <f>IFERROR(MATCH(J561,'Final List'!$B$4:$B$252,0),0)</f>
        <v>0</v>
      </c>
      <c r="L561" s="169">
        <f>IFERROR(MATCH(J561,'Final List'!$D$4:$D$252,0),0)</f>
        <v>0</v>
      </c>
      <c r="M561" s="169">
        <f>IFERROR(MATCH(J561,'Final List'!$F$4:$F$251,0),0)</f>
        <v>0</v>
      </c>
      <c r="N561" s="169">
        <f>IFERROR(MATCH(J561,'Final List'!$H$4:$H$252,0),0)</f>
        <v>0</v>
      </c>
      <c r="O561" s="169">
        <f>IFERROR(MATCH(J561,'Final List'!$J$4:$J$252,0),0)</f>
        <v>0</v>
      </c>
      <c r="P561" s="169">
        <f>IFERROR(MATCH(J561,'Final List'!$L$4:$L$252,0),0)</f>
        <v>0</v>
      </c>
      <c r="Q561" s="169">
        <f>IFERROR(MATCH(J561,'Final List'!$N$4:$N$252,0),0)</f>
        <v>0</v>
      </c>
      <c r="R561" s="169">
        <f>IFERROR(MATCH(J561,'Final List'!$P$4:$P$252,0),0)</f>
        <v>0</v>
      </c>
      <c r="S561" s="169">
        <f t="shared" si="35"/>
        <v>0</v>
      </c>
      <c r="V561" s="169" t="str">
        <f t="shared" si="33"/>
        <v>TORMIS</v>
      </c>
      <c r="W561" s="169" t="s">
        <v>2706</v>
      </c>
    </row>
    <row r="562" spans="2:23" x14ac:dyDescent="0.25">
      <c r="B562" s="169" t="s">
        <v>95</v>
      </c>
      <c r="C562" s="169" t="s">
        <v>87</v>
      </c>
      <c r="D562" s="169" t="s">
        <v>170</v>
      </c>
      <c r="E562" s="169" t="s">
        <v>63</v>
      </c>
      <c r="F562" s="245" t="str">
        <f t="shared" si="34"/>
        <v>Dhoz 71</v>
      </c>
      <c r="G562" s="169" t="s">
        <v>6601</v>
      </c>
      <c r="I562" s="169" t="str">
        <f t="shared" si="36"/>
        <v>L08_NONE_071E_XCS</v>
      </c>
      <c r="J562" s="169" t="s">
        <v>6600</v>
      </c>
      <c r="K562" s="169">
        <f>IFERROR(MATCH(J562,'Final List'!$B$4:$B$252,0),0)</f>
        <v>0</v>
      </c>
      <c r="L562" s="169">
        <f>IFERROR(MATCH(J562,'Final List'!$D$4:$D$252,0),0)</f>
        <v>0</v>
      </c>
      <c r="M562" s="169">
        <f>IFERROR(MATCH(J562,'Final List'!$F$4:$F$251,0),0)</f>
        <v>0</v>
      </c>
      <c r="N562" s="169">
        <f>IFERROR(MATCH(J562,'Final List'!$H$4:$H$252,0),0)</f>
        <v>0</v>
      </c>
      <c r="O562" s="169">
        <f>IFERROR(MATCH(J562,'Final List'!$J$4:$J$252,0),0)</f>
        <v>0</v>
      </c>
      <c r="P562" s="169">
        <f>IFERROR(MATCH(J562,'Final List'!$L$4:$L$252,0),0)</f>
        <v>0</v>
      </c>
      <c r="Q562" s="169">
        <f>IFERROR(MATCH(J562,'Final List'!$N$4:$N$252,0),0)</f>
        <v>0</v>
      </c>
      <c r="R562" s="169">
        <f>IFERROR(MATCH(J562,'Final List'!$P$4:$P$252,0),0)</f>
        <v>0</v>
      </c>
      <c r="S562" s="169">
        <f t="shared" si="35"/>
        <v>0</v>
      </c>
      <c r="V562" s="169" t="str">
        <f t="shared" si="33"/>
        <v>AGLOLO, MIGUEL 1</v>
      </c>
      <c r="W562" s="169" t="s">
        <v>8897</v>
      </c>
    </row>
    <row r="563" spans="2:23" x14ac:dyDescent="0.25">
      <c r="B563" s="169" t="s">
        <v>1167</v>
      </c>
      <c r="C563" s="169" t="s">
        <v>42</v>
      </c>
      <c r="D563" s="169" t="s">
        <v>160</v>
      </c>
      <c r="E563" s="169" t="s">
        <v>60</v>
      </c>
      <c r="F563" s="245" t="str">
        <f t="shared" si="34"/>
        <v>Dhoz 71</v>
      </c>
      <c r="G563" s="169" t="s">
        <v>6932</v>
      </c>
      <c r="H563" s="169" t="s">
        <v>8197</v>
      </c>
      <c r="I563" s="169" t="str">
        <f t="shared" si="36"/>
        <v>L12_JV_042E_DE</v>
      </c>
      <c r="J563" s="169" t="s">
        <v>6603</v>
      </c>
      <c r="K563" s="169">
        <f>IFERROR(MATCH(J563,'Final List'!$B$4:$B$252,0),0)</f>
        <v>0</v>
      </c>
      <c r="L563" s="169">
        <f>IFERROR(MATCH(J563,'Final List'!$D$4:$D$252,0),0)</f>
        <v>0</v>
      </c>
      <c r="M563" s="169">
        <f>IFERROR(MATCH(J563,'Final List'!$F$4:$F$251,0),0)</f>
        <v>0</v>
      </c>
      <c r="N563" s="169">
        <f>IFERROR(MATCH(J563,'Final List'!$H$4:$H$252,0),0)</f>
        <v>0</v>
      </c>
      <c r="O563" s="169">
        <f>IFERROR(MATCH(J563,'Final List'!$J$4:$J$252,0),0)</f>
        <v>0</v>
      </c>
      <c r="P563" s="169">
        <f>IFERROR(MATCH(J563,'Final List'!$L$4:$L$252,0),0)</f>
        <v>0</v>
      </c>
      <c r="Q563" s="169">
        <f>IFERROR(MATCH(J563,'Final List'!$N$4:$N$252,0),0)</f>
        <v>0</v>
      </c>
      <c r="R563" s="169">
        <f>IFERROR(MATCH(J563,'Final List'!$P$4:$P$252,0),0)</f>
        <v>0</v>
      </c>
      <c r="S563" s="169">
        <f t="shared" si="35"/>
        <v>0</v>
      </c>
      <c r="V563" s="169" t="str">
        <f t="shared" si="33"/>
        <v>PANCIT, NOEL  1</v>
      </c>
      <c r="W563" s="169" t="s">
        <v>8896</v>
      </c>
    </row>
    <row r="564" spans="2:23" x14ac:dyDescent="0.25">
      <c r="B564" s="178" t="s">
        <v>96</v>
      </c>
      <c r="C564" s="178" t="s">
        <v>42</v>
      </c>
      <c r="D564" s="178" t="s">
        <v>123</v>
      </c>
      <c r="E564" s="178" t="s">
        <v>61</v>
      </c>
      <c r="F564" s="245" t="str">
        <f t="shared" si="34"/>
        <v>Dhoz 71</v>
      </c>
      <c r="G564" s="169" t="s">
        <v>363</v>
      </c>
      <c r="I564" s="169" t="str">
        <f t="shared" si="36"/>
        <v>L09_JV_031E_DW</v>
      </c>
      <c r="J564" s="169" t="s">
        <v>6729</v>
      </c>
      <c r="K564" s="169">
        <f>IFERROR(MATCH(J564,'Final List'!$B$4:$B$252,0),0)</f>
        <v>0</v>
      </c>
      <c r="L564" s="169">
        <f>IFERROR(MATCH(J564,'Final List'!$D$4:$D$252,0),0)</f>
        <v>0</v>
      </c>
      <c r="M564" s="169">
        <f>IFERROR(MATCH(J564,'Final List'!$F$4:$F$251,0),0)</f>
        <v>0</v>
      </c>
      <c r="N564" s="169">
        <f>IFERROR(MATCH(J564,'Final List'!$H$4:$H$252,0),0)</f>
        <v>0</v>
      </c>
      <c r="O564" s="169">
        <f>IFERROR(MATCH(J564,'Final List'!$J$4:$J$252,0),0)</f>
        <v>0</v>
      </c>
      <c r="P564" s="169">
        <f>IFERROR(MATCH(J564,'Final List'!$L$4:$L$252,0),0)</f>
        <v>0</v>
      </c>
      <c r="Q564" s="169">
        <f>IFERROR(MATCH(J564,'Final List'!$N$4:$N$252,0),0)</f>
        <v>0</v>
      </c>
      <c r="R564" s="169">
        <f>IFERROR(MATCH(J564,'Final List'!$P$4:$P$252,0),0)</f>
        <v>0</v>
      </c>
      <c r="S564" s="169">
        <f t="shared" si="35"/>
        <v>0</v>
      </c>
      <c r="V564" s="169" t="str">
        <f t="shared" si="33"/>
        <v>BABOR 2</v>
      </c>
      <c r="W564" s="169" t="s">
        <v>8896</v>
      </c>
    </row>
    <row r="565" spans="2:23" x14ac:dyDescent="0.25">
      <c r="B565" s="169" t="s">
        <v>96</v>
      </c>
      <c r="C565" s="169" t="s">
        <v>55</v>
      </c>
      <c r="D565" s="169" t="s">
        <v>170</v>
      </c>
      <c r="E565" s="169" t="s">
        <v>19</v>
      </c>
      <c r="F565" s="245" t="str">
        <f t="shared" si="34"/>
        <v>DVR 72</v>
      </c>
      <c r="G565" s="169" t="s">
        <v>585</v>
      </c>
      <c r="I565" s="169" t="str">
        <f t="shared" si="36"/>
        <v>L09_JVFW_071E_RAISE</v>
      </c>
      <c r="J565" s="169" t="s">
        <v>6609</v>
      </c>
      <c r="K565" s="169">
        <f>IFERROR(MATCH(J565,'Final List'!$B$4:$B$252,0),0)</f>
        <v>0</v>
      </c>
      <c r="L565" s="169">
        <f>IFERROR(MATCH(J565,'Final List'!$D$4:$D$252,0),0)</f>
        <v>0</v>
      </c>
      <c r="M565" s="169">
        <f>IFERROR(MATCH(J565,'Final List'!$F$4:$F$251,0),0)</f>
        <v>0</v>
      </c>
      <c r="N565" s="169">
        <f>IFERROR(MATCH(J565,'Final List'!$H$4:$H$252,0),0)</f>
        <v>0</v>
      </c>
      <c r="O565" s="169">
        <f>IFERROR(MATCH(J565,'Final List'!$J$4:$J$252,0),0)</f>
        <v>0</v>
      </c>
      <c r="P565" s="169">
        <f>IFERROR(MATCH(J565,'Final List'!$L$4:$L$252,0),0)</f>
        <v>0</v>
      </c>
      <c r="Q565" s="169">
        <f>IFERROR(MATCH(J565,'Final List'!$N$4:$N$252,0),0)</f>
        <v>0</v>
      </c>
      <c r="R565" s="169">
        <f>IFERROR(MATCH(J565,'Final List'!$P$4:$P$252,0),0)</f>
        <v>0</v>
      </c>
      <c r="S565" s="169">
        <f t="shared" si="35"/>
        <v>0</v>
      </c>
      <c r="V565" s="169" t="str">
        <f t="shared" si="33"/>
        <v>ESPADA 1</v>
      </c>
      <c r="W565" s="169" t="s">
        <v>2715</v>
      </c>
    </row>
    <row r="566" spans="2:23" x14ac:dyDescent="0.25">
      <c r="B566" s="178" t="s">
        <v>93</v>
      </c>
      <c r="C566" s="178" t="s">
        <v>57</v>
      </c>
      <c r="D566" s="178" t="s">
        <v>112</v>
      </c>
      <c r="E566" s="178" t="s">
        <v>60</v>
      </c>
      <c r="F566" s="245" t="str">
        <f t="shared" si="34"/>
        <v>Dhoz 71</v>
      </c>
      <c r="G566" s="169" t="s">
        <v>354</v>
      </c>
      <c r="I566" s="169" t="str">
        <f t="shared" si="36"/>
        <v>L06_JVSPLIT_018E_DE</v>
      </c>
      <c r="J566" s="169" t="s">
        <v>6610</v>
      </c>
      <c r="K566" s="169">
        <f>IFERROR(MATCH(J566,'Final List'!$B$4:$B$252,0),0)</f>
        <v>0</v>
      </c>
      <c r="L566" s="169">
        <f>IFERROR(MATCH(J566,'Final List'!$D$4:$D$252,0),0)</f>
        <v>0</v>
      </c>
      <c r="M566" s="169">
        <f>IFERROR(MATCH(J566,'Final List'!$F$4:$F$251,0),0)</f>
        <v>0</v>
      </c>
      <c r="N566" s="169">
        <f>IFERROR(MATCH(J566,'Final List'!$H$4:$H$252,0),0)</f>
        <v>0</v>
      </c>
      <c r="O566" s="169">
        <f>IFERROR(MATCH(J566,'Final List'!$J$4:$J$252,0),0)</f>
        <v>0</v>
      </c>
      <c r="P566" s="169">
        <f>IFERROR(MATCH(J566,'Final List'!$L$4:$L$252,0),0)</f>
        <v>0</v>
      </c>
      <c r="Q566" s="169">
        <f>IFERROR(MATCH(J566,'Final List'!$N$4:$N$252,0),0)</f>
        <v>0</v>
      </c>
      <c r="R566" s="169">
        <f>IFERROR(MATCH(J566,'Final List'!$P$4:$P$252,0),0)</f>
        <v>0</v>
      </c>
      <c r="S566" s="169">
        <f t="shared" si="35"/>
        <v>0</v>
      </c>
      <c r="V566" s="169" t="str">
        <f t="shared" si="33"/>
        <v>BAÑEZ 3</v>
      </c>
      <c r="W566" s="169" t="s">
        <v>8895</v>
      </c>
    </row>
    <row r="567" spans="2:23" x14ac:dyDescent="0.25">
      <c r="B567" s="178" t="s">
        <v>93</v>
      </c>
      <c r="C567" s="178" t="s">
        <v>41</v>
      </c>
      <c r="D567" s="178" t="s">
        <v>195</v>
      </c>
      <c r="E567" s="178" t="s">
        <v>36</v>
      </c>
      <c r="F567" s="245" t="str">
        <f t="shared" si="34"/>
        <v>StpS 77</v>
      </c>
      <c r="G567" s="169" t="s">
        <v>352</v>
      </c>
      <c r="I567" s="77" t="str">
        <f t="shared" si="36"/>
        <v>L06_CTV_008W_STOPE</v>
      </c>
      <c r="J567" s="169" t="s">
        <v>6611</v>
      </c>
      <c r="K567" s="169">
        <f>IFERROR(MATCH(J567,'Final List'!$B$4:$B$252,0),0)</f>
        <v>0</v>
      </c>
      <c r="L567" s="169">
        <f>IFERROR(MATCH(J567,'Final List'!$D$4:$D$252,0),0)</f>
        <v>0</v>
      </c>
      <c r="M567" s="169">
        <f>IFERROR(MATCH(J567,'Final List'!$F$4:$F$251,0),0)</f>
        <v>0</v>
      </c>
      <c r="N567" s="169">
        <f>IFERROR(MATCH(J567,'Final List'!$H$4:$H$252,0),0)</f>
        <v>0</v>
      </c>
      <c r="O567" s="169">
        <f>IFERROR(MATCH(J567,'Final List'!$J$4:$J$252,0),0)</f>
        <v>0</v>
      </c>
      <c r="P567" s="169">
        <f>IFERROR(MATCH(J567,'Final List'!$L$4:$L$252,0),0)</f>
        <v>0</v>
      </c>
      <c r="Q567" s="169">
        <f>IFERROR(MATCH(J567,'Final List'!$N$4:$N$252,0),0)</f>
        <v>0</v>
      </c>
      <c r="R567" s="169">
        <f>IFERROR(MATCH(J567,'Final List'!$P$4:$P$252,0),0)</f>
        <v>0</v>
      </c>
      <c r="S567" s="169">
        <f t="shared" si="35"/>
        <v>0</v>
      </c>
      <c r="T567" s="169" t="s">
        <v>68</v>
      </c>
      <c r="V567" s="169" t="str">
        <f t="shared" si="33"/>
        <v>BAÑEZ 5</v>
      </c>
      <c r="W567" s="169" t="s">
        <v>2713</v>
      </c>
    </row>
    <row r="568" spans="2:23" x14ac:dyDescent="0.25">
      <c r="B568" s="178" t="s">
        <v>92</v>
      </c>
      <c r="C568" s="178" t="s">
        <v>42</v>
      </c>
      <c r="D568" s="178" t="s">
        <v>121</v>
      </c>
      <c r="E568" s="178" t="s">
        <v>36</v>
      </c>
      <c r="F568" s="245" t="str">
        <f t="shared" si="34"/>
        <v>StpS 77</v>
      </c>
      <c r="G568" s="169" t="s">
        <v>5706</v>
      </c>
      <c r="I568" s="169" t="str">
        <f t="shared" si="36"/>
        <v>L05_JV_022E_STOPE</v>
      </c>
      <c r="J568" s="169" t="s">
        <v>6614</v>
      </c>
      <c r="K568" s="169">
        <f>IFERROR(MATCH(J568,'Final List'!$B$4:$B$252,0),0)</f>
        <v>0</v>
      </c>
      <c r="L568" s="169">
        <f>IFERROR(MATCH(J568,'Final List'!$D$4:$D$252,0),0)</f>
        <v>0</v>
      </c>
      <c r="M568" s="169">
        <f>IFERROR(MATCH(J568,'Final List'!$F$4:$F$251,0),0)</f>
        <v>0</v>
      </c>
      <c r="N568" s="169">
        <f>IFERROR(MATCH(J568,'Final List'!$H$4:$H$252,0),0)</f>
        <v>0</v>
      </c>
      <c r="O568" s="169">
        <f>IFERROR(MATCH(J568,'Final List'!$J$4:$J$252,0),0)</f>
        <v>0</v>
      </c>
      <c r="P568" s="169">
        <f>IFERROR(MATCH(J568,'Final List'!$L$4:$L$252,0),0)</f>
        <v>0</v>
      </c>
      <c r="Q568" s="169">
        <f>IFERROR(MATCH(J568,'Final List'!$N$4:$N$252,0),0)</f>
        <v>0</v>
      </c>
      <c r="R568" s="169">
        <f>IFERROR(MATCH(J568,'Final List'!$P$4:$P$252,0),0)</f>
        <v>0</v>
      </c>
      <c r="S568" s="169">
        <f t="shared" si="35"/>
        <v>0</v>
      </c>
      <c r="T568" s="169" t="s">
        <v>68</v>
      </c>
      <c r="V568" s="169" t="str">
        <f t="shared" si="33"/>
        <v>SHEPHERD AF 1</v>
      </c>
      <c r="W568" s="169" t="s">
        <v>2713</v>
      </c>
    </row>
    <row r="569" spans="2:23" x14ac:dyDescent="0.25">
      <c r="B569" s="169" t="s">
        <v>95</v>
      </c>
      <c r="C569" s="169" t="s">
        <v>43</v>
      </c>
      <c r="D569" s="169" t="s">
        <v>5604</v>
      </c>
      <c r="E569" s="169" t="s">
        <v>19</v>
      </c>
      <c r="F569" s="245" t="str">
        <f t="shared" si="34"/>
        <v>DVR 72</v>
      </c>
      <c r="G569" s="169" t="s">
        <v>5</v>
      </c>
      <c r="I569" s="169" t="str">
        <f t="shared" si="36"/>
        <v>L08_GHVSPLIT_063E_RAISE</v>
      </c>
      <c r="J569" s="169" t="s">
        <v>6617</v>
      </c>
      <c r="K569" s="169">
        <f>IFERROR(MATCH(J569,'Final List'!$B$4:$B$252,0),0)</f>
        <v>0</v>
      </c>
      <c r="L569" s="169">
        <f>IFERROR(MATCH(J569,'Final List'!$D$4:$D$252,0),0)</f>
        <v>0</v>
      </c>
      <c r="M569" s="169">
        <f>IFERROR(MATCH(J569,'Final List'!$F$4:$F$251,0),0)</f>
        <v>0</v>
      </c>
      <c r="N569" s="169">
        <f>IFERROR(MATCH(J569,'Final List'!$H$4:$H$252,0),0)</f>
        <v>0</v>
      </c>
      <c r="O569" s="169">
        <f>IFERROR(MATCH(J569,'Final List'!$J$4:$J$252,0),0)</f>
        <v>0</v>
      </c>
      <c r="P569" s="169">
        <f>IFERROR(MATCH(J569,'Final List'!$L$4:$L$252,0),0)</f>
        <v>0</v>
      </c>
      <c r="Q569" s="169">
        <f>IFERROR(MATCH(J569,'Final List'!$N$4:$N$252,0),0)</f>
        <v>0</v>
      </c>
      <c r="R569" s="169">
        <f>IFERROR(MATCH(J569,'Final List'!$P$4:$P$252,0),0)</f>
        <v>0</v>
      </c>
      <c r="S569" s="169">
        <f t="shared" si="35"/>
        <v>0</v>
      </c>
      <c r="V569" s="169" t="str">
        <f t="shared" si="33"/>
        <v>BELICAN</v>
      </c>
      <c r="W569" s="169" t="s">
        <v>2715</v>
      </c>
    </row>
    <row r="570" spans="2:23" x14ac:dyDescent="0.25">
      <c r="B570" s="169" t="s">
        <v>96</v>
      </c>
      <c r="C570" s="169" t="s">
        <v>55</v>
      </c>
      <c r="D570" s="169" t="s">
        <v>167</v>
      </c>
      <c r="E570" s="169" t="s">
        <v>19</v>
      </c>
      <c r="F570" s="245" t="str">
        <f t="shared" si="34"/>
        <v>DVR 72</v>
      </c>
      <c r="G570" s="169" t="s">
        <v>460</v>
      </c>
      <c r="I570" s="169" t="str">
        <f t="shared" si="36"/>
        <v>L09_JVFW_058E_RAISE</v>
      </c>
      <c r="J570" s="169" t="s">
        <v>6537</v>
      </c>
      <c r="K570" s="169">
        <f>IFERROR(MATCH(J570,'Final List'!$B$4:$B$252,0),0)</f>
        <v>0</v>
      </c>
      <c r="L570" s="169">
        <f>IFERROR(MATCH(J570,'Final List'!$D$4:$D$252,0),0)</f>
        <v>0</v>
      </c>
      <c r="M570" s="169">
        <f>IFERROR(MATCH(J570,'Final List'!$F$4:$F$251,0),0)</f>
        <v>0</v>
      </c>
      <c r="N570" s="169">
        <f>IFERROR(MATCH(J570,'Final List'!$H$4:$H$252,0),0)</f>
        <v>0</v>
      </c>
      <c r="O570" s="169">
        <f>IFERROR(MATCH(J570,'Final List'!$J$4:$J$252,0),0)</f>
        <v>0</v>
      </c>
      <c r="P570" s="169">
        <f>IFERROR(MATCH(J570,'Final List'!$L$4:$L$252,0),0)</f>
        <v>0</v>
      </c>
      <c r="Q570" s="169">
        <f>IFERROR(MATCH(J570,'Final List'!$N$4:$N$252,0),0)</f>
        <v>0</v>
      </c>
      <c r="R570" s="169">
        <f>IFERROR(MATCH(J570,'Final List'!$P$4:$P$252,0),0)</f>
        <v>0</v>
      </c>
      <c r="S570" s="169">
        <f t="shared" si="35"/>
        <v>0</v>
      </c>
      <c r="V570" s="169" t="str">
        <f t="shared" si="33"/>
        <v>PANSIT 5</v>
      </c>
      <c r="W570" s="169" t="s">
        <v>2715</v>
      </c>
    </row>
    <row r="571" spans="2:23" x14ac:dyDescent="0.25">
      <c r="B571" s="169" t="s">
        <v>96</v>
      </c>
      <c r="C571" s="169" t="s">
        <v>87</v>
      </c>
      <c r="D571" s="169" t="s">
        <v>5742</v>
      </c>
      <c r="E571" s="169" t="s">
        <v>37</v>
      </c>
      <c r="F571" s="245" t="str">
        <f t="shared" si="34"/>
        <v>Dhoz 71</v>
      </c>
      <c r="G571" s="169" t="s">
        <v>6621</v>
      </c>
      <c r="I571" s="169" t="str">
        <f t="shared" si="36"/>
        <v>L09_NONE_040E_XCN</v>
      </c>
      <c r="J571" s="169" t="s">
        <v>6620</v>
      </c>
      <c r="K571" s="169">
        <f>IFERROR(MATCH(J571,'Final List'!$B$4:$B$252,0),0)</f>
        <v>0</v>
      </c>
      <c r="L571" s="169">
        <f>IFERROR(MATCH(J571,'Final List'!$D$4:$D$252,0),0)</f>
        <v>0</v>
      </c>
      <c r="M571" s="169">
        <f>IFERROR(MATCH(J571,'Final List'!$F$4:$F$251,0),0)</f>
        <v>0</v>
      </c>
      <c r="N571" s="169">
        <f>IFERROR(MATCH(J571,'Final List'!$H$4:$H$252,0),0)</f>
        <v>0</v>
      </c>
      <c r="O571" s="169">
        <f>IFERROR(MATCH(J571,'Final List'!$J$4:$J$252,0),0)</f>
        <v>0</v>
      </c>
      <c r="P571" s="169">
        <f>IFERROR(MATCH(J571,'Final List'!$L$4:$L$252,0),0)</f>
        <v>0</v>
      </c>
      <c r="Q571" s="169">
        <f>IFERROR(MATCH(J571,'Final List'!$N$4:$N$252,0),0)</f>
        <v>0</v>
      </c>
      <c r="R571" s="169">
        <f>IFERROR(MATCH(J571,'Final List'!$P$4:$P$252,0),0)</f>
        <v>0</v>
      </c>
      <c r="S571" s="169">
        <f t="shared" si="35"/>
        <v>0</v>
      </c>
      <c r="V571" s="169" t="str">
        <f t="shared" si="33"/>
        <v>DELOS REYES V1</v>
      </c>
      <c r="W571" s="169" t="s">
        <v>8898</v>
      </c>
    </row>
    <row r="572" spans="2:23" x14ac:dyDescent="0.25">
      <c r="B572" s="178" t="s">
        <v>92</v>
      </c>
      <c r="C572" s="178" t="s">
        <v>45</v>
      </c>
      <c r="D572" s="178" t="s">
        <v>174</v>
      </c>
      <c r="E572" s="178" t="s">
        <v>60</v>
      </c>
      <c r="F572" s="245" t="str">
        <f t="shared" si="34"/>
        <v>Dhoz 71</v>
      </c>
      <c r="G572" s="169" t="s">
        <v>3659</v>
      </c>
      <c r="I572" s="169" t="str">
        <f t="shared" si="36"/>
        <v>L05_DPVE_052E_DE</v>
      </c>
      <c r="J572" s="169" t="s">
        <v>6639</v>
      </c>
      <c r="K572" s="169">
        <f>IFERROR(MATCH(J572,'Final List'!$B$4:$B$252,0),0)</f>
        <v>0</v>
      </c>
      <c r="L572" s="169">
        <f>IFERROR(MATCH(J572,'Final List'!$D$4:$D$252,0),0)</f>
        <v>0</v>
      </c>
      <c r="M572" s="169">
        <f>IFERROR(MATCH(J572,'Final List'!$F$4:$F$251,0),0)</f>
        <v>0</v>
      </c>
      <c r="N572" s="169">
        <f>IFERROR(MATCH(J572,'Final List'!$H$4:$H$252,0),0)</f>
        <v>0</v>
      </c>
      <c r="O572" s="169">
        <f>IFERROR(MATCH(J572,'Final List'!$J$4:$J$252,0),0)</f>
        <v>0</v>
      </c>
      <c r="P572" s="169">
        <f>IFERROR(MATCH(J572,'Final List'!$L$4:$L$252,0),0)</f>
        <v>0</v>
      </c>
      <c r="Q572" s="169">
        <f>IFERROR(MATCH(J572,'Final List'!$N$4:$N$252,0),0)</f>
        <v>0</v>
      </c>
      <c r="R572" s="169">
        <f>IFERROR(MATCH(J572,'Final List'!$P$4:$P$252,0),0)</f>
        <v>0</v>
      </c>
      <c r="S572" s="169">
        <f t="shared" si="35"/>
        <v>0</v>
      </c>
      <c r="V572" s="169" t="str">
        <f t="shared" si="33"/>
        <v>SHEPHERD AD 2</v>
      </c>
      <c r="W572" s="169" t="s">
        <v>8895</v>
      </c>
    </row>
    <row r="573" spans="2:23" x14ac:dyDescent="0.25">
      <c r="B573" s="169" t="s">
        <v>96</v>
      </c>
      <c r="C573" s="169" t="s">
        <v>46</v>
      </c>
      <c r="D573" s="169" t="s">
        <v>5631</v>
      </c>
      <c r="E573" s="169" t="s">
        <v>61</v>
      </c>
      <c r="F573" s="245" t="str">
        <f t="shared" si="34"/>
        <v>Dhoz 71</v>
      </c>
      <c r="G573" s="169" t="s">
        <v>1899</v>
      </c>
      <c r="I573" s="169" t="str">
        <f t="shared" si="36"/>
        <v>L09_DPVE2_020E_DW</v>
      </c>
      <c r="J573" s="169" t="s">
        <v>6624</v>
      </c>
      <c r="K573" s="169">
        <f>IFERROR(MATCH(J573,'Final List'!$B$4:$B$252,0),0)</f>
        <v>0</v>
      </c>
      <c r="L573" s="169">
        <f>IFERROR(MATCH(J573,'Final List'!$D$4:$D$252,0),0)</f>
        <v>0</v>
      </c>
      <c r="M573" s="169">
        <f>IFERROR(MATCH(J573,'Final List'!$F$4:$F$251,0),0)</f>
        <v>0</v>
      </c>
      <c r="N573" s="169">
        <f>IFERROR(MATCH(J573,'Final List'!$H$4:$H$252,0),0)</f>
        <v>0</v>
      </c>
      <c r="O573" s="169">
        <f>IFERROR(MATCH(J573,'Final List'!$J$4:$J$252,0),0)</f>
        <v>0</v>
      </c>
      <c r="P573" s="169">
        <f>IFERROR(MATCH(J573,'Final List'!$L$4:$L$252,0),0)</f>
        <v>0</v>
      </c>
      <c r="Q573" s="169">
        <f>IFERROR(MATCH(J573,'Final List'!$N$4:$N$252,0),0)</f>
        <v>0</v>
      </c>
      <c r="R573" s="169">
        <f>IFERROR(MATCH(J573,'Final List'!$P$4:$P$252,0),0)</f>
        <v>0</v>
      </c>
      <c r="S573" s="169">
        <f t="shared" si="35"/>
        <v>0</v>
      </c>
      <c r="V573" s="169" t="str">
        <f t="shared" si="33"/>
        <v>DELOS REYES V 2</v>
      </c>
      <c r="W573" s="169" t="s">
        <v>8896</v>
      </c>
    </row>
    <row r="574" spans="2:23" x14ac:dyDescent="0.25">
      <c r="B574" s="169" t="s">
        <v>91</v>
      </c>
      <c r="C574" s="169" t="s">
        <v>42</v>
      </c>
      <c r="D574" s="169" t="s">
        <v>131</v>
      </c>
      <c r="E574" s="169" t="s">
        <v>60</v>
      </c>
      <c r="F574" s="245" t="str">
        <f t="shared" si="34"/>
        <v>Dhoz 71</v>
      </c>
      <c r="G574" s="169" t="s">
        <v>5715</v>
      </c>
      <c r="H574" s="169" t="s">
        <v>6970</v>
      </c>
      <c r="I574" s="169" t="str">
        <f t="shared" si="36"/>
        <v>L04_JV_011E_DE</v>
      </c>
      <c r="J574" s="169" t="s">
        <v>6622</v>
      </c>
      <c r="K574" s="169">
        <f>IFERROR(MATCH(J574,'Final List'!$B$4:$B$252,0),0)</f>
        <v>0</v>
      </c>
      <c r="L574" s="169">
        <f>IFERROR(MATCH(J574,'Final List'!$D$4:$D$252,0),0)</f>
        <v>0</v>
      </c>
      <c r="M574" s="169">
        <f>IFERROR(MATCH(J574,'Final List'!$F$4:$F$251,0),0)</f>
        <v>0</v>
      </c>
      <c r="N574" s="169">
        <f>IFERROR(MATCH(J574,'Final List'!$H$4:$H$252,0),0)</f>
        <v>0</v>
      </c>
      <c r="O574" s="169">
        <f>IFERROR(MATCH(J574,'Final List'!$J$4:$J$252,0),0)</f>
        <v>0</v>
      </c>
      <c r="P574" s="169">
        <f>IFERROR(MATCH(J574,'Final List'!$L$4:$L$252,0),0)</f>
        <v>0</v>
      </c>
      <c r="Q574" s="169">
        <f>IFERROR(MATCH(J574,'Final List'!$N$4:$N$252,0),0)</f>
        <v>0</v>
      </c>
      <c r="R574" s="169">
        <f>IFERROR(MATCH(J574,'Final List'!$P$4:$P$252,0),0)</f>
        <v>0</v>
      </c>
      <c r="S574" s="169">
        <f t="shared" si="35"/>
        <v>0</v>
      </c>
      <c r="V574" s="169" t="str">
        <f t="shared" si="33"/>
        <v xml:space="preserve"> COMAINGKING 2 </v>
      </c>
      <c r="W574" s="169" t="s">
        <v>8895</v>
      </c>
    </row>
    <row r="575" spans="2:23" x14ac:dyDescent="0.25">
      <c r="B575" s="178" t="s">
        <v>92</v>
      </c>
      <c r="C575" s="178" t="s">
        <v>41</v>
      </c>
      <c r="D575" s="178" t="s">
        <v>101</v>
      </c>
      <c r="E575" s="178" t="s">
        <v>62</v>
      </c>
      <c r="F575" s="245" t="str">
        <f t="shared" si="34"/>
        <v>RobS 79</v>
      </c>
      <c r="G575" s="169" t="s">
        <v>5707</v>
      </c>
      <c r="I575" s="169" t="str">
        <f t="shared" si="36"/>
        <v>L05_CTV_023W_ROBBING</v>
      </c>
      <c r="J575" s="169" t="s">
        <v>6626</v>
      </c>
      <c r="K575" s="169">
        <f>IFERROR(MATCH(J575,'Final List'!$B$4:$B$252,0),0)</f>
        <v>0</v>
      </c>
      <c r="L575" s="169">
        <f>IFERROR(MATCH(J575,'Final List'!$D$4:$D$252,0),0)</f>
        <v>0</v>
      </c>
      <c r="M575" s="169">
        <f>IFERROR(MATCH(J575,'Final List'!$F$4:$F$251,0),0)</f>
        <v>0</v>
      </c>
      <c r="N575" s="169">
        <f>IFERROR(MATCH(J575,'Final List'!$H$4:$H$252,0),0)</f>
        <v>0</v>
      </c>
      <c r="O575" s="169">
        <f>IFERROR(MATCH(J575,'Final List'!$J$4:$J$252,0),0)</f>
        <v>0</v>
      </c>
      <c r="P575" s="169">
        <f>IFERROR(MATCH(J575,'Final List'!$L$4:$L$252,0),0)</f>
        <v>0</v>
      </c>
      <c r="Q575" s="169">
        <f>IFERROR(MATCH(J575,'Final List'!$N$4:$N$252,0),0)</f>
        <v>0</v>
      </c>
      <c r="R575" s="169">
        <f>IFERROR(MATCH(J575,'Final List'!$P$4:$P$252,0),0)</f>
        <v>0</v>
      </c>
      <c r="S575" s="169">
        <f t="shared" si="35"/>
        <v>0</v>
      </c>
      <c r="T575" s="169" t="s">
        <v>68</v>
      </c>
      <c r="V575" s="169" t="str">
        <f t="shared" si="33"/>
        <v>SHEPHERD AF 2</v>
      </c>
      <c r="W575" s="169" t="s">
        <v>2707</v>
      </c>
    </row>
    <row r="576" spans="2:23" x14ac:dyDescent="0.25">
      <c r="B576" s="178" t="s">
        <v>95</v>
      </c>
      <c r="C576" s="178" t="s">
        <v>38</v>
      </c>
      <c r="D576" s="178" t="s">
        <v>111</v>
      </c>
      <c r="E576" s="178" t="s">
        <v>6154</v>
      </c>
      <c r="F576" s="245" t="str">
        <f t="shared" si="34"/>
        <v>Dhoz 71</v>
      </c>
      <c r="G576" s="169" t="s">
        <v>380</v>
      </c>
      <c r="I576" s="169" t="str">
        <f t="shared" si="36"/>
        <v>L08_GHV_004W_DW_ISL</v>
      </c>
      <c r="J576" s="169" t="s">
        <v>7136</v>
      </c>
      <c r="K576" s="169">
        <f>IFERROR(MATCH(J576,'Final List'!$B$4:$B$252,0),0)</f>
        <v>0</v>
      </c>
      <c r="L576" s="169">
        <f>IFERROR(MATCH(J576,'Final List'!$D$4:$D$252,0),0)</f>
        <v>0</v>
      </c>
      <c r="M576" s="169">
        <f>IFERROR(MATCH(J576,'Final List'!$F$4:$F$251,0),0)</f>
        <v>0</v>
      </c>
      <c r="N576" s="169">
        <f>IFERROR(MATCH(J576,'Final List'!$H$4:$H$252,0),0)</f>
        <v>0</v>
      </c>
      <c r="O576" s="169">
        <f>IFERROR(MATCH(J576,'Final List'!$J$4:$J$252,0),0)</f>
        <v>0</v>
      </c>
      <c r="P576" s="169">
        <f>IFERROR(MATCH(J576,'Final List'!$L$4:$L$252,0),0)</f>
        <v>0</v>
      </c>
      <c r="Q576" s="169">
        <f>IFERROR(MATCH(J576,'Final List'!$N$4:$N$252,0),0)</f>
        <v>0</v>
      </c>
      <c r="R576" s="169">
        <f>IFERROR(MATCH(J576,'Final List'!$P$4:$P$252,0),0)</f>
        <v>0</v>
      </c>
      <c r="S576" s="169">
        <f t="shared" si="35"/>
        <v>0</v>
      </c>
      <c r="V576" s="169" t="str">
        <f t="shared" si="33"/>
        <v>AGLOLO 1</v>
      </c>
      <c r="W576" s="169" t="s">
        <v>2708</v>
      </c>
    </row>
    <row r="577" spans="2:23" x14ac:dyDescent="0.25">
      <c r="B577" s="178" t="s">
        <v>94</v>
      </c>
      <c r="C577" s="178" t="s">
        <v>42</v>
      </c>
      <c r="D577" s="178" t="s">
        <v>5844</v>
      </c>
      <c r="E577" s="178" t="s">
        <v>61</v>
      </c>
      <c r="F577" s="245" t="str">
        <f t="shared" si="34"/>
        <v>Dhoz 71</v>
      </c>
      <c r="G577" s="169" t="s">
        <v>5817</v>
      </c>
      <c r="I577" s="169" t="str">
        <f t="shared" si="36"/>
        <v>L07_JV_009W_DW</v>
      </c>
      <c r="J577" s="169" t="s">
        <v>6630</v>
      </c>
      <c r="K577" s="169">
        <f>IFERROR(MATCH(J577,'Final List'!$B$4:$B$252,0),0)</f>
        <v>0</v>
      </c>
      <c r="L577" s="169">
        <f>IFERROR(MATCH(J577,'Final List'!$D$4:$D$252,0),0)</f>
        <v>0</v>
      </c>
      <c r="M577" s="169">
        <f>IFERROR(MATCH(J577,'Final List'!$F$4:$F$251,0),0)</f>
        <v>0</v>
      </c>
      <c r="N577" s="169">
        <f>IFERROR(MATCH(J577,'Final List'!$H$4:$H$252,0),0)</f>
        <v>0</v>
      </c>
      <c r="O577" s="169">
        <f>IFERROR(MATCH(J577,'Final List'!$J$4:$J$252,0),0)</f>
        <v>0</v>
      </c>
      <c r="P577" s="169">
        <f>IFERROR(MATCH(J577,'Final List'!$L$4:$L$252,0),0)</f>
        <v>0</v>
      </c>
      <c r="Q577" s="169">
        <f>IFERROR(MATCH(J577,'Final List'!$N$4:$N$252,0),0)</f>
        <v>0</v>
      </c>
      <c r="R577" s="169">
        <f>IFERROR(MATCH(J577,'Final List'!$P$4:$P$252,0),0)</f>
        <v>0</v>
      </c>
      <c r="S577" s="169">
        <f t="shared" si="35"/>
        <v>0</v>
      </c>
      <c r="V577" s="169" t="str">
        <f t="shared" si="33"/>
        <v>SHEPHERD AK</v>
      </c>
      <c r="W577" s="169" t="s">
        <v>8895</v>
      </c>
    </row>
    <row r="578" spans="2:23" x14ac:dyDescent="0.25">
      <c r="B578" s="178" t="s">
        <v>258</v>
      </c>
      <c r="C578" s="178" t="s">
        <v>45</v>
      </c>
      <c r="D578" s="178" t="s">
        <v>5614</v>
      </c>
      <c r="E578" s="178" t="s">
        <v>19</v>
      </c>
      <c r="F578" s="245" t="str">
        <f t="shared" si="34"/>
        <v>DVR 72</v>
      </c>
      <c r="G578" s="169" t="s">
        <v>447</v>
      </c>
      <c r="H578" s="169" t="s">
        <v>10892</v>
      </c>
      <c r="I578" s="169" t="str">
        <f t="shared" si="36"/>
        <v>L10_DPVE_055E_RAISE</v>
      </c>
      <c r="J578" s="169" t="s">
        <v>6631</v>
      </c>
      <c r="K578" s="169">
        <f>IFERROR(MATCH(J578,'Final List'!$B$4:$B$252,0),0)</f>
        <v>0</v>
      </c>
      <c r="L578" s="169">
        <f>IFERROR(MATCH(J578,'Final List'!$D$4:$D$252,0),0)</f>
        <v>0</v>
      </c>
      <c r="M578" s="169">
        <f>IFERROR(MATCH(J578,'Final List'!$F$4:$F$251,0),0)</f>
        <v>0</v>
      </c>
      <c r="N578" s="169">
        <f>IFERROR(MATCH(J578,'Final List'!$H$4:$H$252,0),0)</f>
        <v>0</v>
      </c>
      <c r="O578" s="169">
        <f>IFERROR(MATCH(J578,'Final List'!$J$4:$J$252,0),0)</f>
        <v>0</v>
      </c>
      <c r="P578" s="169">
        <f>IFERROR(MATCH(J578,'Final List'!$L$4:$L$252,0),0)</f>
        <v>0</v>
      </c>
      <c r="Q578" s="169">
        <f>IFERROR(MATCH(J578,'Final List'!$N$4:$N$252,0),0)</f>
        <v>0</v>
      </c>
      <c r="R578" s="169">
        <f>IFERROR(MATCH(J578,'Final List'!$P$4:$P$252,0),0)</f>
        <v>0</v>
      </c>
      <c r="S578" s="169">
        <f t="shared" si="35"/>
        <v>0</v>
      </c>
      <c r="V578" s="169" t="str">
        <f t="shared" ref="V578:V641" si="37">IF(H578="",G578,H578)</f>
        <v>SHEPHERD BA 3</v>
      </c>
      <c r="W578" s="169" t="s">
        <v>2715</v>
      </c>
    </row>
    <row r="579" spans="2:23" x14ac:dyDescent="0.25">
      <c r="B579" s="169" t="s">
        <v>258</v>
      </c>
      <c r="C579" s="169" t="s">
        <v>55</v>
      </c>
      <c r="D579" s="169" t="s">
        <v>5602</v>
      </c>
      <c r="E579" s="169" t="s">
        <v>36</v>
      </c>
      <c r="F579" s="245" t="str">
        <f t="shared" ref="F579:F642" si="38">IF(OR(E579="XCN",E579="DE",E579="DW",E579="DN",E579="XCS",E579="XCE",E579="XCW",E579="SUMP",E579="BYPASS",E579="CHAMBER",E579="DRAIN HOLE",E579="DRILLING CHAMBER",E579="DE_ISL",E579="DW_ISL",E579="REHAB"),"Dhoz 71",IF(OR(E579="RAISE",E579="RAISE_ISL"),"DVR 72",IF(E579="ALIMAK","DVA 73",IF(E579="WINZE","DVW 74",IF(E579="SHAFT","DVS 75",IF(AND(E579="WINZE STOPE",T579="S"),"RobC 80",IF(AND(E579="STOPE",T579="S"),"StpS 77",IF(AND(E579="WINZE STOPE",T579="L"),"RobC 80",IF(AND(E579="STOPE",T579="L"),"StpL 78",IF(AND(E579="WINZE STOPE PREP",T579="S"),"RobC 80",IF(AND(E579="STOPE PREP",T579="S"),"StpS 77",IF(AND(E579="WINZE STOPE PREP",T579="L"),"RobC 80",IF(AND(E579="STOPE PREP",T579="L"),"StpL 78",IF(AND(E579="ROBBING",T579="L"),"RobC 80",IF(AND(E579="ROBBING",T579="S"),"RobS 79",0)))))))))))))))</f>
        <v>StpS 77</v>
      </c>
      <c r="G579" s="169" t="s">
        <v>6927</v>
      </c>
      <c r="I579" s="169" t="str">
        <f t="shared" si="36"/>
        <v>L10_JVFW_053E_STOPE</v>
      </c>
      <c r="J579" s="169" t="s">
        <v>6635</v>
      </c>
      <c r="K579" s="169">
        <f>IFERROR(MATCH(J579,'Final List'!$B$4:$B$252,0),0)</f>
        <v>0</v>
      </c>
      <c r="L579" s="169">
        <f>IFERROR(MATCH(J579,'Final List'!$D$4:$D$252,0),0)</f>
        <v>0</v>
      </c>
      <c r="M579" s="169">
        <f>IFERROR(MATCH(J579,'Final List'!$F$4:$F$251,0),0)</f>
        <v>0</v>
      </c>
      <c r="N579" s="169">
        <f>IFERROR(MATCH(J579,'Final List'!$H$4:$H$252,0),0)</f>
        <v>0</v>
      </c>
      <c r="O579" s="169">
        <f>IFERROR(MATCH(J579,'Final List'!$J$4:$J$252,0),0)</f>
        <v>0</v>
      </c>
      <c r="P579" s="169">
        <f>IFERROR(MATCH(J579,'Final List'!$L$4:$L$252,0),0)</f>
        <v>0</v>
      </c>
      <c r="Q579" s="169">
        <f>IFERROR(MATCH(J579,'Final List'!$N$4:$N$252,0),0)</f>
        <v>0</v>
      </c>
      <c r="R579" s="169">
        <f>IFERROR(MATCH(J579,'Final List'!$P$4:$P$252,0),0)</f>
        <v>0</v>
      </c>
      <c r="S579" s="169">
        <f t="shared" ref="S579:S642" si="39">SUM(K579:R579)</f>
        <v>0</v>
      </c>
      <c r="T579" s="169" t="s">
        <v>68</v>
      </c>
      <c r="V579" s="169" t="str">
        <f t="shared" si="37"/>
        <v>DUHIG, R2</v>
      </c>
      <c r="W579" s="169" t="s">
        <v>2713</v>
      </c>
    </row>
    <row r="580" spans="2:23" x14ac:dyDescent="0.25">
      <c r="B580" s="178" t="s">
        <v>96</v>
      </c>
      <c r="C580" s="178" t="s">
        <v>45</v>
      </c>
      <c r="D580" s="178" t="s">
        <v>4482</v>
      </c>
      <c r="E580" s="178" t="s">
        <v>61</v>
      </c>
      <c r="F580" s="245" t="str">
        <f t="shared" si="38"/>
        <v>Dhoz 71</v>
      </c>
      <c r="G580" s="169" t="s">
        <v>5101</v>
      </c>
      <c r="I580" s="169" t="str">
        <f t="shared" si="36"/>
        <v>L09_DPVE_084E_DW</v>
      </c>
      <c r="J580" s="169" t="s">
        <v>6638</v>
      </c>
      <c r="K580" s="169">
        <f>IFERROR(MATCH(J580,'Final List'!$B$4:$B$252,0),0)</f>
        <v>0</v>
      </c>
      <c r="L580" s="169">
        <f>IFERROR(MATCH(J580,'Final List'!$D$4:$D$252,0),0)</f>
        <v>0</v>
      </c>
      <c r="M580" s="169">
        <f>IFERROR(MATCH(J580,'Final List'!$F$4:$F$251,0),0)</f>
        <v>0</v>
      </c>
      <c r="N580" s="169">
        <f>IFERROR(MATCH(J580,'Final List'!$H$4:$H$252,0),0)</f>
        <v>0</v>
      </c>
      <c r="O580" s="169">
        <f>IFERROR(MATCH(J580,'Final List'!$J$4:$J$252,0),0)</f>
        <v>0</v>
      </c>
      <c r="P580" s="169">
        <f>IFERROR(MATCH(J580,'Final List'!$L$4:$L$252,0),0)</f>
        <v>0</v>
      </c>
      <c r="Q580" s="169">
        <f>IFERROR(MATCH(J580,'Final List'!$N$4:$N$252,0),0)</f>
        <v>0</v>
      </c>
      <c r="R580" s="169">
        <f>IFERROR(MATCH(J580,'Final List'!$P$4:$P$252,0),0)</f>
        <v>0</v>
      </c>
      <c r="S580" s="169">
        <f t="shared" si="39"/>
        <v>0</v>
      </c>
      <c r="V580" s="169" t="str">
        <f t="shared" si="37"/>
        <v>DELOS REYES V3</v>
      </c>
      <c r="W580" s="169" t="s">
        <v>8896</v>
      </c>
    </row>
    <row r="581" spans="2:23" x14ac:dyDescent="0.25">
      <c r="B581" s="169" t="s">
        <v>258</v>
      </c>
      <c r="C581" s="169" t="s">
        <v>56</v>
      </c>
      <c r="D581" s="169" t="s">
        <v>177</v>
      </c>
      <c r="E581" s="169" t="s">
        <v>60</v>
      </c>
      <c r="F581" s="245" t="str">
        <f t="shared" si="38"/>
        <v>Dhoz 71</v>
      </c>
      <c r="G581" s="169" t="s">
        <v>296</v>
      </c>
      <c r="I581" s="169" t="str">
        <f t="shared" si="36"/>
        <v>L10_GHVFW_054E_DE</v>
      </c>
      <c r="J581" s="169" t="s">
        <v>6637</v>
      </c>
      <c r="K581" s="169">
        <f>IFERROR(MATCH(J581,'Final List'!$B$4:$B$252,0),0)</f>
        <v>0</v>
      </c>
      <c r="L581" s="169">
        <f>IFERROR(MATCH(J581,'Final List'!$D$4:$D$252,0),0)</f>
        <v>0</v>
      </c>
      <c r="M581" s="169">
        <f>IFERROR(MATCH(J581,'Final List'!$F$4:$F$251,0),0)</f>
        <v>0</v>
      </c>
      <c r="N581" s="169">
        <f>IFERROR(MATCH(J581,'Final List'!$H$4:$H$252,0),0)</f>
        <v>0</v>
      </c>
      <c r="O581" s="169">
        <f>IFERROR(MATCH(J581,'Final List'!$J$4:$J$252,0),0)</f>
        <v>0</v>
      </c>
      <c r="P581" s="169">
        <f>IFERROR(MATCH(J581,'Final List'!$L$4:$L$252,0),0)</f>
        <v>0</v>
      </c>
      <c r="Q581" s="169">
        <f>IFERROR(MATCH(J581,'Final List'!$N$4:$N$252,0),0)</f>
        <v>0</v>
      </c>
      <c r="R581" s="169">
        <f>IFERROR(MATCH(J581,'Final List'!$P$4:$P$252,0),0)</f>
        <v>0</v>
      </c>
      <c r="S581" s="169">
        <f t="shared" si="39"/>
        <v>0</v>
      </c>
      <c r="V581" s="169" t="str">
        <f t="shared" si="37"/>
        <v>MONTEBON 2</v>
      </c>
      <c r="W581" s="169" t="s">
        <v>8896</v>
      </c>
    </row>
    <row r="582" spans="2:23" x14ac:dyDescent="0.25">
      <c r="B582" s="178" t="s">
        <v>92</v>
      </c>
      <c r="C582" s="178" t="s">
        <v>45</v>
      </c>
      <c r="D582" s="178" t="s">
        <v>122</v>
      </c>
      <c r="E582" s="178" t="s">
        <v>211</v>
      </c>
      <c r="F582" s="245" t="str">
        <f t="shared" si="38"/>
        <v>StpS 77</v>
      </c>
      <c r="G582" s="169" t="s">
        <v>1577</v>
      </c>
      <c r="I582" s="169" t="str">
        <f t="shared" si="36"/>
        <v>L05_DPVE_025E_STOPE PREP</v>
      </c>
      <c r="J582" s="169" t="s">
        <v>6641</v>
      </c>
      <c r="K582" s="169">
        <f>IFERROR(MATCH(J582,'Final List'!$B$4:$B$252,0),0)</f>
        <v>0</v>
      </c>
      <c r="L582" s="169">
        <f>IFERROR(MATCH(J582,'Final List'!$D$4:$D$252,0),0)</f>
        <v>0</v>
      </c>
      <c r="M582" s="169">
        <f>IFERROR(MATCH(J582,'Final List'!$F$4:$F$251,0),0)</f>
        <v>0</v>
      </c>
      <c r="N582" s="169">
        <f>IFERROR(MATCH(J582,'Final List'!$H$4:$H$252,0),0)</f>
        <v>0</v>
      </c>
      <c r="O582" s="169">
        <f>IFERROR(MATCH(J582,'Final List'!$J$4:$J$252,0),0)</f>
        <v>0</v>
      </c>
      <c r="P582" s="169">
        <f>IFERROR(MATCH(J582,'Final List'!$L$4:$L$252,0),0)</f>
        <v>0</v>
      </c>
      <c r="Q582" s="169">
        <f>IFERROR(MATCH(J582,'Final List'!$N$4:$N$252,0),0)</f>
        <v>0</v>
      </c>
      <c r="R582" s="169">
        <f>IFERROR(MATCH(J582,'Final List'!$P$4:$P$252,0),0)</f>
        <v>0</v>
      </c>
      <c r="S582" s="169">
        <f t="shared" si="39"/>
        <v>0</v>
      </c>
      <c r="T582" s="169" t="s">
        <v>68</v>
      </c>
      <c r="V582" s="169" t="str">
        <f t="shared" si="37"/>
        <v>PANCIT, NOEL 2</v>
      </c>
      <c r="W582" s="169" t="s">
        <v>2712</v>
      </c>
    </row>
    <row r="583" spans="2:23" x14ac:dyDescent="0.25">
      <c r="B583" s="178" t="s">
        <v>258</v>
      </c>
      <c r="C583" s="178" t="s">
        <v>45</v>
      </c>
      <c r="D583" s="178" t="s">
        <v>595</v>
      </c>
      <c r="E583" s="178" t="s">
        <v>61</v>
      </c>
      <c r="F583" s="245" t="str">
        <f t="shared" si="38"/>
        <v>Dhoz 71</v>
      </c>
      <c r="G583" s="169" t="s">
        <v>5700</v>
      </c>
      <c r="I583" s="169" t="str">
        <f t="shared" si="36"/>
        <v>L10_DPVE_072E_DW</v>
      </c>
      <c r="J583" s="169" t="s">
        <v>5239</v>
      </c>
      <c r="K583" s="169">
        <f>IFERROR(MATCH(J583,'Final List'!$B$4:$B$252,0),0)</f>
        <v>0</v>
      </c>
      <c r="L583" s="169">
        <f>IFERROR(MATCH(J583,'Final List'!$D$4:$D$252,0),0)</f>
        <v>0</v>
      </c>
      <c r="M583" s="169">
        <f>IFERROR(MATCH(J583,'Final List'!$F$4:$F$251,0),0)</f>
        <v>0</v>
      </c>
      <c r="N583" s="169">
        <f>IFERROR(MATCH(J583,'Final List'!$H$4:$H$252,0),0)</f>
        <v>0</v>
      </c>
      <c r="O583" s="169">
        <f>IFERROR(MATCH(J583,'Final List'!$J$4:$J$252,0),0)</f>
        <v>0</v>
      </c>
      <c r="P583" s="169">
        <f>IFERROR(MATCH(J583,'Final List'!$L$4:$L$252,0),0)</f>
        <v>0</v>
      </c>
      <c r="Q583" s="169">
        <f>IFERROR(MATCH(J583,'Final List'!$N$4:$N$252,0),0)</f>
        <v>0</v>
      </c>
      <c r="R583" s="169">
        <f>IFERROR(MATCH(J583,'Final List'!$P$4:$P$252,0),0)</f>
        <v>0</v>
      </c>
      <c r="S583" s="169">
        <f t="shared" si="39"/>
        <v>0</v>
      </c>
      <c r="V583" s="169" t="str">
        <f t="shared" si="37"/>
        <v>LARGO 1</v>
      </c>
      <c r="W583" s="169" t="s">
        <v>8896</v>
      </c>
    </row>
    <row r="584" spans="2:23" x14ac:dyDescent="0.25">
      <c r="B584" s="178" t="s">
        <v>94</v>
      </c>
      <c r="C584" s="178" t="s">
        <v>41</v>
      </c>
      <c r="D584" s="178" t="s">
        <v>131</v>
      </c>
      <c r="E584" s="178" t="s">
        <v>36</v>
      </c>
      <c r="F584" s="245" t="str">
        <f t="shared" si="38"/>
        <v>StpS 77</v>
      </c>
      <c r="G584" s="169" t="s">
        <v>5720</v>
      </c>
      <c r="I584" s="169" t="str">
        <f t="shared" si="36"/>
        <v>L07_CTV_011E_STOPE</v>
      </c>
      <c r="J584" s="169" t="s">
        <v>6643</v>
      </c>
      <c r="K584" s="169">
        <f>IFERROR(MATCH(J584,'Final List'!$B$4:$B$252,0),0)</f>
        <v>0</v>
      </c>
      <c r="L584" s="169">
        <f>IFERROR(MATCH(J584,'Final List'!$D$4:$D$252,0),0)</f>
        <v>0</v>
      </c>
      <c r="M584" s="169">
        <f>IFERROR(MATCH(J584,'Final List'!$F$4:$F$251,0),0)</f>
        <v>0</v>
      </c>
      <c r="N584" s="169">
        <f>IFERROR(MATCH(J584,'Final List'!$H$4:$H$252,0),0)</f>
        <v>0</v>
      </c>
      <c r="O584" s="169">
        <f>IFERROR(MATCH(J584,'Final List'!$J$4:$J$252,0),0)</f>
        <v>0</v>
      </c>
      <c r="P584" s="169">
        <f>IFERROR(MATCH(J584,'Final List'!$L$4:$L$252,0),0)</f>
        <v>0</v>
      </c>
      <c r="Q584" s="169">
        <f>IFERROR(MATCH(J584,'Final List'!$N$4:$N$252,0),0)</f>
        <v>0</v>
      </c>
      <c r="R584" s="169">
        <f>IFERROR(MATCH(J584,'Final List'!$P$4:$P$252,0),0)</f>
        <v>0</v>
      </c>
      <c r="S584" s="169">
        <f t="shared" si="39"/>
        <v>0</v>
      </c>
      <c r="T584" s="169" t="s">
        <v>68</v>
      </c>
      <c r="V584" s="169" t="str">
        <f t="shared" si="37"/>
        <v>TURRA 1</v>
      </c>
      <c r="W584" s="169" t="s">
        <v>2713</v>
      </c>
    </row>
    <row r="585" spans="2:23" x14ac:dyDescent="0.25">
      <c r="B585" s="169" t="s">
        <v>258</v>
      </c>
      <c r="C585" s="169" t="s">
        <v>87</v>
      </c>
      <c r="D585" s="169" t="s">
        <v>132</v>
      </c>
      <c r="E585" s="169" t="s">
        <v>37</v>
      </c>
      <c r="F585" s="245" t="str">
        <f t="shared" si="38"/>
        <v>Dhoz 71</v>
      </c>
      <c r="G585" s="169" t="s">
        <v>1905</v>
      </c>
      <c r="I585" s="169" t="str">
        <f t="shared" si="36"/>
        <v>L10_NONE_033E_XCN</v>
      </c>
      <c r="J585" s="169" t="s">
        <v>6649</v>
      </c>
      <c r="K585" s="169">
        <f>IFERROR(MATCH(J585,'Final List'!$B$4:$B$252,0),0)</f>
        <v>0</v>
      </c>
      <c r="L585" s="169">
        <f>IFERROR(MATCH(J585,'Final List'!$D$4:$D$252,0),0)</f>
        <v>0</v>
      </c>
      <c r="M585" s="169">
        <f>IFERROR(MATCH(J585,'Final List'!$F$4:$F$251,0),0)</f>
        <v>0</v>
      </c>
      <c r="N585" s="169">
        <f>IFERROR(MATCH(J585,'Final List'!$H$4:$H$252,0),0)</f>
        <v>0</v>
      </c>
      <c r="O585" s="169">
        <f>IFERROR(MATCH(J585,'Final List'!$J$4:$J$252,0),0)</f>
        <v>0</v>
      </c>
      <c r="P585" s="169">
        <f>IFERROR(MATCH(J585,'Final List'!$L$4:$L$252,0),0)</f>
        <v>0</v>
      </c>
      <c r="Q585" s="169">
        <f>IFERROR(MATCH(J585,'Final List'!$N$4:$N$252,0),0)</f>
        <v>0</v>
      </c>
      <c r="R585" s="169">
        <f>IFERROR(MATCH(J585,'Final List'!$P$4:$P$252,0),0)</f>
        <v>0</v>
      </c>
      <c r="S585" s="169">
        <f t="shared" si="39"/>
        <v>0</v>
      </c>
      <c r="V585" s="169" t="str">
        <f t="shared" si="37"/>
        <v>MONTEBON 1</v>
      </c>
      <c r="W585" s="169" t="s">
        <v>2714</v>
      </c>
    </row>
    <row r="586" spans="2:23" x14ac:dyDescent="0.25">
      <c r="B586" s="178" t="s">
        <v>92</v>
      </c>
      <c r="C586" s="178" t="s">
        <v>45</v>
      </c>
      <c r="D586" s="178" t="s">
        <v>173</v>
      </c>
      <c r="E586" s="178" t="s">
        <v>61</v>
      </c>
      <c r="F586" s="245" t="str">
        <f t="shared" si="38"/>
        <v>Dhoz 71</v>
      </c>
      <c r="G586" s="169" t="s">
        <v>3659</v>
      </c>
      <c r="I586" s="169" t="str">
        <f t="shared" si="36"/>
        <v>L05_DPVE_049E_DW</v>
      </c>
      <c r="J586" s="169" t="s">
        <v>6650</v>
      </c>
      <c r="K586" s="169">
        <f>IFERROR(MATCH(J586,'Final List'!$B$4:$B$252,0),0)</f>
        <v>0</v>
      </c>
      <c r="L586" s="169">
        <f>IFERROR(MATCH(J586,'Final List'!$D$4:$D$252,0),0)</f>
        <v>0</v>
      </c>
      <c r="M586" s="169">
        <f>IFERROR(MATCH(J586,'Final List'!$F$4:$F$251,0),0)</f>
        <v>0</v>
      </c>
      <c r="N586" s="169">
        <f>IFERROR(MATCH(J586,'Final List'!$H$4:$H$252,0),0)</f>
        <v>0</v>
      </c>
      <c r="O586" s="169">
        <f>IFERROR(MATCH(J586,'Final List'!$J$4:$J$252,0),0)</f>
        <v>0</v>
      </c>
      <c r="P586" s="169">
        <f>IFERROR(MATCH(J586,'Final List'!$L$4:$L$252,0),0)</f>
        <v>0</v>
      </c>
      <c r="Q586" s="169">
        <f>IFERROR(MATCH(J586,'Final List'!$N$4:$N$252,0),0)</f>
        <v>0</v>
      </c>
      <c r="R586" s="169">
        <f>IFERROR(MATCH(J586,'Final List'!$P$4:$P$252,0),0)</f>
        <v>0</v>
      </c>
      <c r="S586" s="169">
        <f t="shared" si="39"/>
        <v>0</v>
      </c>
      <c r="V586" s="169" t="str">
        <f t="shared" si="37"/>
        <v>SHEPHERD AD 2</v>
      </c>
      <c r="W586" s="169" t="s">
        <v>8895</v>
      </c>
    </row>
    <row r="587" spans="2:23" x14ac:dyDescent="0.25">
      <c r="B587" s="169" t="s">
        <v>92</v>
      </c>
      <c r="C587" s="169" t="s">
        <v>45</v>
      </c>
      <c r="D587" s="169" t="s">
        <v>5781</v>
      </c>
      <c r="E587" s="169" t="s">
        <v>19</v>
      </c>
      <c r="F587" s="245" t="str">
        <f t="shared" si="38"/>
        <v>DVR 72</v>
      </c>
      <c r="G587" s="169" t="s">
        <v>3658</v>
      </c>
      <c r="I587" s="169" t="str">
        <f t="shared" si="36"/>
        <v>L05_DPVE_051E_RAISE</v>
      </c>
      <c r="J587" s="169" t="s">
        <v>6654</v>
      </c>
      <c r="K587" s="169">
        <f>IFERROR(MATCH(J587,'Final List'!$B$4:$B$252,0),0)</f>
        <v>0</v>
      </c>
      <c r="L587" s="169">
        <f>IFERROR(MATCH(J587,'Final List'!$D$4:$D$252,0),0)</f>
        <v>0</v>
      </c>
      <c r="M587" s="169">
        <f>IFERROR(MATCH(J587,'Final List'!$F$4:$F$251,0),0)</f>
        <v>0</v>
      </c>
      <c r="N587" s="169">
        <f>IFERROR(MATCH(J587,'Final List'!$H$4:$H$252,0),0)</f>
        <v>0</v>
      </c>
      <c r="O587" s="169">
        <f>IFERROR(MATCH(J587,'Final List'!$J$4:$J$252,0),0)</f>
        <v>0</v>
      </c>
      <c r="P587" s="169">
        <f>IFERROR(MATCH(J587,'Final List'!$L$4:$L$252,0),0)</f>
        <v>0</v>
      </c>
      <c r="Q587" s="169">
        <f>IFERROR(MATCH(J587,'Final List'!$N$4:$N$252,0),0)</f>
        <v>0</v>
      </c>
      <c r="R587" s="169">
        <f>IFERROR(MATCH(J587,'Final List'!$P$4:$P$252,0),0)</f>
        <v>0</v>
      </c>
      <c r="S587" s="169">
        <f t="shared" si="39"/>
        <v>0</v>
      </c>
      <c r="V587" s="169" t="str">
        <f t="shared" si="37"/>
        <v>SHEPHERD AD 1</v>
      </c>
      <c r="W587" s="169" t="s">
        <v>2715</v>
      </c>
    </row>
    <row r="588" spans="2:23" x14ac:dyDescent="0.25">
      <c r="B588" s="178" t="s">
        <v>96</v>
      </c>
      <c r="C588" s="178" t="s">
        <v>55</v>
      </c>
      <c r="D588" s="178" t="s">
        <v>176</v>
      </c>
      <c r="E588" s="178" t="s">
        <v>211</v>
      </c>
      <c r="F588" s="245" t="str">
        <f t="shared" si="38"/>
        <v>StpL 78</v>
      </c>
      <c r="G588" s="169" t="s">
        <v>460</v>
      </c>
      <c r="I588" s="169" t="str">
        <f t="shared" si="36"/>
        <v>L09_JVFW_057E_STOPE PREP</v>
      </c>
      <c r="J588" s="169" t="s">
        <v>643</v>
      </c>
      <c r="K588" s="169">
        <f>IFERROR(MATCH(J588,'Final List'!$B$4:$B$252,0),0)</f>
        <v>0</v>
      </c>
      <c r="L588" s="169">
        <f>IFERROR(MATCH(J588,'Final List'!$D$4:$D$252,0),0)</f>
        <v>0</v>
      </c>
      <c r="M588" s="169">
        <f>IFERROR(MATCH(J588,'Final List'!$F$4:$F$251,0),0)</f>
        <v>0</v>
      </c>
      <c r="N588" s="169">
        <f>IFERROR(MATCH(J588,'Final List'!$H$4:$H$252,0),0)</f>
        <v>0</v>
      </c>
      <c r="O588" s="169">
        <f>IFERROR(MATCH(J588,'Final List'!$J$4:$J$252,0),0)</f>
        <v>0</v>
      </c>
      <c r="P588" s="169">
        <f>IFERROR(MATCH(J588,'Final List'!$L$4:$L$252,0),0)</f>
        <v>0</v>
      </c>
      <c r="Q588" s="169">
        <f>IFERROR(MATCH(J588,'Final List'!$N$4:$N$252,0),0)</f>
        <v>0</v>
      </c>
      <c r="R588" s="169">
        <f>IFERROR(MATCH(J588,'Final List'!$P$4:$P$252,0),0)</f>
        <v>0</v>
      </c>
      <c r="S588" s="169">
        <f t="shared" si="39"/>
        <v>0</v>
      </c>
      <c r="T588" s="169" t="s">
        <v>48</v>
      </c>
      <c r="V588" s="169" t="str">
        <f t="shared" si="37"/>
        <v>PANSIT 5</v>
      </c>
      <c r="W588" s="169" t="s">
        <v>2712</v>
      </c>
    </row>
    <row r="589" spans="2:23" x14ac:dyDescent="0.25">
      <c r="B589" s="169" t="s">
        <v>96</v>
      </c>
      <c r="C589" s="169" t="s">
        <v>57</v>
      </c>
      <c r="D589" s="169" t="s">
        <v>5723</v>
      </c>
      <c r="E589" s="169" t="s">
        <v>19</v>
      </c>
      <c r="F589" s="245" t="str">
        <f t="shared" si="38"/>
        <v>DVR 72</v>
      </c>
      <c r="G589" s="169" t="s">
        <v>5778</v>
      </c>
      <c r="I589" s="169" t="str">
        <f t="shared" si="36"/>
        <v>L09_JVSPLIT_046E_RAISE</v>
      </c>
      <c r="J589" s="169" t="s">
        <v>6656</v>
      </c>
      <c r="K589" s="169">
        <f>IFERROR(MATCH(J589,'Final List'!$B$4:$B$252,0),0)</f>
        <v>0</v>
      </c>
      <c r="L589" s="169">
        <f>IFERROR(MATCH(J589,'Final List'!$D$4:$D$252,0),0)</f>
        <v>0</v>
      </c>
      <c r="M589" s="169">
        <f>IFERROR(MATCH(J589,'Final List'!$F$4:$F$251,0),0)</f>
        <v>0</v>
      </c>
      <c r="N589" s="169">
        <f>IFERROR(MATCH(J589,'Final List'!$H$4:$H$252,0),0)</f>
        <v>0</v>
      </c>
      <c r="O589" s="169">
        <f>IFERROR(MATCH(J589,'Final List'!$J$4:$J$252,0),0)</f>
        <v>0</v>
      </c>
      <c r="P589" s="169">
        <f>IFERROR(MATCH(J589,'Final List'!$L$4:$L$252,0),0)</f>
        <v>0</v>
      </c>
      <c r="Q589" s="169">
        <f>IFERROR(MATCH(J589,'Final List'!$N$4:$N$252,0),0)</f>
        <v>0</v>
      </c>
      <c r="R589" s="169">
        <f>IFERROR(MATCH(J589,'Final List'!$P$4:$P$252,0),0)</f>
        <v>0</v>
      </c>
      <c r="S589" s="169">
        <f t="shared" si="39"/>
        <v>0</v>
      </c>
      <c r="V589" s="169" t="str">
        <f t="shared" si="37"/>
        <v>REBOTE, JONATHAN 1</v>
      </c>
      <c r="W589" s="169" t="s">
        <v>2715</v>
      </c>
    </row>
    <row r="590" spans="2:23" x14ac:dyDescent="0.25">
      <c r="B590" s="169" t="s">
        <v>92</v>
      </c>
      <c r="C590" s="169" t="s">
        <v>55</v>
      </c>
      <c r="D590" s="169" t="s">
        <v>171</v>
      </c>
      <c r="E590" s="169" t="s">
        <v>441</v>
      </c>
      <c r="F590" s="245" t="str">
        <f t="shared" si="38"/>
        <v>RobC 80</v>
      </c>
      <c r="G590" s="169" t="s">
        <v>6659</v>
      </c>
      <c r="I590" s="169" t="str">
        <f t="shared" si="36"/>
        <v>L05_JVFW_015W_WINZE STOPE PREP</v>
      </c>
      <c r="J590" s="169" t="s">
        <v>6725</v>
      </c>
      <c r="K590" s="169">
        <f>IFERROR(MATCH(J590,'Final List'!$B$4:$B$252,0),0)</f>
        <v>0</v>
      </c>
      <c r="L590" s="169">
        <f>IFERROR(MATCH(J590,'Final List'!$D$4:$D$252,0),0)</f>
        <v>0</v>
      </c>
      <c r="M590" s="169">
        <f>IFERROR(MATCH(J590,'Final List'!$F$4:$F$251,0),0)</f>
        <v>0</v>
      </c>
      <c r="N590" s="169">
        <f>IFERROR(MATCH(J590,'Final List'!$H$4:$H$252,0),0)</f>
        <v>0</v>
      </c>
      <c r="O590" s="169">
        <f>IFERROR(MATCH(J590,'Final List'!$J$4:$J$252,0),0)</f>
        <v>0</v>
      </c>
      <c r="P590" s="169">
        <f>IFERROR(MATCH(J590,'Final List'!$L$4:$L$252,0),0)</f>
        <v>0</v>
      </c>
      <c r="Q590" s="169">
        <f>IFERROR(MATCH(J590,'Final List'!$N$4:$N$252,0),0)</f>
        <v>0</v>
      </c>
      <c r="R590" s="169">
        <f>IFERROR(MATCH(J590,'Final List'!$P$4:$P$252,0),0)</f>
        <v>0</v>
      </c>
      <c r="S590" s="169">
        <f t="shared" si="39"/>
        <v>0</v>
      </c>
      <c r="T590" s="169" t="s">
        <v>68</v>
      </c>
      <c r="V590" s="169" t="str">
        <f t="shared" si="37"/>
        <v>COMAINKING 4</v>
      </c>
      <c r="W590" s="169" t="s">
        <v>2716</v>
      </c>
    </row>
    <row r="591" spans="2:23" x14ac:dyDescent="0.25">
      <c r="B591" s="178" t="s">
        <v>258</v>
      </c>
      <c r="C591" s="178" t="s">
        <v>45</v>
      </c>
      <c r="D591" s="178" t="s">
        <v>201</v>
      </c>
      <c r="E591" s="178" t="s">
        <v>19</v>
      </c>
      <c r="F591" s="245" t="str">
        <f t="shared" si="38"/>
        <v>DVR 72</v>
      </c>
      <c r="G591" s="169" t="s">
        <v>453</v>
      </c>
      <c r="I591" s="169" t="str">
        <f t="shared" si="36"/>
        <v>L10_DPVE_067E_RAISE</v>
      </c>
      <c r="J591" s="169" t="s">
        <v>6666</v>
      </c>
      <c r="K591" s="169">
        <f>IFERROR(MATCH(J591,'Final List'!$B$4:$B$252,0),0)</f>
        <v>0</v>
      </c>
      <c r="L591" s="169">
        <f>IFERROR(MATCH(J591,'Final List'!$D$4:$D$252,0),0)</f>
        <v>0</v>
      </c>
      <c r="M591" s="169">
        <f>IFERROR(MATCH(J591,'Final List'!$F$4:$F$251,0),0)</f>
        <v>0</v>
      </c>
      <c r="N591" s="169">
        <f>IFERROR(MATCH(J591,'Final List'!$H$4:$H$252,0),0)</f>
        <v>0</v>
      </c>
      <c r="O591" s="169">
        <f>IFERROR(MATCH(J591,'Final List'!$J$4:$J$252,0),0)</f>
        <v>0</v>
      </c>
      <c r="P591" s="169">
        <f>IFERROR(MATCH(J591,'Final List'!$L$4:$L$252,0),0)</f>
        <v>0</v>
      </c>
      <c r="Q591" s="169">
        <f>IFERROR(MATCH(J591,'Final List'!$N$4:$N$252,0),0)</f>
        <v>0</v>
      </c>
      <c r="R591" s="169">
        <f>IFERROR(MATCH(J591,'Final List'!$P$4:$P$252,0),0)</f>
        <v>0</v>
      </c>
      <c r="S591" s="169">
        <f t="shared" si="39"/>
        <v>0</v>
      </c>
      <c r="V591" s="169" t="str">
        <f t="shared" si="37"/>
        <v>BAÑEZ 7</v>
      </c>
      <c r="W591" s="169" t="s">
        <v>2715</v>
      </c>
    </row>
    <row r="592" spans="2:23" x14ac:dyDescent="0.25">
      <c r="B592" s="169" t="s">
        <v>96</v>
      </c>
      <c r="C592" s="169" t="s">
        <v>39</v>
      </c>
      <c r="D592" s="169" t="s">
        <v>5601</v>
      </c>
      <c r="E592" s="169" t="s">
        <v>19</v>
      </c>
      <c r="F592" s="245" t="str">
        <f t="shared" si="38"/>
        <v>DVR 72</v>
      </c>
      <c r="G592" s="169" t="s">
        <v>363</v>
      </c>
      <c r="I592" s="169" t="str">
        <f t="shared" si="36"/>
        <v>L09_JVHW_026E_RAISE</v>
      </c>
      <c r="J592" s="169" t="s">
        <v>6726</v>
      </c>
      <c r="K592" s="169">
        <f>IFERROR(MATCH(J592,'Final List'!$B$4:$B$252,0),0)</f>
        <v>0</v>
      </c>
      <c r="L592" s="169">
        <f>IFERROR(MATCH(J592,'Final List'!$D$4:$D$252,0),0)</f>
        <v>0</v>
      </c>
      <c r="M592" s="169">
        <f>IFERROR(MATCH(J592,'Final List'!$F$4:$F$251,0),0)</f>
        <v>0</v>
      </c>
      <c r="N592" s="169">
        <f>IFERROR(MATCH(J592,'Final List'!$H$4:$H$252,0),0)</f>
        <v>0</v>
      </c>
      <c r="O592" s="169">
        <f>IFERROR(MATCH(J592,'Final List'!$J$4:$J$252,0),0)</f>
        <v>0</v>
      </c>
      <c r="P592" s="169">
        <f>IFERROR(MATCH(J592,'Final List'!$L$4:$L$252,0),0)</f>
        <v>0</v>
      </c>
      <c r="Q592" s="169">
        <f>IFERROR(MATCH(J592,'Final List'!$N$4:$N$252,0),0)</f>
        <v>0</v>
      </c>
      <c r="R592" s="169">
        <f>IFERROR(MATCH(J592,'Final List'!$P$4:$P$252,0),0)</f>
        <v>0</v>
      </c>
      <c r="S592" s="169">
        <f t="shared" si="39"/>
        <v>0</v>
      </c>
      <c r="V592" s="169" t="str">
        <f t="shared" si="37"/>
        <v>BABOR 2</v>
      </c>
      <c r="W592" s="169" t="s">
        <v>2715</v>
      </c>
    </row>
    <row r="593" spans="2:23" x14ac:dyDescent="0.25">
      <c r="B593" s="169" t="s">
        <v>96</v>
      </c>
      <c r="C593" s="169" t="s">
        <v>56</v>
      </c>
      <c r="D593" s="169" t="s">
        <v>174</v>
      </c>
      <c r="E593" s="169" t="s">
        <v>19</v>
      </c>
      <c r="F593" s="245" t="str">
        <f t="shared" si="38"/>
        <v>DVR 72</v>
      </c>
      <c r="G593" s="169" t="s">
        <v>585</v>
      </c>
      <c r="I593" s="169" t="str">
        <f t="shared" si="36"/>
        <v>L09_GHVFW_052E_RAISE</v>
      </c>
      <c r="J593" s="169" t="s">
        <v>6668</v>
      </c>
      <c r="K593" s="169">
        <f>IFERROR(MATCH(J593,'Final List'!$B$4:$B$252,0),0)</f>
        <v>0</v>
      </c>
      <c r="L593" s="169">
        <f>IFERROR(MATCH(J593,'Final List'!$D$4:$D$252,0),0)</f>
        <v>0</v>
      </c>
      <c r="M593" s="169">
        <f>IFERROR(MATCH(J593,'Final List'!$F$4:$F$251,0),0)</f>
        <v>0</v>
      </c>
      <c r="N593" s="169">
        <f>IFERROR(MATCH(J593,'Final List'!$H$4:$H$252,0),0)</f>
        <v>0</v>
      </c>
      <c r="O593" s="169">
        <f>IFERROR(MATCH(J593,'Final List'!$J$4:$J$252,0),0)</f>
        <v>0</v>
      </c>
      <c r="P593" s="169">
        <f>IFERROR(MATCH(J593,'Final List'!$L$4:$L$252,0),0)</f>
        <v>0</v>
      </c>
      <c r="Q593" s="169">
        <f>IFERROR(MATCH(J593,'Final List'!$N$4:$N$252,0),0)</f>
        <v>0</v>
      </c>
      <c r="R593" s="169">
        <f>IFERROR(MATCH(J593,'Final List'!$P$4:$P$252,0),0)</f>
        <v>0</v>
      </c>
      <c r="S593" s="169">
        <f t="shared" si="39"/>
        <v>0</v>
      </c>
      <c r="V593" s="169" t="str">
        <f t="shared" si="37"/>
        <v>ESPADA 1</v>
      </c>
      <c r="W593" s="169" t="s">
        <v>2715</v>
      </c>
    </row>
    <row r="594" spans="2:23" x14ac:dyDescent="0.25">
      <c r="B594" s="178" t="s">
        <v>94</v>
      </c>
      <c r="C594" s="178" t="s">
        <v>42</v>
      </c>
      <c r="D594" s="178" t="s">
        <v>174</v>
      </c>
      <c r="E594" s="178" t="s">
        <v>19</v>
      </c>
      <c r="F594" s="245" t="str">
        <f t="shared" si="38"/>
        <v>DVR 72</v>
      </c>
      <c r="G594" s="169" t="s">
        <v>6670</v>
      </c>
      <c r="I594" s="169" t="str">
        <f t="shared" si="36"/>
        <v>L07_JV_052E_RAISE</v>
      </c>
      <c r="J594" s="169" t="s">
        <v>6671</v>
      </c>
      <c r="K594" s="169">
        <f>IFERROR(MATCH(J594,'Final List'!$B$4:$B$252,0),0)</f>
        <v>0</v>
      </c>
      <c r="L594" s="169">
        <f>IFERROR(MATCH(J594,'Final List'!$D$4:$D$252,0),0)</f>
        <v>0</v>
      </c>
      <c r="M594" s="169">
        <f>IFERROR(MATCH(J594,'Final List'!$F$4:$F$251,0),0)</f>
        <v>0</v>
      </c>
      <c r="N594" s="169">
        <f>IFERROR(MATCH(J594,'Final List'!$H$4:$H$252,0),0)</f>
        <v>0</v>
      </c>
      <c r="O594" s="169">
        <f>IFERROR(MATCH(J594,'Final List'!$J$4:$J$252,0),0)</f>
        <v>0</v>
      </c>
      <c r="P594" s="169">
        <f>IFERROR(MATCH(J594,'Final List'!$L$4:$L$252,0),0)</f>
        <v>0</v>
      </c>
      <c r="Q594" s="169">
        <f>IFERROR(MATCH(J594,'Final List'!$N$4:$N$252,0),0)</f>
        <v>0</v>
      </c>
      <c r="R594" s="169">
        <f>IFERROR(MATCH(J594,'Final List'!$P$4:$P$252,0),0)</f>
        <v>0</v>
      </c>
      <c r="S594" s="169">
        <f t="shared" si="39"/>
        <v>0</v>
      </c>
      <c r="V594" s="169" t="str">
        <f t="shared" si="37"/>
        <v>CARITAN</v>
      </c>
      <c r="W594" s="169" t="s">
        <v>2715</v>
      </c>
    </row>
    <row r="595" spans="2:23" x14ac:dyDescent="0.25">
      <c r="B595" s="178" t="s">
        <v>258</v>
      </c>
      <c r="C595" s="178" t="s">
        <v>43</v>
      </c>
      <c r="D595" s="178" t="s">
        <v>1230</v>
      </c>
      <c r="E595" s="178" t="s">
        <v>211</v>
      </c>
      <c r="F595" s="245" t="str">
        <f t="shared" si="38"/>
        <v>StpS 77</v>
      </c>
      <c r="G595" s="169" t="s">
        <v>317</v>
      </c>
      <c r="I595" s="169" t="str">
        <f t="shared" si="36"/>
        <v>L10_GHVSPLIT_075E_STOPE PREP</v>
      </c>
      <c r="J595" s="169" t="s">
        <v>6672</v>
      </c>
      <c r="K595" s="169">
        <f>IFERROR(MATCH(J595,'Final List'!$B$4:$B$252,0),0)</f>
        <v>0</v>
      </c>
      <c r="L595" s="169">
        <f>IFERROR(MATCH(J595,'Final List'!$D$4:$D$252,0),0)</f>
        <v>0</v>
      </c>
      <c r="M595" s="169">
        <f>IFERROR(MATCH(J595,'Final List'!$F$4:$F$251,0),0)</f>
        <v>0</v>
      </c>
      <c r="N595" s="169">
        <f>IFERROR(MATCH(J595,'Final List'!$H$4:$H$252,0),0)</f>
        <v>0</v>
      </c>
      <c r="O595" s="169">
        <f>IFERROR(MATCH(J595,'Final List'!$J$4:$J$252,0),0)</f>
        <v>0</v>
      </c>
      <c r="P595" s="169">
        <f>IFERROR(MATCH(J595,'Final List'!$L$4:$L$252,0),0)</f>
        <v>0</v>
      </c>
      <c r="Q595" s="169">
        <f>IFERROR(MATCH(J595,'Final List'!$N$4:$N$252,0),0)</f>
        <v>0</v>
      </c>
      <c r="R595" s="169">
        <f>IFERROR(MATCH(J595,'Final List'!$P$4:$P$252,0),0)</f>
        <v>0</v>
      </c>
      <c r="S595" s="169">
        <f t="shared" si="39"/>
        <v>0</v>
      </c>
      <c r="T595" s="169" t="s">
        <v>68</v>
      </c>
      <c r="V595" s="169" t="str">
        <f t="shared" si="37"/>
        <v>PARAGUYA 2</v>
      </c>
      <c r="W595" s="169" t="s">
        <v>2712</v>
      </c>
    </row>
    <row r="596" spans="2:23" x14ac:dyDescent="0.25">
      <c r="B596" s="169" t="s">
        <v>94</v>
      </c>
      <c r="C596" s="169" t="s">
        <v>42</v>
      </c>
      <c r="D596" s="169" t="s">
        <v>201</v>
      </c>
      <c r="E596" s="169" t="s">
        <v>19</v>
      </c>
      <c r="F596" s="245" t="str">
        <f t="shared" si="38"/>
        <v>DVR 72</v>
      </c>
      <c r="G596" s="169" t="s">
        <v>6533</v>
      </c>
      <c r="I596" s="169" t="str">
        <f t="shared" si="36"/>
        <v>L07_JV_067E_RAISE</v>
      </c>
      <c r="J596" s="169" t="s">
        <v>6675</v>
      </c>
      <c r="K596" s="169">
        <f>IFERROR(MATCH(J596,'Final List'!$B$4:$B$252,0),0)</f>
        <v>0</v>
      </c>
      <c r="L596" s="169">
        <f>IFERROR(MATCH(J596,'Final List'!$D$4:$D$252,0),0)</f>
        <v>0</v>
      </c>
      <c r="M596" s="169">
        <f>IFERROR(MATCH(J596,'Final List'!$F$4:$F$251,0),0)</f>
        <v>0</v>
      </c>
      <c r="N596" s="169">
        <f>IFERROR(MATCH(J596,'Final List'!$H$4:$H$252,0),0)</f>
        <v>0</v>
      </c>
      <c r="O596" s="169">
        <f>IFERROR(MATCH(J596,'Final List'!$J$4:$J$252,0),0)</f>
        <v>0</v>
      </c>
      <c r="P596" s="169">
        <f>IFERROR(MATCH(J596,'Final List'!$L$4:$L$252,0),0)</f>
        <v>0</v>
      </c>
      <c r="Q596" s="169">
        <f>IFERROR(MATCH(J596,'Final List'!$N$4:$N$252,0),0)</f>
        <v>0</v>
      </c>
      <c r="R596" s="169">
        <f>IFERROR(MATCH(J596,'Final List'!$P$4:$P$252,0),0)</f>
        <v>0</v>
      </c>
      <c r="S596" s="169">
        <f t="shared" si="39"/>
        <v>0</v>
      </c>
      <c r="V596" s="169" t="str">
        <f t="shared" si="37"/>
        <v>CAYABAS</v>
      </c>
      <c r="W596" s="169" t="s">
        <v>2715</v>
      </c>
    </row>
    <row r="597" spans="2:23" x14ac:dyDescent="0.25">
      <c r="B597" s="169" t="s">
        <v>96</v>
      </c>
      <c r="C597" s="169" t="s">
        <v>45</v>
      </c>
      <c r="D597" s="169" t="s">
        <v>6033</v>
      </c>
      <c r="E597" s="169" t="s">
        <v>61</v>
      </c>
      <c r="F597" s="245" t="str">
        <f t="shared" si="38"/>
        <v>Dhoz 71</v>
      </c>
      <c r="G597" s="169" t="s">
        <v>4260</v>
      </c>
      <c r="I597" s="169" t="str">
        <f t="shared" si="36"/>
        <v>L09_DPVE_013E_DW</v>
      </c>
      <c r="J597" s="169" t="s">
        <v>6679</v>
      </c>
      <c r="K597" s="169">
        <f>IFERROR(MATCH(J597,'Final List'!$B$4:$B$252,0),0)</f>
        <v>0</v>
      </c>
      <c r="L597" s="169">
        <f>IFERROR(MATCH(J597,'Final List'!$D$4:$D$252,0),0)</f>
        <v>0</v>
      </c>
      <c r="M597" s="169">
        <f>IFERROR(MATCH(J597,'Final List'!$F$4:$F$251,0),0)</f>
        <v>0</v>
      </c>
      <c r="N597" s="169">
        <f>IFERROR(MATCH(J597,'Final List'!$H$4:$H$252,0),0)</f>
        <v>0</v>
      </c>
      <c r="O597" s="169">
        <f>IFERROR(MATCH(J597,'Final List'!$J$4:$J$252,0),0)</f>
        <v>0</v>
      </c>
      <c r="P597" s="169">
        <f>IFERROR(MATCH(J597,'Final List'!$L$4:$L$252,0),0)</f>
        <v>0</v>
      </c>
      <c r="Q597" s="169">
        <f>IFERROR(MATCH(J597,'Final List'!$N$4:$N$252,0),0)</f>
        <v>0</v>
      </c>
      <c r="R597" s="169">
        <f>IFERROR(MATCH(J597,'Final List'!$P$4:$P$252,0),0)</f>
        <v>0</v>
      </c>
      <c r="S597" s="169">
        <f t="shared" si="39"/>
        <v>0</v>
      </c>
      <c r="V597" s="169" t="str">
        <f t="shared" si="37"/>
        <v>PANCIT NOEL 1</v>
      </c>
      <c r="W597" s="169" t="s">
        <v>8896</v>
      </c>
    </row>
    <row r="598" spans="2:23" x14ac:dyDescent="0.25">
      <c r="B598" s="178" t="s">
        <v>96</v>
      </c>
      <c r="C598" s="178" t="s">
        <v>45</v>
      </c>
      <c r="D598" s="178" t="s">
        <v>5742</v>
      </c>
      <c r="E598" s="178" t="s">
        <v>60</v>
      </c>
      <c r="F598" s="245" t="str">
        <f t="shared" si="38"/>
        <v>Dhoz 71</v>
      </c>
      <c r="G598" s="169" t="s">
        <v>6621</v>
      </c>
      <c r="I598" s="169" t="str">
        <f t="shared" si="36"/>
        <v>L09_DPVE_040E_DE</v>
      </c>
      <c r="J598" s="169" t="s">
        <v>6678</v>
      </c>
      <c r="K598" s="169">
        <f>IFERROR(MATCH(J598,'Final List'!$B$4:$B$252,0),0)</f>
        <v>0</v>
      </c>
      <c r="L598" s="169">
        <f>IFERROR(MATCH(J598,'Final List'!$D$4:$D$252,0),0)</f>
        <v>0</v>
      </c>
      <c r="M598" s="169">
        <f>IFERROR(MATCH(J598,'Final List'!$F$4:$F$251,0),0)</f>
        <v>0</v>
      </c>
      <c r="N598" s="169">
        <f>IFERROR(MATCH(J598,'Final List'!$H$4:$H$252,0),0)</f>
        <v>0</v>
      </c>
      <c r="O598" s="169">
        <f>IFERROR(MATCH(J598,'Final List'!$J$4:$J$252,0),0)</f>
        <v>0</v>
      </c>
      <c r="P598" s="169">
        <f>IFERROR(MATCH(J598,'Final List'!$L$4:$L$252,0),0)</f>
        <v>0</v>
      </c>
      <c r="Q598" s="169">
        <f>IFERROR(MATCH(J598,'Final List'!$N$4:$N$252,0),0)</f>
        <v>0</v>
      </c>
      <c r="R598" s="169">
        <f>IFERROR(MATCH(J598,'Final List'!$P$4:$P$252,0),0)</f>
        <v>0</v>
      </c>
      <c r="S598" s="169">
        <f t="shared" si="39"/>
        <v>0</v>
      </c>
      <c r="V598" s="169" t="str">
        <f t="shared" si="37"/>
        <v>DELOS REYES V1</v>
      </c>
      <c r="W598" s="169" t="s">
        <v>8896</v>
      </c>
    </row>
    <row r="599" spans="2:23" x14ac:dyDescent="0.25">
      <c r="B599" s="169" t="s">
        <v>92</v>
      </c>
      <c r="C599" s="169" t="s">
        <v>42</v>
      </c>
      <c r="D599" s="169" t="s">
        <v>143</v>
      </c>
      <c r="E599" s="169" t="s">
        <v>62</v>
      </c>
      <c r="F599" s="245" t="str">
        <f t="shared" si="38"/>
        <v>RobS 79</v>
      </c>
      <c r="G599" s="169" t="s">
        <v>2969</v>
      </c>
      <c r="I599" s="169" t="str">
        <f t="shared" si="36"/>
        <v>L05_JV_032E_ROBBING</v>
      </c>
      <c r="J599" s="169" t="s">
        <v>6683</v>
      </c>
      <c r="K599" s="169">
        <f>IFERROR(MATCH(J599,'Final List'!$B$4:$B$252,0),0)</f>
        <v>0</v>
      </c>
      <c r="L599" s="169">
        <f>IFERROR(MATCH(J599,'Final List'!$D$4:$D$252,0),0)</f>
        <v>0</v>
      </c>
      <c r="M599" s="169">
        <f>IFERROR(MATCH(J599,'Final List'!$F$4:$F$251,0),0)</f>
        <v>0</v>
      </c>
      <c r="N599" s="169">
        <f>IFERROR(MATCH(J599,'Final List'!$H$4:$H$252,0),0)</f>
        <v>0</v>
      </c>
      <c r="O599" s="169">
        <f>IFERROR(MATCH(J599,'Final List'!$J$4:$J$252,0),0)</f>
        <v>0</v>
      </c>
      <c r="P599" s="169">
        <f>IFERROR(MATCH(J599,'Final List'!$L$4:$L$252,0),0)</f>
        <v>0</v>
      </c>
      <c r="Q599" s="169">
        <f>IFERROR(MATCH(J599,'Final List'!$N$4:$N$252,0),0)</f>
        <v>0</v>
      </c>
      <c r="R599" s="169">
        <f>IFERROR(MATCH(J599,'Final List'!$P$4:$P$252,0),0)</f>
        <v>0</v>
      </c>
      <c r="S599" s="169">
        <f t="shared" si="39"/>
        <v>0</v>
      </c>
      <c r="T599" s="169" t="s">
        <v>68</v>
      </c>
      <c r="V599" s="169" t="str">
        <f t="shared" si="37"/>
        <v>SAMBERE 1</v>
      </c>
      <c r="W599" s="169" t="s">
        <v>2707</v>
      </c>
    </row>
    <row r="600" spans="2:23" x14ac:dyDescent="0.25">
      <c r="B600" s="169" t="s">
        <v>93</v>
      </c>
      <c r="C600" s="169" t="s">
        <v>55</v>
      </c>
      <c r="D600" s="169" t="s">
        <v>5723</v>
      </c>
      <c r="E600" s="169" t="s">
        <v>62</v>
      </c>
      <c r="F600" s="245" t="str">
        <f t="shared" si="38"/>
        <v>RobS 79</v>
      </c>
      <c r="G600" s="169" t="s">
        <v>6027</v>
      </c>
      <c r="I600" s="77" t="str">
        <f t="shared" si="36"/>
        <v>L06_JVFW_046E_ROBBING</v>
      </c>
      <c r="J600" s="169" t="s">
        <v>6684</v>
      </c>
      <c r="K600" s="169">
        <f>IFERROR(MATCH(J600,'Final List'!$B$4:$B$252,0),0)</f>
        <v>0</v>
      </c>
      <c r="L600" s="169">
        <f>IFERROR(MATCH(J600,'Final List'!$D$4:$D$252,0),0)</f>
        <v>0</v>
      </c>
      <c r="M600" s="169">
        <f>IFERROR(MATCH(J600,'Final List'!$F$4:$F$251,0),0)</f>
        <v>0</v>
      </c>
      <c r="N600" s="169">
        <f>IFERROR(MATCH(J600,'Final List'!$H$4:$H$252,0),0)</f>
        <v>0</v>
      </c>
      <c r="O600" s="169">
        <f>IFERROR(MATCH(J600,'Final List'!$J$4:$J$252,0),0)</f>
        <v>0</v>
      </c>
      <c r="P600" s="169">
        <f>IFERROR(MATCH(J600,'Final List'!$L$4:$L$252,0),0)</f>
        <v>0</v>
      </c>
      <c r="Q600" s="169">
        <f>IFERROR(MATCH(J600,'Final List'!$N$4:$N$252,0),0)</f>
        <v>0</v>
      </c>
      <c r="R600" s="169">
        <f>IFERROR(MATCH(J600,'Final List'!$P$4:$P$252,0),0)</f>
        <v>0</v>
      </c>
      <c r="S600" s="169">
        <f t="shared" si="39"/>
        <v>0</v>
      </c>
      <c r="T600" s="169" t="s">
        <v>68</v>
      </c>
      <c r="V600" s="169" t="str">
        <f t="shared" si="37"/>
        <v>GUNAY 4</v>
      </c>
      <c r="W600" s="169" t="s">
        <v>2707</v>
      </c>
    </row>
    <row r="601" spans="2:23" x14ac:dyDescent="0.25">
      <c r="B601" s="178" t="s">
        <v>93</v>
      </c>
      <c r="C601" s="178" t="s">
        <v>45</v>
      </c>
      <c r="D601" s="178" t="s">
        <v>147</v>
      </c>
      <c r="E601" s="178" t="s">
        <v>221</v>
      </c>
      <c r="F601" s="245" t="str">
        <f t="shared" si="38"/>
        <v>RobC 80</v>
      </c>
      <c r="G601" s="169" t="s">
        <v>342</v>
      </c>
      <c r="I601" s="77" t="str">
        <f t="shared" si="36"/>
        <v>L06_DPVE_024E_WINZE STOPE</v>
      </c>
      <c r="J601" s="169" t="s">
        <v>6686</v>
      </c>
      <c r="K601" s="169">
        <f>IFERROR(MATCH(J601,'Final List'!$B$4:$B$252,0),0)</f>
        <v>0</v>
      </c>
      <c r="L601" s="169">
        <f>IFERROR(MATCH(J601,'Final List'!$D$4:$D$252,0),0)</f>
        <v>0</v>
      </c>
      <c r="M601" s="169">
        <f>IFERROR(MATCH(J601,'Final List'!$F$4:$F$251,0),0)</f>
        <v>0</v>
      </c>
      <c r="N601" s="169">
        <f>IFERROR(MATCH(J601,'Final List'!$H$4:$H$252,0),0)</f>
        <v>0</v>
      </c>
      <c r="O601" s="169">
        <f>IFERROR(MATCH(J601,'Final List'!$J$4:$J$252,0),0)</f>
        <v>0</v>
      </c>
      <c r="P601" s="169">
        <f>IFERROR(MATCH(J601,'Final List'!$L$4:$L$252,0),0)</f>
        <v>0</v>
      </c>
      <c r="Q601" s="169">
        <f>IFERROR(MATCH(J601,'Final List'!$N$4:$N$252,0),0)</f>
        <v>0</v>
      </c>
      <c r="R601" s="169">
        <f>IFERROR(MATCH(J601,'Final List'!$P$4:$P$252,0),0)</f>
        <v>0</v>
      </c>
      <c r="S601" s="169">
        <f t="shared" si="39"/>
        <v>0</v>
      </c>
      <c r="T601" s="169" t="s">
        <v>68</v>
      </c>
      <c r="V601" s="169" t="str">
        <f t="shared" si="37"/>
        <v>BADBADON 2</v>
      </c>
      <c r="W601" s="77" t="s">
        <v>2719</v>
      </c>
    </row>
    <row r="602" spans="2:23" x14ac:dyDescent="0.25">
      <c r="B602" s="169" t="s">
        <v>96</v>
      </c>
      <c r="C602" s="169" t="s">
        <v>57</v>
      </c>
      <c r="D602" s="169" t="s">
        <v>595</v>
      </c>
      <c r="E602" s="169" t="s">
        <v>19</v>
      </c>
      <c r="F602" s="245" t="str">
        <f t="shared" si="38"/>
        <v>DVR 72</v>
      </c>
      <c r="G602" s="169" t="s">
        <v>6690</v>
      </c>
      <c r="I602" s="169" t="str">
        <f t="shared" si="36"/>
        <v>L09_JVSPLIT_072E_RAISE</v>
      </c>
      <c r="J602" s="169" t="s">
        <v>3101</v>
      </c>
      <c r="K602" s="169">
        <f>IFERROR(MATCH(J602,'Final List'!$B$4:$B$252,0),0)</f>
        <v>0</v>
      </c>
      <c r="L602" s="169">
        <f>IFERROR(MATCH(J602,'Final List'!$D$4:$D$252,0),0)</f>
        <v>0</v>
      </c>
      <c r="M602" s="169">
        <f>IFERROR(MATCH(J602,'Final List'!$F$4:$F$251,0),0)</f>
        <v>0</v>
      </c>
      <c r="N602" s="169">
        <f>IFERROR(MATCH(J602,'Final List'!$H$4:$H$252,0),0)</f>
        <v>0</v>
      </c>
      <c r="O602" s="169">
        <f>IFERROR(MATCH(J602,'Final List'!$J$4:$J$252,0),0)</f>
        <v>0</v>
      </c>
      <c r="P602" s="169">
        <f>IFERROR(MATCH(J602,'Final List'!$L$4:$L$252,0),0)</f>
        <v>0</v>
      </c>
      <c r="Q602" s="169">
        <f>IFERROR(MATCH(J602,'Final List'!$N$4:$N$252,0),0)</f>
        <v>0</v>
      </c>
      <c r="R602" s="169">
        <f>IFERROR(MATCH(J602,'Final List'!$P$4:$P$252,0),0)</f>
        <v>0</v>
      </c>
      <c r="S602" s="169">
        <f t="shared" si="39"/>
        <v>0</v>
      </c>
      <c r="V602" s="169" t="str">
        <f t="shared" si="37"/>
        <v xml:space="preserve"> REBOTE, JOSELITO 1</v>
      </c>
      <c r="W602" s="169" t="s">
        <v>2715</v>
      </c>
    </row>
    <row r="603" spans="2:23" x14ac:dyDescent="0.25">
      <c r="B603" s="169" t="s">
        <v>95</v>
      </c>
      <c r="C603" s="169" t="s">
        <v>59</v>
      </c>
      <c r="D603" s="169" t="s">
        <v>117</v>
      </c>
      <c r="E603" s="169" t="s">
        <v>62</v>
      </c>
      <c r="F603" s="245" t="str">
        <f t="shared" si="38"/>
        <v>RobC 80</v>
      </c>
      <c r="G603" s="169" t="s">
        <v>386</v>
      </c>
      <c r="H603" s="169" t="s">
        <v>6601</v>
      </c>
      <c r="I603" s="169" t="str">
        <f t="shared" si="36"/>
        <v>L08_GHVHW_006W_ROBBING</v>
      </c>
      <c r="J603" s="169" t="s">
        <v>7699</v>
      </c>
      <c r="K603" s="169">
        <f>IFERROR(MATCH(J603,'Final List'!$B$4:$B$252,0),0)</f>
        <v>0</v>
      </c>
      <c r="L603" s="169">
        <f>IFERROR(MATCH(J603,'Final List'!$D$4:$D$252,0),0)</f>
        <v>0</v>
      </c>
      <c r="M603" s="169">
        <f>IFERROR(MATCH(J603,'Final List'!$F$4:$F$251,0),0)</f>
        <v>0</v>
      </c>
      <c r="N603" s="169">
        <f>IFERROR(MATCH(J603,'Final List'!$H$4:$H$252,0),0)</f>
        <v>0</v>
      </c>
      <c r="O603" s="169">
        <f>IFERROR(MATCH(J603,'Final List'!$J$4:$J$252,0),0)</f>
        <v>0</v>
      </c>
      <c r="P603" s="169">
        <f>IFERROR(MATCH(J603,'Final List'!$L$4:$L$252,0),0)</f>
        <v>0</v>
      </c>
      <c r="Q603" s="169">
        <f>IFERROR(MATCH(J603,'Final List'!$N$4:$N$252,0),0)</f>
        <v>0</v>
      </c>
      <c r="R603" s="169">
        <f>IFERROR(MATCH(J603,'Final List'!$P$4:$P$252,0),0)</f>
        <v>0</v>
      </c>
      <c r="S603" s="169">
        <f t="shared" si="39"/>
        <v>0</v>
      </c>
      <c r="T603" s="169" t="s">
        <v>48</v>
      </c>
      <c r="V603" s="169" t="str">
        <f t="shared" si="37"/>
        <v>AGLOLO, MIGUEL 1</v>
      </c>
      <c r="W603" s="169" t="s">
        <v>236</v>
      </c>
    </row>
    <row r="604" spans="2:23" x14ac:dyDescent="0.25">
      <c r="B604" s="169" t="s">
        <v>95</v>
      </c>
      <c r="C604" s="169" t="s">
        <v>87</v>
      </c>
      <c r="D604" s="169" t="s">
        <v>166</v>
      </c>
      <c r="E604" s="169" t="s">
        <v>63</v>
      </c>
      <c r="F604" s="245" t="str">
        <f t="shared" si="38"/>
        <v>Dhoz 71</v>
      </c>
      <c r="G604" s="169" t="s">
        <v>5710</v>
      </c>
      <c r="I604" s="169" t="str">
        <f t="shared" si="36"/>
        <v>L08_NONE_068E_XCS</v>
      </c>
      <c r="J604" s="169" t="s">
        <v>4024</v>
      </c>
      <c r="K604" s="169">
        <f>IFERROR(MATCH(J604,'Final List'!$B$4:$B$252,0),0)</f>
        <v>0</v>
      </c>
      <c r="L604" s="169">
        <f>IFERROR(MATCH(J604,'Final List'!$D$4:$D$252,0),0)</f>
        <v>0</v>
      </c>
      <c r="M604" s="169">
        <f>IFERROR(MATCH(J604,'Final List'!$F$4:$F$251,0),0)</f>
        <v>0</v>
      </c>
      <c r="N604" s="169">
        <f>IFERROR(MATCH(J604,'Final List'!$H$4:$H$252,0),0)</f>
        <v>0</v>
      </c>
      <c r="O604" s="169">
        <f>IFERROR(MATCH(J604,'Final List'!$J$4:$J$252,0),0)</f>
        <v>0</v>
      </c>
      <c r="P604" s="169">
        <f>IFERROR(MATCH(J604,'Final List'!$L$4:$L$252,0),0)</f>
        <v>0</v>
      </c>
      <c r="Q604" s="169">
        <f>IFERROR(MATCH(J604,'Final List'!$N$4:$N$252,0),0)</f>
        <v>0</v>
      </c>
      <c r="R604" s="169">
        <f>IFERROR(MATCH(J604,'Final List'!$P$4:$P$252,0),0)</f>
        <v>0</v>
      </c>
      <c r="S604" s="169">
        <f t="shared" si="39"/>
        <v>0</v>
      </c>
      <c r="V604" s="169" t="str">
        <f t="shared" si="37"/>
        <v>SHEPHERD AJ 3</v>
      </c>
      <c r="W604" s="169" t="s">
        <v>8897</v>
      </c>
    </row>
    <row r="605" spans="2:23" x14ac:dyDescent="0.25">
      <c r="B605" s="178" t="s">
        <v>96</v>
      </c>
      <c r="C605" s="178" t="s">
        <v>45</v>
      </c>
      <c r="D605" s="178" t="s">
        <v>131</v>
      </c>
      <c r="E605" s="178" t="s">
        <v>19</v>
      </c>
      <c r="F605" s="245" t="str">
        <f t="shared" si="38"/>
        <v>DVR 72</v>
      </c>
      <c r="G605" s="169" t="s">
        <v>4260</v>
      </c>
      <c r="H605" s="169" t="s">
        <v>461</v>
      </c>
      <c r="I605" s="169" t="str">
        <f t="shared" ref="I605:I668" si="40">CONCATENATE(B605,"_",C605,"_",D605,"_",E605)</f>
        <v>L09_DPVE_011E_RAISE</v>
      </c>
      <c r="J605" s="169" t="s">
        <v>6695</v>
      </c>
      <c r="K605" s="169">
        <f>IFERROR(MATCH(J605,'Final List'!$B$4:$B$252,0),0)</f>
        <v>0</v>
      </c>
      <c r="L605" s="169">
        <f>IFERROR(MATCH(J605,'Final List'!$D$4:$D$252,0),0)</f>
        <v>0</v>
      </c>
      <c r="M605" s="169">
        <f>IFERROR(MATCH(J605,'Final List'!$F$4:$F$251,0),0)</f>
        <v>0</v>
      </c>
      <c r="N605" s="169">
        <f>IFERROR(MATCH(J605,'Final List'!$H$4:$H$252,0),0)</f>
        <v>0</v>
      </c>
      <c r="O605" s="169">
        <f>IFERROR(MATCH(J605,'Final List'!$J$4:$J$252,0),0)</f>
        <v>0</v>
      </c>
      <c r="P605" s="169">
        <f>IFERROR(MATCH(J605,'Final List'!$L$4:$L$252,0),0)</f>
        <v>0</v>
      </c>
      <c r="Q605" s="169">
        <f>IFERROR(MATCH(J605,'Final List'!$N$4:$N$252,0),0)</f>
        <v>0</v>
      </c>
      <c r="R605" s="169">
        <f>IFERROR(MATCH(J605,'Final List'!$P$4:$P$252,0),0)</f>
        <v>0</v>
      </c>
      <c r="S605" s="169">
        <f t="shared" si="39"/>
        <v>0</v>
      </c>
      <c r="V605" s="169" t="str">
        <f t="shared" si="37"/>
        <v>PANSIT 4</v>
      </c>
      <c r="W605" s="169" t="s">
        <v>2715</v>
      </c>
    </row>
    <row r="606" spans="2:23" x14ac:dyDescent="0.25">
      <c r="B606" s="178" t="s">
        <v>96</v>
      </c>
      <c r="C606" s="178" t="s">
        <v>57</v>
      </c>
      <c r="D606" s="178" t="s">
        <v>1230</v>
      </c>
      <c r="E606" s="178" t="s">
        <v>19</v>
      </c>
      <c r="F606" s="245" t="str">
        <f t="shared" si="38"/>
        <v>DVR 72</v>
      </c>
      <c r="G606" s="169" t="s">
        <v>5774</v>
      </c>
      <c r="I606" s="169" t="str">
        <f t="shared" si="40"/>
        <v>L09_JVSPLIT_075E_RAISE</v>
      </c>
      <c r="J606" s="169" t="s">
        <v>4134</v>
      </c>
      <c r="K606" s="169">
        <f>IFERROR(MATCH(J606,'Final List'!$B$4:$B$252,0),0)</f>
        <v>0</v>
      </c>
      <c r="L606" s="169">
        <f>IFERROR(MATCH(J606,'Final List'!$D$4:$D$252,0),0)</f>
        <v>0</v>
      </c>
      <c r="M606" s="169">
        <f>IFERROR(MATCH(J606,'Final List'!$F$4:$F$251,0),0)</f>
        <v>0</v>
      </c>
      <c r="N606" s="169">
        <f>IFERROR(MATCH(J606,'Final List'!$H$4:$H$252,0),0)</f>
        <v>0</v>
      </c>
      <c r="O606" s="169">
        <f>IFERROR(MATCH(J606,'Final List'!$J$4:$J$252,0),0)</f>
        <v>0</v>
      </c>
      <c r="P606" s="169">
        <f>IFERROR(MATCH(J606,'Final List'!$L$4:$L$252,0),0)</f>
        <v>0</v>
      </c>
      <c r="Q606" s="169">
        <f>IFERROR(MATCH(J606,'Final List'!$N$4:$N$252,0),0)</f>
        <v>0</v>
      </c>
      <c r="R606" s="169">
        <f>IFERROR(MATCH(J606,'Final List'!$P$4:$P$252,0),0)</f>
        <v>0</v>
      </c>
      <c r="S606" s="169">
        <f t="shared" si="39"/>
        <v>0</v>
      </c>
      <c r="V606" s="169" t="str">
        <f t="shared" si="37"/>
        <v>BANTAYAN 1</v>
      </c>
      <c r="W606" s="169" t="s">
        <v>2715</v>
      </c>
    </row>
    <row r="607" spans="2:23" x14ac:dyDescent="0.25">
      <c r="B607" s="169" t="s">
        <v>258</v>
      </c>
      <c r="C607" s="169" t="s">
        <v>87</v>
      </c>
      <c r="D607" s="169" t="s">
        <v>198</v>
      </c>
      <c r="E607" s="169" t="s">
        <v>37</v>
      </c>
      <c r="F607" s="245" t="str">
        <f t="shared" si="38"/>
        <v>Dhoz 71</v>
      </c>
      <c r="G607" s="169" t="s">
        <v>5704</v>
      </c>
      <c r="I607" s="169" t="str">
        <f t="shared" si="40"/>
        <v>L10_NONE_069E_XCN</v>
      </c>
      <c r="J607" s="169" t="s">
        <v>6697</v>
      </c>
      <c r="K607" s="169">
        <f>IFERROR(MATCH(J607,'Final List'!$B$4:$B$252,0),0)</f>
        <v>0</v>
      </c>
      <c r="L607" s="169">
        <f>IFERROR(MATCH(J607,'Final List'!$D$4:$D$252,0),0)</f>
        <v>0</v>
      </c>
      <c r="M607" s="169">
        <f>IFERROR(MATCH(J607,'Final List'!$F$4:$F$251,0),0)</f>
        <v>0</v>
      </c>
      <c r="N607" s="169">
        <f>IFERROR(MATCH(J607,'Final List'!$H$4:$H$252,0),0)</f>
        <v>0</v>
      </c>
      <c r="O607" s="169">
        <f>IFERROR(MATCH(J607,'Final List'!$J$4:$J$252,0),0)</f>
        <v>0</v>
      </c>
      <c r="P607" s="169">
        <f>IFERROR(MATCH(J607,'Final List'!$L$4:$L$252,0),0)</f>
        <v>0</v>
      </c>
      <c r="Q607" s="169">
        <f>IFERROR(MATCH(J607,'Final List'!$N$4:$N$252,0),0)</f>
        <v>0</v>
      </c>
      <c r="R607" s="169">
        <f>IFERROR(MATCH(J607,'Final List'!$P$4:$P$252,0),0)</f>
        <v>0</v>
      </c>
      <c r="S607" s="169">
        <f t="shared" si="39"/>
        <v>0</v>
      </c>
      <c r="V607" s="169" t="str">
        <f t="shared" si="37"/>
        <v>OLIVEROS 3</v>
      </c>
      <c r="W607" s="169" t="s">
        <v>8898</v>
      </c>
    </row>
    <row r="608" spans="2:23" x14ac:dyDescent="0.25">
      <c r="B608" s="169" t="s">
        <v>91</v>
      </c>
      <c r="C608" s="169" t="s">
        <v>44</v>
      </c>
      <c r="D608" s="169" t="s">
        <v>101</v>
      </c>
      <c r="E608" s="169" t="s">
        <v>60</v>
      </c>
      <c r="F608" s="245" t="str">
        <f t="shared" si="38"/>
        <v>Dhoz 71</v>
      </c>
      <c r="G608" s="169" t="s">
        <v>488</v>
      </c>
      <c r="I608" s="169" t="str">
        <f t="shared" si="40"/>
        <v>L04_CV_023W_DE</v>
      </c>
      <c r="J608" s="169" t="s">
        <v>6704</v>
      </c>
      <c r="K608" s="169">
        <f>IFERROR(MATCH(J608,'Final List'!$B$4:$B$252,0),0)</f>
        <v>0</v>
      </c>
      <c r="L608" s="169">
        <f>IFERROR(MATCH(J608,'Final List'!$D$4:$D$252,0),0)</f>
        <v>0</v>
      </c>
      <c r="M608" s="169">
        <f>IFERROR(MATCH(J608,'Final List'!$F$4:$F$251,0),0)</f>
        <v>0</v>
      </c>
      <c r="N608" s="169">
        <f>IFERROR(MATCH(J608,'Final List'!$H$4:$H$252,0),0)</f>
        <v>0</v>
      </c>
      <c r="O608" s="169">
        <f>IFERROR(MATCH(J608,'Final List'!$J$4:$J$252,0),0)</f>
        <v>0</v>
      </c>
      <c r="P608" s="169">
        <f>IFERROR(MATCH(J608,'Final List'!$L$4:$L$252,0),0)</f>
        <v>0</v>
      </c>
      <c r="Q608" s="169">
        <f>IFERROR(MATCH(J608,'Final List'!$N$4:$N$252,0),0)</f>
        <v>0</v>
      </c>
      <c r="R608" s="169">
        <f>IFERROR(MATCH(J608,'Final List'!$P$4:$P$252,0),0)</f>
        <v>0</v>
      </c>
      <c r="S608" s="169">
        <f t="shared" si="39"/>
        <v>0</v>
      </c>
      <c r="V608" s="169" t="str">
        <f t="shared" si="37"/>
        <v>BAÑEZ 9</v>
      </c>
      <c r="W608" s="169" t="s">
        <v>8895</v>
      </c>
    </row>
    <row r="609" spans="2:23" x14ac:dyDescent="0.25">
      <c r="B609" s="178" t="s">
        <v>92</v>
      </c>
      <c r="C609" s="178" t="s">
        <v>41</v>
      </c>
      <c r="D609" s="178" t="s">
        <v>6710</v>
      </c>
      <c r="E609" s="178" t="s">
        <v>62</v>
      </c>
      <c r="F609" s="245" t="str">
        <f t="shared" si="38"/>
        <v>RobS 79</v>
      </c>
      <c r="G609" s="169" t="s">
        <v>5707</v>
      </c>
      <c r="H609" s="169" t="s">
        <v>7390</v>
      </c>
      <c r="I609" s="169" t="str">
        <f t="shared" si="40"/>
        <v>L05_CTV_018W_ROBBING</v>
      </c>
      <c r="J609" s="169" t="s">
        <v>6709</v>
      </c>
      <c r="K609" s="169">
        <f>IFERROR(MATCH(J609,'Final List'!$B$4:$B$252,0),0)</f>
        <v>0</v>
      </c>
      <c r="L609" s="169">
        <f>IFERROR(MATCH(J609,'Final List'!$D$4:$D$252,0),0)</f>
        <v>0</v>
      </c>
      <c r="M609" s="169">
        <f>IFERROR(MATCH(J609,'Final List'!$F$4:$F$251,0),0)</f>
        <v>0</v>
      </c>
      <c r="N609" s="169">
        <f>IFERROR(MATCH(J609,'Final List'!$H$4:$H$252,0),0)</f>
        <v>0</v>
      </c>
      <c r="O609" s="169">
        <f>IFERROR(MATCH(J609,'Final List'!$J$4:$J$252,0),0)</f>
        <v>0</v>
      </c>
      <c r="P609" s="169">
        <f>IFERROR(MATCH(J609,'Final List'!$L$4:$L$252,0),0)</f>
        <v>0</v>
      </c>
      <c r="Q609" s="169">
        <f>IFERROR(MATCH(J609,'Final List'!$N$4:$N$252,0),0)</f>
        <v>0</v>
      </c>
      <c r="R609" s="169">
        <f>IFERROR(MATCH(J609,'Final List'!$P$4:$P$252,0),0)</f>
        <v>0</v>
      </c>
      <c r="S609" s="169">
        <f t="shared" si="39"/>
        <v>0</v>
      </c>
      <c r="T609" s="169" t="s">
        <v>68</v>
      </c>
      <c r="V609" s="169" t="str">
        <f t="shared" si="37"/>
        <v>FERNANDEZ, RG</v>
      </c>
      <c r="W609" s="169" t="s">
        <v>2707</v>
      </c>
    </row>
    <row r="610" spans="2:23" x14ac:dyDescent="0.25">
      <c r="B610" s="178" t="s">
        <v>92</v>
      </c>
      <c r="C610" s="178" t="s">
        <v>41</v>
      </c>
      <c r="D610" s="178" t="s">
        <v>101</v>
      </c>
      <c r="E610" s="178" t="s">
        <v>60</v>
      </c>
      <c r="F610" s="245" t="str">
        <f t="shared" si="38"/>
        <v>Dhoz 71</v>
      </c>
      <c r="G610" s="169" t="s">
        <v>401</v>
      </c>
      <c r="I610" s="169" t="str">
        <f t="shared" si="40"/>
        <v>L05_CTV_023W_DE</v>
      </c>
      <c r="J610" s="169" t="s">
        <v>6711</v>
      </c>
      <c r="K610" s="169">
        <f>IFERROR(MATCH(J610,'Final List'!$B$4:$B$252,0),0)</f>
        <v>0</v>
      </c>
      <c r="L610" s="169">
        <f>IFERROR(MATCH(J610,'Final List'!$D$4:$D$252,0),0)</f>
        <v>0</v>
      </c>
      <c r="M610" s="169">
        <f>IFERROR(MATCH(J610,'Final List'!$F$4:$F$251,0),0)</f>
        <v>0</v>
      </c>
      <c r="N610" s="169">
        <f>IFERROR(MATCH(J610,'Final List'!$H$4:$H$252,0),0)</f>
        <v>0</v>
      </c>
      <c r="O610" s="169">
        <f>IFERROR(MATCH(J610,'Final List'!$J$4:$J$252,0),0)</f>
        <v>0</v>
      </c>
      <c r="P610" s="169">
        <f>IFERROR(MATCH(J610,'Final List'!$L$4:$L$252,0),0)</f>
        <v>0</v>
      </c>
      <c r="Q610" s="169">
        <f>IFERROR(MATCH(J610,'Final List'!$N$4:$N$252,0),0)</f>
        <v>0</v>
      </c>
      <c r="R610" s="169">
        <f>IFERROR(MATCH(J610,'Final List'!$P$4:$P$252,0),0)</f>
        <v>0</v>
      </c>
      <c r="S610" s="169">
        <f t="shared" si="39"/>
        <v>0</v>
      </c>
      <c r="V610" s="169" t="str">
        <f t="shared" si="37"/>
        <v>MAPAYO 2</v>
      </c>
      <c r="W610" s="169" t="s">
        <v>8895</v>
      </c>
    </row>
    <row r="611" spans="2:23" x14ac:dyDescent="0.25">
      <c r="B611" s="178" t="s">
        <v>92</v>
      </c>
      <c r="C611" s="178" t="s">
        <v>55</v>
      </c>
      <c r="D611" s="178" t="s">
        <v>195</v>
      </c>
      <c r="E611" s="178" t="s">
        <v>6143</v>
      </c>
      <c r="F611" s="245" t="str">
        <f t="shared" si="38"/>
        <v>Dhoz 71</v>
      </c>
      <c r="G611" s="169" t="s">
        <v>5801</v>
      </c>
      <c r="I611" s="169" t="str">
        <f t="shared" si="40"/>
        <v>L05_JVFW_008W_DE_ISL</v>
      </c>
      <c r="J611" s="169" t="s">
        <v>6712</v>
      </c>
      <c r="K611" s="169">
        <f>IFERROR(MATCH(J611,'Final List'!$B$4:$B$252,0),0)</f>
        <v>0</v>
      </c>
      <c r="L611" s="169">
        <f>IFERROR(MATCH(J611,'Final List'!$D$4:$D$252,0),0)</f>
        <v>0</v>
      </c>
      <c r="M611" s="169">
        <f>IFERROR(MATCH(J611,'Final List'!$F$4:$F$251,0),0)</f>
        <v>0</v>
      </c>
      <c r="N611" s="169">
        <f>IFERROR(MATCH(J611,'Final List'!$H$4:$H$252,0),0)</f>
        <v>0</v>
      </c>
      <c r="O611" s="169">
        <f>IFERROR(MATCH(J611,'Final List'!$J$4:$J$252,0),0)</f>
        <v>0</v>
      </c>
      <c r="P611" s="169">
        <f>IFERROR(MATCH(J611,'Final List'!$L$4:$L$252,0),0)</f>
        <v>0</v>
      </c>
      <c r="Q611" s="169">
        <f>IFERROR(MATCH(J611,'Final List'!$N$4:$N$252,0),0)</f>
        <v>0</v>
      </c>
      <c r="R611" s="169">
        <f>IFERROR(MATCH(J611,'Final List'!$P$4:$P$252,0),0)</f>
        <v>0</v>
      </c>
      <c r="S611" s="169">
        <f t="shared" si="39"/>
        <v>0</v>
      </c>
      <c r="V611" s="169" t="str">
        <f t="shared" si="37"/>
        <v>SHEPHERD AM 1</v>
      </c>
      <c r="W611" s="169" t="s">
        <v>2708</v>
      </c>
    </row>
    <row r="612" spans="2:23" x14ac:dyDescent="0.25">
      <c r="B612" s="178" t="s">
        <v>92</v>
      </c>
      <c r="C612" s="178" t="s">
        <v>41</v>
      </c>
      <c r="D612" s="178" t="s">
        <v>6714</v>
      </c>
      <c r="E612" s="178" t="s">
        <v>211</v>
      </c>
      <c r="F612" s="245" t="str">
        <f t="shared" si="38"/>
        <v>StpS 77</v>
      </c>
      <c r="G612" s="169" t="s">
        <v>3659</v>
      </c>
      <c r="I612" s="169" t="str">
        <f t="shared" si="40"/>
        <v>L05_CTV_037W_STOPE PREP</v>
      </c>
      <c r="J612" s="169" t="s">
        <v>6713</v>
      </c>
      <c r="K612" s="169">
        <f>IFERROR(MATCH(J612,'Final List'!$B$4:$B$252,0),0)</f>
        <v>0</v>
      </c>
      <c r="L612" s="169">
        <f>IFERROR(MATCH(J612,'Final List'!$D$4:$D$252,0),0)</f>
        <v>0</v>
      </c>
      <c r="M612" s="169">
        <f>IFERROR(MATCH(J612,'Final List'!$F$4:$F$251,0),0)</f>
        <v>0</v>
      </c>
      <c r="N612" s="169">
        <f>IFERROR(MATCH(J612,'Final List'!$H$4:$H$252,0),0)</f>
        <v>0</v>
      </c>
      <c r="O612" s="169">
        <f>IFERROR(MATCH(J612,'Final List'!$J$4:$J$252,0),0)</f>
        <v>0</v>
      </c>
      <c r="P612" s="169">
        <f>IFERROR(MATCH(J612,'Final List'!$L$4:$L$252,0),0)</f>
        <v>0</v>
      </c>
      <c r="Q612" s="169">
        <f>IFERROR(MATCH(J612,'Final List'!$N$4:$N$252,0),0)</f>
        <v>0</v>
      </c>
      <c r="R612" s="169">
        <f>IFERROR(MATCH(J612,'Final List'!$P$4:$P$252,0),0)</f>
        <v>0</v>
      </c>
      <c r="S612" s="169">
        <f t="shared" si="39"/>
        <v>0</v>
      </c>
      <c r="T612" s="169" t="s">
        <v>68</v>
      </c>
      <c r="V612" s="169" t="str">
        <f t="shared" si="37"/>
        <v>SHEPHERD AD 2</v>
      </c>
      <c r="W612" s="169" t="s">
        <v>2712</v>
      </c>
    </row>
    <row r="613" spans="2:23" x14ac:dyDescent="0.25">
      <c r="B613" s="178" t="s">
        <v>96</v>
      </c>
      <c r="C613" s="178" t="s">
        <v>57</v>
      </c>
      <c r="D613" s="178" t="s">
        <v>122</v>
      </c>
      <c r="E613" s="178" t="s">
        <v>36</v>
      </c>
      <c r="F613" s="245" t="str">
        <f t="shared" si="38"/>
        <v>StpS 77</v>
      </c>
      <c r="G613" s="169" t="s">
        <v>345</v>
      </c>
      <c r="I613" s="169" t="str">
        <f t="shared" si="40"/>
        <v>L09_JVSPLIT_025E_STOPE</v>
      </c>
      <c r="J613" s="169" t="s">
        <v>6715</v>
      </c>
      <c r="K613" s="169">
        <f>IFERROR(MATCH(J613,'Final List'!$B$4:$B$252,0),0)</f>
        <v>0</v>
      </c>
      <c r="L613" s="169">
        <f>IFERROR(MATCH(J613,'Final List'!$D$4:$D$252,0),0)</f>
        <v>0</v>
      </c>
      <c r="M613" s="169">
        <f>IFERROR(MATCH(J613,'Final List'!$F$4:$F$251,0),0)</f>
        <v>0</v>
      </c>
      <c r="N613" s="169">
        <f>IFERROR(MATCH(J613,'Final List'!$H$4:$H$252,0),0)</f>
        <v>0</v>
      </c>
      <c r="O613" s="169">
        <f>IFERROR(MATCH(J613,'Final List'!$J$4:$J$252,0),0)</f>
        <v>0</v>
      </c>
      <c r="P613" s="169">
        <f>IFERROR(MATCH(J613,'Final List'!$L$4:$L$252,0),0)</f>
        <v>0</v>
      </c>
      <c r="Q613" s="169">
        <f>IFERROR(MATCH(J613,'Final List'!$N$4:$N$252,0),0)</f>
        <v>0</v>
      </c>
      <c r="R613" s="169">
        <f>IFERROR(MATCH(J613,'Final List'!$P$4:$P$252,0),0)</f>
        <v>0</v>
      </c>
      <c r="S613" s="169">
        <f t="shared" si="39"/>
        <v>0</v>
      </c>
      <c r="T613" s="169" t="s">
        <v>68</v>
      </c>
      <c r="V613" s="169" t="str">
        <f t="shared" si="37"/>
        <v>PANSIT 1</v>
      </c>
      <c r="W613" s="169" t="s">
        <v>2713</v>
      </c>
    </row>
    <row r="614" spans="2:23" x14ac:dyDescent="0.25">
      <c r="B614" s="178" t="s">
        <v>95</v>
      </c>
      <c r="C614" s="178" t="s">
        <v>45</v>
      </c>
      <c r="D614" s="178" t="s">
        <v>5850</v>
      </c>
      <c r="E614" s="178" t="s">
        <v>62</v>
      </c>
      <c r="F614" s="245" t="str">
        <f t="shared" si="38"/>
        <v>RobS 79</v>
      </c>
      <c r="G614" s="169" t="s">
        <v>5718</v>
      </c>
      <c r="I614" s="169" t="str">
        <f t="shared" si="40"/>
        <v>L08_DPVE_016E_ROBBING</v>
      </c>
      <c r="J614" s="169" t="s">
        <v>6717</v>
      </c>
      <c r="K614" s="169">
        <f>IFERROR(MATCH(J614,'Final List'!$B$4:$B$252,0),0)</f>
        <v>0</v>
      </c>
      <c r="L614" s="169">
        <f>IFERROR(MATCH(J614,'Final List'!$D$4:$D$252,0),0)</f>
        <v>0</v>
      </c>
      <c r="M614" s="169">
        <f>IFERROR(MATCH(J614,'Final List'!$F$4:$F$251,0),0)</f>
        <v>0</v>
      </c>
      <c r="N614" s="169">
        <f>IFERROR(MATCH(J614,'Final List'!$H$4:$H$252,0),0)</f>
        <v>0</v>
      </c>
      <c r="O614" s="169">
        <f>IFERROR(MATCH(J614,'Final List'!$J$4:$J$252,0),0)</f>
        <v>0</v>
      </c>
      <c r="P614" s="169">
        <f>IFERROR(MATCH(J614,'Final List'!$L$4:$L$252,0),0)</f>
        <v>0</v>
      </c>
      <c r="Q614" s="169">
        <f>IFERROR(MATCH(J614,'Final List'!$N$4:$N$252,0),0)</f>
        <v>0</v>
      </c>
      <c r="R614" s="169">
        <f>IFERROR(MATCH(J614,'Final List'!$P$4:$P$252,0),0)</f>
        <v>0</v>
      </c>
      <c r="S614" s="169">
        <f t="shared" si="39"/>
        <v>0</v>
      </c>
      <c r="T614" s="169" t="s">
        <v>68</v>
      </c>
      <c r="V614" s="169" t="str">
        <f t="shared" si="37"/>
        <v>FERNANDEZ 2</v>
      </c>
      <c r="W614" s="169" t="s">
        <v>2707</v>
      </c>
    </row>
    <row r="615" spans="2:23" x14ac:dyDescent="0.25">
      <c r="B615" s="169" t="s">
        <v>1166</v>
      </c>
      <c r="C615" s="169" t="s">
        <v>59</v>
      </c>
      <c r="D615" s="169" t="s">
        <v>176</v>
      </c>
      <c r="E615" s="169" t="s">
        <v>60</v>
      </c>
      <c r="F615" s="245" t="str">
        <f t="shared" si="38"/>
        <v>Dhoz 71</v>
      </c>
      <c r="G615" s="169" t="s">
        <v>6930</v>
      </c>
      <c r="H615" s="169" t="s">
        <v>551</v>
      </c>
      <c r="I615" s="169" t="str">
        <f t="shared" si="40"/>
        <v>L11_GHVHW_057E_DE</v>
      </c>
      <c r="J615" s="169" t="s">
        <v>6719</v>
      </c>
      <c r="K615" s="169">
        <f>IFERROR(MATCH(J615,'Final List'!$B$4:$B$252,0),0)</f>
        <v>0</v>
      </c>
      <c r="L615" s="169">
        <f>IFERROR(MATCH(J615,'Final List'!$D$4:$D$252,0),0)</f>
        <v>0</v>
      </c>
      <c r="M615" s="169">
        <f>IFERROR(MATCH(J615,'Final List'!$F$4:$F$251,0),0)</f>
        <v>0</v>
      </c>
      <c r="N615" s="169">
        <f>IFERROR(MATCH(J615,'Final List'!$H$4:$H$252,0),0)</f>
        <v>0</v>
      </c>
      <c r="O615" s="169">
        <f>IFERROR(MATCH(J615,'Final List'!$J$4:$J$252,0),0)</f>
        <v>0</v>
      </c>
      <c r="P615" s="169">
        <f>IFERROR(MATCH(J615,'Final List'!$L$4:$L$252,0),0)</f>
        <v>0</v>
      </c>
      <c r="Q615" s="169">
        <f>IFERROR(MATCH(J615,'Final List'!$N$4:$N$252,0),0)</f>
        <v>0</v>
      </c>
      <c r="R615" s="169">
        <f>IFERROR(MATCH(J615,'Final List'!$P$4:$P$252,0),0)</f>
        <v>0</v>
      </c>
      <c r="S615" s="169">
        <f t="shared" si="39"/>
        <v>0</v>
      </c>
      <c r="V615" s="169" t="str">
        <f t="shared" si="37"/>
        <v>PANCIT, NOEL 3</v>
      </c>
      <c r="W615" s="169" t="s">
        <v>8896</v>
      </c>
    </row>
    <row r="616" spans="2:23" x14ac:dyDescent="0.25">
      <c r="B616" s="169" t="s">
        <v>258</v>
      </c>
      <c r="C616" s="169" t="s">
        <v>45</v>
      </c>
      <c r="D616" s="169" t="s">
        <v>173</v>
      </c>
      <c r="E616" s="169" t="s">
        <v>19</v>
      </c>
      <c r="F616" s="245" t="str">
        <f t="shared" si="38"/>
        <v>DVR 72</v>
      </c>
      <c r="G616" s="169" t="s">
        <v>454</v>
      </c>
      <c r="I616" s="169" t="str">
        <f t="shared" si="40"/>
        <v>L10_DPVE_049E_RAISE</v>
      </c>
      <c r="J616" s="169" t="s">
        <v>6720</v>
      </c>
      <c r="K616" s="169">
        <f>IFERROR(MATCH(J616,'Final List'!$B$4:$B$252,0),0)</f>
        <v>0</v>
      </c>
      <c r="L616" s="169">
        <f>IFERROR(MATCH(J616,'Final List'!$D$4:$D$252,0),0)</f>
        <v>0</v>
      </c>
      <c r="M616" s="169">
        <f>IFERROR(MATCH(J616,'Final List'!$F$4:$F$251,0),0)</f>
        <v>0</v>
      </c>
      <c r="N616" s="169">
        <f>IFERROR(MATCH(J616,'Final List'!$H$4:$H$252,0),0)</f>
        <v>0</v>
      </c>
      <c r="O616" s="169">
        <f>IFERROR(MATCH(J616,'Final List'!$J$4:$J$252,0),0)</f>
        <v>0</v>
      </c>
      <c r="P616" s="169">
        <f>IFERROR(MATCH(J616,'Final List'!$L$4:$L$252,0),0)</f>
        <v>0</v>
      </c>
      <c r="Q616" s="169">
        <f>IFERROR(MATCH(J616,'Final List'!$N$4:$N$252,0),0)</f>
        <v>0</v>
      </c>
      <c r="R616" s="169">
        <f>IFERROR(MATCH(J616,'Final List'!$P$4:$P$252,0),0)</f>
        <v>0</v>
      </c>
      <c r="S616" s="169">
        <f t="shared" si="39"/>
        <v>0</v>
      </c>
      <c r="V616" s="169" t="str">
        <f t="shared" si="37"/>
        <v>BAÑEZ 8</v>
      </c>
      <c r="W616" s="169" t="s">
        <v>2715</v>
      </c>
    </row>
    <row r="617" spans="2:23" x14ac:dyDescent="0.25">
      <c r="B617" s="169" t="s">
        <v>96</v>
      </c>
      <c r="C617" s="169" t="s">
        <v>87</v>
      </c>
      <c r="D617" s="169" t="s">
        <v>5975</v>
      </c>
      <c r="E617" s="169" t="s">
        <v>63</v>
      </c>
      <c r="F617" s="245" t="str">
        <f t="shared" si="38"/>
        <v>Dhoz 71</v>
      </c>
      <c r="G617" s="169" t="s">
        <v>362</v>
      </c>
      <c r="I617" s="169" t="str">
        <f t="shared" si="40"/>
        <v>L09_NONE_028E_XCS</v>
      </c>
      <c r="J617" s="169" t="s">
        <v>6731</v>
      </c>
      <c r="K617" s="169">
        <f>IFERROR(MATCH(J617,'Final List'!$B$4:$B$252,0),0)</f>
        <v>0</v>
      </c>
      <c r="L617" s="169">
        <f>IFERROR(MATCH(J617,'Final List'!$D$4:$D$252,0),0)</f>
        <v>0</v>
      </c>
      <c r="M617" s="169">
        <f>IFERROR(MATCH(J617,'Final List'!$F$4:$F$251,0),0)</f>
        <v>0</v>
      </c>
      <c r="N617" s="169">
        <f>IFERROR(MATCH(J617,'Final List'!$H$4:$H$252,0),0)</f>
        <v>0</v>
      </c>
      <c r="O617" s="169">
        <f>IFERROR(MATCH(J617,'Final List'!$J$4:$J$252,0),0)</f>
        <v>0</v>
      </c>
      <c r="P617" s="169">
        <f>IFERROR(MATCH(J617,'Final List'!$L$4:$L$252,0),0)</f>
        <v>0</v>
      </c>
      <c r="Q617" s="169">
        <f>IFERROR(MATCH(J617,'Final List'!$N$4:$N$252,0),0)</f>
        <v>0</v>
      </c>
      <c r="R617" s="169">
        <f>IFERROR(MATCH(J617,'Final List'!$P$4:$P$252,0),0)</f>
        <v>0</v>
      </c>
      <c r="S617" s="169">
        <f t="shared" si="39"/>
        <v>0</v>
      </c>
      <c r="V617" s="169" t="str">
        <f t="shared" si="37"/>
        <v>BABOR 1</v>
      </c>
      <c r="W617" s="169" t="s">
        <v>8898</v>
      </c>
    </row>
    <row r="618" spans="2:23" x14ac:dyDescent="0.25">
      <c r="B618" s="178" t="s">
        <v>96</v>
      </c>
      <c r="C618" s="178" t="s">
        <v>39</v>
      </c>
      <c r="D618" s="178" t="s">
        <v>142</v>
      </c>
      <c r="E618" s="178" t="s">
        <v>60</v>
      </c>
      <c r="F618" s="245" t="str">
        <f t="shared" si="38"/>
        <v>Dhoz 71</v>
      </c>
      <c r="G618" s="169" t="s">
        <v>337</v>
      </c>
      <c r="I618" s="169" t="str">
        <f t="shared" si="40"/>
        <v>L09_JVHW_038E_DE</v>
      </c>
      <c r="J618" s="169" t="s">
        <v>6722</v>
      </c>
      <c r="K618" s="169">
        <f>IFERROR(MATCH(J618,'Final List'!$B$4:$B$252,0),0)</f>
        <v>0</v>
      </c>
      <c r="L618" s="169">
        <f>IFERROR(MATCH(J618,'Final List'!$D$4:$D$252,0),0)</f>
        <v>0</v>
      </c>
      <c r="M618" s="169">
        <f>IFERROR(MATCH(J618,'Final List'!$F$4:$F$251,0),0)</f>
        <v>0</v>
      </c>
      <c r="N618" s="169">
        <f>IFERROR(MATCH(J618,'Final List'!$H$4:$H$252,0),0)</f>
        <v>0</v>
      </c>
      <c r="O618" s="169">
        <f>IFERROR(MATCH(J618,'Final List'!$J$4:$J$252,0),0)</f>
        <v>0</v>
      </c>
      <c r="P618" s="169">
        <f>IFERROR(MATCH(J618,'Final List'!$L$4:$L$252,0),0)</f>
        <v>0</v>
      </c>
      <c r="Q618" s="169">
        <f>IFERROR(MATCH(J618,'Final List'!$N$4:$N$252,0),0)</f>
        <v>0</v>
      </c>
      <c r="R618" s="169">
        <f>IFERROR(MATCH(J618,'Final List'!$P$4:$P$252,0),0)</f>
        <v>0</v>
      </c>
      <c r="S618" s="169">
        <f t="shared" si="39"/>
        <v>0</v>
      </c>
      <c r="V618" s="169" t="str">
        <f t="shared" si="37"/>
        <v>BALANGHIG 2</v>
      </c>
      <c r="W618" s="169" t="s">
        <v>8896</v>
      </c>
    </row>
    <row r="619" spans="2:23" x14ac:dyDescent="0.25">
      <c r="B619" s="169" t="s">
        <v>258</v>
      </c>
      <c r="C619" s="169" t="s">
        <v>55</v>
      </c>
      <c r="D619" s="169" t="s">
        <v>166</v>
      </c>
      <c r="E619" s="169" t="s">
        <v>36</v>
      </c>
      <c r="F619" s="245" t="str">
        <f t="shared" si="38"/>
        <v>StpS 77</v>
      </c>
      <c r="G619" s="169" t="s">
        <v>453</v>
      </c>
      <c r="I619" s="169" t="str">
        <f t="shared" si="40"/>
        <v>L10_JVFW_068E_STOPE</v>
      </c>
      <c r="J619" s="169" t="s">
        <v>6700</v>
      </c>
      <c r="K619" s="169">
        <f>IFERROR(MATCH(J619,'Final List'!$B$4:$B$252,0),0)</f>
        <v>0</v>
      </c>
      <c r="L619" s="169">
        <f>IFERROR(MATCH(J619,'Final List'!$D$4:$D$252,0),0)</f>
        <v>0</v>
      </c>
      <c r="M619" s="169">
        <f>IFERROR(MATCH(J619,'Final List'!$F$4:$F$251,0),0)</f>
        <v>0</v>
      </c>
      <c r="N619" s="169">
        <f>IFERROR(MATCH(J619,'Final List'!$H$4:$H$252,0),0)</f>
        <v>0</v>
      </c>
      <c r="O619" s="169">
        <f>IFERROR(MATCH(J619,'Final List'!$J$4:$J$252,0),0)</f>
        <v>0</v>
      </c>
      <c r="P619" s="169">
        <f>IFERROR(MATCH(J619,'Final List'!$L$4:$L$252,0),0)</f>
        <v>0</v>
      </c>
      <c r="Q619" s="169">
        <f>IFERROR(MATCH(J619,'Final List'!$N$4:$N$252,0),0)</f>
        <v>0</v>
      </c>
      <c r="R619" s="169">
        <f>IFERROR(MATCH(J619,'Final List'!$P$4:$P$252,0),0)</f>
        <v>0</v>
      </c>
      <c r="S619" s="169">
        <f t="shared" si="39"/>
        <v>0</v>
      </c>
      <c r="T619" s="169" t="s">
        <v>68</v>
      </c>
      <c r="V619" s="169" t="str">
        <f t="shared" si="37"/>
        <v>BAÑEZ 7</v>
      </c>
      <c r="W619" s="169" t="s">
        <v>2713</v>
      </c>
    </row>
    <row r="620" spans="2:23" x14ac:dyDescent="0.25">
      <c r="B620" s="169" t="s">
        <v>93</v>
      </c>
      <c r="C620" s="169" t="s">
        <v>42</v>
      </c>
      <c r="D620" s="169" t="s">
        <v>131</v>
      </c>
      <c r="E620" s="169" t="s">
        <v>62</v>
      </c>
      <c r="F620" s="245" t="str">
        <f t="shared" si="38"/>
        <v>RobC 80</v>
      </c>
      <c r="G620" s="169" t="s">
        <v>341</v>
      </c>
      <c r="I620" s="169" t="str">
        <f t="shared" si="40"/>
        <v>L06_JV_011E_ROBBING</v>
      </c>
      <c r="J620" s="169" t="s">
        <v>6723</v>
      </c>
      <c r="K620" s="169">
        <f>IFERROR(MATCH(J620,'Final List'!$B$4:$B$252,0),0)</f>
        <v>0</v>
      </c>
      <c r="L620" s="169">
        <f>IFERROR(MATCH(J620,'Final List'!$D$4:$D$252,0),0)</f>
        <v>0</v>
      </c>
      <c r="M620" s="169">
        <f>IFERROR(MATCH(J620,'Final List'!$F$4:$F$251,0),0)</f>
        <v>0</v>
      </c>
      <c r="N620" s="169">
        <f>IFERROR(MATCH(J620,'Final List'!$H$4:$H$252,0),0)</f>
        <v>0</v>
      </c>
      <c r="O620" s="169">
        <f>IFERROR(MATCH(J620,'Final List'!$J$4:$J$252,0),0)</f>
        <v>0</v>
      </c>
      <c r="P620" s="169">
        <f>IFERROR(MATCH(J620,'Final List'!$L$4:$L$252,0),0)</f>
        <v>0</v>
      </c>
      <c r="Q620" s="169">
        <f>IFERROR(MATCH(J620,'Final List'!$N$4:$N$252,0),0)</f>
        <v>0</v>
      </c>
      <c r="R620" s="169">
        <f>IFERROR(MATCH(J620,'Final List'!$P$4:$P$252,0),0)</f>
        <v>0</v>
      </c>
      <c r="S620" s="169">
        <f t="shared" si="39"/>
        <v>0</v>
      </c>
      <c r="T620" s="169" t="s">
        <v>48</v>
      </c>
      <c r="V620" s="169" t="str">
        <f t="shared" si="37"/>
        <v>BADBADON 1</v>
      </c>
      <c r="W620" s="169" t="s">
        <v>236</v>
      </c>
    </row>
    <row r="621" spans="2:23" x14ac:dyDescent="0.25">
      <c r="B621" s="169" t="s">
        <v>93</v>
      </c>
      <c r="C621" s="169" t="s">
        <v>45</v>
      </c>
      <c r="D621" s="169" t="s">
        <v>142</v>
      </c>
      <c r="E621" s="169" t="s">
        <v>60</v>
      </c>
      <c r="F621" s="245" t="str">
        <f t="shared" si="38"/>
        <v>Dhoz 71</v>
      </c>
      <c r="G621" s="169" t="s">
        <v>4155</v>
      </c>
      <c r="I621" s="169" t="str">
        <f t="shared" si="40"/>
        <v>L06_DPVE_038E_DE</v>
      </c>
      <c r="J621" s="169" t="s">
        <v>1118</v>
      </c>
      <c r="K621" s="169">
        <f>IFERROR(MATCH(J621,'Final List'!$B$4:$B$252,0),0)</f>
        <v>0</v>
      </c>
      <c r="L621" s="169">
        <f>IFERROR(MATCH(J621,'Final List'!$D$4:$D$252,0),0)</f>
        <v>0</v>
      </c>
      <c r="M621" s="169">
        <f>IFERROR(MATCH(J621,'Final List'!$F$4:$F$251,0),0)</f>
        <v>0</v>
      </c>
      <c r="N621" s="169">
        <f>IFERROR(MATCH(J621,'Final List'!$H$4:$H$252,0),0)</f>
        <v>0</v>
      </c>
      <c r="O621" s="169">
        <f>IFERROR(MATCH(J621,'Final List'!$J$4:$J$252,0),0)</f>
        <v>0</v>
      </c>
      <c r="P621" s="169">
        <f>IFERROR(MATCH(J621,'Final List'!$L$4:$L$252,0),0)</f>
        <v>0</v>
      </c>
      <c r="Q621" s="169">
        <f>IFERROR(MATCH(J621,'Final List'!$N$4:$N$252,0),0)</f>
        <v>0</v>
      </c>
      <c r="R621" s="169">
        <f>IFERROR(MATCH(J621,'Final List'!$P$4:$P$252,0),0)</f>
        <v>0</v>
      </c>
      <c r="S621" s="169">
        <f t="shared" si="39"/>
        <v>0</v>
      </c>
      <c r="V621" s="169" t="str">
        <f t="shared" si="37"/>
        <v>BAÑEZ</v>
      </c>
      <c r="W621" s="169" t="s">
        <v>8895</v>
      </c>
    </row>
    <row r="622" spans="2:23" x14ac:dyDescent="0.25">
      <c r="B622" s="169" t="s">
        <v>258</v>
      </c>
      <c r="C622" s="169" t="s">
        <v>45</v>
      </c>
      <c r="D622" s="169" t="s">
        <v>5601</v>
      </c>
      <c r="E622" s="169" t="s">
        <v>61</v>
      </c>
      <c r="F622" s="245" t="str">
        <f t="shared" si="38"/>
        <v>Dhoz 71</v>
      </c>
      <c r="G622" s="169" t="s">
        <v>5775</v>
      </c>
      <c r="I622" s="169" t="str">
        <f t="shared" si="40"/>
        <v>L10_DPVE_026E_DW</v>
      </c>
      <c r="J622" s="169" t="s">
        <v>6727</v>
      </c>
      <c r="K622" s="169">
        <f>IFERROR(MATCH(J622,'Final List'!$B$4:$B$252,0),0)</f>
        <v>0</v>
      </c>
      <c r="L622" s="169">
        <f>IFERROR(MATCH(J622,'Final List'!$D$4:$D$252,0),0)</f>
        <v>0</v>
      </c>
      <c r="M622" s="169">
        <f>IFERROR(MATCH(J622,'Final List'!$F$4:$F$251,0),0)</f>
        <v>0</v>
      </c>
      <c r="N622" s="169">
        <f>IFERROR(MATCH(J622,'Final List'!$H$4:$H$252,0),0)</f>
        <v>0</v>
      </c>
      <c r="O622" s="169">
        <f>IFERROR(MATCH(J622,'Final List'!$J$4:$J$252,0),0)</f>
        <v>0</v>
      </c>
      <c r="P622" s="169">
        <f>IFERROR(MATCH(J622,'Final List'!$L$4:$L$252,0),0)</f>
        <v>0</v>
      </c>
      <c r="Q622" s="169">
        <f>IFERROR(MATCH(J622,'Final List'!$N$4:$N$252,0),0)</f>
        <v>0</v>
      </c>
      <c r="R622" s="169">
        <f>IFERROR(MATCH(J622,'Final List'!$P$4:$P$252,0),0)</f>
        <v>0</v>
      </c>
      <c r="S622" s="169">
        <f t="shared" si="39"/>
        <v>0</v>
      </c>
      <c r="V622" s="169" t="str">
        <f t="shared" si="37"/>
        <v>CATIGBE 1</v>
      </c>
      <c r="W622" s="169" t="s">
        <v>8896</v>
      </c>
    </row>
    <row r="623" spans="2:23" x14ac:dyDescent="0.25">
      <c r="B623" s="169" t="s">
        <v>258</v>
      </c>
      <c r="C623" s="169" t="s">
        <v>56</v>
      </c>
      <c r="D623" s="169" t="s">
        <v>172</v>
      </c>
      <c r="E623" s="169" t="s">
        <v>19</v>
      </c>
      <c r="F623" s="245" t="str">
        <f t="shared" si="38"/>
        <v>DVR 72</v>
      </c>
      <c r="G623" s="169" t="s">
        <v>1905</v>
      </c>
      <c r="I623" s="169" t="str">
        <f t="shared" si="40"/>
        <v>L10_GHVFW_045E_RAISE</v>
      </c>
      <c r="J623" s="169" t="s">
        <v>6728</v>
      </c>
      <c r="K623" s="169">
        <f>IFERROR(MATCH(J623,'Final List'!$B$4:$B$252,0),0)</f>
        <v>0</v>
      </c>
      <c r="L623" s="169">
        <f>IFERROR(MATCH(J623,'Final List'!$D$4:$D$252,0),0)</f>
        <v>0</v>
      </c>
      <c r="M623" s="169">
        <f>IFERROR(MATCH(J623,'Final List'!$F$4:$F$251,0),0)</f>
        <v>0</v>
      </c>
      <c r="N623" s="169">
        <f>IFERROR(MATCH(J623,'Final List'!$H$4:$H$252,0),0)</f>
        <v>0</v>
      </c>
      <c r="O623" s="169">
        <f>IFERROR(MATCH(J623,'Final List'!$J$4:$J$252,0),0)</f>
        <v>0</v>
      </c>
      <c r="P623" s="169">
        <f>IFERROR(MATCH(J623,'Final List'!$L$4:$L$252,0),0)</f>
        <v>0</v>
      </c>
      <c r="Q623" s="169">
        <f>IFERROR(MATCH(J623,'Final List'!$N$4:$N$252,0),0)</f>
        <v>0</v>
      </c>
      <c r="R623" s="169">
        <f>IFERROR(MATCH(J623,'Final List'!$P$4:$P$252,0),0)</f>
        <v>0</v>
      </c>
      <c r="S623" s="169">
        <f t="shared" si="39"/>
        <v>0</v>
      </c>
      <c r="V623" s="169" t="str">
        <f t="shared" si="37"/>
        <v>MONTEBON 1</v>
      </c>
      <c r="W623" s="169" t="s">
        <v>2715</v>
      </c>
    </row>
    <row r="624" spans="2:23" x14ac:dyDescent="0.25">
      <c r="B624" s="169" t="s">
        <v>96</v>
      </c>
      <c r="C624" s="169" t="s">
        <v>45</v>
      </c>
      <c r="D624" s="169" t="s">
        <v>164</v>
      </c>
      <c r="E624" s="169" t="s">
        <v>60</v>
      </c>
      <c r="F624" s="245" t="str">
        <f t="shared" si="38"/>
        <v>Dhoz 71</v>
      </c>
      <c r="G624" s="169" t="s">
        <v>348</v>
      </c>
      <c r="I624" s="169" t="str">
        <f t="shared" si="40"/>
        <v>L09_DPVE_064E_DE</v>
      </c>
      <c r="J624" s="169" t="s">
        <v>6733</v>
      </c>
      <c r="K624" s="169">
        <f>IFERROR(MATCH(J624,'Final List'!$B$4:$B$252,0),0)</f>
        <v>0</v>
      </c>
      <c r="L624" s="169">
        <f>IFERROR(MATCH(J624,'Final List'!$D$4:$D$252,0),0)</f>
        <v>0</v>
      </c>
      <c r="M624" s="169">
        <f>IFERROR(MATCH(J624,'Final List'!$F$4:$F$251,0),0)</f>
        <v>0</v>
      </c>
      <c r="N624" s="169">
        <f>IFERROR(MATCH(J624,'Final List'!$H$4:$H$252,0),0)</f>
        <v>0</v>
      </c>
      <c r="O624" s="169">
        <f>IFERROR(MATCH(J624,'Final List'!$J$4:$J$252,0),0)</f>
        <v>0</v>
      </c>
      <c r="P624" s="169">
        <f>IFERROR(MATCH(J624,'Final List'!$L$4:$L$252,0),0)</f>
        <v>0</v>
      </c>
      <c r="Q624" s="169">
        <f>IFERROR(MATCH(J624,'Final List'!$N$4:$N$252,0),0)</f>
        <v>0</v>
      </c>
      <c r="R624" s="169">
        <f>IFERROR(MATCH(J624,'Final List'!$P$4:$P$252,0),0)</f>
        <v>0</v>
      </c>
      <c r="S624" s="169">
        <f t="shared" si="39"/>
        <v>0</v>
      </c>
      <c r="V624" s="169" t="str">
        <f t="shared" si="37"/>
        <v>QUIJANO 3</v>
      </c>
      <c r="W624" s="169" t="s">
        <v>8896</v>
      </c>
    </row>
    <row r="625" spans="2:23" x14ac:dyDescent="0.25">
      <c r="B625" s="169" t="s">
        <v>258</v>
      </c>
      <c r="C625" s="169" t="s">
        <v>45</v>
      </c>
      <c r="D625" s="169" t="s">
        <v>130</v>
      </c>
      <c r="E625" s="169" t="s">
        <v>211</v>
      </c>
      <c r="F625" s="245" t="str">
        <f t="shared" si="38"/>
        <v>StpS 77</v>
      </c>
      <c r="G625" s="169" t="s">
        <v>360</v>
      </c>
      <c r="I625" s="169" t="str">
        <f t="shared" si="40"/>
        <v>L10_DPVE_036E_STOPE PREP</v>
      </c>
      <c r="J625" s="169" t="s">
        <v>6735</v>
      </c>
      <c r="K625" s="169">
        <f>IFERROR(MATCH(J625,'Final List'!$B$4:$B$252,0),0)</f>
        <v>0</v>
      </c>
      <c r="L625" s="169">
        <f>IFERROR(MATCH(J625,'Final List'!$D$4:$D$252,0),0)</f>
        <v>0</v>
      </c>
      <c r="M625" s="169">
        <f>IFERROR(MATCH(J625,'Final List'!$F$4:$F$251,0),0)</f>
        <v>0</v>
      </c>
      <c r="N625" s="169">
        <f>IFERROR(MATCH(J625,'Final List'!$H$4:$H$252,0),0)</f>
        <v>0</v>
      </c>
      <c r="O625" s="169">
        <f>IFERROR(MATCH(J625,'Final List'!$J$4:$J$252,0),0)</f>
        <v>0</v>
      </c>
      <c r="P625" s="169">
        <f>IFERROR(MATCH(J625,'Final List'!$L$4:$L$252,0),0)</f>
        <v>0</v>
      </c>
      <c r="Q625" s="169">
        <f>IFERROR(MATCH(J625,'Final List'!$N$4:$N$252,0),0)</f>
        <v>0</v>
      </c>
      <c r="R625" s="169">
        <f>IFERROR(MATCH(J625,'Final List'!$P$4:$P$252,0),0)</f>
        <v>0</v>
      </c>
      <c r="S625" s="169">
        <f t="shared" si="39"/>
        <v>0</v>
      </c>
      <c r="T625" s="169" t="s">
        <v>68</v>
      </c>
      <c r="V625" s="169" t="str">
        <f t="shared" si="37"/>
        <v>ALMASA 1</v>
      </c>
      <c r="W625" s="169" t="s">
        <v>2712</v>
      </c>
    </row>
    <row r="626" spans="2:23" x14ac:dyDescent="0.25">
      <c r="B626" s="178" t="s">
        <v>94</v>
      </c>
      <c r="C626" s="178" t="s">
        <v>43</v>
      </c>
      <c r="D626" s="178" t="s">
        <v>160</v>
      </c>
      <c r="E626" s="178" t="s">
        <v>61</v>
      </c>
      <c r="F626" s="245" t="str">
        <f t="shared" si="38"/>
        <v>Dhoz 71</v>
      </c>
      <c r="G626" s="169" t="s">
        <v>6479</v>
      </c>
      <c r="I626" s="169" t="str">
        <f t="shared" si="40"/>
        <v>L07_GHVSPLIT_042E_DW</v>
      </c>
      <c r="J626" s="169" t="s">
        <v>6746</v>
      </c>
      <c r="K626" s="169">
        <f>IFERROR(MATCH(J626,'Final List'!$B$4:$B$252,0),0)</f>
        <v>0</v>
      </c>
      <c r="L626" s="169">
        <f>IFERROR(MATCH(J626,'Final List'!$D$4:$D$252,0),0)</f>
        <v>0</v>
      </c>
      <c r="M626" s="169">
        <f>IFERROR(MATCH(J626,'Final List'!$F$4:$F$251,0),0)</f>
        <v>0</v>
      </c>
      <c r="N626" s="169">
        <f>IFERROR(MATCH(J626,'Final List'!$H$4:$H$252,0),0)</f>
        <v>0</v>
      </c>
      <c r="O626" s="169">
        <f>IFERROR(MATCH(J626,'Final List'!$J$4:$J$252,0),0)</f>
        <v>0</v>
      </c>
      <c r="P626" s="169">
        <f>IFERROR(MATCH(J626,'Final List'!$L$4:$L$252,0),0)</f>
        <v>0</v>
      </c>
      <c r="Q626" s="169">
        <f>IFERROR(MATCH(J626,'Final List'!$N$4:$N$252,0),0)</f>
        <v>0</v>
      </c>
      <c r="R626" s="169">
        <f>IFERROR(MATCH(J626,'Final List'!$P$4:$P$252,0),0)</f>
        <v>0</v>
      </c>
      <c r="S626" s="169">
        <f t="shared" si="39"/>
        <v>0</v>
      </c>
      <c r="V626" s="169" t="str">
        <f t="shared" si="37"/>
        <v xml:space="preserve"> CARIKITAN 2</v>
      </c>
      <c r="W626" s="169" t="s">
        <v>8895</v>
      </c>
    </row>
    <row r="627" spans="2:23" x14ac:dyDescent="0.25">
      <c r="B627" s="169" t="s">
        <v>96</v>
      </c>
      <c r="C627" s="169" t="s">
        <v>46</v>
      </c>
      <c r="D627" s="169" t="s">
        <v>870</v>
      </c>
      <c r="E627" s="169" t="s">
        <v>61</v>
      </c>
      <c r="F627" s="245" t="str">
        <f t="shared" si="38"/>
        <v>Dhoz 71</v>
      </c>
      <c r="G627" s="169" t="s">
        <v>1899</v>
      </c>
      <c r="I627" s="169" t="str">
        <f t="shared" si="40"/>
        <v>L09_DPVE2_073E_DW</v>
      </c>
      <c r="J627" s="169" t="s">
        <v>6748</v>
      </c>
      <c r="K627" s="169">
        <f>IFERROR(MATCH(J627,'Final List'!$B$4:$B$252,0),0)</f>
        <v>0</v>
      </c>
      <c r="L627" s="169">
        <f>IFERROR(MATCH(J627,'Final List'!$D$4:$D$252,0),0)</f>
        <v>0</v>
      </c>
      <c r="M627" s="169">
        <f>IFERROR(MATCH(J627,'Final List'!$F$4:$F$251,0),0)</f>
        <v>0</v>
      </c>
      <c r="N627" s="169">
        <f>IFERROR(MATCH(J627,'Final List'!$H$4:$H$252,0),0)</f>
        <v>0</v>
      </c>
      <c r="O627" s="169">
        <f>IFERROR(MATCH(J627,'Final List'!$J$4:$J$252,0),0)</f>
        <v>0</v>
      </c>
      <c r="P627" s="169">
        <f>IFERROR(MATCH(J627,'Final List'!$L$4:$L$252,0),0)</f>
        <v>0</v>
      </c>
      <c r="Q627" s="169">
        <f>IFERROR(MATCH(J627,'Final List'!$N$4:$N$252,0),0)</f>
        <v>0</v>
      </c>
      <c r="R627" s="169">
        <f>IFERROR(MATCH(J627,'Final List'!$P$4:$P$252,0),0)</f>
        <v>0</v>
      </c>
      <c r="S627" s="169">
        <f t="shared" si="39"/>
        <v>0</v>
      </c>
      <c r="V627" s="169" t="str">
        <f t="shared" si="37"/>
        <v>DELOS REYES V 2</v>
      </c>
      <c r="W627" s="169" t="s">
        <v>8896</v>
      </c>
    </row>
    <row r="628" spans="2:23" x14ac:dyDescent="0.25">
      <c r="B628" s="169" t="s">
        <v>258</v>
      </c>
      <c r="C628" s="169" t="s">
        <v>45</v>
      </c>
      <c r="D628" s="169" t="s">
        <v>146</v>
      </c>
      <c r="E628" s="169" t="s">
        <v>19</v>
      </c>
      <c r="F628" s="245" t="str">
        <f t="shared" si="38"/>
        <v>DVR 72</v>
      </c>
      <c r="G628" s="169" t="s">
        <v>5957</v>
      </c>
      <c r="H628" s="169" t="s">
        <v>370</v>
      </c>
      <c r="I628" s="169" t="str">
        <f t="shared" si="40"/>
        <v>L10_DPVE_030E_RAISE</v>
      </c>
      <c r="J628" s="169" t="s">
        <v>6750</v>
      </c>
      <c r="K628" s="169">
        <f>IFERROR(MATCH(J628,'Final List'!$B$4:$B$252,0),0)</f>
        <v>0</v>
      </c>
      <c r="L628" s="169">
        <f>IFERROR(MATCH(J628,'Final List'!$D$4:$D$252,0),0)</f>
        <v>0</v>
      </c>
      <c r="M628" s="169">
        <f>IFERROR(MATCH(J628,'Final List'!$F$4:$F$251,0),0)</f>
        <v>0</v>
      </c>
      <c r="N628" s="169">
        <f>IFERROR(MATCH(J628,'Final List'!$H$4:$H$252,0),0)</f>
        <v>0</v>
      </c>
      <c r="O628" s="169">
        <f>IFERROR(MATCH(J628,'Final List'!$J$4:$J$252,0),0)</f>
        <v>0</v>
      </c>
      <c r="P628" s="169">
        <f>IFERROR(MATCH(J628,'Final List'!$L$4:$L$252,0),0)</f>
        <v>0</v>
      </c>
      <c r="Q628" s="169">
        <f>IFERROR(MATCH(J628,'Final List'!$N$4:$N$252,0),0)</f>
        <v>0</v>
      </c>
      <c r="R628" s="169">
        <f>IFERROR(MATCH(J628,'Final List'!$P$4:$P$252,0),0)</f>
        <v>0</v>
      </c>
      <c r="S628" s="169">
        <f t="shared" si="39"/>
        <v>0</v>
      </c>
      <c r="V628" s="169" t="str">
        <f t="shared" si="37"/>
        <v>TAÑEZA 2</v>
      </c>
      <c r="W628" s="169" t="s">
        <v>2715</v>
      </c>
    </row>
    <row r="629" spans="2:23" x14ac:dyDescent="0.25">
      <c r="B629" s="178" t="s">
        <v>92</v>
      </c>
      <c r="C629" s="178" t="s">
        <v>45</v>
      </c>
      <c r="D629" s="178" t="s">
        <v>122</v>
      </c>
      <c r="E629" s="178" t="s">
        <v>36</v>
      </c>
      <c r="F629" s="245" t="str">
        <f t="shared" si="38"/>
        <v>StpS 77</v>
      </c>
      <c r="G629" s="169" t="s">
        <v>1577</v>
      </c>
      <c r="I629" s="169" t="str">
        <f t="shared" si="40"/>
        <v>L05_DPVE_025E_STOPE</v>
      </c>
      <c r="J629" s="169" t="s">
        <v>6751</v>
      </c>
      <c r="K629" s="169">
        <f>IFERROR(MATCH(J629,'Final List'!$B$4:$B$252,0),0)</f>
        <v>0</v>
      </c>
      <c r="L629" s="169">
        <f>IFERROR(MATCH(J629,'Final List'!$D$4:$D$252,0),0)</f>
        <v>0</v>
      </c>
      <c r="M629" s="169">
        <f>IFERROR(MATCH(J629,'Final List'!$F$4:$F$251,0),0)</f>
        <v>0</v>
      </c>
      <c r="N629" s="169">
        <f>IFERROR(MATCH(J629,'Final List'!$H$4:$H$252,0),0)</f>
        <v>0</v>
      </c>
      <c r="O629" s="169">
        <f>IFERROR(MATCH(J629,'Final List'!$J$4:$J$252,0),0)</f>
        <v>0</v>
      </c>
      <c r="P629" s="169">
        <f>IFERROR(MATCH(J629,'Final List'!$L$4:$L$252,0),0)</f>
        <v>0</v>
      </c>
      <c r="Q629" s="169">
        <f>IFERROR(MATCH(J629,'Final List'!$N$4:$N$252,0),0)</f>
        <v>0</v>
      </c>
      <c r="R629" s="169">
        <f>IFERROR(MATCH(J629,'Final List'!$P$4:$P$252,0),0)</f>
        <v>0</v>
      </c>
      <c r="S629" s="169">
        <f t="shared" si="39"/>
        <v>0</v>
      </c>
      <c r="T629" s="169" t="s">
        <v>68</v>
      </c>
      <c r="V629" s="169" t="str">
        <f t="shared" si="37"/>
        <v>PANCIT, NOEL 2</v>
      </c>
      <c r="W629" s="169" t="s">
        <v>2713</v>
      </c>
    </row>
    <row r="630" spans="2:23" x14ac:dyDescent="0.25">
      <c r="B630" s="169" t="s">
        <v>96</v>
      </c>
      <c r="C630" s="169" t="s">
        <v>87</v>
      </c>
      <c r="D630" s="169" t="s">
        <v>177</v>
      </c>
      <c r="E630" s="169" t="s">
        <v>37</v>
      </c>
      <c r="F630" s="245" t="str">
        <f t="shared" si="38"/>
        <v>Dhoz 71</v>
      </c>
      <c r="G630" s="169" t="s">
        <v>5101</v>
      </c>
      <c r="I630" s="169" t="str">
        <f t="shared" si="40"/>
        <v>L09_NONE_054E_XCN</v>
      </c>
      <c r="J630" s="169" t="s">
        <v>6753</v>
      </c>
      <c r="K630" s="169">
        <f>IFERROR(MATCH(J630,'Final List'!$B$4:$B$252,0),0)</f>
        <v>0</v>
      </c>
      <c r="L630" s="169">
        <f>IFERROR(MATCH(J630,'Final List'!$D$4:$D$252,0),0)</f>
        <v>0</v>
      </c>
      <c r="M630" s="169">
        <f>IFERROR(MATCH(J630,'Final List'!$F$4:$F$251,0),0)</f>
        <v>0</v>
      </c>
      <c r="N630" s="169">
        <f>IFERROR(MATCH(J630,'Final List'!$H$4:$H$252,0),0)</f>
        <v>0</v>
      </c>
      <c r="O630" s="169">
        <f>IFERROR(MATCH(J630,'Final List'!$J$4:$J$252,0),0)</f>
        <v>0</v>
      </c>
      <c r="P630" s="169">
        <f>IFERROR(MATCH(J630,'Final List'!$L$4:$L$252,0),0)</f>
        <v>0</v>
      </c>
      <c r="Q630" s="169">
        <f>IFERROR(MATCH(J630,'Final List'!$N$4:$N$252,0),0)</f>
        <v>0</v>
      </c>
      <c r="R630" s="169">
        <f>IFERROR(MATCH(J630,'Final List'!$P$4:$P$252,0),0)</f>
        <v>0</v>
      </c>
      <c r="S630" s="169">
        <f t="shared" si="39"/>
        <v>0</v>
      </c>
      <c r="V630" s="169" t="str">
        <f t="shared" si="37"/>
        <v>DELOS REYES V3</v>
      </c>
      <c r="W630" s="169" t="s">
        <v>8898</v>
      </c>
    </row>
    <row r="631" spans="2:23" x14ac:dyDescent="0.25">
      <c r="B631" s="169" t="s">
        <v>95</v>
      </c>
      <c r="C631" s="169" t="s">
        <v>57</v>
      </c>
      <c r="D631" s="169" t="s">
        <v>595</v>
      </c>
      <c r="E631" s="169" t="s">
        <v>60</v>
      </c>
      <c r="F631" s="245" t="str">
        <f t="shared" si="38"/>
        <v>Dhoz 71</v>
      </c>
      <c r="G631" s="169" t="s">
        <v>6601</v>
      </c>
      <c r="I631" s="169" t="str">
        <f t="shared" si="40"/>
        <v>L08_JVSPLIT_072E_DE</v>
      </c>
      <c r="J631" s="169" t="s">
        <v>6802</v>
      </c>
      <c r="K631" s="169">
        <f>IFERROR(MATCH(J631,'Final List'!$B$4:$B$252,0),0)</f>
        <v>0</v>
      </c>
      <c r="L631" s="169">
        <f>IFERROR(MATCH(J631,'Final List'!$D$4:$D$252,0),0)</f>
        <v>0</v>
      </c>
      <c r="M631" s="169">
        <f>IFERROR(MATCH(J631,'Final List'!$F$4:$F$251,0),0)</f>
        <v>0</v>
      </c>
      <c r="N631" s="169">
        <f>IFERROR(MATCH(J631,'Final List'!$H$4:$H$252,0),0)</f>
        <v>0</v>
      </c>
      <c r="O631" s="169">
        <f>IFERROR(MATCH(J631,'Final List'!$J$4:$J$252,0),0)</f>
        <v>0</v>
      </c>
      <c r="P631" s="169">
        <f>IFERROR(MATCH(J631,'Final List'!$L$4:$L$252,0),0)</f>
        <v>0</v>
      </c>
      <c r="Q631" s="169">
        <f>IFERROR(MATCH(J631,'Final List'!$N$4:$N$252,0),0)</f>
        <v>0</v>
      </c>
      <c r="R631" s="169">
        <f>IFERROR(MATCH(J631,'Final List'!$P$4:$P$252,0),0)</f>
        <v>0</v>
      </c>
      <c r="S631" s="169">
        <f t="shared" si="39"/>
        <v>0</v>
      </c>
      <c r="V631" s="169" t="str">
        <f t="shared" si="37"/>
        <v>AGLOLO, MIGUEL 1</v>
      </c>
      <c r="W631" s="169" t="s">
        <v>8895</v>
      </c>
    </row>
    <row r="632" spans="2:23" x14ac:dyDescent="0.25">
      <c r="B632" s="169" t="s">
        <v>258</v>
      </c>
      <c r="C632" s="169" t="s">
        <v>59</v>
      </c>
      <c r="D632" s="169" t="s">
        <v>165</v>
      </c>
      <c r="E632" s="169" t="s">
        <v>19</v>
      </c>
      <c r="F632" s="245" t="str">
        <f t="shared" si="38"/>
        <v>DVR 72</v>
      </c>
      <c r="G632" s="169" t="s">
        <v>317</v>
      </c>
      <c r="I632" s="169" t="str">
        <f t="shared" si="40"/>
        <v>L10_GHVHW_056E_RAISE</v>
      </c>
      <c r="J632" s="169" t="s">
        <v>6761</v>
      </c>
      <c r="K632" s="169">
        <f>IFERROR(MATCH(J632,'Final List'!$B$4:$B$252,0),0)</f>
        <v>0</v>
      </c>
      <c r="L632" s="169">
        <f>IFERROR(MATCH(J632,'Final List'!$D$4:$D$252,0),0)</f>
        <v>0</v>
      </c>
      <c r="M632" s="169">
        <f>IFERROR(MATCH(J632,'Final List'!$F$4:$F$251,0),0)</f>
        <v>0</v>
      </c>
      <c r="N632" s="169">
        <f>IFERROR(MATCH(J632,'Final List'!$H$4:$H$252,0),0)</f>
        <v>0</v>
      </c>
      <c r="O632" s="169">
        <f>IFERROR(MATCH(J632,'Final List'!$J$4:$J$252,0),0)</f>
        <v>0</v>
      </c>
      <c r="P632" s="169">
        <f>IFERROR(MATCH(J632,'Final List'!$L$4:$L$252,0),0)</f>
        <v>0</v>
      </c>
      <c r="Q632" s="169">
        <f>IFERROR(MATCH(J632,'Final List'!$N$4:$N$252,0),0)</f>
        <v>0</v>
      </c>
      <c r="R632" s="169">
        <f>IFERROR(MATCH(J632,'Final List'!$P$4:$P$252,0),0)</f>
        <v>0</v>
      </c>
      <c r="S632" s="169">
        <f t="shared" si="39"/>
        <v>0</v>
      </c>
      <c r="V632" s="169" t="str">
        <f t="shared" si="37"/>
        <v>PARAGUYA 2</v>
      </c>
      <c r="W632" s="169" t="s">
        <v>2715</v>
      </c>
    </row>
    <row r="633" spans="2:23" x14ac:dyDescent="0.25">
      <c r="B633" s="169" t="s">
        <v>95</v>
      </c>
      <c r="C633" s="169" t="s">
        <v>38</v>
      </c>
      <c r="D633" s="169" t="s">
        <v>99</v>
      </c>
      <c r="E633" s="169" t="s">
        <v>36</v>
      </c>
      <c r="F633" s="245" t="str">
        <f t="shared" si="38"/>
        <v>StpS 77</v>
      </c>
      <c r="G633" s="169" t="s">
        <v>942</v>
      </c>
      <c r="I633" s="169" t="str">
        <f t="shared" si="40"/>
        <v>L08_GHV_028W_STOPE</v>
      </c>
      <c r="J633" s="169" t="s">
        <v>6762</v>
      </c>
      <c r="K633" s="169">
        <f>IFERROR(MATCH(J633,'Final List'!$B$4:$B$252,0),0)</f>
        <v>0</v>
      </c>
      <c r="L633" s="169">
        <f>IFERROR(MATCH(J633,'Final List'!$D$4:$D$252,0),0)</f>
        <v>0</v>
      </c>
      <c r="M633" s="169">
        <f>IFERROR(MATCH(J633,'Final List'!$F$4:$F$251,0),0)</f>
        <v>0</v>
      </c>
      <c r="N633" s="169">
        <f>IFERROR(MATCH(J633,'Final List'!$H$4:$H$252,0),0)</f>
        <v>0</v>
      </c>
      <c r="O633" s="169">
        <f>IFERROR(MATCH(J633,'Final List'!$J$4:$J$252,0),0)</f>
        <v>0</v>
      </c>
      <c r="P633" s="169">
        <f>IFERROR(MATCH(J633,'Final List'!$L$4:$L$252,0),0)</f>
        <v>0</v>
      </c>
      <c r="Q633" s="169">
        <f>IFERROR(MATCH(J633,'Final List'!$N$4:$N$252,0),0)</f>
        <v>0</v>
      </c>
      <c r="R633" s="169">
        <f>IFERROR(MATCH(J633,'Final List'!$P$4:$P$252,0),0)</f>
        <v>0</v>
      </c>
      <c r="S633" s="169">
        <f t="shared" si="39"/>
        <v>0</v>
      </c>
      <c r="T633" s="169" t="s">
        <v>68</v>
      </c>
      <c r="V633" s="169" t="str">
        <f t="shared" si="37"/>
        <v>AGLOLO 3</v>
      </c>
      <c r="W633" s="169" t="s">
        <v>2713</v>
      </c>
    </row>
    <row r="634" spans="2:23" x14ac:dyDescent="0.25">
      <c r="B634" s="169" t="s">
        <v>258</v>
      </c>
      <c r="C634" s="169" t="s">
        <v>57</v>
      </c>
      <c r="D634" s="169" t="s">
        <v>1230</v>
      </c>
      <c r="E634" s="169" t="s">
        <v>60</v>
      </c>
      <c r="F634" s="245" t="str">
        <f t="shared" si="38"/>
        <v>Dhoz 71</v>
      </c>
      <c r="G634" s="169" t="s">
        <v>5705</v>
      </c>
      <c r="I634" s="169" t="str">
        <f t="shared" si="40"/>
        <v>L10_JVSPLIT_075E_DE</v>
      </c>
      <c r="J634" s="169" t="s">
        <v>6763</v>
      </c>
      <c r="K634" s="169">
        <f>IFERROR(MATCH(J634,'Final List'!$B$4:$B$252,0),0)</f>
        <v>0</v>
      </c>
      <c r="L634" s="169">
        <f>IFERROR(MATCH(J634,'Final List'!$D$4:$D$252,0),0)</f>
        <v>0</v>
      </c>
      <c r="M634" s="169">
        <f>IFERROR(MATCH(J634,'Final List'!$F$4:$F$251,0),0)</f>
        <v>0</v>
      </c>
      <c r="N634" s="169">
        <f>IFERROR(MATCH(J634,'Final List'!$H$4:$H$252,0),0)</f>
        <v>0</v>
      </c>
      <c r="O634" s="169">
        <f>IFERROR(MATCH(J634,'Final List'!$J$4:$J$252,0),0)</f>
        <v>0</v>
      </c>
      <c r="P634" s="169">
        <f>IFERROR(MATCH(J634,'Final List'!$L$4:$L$252,0),0)</f>
        <v>0</v>
      </c>
      <c r="Q634" s="169">
        <f>IFERROR(MATCH(J634,'Final List'!$N$4:$N$252,0),0)</f>
        <v>0</v>
      </c>
      <c r="R634" s="169">
        <f>IFERROR(MATCH(J634,'Final List'!$P$4:$P$252,0),0)</f>
        <v>0</v>
      </c>
      <c r="S634" s="169">
        <f t="shared" si="39"/>
        <v>0</v>
      </c>
      <c r="V634" s="169" t="str">
        <f t="shared" si="37"/>
        <v>OLIVEROS 4</v>
      </c>
      <c r="W634" s="169" t="s">
        <v>8896</v>
      </c>
    </row>
    <row r="635" spans="2:23" x14ac:dyDescent="0.25">
      <c r="B635" s="169" t="s">
        <v>258</v>
      </c>
      <c r="C635" s="169" t="s">
        <v>45</v>
      </c>
      <c r="D635" s="169" t="s">
        <v>284</v>
      </c>
      <c r="E635" s="169" t="s">
        <v>61</v>
      </c>
      <c r="F635" s="245" t="str">
        <f t="shared" si="38"/>
        <v>Dhoz 71</v>
      </c>
      <c r="G635" s="169" t="s">
        <v>448</v>
      </c>
      <c r="H635" s="169" t="s">
        <v>6851</v>
      </c>
      <c r="I635" s="169" t="str">
        <f t="shared" si="40"/>
        <v>L10_DPVE_061E_DW</v>
      </c>
      <c r="J635" s="169" t="s">
        <v>3661</v>
      </c>
      <c r="K635" s="169">
        <f>IFERROR(MATCH(J635,'Final List'!$B$4:$B$252,0),0)</f>
        <v>0</v>
      </c>
      <c r="L635" s="169">
        <f>IFERROR(MATCH(J635,'Final List'!$D$4:$D$252,0),0)</f>
        <v>0</v>
      </c>
      <c r="M635" s="169">
        <f>IFERROR(MATCH(J635,'Final List'!$F$4:$F$251,0),0)</f>
        <v>0</v>
      </c>
      <c r="N635" s="169">
        <f>IFERROR(MATCH(J635,'Final List'!$H$4:$H$252,0),0)</f>
        <v>0</v>
      </c>
      <c r="O635" s="169">
        <f>IFERROR(MATCH(J635,'Final List'!$J$4:$J$252,0),0)</f>
        <v>0</v>
      </c>
      <c r="P635" s="169">
        <f>IFERROR(MATCH(J635,'Final List'!$L$4:$L$252,0),0)</f>
        <v>0</v>
      </c>
      <c r="Q635" s="169">
        <f>IFERROR(MATCH(J635,'Final List'!$N$4:$N$252,0),0)</f>
        <v>0</v>
      </c>
      <c r="R635" s="169">
        <f>IFERROR(MATCH(J635,'Final List'!$P$4:$P$252,0),0)</f>
        <v>0</v>
      </c>
      <c r="S635" s="169">
        <f t="shared" si="39"/>
        <v>0</v>
      </c>
      <c r="V635" s="169" t="str">
        <f t="shared" si="37"/>
        <v>OLIVEROS 5</v>
      </c>
      <c r="W635" s="169" t="s">
        <v>8896</v>
      </c>
    </row>
    <row r="636" spans="2:23" x14ac:dyDescent="0.25">
      <c r="B636" s="169" t="s">
        <v>96</v>
      </c>
      <c r="C636" s="169" t="s">
        <v>45</v>
      </c>
      <c r="D636" s="169" t="s">
        <v>148</v>
      </c>
      <c r="E636" s="169" t="s">
        <v>61</v>
      </c>
      <c r="F636" s="245" t="str">
        <f t="shared" si="38"/>
        <v>Dhoz 71</v>
      </c>
      <c r="G636" s="169" t="s">
        <v>1899</v>
      </c>
      <c r="I636" s="169" t="str">
        <f t="shared" si="40"/>
        <v>L09_DPVE_039E_DW</v>
      </c>
      <c r="J636" s="169" t="s">
        <v>5928</v>
      </c>
      <c r="K636" s="169">
        <f>IFERROR(MATCH(J636,'Final List'!$B$4:$B$252,0),0)</f>
        <v>0</v>
      </c>
      <c r="L636" s="169">
        <f>IFERROR(MATCH(J636,'Final List'!$D$4:$D$252,0),0)</f>
        <v>0</v>
      </c>
      <c r="M636" s="169">
        <f>IFERROR(MATCH(J636,'Final List'!$F$4:$F$251,0),0)</f>
        <v>0</v>
      </c>
      <c r="N636" s="169">
        <f>IFERROR(MATCH(J636,'Final List'!$H$4:$H$252,0),0)</f>
        <v>0</v>
      </c>
      <c r="O636" s="169">
        <f>IFERROR(MATCH(J636,'Final List'!$J$4:$J$252,0),0)</f>
        <v>0</v>
      </c>
      <c r="P636" s="169">
        <f>IFERROR(MATCH(J636,'Final List'!$L$4:$L$252,0),0)</f>
        <v>0</v>
      </c>
      <c r="Q636" s="169">
        <f>IFERROR(MATCH(J636,'Final List'!$N$4:$N$252,0),0)</f>
        <v>0</v>
      </c>
      <c r="R636" s="169">
        <f>IFERROR(MATCH(J636,'Final List'!$P$4:$P$252,0),0)</f>
        <v>0</v>
      </c>
      <c r="S636" s="169">
        <f t="shared" si="39"/>
        <v>0</v>
      </c>
      <c r="V636" s="169" t="str">
        <f t="shared" si="37"/>
        <v>DELOS REYES V 2</v>
      </c>
      <c r="W636" s="169" t="s">
        <v>8896</v>
      </c>
    </row>
    <row r="637" spans="2:23" x14ac:dyDescent="0.25">
      <c r="B637" s="169" t="s">
        <v>95</v>
      </c>
      <c r="C637" s="169" t="s">
        <v>57</v>
      </c>
      <c r="D637" s="169" t="s">
        <v>198</v>
      </c>
      <c r="E637" s="169" t="s">
        <v>60</v>
      </c>
      <c r="F637" s="245" t="str">
        <f t="shared" si="38"/>
        <v>Dhoz 71</v>
      </c>
      <c r="G637" s="169" t="s">
        <v>5710</v>
      </c>
      <c r="I637" s="169" t="str">
        <f t="shared" si="40"/>
        <v>L08_JVSPLIT_069E_DE</v>
      </c>
      <c r="J637" s="169" t="s">
        <v>4271</v>
      </c>
      <c r="K637" s="169">
        <f>IFERROR(MATCH(J637,'Final List'!$B$4:$B$252,0),0)</f>
        <v>0</v>
      </c>
      <c r="L637" s="169">
        <f>IFERROR(MATCH(J637,'Final List'!$D$4:$D$252,0),0)</f>
        <v>0</v>
      </c>
      <c r="M637" s="169">
        <f>IFERROR(MATCH(J637,'Final List'!$F$4:$F$251,0),0)</f>
        <v>0</v>
      </c>
      <c r="N637" s="169">
        <f>IFERROR(MATCH(J637,'Final List'!$H$4:$H$252,0),0)</f>
        <v>0</v>
      </c>
      <c r="O637" s="169">
        <f>IFERROR(MATCH(J637,'Final List'!$J$4:$J$252,0),0)</f>
        <v>0</v>
      </c>
      <c r="P637" s="169">
        <f>IFERROR(MATCH(J637,'Final List'!$L$4:$L$252,0),0)</f>
        <v>0</v>
      </c>
      <c r="Q637" s="169">
        <f>IFERROR(MATCH(J637,'Final List'!$N$4:$N$252,0),0)</f>
        <v>0</v>
      </c>
      <c r="R637" s="169">
        <f>IFERROR(MATCH(J637,'Final List'!$P$4:$P$252,0),0)</f>
        <v>0</v>
      </c>
      <c r="S637" s="169">
        <f t="shared" si="39"/>
        <v>0</v>
      </c>
      <c r="V637" s="169" t="str">
        <f t="shared" si="37"/>
        <v>SHEPHERD AJ 3</v>
      </c>
      <c r="W637" s="169" t="s">
        <v>8895</v>
      </c>
    </row>
    <row r="638" spans="2:23" x14ac:dyDescent="0.25">
      <c r="B638" s="169" t="s">
        <v>95</v>
      </c>
      <c r="C638" s="169" t="s">
        <v>42</v>
      </c>
      <c r="D638" s="169" t="s">
        <v>5850</v>
      </c>
      <c r="E638" s="169" t="s">
        <v>36</v>
      </c>
      <c r="F638" s="245" t="str">
        <f t="shared" si="38"/>
        <v>StpS 77</v>
      </c>
      <c r="G638" s="169" t="s">
        <v>380</v>
      </c>
      <c r="H638" s="169" t="s">
        <v>6769</v>
      </c>
      <c r="I638" s="169" t="str">
        <f t="shared" si="40"/>
        <v>L08_JV_016E_STOPE</v>
      </c>
      <c r="J638" s="169" t="s">
        <v>1108</v>
      </c>
      <c r="K638" s="169">
        <f>IFERROR(MATCH(J638,'Final List'!$B$4:$B$252,0),0)</f>
        <v>0</v>
      </c>
      <c r="L638" s="169">
        <f>IFERROR(MATCH(J638,'Final List'!$D$4:$D$252,0),0)</f>
        <v>0</v>
      </c>
      <c r="M638" s="169">
        <f>IFERROR(MATCH(J638,'Final List'!$F$4:$F$251,0),0)</f>
        <v>0</v>
      </c>
      <c r="N638" s="169">
        <f>IFERROR(MATCH(J638,'Final List'!$H$4:$H$252,0),0)</f>
        <v>0</v>
      </c>
      <c r="O638" s="169">
        <f>IFERROR(MATCH(J638,'Final List'!$J$4:$J$252,0),0)</f>
        <v>0</v>
      </c>
      <c r="P638" s="169">
        <f>IFERROR(MATCH(J638,'Final List'!$L$4:$L$252,0),0)</f>
        <v>0</v>
      </c>
      <c r="Q638" s="169">
        <f>IFERROR(MATCH(J638,'Final List'!$N$4:$N$252,0),0)</f>
        <v>0</v>
      </c>
      <c r="R638" s="169">
        <f>IFERROR(MATCH(J638,'Final List'!$P$4:$P$252,0),0)</f>
        <v>0</v>
      </c>
      <c r="S638" s="169">
        <f t="shared" si="39"/>
        <v>0</v>
      </c>
      <c r="T638" s="169" t="s">
        <v>68</v>
      </c>
      <c r="V638" s="169" t="str">
        <f t="shared" si="37"/>
        <v>PMC WORKERS</v>
      </c>
      <c r="W638" s="169" t="s">
        <v>2713</v>
      </c>
    </row>
    <row r="639" spans="2:23" x14ac:dyDescent="0.25">
      <c r="B639" s="169" t="s">
        <v>95</v>
      </c>
      <c r="C639" s="169" t="s">
        <v>38</v>
      </c>
      <c r="D639" s="169" t="s">
        <v>122</v>
      </c>
      <c r="E639" s="169" t="s">
        <v>441</v>
      </c>
      <c r="F639" s="245" t="str">
        <f t="shared" si="38"/>
        <v>RobC 80</v>
      </c>
      <c r="G639" s="169" t="s">
        <v>467</v>
      </c>
      <c r="I639" s="169" t="str">
        <f t="shared" si="40"/>
        <v>L08_GHV_025E_WINZE STOPE PREP</v>
      </c>
      <c r="J639" s="169" t="s">
        <v>6770</v>
      </c>
      <c r="K639" s="169">
        <f>IFERROR(MATCH(J639,'Final List'!$B$4:$B$252,0),0)</f>
        <v>0</v>
      </c>
      <c r="L639" s="169">
        <f>IFERROR(MATCH(J639,'Final List'!$D$4:$D$252,0),0)</f>
        <v>0</v>
      </c>
      <c r="M639" s="169">
        <f>IFERROR(MATCH(J639,'Final List'!$F$4:$F$251,0),0)</f>
        <v>0</v>
      </c>
      <c r="N639" s="169">
        <f>IFERROR(MATCH(J639,'Final List'!$H$4:$H$252,0),0)</f>
        <v>0</v>
      </c>
      <c r="O639" s="169">
        <f>IFERROR(MATCH(J639,'Final List'!$J$4:$J$252,0),0)</f>
        <v>0</v>
      </c>
      <c r="P639" s="169">
        <f>IFERROR(MATCH(J639,'Final List'!$L$4:$L$252,0),0)</f>
        <v>0</v>
      </c>
      <c r="Q639" s="169">
        <f>IFERROR(MATCH(J639,'Final List'!$N$4:$N$252,0),0)</f>
        <v>0</v>
      </c>
      <c r="R639" s="169">
        <f>IFERROR(MATCH(J639,'Final List'!$P$4:$P$252,0),0)</f>
        <v>0</v>
      </c>
      <c r="S639" s="169">
        <f t="shared" si="39"/>
        <v>0</v>
      </c>
      <c r="T639" s="169" t="s">
        <v>68</v>
      </c>
      <c r="V639" s="169" t="str">
        <f t="shared" si="37"/>
        <v>AGLOLO 2</v>
      </c>
      <c r="W639" s="169" t="s">
        <v>2716</v>
      </c>
    </row>
    <row r="640" spans="2:23" x14ac:dyDescent="0.25">
      <c r="B640" s="169" t="s">
        <v>96</v>
      </c>
      <c r="C640" s="169" t="s">
        <v>46</v>
      </c>
      <c r="D640" s="169" t="s">
        <v>147</v>
      </c>
      <c r="E640" s="169" t="s">
        <v>211</v>
      </c>
      <c r="F640" s="245" t="str">
        <f t="shared" si="38"/>
        <v>StpS 77</v>
      </c>
      <c r="G640" s="169" t="s">
        <v>485</v>
      </c>
      <c r="I640" s="169" t="str">
        <f t="shared" si="40"/>
        <v>L09_DPVE2_024E_STOPE PREP</v>
      </c>
      <c r="J640" s="169" t="s">
        <v>6818</v>
      </c>
      <c r="K640" s="169">
        <f>IFERROR(MATCH(J640,'Final List'!$B$4:$B$252,0),0)</f>
        <v>0</v>
      </c>
      <c r="L640" s="169">
        <f>IFERROR(MATCH(J640,'Final List'!$D$4:$D$252,0),0)</f>
        <v>0</v>
      </c>
      <c r="M640" s="169">
        <f>IFERROR(MATCH(J640,'Final List'!$F$4:$F$251,0),0)</f>
        <v>0</v>
      </c>
      <c r="N640" s="169">
        <f>IFERROR(MATCH(J640,'Final List'!$H$4:$H$252,0),0)</f>
        <v>0</v>
      </c>
      <c r="O640" s="169">
        <f>IFERROR(MATCH(J640,'Final List'!$J$4:$J$252,0),0)</f>
        <v>0</v>
      </c>
      <c r="P640" s="169">
        <f>IFERROR(MATCH(J640,'Final List'!$L$4:$L$252,0),0)</f>
        <v>0</v>
      </c>
      <c r="Q640" s="169">
        <f>IFERROR(MATCH(J640,'Final List'!$N$4:$N$252,0),0)</f>
        <v>0</v>
      </c>
      <c r="R640" s="169">
        <f>IFERROR(MATCH(J640,'Final List'!$P$4:$P$252,0),0)</f>
        <v>0</v>
      </c>
      <c r="S640" s="169">
        <f t="shared" si="39"/>
        <v>0</v>
      </c>
      <c r="T640" s="169" t="s">
        <v>68</v>
      </c>
      <c r="V640" s="169" t="str">
        <f t="shared" si="37"/>
        <v>BALANGHIG 3</v>
      </c>
      <c r="W640" s="169" t="s">
        <v>2712</v>
      </c>
    </row>
    <row r="641" spans="2:23" x14ac:dyDescent="0.25">
      <c r="B641" s="169" t="s">
        <v>96</v>
      </c>
      <c r="C641" s="169" t="s">
        <v>46</v>
      </c>
      <c r="D641" s="169" t="s">
        <v>175</v>
      </c>
      <c r="E641" s="169" t="s">
        <v>211</v>
      </c>
      <c r="F641" s="245" t="str">
        <f t="shared" si="38"/>
        <v>StpL 78</v>
      </c>
      <c r="G641" s="169" t="s">
        <v>348</v>
      </c>
      <c r="I641" s="169" t="str">
        <f t="shared" si="40"/>
        <v>L09_DPVE2_060E_STOPE PREP</v>
      </c>
      <c r="J641" s="169" t="s">
        <v>6819</v>
      </c>
      <c r="K641" s="169">
        <f>IFERROR(MATCH(J641,'Final List'!$B$4:$B$252,0),0)</f>
        <v>0</v>
      </c>
      <c r="L641" s="169">
        <f>IFERROR(MATCH(J641,'Final List'!$D$4:$D$252,0),0)</f>
        <v>0</v>
      </c>
      <c r="M641" s="169">
        <f>IFERROR(MATCH(J641,'Final List'!$F$4:$F$251,0),0)</f>
        <v>0</v>
      </c>
      <c r="N641" s="169">
        <f>IFERROR(MATCH(J641,'Final List'!$H$4:$H$252,0),0)</f>
        <v>0</v>
      </c>
      <c r="O641" s="169">
        <f>IFERROR(MATCH(J641,'Final List'!$J$4:$J$252,0),0)</f>
        <v>0</v>
      </c>
      <c r="P641" s="169">
        <f>IFERROR(MATCH(J641,'Final List'!$L$4:$L$252,0),0)</f>
        <v>0</v>
      </c>
      <c r="Q641" s="169">
        <f>IFERROR(MATCH(J641,'Final List'!$N$4:$N$252,0),0)</f>
        <v>0</v>
      </c>
      <c r="R641" s="169">
        <f>IFERROR(MATCH(J641,'Final List'!$P$4:$P$252,0),0)</f>
        <v>0</v>
      </c>
      <c r="S641" s="169">
        <f t="shared" si="39"/>
        <v>0</v>
      </c>
      <c r="T641" s="169" t="s">
        <v>48</v>
      </c>
      <c r="V641" s="169" t="str">
        <f t="shared" si="37"/>
        <v>QUIJANO 3</v>
      </c>
      <c r="W641" s="169" t="s">
        <v>2712</v>
      </c>
    </row>
    <row r="642" spans="2:23" x14ac:dyDescent="0.25">
      <c r="B642" s="169" t="s">
        <v>92</v>
      </c>
      <c r="C642" s="169" t="s">
        <v>41</v>
      </c>
      <c r="D642" s="169" t="s">
        <v>101</v>
      </c>
      <c r="E642" s="169" t="s">
        <v>20</v>
      </c>
      <c r="F642" s="245" t="str">
        <f t="shared" si="38"/>
        <v>DVW 74</v>
      </c>
      <c r="G642" s="169" t="s">
        <v>401</v>
      </c>
      <c r="I642" s="169" t="str">
        <f t="shared" si="40"/>
        <v>L05_CTV_023W_WINZE</v>
      </c>
      <c r="J642" s="169" t="s">
        <v>6778</v>
      </c>
      <c r="K642" s="169">
        <f>IFERROR(MATCH(J642,'Final List'!$B$4:$B$252,0),0)</f>
        <v>0</v>
      </c>
      <c r="L642" s="169">
        <f>IFERROR(MATCH(J642,'Final List'!$D$4:$D$252,0),0)</f>
        <v>0</v>
      </c>
      <c r="M642" s="169">
        <f>IFERROR(MATCH(J642,'Final List'!$F$4:$F$251,0),0)</f>
        <v>0</v>
      </c>
      <c r="N642" s="169">
        <f>IFERROR(MATCH(J642,'Final List'!$H$4:$H$252,0),0)</f>
        <v>0</v>
      </c>
      <c r="O642" s="169">
        <f>IFERROR(MATCH(J642,'Final List'!$J$4:$J$252,0),0)</f>
        <v>0</v>
      </c>
      <c r="P642" s="169">
        <f>IFERROR(MATCH(J642,'Final List'!$L$4:$L$252,0),0)</f>
        <v>0</v>
      </c>
      <c r="Q642" s="169">
        <f>IFERROR(MATCH(J642,'Final List'!$N$4:$N$252,0),0)</f>
        <v>0</v>
      </c>
      <c r="R642" s="169">
        <f>IFERROR(MATCH(J642,'Final List'!$P$4:$P$252,0),0)</f>
        <v>0</v>
      </c>
      <c r="S642" s="169">
        <f t="shared" si="39"/>
        <v>0</v>
      </c>
      <c r="V642" s="169" t="str">
        <f t="shared" ref="V642:V705" si="41">IF(H642="",G642,H642)</f>
        <v>MAPAYO 2</v>
      </c>
      <c r="W642" s="169" t="s">
        <v>2706</v>
      </c>
    </row>
    <row r="643" spans="2:23" x14ac:dyDescent="0.25">
      <c r="B643" s="169" t="s">
        <v>95</v>
      </c>
      <c r="C643" s="169" t="s">
        <v>57</v>
      </c>
      <c r="D643" s="169" t="s">
        <v>201</v>
      </c>
      <c r="E643" s="169" t="s">
        <v>211</v>
      </c>
      <c r="F643" s="245" t="str">
        <f t="shared" ref="F643:F706" si="42">IF(OR(E643="XCN",E643="DE",E643="DW",E643="DN",E643="XCS",E643="XCE",E643="XCW",E643="SUMP",E643="BYPASS",E643="CHAMBER",E643="DRAIN HOLE",E643="DRILLING CHAMBER",E643="DE_ISL",E643="DW_ISL",E643="REHAB"),"Dhoz 71",IF(OR(E643="RAISE",E643="RAISE_ISL"),"DVR 72",IF(E643="ALIMAK","DVA 73",IF(E643="WINZE","DVW 74",IF(E643="SHAFT","DVS 75",IF(AND(E643="WINZE STOPE",T643="S"),"RobC 80",IF(AND(E643="STOPE",T643="S"),"StpS 77",IF(AND(E643="WINZE STOPE",T643="L"),"RobC 80",IF(AND(E643="STOPE",T643="L"),"StpL 78",IF(AND(E643="WINZE STOPE PREP",T643="S"),"RobC 80",IF(AND(E643="STOPE PREP",T643="S"),"StpS 77",IF(AND(E643="WINZE STOPE PREP",T643="L"),"RobC 80",IF(AND(E643="STOPE PREP",T643="L"),"StpL 78",IF(AND(E643="ROBBING",T643="L"),"RobC 80",IF(AND(E643="ROBBING",T643="S"),"RobS 79",0)))))))))))))))</f>
        <v>StpS 77</v>
      </c>
      <c r="G643" s="169" t="s">
        <v>6776</v>
      </c>
      <c r="I643" s="169" t="str">
        <f t="shared" si="40"/>
        <v>L08_JVSPLIT_067E_STOPE PREP</v>
      </c>
      <c r="J643" s="169" t="s">
        <v>6775</v>
      </c>
      <c r="K643" s="169">
        <f>IFERROR(MATCH(J643,'Final List'!$B$4:$B$252,0),0)</f>
        <v>0</v>
      </c>
      <c r="L643" s="169">
        <f>IFERROR(MATCH(J643,'Final List'!$D$4:$D$252,0),0)</f>
        <v>0</v>
      </c>
      <c r="M643" s="169">
        <f>IFERROR(MATCH(J643,'Final List'!$F$4:$F$251,0),0)</f>
        <v>0</v>
      </c>
      <c r="N643" s="169">
        <f>IFERROR(MATCH(J643,'Final List'!$H$4:$H$252,0),0)</f>
        <v>0</v>
      </c>
      <c r="O643" s="169">
        <f>IFERROR(MATCH(J643,'Final List'!$J$4:$J$252,0),0)</f>
        <v>0</v>
      </c>
      <c r="P643" s="169">
        <f>IFERROR(MATCH(J643,'Final List'!$L$4:$L$252,0),0)</f>
        <v>0</v>
      </c>
      <c r="Q643" s="169">
        <f>IFERROR(MATCH(J643,'Final List'!$N$4:$N$252,0),0)</f>
        <v>0</v>
      </c>
      <c r="R643" s="169">
        <f>IFERROR(MATCH(J643,'Final List'!$P$4:$P$252,0),0)</f>
        <v>0</v>
      </c>
      <c r="S643" s="169">
        <f t="shared" ref="S643:S706" si="43">SUM(K643:R643)</f>
        <v>0</v>
      </c>
      <c r="T643" s="169" t="s">
        <v>68</v>
      </c>
      <c r="V643" s="169" t="str">
        <f t="shared" si="41"/>
        <v>SHEPHERD AJ1</v>
      </c>
      <c r="W643" s="169" t="s">
        <v>2712</v>
      </c>
    </row>
    <row r="644" spans="2:23" x14ac:dyDescent="0.25">
      <c r="B644" s="169" t="s">
        <v>91</v>
      </c>
      <c r="C644" s="169" t="s">
        <v>42</v>
      </c>
      <c r="D644" s="169" t="s">
        <v>146</v>
      </c>
      <c r="E644" s="169" t="s">
        <v>62</v>
      </c>
      <c r="F644" s="245" t="str">
        <f t="shared" si="42"/>
        <v>RobC 80</v>
      </c>
      <c r="G644" s="169" t="s">
        <v>311</v>
      </c>
      <c r="I644" s="169" t="str">
        <f t="shared" si="40"/>
        <v>L04_JV_030E_ROBBING</v>
      </c>
      <c r="J644" s="169" t="s">
        <v>6773</v>
      </c>
      <c r="K644" s="169">
        <f>IFERROR(MATCH(J644,'Final List'!$B$4:$B$252,0),0)</f>
        <v>0</v>
      </c>
      <c r="L644" s="169">
        <f>IFERROR(MATCH(J644,'Final List'!$D$4:$D$252,0),0)</f>
        <v>0</v>
      </c>
      <c r="M644" s="169">
        <f>IFERROR(MATCH(J644,'Final List'!$F$4:$F$251,0),0)</f>
        <v>0</v>
      </c>
      <c r="N644" s="169">
        <f>IFERROR(MATCH(J644,'Final List'!$H$4:$H$252,0),0)</f>
        <v>0</v>
      </c>
      <c r="O644" s="169">
        <f>IFERROR(MATCH(J644,'Final List'!$J$4:$J$252,0),0)</f>
        <v>0</v>
      </c>
      <c r="P644" s="169">
        <f>IFERROR(MATCH(J644,'Final List'!$L$4:$L$252,0),0)</f>
        <v>0</v>
      </c>
      <c r="Q644" s="169">
        <f>IFERROR(MATCH(J644,'Final List'!$N$4:$N$252,0),0)</f>
        <v>0</v>
      </c>
      <c r="R644" s="169">
        <f>IFERROR(MATCH(J644,'Final List'!$P$4:$P$252,0),0)</f>
        <v>0</v>
      </c>
      <c r="S644" s="169">
        <f t="shared" si="43"/>
        <v>0</v>
      </c>
      <c r="T644" s="169" t="s">
        <v>48</v>
      </c>
      <c r="V644" s="169" t="str">
        <f t="shared" si="41"/>
        <v>MARTINEZ DN 2</v>
      </c>
      <c r="W644" s="169" t="s">
        <v>236</v>
      </c>
    </row>
    <row r="645" spans="2:23" x14ac:dyDescent="0.25">
      <c r="B645" s="169" t="s">
        <v>92</v>
      </c>
      <c r="C645" s="169" t="s">
        <v>57</v>
      </c>
      <c r="D645" s="169" t="s">
        <v>130</v>
      </c>
      <c r="E645" s="169" t="s">
        <v>61</v>
      </c>
      <c r="F645" s="245" t="str">
        <f t="shared" si="42"/>
        <v>Dhoz 71</v>
      </c>
      <c r="G645" s="169" t="s">
        <v>551</v>
      </c>
      <c r="I645" s="169" t="str">
        <f t="shared" si="40"/>
        <v>L05_JVSPLIT_036E_DW</v>
      </c>
      <c r="J645" s="169" t="s">
        <v>6779</v>
      </c>
      <c r="K645" s="169">
        <f>IFERROR(MATCH(J645,'Final List'!$B$4:$B$252,0),0)</f>
        <v>0</v>
      </c>
      <c r="L645" s="169">
        <f>IFERROR(MATCH(J645,'Final List'!$D$4:$D$252,0),0)</f>
        <v>0</v>
      </c>
      <c r="M645" s="169">
        <f>IFERROR(MATCH(J645,'Final List'!$F$4:$F$251,0),0)</f>
        <v>0</v>
      </c>
      <c r="N645" s="169">
        <f>IFERROR(MATCH(J645,'Final List'!$H$4:$H$252,0),0)</f>
        <v>0</v>
      </c>
      <c r="O645" s="169">
        <f>IFERROR(MATCH(J645,'Final List'!$J$4:$J$252,0),0)</f>
        <v>0</v>
      </c>
      <c r="P645" s="169">
        <f>IFERROR(MATCH(J645,'Final List'!$L$4:$L$252,0),0)</f>
        <v>0</v>
      </c>
      <c r="Q645" s="169">
        <f>IFERROR(MATCH(J645,'Final List'!$N$4:$N$252,0),0)</f>
        <v>0</v>
      </c>
      <c r="R645" s="169">
        <f>IFERROR(MATCH(J645,'Final List'!$P$4:$P$252,0),0)</f>
        <v>0</v>
      </c>
      <c r="S645" s="169">
        <f t="shared" si="43"/>
        <v>0</v>
      </c>
      <c r="V645" s="169" t="str">
        <f t="shared" si="41"/>
        <v>PANCIT, NOEL 3</v>
      </c>
      <c r="W645" s="169" t="s">
        <v>8895</v>
      </c>
    </row>
    <row r="646" spans="2:23" x14ac:dyDescent="0.25">
      <c r="B646" s="169" t="s">
        <v>92</v>
      </c>
      <c r="C646" s="169" t="s">
        <v>45</v>
      </c>
      <c r="D646" s="169" t="s">
        <v>5741</v>
      </c>
      <c r="E646" s="169" t="s">
        <v>60</v>
      </c>
      <c r="F646" s="245" t="str">
        <f t="shared" si="42"/>
        <v>Dhoz 71</v>
      </c>
      <c r="G646" s="169" t="s">
        <v>1003</v>
      </c>
      <c r="I646" s="169" t="str">
        <f t="shared" si="40"/>
        <v>L05_DPVE_035E_DE</v>
      </c>
      <c r="J646" s="169" t="s">
        <v>6780</v>
      </c>
      <c r="K646" s="169">
        <f>IFERROR(MATCH(J646,'Final List'!$B$4:$B$252,0),0)</f>
        <v>0</v>
      </c>
      <c r="L646" s="169">
        <f>IFERROR(MATCH(J646,'Final List'!$D$4:$D$252,0),0)</f>
        <v>0</v>
      </c>
      <c r="M646" s="169">
        <f>IFERROR(MATCH(J646,'Final List'!$F$4:$F$251,0),0)</f>
        <v>0</v>
      </c>
      <c r="N646" s="169">
        <f>IFERROR(MATCH(J646,'Final List'!$H$4:$H$252,0),0)</f>
        <v>0</v>
      </c>
      <c r="O646" s="169">
        <f>IFERROR(MATCH(J646,'Final List'!$J$4:$J$252,0),0)</f>
        <v>0</v>
      </c>
      <c r="P646" s="169">
        <f>IFERROR(MATCH(J646,'Final List'!$L$4:$L$252,0),0)</f>
        <v>0</v>
      </c>
      <c r="Q646" s="169">
        <f>IFERROR(MATCH(J646,'Final List'!$N$4:$N$252,0),0)</f>
        <v>0</v>
      </c>
      <c r="R646" s="169">
        <f>IFERROR(MATCH(J646,'Final List'!$P$4:$P$252,0),0)</f>
        <v>0</v>
      </c>
      <c r="S646" s="169">
        <f t="shared" si="43"/>
        <v>0</v>
      </c>
      <c r="V646" s="169" t="str">
        <f t="shared" si="41"/>
        <v>BAYOBAY 2</v>
      </c>
      <c r="W646" s="169" t="s">
        <v>8895</v>
      </c>
    </row>
    <row r="647" spans="2:23" x14ac:dyDescent="0.25">
      <c r="B647" s="169" t="s">
        <v>92</v>
      </c>
      <c r="C647" s="169" t="s">
        <v>55</v>
      </c>
      <c r="D647" s="169" t="s">
        <v>195</v>
      </c>
      <c r="E647" s="169" t="s">
        <v>6154</v>
      </c>
      <c r="F647" s="245" t="str">
        <f t="shared" si="42"/>
        <v>Dhoz 71</v>
      </c>
      <c r="G647" s="169" t="s">
        <v>5801</v>
      </c>
      <c r="I647" s="169" t="str">
        <f t="shared" si="40"/>
        <v>L05_JVFW_008W_DW_ISL</v>
      </c>
      <c r="J647" s="169" t="s">
        <v>6782</v>
      </c>
      <c r="K647" s="169">
        <f>IFERROR(MATCH(J647,'Final List'!$B$4:$B$252,0),0)</f>
        <v>0</v>
      </c>
      <c r="L647" s="169">
        <f>IFERROR(MATCH(J647,'Final List'!$D$4:$D$252,0),0)</f>
        <v>0</v>
      </c>
      <c r="M647" s="169">
        <f>IFERROR(MATCH(J647,'Final List'!$F$4:$F$251,0),0)</f>
        <v>0</v>
      </c>
      <c r="N647" s="169">
        <f>IFERROR(MATCH(J647,'Final List'!$H$4:$H$252,0),0)</f>
        <v>0</v>
      </c>
      <c r="O647" s="169">
        <f>IFERROR(MATCH(J647,'Final List'!$J$4:$J$252,0),0)</f>
        <v>0</v>
      </c>
      <c r="P647" s="169">
        <f>IFERROR(MATCH(J647,'Final List'!$L$4:$L$252,0),0)</f>
        <v>0</v>
      </c>
      <c r="Q647" s="169">
        <f>IFERROR(MATCH(J647,'Final List'!$N$4:$N$252,0),0)</f>
        <v>0</v>
      </c>
      <c r="R647" s="169">
        <f>IFERROR(MATCH(J647,'Final List'!$P$4:$P$252,0),0)</f>
        <v>0</v>
      </c>
      <c r="S647" s="169">
        <f t="shared" si="43"/>
        <v>0</v>
      </c>
      <c r="V647" s="169" t="str">
        <f t="shared" si="41"/>
        <v>SHEPHERD AM 1</v>
      </c>
      <c r="W647" s="169" t="s">
        <v>2708</v>
      </c>
    </row>
    <row r="648" spans="2:23" x14ac:dyDescent="0.25">
      <c r="B648" s="169" t="s">
        <v>94</v>
      </c>
      <c r="C648" s="169" t="s">
        <v>42</v>
      </c>
      <c r="D648" s="169" t="s">
        <v>195</v>
      </c>
      <c r="E648" s="169" t="s">
        <v>19</v>
      </c>
      <c r="F648" s="245" t="str">
        <f t="shared" si="42"/>
        <v>DVR 72</v>
      </c>
      <c r="G648" s="169" t="s">
        <v>5817</v>
      </c>
      <c r="I648" s="169" t="str">
        <f t="shared" si="40"/>
        <v>L07_JV_008W_RAISE</v>
      </c>
      <c r="J648" s="169" t="s">
        <v>6786</v>
      </c>
      <c r="K648" s="169">
        <f>IFERROR(MATCH(J648,'Final List'!$B$4:$B$252,0),0)</f>
        <v>0</v>
      </c>
      <c r="L648" s="169">
        <f>IFERROR(MATCH(J648,'Final List'!$D$4:$D$252,0),0)</f>
        <v>0</v>
      </c>
      <c r="M648" s="169">
        <f>IFERROR(MATCH(J648,'Final List'!$F$4:$F$251,0),0)</f>
        <v>0</v>
      </c>
      <c r="N648" s="169">
        <f>IFERROR(MATCH(J648,'Final List'!$H$4:$H$252,0),0)</f>
        <v>0</v>
      </c>
      <c r="O648" s="169">
        <f>IFERROR(MATCH(J648,'Final List'!$J$4:$J$252,0),0)</f>
        <v>0</v>
      </c>
      <c r="P648" s="169">
        <f>IFERROR(MATCH(J648,'Final List'!$L$4:$L$252,0),0)</f>
        <v>0</v>
      </c>
      <c r="Q648" s="169">
        <f>IFERROR(MATCH(J648,'Final List'!$N$4:$N$252,0),0)</f>
        <v>0</v>
      </c>
      <c r="R648" s="169">
        <f>IFERROR(MATCH(J648,'Final List'!$P$4:$P$252,0),0)</f>
        <v>0</v>
      </c>
      <c r="S648" s="169">
        <f t="shared" si="43"/>
        <v>0</v>
      </c>
      <c r="V648" s="169" t="str">
        <f t="shared" si="41"/>
        <v>SHEPHERD AK</v>
      </c>
      <c r="W648" s="169" t="s">
        <v>2715</v>
      </c>
    </row>
    <row r="649" spans="2:23" x14ac:dyDescent="0.25">
      <c r="B649" s="169" t="s">
        <v>93</v>
      </c>
      <c r="C649" s="169" t="s">
        <v>38</v>
      </c>
      <c r="D649" s="169" t="s">
        <v>122</v>
      </c>
      <c r="E649" s="169" t="s">
        <v>6143</v>
      </c>
      <c r="F649" s="245" t="str">
        <f t="shared" si="42"/>
        <v>Dhoz 71</v>
      </c>
      <c r="G649" s="169" t="s">
        <v>349</v>
      </c>
      <c r="I649" s="169" t="str">
        <f t="shared" si="40"/>
        <v>L06_GHV_025E_DE_ISL</v>
      </c>
      <c r="J649" s="169" t="s">
        <v>6787</v>
      </c>
      <c r="K649" s="169">
        <f>IFERROR(MATCH(J649,'Final List'!$B$4:$B$252,0),0)</f>
        <v>0</v>
      </c>
      <c r="L649" s="169">
        <f>IFERROR(MATCH(J649,'Final List'!$D$4:$D$252,0),0)</f>
        <v>0</v>
      </c>
      <c r="M649" s="169">
        <f>IFERROR(MATCH(J649,'Final List'!$F$4:$F$251,0),0)</f>
        <v>0</v>
      </c>
      <c r="N649" s="169">
        <f>IFERROR(MATCH(J649,'Final List'!$H$4:$H$252,0),0)</f>
        <v>0</v>
      </c>
      <c r="O649" s="169">
        <f>IFERROR(MATCH(J649,'Final List'!$J$4:$J$252,0),0)</f>
        <v>0</v>
      </c>
      <c r="P649" s="169">
        <f>IFERROR(MATCH(J649,'Final List'!$L$4:$L$252,0),0)</f>
        <v>0</v>
      </c>
      <c r="Q649" s="169">
        <f>IFERROR(MATCH(J649,'Final List'!$N$4:$N$252,0),0)</f>
        <v>0</v>
      </c>
      <c r="R649" s="169">
        <f>IFERROR(MATCH(J649,'Final List'!$P$4:$P$252,0),0)</f>
        <v>0</v>
      </c>
      <c r="S649" s="169">
        <f t="shared" si="43"/>
        <v>0</v>
      </c>
      <c r="V649" s="169" t="str">
        <f t="shared" si="41"/>
        <v>QUIJANO 2</v>
      </c>
      <c r="W649" s="169" t="s">
        <v>2708</v>
      </c>
    </row>
    <row r="650" spans="2:23" x14ac:dyDescent="0.25">
      <c r="B650" s="169" t="s">
        <v>91</v>
      </c>
      <c r="C650" s="169" t="s">
        <v>56</v>
      </c>
      <c r="D650" s="169" t="s">
        <v>5912</v>
      </c>
      <c r="E650" s="169" t="s">
        <v>221</v>
      </c>
      <c r="F650" s="245" t="str">
        <f t="shared" si="42"/>
        <v>RobC 80</v>
      </c>
      <c r="G650" s="169" t="s">
        <v>5713</v>
      </c>
      <c r="I650" s="169" t="str">
        <f t="shared" si="40"/>
        <v>L04_GHVFW_019E_WINZE STOPE</v>
      </c>
      <c r="J650" s="169" t="s">
        <v>6791</v>
      </c>
      <c r="K650" s="169">
        <f>IFERROR(MATCH(J650,'Final List'!$B$4:$B$252,0),0)</f>
        <v>0</v>
      </c>
      <c r="L650" s="169">
        <f>IFERROR(MATCH(J650,'Final List'!$D$4:$D$252,0),0)</f>
        <v>0</v>
      </c>
      <c r="M650" s="169">
        <f>IFERROR(MATCH(J650,'Final List'!$F$4:$F$251,0),0)</f>
        <v>0</v>
      </c>
      <c r="N650" s="169">
        <f>IFERROR(MATCH(J650,'Final List'!$H$4:$H$252,0),0)</f>
        <v>0</v>
      </c>
      <c r="O650" s="169">
        <f>IFERROR(MATCH(J650,'Final List'!$J$4:$J$252,0),0)</f>
        <v>0</v>
      </c>
      <c r="P650" s="169">
        <f>IFERROR(MATCH(J650,'Final List'!$L$4:$L$252,0),0)</f>
        <v>0</v>
      </c>
      <c r="Q650" s="169">
        <f>IFERROR(MATCH(J650,'Final List'!$N$4:$N$252,0),0)</f>
        <v>0</v>
      </c>
      <c r="R650" s="169">
        <f>IFERROR(MATCH(J650,'Final List'!$P$4:$P$252,0),0)</f>
        <v>0</v>
      </c>
      <c r="S650" s="169">
        <f t="shared" si="43"/>
        <v>0</v>
      </c>
      <c r="T650" s="169" t="s">
        <v>68</v>
      </c>
      <c r="V650" s="169" t="str">
        <f t="shared" si="41"/>
        <v>SHEPHERD AL 1</v>
      </c>
      <c r="W650" s="169" t="s">
        <v>2719</v>
      </c>
    </row>
    <row r="651" spans="2:23" x14ac:dyDescent="0.25">
      <c r="B651" s="169" t="s">
        <v>94</v>
      </c>
      <c r="C651" s="169" t="s">
        <v>42</v>
      </c>
      <c r="D651" s="169" t="s">
        <v>5742</v>
      </c>
      <c r="E651" s="169" t="s">
        <v>20</v>
      </c>
      <c r="F651" s="245" t="str">
        <f t="shared" si="42"/>
        <v>DVW 74</v>
      </c>
      <c r="G651" s="169" t="s">
        <v>344</v>
      </c>
      <c r="I651" s="169" t="str">
        <f t="shared" si="40"/>
        <v>L07_JV_040E_WINZE</v>
      </c>
      <c r="J651" s="169" t="s">
        <v>6793</v>
      </c>
      <c r="K651" s="169">
        <f>IFERROR(MATCH(J651,'Final List'!$B$4:$B$252,0),0)</f>
        <v>0</v>
      </c>
      <c r="L651" s="169">
        <f>IFERROR(MATCH(J651,'Final List'!$D$4:$D$252,0),0)</f>
        <v>0</v>
      </c>
      <c r="M651" s="169">
        <f>IFERROR(MATCH(J651,'Final List'!$F$4:$F$251,0),0)</f>
        <v>0</v>
      </c>
      <c r="N651" s="169">
        <f>IFERROR(MATCH(J651,'Final List'!$H$4:$H$252,0),0)</f>
        <v>0</v>
      </c>
      <c r="O651" s="169">
        <f>IFERROR(MATCH(J651,'Final List'!$J$4:$J$252,0),0)</f>
        <v>0</v>
      </c>
      <c r="P651" s="169">
        <f>IFERROR(MATCH(J651,'Final List'!$L$4:$L$252,0),0)</f>
        <v>0</v>
      </c>
      <c r="Q651" s="169">
        <f>IFERROR(MATCH(J651,'Final List'!$N$4:$N$252,0),0)</f>
        <v>0</v>
      </c>
      <c r="R651" s="169">
        <f>IFERROR(MATCH(J651,'Final List'!$P$4:$P$252,0),0)</f>
        <v>0</v>
      </c>
      <c r="S651" s="169">
        <f t="shared" si="43"/>
        <v>0</v>
      </c>
      <c r="V651" s="169" t="str">
        <f t="shared" si="41"/>
        <v>UDLOS 1</v>
      </c>
      <c r="W651" s="169" t="s">
        <v>2706</v>
      </c>
    </row>
    <row r="652" spans="2:23" x14ac:dyDescent="0.25">
      <c r="B652" s="169" t="s">
        <v>94</v>
      </c>
      <c r="C652" s="169" t="s">
        <v>45</v>
      </c>
      <c r="D652" s="169" t="s">
        <v>5601</v>
      </c>
      <c r="E652" s="169" t="s">
        <v>6143</v>
      </c>
      <c r="F652" s="245" t="str">
        <f t="shared" si="42"/>
        <v>Dhoz 71</v>
      </c>
      <c r="G652" s="169" t="s">
        <v>2972</v>
      </c>
      <c r="I652" s="169" t="str">
        <f t="shared" si="40"/>
        <v>L07_DPVE_026E_DE_ISL</v>
      </c>
      <c r="J652" s="169" t="s">
        <v>6795</v>
      </c>
      <c r="K652" s="169">
        <f>IFERROR(MATCH(J652,'Final List'!$B$4:$B$252,0),0)</f>
        <v>0</v>
      </c>
      <c r="L652" s="169">
        <f>IFERROR(MATCH(J652,'Final List'!$D$4:$D$252,0),0)</f>
        <v>0</v>
      </c>
      <c r="M652" s="169">
        <f>IFERROR(MATCH(J652,'Final List'!$F$4:$F$251,0),0)</f>
        <v>0</v>
      </c>
      <c r="N652" s="169">
        <f>IFERROR(MATCH(J652,'Final List'!$H$4:$H$252,0),0)</f>
        <v>0</v>
      </c>
      <c r="O652" s="169">
        <f>IFERROR(MATCH(J652,'Final List'!$J$4:$J$252,0),0)</f>
        <v>0</v>
      </c>
      <c r="P652" s="169">
        <f>IFERROR(MATCH(J652,'Final List'!$L$4:$L$252,0),0)</f>
        <v>0</v>
      </c>
      <c r="Q652" s="169">
        <f>IFERROR(MATCH(J652,'Final List'!$N$4:$N$252,0),0)</f>
        <v>0</v>
      </c>
      <c r="R652" s="169">
        <f>IFERROR(MATCH(J652,'Final List'!$P$4:$P$252,0),0)</f>
        <v>0</v>
      </c>
      <c r="S652" s="169">
        <f t="shared" si="43"/>
        <v>0</v>
      </c>
      <c r="V652" s="169" t="str">
        <f t="shared" si="41"/>
        <v>FABROA 1</v>
      </c>
      <c r="W652" s="169" t="s">
        <v>2708</v>
      </c>
    </row>
    <row r="653" spans="2:23" x14ac:dyDescent="0.25">
      <c r="B653" s="169" t="s">
        <v>91</v>
      </c>
      <c r="C653" s="169" t="s">
        <v>42</v>
      </c>
      <c r="D653" s="169" t="s">
        <v>146</v>
      </c>
      <c r="E653" s="169" t="s">
        <v>441</v>
      </c>
      <c r="F653" s="245" t="str">
        <f t="shared" si="42"/>
        <v>RobC 80</v>
      </c>
      <c r="G653" s="169" t="s">
        <v>311</v>
      </c>
      <c r="I653" s="169" t="str">
        <f t="shared" si="40"/>
        <v>L04_JV_030E_WINZE STOPE PREP</v>
      </c>
      <c r="J653" s="169" t="s">
        <v>6794</v>
      </c>
      <c r="K653" s="169">
        <f>IFERROR(MATCH(J653,'Final List'!$B$4:$B$252,0),0)</f>
        <v>0</v>
      </c>
      <c r="L653" s="169">
        <f>IFERROR(MATCH(J653,'Final List'!$D$4:$D$252,0),0)</f>
        <v>0</v>
      </c>
      <c r="M653" s="169">
        <f>IFERROR(MATCH(J653,'Final List'!$F$4:$F$251,0),0)</f>
        <v>0</v>
      </c>
      <c r="N653" s="169">
        <f>IFERROR(MATCH(J653,'Final List'!$H$4:$H$252,0),0)</f>
        <v>0</v>
      </c>
      <c r="O653" s="169">
        <f>IFERROR(MATCH(J653,'Final List'!$J$4:$J$252,0),0)</f>
        <v>0</v>
      </c>
      <c r="P653" s="169">
        <f>IFERROR(MATCH(J653,'Final List'!$L$4:$L$252,0),0)</f>
        <v>0</v>
      </c>
      <c r="Q653" s="169">
        <f>IFERROR(MATCH(J653,'Final List'!$N$4:$N$252,0),0)</f>
        <v>0</v>
      </c>
      <c r="R653" s="169">
        <f>IFERROR(MATCH(J653,'Final List'!$P$4:$P$252,0),0)</f>
        <v>0</v>
      </c>
      <c r="S653" s="169">
        <f t="shared" si="43"/>
        <v>0</v>
      </c>
      <c r="T653" s="169" t="s">
        <v>48</v>
      </c>
      <c r="V653" s="169" t="str">
        <f t="shared" si="41"/>
        <v>MARTINEZ DN 2</v>
      </c>
      <c r="W653" s="169" t="s">
        <v>2716</v>
      </c>
    </row>
    <row r="654" spans="2:23" x14ac:dyDescent="0.25">
      <c r="B654" s="169" t="s">
        <v>95</v>
      </c>
      <c r="C654" s="169" t="s">
        <v>57</v>
      </c>
      <c r="D654" s="169" t="s">
        <v>201</v>
      </c>
      <c r="E654" s="169" t="s">
        <v>36</v>
      </c>
      <c r="F654" s="245" t="str">
        <f t="shared" si="42"/>
        <v>StpS 77</v>
      </c>
      <c r="G654" s="169" t="s">
        <v>5708</v>
      </c>
      <c r="I654" s="169" t="str">
        <f t="shared" si="40"/>
        <v>L08_JVSPLIT_067E_STOPE</v>
      </c>
      <c r="J654" s="169" t="s">
        <v>6799</v>
      </c>
      <c r="K654" s="169">
        <f>IFERROR(MATCH(J654,'Final List'!$B$4:$B$252,0),0)</f>
        <v>0</v>
      </c>
      <c r="L654" s="169">
        <f>IFERROR(MATCH(J654,'Final List'!$D$4:$D$252,0),0)</f>
        <v>0</v>
      </c>
      <c r="M654" s="169">
        <f>IFERROR(MATCH(J654,'Final List'!$F$4:$F$251,0),0)</f>
        <v>0</v>
      </c>
      <c r="N654" s="169">
        <f>IFERROR(MATCH(J654,'Final List'!$H$4:$H$252,0),0)</f>
        <v>0</v>
      </c>
      <c r="O654" s="169">
        <f>IFERROR(MATCH(J654,'Final List'!$J$4:$J$252,0),0)</f>
        <v>0</v>
      </c>
      <c r="P654" s="169">
        <f>IFERROR(MATCH(J654,'Final List'!$L$4:$L$252,0),0)</f>
        <v>0</v>
      </c>
      <c r="Q654" s="169">
        <f>IFERROR(MATCH(J654,'Final List'!$N$4:$N$252,0),0)</f>
        <v>0</v>
      </c>
      <c r="R654" s="169">
        <f>IFERROR(MATCH(J654,'Final List'!$P$4:$P$252,0),0)</f>
        <v>0</v>
      </c>
      <c r="S654" s="169">
        <f t="shared" si="43"/>
        <v>0</v>
      </c>
      <c r="T654" s="169" t="s">
        <v>68</v>
      </c>
      <c r="V654" s="169" t="str">
        <f t="shared" si="41"/>
        <v>SHEPHERD AJ 1</v>
      </c>
      <c r="W654" s="169" t="s">
        <v>2711</v>
      </c>
    </row>
    <row r="655" spans="2:23" x14ac:dyDescent="0.25">
      <c r="B655" s="169" t="s">
        <v>95</v>
      </c>
      <c r="C655" s="169" t="s">
        <v>45</v>
      </c>
      <c r="D655" s="169" t="s">
        <v>112</v>
      </c>
      <c r="E655" s="169" t="s">
        <v>62</v>
      </c>
      <c r="F655" s="245" t="str">
        <f t="shared" si="42"/>
        <v>RobC 80</v>
      </c>
      <c r="G655" s="169" t="s">
        <v>6804</v>
      </c>
      <c r="I655" s="169" t="str">
        <f t="shared" si="40"/>
        <v>L08_DPVE_018E_ROBBING</v>
      </c>
      <c r="J655" s="169" t="s">
        <v>6803</v>
      </c>
      <c r="K655" s="169">
        <f>IFERROR(MATCH(J655,'Final List'!$B$4:$B$252,0),0)</f>
        <v>0</v>
      </c>
      <c r="L655" s="169">
        <f>IFERROR(MATCH(J655,'Final List'!$D$4:$D$252,0),0)</f>
        <v>0</v>
      </c>
      <c r="M655" s="169">
        <f>IFERROR(MATCH(J655,'Final List'!$F$4:$F$251,0),0)</f>
        <v>0</v>
      </c>
      <c r="N655" s="169">
        <f>IFERROR(MATCH(J655,'Final List'!$H$4:$H$252,0),0)</f>
        <v>0</v>
      </c>
      <c r="O655" s="169">
        <f>IFERROR(MATCH(J655,'Final List'!$J$4:$J$252,0),0)</f>
        <v>0</v>
      </c>
      <c r="P655" s="169">
        <f>IFERROR(MATCH(J655,'Final List'!$L$4:$L$252,0),0)</f>
        <v>0</v>
      </c>
      <c r="Q655" s="169">
        <f>IFERROR(MATCH(J655,'Final List'!$N$4:$N$252,0),0)</f>
        <v>0</v>
      </c>
      <c r="R655" s="169">
        <f>IFERROR(MATCH(J655,'Final List'!$P$4:$P$252,0),0)</f>
        <v>0</v>
      </c>
      <c r="S655" s="169">
        <f t="shared" si="43"/>
        <v>0</v>
      </c>
      <c r="T655" s="169" t="s">
        <v>48</v>
      </c>
      <c r="V655" s="169" t="str">
        <f t="shared" si="41"/>
        <v>FERNADEZ 2</v>
      </c>
      <c r="W655" s="169" t="s">
        <v>236</v>
      </c>
    </row>
    <row r="656" spans="2:23" x14ac:dyDescent="0.25">
      <c r="B656" s="169" t="s">
        <v>93</v>
      </c>
      <c r="C656" s="169" t="s">
        <v>44</v>
      </c>
      <c r="D656" s="169" t="s">
        <v>109</v>
      </c>
      <c r="E656" s="169" t="s">
        <v>36</v>
      </c>
      <c r="F656" s="245" t="str">
        <f t="shared" si="42"/>
        <v>StpS 77</v>
      </c>
      <c r="G656" s="169" t="s">
        <v>11</v>
      </c>
      <c r="I656" s="169" t="str">
        <f t="shared" si="40"/>
        <v>L06_CV_002W_STOPE</v>
      </c>
      <c r="J656" s="169" t="s">
        <v>1136</v>
      </c>
      <c r="K656" s="169">
        <f>IFERROR(MATCH(J656,'Final List'!$B$4:$B$252,0),0)</f>
        <v>0</v>
      </c>
      <c r="L656" s="169">
        <f>IFERROR(MATCH(J656,'Final List'!$D$4:$D$252,0),0)</f>
        <v>0</v>
      </c>
      <c r="M656" s="169">
        <f>IFERROR(MATCH(J656,'Final List'!$F$4:$F$251,0),0)</f>
        <v>0</v>
      </c>
      <c r="N656" s="169">
        <f>IFERROR(MATCH(J656,'Final List'!$H$4:$H$252,0),0)</f>
        <v>0</v>
      </c>
      <c r="O656" s="169">
        <f>IFERROR(MATCH(J656,'Final List'!$J$4:$J$252,0),0)</f>
        <v>0</v>
      </c>
      <c r="P656" s="169">
        <f>IFERROR(MATCH(J656,'Final List'!$L$4:$L$252,0),0)</f>
        <v>0</v>
      </c>
      <c r="Q656" s="169">
        <f>IFERROR(MATCH(J656,'Final List'!$N$4:$N$252,0),0)</f>
        <v>0</v>
      </c>
      <c r="R656" s="169">
        <f>IFERROR(MATCH(J656,'Final List'!$P$4:$P$252,0),0)</f>
        <v>0</v>
      </c>
      <c r="S656" s="169">
        <f t="shared" si="43"/>
        <v>0</v>
      </c>
      <c r="T656" s="169" t="s">
        <v>68</v>
      </c>
      <c r="V656" s="169" t="str">
        <f t="shared" si="41"/>
        <v>QUIJANO</v>
      </c>
      <c r="W656" s="169" t="s">
        <v>2713</v>
      </c>
    </row>
    <row r="657" spans="1:23" x14ac:dyDescent="0.25">
      <c r="B657" s="169" t="s">
        <v>93</v>
      </c>
      <c r="C657" s="169" t="s">
        <v>41</v>
      </c>
      <c r="D657" s="169" t="s">
        <v>111</v>
      </c>
      <c r="E657" s="169" t="s">
        <v>61</v>
      </c>
      <c r="F657" s="245" t="str">
        <f t="shared" si="42"/>
        <v>Dhoz 71</v>
      </c>
      <c r="G657" s="169" t="s">
        <v>350</v>
      </c>
      <c r="I657" s="169" t="str">
        <f t="shared" si="40"/>
        <v>L06_CTV_004W_DW</v>
      </c>
      <c r="J657" s="169" t="s">
        <v>6809</v>
      </c>
      <c r="K657" s="169">
        <f>IFERROR(MATCH(J657,'Final List'!$B$4:$B$252,0),0)</f>
        <v>0</v>
      </c>
      <c r="L657" s="169">
        <f>IFERROR(MATCH(J657,'Final List'!$D$4:$D$252,0),0)</f>
        <v>0</v>
      </c>
      <c r="M657" s="169">
        <f>IFERROR(MATCH(J657,'Final List'!$F$4:$F$251,0),0)</f>
        <v>0</v>
      </c>
      <c r="N657" s="169">
        <f>IFERROR(MATCH(J657,'Final List'!$H$4:$H$252,0),0)</f>
        <v>0</v>
      </c>
      <c r="O657" s="169">
        <f>IFERROR(MATCH(J657,'Final List'!$J$4:$J$252,0),0)</f>
        <v>0</v>
      </c>
      <c r="P657" s="169">
        <f>IFERROR(MATCH(J657,'Final List'!$L$4:$L$252,0),0)</f>
        <v>0</v>
      </c>
      <c r="Q657" s="169">
        <f>IFERROR(MATCH(J657,'Final List'!$N$4:$N$252,0),0)</f>
        <v>0</v>
      </c>
      <c r="R657" s="169">
        <f>IFERROR(MATCH(J657,'Final List'!$P$4:$P$252,0),0)</f>
        <v>0</v>
      </c>
      <c r="S657" s="169">
        <f t="shared" si="43"/>
        <v>0</v>
      </c>
      <c r="V657" s="169" t="str">
        <f t="shared" si="41"/>
        <v>QUIJANO 1</v>
      </c>
      <c r="W657" s="169" t="s">
        <v>8895</v>
      </c>
    </row>
    <row r="658" spans="1:23" x14ac:dyDescent="0.25">
      <c r="B658" s="178" t="s">
        <v>93</v>
      </c>
      <c r="C658" s="178" t="s">
        <v>58</v>
      </c>
      <c r="D658" s="178" t="s">
        <v>5835</v>
      </c>
      <c r="E658" s="178" t="s">
        <v>20</v>
      </c>
      <c r="F658" s="245" t="str">
        <f t="shared" si="42"/>
        <v>DVW 74</v>
      </c>
      <c r="G658" s="169" t="s">
        <v>3252</v>
      </c>
      <c r="I658" s="77" t="str">
        <f t="shared" si="40"/>
        <v>L06_EDV_003W_WINZE</v>
      </c>
      <c r="J658" s="169" t="s">
        <v>6810</v>
      </c>
      <c r="K658" s="169">
        <f>IFERROR(MATCH(J658,'Final List'!$B$4:$B$252,0),0)</f>
        <v>0</v>
      </c>
      <c r="L658" s="169">
        <f>IFERROR(MATCH(J658,'Final List'!$D$4:$D$252,0),0)</f>
        <v>0</v>
      </c>
      <c r="M658" s="169">
        <f>IFERROR(MATCH(J658,'Final List'!$F$4:$F$251,0),0)</f>
        <v>0</v>
      </c>
      <c r="N658" s="169">
        <f>IFERROR(MATCH(J658,'Final List'!$H$4:$H$252,0),0)</f>
        <v>0</v>
      </c>
      <c r="O658" s="169">
        <f>IFERROR(MATCH(J658,'Final List'!$J$4:$J$252,0),0)</f>
        <v>0</v>
      </c>
      <c r="P658" s="169">
        <f>IFERROR(MATCH(J658,'Final List'!$L$4:$L$252,0),0)</f>
        <v>0</v>
      </c>
      <c r="Q658" s="169">
        <f>IFERROR(MATCH(J658,'Final List'!$N$4:$N$252,0),0)</f>
        <v>0</v>
      </c>
      <c r="R658" s="169">
        <f>IFERROR(MATCH(J658,'Final List'!$P$4:$P$252,0),0)</f>
        <v>0</v>
      </c>
      <c r="S658" s="169">
        <f t="shared" si="43"/>
        <v>0</v>
      </c>
      <c r="V658" s="169" t="str">
        <f t="shared" si="41"/>
        <v>SHEPHERD AA1</v>
      </c>
      <c r="W658" s="169" t="s">
        <v>2706</v>
      </c>
    </row>
    <row r="659" spans="1:23" x14ac:dyDescent="0.25">
      <c r="B659" s="178" t="s">
        <v>93</v>
      </c>
      <c r="C659" s="178" t="s">
        <v>45</v>
      </c>
      <c r="D659" s="178" t="s">
        <v>131</v>
      </c>
      <c r="E659" s="178" t="s">
        <v>61</v>
      </c>
      <c r="F659" s="245" t="str">
        <f t="shared" si="42"/>
        <v>Dhoz 71</v>
      </c>
      <c r="G659" s="169" t="s">
        <v>4155</v>
      </c>
      <c r="I659" s="77" t="str">
        <f t="shared" si="40"/>
        <v>L06_DPVE_011E_DW</v>
      </c>
      <c r="J659" s="169" t="s">
        <v>6811</v>
      </c>
      <c r="K659" s="169">
        <f>IFERROR(MATCH(J659,'Final List'!$B$4:$B$252,0),0)</f>
        <v>0</v>
      </c>
      <c r="L659" s="169">
        <f>IFERROR(MATCH(J659,'Final List'!$D$4:$D$252,0),0)</f>
        <v>0</v>
      </c>
      <c r="M659" s="169">
        <f>IFERROR(MATCH(J659,'Final List'!$F$4:$F$251,0),0)</f>
        <v>0</v>
      </c>
      <c r="N659" s="169">
        <f>IFERROR(MATCH(J659,'Final List'!$H$4:$H$252,0),0)</f>
        <v>0</v>
      </c>
      <c r="O659" s="169">
        <f>IFERROR(MATCH(J659,'Final List'!$J$4:$J$252,0),0)</f>
        <v>0</v>
      </c>
      <c r="P659" s="169">
        <f>IFERROR(MATCH(J659,'Final List'!$L$4:$L$252,0),0)</f>
        <v>0</v>
      </c>
      <c r="Q659" s="169">
        <f>IFERROR(MATCH(J659,'Final List'!$N$4:$N$252,0),0)</f>
        <v>0</v>
      </c>
      <c r="R659" s="169">
        <f>IFERROR(MATCH(J659,'Final List'!$P$4:$P$252,0),0)</f>
        <v>0</v>
      </c>
      <c r="S659" s="169">
        <f t="shared" si="43"/>
        <v>0</v>
      </c>
      <c r="V659" s="169" t="str">
        <f t="shared" si="41"/>
        <v>BAÑEZ</v>
      </c>
      <c r="W659" s="169" t="s">
        <v>8895</v>
      </c>
    </row>
    <row r="660" spans="1:23" x14ac:dyDescent="0.25">
      <c r="B660" s="169" t="s">
        <v>92</v>
      </c>
      <c r="C660" s="169" t="s">
        <v>45</v>
      </c>
      <c r="D660" s="169" t="s">
        <v>168</v>
      </c>
      <c r="E660" s="169" t="s">
        <v>36</v>
      </c>
      <c r="F660" s="245" t="str">
        <f t="shared" si="42"/>
        <v>StpS 77</v>
      </c>
      <c r="G660" s="169" t="s">
        <v>450</v>
      </c>
      <c r="I660" s="169" t="str">
        <f t="shared" si="40"/>
        <v>L05_DPVE_047E_STOPE</v>
      </c>
      <c r="J660" s="169" t="s">
        <v>6554</v>
      </c>
      <c r="K660" s="169">
        <f>IFERROR(MATCH(J660,'Final List'!$B$4:$B$252,0),0)</f>
        <v>0</v>
      </c>
      <c r="L660" s="169">
        <f>IFERROR(MATCH(J660,'Final List'!$D$4:$D$252,0),0)</f>
        <v>0</v>
      </c>
      <c r="M660" s="169">
        <f>IFERROR(MATCH(J660,'Final List'!$F$4:$F$251,0),0)</f>
        <v>0</v>
      </c>
      <c r="N660" s="169">
        <f>IFERROR(MATCH(J660,'Final List'!$H$4:$H$252,0),0)</f>
        <v>0</v>
      </c>
      <c r="O660" s="169">
        <f>IFERROR(MATCH(J660,'Final List'!$J$4:$J$252,0),0)</f>
        <v>0</v>
      </c>
      <c r="P660" s="169">
        <f>IFERROR(MATCH(J660,'Final List'!$L$4:$L$252,0),0)</f>
        <v>0</v>
      </c>
      <c r="Q660" s="169">
        <f>IFERROR(MATCH(J660,'Final List'!$N$4:$N$252,0),0)</f>
        <v>0</v>
      </c>
      <c r="R660" s="169">
        <f>IFERROR(MATCH(J660,'Final List'!$P$4:$P$252,0),0)</f>
        <v>0</v>
      </c>
      <c r="S660" s="169">
        <f t="shared" si="43"/>
        <v>0</v>
      </c>
      <c r="T660" s="169" t="s">
        <v>68</v>
      </c>
      <c r="V660" s="169" t="str">
        <f t="shared" si="41"/>
        <v>BAYOBAY 1</v>
      </c>
      <c r="W660" s="169" t="s">
        <v>2713</v>
      </c>
    </row>
    <row r="661" spans="1:23" x14ac:dyDescent="0.25">
      <c r="B661" s="169" t="s">
        <v>92</v>
      </c>
      <c r="C661" s="169" t="s">
        <v>87</v>
      </c>
      <c r="D661" s="169" t="s">
        <v>5741</v>
      </c>
      <c r="E661" s="169" t="s">
        <v>63</v>
      </c>
      <c r="F661" s="245" t="str">
        <f t="shared" si="42"/>
        <v>Dhoz 71</v>
      </c>
      <c r="G661" s="169" t="s">
        <v>1003</v>
      </c>
      <c r="I661" s="169" t="str">
        <f t="shared" si="40"/>
        <v>L05_NONE_035E_XCS</v>
      </c>
      <c r="J661" s="169" t="s">
        <v>6807</v>
      </c>
      <c r="K661" s="169">
        <f>IFERROR(MATCH(J661,'Final List'!$B$4:$B$252,0),0)</f>
        <v>0</v>
      </c>
      <c r="L661" s="169">
        <f>IFERROR(MATCH(J661,'Final List'!$D$4:$D$252,0),0)</f>
        <v>0</v>
      </c>
      <c r="M661" s="169">
        <f>IFERROR(MATCH(J661,'Final List'!$F$4:$F$251,0),0)</f>
        <v>0</v>
      </c>
      <c r="N661" s="169">
        <f>IFERROR(MATCH(J661,'Final List'!$H$4:$H$252,0),0)</f>
        <v>0</v>
      </c>
      <c r="O661" s="169">
        <f>IFERROR(MATCH(J661,'Final List'!$J$4:$J$252,0),0)</f>
        <v>0</v>
      </c>
      <c r="P661" s="169">
        <f>IFERROR(MATCH(J661,'Final List'!$L$4:$L$252,0),0)</f>
        <v>0</v>
      </c>
      <c r="Q661" s="169">
        <f>IFERROR(MATCH(J661,'Final List'!$N$4:$N$252,0),0)</f>
        <v>0</v>
      </c>
      <c r="R661" s="169">
        <f>IFERROR(MATCH(J661,'Final List'!$P$4:$P$252,0),0)</f>
        <v>0</v>
      </c>
      <c r="S661" s="169">
        <f t="shared" si="43"/>
        <v>0</v>
      </c>
      <c r="V661" s="169" t="str">
        <f t="shared" si="41"/>
        <v>BAYOBAY 2</v>
      </c>
      <c r="W661" s="169" t="s">
        <v>8897</v>
      </c>
    </row>
    <row r="662" spans="1:23" x14ac:dyDescent="0.25">
      <c r="B662" s="169" t="s">
        <v>92</v>
      </c>
      <c r="C662" s="169" t="s">
        <v>45</v>
      </c>
      <c r="D662" s="169" t="s">
        <v>144</v>
      </c>
      <c r="E662" s="169" t="s">
        <v>19</v>
      </c>
      <c r="F662" s="245" t="str">
        <f t="shared" si="42"/>
        <v>DVR 72</v>
      </c>
      <c r="G662" s="169" t="s">
        <v>450</v>
      </c>
      <c r="I662" s="169" t="str">
        <f t="shared" si="40"/>
        <v>L05_DPVE_043E_RAISE</v>
      </c>
      <c r="J662" s="169" t="s">
        <v>6806</v>
      </c>
      <c r="K662" s="169">
        <f>IFERROR(MATCH(J662,'Final List'!$B$4:$B$252,0),0)</f>
        <v>0</v>
      </c>
      <c r="L662" s="169">
        <f>IFERROR(MATCH(J662,'Final List'!$D$4:$D$252,0),0)</f>
        <v>0</v>
      </c>
      <c r="M662" s="169">
        <f>IFERROR(MATCH(J662,'Final List'!$F$4:$F$251,0),0)</f>
        <v>0</v>
      </c>
      <c r="N662" s="169">
        <f>IFERROR(MATCH(J662,'Final List'!$H$4:$H$252,0),0)</f>
        <v>0</v>
      </c>
      <c r="O662" s="169">
        <f>IFERROR(MATCH(J662,'Final List'!$J$4:$J$252,0),0)</f>
        <v>0</v>
      </c>
      <c r="P662" s="169">
        <f>IFERROR(MATCH(J662,'Final List'!$L$4:$L$252,0),0)</f>
        <v>0</v>
      </c>
      <c r="Q662" s="169">
        <f>IFERROR(MATCH(J662,'Final List'!$N$4:$N$252,0),0)</f>
        <v>0</v>
      </c>
      <c r="R662" s="169">
        <f>IFERROR(MATCH(J662,'Final List'!$P$4:$P$252,0),0)</f>
        <v>0</v>
      </c>
      <c r="S662" s="169">
        <f t="shared" si="43"/>
        <v>0</v>
      </c>
      <c r="V662" s="169" t="str">
        <f t="shared" si="41"/>
        <v>BAYOBAY 1</v>
      </c>
      <c r="W662" s="169" t="s">
        <v>2715</v>
      </c>
    </row>
    <row r="663" spans="1:23" x14ac:dyDescent="0.25">
      <c r="B663" s="169" t="s">
        <v>95</v>
      </c>
      <c r="C663" s="169" t="s">
        <v>57</v>
      </c>
      <c r="D663" s="169" t="s">
        <v>98</v>
      </c>
      <c r="E663" s="169" t="s">
        <v>19</v>
      </c>
      <c r="F663" s="245" t="str">
        <f t="shared" si="42"/>
        <v>DVR 72</v>
      </c>
      <c r="G663" s="169" t="s">
        <v>472</v>
      </c>
      <c r="I663" s="169" t="str">
        <f t="shared" si="40"/>
        <v>L08_JVSPLIT_014W_RAISE</v>
      </c>
      <c r="J663" s="169" t="s">
        <v>6814</v>
      </c>
      <c r="K663" s="169">
        <f>IFERROR(MATCH(J663,'Final List'!$B$4:$B$252,0),0)</f>
        <v>0</v>
      </c>
      <c r="L663" s="169">
        <f>IFERROR(MATCH(J663,'Final List'!$D$4:$D$252,0),0)</f>
        <v>0</v>
      </c>
      <c r="M663" s="169">
        <f>IFERROR(MATCH(J663,'Final List'!$F$4:$F$251,0),0)</f>
        <v>0</v>
      </c>
      <c r="N663" s="169">
        <f>IFERROR(MATCH(J663,'Final List'!$H$4:$H$252,0),0)</f>
        <v>0</v>
      </c>
      <c r="O663" s="169">
        <f>IFERROR(MATCH(J663,'Final List'!$J$4:$J$252,0),0)</f>
        <v>0</v>
      </c>
      <c r="P663" s="169">
        <f>IFERROR(MATCH(J663,'Final List'!$L$4:$L$252,0),0)</f>
        <v>0</v>
      </c>
      <c r="Q663" s="169">
        <f>IFERROR(MATCH(J663,'Final List'!$N$4:$N$252,0),0)</f>
        <v>0</v>
      </c>
      <c r="R663" s="169">
        <f>IFERROR(MATCH(J663,'Final List'!$P$4:$P$252,0),0)</f>
        <v>0</v>
      </c>
      <c r="S663" s="169">
        <f t="shared" si="43"/>
        <v>0</v>
      </c>
      <c r="V663" s="169" t="str">
        <f t="shared" si="41"/>
        <v>LERIO 3</v>
      </c>
      <c r="W663" s="169" t="s">
        <v>2715</v>
      </c>
    </row>
    <row r="664" spans="1:23" x14ac:dyDescent="0.25">
      <c r="B664" s="178" t="s">
        <v>92</v>
      </c>
      <c r="C664" s="178" t="s">
        <v>45</v>
      </c>
      <c r="D664" s="178" t="s">
        <v>135</v>
      </c>
      <c r="E664" s="178" t="s">
        <v>20</v>
      </c>
      <c r="F664" s="245" t="str">
        <f t="shared" si="42"/>
        <v>DVW 74</v>
      </c>
      <c r="G664" s="169" t="s">
        <v>4122</v>
      </c>
      <c r="I664" s="169" t="str">
        <f t="shared" si="40"/>
        <v>L05_DPVE_034E_WINZE</v>
      </c>
      <c r="J664" s="169" t="s">
        <v>6816</v>
      </c>
      <c r="K664" s="169">
        <f>IFERROR(MATCH(J664,'Final List'!$B$4:$B$252,0),0)</f>
        <v>0</v>
      </c>
      <c r="L664" s="169">
        <f>IFERROR(MATCH(J664,'Final List'!$D$4:$D$252,0),0)</f>
        <v>0</v>
      </c>
      <c r="M664" s="169">
        <f>IFERROR(MATCH(J664,'Final List'!$F$4:$F$251,0),0)</f>
        <v>0</v>
      </c>
      <c r="N664" s="169">
        <f>IFERROR(MATCH(J664,'Final List'!$H$4:$H$252,0),0)</f>
        <v>0</v>
      </c>
      <c r="O664" s="169">
        <f>IFERROR(MATCH(J664,'Final List'!$J$4:$J$252,0),0)</f>
        <v>0</v>
      </c>
      <c r="P664" s="169">
        <f>IFERROR(MATCH(J664,'Final List'!$L$4:$L$252,0),0)</f>
        <v>0</v>
      </c>
      <c r="Q664" s="169">
        <f>IFERROR(MATCH(J664,'Final List'!$N$4:$N$252,0),0)</f>
        <v>0</v>
      </c>
      <c r="R664" s="169">
        <f>IFERROR(MATCH(J664,'Final List'!$P$4:$P$252,0),0)</f>
        <v>0</v>
      </c>
      <c r="S664" s="169">
        <f t="shared" si="43"/>
        <v>0</v>
      </c>
      <c r="V664" s="169" t="str">
        <f t="shared" si="41"/>
        <v>PANCIT NOEL 2</v>
      </c>
      <c r="W664" s="169" t="s">
        <v>2706</v>
      </c>
    </row>
    <row r="665" spans="1:23" x14ac:dyDescent="0.25">
      <c r="B665" s="169" t="s">
        <v>93</v>
      </c>
      <c r="C665" s="169" t="s">
        <v>41</v>
      </c>
      <c r="D665" s="169" t="s">
        <v>111</v>
      </c>
      <c r="E665" s="169" t="s">
        <v>20</v>
      </c>
      <c r="F665" s="245" t="str">
        <f t="shared" si="42"/>
        <v>DVW 74</v>
      </c>
      <c r="G665" s="169" t="s">
        <v>350</v>
      </c>
      <c r="I665" s="77" t="str">
        <f t="shared" si="40"/>
        <v>L06_CTV_004W_WINZE</v>
      </c>
      <c r="J665" s="169" t="s">
        <v>6815</v>
      </c>
      <c r="K665" s="169">
        <f>IFERROR(MATCH(J665,'Final List'!$B$4:$B$252,0),0)</f>
        <v>0</v>
      </c>
      <c r="L665" s="169">
        <f>IFERROR(MATCH(J665,'Final List'!$D$4:$D$252,0),0)</f>
        <v>0</v>
      </c>
      <c r="M665" s="169">
        <f>IFERROR(MATCH(J665,'Final List'!$F$4:$F$251,0),0)</f>
        <v>0</v>
      </c>
      <c r="N665" s="169">
        <f>IFERROR(MATCH(J665,'Final List'!$H$4:$H$252,0),0)</f>
        <v>0</v>
      </c>
      <c r="O665" s="169">
        <f>IFERROR(MATCH(J665,'Final List'!$J$4:$J$252,0),0)</f>
        <v>0</v>
      </c>
      <c r="P665" s="169">
        <f>IFERROR(MATCH(J665,'Final List'!$L$4:$L$252,0),0)</f>
        <v>0</v>
      </c>
      <c r="Q665" s="169">
        <f>IFERROR(MATCH(J665,'Final List'!$N$4:$N$252,0),0)</f>
        <v>0</v>
      </c>
      <c r="R665" s="169">
        <f>IFERROR(MATCH(J665,'Final List'!$P$4:$P$252,0),0)</f>
        <v>0</v>
      </c>
      <c r="S665" s="169">
        <f t="shared" si="43"/>
        <v>0</v>
      </c>
      <c r="V665" s="169" t="str">
        <f t="shared" si="41"/>
        <v>QUIJANO 1</v>
      </c>
      <c r="W665" s="169" t="s">
        <v>2706</v>
      </c>
    </row>
    <row r="666" spans="1:23" x14ac:dyDescent="0.25">
      <c r="B666" s="178" t="s">
        <v>93</v>
      </c>
      <c r="C666" s="178" t="s">
        <v>55</v>
      </c>
      <c r="D666" s="178" t="s">
        <v>133</v>
      </c>
      <c r="E666" s="178" t="s">
        <v>221</v>
      </c>
      <c r="F666" s="245" t="str">
        <f t="shared" si="42"/>
        <v>RobC 80</v>
      </c>
      <c r="G666" s="169" t="s">
        <v>379</v>
      </c>
      <c r="I666" s="77" t="str">
        <f t="shared" si="40"/>
        <v>L06_JVFW_037E_WINZE STOPE</v>
      </c>
      <c r="J666" s="169" t="s">
        <v>6822</v>
      </c>
      <c r="K666" s="169">
        <f>IFERROR(MATCH(J666,'Final List'!$B$4:$B$252,0),0)</f>
        <v>0</v>
      </c>
      <c r="L666" s="169">
        <f>IFERROR(MATCH(J666,'Final List'!$D$4:$D$252,0),0)</f>
        <v>0</v>
      </c>
      <c r="M666" s="169">
        <f>IFERROR(MATCH(J666,'Final List'!$F$4:$F$251,0),0)</f>
        <v>0</v>
      </c>
      <c r="N666" s="169">
        <f>IFERROR(MATCH(J666,'Final List'!$H$4:$H$252,0),0)</f>
        <v>0</v>
      </c>
      <c r="O666" s="169">
        <f>IFERROR(MATCH(J666,'Final List'!$J$4:$J$252,0),0)</f>
        <v>0</v>
      </c>
      <c r="P666" s="169">
        <f>IFERROR(MATCH(J666,'Final List'!$L$4:$L$252,0),0)</f>
        <v>0</v>
      </c>
      <c r="Q666" s="169">
        <f>IFERROR(MATCH(J666,'Final List'!$N$4:$N$252,0),0)</f>
        <v>0</v>
      </c>
      <c r="R666" s="169">
        <f>IFERROR(MATCH(J666,'Final List'!$P$4:$P$252,0),0)</f>
        <v>0</v>
      </c>
      <c r="S666" s="169">
        <f t="shared" si="43"/>
        <v>0</v>
      </c>
      <c r="T666" s="169" t="s">
        <v>68</v>
      </c>
      <c r="V666" s="169" t="str">
        <f t="shared" si="41"/>
        <v>GUNAY 3</v>
      </c>
      <c r="W666" s="77" t="s">
        <v>2719</v>
      </c>
    </row>
    <row r="667" spans="1:23" x14ac:dyDescent="0.25">
      <c r="B667" s="169" t="s">
        <v>95</v>
      </c>
      <c r="C667" s="169" t="s">
        <v>87</v>
      </c>
      <c r="D667" s="169" t="s">
        <v>6387</v>
      </c>
      <c r="E667" s="169" t="s">
        <v>37</v>
      </c>
      <c r="F667" s="245" t="str">
        <f t="shared" si="42"/>
        <v>Dhoz 71</v>
      </c>
      <c r="G667" s="169" t="s">
        <v>6936</v>
      </c>
      <c r="I667" s="169" t="str">
        <f t="shared" si="40"/>
        <v>L08_NONE_079E_XCN</v>
      </c>
      <c r="J667" s="169" t="s">
        <v>6823</v>
      </c>
      <c r="K667" s="169">
        <f>IFERROR(MATCH(J667,'Final List'!$B$4:$B$252,0),0)</f>
        <v>0</v>
      </c>
      <c r="L667" s="169">
        <f>IFERROR(MATCH(J667,'Final List'!$D$4:$D$252,0),0)</f>
        <v>0</v>
      </c>
      <c r="M667" s="169">
        <f>IFERROR(MATCH(J667,'Final List'!$F$4:$F$251,0),0)</f>
        <v>0</v>
      </c>
      <c r="N667" s="169">
        <f>IFERROR(MATCH(J667,'Final List'!$H$4:$H$252,0),0)</f>
        <v>0</v>
      </c>
      <c r="O667" s="169">
        <f>IFERROR(MATCH(J667,'Final List'!$J$4:$J$252,0),0)</f>
        <v>0</v>
      </c>
      <c r="P667" s="169">
        <f>IFERROR(MATCH(J667,'Final List'!$L$4:$L$252,0),0)</f>
        <v>0</v>
      </c>
      <c r="Q667" s="169">
        <f>IFERROR(MATCH(J667,'Final List'!$N$4:$N$252,0),0)</f>
        <v>0</v>
      </c>
      <c r="R667" s="169">
        <f>IFERROR(MATCH(J667,'Final List'!$P$4:$P$252,0),0)</f>
        <v>0</v>
      </c>
      <c r="S667" s="169">
        <f t="shared" si="43"/>
        <v>0</v>
      </c>
      <c r="V667" s="169" t="str">
        <f t="shared" si="41"/>
        <v>OSWAY 1</v>
      </c>
      <c r="W667" s="169" t="s">
        <v>8897</v>
      </c>
    </row>
    <row r="668" spans="1:23" x14ac:dyDescent="0.25">
      <c r="A668" s="118"/>
      <c r="B668" s="178" t="s">
        <v>93</v>
      </c>
      <c r="C668" s="178" t="s">
        <v>57</v>
      </c>
      <c r="D668" s="178" t="s">
        <v>146</v>
      </c>
      <c r="E668" s="178" t="s">
        <v>61</v>
      </c>
      <c r="F668" s="245" t="str">
        <f t="shared" si="42"/>
        <v>Dhoz 71</v>
      </c>
      <c r="G668" s="169" t="s">
        <v>6825</v>
      </c>
      <c r="I668" s="169" t="str">
        <f t="shared" si="40"/>
        <v>L06_JVSPLIT_030E_DW</v>
      </c>
      <c r="J668" s="169" t="s">
        <v>6827</v>
      </c>
      <c r="K668" s="169">
        <f>IFERROR(MATCH(J668,'Final List'!$B$4:$B$252,0),0)</f>
        <v>0</v>
      </c>
      <c r="L668" s="169">
        <f>IFERROR(MATCH(J668,'Final List'!$D$4:$D$252,0),0)</f>
        <v>0</v>
      </c>
      <c r="M668" s="169">
        <f>IFERROR(MATCH(J668,'Final List'!$F$4:$F$251,0),0)</f>
        <v>0</v>
      </c>
      <c r="N668" s="169">
        <f>IFERROR(MATCH(J668,'Final List'!$H$4:$H$252,0),0)</f>
        <v>0</v>
      </c>
      <c r="O668" s="169">
        <f>IFERROR(MATCH(J668,'Final List'!$J$4:$J$252,0),0)</f>
        <v>0</v>
      </c>
      <c r="P668" s="169">
        <f>IFERROR(MATCH(J668,'Final List'!$L$4:$L$252,0),0)</f>
        <v>0</v>
      </c>
      <c r="Q668" s="169">
        <f>IFERROR(MATCH(J668,'Final List'!$N$4:$N$252,0),0)</f>
        <v>0</v>
      </c>
      <c r="R668" s="169">
        <f>IFERROR(MATCH(J668,'Final List'!$P$4:$P$252,0),0)</f>
        <v>0</v>
      </c>
      <c r="S668" s="169">
        <f t="shared" si="43"/>
        <v>0</v>
      </c>
      <c r="V668" s="169" t="str">
        <f t="shared" si="41"/>
        <v>BANEZ 1</v>
      </c>
      <c r="W668" s="169" t="s">
        <v>8895</v>
      </c>
    </row>
    <row r="669" spans="1:23" x14ac:dyDescent="0.25">
      <c r="A669" s="118"/>
      <c r="B669" s="178" t="s">
        <v>95</v>
      </c>
      <c r="C669" s="178" t="s">
        <v>42</v>
      </c>
      <c r="D669" s="178" t="s">
        <v>6833</v>
      </c>
      <c r="E669" s="178" t="s">
        <v>61</v>
      </c>
      <c r="F669" s="245" t="str">
        <f t="shared" si="42"/>
        <v>Dhoz 71</v>
      </c>
      <c r="G669" s="169" t="s">
        <v>5</v>
      </c>
      <c r="I669" s="169" t="str">
        <f t="shared" ref="I669:I732" si="44">CONCATENATE(B669,"_",C669,"_",D669,"_",E669)</f>
        <v>L08_JV_017W_DW</v>
      </c>
      <c r="J669" s="169" t="s">
        <v>6832</v>
      </c>
      <c r="K669" s="169">
        <f>IFERROR(MATCH(J669,'Final List'!$B$4:$B$252,0),0)</f>
        <v>0</v>
      </c>
      <c r="L669" s="169">
        <f>IFERROR(MATCH(J669,'Final List'!$D$4:$D$252,0),0)</f>
        <v>0</v>
      </c>
      <c r="M669" s="169">
        <f>IFERROR(MATCH(J669,'Final List'!$F$4:$F$251,0),0)</f>
        <v>0</v>
      </c>
      <c r="N669" s="169">
        <f>IFERROR(MATCH(J669,'Final List'!$H$4:$H$252,0),0)</f>
        <v>0</v>
      </c>
      <c r="O669" s="169">
        <f>IFERROR(MATCH(J669,'Final List'!$J$4:$J$252,0),0)</f>
        <v>0</v>
      </c>
      <c r="P669" s="169">
        <f>IFERROR(MATCH(J669,'Final List'!$L$4:$L$252,0),0)</f>
        <v>0</v>
      </c>
      <c r="Q669" s="169">
        <f>IFERROR(MATCH(J669,'Final List'!$N$4:$N$252,0),0)</f>
        <v>0</v>
      </c>
      <c r="R669" s="169">
        <f>IFERROR(MATCH(J669,'Final List'!$P$4:$P$252,0),0)</f>
        <v>0</v>
      </c>
      <c r="S669" s="169">
        <f t="shared" si="43"/>
        <v>0</v>
      </c>
      <c r="V669" s="169" t="str">
        <f t="shared" si="41"/>
        <v>BELICAN</v>
      </c>
      <c r="W669" s="169" t="s">
        <v>8895</v>
      </c>
    </row>
    <row r="670" spans="1:23" x14ac:dyDescent="0.25">
      <c r="A670" s="118"/>
      <c r="B670" s="178" t="s">
        <v>94</v>
      </c>
      <c r="C670" s="178" t="s">
        <v>39</v>
      </c>
      <c r="D670" s="178" t="s">
        <v>198</v>
      </c>
      <c r="E670" s="178" t="s">
        <v>62</v>
      </c>
      <c r="F670" s="245" t="str">
        <f t="shared" si="42"/>
        <v>RobS 79</v>
      </c>
      <c r="G670" s="169" t="s">
        <v>6533</v>
      </c>
      <c r="H670" s="169" t="s">
        <v>5921</v>
      </c>
      <c r="I670" s="169" t="str">
        <f t="shared" si="44"/>
        <v>L07_JVHW_069E_ROBBING</v>
      </c>
      <c r="J670" s="169" t="s">
        <v>6826</v>
      </c>
      <c r="K670" s="169">
        <f>IFERROR(MATCH(J670,'Final List'!$B$4:$B$252,0),0)</f>
        <v>0</v>
      </c>
      <c r="L670" s="169">
        <f>IFERROR(MATCH(J670,'Final List'!$D$4:$D$252,0),0)</f>
        <v>0</v>
      </c>
      <c r="M670" s="169">
        <f>IFERROR(MATCH(J670,'Final List'!$F$4:$F$251,0),0)</f>
        <v>0</v>
      </c>
      <c r="N670" s="169">
        <f>IFERROR(MATCH(J670,'Final List'!$H$4:$H$252,0),0)</f>
        <v>0</v>
      </c>
      <c r="O670" s="169">
        <f>IFERROR(MATCH(J670,'Final List'!$J$4:$J$252,0),0)</f>
        <v>0</v>
      </c>
      <c r="P670" s="169">
        <f>IFERROR(MATCH(J670,'Final List'!$L$4:$L$252,0),0)</f>
        <v>0</v>
      </c>
      <c r="Q670" s="169">
        <f>IFERROR(MATCH(J670,'Final List'!$N$4:$N$252,0),0)</f>
        <v>0</v>
      </c>
      <c r="R670" s="169">
        <f>IFERROR(MATCH(J670,'Final List'!$P$4:$P$252,0),0)</f>
        <v>0</v>
      </c>
      <c r="S670" s="169">
        <f t="shared" si="43"/>
        <v>0</v>
      </c>
      <c r="T670" s="169" t="s">
        <v>68</v>
      </c>
      <c r="V670" s="169" t="str">
        <f t="shared" si="41"/>
        <v>TURRA 2</v>
      </c>
      <c r="W670" s="169" t="s">
        <v>2707</v>
      </c>
    </row>
    <row r="671" spans="1:23" x14ac:dyDescent="0.25">
      <c r="A671" s="118"/>
      <c r="B671" s="178" t="s">
        <v>94</v>
      </c>
      <c r="C671" s="178" t="s">
        <v>55</v>
      </c>
      <c r="D671" s="178" t="s">
        <v>142</v>
      </c>
      <c r="E671" s="178" t="s">
        <v>6143</v>
      </c>
      <c r="F671" s="245" t="str">
        <f t="shared" si="42"/>
        <v>Dhoz 71</v>
      </c>
      <c r="G671" s="178" t="s">
        <v>2970</v>
      </c>
      <c r="H671" s="178"/>
      <c r="I671" s="169" t="str">
        <f t="shared" si="44"/>
        <v>L07_JVFW_038E_DE_ISL</v>
      </c>
      <c r="J671" s="169" t="s">
        <v>6834</v>
      </c>
      <c r="K671" s="169">
        <f>IFERROR(MATCH(J671,'Final List'!$B$4:$B$252,0),0)</f>
        <v>0</v>
      </c>
      <c r="L671" s="169">
        <f>IFERROR(MATCH(J671,'Final List'!$D$4:$D$252,0),0)</f>
        <v>0</v>
      </c>
      <c r="M671" s="169">
        <f>IFERROR(MATCH(J671,'Final List'!$F$4:$F$251,0),0)</f>
        <v>0</v>
      </c>
      <c r="N671" s="169">
        <f>IFERROR(MATCH(J671,'Final List'!$H$4:$H$252,0),0)</f>
        <v>0</v>
      </c>
      <c r="O671" s="169">
        <f>IFERROR(MATCH(J671,'Final List'!$J$4:$J$252,0),0)</f>
        <v>0</v>
      </c>
      <c r="P671" s="169">
        <f>IFERROR(MATCH(J671,'Final List'!$L$4:$L$252,0),0)</f>
        <v>0</v>
      </c>
      <c r="Q671" s="169">
        <f>IFERROR(MATCH(J671,'Final List'!$N$4:$N$252,0),0)</f>
        <v>0</v>
      </c>
      <c r="R671" s="169">
        <f>IFERROR(MATCH(J671,'Final List'!$P$4:$P$252,0),0)</f>
        <v>0</v>
      </c>
      <c r="S671" s="169">
        <f t="shared" si="43"/>
        <v>0</v>
      </c>
      <c r="V671" s="169" t="str">
        <f t="shared" si="41"/>
        <v>FABROA 2</v>
      </c>
      <c r="W671" s="169" t="s">
        <v>2708</v>
      </c>
    </row>
    <row r="672" spans="1:23" x14ac:dyDescent="0.25">
      <c r="B672" s="169" t="s">
        <v>95</v>
      </c>
      <c r="C672" s="169" t="s">
        <v>57</v>
      </c>
      <c r="D672" s="169" t="s">
        <v>166</v>
      </c>
      <c r="E672" s="169" t="s">
        <v>61</v>
      </c>
      <c r="F672" s="245" t="str">
        <f t="shared" si="42"/>
        <v>Dhoz 71</v>
      </c>
      <c r="G672" s="169" t="s">
        <v>521</v>
      </c>
      <c r="I672" s="169" t="str">
        <f t="shared" si="44"/>
        <v>L08_JVSPLIT_068E_DW</v>
      </c>
      <c r="J672" s="169" t="s">
        <v>6846</v>
      </c>
      <c r="K672" s="169">
        <f>IFERROR(MATCH(J672,'Final List'!$B$4:$B$252,0),0)</f>
        <v>0</v>
      </c>
      <c r="L672" s="169">
        <f>IFERROR(MATCH(J672,'Final List'!$D$4:$D$252,0),0)</f>
        <v>0</v>
      </c>
      <c r="M672" s="169">
        <f>IFERROR(MATCH(J672,'Final List'!$F$4:$F$251,0),0)</f>
        <v>0</v>
      </c>
      <c r="N672" s="169">
        <f>IFERROR(MATCH(J672,'Final List'!$H$4:$H$252,0),0)</f>
        <v>0</v>
      </c>
      <c r="O672" s="169">
        <f>IFERROR(MATCH(J672,'Final List'!$J$4:$J$252,0),0)</f>
        <v>0</v>
      </c>
      <c r="P672" s="169">
        <f>IFERROR(MATCH(J672,'Final List'!$L$4:$L$252,0),0)</f>
        <v>0</v>
      </c>
      <c r="Q672" s="169">
        <f>IFERROR(MATCH(J672,'Final List'!$N$4:$N$252,0),0)</f>
        <v>0</v>
      </c>
      <c r="R672" s="169">
        <f>IFERROR(MATCH(J672,'Final List'!$P$4:$P$252,0),0)</f>
        <v>0</v>
      </c>
      <c r="S672" s="169">
        <f t="shared" si="43"/>
        <v>0</v>
      </c>
      <c r="V672" s="169" t="str">
        <f t="shared" si="41"/>
        <v>LERIO 4</v>
      </c>
      <c r="W672" s="169" t="s">
        <v>8895</v>
      </c>
    </row>
    <row r="673" spans="1:23" x14ac:dyDescent="0.25">
      <c r="B673" s="169" t="s">
        <v>96</v>
      </c>
      <c r="C673" s="169" t="s">
        <v>46</v>
      </c>
      <c r="D673" s="169" t="s">
        <v>6358</v>
      </c>
      <c r="E673" s="169" t="s">
        <v>19</v>
      </c>
      <c r="F673" s="245" t="str">
        <f t="shared" si="42"/>
        <v>DVR 72</v>
      </c>
      <c r="G673" s="169" t="s">
        <v>336</v>
      </c>
      <c r="I673" s="169" t="str">
        <f t="shared" si="44"/>
        <v>L09_DPVE2_087E_RAISE</v>
      </c>
      <c r="J673" s="169" t="s">
        <v>5056</v>
      </c>
      <c r="K673" s="169">
        <f>IFERROR(MATCH(J673,'Final List'!$B$4:$B$252,0),0)</f>
        <v>0</v>
      </c>
      <c r="L673" s="169">
        <f>IFERROR(MATCH(J673,'Final List'!$D$4:$D$252,0),0)</f>
        <v>0</v>
      </c>
      <c r="M673" s="169">
        <f>IFERROR(MATCH(J673,'Final List'!$F$4:$F$251,0),0)</f>
        <v>0</v>
      </c>
      <c r="N673" s="169">
        <f>IFERROR(MATCH(J673,'Final List'!$H$4:$H$252,0),0)</f>
        <v>0</v>
      </c>
      <c r="O673" s="169">
        <f>IFERROR(MATCH(J673,'Final List'!$J$4:$J$252,0),0)</f>
        <v>0</v>
      </c>
      <c r="P673" s="169">
        <f>IFERROR(MATCH(J673,'Final List'!$L$4:$L$252,0),0)</f>
        <v>0</v>
      </c>
      <c r="Q673" s="169">
        <f>IFERROR(MATCH(J673,'Final List'!$N$4:$N$252,0),0)</f>
        <v>0</v>
      </c>
      <c r="R673" s="169">
        <f>IFERROR(MATCH(J673,'Final List'!$P$4:$P$252,0),0)</f>
        <v>0</v>
      </c>
      <c r="S673" s="169">
        <f t="shared" si="43"/>
        <v>0</v>
      </c>
      <c r="V673" s="169" t="str">
        <f t="shared" si="41"/>
        <v>BALANGHIG 1</v>
      </c>
      <c r="W673" s="169" t="s">
        <v>2715</v>
      </c>
    </row>
    <row r="674" spans="1:23" x14ac:dyDescent="0.25">
      <c r="A674" s="118"/>
      <c r="B674" s="178" t="s">
        <v>92</v>
      </c>
      <c r="C674" s="178" t="s">
        <v>57</v>
      </c>
      <c r="D674" s="178" t="s">
        <v>130</v>
      </c>
      <c r="E674" s="178" t="s">
        <v>60</v>
      </c>
      <c r="F674" s="245" t="str">
        <f t="shared" si="42"/>
        <v>Dhoz 71</v>
      </c>
      <c r="G674" s="169" t="s">
        <v>551</v>
      </c>
      <c r="I674" s="169" t="str">
        <f t="shared" si="44"/>
        <v>L05_JVSPLIT_036E_DE</v>
      </c>
      <c r="J674" s="77" t="s">
        <v>6842</v>
      </c>
      <c r="K674" s="169">
        <f>IFERROR(MATCH(J674,'Final List'!$B$4:$B$252,0),0)</f>
        <v>0</v>
      </c>
      <c r="L674" s="169">
        <f>IFERROR(MATCH(J674,'Final List'!$D$4:$D$252,0),0)</f>
        <v>0</v>
      </c>
      <c r="M674" s="169">
        <f>IFERROR(MATCH(J674,'Final List'!$F$4:$F$251,0),0)</f>
        <v>0</v>
      </c>
      <c r="N674" s="169">
        <f>IFERROR(MATCH(J674,'Final List'!$H$4:$H$252,0),0)</f>
        <v>0</v>
      </c>
      <c r="O674" s="169">
        <f>IFERROR(MATCH(J674,'Final List'!$J$4:$J$252,0),0)</f>
        <v>0</v>
      </c>
      <c r="P674" s="169">
        <f>IFERROR(MATCH(J674,'Final List'!$L$4:$L$252,0),0)</f>
        <v>0</v>
      </c>
      <c r="Q674" s="169">
        <f>IFERROR(MATCH(J674,'Final List'!$N$4:$N$252,0),0)</f>
        <v>0</v>
      </c>
      <c r="R674" s="169">
        <f>IFERROR(MATCH(J674,'Final List'!$P$4:$P$252,0),0)</f>
        <v>0</v>
      </c>
      <c r="S674" s="169">
        <f t="shared" si="43"/>
        <v>0</v>
      </c>
      <c r="V674" s="169" t="str">
        <f t="shared" si="41"/>
        <v>PANCIT, NOEL 3</v>
      </c>
      <c r="W674" s="169" t="s">
        <v>8895</v>
      </c>
    </row>
    <row r="675" spans="1:23" x14ac:dyDescent="0.25">
      <c r="A675" s="118"/>
      <c r="B675" s="178" t="s">
        <v>258</v>
      </c>
      <c r="C675" s="178" t="s">
        <v>59</v>
      </c>
      <c r="D675" s="178" t="s">
        <v>175</v>
      </c>
      <c r="E675" s="178" t="s">
        <v>19</v>
      </c>
      <c r="F675" s="245" t="str">
        <f t="shared" si="42"/>
        <v>DVR 72</v>
      </c>
      <c r="G675" s="169" t="s">
        <v>5700</v>
      </c>
      <c r="I675" s="169" t="str">
        <f t="shared" si="44"/>
        <v>L10_GHVHW_060E_RAISE</v>
      </c>
      <c r="J675" s="169" t="s">
        <v>7030</v>
      </c>
      <c r="K675" s="169">
        <f>IFERROR(MATCH(J675,'Final List'!$B$4:$B$252,0),0)</f>
        <v>0</v>
      </c>
      <c r="L675" s="169">
        <f>IFERROR(MATCH(J675,'Final List'!$D$4:$D$252,0),0)</f>
        <v>0</v>
      </c>
      <c r="M675" s="169">
        <f>IFERROR(MATCH(J675,'Final List'!$F$4:$F$251,0),0)</f>
        <v>0</v>
      </c>
      <c r="N675" s="169">
        <f>IFERROR(MATCH(J675,'Final List'!$H$4:$H$252,0),0)</f>
        <v>0</v>
      </c>
      <c r="O675" s="169">
        <f>IFERROR(MATCH(J675,'Final List'!$J$4:$J$252,0),0)</f>
        <v>0</v>
      </c>
      <c r="P675" s="169">
        <f>IFERROR(MATCH(J675,'Final List'!$L$4:$L$252,0),0)</f>
        <v>0</v>
      </c>
      <c r="Q675" s="169">
        <f>IFERROR(MATCH(J675,'Final List'!$N$4:$N$252,0),0)</f>
        <v>0</v>
      </c>
      <c r="R675" s="169">
        <f>IFERROR(MATCH(J675,'Final List'!$P$4:$P$252,0),0)</f>
        <v>0</v>
      </c>
      <c r="S675" s="169">
        <f t="shared" si="43"/>
        <v>0</v>
      </c>
      <c r="V675" s="169" t="str">
        <f t="shared" si="41"/>
        <v>LARGO 1</v>
      </c>
      <c r="W675" s="169" t="s">
        <v>2715</v>
      </c>
    </row>
    <row r="676" spans="1:23" x14ac:dyDescent="0.25">
      <c r="A676" s="118"/>
      <c r="B676" s="178" t="s">
        <v>258</v>
      </c>
      <c r="C676" s="178" t="s">
        <v>43</v>
      </c>
      <c r="D676" s="178" t="s">
        <v>5604</v>
      </c>
      <c r="E676" s="178" t="s">
        <v>211</v>
      </c>
      <c r="F676" s="245" t="str">
        <f t="shared" si="42"/>
        <v>StpS 77</v>
      </c>
      <c r="G676" s="169" t="s">
        <v>6935</v>
      </c>
      <c r="I676" s="169" t="str">
        <f t="shared" si="44"/>
        <v>L10_GHVSPLIT_063E_STOPE PREP</v>
      </c>
      <c r="J676" s="169" t="s">
        <v>6854</v>
      </c>
      <c r="K676" s="169">
        <f>IFERROR(MATCH(J676,'Final List'!$B$4:$B$252,0),0)</f>
        <v>0</v>
      </c>
      <c r="L676" s="169">
        <f>IFERROR(MATCH(J676,'Final List'!$D$4:$D$252,0),0)</f>
        <v>0</v>
      </c>
      <c r="M676" s="169">
        <f>IFERROR(MATCH(J676,'Final List'!$F$4:$F$251,0),0)</f>
        <v>0</v>
      </c>
      <c r="N676" s="169">
        <f>IFERROR(MATCH(J676,'Final List'!$H$4:$H$252,0),0)</f>
        <v>0</v>
      </c>
      <c r="O676" s="169">
        <f>IFERROR(MATCH(J676,'Final List'!$J$4:$J$252,0),0)</f>
        <v>0</v>
      </c>
      <c r="P676" s="169">
        <f>IFERROR(MATCH(J676,'Final List'!$L$4:$L$252,0),0)</f>
        <v>0</v>
      </c>
      <c r="Q676" s="169">
        <f>IFERROR(MATCH(J676,'Final List'!$N$4:$N$252,0),0)</f>
        <v>0</v>
      </c>
      <c r="R676" s="169">
        <f>IFERROR(MATCH(J676,'Final List'!$P$4:$P$252,0),0)</f>
        <v>0</v>
      </c>
      <c r="S676" s="169">
        <f t="shared" si="43"/>
        <v>0</v>
      </c>
      <c r="T676" s="169" t="s">
        <v>68</v>
      </c>
      <c r="V676" s="169" t="str">
        <f t="shared" si="41"/>
        <v>OCAÑA 1</v>
      </c>
      <c r="W676" s="169" t="s">
        <v>2712</v>
      </c>
    </row>
    <row r="677" spans="1:23" x14ac:dyDescent="0.25">
      <c r="A677" s="118"/>
      <c r="B677" s="178" t="s">
        <v>258</v>
      </c>
      <c r="C677" s="178" t="s">
        <v>56</v>
      </c>
      <c r="D677" s="178" t="s">
        <v>179</v>
      </c>
      <c r="E677" s="178" t="s">
        <v>211</v>
      </c>
      <c r="F677" s="245" t="str">
        <f t="shared" si="42"/>
        <v>StpS 77</v>
      </c>
      <c r="G677" s="169" t="s">
        <v>1905</v>
      </c>
      <c r="I677" s="169" t="str">
        <f t="shared" si="44"/>
        <v>L10_GHVFW_050E_STOPE PREP</v>
      </c>
      <c r="J677" s="169" t="s">
        <v>6855</v>
      </c>
      <c r="K677" s="169">
        <f>IFERROR(MATCH(J677,'Final List'!$B$4:$B$252,0),0)</f>
        <v>0</v>
      </c>
      <c r="L677" s="169">
        <f>IFERROR(MATCH(J677,'Final List'!$D$4:$D$252,0),0)</f>
        <v>0</v>
      </c>
      <c r="M677" s="169">
        <f>IFERROR(MATCH(J677,'Final List'!$F$4:$F$251,0),0)</f>
        <v>0</v>
      </c>
      <c r="N677" s="169">
        <f>IFERROR(MATCH(J677,'Final List'!$H$4:$H$252,0),0)</f>
        <v>0</v>
      </c>
      <c r="O677" s="169">
        <f>IFERROR(MATCH(J677,'Final List'!$J$4:$J$252,0),0)</f>
        <v>0</v>
      </c>
      <c r="P677" s="169">
        <f>IFERROR(MATCH(J677,'Final List'!$L$4:$L$252,0),0)</f>
        <v>0</v>
      </c>
      <c r="Q677" s="169">
        <f>IFERROR(MATCH(J677,'Final List'!$N$4:$N$252,0),0)</f>
        <v>0</v>
      </c>
      <c r="R677" s="169">
        <f>IFERROR(MATCH(J677,'Final List'!$P$4:$P$252,0),0)</f>
        <v>0</v>
      </c>
      <c r="S677" s="169">
        <f t="shared" si="43"/>
        <v>0</v>
      </c>
      <c r="T677" s="169" t="s">
        <v>68</v>
      </c>
      <c r="V677" s="169" t="str">
        <f t="shared" si="41"/>
        <v>MONTEBON 1</v>
      </c>
      <c r="W677" s="169" t="s">
        <v>2712</v>
      </c>
    </row>
    <row r="678" spans="1:23" x14ac:dyDescent="0.25">
      <c r="A678" s="118"/>
      <c r="B678" s="178" t="s">
        <v>258</v>
      </c>
      <c r="C678" s="178" t="s">
        <v>45</v>
      </c>
      <c r="D678" s="178" t="s">
        <v>201</v>
      </c>
      <c r="E678" s="178" t="s">
        <v>211</v>
      </c>
      <c r="F678" s="245" t="str">
        <f t="shared" si="42"/>
        <v>StpS 77</v>
      </c>
      <c r="G678" s="169" t="s">
        <v>453</v>
      </c>
      <c r="I678" s="169" t="str">
        <f t="shared" si="44"/>
        <v>L10_DPVE_067E_STOPE PREP</v>
      </c>
      <c r="J678" s="169" t="s">
        <v>6856</v>
      </c>
      <c r="K678" s="169">
        <f>IFERROR(MATCH(J678,'Final List'!$B$4:$B$252,0),0)</f>
        <v>0</v>
      </c>
      <c r="L678" s="169">
        <f>IFERROR(MATCH(J678,'Final List'!$D$4:$D$252,0),0)</f>
        <v>0</v>
      </c>
      <c r="M678" s="169">
        <f>IFERROR(MATCH(J678,'Final List'!$F$4:$F$251,0),0)</f>
        <v>0</v>
      </c>
      <c r="N678" s="169">
        <f>IFERROR(MATCH(J678,'Final List'!$H$4:$H$252,0),0)</f>
        <v>0</v>
      </c>
      <c r="O678" s="169">
        <f>IFERROR(MATCH(J678,'Final List'!$J$4:$J$252,0),0)</f>
        <v>0</v>
      </c>
      <c r="P678" s="169">
        <f>IFERROR(MATCH(J678,'Final List'!$L$4:$L$252,0),0)</f>
        <v>0</v>
      </c>
      <c r="Q678" s="169">
        <f>IFERROR(MATCH(J678,'Final List'!$N$4:$N$252,0),0)</f>
        <v>0</v>
      </c>
      <c r="R678" s="169">
        <f>IFERROR(MATCH(J678,'Final List'!$P$4:$P$252,0),0)</f>
        <v>0</v>
      </c>
      <c r="S678" s="169">
        <f t="shared" si="43"/>
        <v>0</v>
      </c>
      <c r="T678" s="169" t="s">
        <v>68</v>
      </c>
      <c r="V678" s="169" t="str">
        <f t="shared" si="41"/>
        <v>BAÑEZ 7</v>
      </c>
      <c r="W678" s="169" t="s">
        <v>2712</v>
      </c>
    </row>
    <row r="679" spans="1:23" x14ac:dyDescent="0.25">
      <c r="A679" s="118"/>
      <c r="B679" s="178" t="s">
        <v>92</v>
      </c>
      <c r="C679" s="178" t="s">
        <v>39</v>
      </c>
      <c r="D679" s="178" t="s">
        <v>195</v>
      </c>
      <c r="E679" s="178" t="s">
        <v>62</v>
      </c>
      <c r="F679" s="245" t="str">
        <f t="shared" si="42"/>
        <v>RobC 80</v>
      </c>
      <c r="G679" s="169" t="s">
        <v>5801</v>
      </c>
      <c r="I679" s="169" t="str">
        <f t="shared" si="44"/>
        <v>L05_JVHW_008W_ROBBING</v>
      </c>
      <c r="J679" s="169" t="s">
        <v>6859</v>
      </c>
      <c r="K679" s="169">
        <f>IFERROR(MATCH(J679,'Final List'!$B$4:$B$252,0),0)</f>
        <v>0</v>
      </c>
      <c r="L679" s="169">
        <f>IFERROR(MATCH(J679,'Final List'!$D$4:$D$252,0),0)</f>
        <v>0</v>
      </c>
      <c r="M679" s="169">
        <f>IFERROR(MATCH(J679,'Final List'!$F$4:$F$251,0),0)</f>
        <v>0</v>
      </c>
      <c r="N679" s="169">
        <f>IFERROR(MATCH(J679,'Final List'!$H$4:$H$252,0),0)</f>
        <v>0</v>
      </c>
      <c r="O679" s="169">
        <f>IFERROR(MATCH(J679,'Final List'!$J$4:$J$252,0),0)</f>
        <v>0</v>
      </c>
      <c r="P679" s="169">
        <f>IFERROR(MATCH(J679,'Final List'!$L$4:$L$252,0),0)</f>
        <v>0</v>
      </c>
      <c r="Q679" s="169">
        <f>IFERROR(MATCH(J679,'Final List'!$N$4:$N$252,0),0)</f>
        <v>0</v>
      </c>
      <c r="R679" s="169">
        <f>IFERROR(MATCH(J679,'Final List'!$P$4:$P$252,0),0)</f>
        <v>0</v>
      </c>
      <c r="S679" s="169">
        <f t="shared" si="43"/>
        <v>0</v>
      </c>
      <c r="T679" s="169" t="s">
        <v>48</v>
      </c>
      <c r="V679" s="169" t="str">
        <f t="shared" si="41"/>
        <v>SHEPHERD AM 1</v>
      </c>
      <c r="W679" s="169" t="s">
        <v>236</v>
      </c>
    </row>
    <row r="680" spans="1:23" x14ac:dyDescent="0.25">
      <c r="A680" s="118"/>
      <c r="B680" s="178" t="s">
        <v>96</v>
      </c>
      <c r="C680" s="178" t="s">
        <v>39</v>
      </c>
      <c r="D680" s="178" t="s">
        <v>5975</v>
      </c>
      <c r="E680" s="178" t="s">
        <v>61</v>
      </c>
      <c r="F680" s="245" t="str">
        <f t="shared" si="42"/>
        <v>Dhoz 71</v>
      </c>
      <c r="G680" s="169" t="s">
        <v>362</v>
      </c>
      <c r="I680" s="169" t="str">
        <f t="shared" si="44"/>
        <v>L09_JVHW_028E_DW</v>
      </c>
      <c r="J680" s="169" t="s">
        <v>6861</v>
      </c>
      <c r="K680" s="169">
        <f>IFERROR(MATCH(J680,'Final List'!$B$4:$B$252,0),0)</f>
        <v>0</v>
      </c>
      <c r="L680" s="169">
        <f>IFERROR(MATCH(J680,'Final List'!$D$4:$D$252,0),0)</f>
        <v>0</v>
      </c>
      <c r="M680" s="169">
        <f>IFERROR(MATCH(J680,'Final List'!$F$4:$F$251,0),0)</f>
        <v>0</v>
      </c>
      <c r="N680" s="169">
        <f>IFERROR(MATCH(J680,'Final List'!$H$4:$H$252,0),0)</f>
        <v>0</v>
      </c>
      <c r="O680" s="169">
        <f>IFERROR(MATCH(J680,'Final List'!$J$4:$J$252,0),0)</f>
        <v>0</v>
      </c>
      <c r="P680" s="169">
        <f>IFERROR(MATCH(J680,'Final List'!$L$4:$L$252,0),0)</f>
        <v>0</v>
      </c>
      <c r="Q680" s="169">
        <f>IFERROR(MATCH(J680,'Final List'!$N$4:$N$252,0),0)</f>
        <v>0</v>
      </c>
      <c r="R680" s="169">
        <f>IFERROR(MATCH(J680,'Final List'!$P$4:$P$252,0),0)</f>
        <v>0</v>
      </c>
      <c r="S680" s="169">
        <f t="shared" si="43"/>
        <v>0</v>
      </c>
      <c r="V680" s="169" t="str">
        <f t="shared" si="41"/>
        <v>BABOR 1</v>
      </c>
      <c r="W680" s="169" t="s">
        <v>8896</v>
      </c>
    </row>
    <row r="681" spans="1:23" x14ac:dyDescent="0.25">
      <c r="B681" s="169" t="s">
        <v>95</v>
      </c>
      <c r="C681" s="169" t="s">
        <v>38</v>
      </c>
      <c r="D681" s="169" t="s">
        <v>6864</v>
      </c>
      <c r="E681" s="169" t="s">
        <v>60</v>
      </c>
      <c r="F681" s="245" t="str">
        <f t="shared" si="42"/>
        <v>Dhoz 71</v>
      </c>
      <c r="G681" s="169" t="s">
        <v>386</v>
      </c>
      <c r="I681" s="169" t="str">
        <f t="shared" si="44"/>
        <v>L08_GHV_006E_DE</v>
      </c>
      <c r="J681" s="169" t="s">
        <v>6863</v>
      </c>
      <c r="K681" s="169">
        <f>IFERROR(MATCH(J681,'Final List'!$B$4:$B$252,0),0)</f>
        <v>0</v>
      </c>
      <c r="L681" s="169">
        <f>IFERROR(MATCH(J681,'Final List'!$D$4:$D$252,0),0)</f>
        <v>0</v>
      </c>
      <c r="M681" s="169">
        <f>IFERROR(MATCH(J681,'Final List'!$F$4:$F$251,0),0)</f>
        <v>0</v>
      </c>
      <c r="N681" s="169">
        <f>IFERROR(MATCH(J681,'Final List'!$H$4:$H$252,0),0)</f>
        <v>0</v>
      </c>
      <c r="O681" s="169">
        <f>IFERROR(MATCH(J681,'Final List'!$J$4:$J$252,0),0)</f>
        <v>0</v>
      </c>
      <c r="P681" s="169">
        <f>IFERROR(MATCH(J681,'Final List'!$L$4:$L$252,0),0)</f>
        <v>0</v>
      </c>
      <c r="Q681" s="169">
        <f>IFERROR(MATCH(J681,'Final List'!$N$4:$N$252,0),0)</f>
        <v>0</v>
      </c>
      <c r="R681" s="169">
        <f>IFERROR(MATCH(J681,'Final List'!$P$4:$P$252,0),0)</f>
        <v>0</v>
      </c>
      <c r="S681" s="169">
        <f t="shared" si="43"/>
        <v>0</v>
      </c>
      <c r="V681" s="169" t="str">
        <f t="shared" si="41"/>
        <v>REVITA 1</v>
      </c>
      <c r="W681" s="169" t="s">
        <v>8895</v>
      </c>
    </row>
    <row r="682" spans="1:23" x14ac:dyDescent="0.25">
      <c r="B682" s="169" t="s">
        <v>94</v>
      </c>
      <c r="C682" s="169" t="s">
        <v>39</v>
      </c>
      <c r="D682" s="169" t="s">
        <v>148</v>
      </c>
      <c r="E682" s="169" t="s">
        <v>61</v>
      </c>
      <c r="F682" s="245" t="str">
        <f t="shared" si="42"/>
        <v>Dhoz 71</v>
      </c>
      <c r="G682" s="169" t="s">
        <v>5719</v>
      </c>
      <c r="I682" s="169" t="str">
        <f t="shared" si="44"/>
        <v>L07_JVHW_039E_DW</v>
      </c>
      <c r="J682" s="169" t="s">
        <v>6969</v>
      </c>
      <c r="K682" s="169">
        <f>IFERROR(MATCH(J682,'Final List'!$B$4:$B$252,0),0)</f>
        <v>0</v>
      </c>
      <c r="L682" s="169">
        <f>IFERROR(MATCH(J682,'Final List'!$D$4:$D$252,0),0)</f>
        <v>0</v>
      </c>
      <c r="M682" s="169">
        <f>IFERROR(MATCH(J682,'Final List'!$F$4:$F$251,0),0)</f>
        <v>0</v>
      </c>
      <c r="N682" s="169">
        <f>IFERROR(MATCH(J682,'Final List'!$H$4:$H$252,0),0)</f>
        <v>0</v>
      </c>
      <c r="O682" s="169">
        <f>IFERROR(MATCH(J682,'Final List'!$J$4:$J$252,0),0)</f>
        <v>0</v>
      </c>
      <c r="P682" s="169">
        <f>IFERROR(MATCH(J682,'Final List'!$L$4:$L$252,0),0)</f>
        <v>0</v>
      </c>
      <c r="Q682" s="169">
        <f>IFERROR(MATCH(J682,'Final List'!$N$4:$N$252,0),0)</f>
        <v>0</v>
      </c>
      <c r="R682" s="169">
        <f>IFERROR(MATCH(J682,'Final List'!$P$4:$P$252,0),0)</f>
        <v>0</v>
      </c>
      <c r="S682" s="169">
        <f t="shared" si="43"/>
        <v>0</v>
      </c>
      <c r="V682" s="169" t="str">
        <f t="shared" si="41"/>
        <v>DAVOCOL 1</v>
      </c>
      <c r="W682" s="169" t="s">
        <v>8895</v>
      </c>
    </row>
    <row r="683" spans="1:23" x14ac:dyDescent="0.25">
      <c r="B683" s="169" t="s">
        <v>96</v>
      </c>
      <c r="C683" s="169" t="s">
        <v>46</v>
      </c>
      <c r="D683" s="169" t="s">
        <v>165</v>
      </c>
      <c r="E683" s="169" t="s">
        <v>19</v>
      </c>
      <c r="F683" s="245" t="str">
        <f t="shared" si="42"/>
        <v>DVR 72</v>
      </c>
      <c r="G683" s="169" t="s">
        <v>5778</v>
      </c>
      <c r="I683" s="169" t="str">
        <f t="shared" si="44"/>
        <v>L09_DPVE2_056E_RAISE</v>
      </c>
      <c r="J683" s="169" t="s">
        <v>6865</v>
      </c>
      <c r="K683" s="169">
        <f>IFERROR(MATCH(J683,'Final List'!$B$4:$B$252,0),0)</f>
        <v>0</v>
      </c>
      <c r="L683" s="169">
        <f>IFERROR(MATCH(J683,'Final List'!$D$4:$D$252,0),0)</f>
        <v>0</v>
      </c>
      <c r="M683" s="169">
        <f>IFERROR(MATCH(J683,'Final List'!$F$4:$F$251,0),0)</f>
        <v>0</v>
      </c>
      <c r="N683" s="169">
        <f>IFERROR(MATCH(J683,'Final List'!$H$4:$H$252,0),0)</f>
        <v>0</v>
      </c>
      <c r="O683" s="169">
        <f>IFERROR(MATCH(J683,'Final List'!$J$4:$J$252,0),0)</f>
        <v>0</v>
      </c>
      <c r="P683" s="169">
        <f>IFERROR(MATCH(J683,'Final List'!$L$4:$L$252,0),0)</f>
        <v>0</v>
      </c>
      <c r="Q683" s="169">
        <f>IFERROR(MATCH(J683,'Final List'!$N$4:$N$252,0),0)</f>
        <v>0</v>
      </c>
      <c r="R683" s="169">
        <f>IFERROR(MATCH(J683,'Final List'!$P$4:$P$252,0),0)</f>
        <v>0</v>
      </c>
      <c r="S683" s="169">
        <f t="shared" si="43"/>
        <v>0</v>
      </c>
      <c r="V683" s="169" t="str">
        <f t="shared" si="41"/>
        <v>REBOTE, JONATHAN 1</v>
      </c>
      <c r="W683" s="169" t="s">
        <v>2715</v>
      </c>
    </row>
    <row r="684" spans="1:23" x14ac:dyDescent="0.25">
      <c r="B684" s="169" t="s">
        <v>96</v>
      </c>
      <c r="C684" s="169" t="s">
        <v>57</v>
      </c>
      <c r="D684" s="169" t="s">
        <v>197</v>
      </c>
      <c r="E684" s="169" t="s">
        <v>20</v>
      </c>
      <c r="F684" s="245" t="str">
        <f t="shared" si="42"/>
        <v>DVW 74</v>
      </c>
      <c r="G684" s="169" t="s">
        <v>445</v>
      </c>
      <c r="H684" s="169" t="s">
        <v>746</v>
      </c>
      <c r="I684" s="169" t="str">
        <f t="shared" si="44"/>
        <v>L09_JVSPLIT_070E_WINZE</v>
      </c>
      <c r="J684" s="169" t="s">
        <v>6866</v>
      </c>
      <c r="K684" s="169">
        <f>IFERROR(MATCH(J684,'Final List'!$B$4:$B$252,0),0)</f>
        <v>0</v>
      </c>
      <c r="L684" s="169">
        <f>IFERROR(MATCH(J684,'Final List'!$D$4:$D$252,0),0)</f>
        <v>0</v>
      </c>
      <c r="M684" s="169">
        <f>IFERROR(MATCH(J684,'Final List'!$F$4:$F$251,0),0)</f>
        <v>0</v>
      </c>
      <c r="N684" s="169">
        <f>IFERROR(MATCH(J684,'Final List'!$H$4:$H$252,0),0)</f>
        <v>0</v>
      </c>
      <c r="O684" s="169">
        <f>IFERROR(MATCH(J684,'Final List'!$J$4:$J$252,0),0)</f>
        <v>0</v>
      </c>
      <c r="P684" s="169">
        <f>IFERROR(MATCH(J684,'Final List'!$L$4:$L$252,0),0)</f>
        <v>0</v>
      </c>
      <c r="Q684" s="169">
        <f>IFERROR(MATCH(J684,'Final List'!$N$4:$N$252,0),0)</f>
        <v>0</v>
      </c>
      <c r="R684" s="169">
        <f>IFERROR(MATCH(J684,'Final List'!$P$4:$P$252,0),0)</f>
        <v>0</v>
      </c>
      <c r="S684" s="169">
        <f t="shared" si="43"/>
        <v>0</v>
      </c>
      <c r="V684" s="169" t="str">
        <f t="shared" si="41"/>
        <v>CANOY 1</v>
      </c>
      <c r="W684" s="169" t="s">
        <v>2717</v>
      </c>
    </row>
    <row r="685" spans="1:23" x14ac:dyDescent="0.25">
      <c r="B685" s="169" t="s">
        <v>95</v>
      </c>
      <c r="C685" s="169" t="s">
        <v>57</v>
      </c>
      <c r="D685" s="169" t="s">
        <v>870</v>
      </c>
      <c r="E685" s="169" t="s">
        <v>19</v>
      </c>
      <c r="F685" s="245" t="str">
        <f t="shared" si="42"/>
        <v>DVR 72</v>
      </c>
      <c r="G685" s="169" t="s">
        <v>6601</v>
      </c>
      <c r="I685" s="169" t="str">
        <f t="shared" si="44"/>
        <v>L08_JVSPLIT_073E_RAISE</v>
      </c>
      <c r="J685" s="169" t="s">
        <v>4644</v>
      </c>
      <c r="K685" s="169">
        <f>IFERROR(MATCH(J685,'Final List'!$B$4:$B$252,0),0)</f>
        <v>0</v>
      </c>
      <c r="L685" s="169">
        <f>IFERROR(MATCH(J685,'Final List'!$D$4:$D$252,0),0)</f>
        <v>0</v>
      </c>
      <c r="M685" s="169">
        <f>IFERROR(MATCH(J685,'Final List'!$F$4:$F$251,0),0)</f>
        <v>0</v>
      </c>
      <c r="N685" s="169">
        <f>IFERROR(MATCH(J685,'Final List'!$H$4:$H$252,0),0)</f>
        <v>0</v>
      </c>
      <c r="O685" s="169">
        <f>IFERROR(MATCH(J685,'Final List'!$J$4:$J$252,0),0)</f>
        <v>0</v>
      </c>
      <c r="P685" s="169">
        <f>IFERROR(MATCH(J685,'Final List'!$L$4:$L$252,0),0)</f>
        <v>0</v>
      </c>
      <c r="Q685" s="169">
        <f>IFERROR(MATCH(J685,'Final List'!$N$4:$N$252,0),0)</f>
        <v>0</v>
      </c>
      <c r="R685" s="169">
        <f>IFERROR(MATCH(J685,'Final List'!$P$4:$P$252,0),0)</f>
        <v>0</v>
      </c>
      <c r="S685" s="169">
        <f t="shared" si="43"/>
        <v>0</v>
      </c>
      <c r="V685" s="169" t="str">
        <f t="shared" si="41"/>
        <v>AGLOLO, MIGUEL 1</v>
      </c>
      <c r="W685" s="169" t="s">
        <v>2715</v>
      </c>
    </row>
    <row r="686" spans="1:23" x14ac:dyDescent="0.25">
      <c r="B686" s="169" t="s">
        <v>95</v>
      </c>
      <c r="C686" s="169" t="s">
        <v>57</v>
      </c>
      <c r="D686" s="169" t="s">
        <v>164</v>
      </c>
      <c r="E686" s="169" t="s">
        <v>19</v>
      </c>
      <c r="F686" s="245" t="str">
        <f t="shared" si="42"/>
        <v>DVR 72</v>
      </c>
      <c r="G686" s="169" t="s">
        <v>5708</v>
      </c>
      <c r="I686" s="169" t="str">
        <f t="shared" si="44"/>
        <v>L08_JVSPLIT_064E_RAISE</v>
      </c>
      <c r="J686" s="169" t="s">
        <v>6869</v>
      </c>
      <c r="K686" s="169">
        <f>IFERROR(MATCH(J686,'Final List'!$B$4:$B$252,0),0)</f>
        <v>0</v>
      </c>
      <c r="L686" s="169">
        <f>IFERROR(MATCH(J686,'Final List'!$D$4:$D$252,0),0)</f>
        <v>0</v>
      </c>
      <c r="M686" s="169">
        <f>IFERROR(MATCH(J686,'Final List'!$F$4:$F$251,0),0)</f>
        <v>0</v>
      </c>
      <c r="N686" s="169">
        <f>IFERROR(MATCH(J686,'Final List'!$H$4:$H$252,0),0)</f>
        <v>0</v>
      </c>
      <c r="O686" s="169">
        <f>IFERROR(MATCH(J686,'Final List'!$J$4:$J$252,0),0)</f>
        <v>0</v>
      </c>
      <c r="P686" s="169">
        <f>IFERROR(MATCH(J686,'Final List'!$L$4:$L$252,0),0)</f>
        <v>0</v>
      </c>
      <c r="Q686" s="169">
        <f>IFERROR(MATCH(J686,'Final List'!$N$4:$N$252,0),0)</f>
        <v>0</v>
      </c>
      <c r="R686" s="169">
        <f>IFERROR(MATCH(J686,'Final List'!$P$4:$P$252,0),0)</f>
        <v>0</v>
      </c>
      <c r="S686" s="169">
        <f t="shared" si="43"/>
        <v>0</v>
      </c>
      <c r="V686" s="169" t="str">
        <f t="shared" si="41"/>
        <v>SHEPHERD AJ 1</v>
      </c>
      <c r="W686" s="169" t="s">
        <v>2715</v>
      </c>
    </row>
    <row r="687" spans="1:23" x14ac:dyDescent="0.25">
      <c r="B687" s="169" t="s">
        <v>258</v>
      </c>
      <c r="C687" s="169" t="s">
        <v>42</v>
      </c>
      <c r="D687" s="169" t="s">
        <v>5781</v>
      </c>
      <c r="E687" s="169" t="s">
        <v>19</v>
      </c>
      <c r="F687" s="245" t="str">
        <f t="shared" si="42"/>
        <v>DVR 72</v>
      </c>
      <c r="G687" s="169" t="s">
        <v>5697</v>
      </c>
      <c r="I687" s="169" t="str">
        <f t="shared" si="44"/>
        <v>L10_JV_051E_RAISE</v>
      </c>
      <c r="J687" s="169" t="s">
        <v>6868</v>
      </c>
      <c r="K687" s="169">
        <f>IFERROR(MATCH(J687,'Final List'!$B$4:$B$252,0),0)</f>
        <v>0</v>
      </c>
      <c r="L687" s="169">
        <f>IFERROR(MATCH(J687,'Final List'!$D$4:$D$252,0),0)</f>
        <v>0</v>
      </c>
      <c r="M687" s="169">
        <f>IFERROR(MATCH(J687,'Final List'!$F$4:$F$251,0),0)</f>
        <v>0</v>
      </c>
      <c r="N687" s="169">
        <f>IFERROR(MATCH(J687,'Final List'!$H$4:$H$252,0),0)</f>
        <v>0</v>
      </c>
      <c r="O687" s="169">
        <f>IFERROR(MATCH(J687,'Final List'!$J$4:$J$252,0),0)</f>
        <v>0</v>
      </c>
      <c r="P687" s="169">
        <f>IFERROR(MATCH(J687,'Final List'!$L$4:$L$252,0),0)</f>
        <v>0</v>
      </c>
      <c r="Q687" s="169">
        <f>IFERROR(MATCH(J687,'Final List'!$N$4:$N$252,0),0)</f>
        <v>0</v>
      </c>
      <c r="R687" s="169">
        <f>IFERROR(MATCH(J687,'Final List'!$P$4:$P$252,0),0)</f>
        <v>0</v>
      </c>
      <c r="S687" s="169">
        <f t="shared" si="43"/>
        <v>0</v>
      </c>
      <c r="V687" s="169" t="str">
        <f t="shared" si="41"/>
        <v>OLIVEROS 1</v>
      </c>
      <c r="W687" s="169" t="s">
        <v>2715</v>
      </c>
    </row>
    <row r="688" spans="1:23" x14ac:dyDescent="0.25">
      <c r="B688" s="169" t="s">
        <v>91</v>
      </c>
      <c r="C688" s="169" t="s">
        <v>44</v>
      </c>
      <c r="D688" s="169" t="s">
        <v>114</v>
      </c>
      <c r="E688" s="169" t="s">
        <v>211</v>
      </c>
      <c r="F688" s="245" t="str">
        <f t="shared" si="42"/>
        <v>StpS 77</v>
      </c>
      <c r="G688" s="169" t="s">
        <v>488</v>
      </c>
      <c r="I688" s="169" t="str">
        <f t="shared" si="44"/>
        <v>L04_CV_025W_STOPE PREP</v>
      </c>
      <c r="J688" s="169" t="s">
        <v>6872</v>
      </c>
      <c r="K688" s="169">
        <f>IFERROR(MATCH(J688,'Final List'!$B$4:$B$252,0),0)</f>
        <v>0</v>
      </c>
      <c r="L688" s="169">
        <f>IFERROR(MATCH(J688,'Final List'!$D$4:$D$252,0),0)</f>
        <v>0</v>
      </c>
      <c r="M688" s="169">
        <f>IFERROR(MATCH(J688,'Final List'!$F$4:$F$251,0),0)</f>
        <v>0</v>
      </c>
      <c r="N688" s="169">
        <f>IFERROR(MATCH(J688,'Final List'!$H$4:$H$252,0),0)</f>
        <v>0</v>
      </c>
      <c r="O688" s="169">
        <f>IFERROR(MATCH(J688,'Final List'!$J$4:$J$252,0),0)</f>
        <v>0</v>
      </c>
      <c r="P688" s="169">
        <f>IFERROR(MATCH(J688,'Final List'!$L$4:$L$252,0),0)</f>
        <v>0</v>
      </c>
      <c r="Q688" s="169">
        <f>IFERROR(MATCH(J688,'Final List'!$N$4:$N$252,0),0)</f>
        <v>0</v>
      </c>
      <c r="R688" s="169">
        <f>IFERROR(MATCH(J688,'Final List'!$P$4:$P$252,0),0)</f>
        <v>0</v>
      </c>
      <c r="S688" s="169">
        <f t="shared" si="43"/>
        <v>0</v>
      </c>
      <c r="T688" s="169" t="s">
        <v>68</v>
      </c>
      <c r="V688" s="169" t="str">
        <f t="shared" si="41"/>
        <v>BAÑEZ 9</v>
      </c>
      <c r="W688" s="169" t="s">
        <v>2712</v>
      </c>
    </row>
    <row r="689" spans="2:23" x14ac:dyDescent="0.25">
      <c r="B689" s="169" t="s">
        <v>94</v>
      </c>
      <c r="C689" s="169" t="s">
        <v>55</v>
      </c>
      <c r="D689" s="169" t="s">
        <v>173</v>
      </c>
      <c r="E689" s="169" t="s">
        <v>19</v>
      </c>
      <c r="F689" s="245" t="str">
        <f t="shared" si="42"/>
        <v>DVR 72</v>
      </c>
      <c r="G689" s="169" t="s">
        <v>604</v>
      </c>
      <c r="I689" s="169" t="str">
        <f t="shared" si="44"/>
        <v>L07_JVFW_049E_RAISE</v>
      </c>
      <c r="J689" s="169" t="s">
        <v>6873</v>
      </c>
      <c r="K689" s="169">
        <f>IFERROR(MATCH(J689,'Final List'!$B$4:$B$252,0),0)</f>
        <v>0</v>
      </c>
      <c r="L689" s="169">
        <f>IFERROR(MATCH(J689,'Final List'!$D$4:$D$252,0),0)</f>
        <v>0</v>
      </c>
      <c r="M689" s="169">
        <f>IFERROR(MATCH(J689,'Final List'!$F$4:$F$251,0),0)</f>
        <v>0</v>
      </c>
      <c r="N689" s="169">
        <f>IFERROR(MATCH(J689,'Final List'!$H$4:$H$252,0),0)</f>
        <v>0</v>
      </c>
      <c r="O689" s="169">
        <f>IFERROR(MATCH(J689,'Final List'!$J$4:$J$252,0),0)</f>
        <v>0</v>
      </c>
      <c r="P689" s="169">
        <f>IFERROR(MATCH(J689,'Final List'!$L$4:$L$252,0),0)</f>
        <v>0</v>
      </c>
      <c r="Q689" s="169">
        <f>IFERROR(MATCH(J689,'Final List'!$N$4:$N$252,0),0)</f>
        <v>0</v>
      </c>
      <c r="R689" s="169">
        <f>IFERROR(MATCH(J689,'Final List'!$P$4:$P$252,0),0)</f>
        <v>0</v>
      </c>
      <c r="S689" s="169">
        <f t="shared" si="43"/>
        <v>0</v>
      </c>
      <c r="V689" s="169" t="str">
        <f t="shared" si="41"/>
        <v>CARIKITAN 3</v>
      </c>
      <c r="W689" s="169" t="s">
        <v>2715</v>
      </c>
    </row>
    <row r="690" spans="2:23" x14ac:dyDescent="0.25">
      <c r="B690" s="169" t="s">
        <v>258</v>
      </c>
      <c r="C690" s="169" t="s">
        <v>45</v>
      </c>
      <c r="D690" s="169" t="s">
        <v>5631</v>
      </c>
      <c r="E690" s="169" t="s">
        <v>19</v>
      </c>
      <c r="F690" s="245" t="str">
        <f t="shared" si="42"/>
        <v>DVR 72</v>
      </c>
      <c r="G690" s="169" t="s">
        <v>5775</v>
      </c>
      <c r="H690" s="169" t="s">
        <v>10897</v>
      </c>
      <c r="I690" s="169" t="str">
        <f t="shared" si="44"/>
        <v>L10_DPVE_020E_RAISE</v>
      </c>
      <c r="J690" s="169" t="s">
        <v>6874</v>
      </c>
      <c r="K690" s="169">
        <f>IFERROR(MATCH(J690,'Final List'!$B$4:$B$252,0),0)</f>
        <v>0</v>
      </c>
      <c r="L690" s="169">
        <f>IFERROR(MATCH(J690,'Final List'!$D$4:$D$252,0),0)</f>
        <v>0</v>
      </c>
      <c r="M690" s="169">
        <f>IFERROR(MATCH(J690,'Final List'!$F$4:$F$251,0),0)</f>
        <v>0</v>
      </c>
      <c r="N690" s="169">
        <f>IFERROR(MATCH(J690,'Final List'!$H$4:$H$252,0),0)</f>
        <v>0</v>
      </c>
      <c r="O690" s="169">
        <f>IFERROR(MATCH(J690,'Final List'!$J$4:$J$252,0),0)</f>
        <v>0</v>
      </c>
      <c r="P690" s="169">
        <f>IFERROR(MATCH(J690,'Final List'!$L$4:$L$252,0),0)</f>
        <v>0</v>
      </c>
      <c r="Q690" s="169">
        <f>IFERROR(MATCH(J690,'Final List'!$N$4:$N$252,0),0)</f>
        <v>0</v>
      </c>
      <c r="R690" s="169">
        <f>IFERROR(MATCH(J690,'Final List'!$P$4:$P$252,0),0)</f>
        <v>0</v>
      </c>
      <c r="S690" s="169">
        <f t="shared" si="43"/>
        <v>0</v>
      </c>
      <c r="V690" s="169" t="str">
        <f t="shared" si="41"/>
        <v>SHEPHERD BC 3</v>
      </c>
      <c r="W690" s="169" t="s">
        <v>2715</v>
      </c>
    </row>
    <row r="691" spans="2:23" x14ac:dyDescent="0.25">
      <c r="B691" s="178" t="s">
        <v>93</v>
      </c>
      <c r="C691" s="169" t="s">
        <v>42</v>
      </c>
      <c r="D691" s="169" t="s">
        <v>5912</v>
      </c>
      <c r="E691" s="169" t="s">
        <v>19</v>
      </c>
      <c r="F691" s="245" t="str">
        <f t="shared" si="42"/>
        <v>DVR 72</v>
      </c>
      <c r="G691" s="169" t="s">
        <v>352</v>
      </c>
      <c r="H691" s="169" t="s">
        <v>936</v>
      </c>
      <c r="I691" s="169" t="str">
        <f t="shared" si="44"/>
        <v>L06_JV_019E_RAISE</v>
      </c>
      <c r="J691" s="169" t="s">
        <v>6876</v>
      </c>
      <c r="K691" s="169">
        <f>IFERROR(MATCH(J691,'Final List'!$B$4:$B$252,0),0)</f>
        <v>0</v>
      </c>
      <c r="L691" s="169">
        <f>IFERROR(MATCH(J691,'Final List'!$D$4:$D$252,0),0)</f>
        <v>0</v>
      </c>
      <c r="M691" s="169">
        <f>IFERROR(MATCH(J691,'Final List'!$F$4:$F$251,0),0)</f>
        <v>0</v>
      </c>
      <c r="N691" s="169">
        <f>IFERROR(MATCH(J691,'Final List'!$H$4:$H$252,0),0)</f>
        <v>0</v>
      </c>
      <c r="O691" s="169">
        <f>IFERROR(MATCH(J691,'Final List'!$J$4:$J$252,0),0)</f>
        <v>0</v>
      </c>
      <c r="P691" s="169">
        <f>IFERROR(MATCH(J691,'Final List'!$L$4:$L$252,0),0)</f>
        <v>0</v>
      </c>
      <c r="Q691" s="169">
        <f>IFERROR(MATCH(J691,'Final List'!$N$4:$N$252,0),0)</f>
        <v>0</v>
      </c>
      <c r="R691" s="169">
        <f>IFERROR(MATCH(J691,'Final List'!$P$4:$P$252,0),0)</f>
        <v>0</v>
      </c>
      <c r="S691" s="169">
        <f t="shared" si="43"/>
        <v>0</v>
      </c>
      <c r="V691" s="169" t="str">
        <f t="shared" si="41"/>
        <v>GUNAY 2</v>
      </c>
      <c r="W691" s="169" t="s">
        <v>2715</v>
      </c>
    </row>
    <row r="692" spans="2:23" x14ac:dyDescent="0.25">
      <c r="B692" s="215" t="s">
        <v>96</v>
      </c>
      <c r="C692" s="169" t="s">
        <v>42</v>
      </c>
      <c r="D692" s="169" t="s">
        <v>178</v>
      </c>
      <c r="E692" s="169" t="s">
        <v>61</v>
      </c>
      <c r="F692" s="245" t="str">
        <f t="shared" si="42"/>
        <v>Dhoz 71</v>
      </c>
      <c r="G692" s="169" t="s">
        <v>6878</v>
      </c>
      <c r="I692" s="169" t="str">
        <f t="shared" si="44"/>
        <v>L09_JV_048E_DW</v>
      </c>
      <c r="J692" s="169" t="s">
        <v>6877</v>
      </c>
      <c r="K692" s="169">
        <f>IFERROR(MATCH(J692,'Final List'!$B$4:$B$252,0),0)</f>
        <v>0</v>
      </c>
      <c r="L692" s="169">
        <f>IFERROR(MATCH(J692,'Final List'!$D$4:$D$252,0),0)</f>
        <v>0</v>
      </c>
      <c r="M692" s="169">
        <f>IFERROR(MATCH(J692,'Final List'!$F$4:$F$251,0),0)</f>
        <v>0</v>
      </c>
      <c r="N692" s="169">
        <f>IFERROR(MATCH(J692,'Final List'!$H$4:$H$252,0),0)</f>
        <v>0</v>
      </c>
      <c r="O692" s="169">
        <f>IFERROR(MATCH(J692,'Final List'!$J$4:$J$252,0),0)</f>
        <v>0</v>
      </c>
      <c r="P692" s="169">
        <f>IFERROR(MATCH(J692,'Final List'!$L$4:$L$252,0),0)</f>
        <v>0</v>
      </c>
      <c r="Q692" s="169">
        <f>IFERROR(MATCH(J692,'Final List'!$N$4:$N$252,0),0)</f>
        <v>0</v>
      </c>
      <c r="R692" s="169">
        <f>IFERROR(MATCH(J692,'Final List'!$P$4:$P$252,0),0)</f>
        <v>0</v>
      </c>
      <c r="S692" s="169">
        <f t="shared" si="43"/>
        <v>0</v>
      </c>
      <c r="V692" s="169" t="str">
        <f t="shared" si="41"/>
        <v>BALANGHIG</v>
      </c>
      <c r="W692" s="169" t="s">
        <v>8896</v>
      </c>
    </row>
    <row r="693" spans="2:23" x14ac:dyDescent="0.25">
      <c r="B693" s="169" t="s">
        <v>96</v>
      </c>
      <c r="C693" s="169" t="s">
        <v>42</v>
      </c>
      <c r="D693" s="169" t="s">
        <v>141</v>
      </c>
      <c r="E693" s="169" t="s">
        <v>19</v>
      </c>
      <c r="F693" s="245" t="str">
        <f t="shared" si="42"/>
        <v>DVR 72</v>
      </c>
      <c r="G693" s="169" t="s">
        <v>363</v>
      </c>
      <c r="I693" s="169" t="str">
        <f t="shared" si="44"/>
        <v>L09_JV_029E_RAISE</v>
      </c>
      <c r="J693" s="169" t="s">
        <v>6879</v>
      </c>
      <c r="K693" s="169">
        <f>IFERROR(MATCH(J693,'Final List'!$B$4:$B$252,0),0)</f>
        <v>0</v>
      </c>
      <c r="L693" s="169">
        <f>IFERROR(MATCH(J693,'Final List'!$D$4:$D$252,0),0)</f>
        <v>0</v>
      </c>
      <c r="M693" s="169">
        <f>IFERROR(MATCH(J693,'Final List'!$F$4:$F$251,0),0)</f>
        <v>0</v>
      </c>
      <c r="N693" s="169">
        <f>IFERROR(MATCH(J693,'Final List'!$H$4:$H$252,0),0)</f>
        <v>0</v>
      </c>
      <c r="O693" s="169">
        <f>IFERROR(MATCH(J693,'Final List'!$J$4:$J$252,0),0)</f>
        <v>0</v>
      </c>
      <c r="P693" s="169">
        <f>IFERROR(MATCH(J693,'Final List'!$L$4:$L$252,0),0)</f>
        <v>0</v>
      </c>
      <c r="Q693" s="169">
        <f>IFERROR(MATCH(J693,'Final List'!$N$4:$N$252,0),0)</f>
        <v>0</v>
      </c>
      <c r="R693" s="169">
        <f>IFERROR(MATCH(J693,'Final List'!$P$4:$P$252,0),0)</f>
        <v>0</v>
      </c>
      <c r="S693" s="169">
        <f t="shared" si="43"/>
        <v>0</v>
      </c>
      <c r="V693" s="169" t="str">
        <f t="shared" si="41"/>
        <v>BABOR 2</v>
      </c>
      <c r="W693" s="169" t="s">
        <v>2715</v>
      </c>
    </row>
    <row r="694" spans="2:23" x14ac:dyDescent="0.25">
      <c r="B694" s="169" t="s">
        <v>96</v>
      </c>
      <c r="C694" s="169" t="s">
        <v>57</v>
      </c>
      <c r="D694" s="169" t="s">
        <v>226</v>
      </c>
      <c r="E694" s="169" t="s">
        <v>211</v>
      </c>
      <c r="F694" s="245" t="str">
        <f t="shared" si="42"/>
        <v>StpS 77</v>
      </c>
      <c r="G694" s="169" t="s">
        <v>5774</v>
      </c>
      <c r="I694" s="169" t="str">
        <f t="shared" si="44"/>
        <v>L09_JVSPLIT_074E_STOPE PREP</v>
      </c>
      <c r="J694" s="169" t="s">
        <v>6881</v>
      </c>
      <c r="K694" s="169">
        <f>IFERROR(MATCH(J694,'Final List'!$B$4:$B$252,0),0)</f>
        <v>0</v>
      </c>
      <c r="L694" s="169">
        <f>IFERROR(MATCH(J694,'Final List'!$D$4:$D$252,0),0)</f>
        <v>0</v>
      </c>
      <c r="M694" s="169">
        <f>IFERROR(MATCH(J694,'Final List'!$F$4:$F$251,0),0)</f>
        <v>0</v>
      </c>
      <c r="N694" s="169">
        <f>IFERROR(MATCH(J694,'Final List'!$H$4:$H$252,0),0)</f>
        <v>0</v>
      </c>
      <c r="O694" s="169">
        <f>IFERROR(MATCH(J694,'Final List'!$J$4:$J$252,0),0)</f>
        <v>0</v>
      </c>
      <c r="P694" s="169">
        <f>IFERROR(MATCH(J694,'Final List'!$L$4:$L$252,0),0)</f>
        <v>0</v>
      </c>
      <c r="Q694" s="169">
        <f>IFERROR(MATCH(J694,'Final List'!$N$4:$N$252,0),0)</f>
        <v>0</v>
      </c>
      <c r="R694" s="169">
        <f>IFERROR(MATCH(J694,'Final List'!$P$4:$P$252,0),0)</f>
        <v>0</v>
      </c>
      <c r="S694" s="169">
        <f t="shared" si="43"/>
        <v>0</v>
      </c>
      <c r="T694" s="169" t="s">
        <v>68</v>
      </c>
      <c r="V694" s="169" t="str">
        <f t="shared" si="41"/>
        <v>BANTAYAN 1</v>
      </c>
      <c r="W694" s="169" t="s">
        <v>2712</v>
      </c>
    </row>
    <row r="695" spans="2:23" x14ac:dyDescent="0.25">
      <c r="B695" s="169" t="s">
        <v>96</v>
      </c>
      <c r="C695" s="169" t="s">
        <v>45</v>
      </c>
      <c r="D695" s="169" t="s">
        <v>162</v>
      </c>
      <c r="E695" s="169" t="s">
        <v>60</v>
      </c>
      <c r="F695" s="245" t="str">
        <f t="shared" si="42"/>
        <v>Dhoz 71</v>
      </c>
      <c r="G695" s="169" t="s">
        <v>4260</v>
      </c>
      <c r="H695" s="169" t="s">
        <v>349</v>
      </c>
      <c r="I695" s="169" t="str">
        <f t="shared" si="44"/>
        <v>L09_DPVE_008E_DE</v>
      </c>
      <c r="J695" s="169" t="s">
        <v>6885</v>
      </c>
      <c r="K695" s="169">
        <f>IFERROR(MATCH(J695,'Final List'!$B$4:$B$252,0),0)</f>
        <v>0</v>
      </c>
      <c r="L695" s="169">
        <f>IFERROR(MATCH(J695,'Final List'!$D$4:$D$252,0),0)</f>
        <v>0</v>
      </c>
      <c r="M695" s="169">
        <f>IFERROR(MATCH(J695,'Final List'!$F$4:$F$251,0),0)</f>
        <v>0</v>
      </c>
      <c r="N695" s="169">
        <f>IFERROR(MATCH(J695,'Final List'!$H$4:$H$252,0),0)</f>
        <v>0</v>
      </c>
      <c r="O695" s="169">
        <f>IFERROR(MATCH(J695,'Final List'!$J$4:$J$252,0),0)</f>
        <v>0</v>
      </c>
      <c r="P695" s="169">
        <f>IFERROR(MATCH(J695,'Final List'!$L$4:$L$252,0),0)</f>
        <v>0</v>
      </c>
      <c r="Q695" s="169">
        <f>IFERROR(MATCH(J695,'Final List'!$N$4:$N$252,0),0)</f>
        <v>0</v>
      </c>
      <c r="R695" s="169">
        <f>IFERROR(MATCH(J695,'Final List'!$P$4:$P$252,0),0)</f>
        <v>0</v>
      </c>
      <c r="S695" s="169">
        <f t="shared" si="43"/>
        <v>0</v>
      </c>
      <c r="V695" s="169" t="str">
        <f t="shared" si="41"/>
        <v>QUIJANO 2</v>
      </c>
      <c r="W695" s="169" t="s">
        <v>8896</v>
      </c>
    </row>
    <row r="696" spans="2:23" x14ac:dyDescent="0.25">
      <c r="B696" s="169" t="s">
        <v>92</v>
      </c>
      <c r="C696" s="169" t="s">
        <v>41</v>
      </c>
      <c r="D696" s="169" t="s">
        <v>97</v>
      </c>
      <c r="E696" s="169" t="s">
        <v>62</v>
      </c>
      <c r="F696" s="245" t="str">
        <f t="shared" si="42"/>
        <v>RobS 79</v>
      </c>
      <c r="G696" s="169" t="s">
        <v>2969</v>
      </c>
      <c r="I696" s="169" t="str">
        <f t="shared" si="44"/>
        <v>L05_CTV_012W_ROBBING</v>
      </c>
      <c r="J696" s="169" t="s">
        <v>6887</v>
      </c>
      <c r="K696" s="169">
        <f>IFERROR(MATCH(J696,'Final List'!$B$4:$B$252,0),0)</f>
        <v>0</v>
      </c>
      <c r="L696" s="169">
        <f>IFERROR(MATCH(J696,'Final List'!$D$4:$D$252,0),0)</f>
        <v>0</v>
      </c>
      <c r="M696" s="169">
        <f>IFERROR(MATCH(J696,'Final List'!$F$4:$F$251,0),0)</f>
        <v>0</v>
      </c>
      <c r="N696" s="169">
        <f>IFERROR(MATCH(J696,'Final List'!$H$4:$H$252,0),0)</f>
        <v>0</v>
      </c>
      <c r="O696" s="169">
        <f>IFERROR(MATCH(J696,'Final List'!$J$4:$J$252,0),0)</f>
        <v>0</v>
      </c>
      <c r="P696" s="169">
        <f>IFERROR(MATCH(J696,'Final List'!$L$4:$L$252,0),0)</f>
        <v>0</v>
      </c>
      <c r="Q696" s="169">
        <f>IFERROR(MATCH(J696,'Final List'!$N$4:$N$252,0),0)</f>
        <v>0</v>
      </c>
      <c r="R696" s="169">
        <f>IFERROR(MATCH(J696,'Final List'!$P$4:$P$252,0),0)</f>
        <v>0</v>
      </c>
      <c r="S696" s="169">
        <f t="shared" si="43"/>
        <v>0</v>
      </c>
      <c r="T696" s="169" t="s">
        <v>68</v>
      </c>
      <c r="V696" s="169" t="str">
        <f t="shared" si="41"/>
        <v>SAMBERE 1</v>
      </c>
      <c r="W696" s="169" t="s">
        <v>2707</v>
      </c>
    </row>
    <row r="697" spans="2:23" x14ac:dyDescent="0.25">
      <c r="B697" s="169" t="s">
        <v>94</v>
      </c>
      <c r="C697" s="169" t="s">
        <v>42</v>
      </c>
      <c r="D697" s="169" t="s">
        <v>128</v>
      </c>
      <c r="E697" s="169" t="s">
        <v>62</v>
      </c>
      <c r="F697" s="245" t="str">
        <f t="shared" si="42"/>
        <v>RobS 79</v>
      </c>
      <c r="G697" s="169" t="s">
        <v>604</v>
      </c>
      <c r="I697" s="169" t="str">
        <f t="shared" si="44"/>
        <v>L07_JV_027E_ROBBING</v>
      </c>
      <c r="J697" s="169" t="s">
        <v>6889</v>
      </c>
      <c r="K697" s="169">
        <f>IFERROR(MATCH(J697,'Final List'!$B$4:$B$252,0),0)</f>
        <v>0</v>
      </c>
      <c r="L697" s="169">
        <f>IFERROR(MATCH(J697,'Final List'!$D$4:$D$252,0),0)</f>
        <v>0</v>
      </c>
      <c r="M697" s="169">
        <f>IFERROR(MATCH(J697,'Final List'!$F$4:$F$251,0),0)</f>
        <v>0</v>
      </c>
      <c r="N697" s="169">
        <f>IFERROR(MATCH(J697,'Final List'!$H$4:$H$252,0),0)</f>
        <v>0</v>
      </c>
      <c r="O697" s="169">
        <f>IFERROR(MATCH(J697,'Final List'!$J$4:$J$252,0),0)</f>
        <v>0</v>
      </c>
      <c r="P697" s="169">
        <f>IFERROR(MATCH(J697,'Final List'!$L$4:$L$252,0),0)</f>
        <v>0</v>
      </c>
      <c r="Q697" s="169">
        <f>IFERROR(MATCH(J697,'Final List'!$N$4:$N$252,0),0)</f>
        <v>0</v>
      </c>
      <c r="R697" s="169">
        <f>IFERROR(MATCH(J697,'Final List'!$P$4:$P$252,0),0)</f>
        <v>0</v>
      </c>
      <c r="S697" s="169">
        <f t="shared" si="43"/>
        <v>0</v>
      </c>
      <c r="T697" s="169" t="s">
        <v>68</v>
      </c>
      <c r="V697" s="169" t="str">
        <f t="shared" si="41"/>
        <v>CARIKITAN 3</v>
      </c>
      <c r="W697" s="169" t="s">
        <v>2707</v>
      </c>
    </row>
    <row r="698" spans="2:23" x14ac:dyDescent="0.25">
      <c r="B698" s="169" t="s">
        <v>96</v>
      </c>
      <c r="C698" s="169" t="s">
        <v>42</v>
      </c>
      <c r="D698" s="169" t="s">
        <v>143</v>
      </c>
      <c r="E698" s="169" t="s">
        <v>61</v>
      </c>
      <c r="F698" s="245" t="str">
        <f t="shared" si="42"/>
        <v>Dhoz 71</v>
      </c>
      <c r="G698" s="169" t="s">
        <v>363</v>
      </c>
      <c r="I698" s="169" t="str">
        <f t="shared" si="44"/>
        <v>L09_JV_032E_DW</v>
      </c>
      <c r="J698" s="169" t="s">
        <v>6891</v>
      </c>
      <c r="K698" s="169">
        <f>IFERROR(MATCH(J698,'Final List'!$B$4:$B$252,0),0)</f>
        <v>0</v>
      </c>
      <c r="L698" s="169">
        <f>IFERROR(MATCH(J698,'Final List'!$D$4:$D$252,0),0)</f>
        <v>0</v>
      </c>
      <c r="M698" s="169">
        <f>IFERROR(MATCH(J698,'Final List'!$F$4:$F$251,0),0)</f>
        <v>0</v>
      </c>
      <c r="N698" s="169">
        <f>IFERROR(MATCH(J698,'Final List'!$H$4:$H$252,0),0)</f>
        <v>0</v>
      </c>
      <c r="O698" s="169">
        <f>IFERROR(MATCH(J698,'Final List'!$J$4:$J$252,0),0)</f>
        <v>0</v>
      </c>
      <c r="P698" s="169">
        <f>IFERROR(MATCH(J698,'Final List'!$L$4:$L$252,0),0)</f>
        <v>0</v>
      </c>
      <c r="Q698" s="169">
        <f>IFERROR(MATCH(J698,'Final List'!$N$4:$N$252,0),0)</f>
        <v>0</v>
      </c>
      <c r="R698" s="169">
        <f>IFERROR(MATCH(J698,'Final List'!$P$4:$P$252,0),0)</f>
        <v>0</v>
      </c>
      <c r="S698" s="169">
        <f t="shared" si="43"/>
        <v>0</v>
      </c>
      <c r="V698" s="169" t="str">
        <f t="shared" si="41"/>
        <v>BABOR 2</v>
      </c>
      <c r="W698" s="169" t="s">
        <v>8896</v>
      </c>
    </row>
    <row r="699" spans="2:23" x14ac:dyDescent="0.25">
      <c r="B699" s="169" t="s">
        <v>93</v>
      </c>
      <c r="C699" s="169" t="s">
        <v>57</v>
      </c>
      <c r="D699" s="169" t="s">
        <v>119</v>
      </c>
      <c r="E699" s="169" t="s">
        <v>60</v>
      </c>
      <c r="F699" s="245" t="str">
        <f t="shared" si="42"/>
        <v>Dhoz 71</v>
      </c>
      <c r="G699" s="169" t="s">
        <v>354</v>
      </c>
      <c r="I699" s="169" t="str">
        <f t="shared" si="44"/>
        <v>L06_JVSPLIT_012E_DE</v>
      </c>
      <c r="J699" s="169" t="s">
        <v>6910</v>
      </c>
      <c r="K699" s="169">
        <f>IFERROR(MATCH(J699,'Final List'!$B$4:$B$252,0),0)</f>
        <v>0</v>
      </c>
      <c r="L699" s="169">
        <f>IFERROR(MATCH(J699,'Final List'!$D$4:$D$252,0),0)</f>
        <v>0</v>
      </c>
      <c r="M699" s="169">
        <f>IFERROR(MATCH(J699,'Final List'!$F$4:$F$251,0),0)</f>
        <v>0</v>
      </c>
      <c r="N699" s="169">
        <f>IFERROR(MATCH(J699,'Final List'!$H$4:$H$252,0),0)</f>
        <v>0</v>
      </c>
      <c r="O699" s="169">
        <f>IFERROR(MATCH(J699,'Final List'!$J$4:$J$252,0),0)</f>
        <v>0</v>
      </c>
      <c r="P699" s="169">
        <f>IFERROR(MATCH(J699,'Final List'!$L$4:$L$252,0),0)</f>
        <v>0</v>
      </c>
      <c r="Q699" s="169">
        <f>IFERROR(MATCH(J699,'Final List'!$N$4:$N$252,0),0)</f>
        <v>0</v>
      </c>
      <c r="R699" s="169">
        <f>IFERROR(MATCH(J699,'Final List'!$P$4:$P$252,0),0)</f>
        <v>0</v>
      </c>
      <c r="S699" s="169">
        <f t="shared" si="43"/>
        <v>0</v>
      </c>
      <c r="V699" s="169" t="str">
        <f t="shared" si="41"/>
        <v>BAÑEZ 3</v>
      </c>
      <c r="W699" s="169" t="s">
        <v>8895</v>
      </c>
    </row>
    <row r="700" spans="2:23" x14ac:dyDescent="0.25">
      <c r="B700" s="169" t="s">
        <v>93</v>
      </c>
      <c r="C700" s="169" t="s">
        <v>55</v>
      </c>
      <c r="D700" s="169" t="s">
        <v>149</v>
      </c>
      <c r="E700" s="169" t="s">
        <v>62</v>
      </c>
      <c r="F700" s="245" t="str">
        <f t="shared" si="42"/>
        <v>RobC 80</v>
      </c>
      <c r="G700" s="169" t="s">
        <v>351</v>
      </c>
      <c r="I700" s="169" t="str">
        <f t="shared" si="44"/>
        <v>L06_JVFW_021E_ROBBING</v>
      </c>
      <c r="J700" s="169" t="s">
        <v>7172</v>
      </c>
      <c r="K700" s="169">
        <f>IFERROR(MATCH(J700,'Final List'!$B$4:$B$252,0),0)</f>
        <v>0</v>
      </c>
      <c r="L700" s="169">
        <f>IFERROR(MATCH(J700,'Final List'!$D$4:$D$252,0),0)</f>
        <v>0</v>
      </c>
      <c r="M700" s="169">
        <f>IFERROR(MATCH(J700,'Final List'!$F$4:$F$251,0),0)</f>
        <v>0</v>
      </c>
      <c r="N700" s="169">
        <f>IFERROR(MATCH(J700,'Final List'!$H$4:$H$252,0),0)</f>
        <v>0</v>
      </c>
      <c r="O700" s="169">
        <f>IFERROR(MATCH(J700,'Final List'!$J$4:$J$252,0),0)</f>
        <v>0</v>
      </c>
      <c r="P700" s="169">
        <f>IFERROR(MATCH(J700,'Final List'!$L$4:$L$252,0),0)</f>
        <v>0</v>
      </c>
      <c r="Q700" s="169">
        <f>IFERROR(MATCH(J700,'Final List'!$N$4:$N$252,0),0)</f>
        <v>0</v>
      </c>
      <c r="R700" s="169">
        <f>IFERROR(MATCH(J700,'Final List'!$P$4:$P$252,0),0)</f>
        <v>0</v>
      </c>
      <c r="S700" s="169">
        <f t="shared" si="43"/>
        <v>0</v>
      </c>
      <c r="T700" s="169" t="s">
        <v>48</v>
      </c>
      <c r="V700" s="169" t="str">
        <f t="shared" si="41"/>
        <v>GONZALES 1</v>
      </c>
      <c r="W700" s="169" t="s">
        <v>236</v>
      </c>
    </row>
    <row r="701" spans="2:23" x14ac:dyDescent="0.25">
      <c r="B701" s="169" t="s">
        <v>92</v>
      </c>
      <c r="C701" s="169" t="s">
        <v>87</v>
      </c>
      <c r="D701" s="169" t="s">
        <v>132</v>
      </c>
      <c r="E701" s="169" t="s">
        <v>37</v>
      </c>
      <c r="F701" s="245" t="str">
        <f t="shared" si="42"/>
        <v>Dhoz 71</v>
      </c>
      <c r="G701" s="169" t="s">
        <v>4122</v>
      </c>
      <c r="H701" s="169" t="s">
        <v>6216</v>
      </c>
      <c r="I701" s="169" t="str">
        <f t="shared" si="44"/>
        <v>L05_NONE_033E_XCN</v>
      </c>
      <c r="J701" s="169" t="s">
        <v>6923</v>
      </c>
      <c r="K701" s="169">
        <f>IFERROR(MATCH(J701,'Final List'!$B$4:$B$252,0),0)</f>
        <v>0</v>
      </c>
      <c r="L701" s="169">
        <f>IFERROR(MATCH(J701,'Final List'!$D$4:$D$252,0),0)</f>
        <v>0</v>
      </c>
      <c r="M701" s="169">
        <f>IFERROR(MATCH(J701,'Final List'!$F$4:$F$251,0),0)</f>
        <v>0</v>
      </c>
      <c r="N701" s="169">
        <f>IFERROR(MATCH(J701,'Final List'!$H$4:$H$252,0),0)</f>
        <v>0</v>
      </c>
      <c r="O701" s="169">
        <f>IFERROR(MATCH(J701,'Final List'!$J$4:$J$252,0),0)</f>
        <v>0</v>
      </c>
      <c r="P701" s="169">
        <f>IFERROR(MATCH(J701,'Final List'!$L$4:$L$252,0),0)</f>
        <v>0</v>
      </c>
      <c r="Q701" s="169">
        <f>IFERROR(MATCH(J701,'Final List'!$N$4:$N$252,0),0)</f>
        <v>0</v>
      </c>
      <c r="R701" s="169">
        <f>IFERROR(MATCH(J701,'Final List'!$P$4:$P$252,0),0)</f>
        <v>0</v>
      </c>
      <c r="S701" s="169">
        <f t="shared" si="43"/>
        <v>0</v>
      </c>
      <c r="V701" s="169" t="str">
        <f t="shared" si="41"/>
        <v>FERNANDEZ</v>
      </c>
      <c r="W701" s="169" t="s">
        <v>2714</v>
      </c>
    </row>
    <row r="702" spans="2:23" x14ac:dyDescent="0.25">
      <c r="B702" s="169" t="s">
        <v>94</v>
      </c>
      <c r="C702" s="169" t="s">
        <v>42</v>
      </c>
      <c r="D702" s="169" t="s">
        <v>161</v>
      </c>
      <c r="E702" s="169" t="s">
        <v>20</v>
      </c>
      <c r="F702" s="245" t="str">
        <f t="shared" si="42"/>
        <v>DVW 74</v>
      </c>
      <c r="G702" s="169" t="s">
        <v>2970</v>
      </c>
      <c r="I702" s="169" t="str">
        <f t="shared" si="44"/>
        <v>L07_JV_044E_WINZE</v>
      </c>
      <c r="J702" s="169" t="s">
        <v>6905</v>
      </c>
      <c r="K702" s="169">
        <f>IFERROR(MATCH(J702,'Final List'!$B$4:$B$252,0),0)</f>
        <v>0</v>
      </c>
      <c r="L702" s="169">
        <f>IFERROR(MATCH(J702,'Final List'!$D$4:$D$252,0),0)</f>
        <v>0</v>
      </c>
      <c r="M702" s="169">
        <f>IFERROR(MATCH(J702,'Final List'!$F$4:$F$251,0),0)</f>
        <v>0</v>
      </c>
      <c r="N702" s="169">
        <f>IFERROR(MATCH(J702,'Final List'!$H$4:$H$252,0),0)</f>
        <v>0</v>
      </c>
      <c r="O702" s="169">
        <f>IFERROR(MATCH(J702,'Final List'!$J$4:$J$252,0),0)</f>
        <v>0</v>
      </c>
      <c r="P702" s="169">
        <f>IFERROR(MATCH(J702,'Final List'!$L$4:$L$252,0),0)</f>
        <v>0</v>
      </c>
      <c r="Q702" s="169">
        <f>IFERROR(MATCH(J702,'Final List'!$N$4:$N$252,0),0)</f>
        <v>0</v>
      </c>
      <c r="R702" s="169">
        <f>IFERROR(MATCH(J702,'Final List'!$P$4:$P$252,0),0)</f>
        <v>0</v>
      </c>
      <c r="S702" s="169">
        <f t="shared" si="43"/>
        <v>0</v>
      </c>
      <c r="V702" s="169" t="str">
        <f t="shared" si="41"/>
        <v>FABROA 2</v>
      </c>
      <c r="W702" s="169" t="s">
        <v>2706</v>
      </c>
    </row>
    <row r="703" spans="2:23" x14ac:dyDescent="0.25">
      <c r="B703" s="169" t="s">
        <v>95</v>
      </c>
      <c r="C703" s="169" t="s">
        <v>38</v>
      </c>
      <c r="D703" s="169" t="s">
        <v>149</v>
      </c>
      <c r="E703" s="169" t="s">
        <v>6143</v>
      </c>
      <c r="F703" s="245" t="str">
        <f t="shared" si="42"/>
        <v>Dhoz 71</v>
      </c>
      <c r="G703" s="169" t="s">
        <v>625</v>
      </c>
      <c r="I703" s="169" t="str">
        <f t="shared" si="44"/>
        <v>L08_GHV_021E_DE_ISL</v>
      </c>
      <c r="J703" s="169" t="s">
        <v>6908</v>
      </c>
      <c r="K703" s="169">
        <f>IFERROR(MATCH(J703,'Final List'!$B$4:$B$252,0),0)</f>
        <v>0</v>
      </c>
      <c r="L703" s="169">
        <f>IFERROR(MATCH(J703,'Final List'!$D$4:$D$252,0),0)</f>
        <v>0</v>
      </c>
      <c r="M703" s="169">
        <f>IFERROR(MATCH(J703,'Final List'!$F$4:$F$251,0),0)</f>
        <v>0</v>
      </c>
      <c r="N703" s="169">
        <f>IFERROR(MATCH(J703,'Final List'!$H$4:$H$252,0),0)</f>
        <v>0</v>
      </c>
      <c r="O703" s="169">
        <f>IFERROR(MATCH(J703,'Final List'!$J$4:$J$252,0),0)</f>
        <v>0</v>
      </c>
      <c r="P703" s="169">
        <f>IFERROR(MATCH(J703,'Final List'!$L$4:$L$252,0),0)</f>
        <v>0</v>
      </c>
      <c r="Q703" s="169">
        <f>IFERROR(MATCH(J703,'Final List'!$N$4:$N$252,0),0)</f>
        <v>0</v>
      </c>
      <c r="R703" s="169">
        <f>IFERROR(MATCH(J703,'Final List'!$P$4:$P$252,0),0)</f>
        <v>0</v>
      </c>
      <c r="S703" s="169">
        <f t="shared" si="43"/>
        <v>0</v>
      </c>
      <c r="V703" s="169" t="str">
        <f t="shared" si="41"/>
        <v>VILLARANTE 3</v>
      </c>
      <c r="W703" s="169" t="s">
        <v>2708</v>
      </c>
    </row>
    <row r="704" spans="2:23" x14ac:dyDescent="0.25">
      <c r="B704" s="169" t="s">
        <v>93</v>
      </c>
      <c r="C704" s="169" t="s">
        <v>42</v>
      </c>
      <c r="D704" s="169" t="s">
        <v>6033</v>
      </c>
      <c r="E704" s="169" t="s">
        <v>62</v>
      </c>
      <c r="F704" s="245" t="str">
        <f t="shared" si="42"/>
        <v>RobC 80</v>
      </c>
      <c r="G704" s="169" t="s">
        <v>349</v>
      </c>
      <c r="I704" s="169" t="str">
        <f t="shared" si="44"/>
        <v>L06_JV_013E_ROBBING</v>
      </c>
      <c r="J704" s="169" t="s">
        <v>6911</v>
      </c>
      <c r="K704" s="169">
        <f>IFERROR(MATCH(J704,'Final List'!$B$4:$B$252,0),0)</f>
        <v>0</v>
      </c>
      <c r="L704" s="169">
        <f>IFERROR(MATCH(J704,'Final List'!$D$4:$D$252,0),0)</f>
        <v>0</v>
      </c>
      <c r="M704" s="169">
        <f>IFERROR(MATCH(J704,'Final List'!$F$4:$F$251,0),0)</f>
        <v>0</v>
      </c>
      <c r="N704" s="169">
        <f>IFERROR(MATCH(J704,'Final List'!$H$4:$H$252,0),0)</f>
        <v>0</v>
      </c>
      <c r="O704" s="169">
        <f>IFERROR(MATCH(J704,'Final List'!$J$4:$J$252,0),0)</f>
        <v>0</v>
      </c>
      <c r="P704" s="169">
        <f>IFERROR(MATCH(J704,'Final List'!$L$4:$L$252,0),0)</f>
        <v>0</v>
      </c>
      <c r="Q704" s="169">
        <f>IFERROR(MATCH(J704,'Final List'!$N$4:$N$252,0),0)</f>
        <v>0</v>
      </c>
      <c r="R704" s="169">
        <f>IFERROR(MATCH(J704,'Final List'!$P$4:$P$252,0),0)</f>
        <v>0</v>
      </c>
      <c r="S704" s="169">
        <f t="shared" si="43"/>
        <v>0</v>
      </c>
      <c r="T704" s="169" t="s">
        <v>48</v>
      </c>
      <c r="V704" s="169" t="str">
        <f t="shared" si="41"/>
        <v>QUIJANO 2</v>
      </c>
      <c r="W704" s="169" t="s">
        <v>236</v>
      </c>
    </row>
    <row r="705" spans="2:23" x14ac:dyDescent="0.25">
      <c r="B705" s="169" t="s">
        <v>96</v>
      </c>
      <c r="C705" s="169" t="s">
        <v>46</v>
      </c>
      <c r="D705" s="169" t="s">
        <v>595</v>
      </c>
      <c r="E705" s="169" t="s">
        <v>211</v>
      </c>
      <c r="F705" s="245" t="str">
        <f t="shared" si="42"/>
        <v>StpS 77</v>
      </c>
      <c r="G705" s="169" t="s">
        <v>336</v>
      </c>
      <c r="I705" s="169" t="str">
        <f t="shared" si="44"/>
        <v>L09_DPVE2_072E_STOPE PREP</v>
      </c>
      <c r="J705" s="169" t="s">
        <v>6914</v>
      </c>
      <c r="K705" s="169">
        <f>IFERROR(MATCH(J705,'Final List'!$B$4:$B$252,0),0)</f>
        <v>0</v>
      </c>
      <c r="L705" s="169">
        <f>IFERROR(MATCH(J705,'Final List'!$D$4:$D$252,0),0)</f>
        <v>0</v>
      </c>
      <c r="M705" s="169">
        <f>IFERROR(MATCH(J705,'Final List'!$F$4:$F$251,0),0)</f>
        <v>0</v>
      </c>
      <c r="N705" s="169">
        <f>IFERROR(MATCH(J705,'Final List'!$H$4:$H$252,0),0)</f>
        <v>0</v>
      </c>
      <c r="O705" s="169">
        <f>IFERROR(MATCH(J705,'Final List'!$J$4:$J$252,0),0)</f>
        <v>0</v>
      </c>
      <c r="P705" s="169">
        <f>IFERROR(MATCH(J705,'Final List'!$L$4:$L$252,0),0)</f>
        <v>0</v>
      </c>
      <c r="Q705" s="169">
        <f>IFERROR(MATCH(J705,'Final List'!$N$4:$N$252,0),0)</f>
        <v>0</v>
      </c>
      <c r="R705" s="169">
        <f>IFERROR(MATCH(J705,'Final List'!$P$4:$P$252,0),0)</f>
        <v>0</v>
      </c>
      <c r="S705" s="169">
        <f t="shared" si="43"/>
        <v>0</v>
      </c>
      <c r="T705" s="169" t="s">
        <v>68</v>
      </c>
      <c r="V705" s="169" t="str">
        <f t="shared" si="41"/>
        <v>BALANGHIG 1</v>
      </c>
      <c r="W705" s="169" t="s">
        <v>2712</v>
      </c>
    </row>
    <row r="706" spans="2:23" x14ac:dyDescent="0.25">
      <c r="B706" s="169" t="s">
        <v>96</v>
      </c>
      <c r="C706" s="169" t="s">
        <v>56</v>
      </c>
      <c r="D706" s="169" t="s">
        <v>177</v>
      </c>
      <c r="E706" s="169" t="s">
        <v>61</v>
      </c>
      <c r="F706" s="245" t="str">
        <f t="shared" si="42"/>
        <v>Dhoz 71</v>
      </c>
      <c r="G706" s="169" t="s">
        <v>5101</v>
      </c>
      <c r="H706" s="169" t="s">
        <v>554</v>
      </c>
      <c r="I706" s="169" t="str">
        <f t="shared" si="44"/>
        <v>L09_GHVFW_054E_DW</v>
      </c>
      <c r="J706" s="169" t="s">
        <v>6917</v>
      </c>
      <c r="K706" s="169">
        <f>IFERROR(MATCH(J706,'Final List'!$B$4:$B$252,0),0)</f>
        <v>0</v>
      </c>
      <c r="L706" s="169">
        <f>IFERROR(MATCH(J706,'Final List'!$D$4:$D$252,0),0)</f>
        <v>0</v>
      </c>
      <c r="M706" s="169">
        <f>IFERROR(MATCH(J706,'Final List'!$F$4:$F$251,0),0)</f>
        <v>0</v>
      </c>
      <c r="N706" s="169">
        <f>IFERROR(MATCH(J706,'Final List'!$H$4:$H$252,0),0)</f>
        <v>0</v>
      </c>
      <c r="O706" s="169">
        <f>IFERROR(MATCH(J706,'Final List'!$J$4:$J$252,0),0)</f>
        <v>0</v>
      </c>
      <c r="P706" s="169">
        <f>IFERROR(MATCH(J706,'Final List'!$L$4:$L$252,0),0)</f>
        <v>0</v>
      </c>
      <c r="Q706" s="169">
        <f>IFERROR(MATCH(J706,'Final List'!$N$4:$N$252,0),0)</f>
        <v>0</v>
      </c>
      <c r="R706" s="169">
        <f>IFERROR(MATCH(J706,'Final List'!$P$4:$P$252,0),0)</f>
        <v>0</v>
      </c>
      <c r="S706" s="169">
        <f t="shared" si="43"/>
        <v>0</v>
      </c>
      <c r="V706" s="169" t="str">
        <f t="shared" ref="V706:V769" si="45">IF(H706="",G706,H706)</f>
        <v>PANCIT, NOEL 1</v>
      </c>
      <c r="W706" s="169" t="s">
        <v>8896</v>
      </c>
    </row>
    <row r="707" spans="2:23" x14ac:dyDescent="0.25">
      <c r="B707" s="169" t="s">
        <v>96</v>
      </c>
      <c r="C707" s="169" t="s">
        <v>43</v>
      </c>
      <c r="D707" s="169" t="s">
        <v>129</v>
      </c>
      <c r="E707" s="169" t="s">
        <v>19</v>
      </c>
      <c r="F707" s="245" t="str">
        <f t="shared" ref="F707:F770" si="46">IF(OR(E707="XCN",E707="DE",E707="DW",E707="DN",E707="XCS",E707="XCE",E707="XCW",E707="SUMP",E707="BYPASS",E707="CHAMBER",E707="DRAIN HOLE",E707="DRILLING CHAMBER",E707="DE_ISL",E707="DW_ISL",E707="REHAB"),"Dhoz 71",IF(OR(E707="RAISE",E707="RAISE_ISL"),"DVR 72",IF(E707="ALIMAK","DVA 73",IF(E707="WINZE","DVW 74",IF(E707="SHAFT","DVS 75",IF(AND(E707="WINZE STOPE",T707="S"),"RobC 80",IF(AND(E707="STOPE",T707="S"),"StpS 77",IF(AND(E707="WINZE STOPE",T707="L"),"RobC 80",IF(AND(E707="STOPE",T707="L"),"StpL 78",IF(AND(E707="WINZE STOPE PREP",T707="S"),"RobC 80",IF(AND(E707="STOPE PREP",T707="S"),"StpS 77",IF(AND(E707="WINZE STOPE PREP",T707="L"),"RobC 80",IF(AND(E707="STOPE PREP",T707="L"),"StpL 78",IF(AND(E707="ROBBING",T707="L"),"RobC 80",IF(AND(E707="ROBBING",T707="S"),"RobS 79",0)))))))))))))))</f>
        <v>DVR 72</v>
      </c>
      <c r="G707" s="169" t="s">
        <v>5777</v>
      </c>
      <c r="I707" s="169" t="str">
        <f t="shared" si="44"/>
        <v>L09_GHVSPLIT_010E_RAISE</v>
      </c>
      <c r="J707" s="169" t="s">
        <v>6919</v>
      </c>
      <c r="K707" s="169">
        <f>IFERROR(MATCH(J707,'Final List'!$B$4:$B$252,0),0)</f>
        <v>0</v>
      </c>
      <c r="L707" s="169">
        <f>IFERROR(MATCH(J707,'Final List'!$D$4:$D$252,0),0)</f>
        <v>0</v>
      </c>
      <c r="M707" s="169">
        <f>IFERROR(MATCH(J707,'Final List'!$F$4:$F$251,0),0)</f>
        <v>0</v>
      </c>
      <c r="N707" s="169">
        <f>IFERROR(MATCH(J707,'Final List'!$H$4:$H$252,0),0)</f>
        <v>0</v>
      </c>
      <c r="O707" s="169">
        <f>IFERROR(MATCH(J707,'Final List'!$J$4:$J$252,0),0)</f>
        <v>0</v>
      </c>
      <c r="P707" s="169">
        <f>IFERROR(MATCH(J707,'Final List'!$L$4:$L$252,0),0)</f>
        <v>0</v>
      </c>
      <c r="Q707" s="169">
        <f>IFERROR(MATCH(J707,'Final List'!$N$4:$N$252,0),0)</f>
        <v>0</v>
      </c>
      <c r="R707" s="169">
        <f>IFERROR(MATCH(J707,'Final List'!$P$4:$P$252,0),0)</f>
        <v>0</v>
      </c>
      <c r="S707" s="169">
        <f t="shared" ref="S707:S770" si="47">SUM(K707:R707)</f>
        <v>0</v>
      </c>
      <c r="V707" s="169" t="str">
        <f t="shared" si="45"/>
        <v>REBOTE, JOSELITO 1</v>
      </c>
      <c r="W707" s="169" t="s">
        <v>2715</v>
      </c>
    </row>
    <row r="708" spans="2:23" x14ac:dyDescent="0.25">
      <c r="B708" s="169" t="s">
        <v>95</v>
      </c>
      <c r="C708" s="169" t="s">
        <v>42</v>
      </c>
      <c r="D708" s="169" t="s">
        <v>226</v>
      </c>
      <c r="E708" s="169" t="s">
        <v>20</v>
      </c>
      <c r="F708" s="245" t="str">
        <f t="shared" si="46"/>
        <v>DVW 74</v>
      </c>
      <c r="G708" s="169" t="s">
        <v>1370</v>
      </c>
      <c r="H708" s="169" t="s">
        <v>467</v>
      </c>
      <c r="I708" s="169" t="str">
        <f t="shared" si="44"/>
        <v>L08_JV_074E_WINZE</v>
      </c>
      <c r="J708" s="169" t="s">
        <v>6922</v>
      </c>
      <c r="K708" s="169">
        <f>IFERROR(MATCH(J708,'Final List'!$B$4:$B$252,0),0)</f>
        <v>0</v>
      </c>
      <c r="L708" s="169">
        <f>IFERROR(MATCH(J708,'Final List'!$D$4:$D$252,0),0)</f>
        <v>0</v>
      </c>
      <c r="M708" s="169">
        <f>IFERROR(MATCH(J708,'Final List'!$F$4:$F$251,0),0)</f>
        <v>0</v>
      </c>
      <c r="N708" s="169">
        <f>IFERROR(MATCH(J708,'Final List'!$H$4:$H$252,0),0)</f>
        <v>0</v>
      </c>
      <c r="O708" s="169">
        <f>IFERROR(MATCH(J708,'Final List'!$J$4:$J$252,0),0)</f>
        <v>0</v>
      </c>
      <c r="P708" s="169">
        <f>IFERROR(MATCH(J708,'Final List'!$L$4:$L$252,0),0)</f>
        <v>0</v>
      </c>
      <c r="Q708" s="169">
        <f>IFERROR(MATCH(J708,'Final List'!$N$4:$N$252,0),0)</f>
        <v>0</v>
      </c>
      <c r="R708" s="169">
        <f>IFERROR(MATCH(J708,'Final List'!$P$4:$P$252,0),0)</f>
        <v>0</v>
      </c>
      <c r="S708" s="169">
        <f t="shared" si="47"/>
        <v>0</v>
      </c>
      <c r="V708" s="169" t="str">
        <f t="shared" si="45"/>
        <v>AGLOLO 2</v>
      </c>
      <c r="W708" s="169" t="s">
        <v>2706</v>
      </c>
    </row>
    <row r="709" spans="2:23" x14ac:dyDescent="0.25">
      <c r="B709" s="169" t="s">
        <v>92</v>
      </c>
      <c r="C709" s="169" t="s">
        <v>42</v>
      </c>
      <c r="D709" s="169" t="s">
        <v>123</v>
      </c>
      <c r="E709" s="169" t="s">
        <v>62</v>
      </c>
      <c r="F709" s="245" t="str">
        <f t="shared" si="46"/>
        <v>RobC 80</v>
      </c>
      <c r="G709" s="169" t="s">
        <v>2969</v>
      </c>
      <c r="I709" s="169" t="str">
        <f t="shared" si="44"/>
        <v>L05_JV_031E_ROBBING</v>
      </c>
      <c r="J709" s="169" t="s">
        <v>6924</v>
      </c>
      <c r="K709" s="169">
        <f>IFERROR(MATCH(J709,'Final List'!$B$4:$B$252,0),0)</f>
        <v>0</v>
      </c>
      <c r="L709" s="169">
        <f>IFERROR(MATCH(J709,'Final List'!$D$4:$D$252,0),0)</f>
        <v>0</v>
      </c>
      <c r="M709" s="169">
        <f>IFERROR(MATCH(J709,'Final List'!$F$4:$F$251,0),0)</f>
        <v>0</v>
      </c>
      <c r="N709" s="169">
        <f>IFERROR(MATCH(J709,'Final List'!$H$4:$H$252,0),0)</f>
        <v>0</v>
      </c>
      <c r="O709" s="169">
        <f>IFERROR(MATCH(J709,'Final List'!$J$4:$J$252,0),0)</f>
        <v>0</v>
      </c>
      <c r="P709" s="169">
        <f>IFERROR(MATCH(J709,'Final List'!$L$4:$L$252,0),0)</f>
        <v>0</v>
      </c>
      <c r="Q709" s="169">
        <f>IFERROR(MATCH(J709,'Final List'!$N$4:$N$252,0),0)</f>
        <v>0</v>
      </c>
      <c r="R709" s="169">
        <f>IFERROR(MATCH(J709,'Final List'!$P$4:$P$252,0),0)</f>
        <v>0</v>
      </c>
      <c r="S709" s="169">
        <f t="shared" si="47"/>
        <v>0</v>
      </c>
      <c r="T709" s="169" t="s">
        <v>48</v>
      </c>
      <c r="V709" s="169" t="str">
        <f t="shared" si="45"/>
        <v>SAMBERE 1</v>
      </c>
      <c r="W709" s="169" t="s">
        <v>236</v>
      </c>
    </row>
    <row r="710" spans="2:23" x14ac:dyDescent="0.25">
      <c r="B710" s="169" t="s">
        <v>92</v>
      </c>
      <c r="C710" s="169" t="s">
        <v>55</v>
      </c>
      <c r="D710" s="169" t="s">
        <v>171</v>
      </c>
      <c r="E710" s="169" t="s">
        <v>221</v>
      </c>
      <c r="F710" s="245" t="str">
        <f t="shared" si="46"/>
        <v>RobC 80</v>
      </c>
      <c r="G710" s="169" t="s">
        <v>340</v>
      </c>
      <c r="I710" s="169" t="str">
        <f t="shared" si="44"/>
        <v>L05_JVFW_015W_WINZE STOPE</v>
      </c>
      <c r="J710" s="169" t="s">
        <v>7377</v>
      </c>
      <c r="K710" s="169">
        <f>IFERROR(MATCH(J710,'Final List'!$B$4:$B$252,0),0)</f>
        <v>0</v>
      </c>
      <c r="L710" s="169">
        <f>IFERROR(MATCH(J710,'Final List'!$D$4:$D$252,0),0)</f>
        <v>0</v>
      </c>
      <c r="M710" s="169">
        <f>IFERROR(MATCH(J710,'Final List'!$F$4:$F$251,0),0)</f>
        <v>0</v>
      </c>
      <c r="N710" s="169">
        <f>IFERROR(MATCH(J710,'Final List'!$H$4:$H$252,0),0)</f>
        <v>0</v>
      </c>
      <c r="O710" s="169">
        <f>IFERROR(MATCH(J710,'Final List'!$J$4:$J$252,0),0)</f>
        <v>0</v>
      </c>
      <c r="P710" s="169">
        <f>IFERROR(MATCH(J710,'Final List'!$L$4:$L$252,0),0)</f>
        <v>0</v>
      </c>
      <c r="Q710" s="169">
        <f>IFERROR(MATCH(J710,'Final List'!$N$4:$N$252,0),0)</f>
        <v>0</v>
      </c>
      <c r="R710" s="169">
        <f>IFERROR(MATCH(J710,'Final List'!$P$4:$P$252,0),0)</f>
        <v>0</v>
      </c>
      <c r="S710" s="169">
        <f t="shared" si="47"/>
        <v>0</v>
      </c>
      <c r="T710" s="169" t="s">
        <v>68</v>
      </c>
      <c r="V710" s="169" t="str">
        <f t="shared" si="45"/>
        <v>COMAINGKING</v>
      </c>
      <c r="W710" s="169" t="s">
        <v>2719</v>
      </c>
    </row>
    <row r="711" spans="2:23" x14ac:dyDescent="0.25">
      <c r="B711" s="169" t="s">
        <v>92</v>
      </c>
      <c r="C711" s="169" t="s">
        <v>45</v>
      </c>
      <c r="D711" s="169" t="s">
        <v>144</v>
      </c>
      <c r="E711" s="169" t="s">
        <v>211</v>
      </c>
      <c r="F711" s="245" t="str">
        <f t="shared" si="46"/>
        <v>StpS 77</v>
      </c>
      <c r="G711" s="169" t="s">
        <v>450</v>
      </c>
      <c r="I711" s="169" t="str">
        <f t="shared" si="44"/>
        <v>L05_DPVE_043E_STOPE PREP</v>
      </c>
      <c r="J711" s="169" t="s">
        <v>6938</v>
      </c>
      <c r="K711" s="169">
        <f>IFERROR(MATCH(J711,'Final List'!$B$4:$B$252,0),0)</f>
        <v>0</v>
      </c>
      <c r="L711" s="169">
        <f>IFERROR(MATCH(J711,'Final List'!$D$4:$D$252,0),0)</f>
        <v>0</v>
      </c>
      <c r="M711" s="169">
        <f>IFERROR(MATCH(J711,'Final List'!$F$4:$F$251,0),0)</f>
        <v>0</v>
      </c>
      <c r="N711" s="169">
        <f>IFERROR(MATCH(J711,'Final List'!$H$4:$H$252,0),0)</f>
        <v>0</v>
      </c>
      <c r="O711" s="169">
        <f>IFERROR(MATCH(J711,'Final List'!$J$4:$J$252,0),0)</f>
        <v>0</v>
      </c>
      <c r="P711" s="169">
        <f>IFERROR(MATCH(J711,'Final List'!$L$4:$L$252,0),0)</f>
        <v>0</v>
      </c>
      <c r="Q711" s="169">
        <f>IFERROR(MATCH(J711,'Final List'!$N$4:$N$252,0),0)</f>
        <v>0</v>
      </c>
      <c r="R711" s="169">
        <f>IFERROR(MATCH(J711,'Final List'!$P$4:$P$252,0),0)</f>
        <v>0</v>
      </c>
      <c r="S711" s="169">
        <f t="shared" si="47"/>
        <v>0</v>
      </c>
      <c r="T711" s="169" t="s">
        <v>68</v>
      </c>
      <c r="V711" s="169" t="str">
        <f t="shared" si="45"/>
        <v>BAYOBAY 1</v>
      </c>
      <c r="W711" s="169" t="s">
        <v>2712</v>
      </c>
    </row>
    <row r="712" spans="2:23" x14ac:dyDescent="0.25">
      <c r="B712" s="169" t="s">
        <v>91</v>
      </c>
      <c r="C712" s="169" t="s">
        <v>43</v>
      </c>
      <c r="D712" s="169" t="s">
        <v>6941</v>
      </c>
      <c r="E712" s="169" t="s">
        <v>211</v>
      </c>
      <c r="F712" s="245" t="str">
        <f t="shared" si="46"/>
        <v>StpS 77</v>
      </c>
      <c r="G712" s="217" t="s">
        <v>7132</v>
      </c>
      <c r="I712" s="169" t="str">
        <f t="shared" si="44"/>
        <v>L04_GHVSPLIT_031W_STOPE PREP</v>
      </c>
      <c r="J712" s="169" t="s">
        <v>6940</v>
      </c>
      <c r="K712" s="169">
        <f>IFERROR(MATCH(J712,'Final List'!$B$4:$B$252,0),0)</f>
        <v>0</v>
      </c>
      <c r="L712" s="169">
        <f>IFERROR(MATCH(J712,'Final List'!$D$4:$D$252,0),0)</f>
        <v>0</v>
      </c>
      <c r="M712" s="169">
        <f>IFERROR(MATCH(J712,'Final List'!$F$4:$F$251,0),0)</f>
        <v>0</v>
      </c>
      <c r="N712" s="169">
        <f>IFERROR(MATCH(J712,'Final List'!$H$4:$H$252,0),0)</f>
        <v>0</v>
      </c>
      <c r="O712" s="169">
        <f>IFERROR(MATCH(J712,'Final List'!$J$4:$J$252,0),0)</f>
        <v>0</v>
      </c>
      <c r="P712" s="169">
        <f>IFERROR(MATCH(J712,'Final List'!$L$4:$L$252,0),0)</f>
        <v>0</v>
      </c>
      <c r="Q712" s="169">
        <f>IFERROR(MATCH(J712,'Final List'!$N$4:$N$252,0),0)</f>
        <v>0</v>
      </c>
      <c r="R712" s="169">
        <f>IFERROR(MATCH(J712,'Final List'!$P$4:$P$252,0),0)</f>
        <v>0</v>
      </c>
      <c r="S712" s="169">
        <f t="shared" si="47"/>
        <v>0</v>
      </c>
      <c r="T712" s="169" t="s">
        <v>68</v>
      </c>
      <c r="V712" s="169" t="str">
        <f t="shared" si="45"/>
        <v>SHEPHERD AQ</v>
      </c>
      <c r="W712" s="169" t="s">
        <v>2712</v>
      </c>
    </row>
    <row r="713" spans="2:23" x14ac:dyDescent="0.25">
      <c r="B713" s="169" t="s">
        <v>94</v>
      </c>
      <c r="C713" s="169" t="s">
        <v>39</v>
      </c>
      <c r="D713" s="169" t="s">
        <v>130</v>
      </c>
      <c r="E713" s="169" t="s">
        <v>19</v>
      </c>
      <c r="F713" s="245" t="str">
        <f t="shared" si="46"/>
        <v>DVR 72</v>
      </c>
      <c r="G713" s="169" t="s">
        <v>5921</v>
      </c>
      <c r="I713" s="169" t="str">
        <f t="shared" si="44"/>
        <v>L07_JVHW_036E_RAISE</v>
      </c>
      <c r="J713" s="169" t="s">
        <v>6942</v>
      </c>
      <c r="K713" s="169">
        <f>IFERROR(MATCH(J713,'Final List'!$B$4:$B$252,0),0)</f>
        <v>0</v>
      </c>
      <c r="L713" s="169">
        <f>IFERROR(MATCH(J713,'Final List'!$D$4:$D$252,0),0)</f>
        <v>0</v>
      </c>
      <c r="M713" s="169">
        <f>IFERROR(MATCH(J713,'Final List'!$F$4:$F$251,0),0)</f>
        <v>0</v>
      </c>
      <c r="N713" s="169">
        <f>IFERROR(MATCH(J713,'Final List'!$H$4:$H$252,0),0)</f>
        <v>0</v>
      </c>
      <c r="O713" s="169">
        <f>IFERROR(MATCH(J713,'Final List'!$J$4:$J$252,0),0)</f>
        <v>0</v>
      </c>
      <c r="P713" s="169">
        <f>IFERROR(MATCH(J713,'Final List'!$L$4:$L$252,0),0)</f>
        <v>0</v>
      </c>
      <c r="Q713" s="169">
        <f>IFERROR(MATCH(J713,'Final List'!$N$4:$N$252,0),0)</f>
        <v>0</v>
      </c>
      <c r="R713" s="169">
        <f>IFERROR(MATCH(J713,'Final List'!$P$4:$P$252,0),0)</f>
        <v>0</v>
      </c>
      <c r="S713" s="169">
        <f t="shared" si="47"/>
        <v>0</v>
      </c>
      <c r="V713" s="169" t="str">
        <f t="shared" si="45"/>
        <v>TURRA 2</v>
      </c>
      <c r="W713" s="169" t="s">
        <v>2715</v>
      </c>
    </row>
    <row r="714" spans="2:23" x14ac:dyDescent="0.25">
      <c r="B714" s="169" t="s">
        <v>95</v>
      </c>
      <c r="C714" s="169" t="s">
        <v>45</v>
      </c>
      <c r="D714" s="169" t="s">
        <v>6946</v>
      </c>
      <c r="E714" s="169" t="s">
        <v>6143</v>
      </c>
      <c r="F714" s="245" t="str">
        <f t="shared" si="46"/>
        <v>Dhoz 71</v>
      </c>
      <c r="G714" s="169" t="s">
        <v>6925</v>
      </c>
      <c r="I714" s="169" t="str">
        <f t="shared" si="44"/>
        <v>L08_DPVE_081E_DE_ISL</v>
      </c>
      <c r="J714" s="169" t="s">
        <v>6945</v>
      </c>
      <c r="K714" s="169">
        <f>IFERROR(MATCH(J714,'Final List'!$B$4:$B$252,0),0)</f>
        <v>0</v>
      </c>
      <c r="L714" s="169">
        <f>IFERROR(MATCH(J714,'Final List'!$D$4:$D$252,0),0)</f>
        <v>0</v>
      </c>
      <c r="M714" s="169">
        <f>IFERROR(MATCH(J714,'Final List'!$F$4:$F$251,0),0)</f>
        <v>0</v>
      </c>
      <c r="N714" s="169">
        <f>IFERROR(MATCH(J714,'Final List'!$H$4:$H$252,0),0)</f>
        <v>0</v>
      </c>
      <c r="O714" s="169">
        <f>IFERROR(MATCH(J714,'Final List'!$J$4:$J$252,0),0)</f>
        <v>0</v>
      </c>
      <c r="P714" s="169">
        <f>IFERROR(MATCH(J714,'Final List'!$L$4:$L$252,0),0)</f>
        <v>0</v>
      </c>
      <c r="Q714" s="169">
        <f>IFERROR(MATCH(J714,'Final List'!$N$4:$N$252,0),0)</f>
        <v>0</v>
      </c>
      <c r="R714" s="169">
        <f>IFERROR(MATCH(J714,'Final List'!$P$4:$P$252,0),0)</f>
        <v>0</v>
      </c>
      <c r="S714" s="169">
        <f t="shared" si="47"/>
        <v>0</v>
      </c>
      <c r="V714" s="169" t="str">
        <f t="shared" si="45"/>
        <v>CAPUYAN 1</v>
      </c>
      <c r="W714" s="169" t="s">
        <v>2708</v>
      </c>
    </row>
    <row r="715" spans="2:23" x14ac:dyDescent="0.25">
      <c r="B715" s="169" t="s">
        <v>91</v>
      </c>
      <c r="C715" s="169" t="s">
        <v>42</v>
      </c>
      <c r="D715" s="169" t="s">
        <v>146</v>
      </c>
      <c r="E715" s="169" t="s">
        <v>221</v>
      </c>
      <c r="F715" s="245" t="str">
        <f t="shared" si="46"/>
        <v>RobC 80</v>
      </c>
      <c r="G715" s="169" t="s">
        <v>311</v>
      </c>
      <c r="I715" s="169" t="str">
        <f t="shared" si="44"/>
        <v>L04_JV_030E_WINZE STOPE</v>
      </c>
      <c r="J715" s="169" t="s">
        <v>6947</v>
      </c>
      <c r="K715" s="169">
        <f>IFERROR(MATCH(J715,'Final List'!$B$4:$B$252,0),0)</f>
        <v>0</v>
      </c>
      <c r="L715" s="169">
        <f>IFERROR(MATCH(J715,'Final List'!$D$4:$D$252,0),0)</f>
        <v>0</v>
      </c>
      <c r="M715" s="169">
        <f>IFERROR(MATCH(J715,'Final List'!$F$4:$F$251,0),0)</f>
        <v>0</v>
      </c>
      <c r="N715" s="169">
        <f>IFERROR(MATCH(J715,'Final List'!$H$4:$H$252,0),0)</f>
        <v>0</v>
      </c>
      <c r="O715" s="169">
        <f>IFERROR(MATCH(J715,'Final List'!$J$4:$J$252,0),0)</f>
        <v>0</v>
      </c>
      <c r="P715" s="169">
        <f>IFERROR(MATCH(J715,'Final List'!$L$4:$L$252,0),0)</f>
        <v>0</v>
      </c>
      <c r="Q715" s="169">
        <f>IFERROR(MATCH(J715,'Final List'!$N$4:$N$252,0),0)</f>
        <v>0</v>
      </c>
      <c r="R715" s="169">
        <f>IFERROR(MATCH(J715,'Final List'!$P$4:$P$252,0),0)</f>
        <v>0</v>
      </c>
      <c r="S715" s="169">
        <f t="shared" si="47"/>
        <v>0</v>
      </c>
      <c r="T715" s="169" t="s">
        <v>48</v>
      </c>
      <c r="V715" s="169" t="str">
        <f t="shared" si="45"/>
        <v>MARTINEZ DN 2</v>
      </c>
      <c r="W715" s="169" t="s">
        <v>2719</v>
      </c>
    </row>
    <row r="716" spans="2:23" x14ac:dyDescent="0.25">
      <c r="B716" s="169" t="s">
        <v>96</v>
      </c>
      <c r="C716" s="169" t="s">
        <v>46</v>
      </c>
      <c r="D716" s="169" t="s">
        <v>5723</v>
      </c>
      <c r="E716" s="169" t="s">
        <v>61</v>
      </c>
      <c r="F716" s="245" t="str">
        <f t="shared" si="46"/>
        <v>Dhoz 71</v>
      </c>
      <c r="G716" s="169" t="s">
        <v>362</v>
      </c>
      <c r="I716" s="169" t="str">
        <f t="shared" si="44"/>
        <v>L09_DPVE2_046E_DW</v>
      </c>
      <c r="J716" s="169" t="s">
        <v>5098</v>
      </c>
      <c r="K716" s="169">
        <f>IFERROR(MATCH(J716,'Final List'!$B$4:$B$252,0),0)</f>
        <v>0</v>
      </c>
      <c r="L716" s="169">
        <f>IFERROR(MATCH(J716,'Final List'!$D$4:$D$252,0),0)</f>
        <v>0</v>
      </c>
      <c r="M716" s="169">
        <f>IFERROR(MATCH(J716,'Final List'!$F$4:$F$251,0),0)</f>
        <v>0</v>
      </c>
      <c r="N716" s="169">
        <f>IFERROR(MATCH(J716,'Final List'!$H$4:$H$252,0),0)</f>
        <v>0</v>
      </c>
      <c r="O716" s="169">
        <f>IFERROR(MATCH(J716,'Final List'!$J$4:$J$252,0),0)</f>
        <v>0</v>
      </c>
      <c r="P716" s="169">
        <f>IFERROR(MATCH(J716,'Final List'!$L$4:$L$252,0),0)</f>
        <v>0</v>
      </c>
      <c r="Q716" s="169">
        <f>IFERROR(MATCH(J716,'Final List'!$N$4:$N$252,0),0)</f>
        <v>0</v>
      </c>
      <c r="R716" s="169">
        <f>IFERROR(MATCH(J716,'Final List'!$P$4:$P$252,0),0)</f>
        <v>0</v>
      </c>
      <c r="S716" s="169">
        <f t="shared" si="47"/>
        <v>0</v>
      </c>
      <c r="V716" s="169" t="str">
        <f t="shared" si="45"/>
        <v>BABOR 1</v>
      </c>
      <c r="W716" s="169" t="s">
        <v>8896</v>
      </c>
    </row>
    <row r="717" spans="2:23" x14ac:dyDescent="0.25">
      <c r="B717" s="169" t="s">
        <v>95</v>
      </c>
      <c r="C717" s="169" t="s">
        <v>38</v>
      </c>
      <c r="D717" s="169" t="s">
        <v>106</v>
      </c>
      <c r="E717" s="169" t="s">
        <v>60</v>
      </c>
      <c r="F717" s="245" t="str">
        <f t="shared" si="46"/>
        <v>Dhoz 71</v>
      </c>
      <c r="G717" s="169" t="s">
        <v>386</v>
      </c>
      <c r="I717" s="169" t="str">
        <f t="shared" si="44"/>
        <v>L08_GHV_033W_DE</v>
      </c>
      <c r="J717" s="169" t="s">
        <v>6950</v>
      </c>
      <c r="K717" s="169">
        <f>IFERROR(MATCH(J717,'Final List'!$B$4:$B$252,0),0)</f>
        <v>0</v>
      </c>
      <c r="L717" s="169">
        <f>IFERROR(MATCH(J717,'Final List'!$D$4:$D$252,0),0)</f>
        <v>0</v>
      </c>
      <c r="M717" s="169">
        <f>IFERROR(MATCH(J717,'Final List'!$F$4:$F$251,0),0)</f>
        <v>0</v>
      </c>
      <c r="N717" s="169">
        <f>IFERROR(MATCH(J717,'Final List'!$H$4:$H$252,0),0)</f>
        <v>0</v>
      </c>
      <c r="O717" s="169">
        <f>IFERROR(MATCH(J717,'Final List'!$J$4:$J$252,0),0)</f>
        <v>0</v>
      </c>
      <c r="P717" s="169">
        <f>IFERROR(MATCH(J717,'Final List'!$L$4:$L$252,0),0)</f>
        <v>0</v>
      </c>
      <c r="Q717" s="169">
        <f>IFERROR(MATCH(J717,'Final List'!$N$4:$N$252,0),0)</f>
        <v>0</v>
      </c>
      <c r="R717" s="169">
        <f>IFERROR(MATCH(J717,'Final List'!$P$4:$P$252,0),0)</f>
        <v>0</v>
      </c>
      <c r="S717" s="169">
        <f t="shared" si="47"/>
        <v>0</v>
      </c>
      <c r="V717" s="169" t="str">
        <f t="shared" si="45"/>
        <v>REVITA 1</v>
      </c>
      <c r="W717" s="169" t="s">
        <v>8895</v>
      </c>
    </row>
    <row r="718" spans="2:23" x14ac:dyDescent="0.25">
      <c r="B718" s="169" t="s">
        <v>93</v>
      </c>
      <c r="C718" s="169" t="s">
        <v>44</v>
      </c>
      <c r="D718" s="169" t="s">
        <v>109</v>
      </c>
      <c r="E718" s="169" t="s">
        <v>62</v>
      </c>
      <c r="F718" s="245" t="str">
        <f t="shared" si="46"/>
        <v>RobS 79</v>
      </c>
      <c r="G718" s="169" t="s">
        <v>6954</v>
      </c>
      <c r="H718" s="169" t="s">
        <v>577</v>
      </c>
      <c r="I718" s="169" t="str">
        <f t="shared" si="44"/>
        <v>L06_CV_002W_ROBBING</v>
      </c>
      <c r="J718" s="169" t="s">
        <v>6953</v>
      </c>
      <c r="K718" s="169">
        <f>IFERROR(MATCH(J718,'Final List'!$B$4:$B$252,0),0)</f>
        <v>0</v>
      </c>
      <c r="L718" s="169">
        <f>IFERROR(MATCH(J718,'Final List'!$D$4:$D$252,0),0)</f>
        <v>0</v>
      </c>
      <c r="M718" s="169">
        <f>IFERROR(MATCH(J718,'Final List'!$F$4:$F$251,0),0)</f>
        <v>0</v>
      </c>
      <c r="N718" s="169">
        <f>IFERROR(MATCH(J718,'Final List'!$H$4:$H$252,0),0)</f>
        <v>0</v>
      </c>
      <c r="O718" s="169">
        <f>IFERROR(MATCH(J718,'Final List'!$J$4:$J$252,0),0)</f>
        <v>0</v>
      </c>
      <c r="P718" s="169">
        <f>IFERROR(MATCH(J718,'Final List'!$L$4:$L$252,0),0)</f>
        <v>0</v>
      </c>
      <c r="Q718" s="169">
        <f>IFERROR(MATCH(J718,'Final List'!$N$4:$N$252,0),0)</f>
        <v>0</v>
      </c>
      <c r="R718" s="169">
        <f>IFERROR(MATCH(J718,'Final List'!$P$4:$P$252,0),0)</f>
        <v>0</v>
      </c>
      <c r="S718" s="169">
        <f t="shared" si="47"/>
        <v>0</v>
      </c>
      <c r="T718" s="169" t="s">
        <v>68</v>
      </c>
      <c r="V718" s="169" t="str">
        <f t="shared" si="45"/>
        <v>CARIKITAN 1</v>
      </c>
      <c r="W718" s="169" t="s">
        <v>2707</v>
      </c>
    </row>
    <row r="719" spans="2:23" x14ac:dyDescent="0.25">
      <c r="B719" s="169" t="s">
        <v>91</v>
      </c>
      <c r="C719" s="169" t="s">
        <v>87</v>
      </c>
      <c r="D719" s="169" t="s">
        <v>99</v>
      </c>
      <c r="E719" s="169" t="s">
        <v>6956</v>
      </c>
      <c r="F719" s="245" t="s">
        <v>12992</v>
      </c>
      <c r="G719" s="169" t="s">
        <v>310</v>
      </c>
      <c r="I719" s="169" t="str">
        <f t="shared" si="44"/>
        <v>L04_NONE_028W_XCN_ISL</v>
      </c>
      <c r="J719" s="169" t="s">
        <v>6955</v>
      </c>
      <c r="K719" s="169">
        <f>IFERROR(MATCH(J719,'Final List'!$B$4:$B$252,0),0)</f>
        <v>0</v>
      </c>
      <c r="L719" s="169">
        <f>IFERROR(MATCH(J719,'Final List'!$D$4:$D$252,0),0)</f>
        <v>0</v>
      </c>
      <c r="M719" s="169">
        <f>IFERROR(MATCH(J719,'Final List'!$F$4:$F$251,0),0)</f>
        <v>0</v>
      </c>
      <c r="N719" s="169">
        <f>IFERROR(MATCH(J719,'Final List'!$H$4:$H$252,0),0)</f>
        <v>0</v>
      </c>
      <c r="O719" s="169">
        <f>IFERROR(MATCH(J719,'Final List'!$J$4:$J$252,0),0)</f>
        <v>0</v>
      </c>
      <c r="P719" s="169">
        <f>IFERROR(MATCH(J719,'Final List'!$L$4:$L$252,0),0)</f>
        <v>0</v>
      </c>
      <c r="Q719" s="169">
        <f>IFERROR(MATCH(J719,'Final List'!$N$4:$N$252,0),0)</f>
        <v>0</v>
      </c>
      <c r="R719" s="169">
        <f>IFERROR(MATCH(J719,'Final List'!$P$4:$P$252,0),0)</f>
        <v>0</v>
      </c>
      <c r="S719" s="169">
        <f t="shared" si="47"/>
        <v>0</v>
      </c>
      <c r="V719" s="169" t="str">
        <f t="shared" si="45"/>
        <v>MARTINEZ DN 1</v>
      </c>
      <c r="W719" s="169" t="s">
        <v>8897</v>
      </c>
    </row>
    <row r="720" spans="2:23" x14ac:dyDescent="0.25">
      <c r="B720" s="169" t="s">
        <v>91</v>
      </c>
      <c r="C720" s="169" t="s">
        <v>39</v>
      </c>
      <c r="D720" s="169" t="s">
        <v>5669</v>
      </c>
      <c r="E720" s="169" t="s">
        <v>6154</v>
      </c>
      <c r="F720" s="245" t="str">
        <f>IF(OR(E720="XCN",E720="DE",E720="DW",E720="DN",E720="XCS",E720="XCE",E720="XCW",E720="SUMP",E720="BYPASS",E720="CHAMBER",E720="DRAIN HOLE",E720="DRILLING CHAMBER",E720="DE_ISL",E720="DW_ISL",E720="REHAB"),"Dhoz 71",IF(OR(E720="RAISE",E720="RAISE_ISL"),"DVR 72",IF(E720="ALIMAK","DVA 73",IF(E720="WINZE","DVW 74",IF(E720="SHAFT","DVS 75",IF(AND(E720="WINZE STOPE",T720="S"),"RobC 80",IF(AND(E720="STOPE",T720="S"),"StpS 77",IF(AND(E720="WINZE STOPE",T720="L"),"RobC 80",IF(AND(E720="STOPE",T720="L"),"StpL 78",IF(AND(E720="WINZE STOPE PREP",T720="S"),"RobC 80",IF(AND(E720="STOPE PREP",T720="S"),"StpS 77",IF(AND(E720="WINZE STOPE PREP",T720="L"),"RobC 80",IF(AND(E720="STOPE PREP",T720="L"),"StpL 78",IF(AND(E720="ROBBING",T720="L"),"RobC 80",IF(AND(E720="ROBBING",T720="S"),"RobS 79",0)))))))))))))))</f>
        <v>Dhoz 71</v>
      </c>
      <c r="G720" s="169" t="s">
        <v>310</v>
      </c>
      <c r="I720" s="169" t="str">
        <f t="shared" si="44"/>
        <v>L04_JVHW_027W_DW_ISL</v>
      </c>
      <c r="J720" s="169" t="s">
        <v>6991</v>
      </c>
      <c r="K720" s="169">
        <f>IFERROR(MATCH(J720,'Final List'!$B$4:$B$252,0),0)</f>
        <v>0</v>
      </c>
      <c r="L720" s="169">
        <f>IFERROR(MATCH(J720,'Final List'!$D$4:$D$252,0),0)</f>
        <v>0</v>
      </c>
      <c r="M720" s="169">
        <f>IFERROR(MATCH(J720,'Final List'!$F$4:$F$251,0),0)</f>
        <v>0</v>
      </c>
      <c r="N720" s="169">
        <f>IFERROR(MATCH(J720,'Final List'!$H$4:$H$252,0),0)</f>
        <v>0</v>
      </c>
      <c r="O720" s="169">
        <f>IFERROR(MATCH(J720,'Final List'!$J$4:$J$252,0),0)</f>
        <v>0</v>
      </c>
      <c r="P720" s="169">
        <f>IFERROR(MATCH(J720,'Final List'!$L$4:$L$252,0),0)</f>
        <v>0</v>
      </c>
      <c r="Q720" s="169">
        <f>IFERROR(MATCH(J720,'Final List'!$N$4:$N$252,0),0)</f>
        <v>0</v>
      </c>
      <c r="R720" s="169">
        <f>IFERROR(MATCH(J720,'Final List'!$P$4:$P$252,0),0)</f>
        <v>0</v>
      </c>
      <c r="S720" s="169">
        <f t="shared" si="47"/>
        <v>0</v>
      </c>
      <c r="V720" s="169" t="str">
        <f t="shared" si="45"/>
        <v>MARTINEZ DN 1</v>
      </c>
      <c r="W720" s="169" t="s">
        <v>2708</v>
      </c>
    </row>
    <row r="721" spans="2:23" x14ac:dyDescent="0.25">
      <c r="B721" s="169" t="s">
        <v>93</v>
      </c>
      <c r="C721" s="169" t="s">
        <v>41</v>
      </c>
      <c r="D721" s="169" t="s">
        <v>6983</v>
      </c>
      <c r="E721" s="169" t="s">
        <v>61</v>
      </c>
      <c r="F721" s="245" t="str">
        <f t="shared" si="46"/>
        <v>Dhoz 71</v>
      </c>
      <c r="G721" s="169" t="s">
        <v>352</v>
      </c>
      <c r="I721" s="169" t="str">
        <f t="shared" si="44"/>
        <v>L06_CTV_001E_DW</v>
      </c>
      <c r="J721" s="169" t="s">
        <v>7023</v>
      </c>
      <c r="K721" s="169">
        <f>IFERROR(MATCH(J721,'Final List'!$B$4:$B$252,0),0)</f>
        <v>0</v>
      </c>
      <c r="L721" s="169">
        <f>IFERROR(MATCH(J721,'Final List'!$D$4:$D$252,0),0)</f>
        <v>0</v>
      </c>
      <c r="M721" s="169">
        <f>IFERROR(MATCH(J721,'Final List'!$F$4:$F$251,0),0)</f>
        <v>0</v>
      </c>
      <c r="N721" s="169">
        <f>IFERROR(MATCH(J721,'Final List'!$H$4:$H$252,0),0)</f>
        <v>0</v>
      </c>
      <c r="O721" s="169">
        <f>IFERROR(MATCH(J721,'Final List'!$J$4:$J$252,0),0)</f>
        <v>0</v>
      </c>
      <c r="P721" s="169">
        <f>IFERROR(MATCH(J721,'Final List'!$L$4:$L$252,0),0)</f>
        <v>0</v>
      </c>
      <c r="Q721" s="169">
        <f>IFERROR(MATCH(J721,'Final List'!$N$4:$N$252,0),0)</f>
        <v>0</v>
      </c>
      <c r="R721" s="169">
        <f>IFERROR(MATCH(J721,'Final List'!$P$4:$P$252,0),0)</f>
        <v>0</v>
      </c>
      <c r="S721" s="169">
        <f t="shared" si="47"/>
        <v>0</v>
      </c>
      <c r="V721" s="169" t="str">
        <f t="shared" si="45"/>
        <v>BAÑEZ 5</v>
      </c>
      <c r="W721" s="169" t="s">
        <v>8895</v>
      </c>
    </row>
    <row r="722" spans="2:23" x14ac:dyDescent="0.25">
      <c r="B722" s="169" t="s">
        <v>92</v>
      </c>
      <c r="C722" s="169" t="s">
        <v>45</v>
      </c>
      <c r="D722" s="169" t="s">
        <v>160</v>
      </c>
      <c r="E722" s="169" t="s">
        <v>19</v>
      </c>
      <c r="F722" s="245" t="str">
        <f t="shared" si="46"/>
        <v>DVR 72</v>
      </c>
      <c r="G722" s="169" t="s">
        <v>3658</v>
      </c>
      <c r="I722" s="169" t="str">
        <f t="shared" si="44"/>
        <v>L05_DPVE_042E_RAISE</v>
      </c>
      <c r="J722" s="169" t="s">
        <v>6964</v>
      </c>
      <c r="K722" s="169">
        <f>IFERROR(MATCH(J722,'Final List'!$B$4:$B$252,0),0)</f>
        <v>0</v>
      </c>
      <c r="L722" s="169">
        <f>IFERROR(MATCH(J722,'Final List'!$D$4:$D$252,0),0)</f>
        <v>0</v>
      </c>
      <c r="M722" s="169">
        <f>IFERROR(MATCH(J722,'Final List'!$F$4:$F$251,0),0)</f>
        <v>0</v>
      </c>
      <c r="N722" s="169">
        <f>IFERROR(MATCH(J722,'Final List'!$H$4:$H$252,0),0)</f>
        <v>0</v>
      </c>
      <c r="O722" s="169">
        <f>IFERROR(MATCH(J722,'Final List'!$J$4:$J$252,0),0)</f>
        <v>0</v>
      </c>
      <c r="P722" s="169">
        <f>IFERROR(MATCH(J722,'Final List'!$L$4:$L$252,0),0)</f>
        <v>0</v>
      </c>
      <c r="Q722" s="169">
        <f>IFERROR(MATCH(J722,'Final List'!$N$4:$N$252,0),0)</f>
        <v>0</v>
      </c>
      <c r="R722" s="169">
        <f>IFERROR(MATCH(J722,'Final List'!$P$4:$P$252,0),0)</f>
        <v>0</v>
      </c>
      <c r="S722" s="169">
        <f t="shared" si="47"/>
        <v>0</v>
      </c>
      <c r="V722" s="169" t="str">
        <f t="shared" si="45"/>
        <v>SHEPHERD AD 1</v>
      </c>
      <c r="W722" s="169" t="s">
        <v>2715</v>
      </c>
    </row>
    <row r="723" spans="2:23" x14ac:dyDescent="0.25">
      <c r="B723" s="169" t="s">
        <v>95</v>
      </c>
      <c r="C723" s="169" t="s">
        <v>38</v>
      </c>
      <c r="D723" s="169" t="s">
        <v>122</v>
      </c>
      <c r="E723" s="169" t="s">
        <v>221</v>
      </c>
      <c r="F723" s="245" t="str">
        <f t="shared" si="46"/>
        <v>RobC 80</v>
      </c>
      <c r="G723" s="169" t="s">
        <v>467</v>
      </c>
      <c r="I723" s="169" t="str">
        <f t="shared" si="44"/>
        <v>L08_GHV_025E_WINZE STOPE</v>
      </c>
      <c r="J723" s="169" t="s">
        <v>6967</v>
      </c>
      <c r="K723" s="169">
        <f>IFERROR(MATCH(J723,'Final List'!$B$4:$B$252,0),0)</f>
        <v>0</v>
      </c>
      <c r="L723" s="169">
        <f>IFERROR(MATCH(J723,'Final List'!$D$4:$D$252,0),0)</f>
        <v>0</v>
      </c>
      <c r="M723" s="169">
        <f>IFERROR(MATCH(J723,'Final List'!$F$4:$F$251,0),0)</f>
        <v>0</v>
      </c>
      <c r="N723" s="169">
        <f>IFERROR(MATCH(J723,'Final List'!$H$4:$H$252,0),0)</f>
        <v>0</v>
      </c>
      <c r="O723" s="169">
        <f>IFERROR(MATCH(J723,'Final List'!$J$4:$J$252,0),0)</f>
        <v>0</v>
      </c>
      <c r="P723" s="169">
        <f>IFERROR(MATCH(J723,'Final List'!$L$4:$L$252,0),0)</f>
        <v>0</v>
      </c>
      <c r="Q723" s="169">
        <f>IFERROR(MATCH(J723,'Final List'!$N$4:$N$252,0),0)</f>
        <v>0</v>
      </c>
      <c r="R723" s="169">
        <f>IFERROR(MATCH(J723,'Final List'!$P$4:$P$252,0),0)</f>
        <v>0</v>
      </c>
      <c r="S723" s="169">
        <f t="shared" si="47"/>
        <v>0</v>
      </c>
      <c r="T723" s="169" t="s">
        <v>68</v>
      </c>
      <c r="V723" s="169" t="str">
        <f t="shared" si="45"/>
        <v>AGLOLO 2</v>
      </c>
      <c r="W723" s="169" t="s">
        <v>2719</v>
      </c>
    </row>
    <row r="724" spans="2:23" x14ac:dyDescent="0.25">
      <c r="B724" s="169" t="s">
        <v>96</v>
      </c>
      <c r="C724" s="169" t="s">
        <v>46</v>
      </c>
      <c r="D724" s="169" t="s">
        <v>5975</v>
      </c>
      <c r="E724" s="169" t="s">
        <v>19</v>
      </c>
      <c r="F724" s="245" t="str">
        <f t="shared" si="46"/>
        <v>DVR 72</v>
      </c>
      <c r="G724" s="169" t="s">
        <v>461</v>
      </c>
      <c r="I724" s="169" t="str">
        <f t="shared" si="44"/>
        <v>L09_DPVE2_028E_RAISE</v>
      </c>
      <c r="J724" s="169" t="s">
        <v>6971</v>
      </c>
      <c r="K724" s="169">
        <f>IFERROR(MATCH(J724,'Final List'!$B$4:$B$252,0),0)</f>
        <v>0</v>
      </c>
      <c r="L724" s="169">
        <f>IFERROR(MATCH(J724,'Final List'!$D$4:$D$252,0),0)</f>
        <v>0</v>
      </c>
      <c r="M724" s="169">
        <f>IFERROR(MATCH(J724,'Final List'!$F$4:$F$251,0),0)</f>
        <v>0</v>
      </c>
      <c r="N724" s="169">
        <f>IFERROR(MATCH(J724,'Final List'!$H$4:$H$252,0),0)</f>
        <v>0</v>
      </c>
      <c r="O724" s="169">
        <f>IFERROR(MATCH(J724,'Final List'!$J$4:$J$252,0),0)</f>
        <v>0</v>
      </c>
      <c r="P724" s="169">
        <f>IFERROR(MATCH(J724,'Final List'!$L$4:$L$252,0),0)</f>
        <v>0</v>
      </c>
      <c r="Q724" s="169">
        <f>IFERROR(MATCH(J724,'Final List'!$N$4:$N$252,0),0)</f>
        <v>0</v>
      </c>
      <c r="R724" s="169">
        <f>IFERROR(MATCH(J724,'Final List'!$P$4:$P$252,0),0)</f>
        <v>0</v>
      </c>
      <c r="S724" s="169">
        <f t="shared" si="47"/>
        <v>0</v>
      </c>
      <c r="V724" s="169" t="str">
        <f t="shared" si="45"/>
        <v>PANSIT 4</v>
      </c>
      <c r="W724" s="169" t="s">
        <v>2715</v>
      </c>
    </row>
    <row r="725" spans="2:23" x14ac:dyDescent="0.25">
      <c r="B725" s="169" t="s">
        <v>96</v>
      </c>
      <c r="C725" s="169" t="s">
        <v>46</v>
      </c>
      <c r="D725" s="169" t="s">
        <v>175</v>
      </c>
      <c r="E725" s="169" t="s">
        <v>36</v>
      </c>
      <c r="F725" s="245" t="str">
        <f t="shared" si="46"/>
        <v>StpL 78</v>
      </c>
      <c r="G725" s="169" t="s">
        <v>348</v>
      </c>
      <c r="I725" s="169" t="str">
        <f t="shared" si="44"/>
        <v>L09_DPVE2_060E_STOPE</v>
      </c>
      <c r="J725" s="169" t="s">
        <v>6976</v>
      </c>
      <c r="K725" s="169">
        <f>IFERROR(MATCH(J725,'Final List'!$B$4:$B$252,0),0)</f>
        <v>0</v>
      </c>
      <c r="L725" s="169">
        <f>IFERROR(MATCH(J725,'Final List'!$D$4:$D$252,0),0)</f>
        <v>0</v>
      </c>
      <c r="M725" s="169">
        <f>IFERROR(MATCH(J725,'Final List'!$F$4:$F$251,0),0)</f>
        <v>0</v>
      </c>
      <c r="N725" s="169">
        <f>IFERROR(MATCH(J725,'Final List'!$H$4:$H$252,0),0)</f>
        <v>0</v>
      </c>
      <c r="O725" s="169">
        <f>IFERROR(MATCH(J725,'Final List'!$J$4:$J$252,0),0)</f>
        <v>0</v>
      </c>
      <c r="P725" s="169">
        <f>IFERROR(MATCH(J725,'Final List'!$L$4:$L$252,0),0)</f>
        <v>0</v>
      </c>
      <c r="Q725" s="169">
        <f>IFERROR(MATCH(J725,'Final List'!$N$4:$N$252,0),0)</f>
        <v>0</v>
      </c>
      <c r="R725" s="169">
        <f>IFERROR(MATCH(J725,'Final List'!$P$4:$P$252,0),0)</f>
        <v>0</v>
      </c>
      <c r="S725" s="169">
        <f t="shared" si="47"/>
        <v>0</v>
      </c>
      <c r="T725" s="169" t="s">
        <v>48</v>
      </c>
      <c r="V725" s="169" t="str">
        <f t="shared" si="45"/>
        <v>QUIJANO 3</v>
      </c>
      <c r="W725" s="169" t="s">
        <v>2713</v>
      </c>
    </row>
    <row r="726" spans="2:23" x14ac:dyDescent="0.25">
      <c r="B726" s="169" t="s">
        <v>94</v>
      </c>
      <c r="C726" s="169" t="s">
        <v>39</v>
      </c>
      <c r="D726" s="169" t="s">
        <v>148</v>
      </c>
      <c r="E726" s="169" t="s">
        <v>60</v>
      </c>
      <c r="F726" s="245" t="str">
        <f t="shared" si="46"/>
        <v>Dhoz 71</v>
      </c>
      <c r="G726" s="169" t="s">
        <v>5719</v>
      </c>
      <c r="I726" s="169" t="str">
        <f t="shared" si="44"/>
        <v>L07_JVHW_039E_DE</v>
      </c>
      <c r="J726" s="169" t="s">
        <v>6973</v>
      </c>
      <c r="K726" s="169">
        <f>IFERROR(MATCH(J726,'Final List'!$B$4:$B$252,0),0)</f>
        <v>0</v>
      </c>
      <c r="L726" s="169">
        <f>IFERROR(MATCH(J726,'Final List'!$D$4:$D$252,0),0)</f>
        <v>0</v>
      </c>
      <c r="M726" s="169">
        <f>IFERROR(MATCH(J726,'Final List'!$F$4:$F$251,0),0)</f>
        <v>0</v>
      </c>
      <c r="N726" s="169">
        <f>IFERROR(MATCH(J726,'Final List'!$H$4:$H$252,0),0)</f>
        <v>0</v>
      </c>
      <c r="O726" s="169">
        <f>IFERROR(MATCH(J726,'Final List'!$J$4:$J$252,0),0)</f>
        <v>0</v>
      </c>
      <c r="P726" s="169">
        <f>IFERROR(MATCH(J726,'Final List'!$L$4:$L$252,0),0)</f>
        <v>0</v>
      </c>
      <c r="Q726" s="169">
        <f>IFERROR(MATCH(J726,'Final List'!$N$4:$N$252,0),0)</f>
        <v>0</v>
      </c>
      <c r="R726" s="169">
        <f>IFERROR(MATCH(J726,'Final List'!$P$4:$P$252,0),0)</f>
        <v>0</v>
      </c>
      <c r="S726" s="169">
        <f t="shared" si="47"/>
        <v>0</v>
      </c>
      <c r="V726" s="169" t="str">
        <f t="shared" si="45"/>
        <v>DAVOCOL 1</v>
      </c>
      <c r="W726" s="169" t="s">
        <v>8895</v>
      </c>
    </row>
    <row r="727" spans="2:23" x14ac:dyDescent="0.25">
      <c r="B727" s="169" t="s">
        <v>93</v>
      </c>
      <c r="C727" s="169" t="s">
        <v>42</v>
      </c>
      <c r="D727" s="169" t="s">
        <v>129</v>
      </c>
      <c r="E727" s="169" t="s">
        <v>62</v>
      </c>
      <c r="F727" s="245" t="str">
        <f t="shared" si="46"/>
        <v>RobS 79</v>
      </c>
      <c r="G727" s="169" t="s">
        <v>379</v>
      </c>
      <c r="I727" s="169" t="str">
        <f t="shared" si="44"/>
        <v>L06_JV_010E_ROBBING</v>
      </c>
      <c r="J727" s="169" t="s">
        <v>6981</v>
      </c>
      <c r="K727" s="169">
        <f>IFERROR(MATCH(J727,'Final List'!$B$4:$B$252,0),0)</f>
        <v>0</v>
      </c>
      <c r="L727" s="169">
        <f>IFERROR(MATCH(J727,'Final List'!$D$4:$D$252,0),0)</f>
        <v>0</v>
      </c>
      <c r="M727" s="169">
        <f>IFERROR(MATCH(J727,'Final List'!$F$4:$F$251,0),0)</f>
        <v>0</v>
      </c>
      <c r="N727" s="169">
        <f>IFERROR(MATCH(J727,'Final List'!$H$4:$H$252,0),0)</f>
        <v>0</v>
      </c>
      <c r="O727" s="169">
        <f>IFERROR(MATCH(J727,'Final List'!$J$4:$J$252,0),0)</f>
        <v>0</v>
      </c>
      <c r="P727" s="169">
        <f>IFERROR(MATCH(J727,'Final List'!$L$4:$L$252,0),0)</f>
        <v>0</v>
      </c>
      <c r="Q727" s="169">
        <f>IFERROR(MATCH(J727,'Final List'!$N$4:$N$252,0),0)</f>
        <v>0</v>
      </c>
      <c r="R727" s="169">
        <f>IFERROR(MATCH(J727,'Final List'!$P$4:$P$252,0),0)</f>
        <v>0</v>
      </c>
      <c r="S727" s="169">
        <f t="shared" si="47"/>
        <v>0</v>
      </c>
      <c r="T727" s="169" t="s">
        <v>68</v>
      </c>
      <c r="V727" s="169" t="str">
        <f t="shared" si="45"/>
        <v>GUNAY 3</v>
      </c>
      <c r="W727" s="169" t="s">
        <v>2707</v>
      </c>
    </row>
    <row r="728" spans="2:23" x14ac:dyDescent="0.25">
      <c r="B728" s="169" t="s">
        <v>92</v>
      </c>
      <c r="C728" s="169" t="s">
        <v>45</v>
      </c>
      <c r="D728" s="169" t="s">
        <v>161</v>
      </c>
      <c r="E728" s="169" t="s">
        <v>6143</v>
      </c>
      <c r="F728" s="245" t="str">
        <f t="shared" si="46"/>
        <v>Dhoz 71</v>
      </c>
      <c r="G728" s="169" t="s">
        <v>554</v>
      </c>
      <c r="I728" s="169" t="str">
        <f t="shared" si="44"/>
        <v>L05_DPVE_044E_DE_ISL</v>
      </c>
      <c r="J728" s="169" t="s">
        <v>6984</v>
      </c>
      <c r="K728" s="169">
        <f>IFERROR(MATCH(J728,'Final List'!$B$4:$B$252,0),0)</f>
        <v>0</v>
      </c>
      <c r="L728" s="169">
        <f>IFERROR(MATCH(J728,'Final List'!$D$4:$D$252,0),0)</f>
        <v>0</v>
      </c>
      <c r="M728" s="169">
        <f>IFERROR(MATCH(J728,'Final List'!$F$4:$F$251,0),0)</f>
        <v>0</v>
      </c>
      <c r="N728" s="169">
        <f>IFERROR(MATCH(J728,'Final List'!$H$4:$H$252,0),0)</f>
        <v>0</v>
      </c>
      <c r="O728" s="169">
        <f>IFERROR(MATCH(J728,'Final List'!$J$4:$J$252,0),0)</f>
        <v>0</v>
      </c>
      <c r="P728" s="169">
        <f>IFERROR(MATCH(J728,'Final List'!$L$4:$L$252,0),0)</f>
        <v>0</v>
      </c>
      <c r="Q728" s="169">
        <f>IFERROR(MATCH(J728,'Final List'!$N$4:$N$252,0),0)</f>
        <v>0</v>
      </c>
      <c r="R728" s="169">
        <f>IFERROR(MATCH(J728,'Final List'!$P$4:$P$252,0),0)</f>
        <v>0</v>
      </c>
      <c r="S728" s="169">
        <f t="shared" si="47"/>
        <v>0</v>
      </c>
      <c r="V728" s="169" t="str">
        <f t="shared" si="45"/>
        <v>PANCIT, NOEL 1</v>
      </c>
      <c r="W728" s="169" t="s">
        <v>2708</v>
      </c>
    </row>
    <row r="729" spans="2:23" x14ac:dyDescent="0.25">
      <c r="B729" s="169" t="s">
        <v>96</v>
      </c>
      <c r="C729" s="169" t="s">
        <v>42</v>
      </c>
      <c r="D729" s="169" t="s">
        <v>178</v>
      </c>
      <c r="E729" s="169" t="s">
        <v>211</v>
      </c>
      <c r="F729" s="245" t="str">
        <f t="shared" si="46"/>
        <v>StpS 77</v>
      </c>
      <c r="G729" s="169" t="s">
        <v>337</v>
      </c>
      <c r="H729" s="169" t="s">
        <v>5613</v>
      </c>
      <c r="I729" s="169" t="str">
        <f t="shared" si="44"/>
        <v>L09_JV_048E_STOPE PREP</v>
      </c>
      <c r="J729" s="169" t="s">
        <v>6986</v>
      </c>
      <c r="K729" s="169">
        <f>IFERROR(MATCH(J729,'Final List'!$B$4:$B$252,0),0)</f>
        <v>0</v>
      </c>
      <c r="L729" s="169">
        <f>IFERROR(MATCH(J729,'Final List'!$D$4:$D$252,0),0)</f>
        <v>0</v>
      </c>
      <c r="M729" s="169">
        <f>IFERROR(MATCH(J729,'Final List'!$F$4:$F$251,0),0)</f>
        <v>0</v>
      </c>
      <c r="N729" s="169">
        <f>IFERROR(MATCH(J729,'Final List'!$H$4:$H$252,0),0)</f>
        <v>0</v>
      </c>
      <c r="O729" s="169">
        <f>IFERROR(MATCH(J729,'Final List'!$J$4:$J$252,0),0)</f>
        <v>0</v>
      </c>
      <c r="P729" s="169">
        <f>IFERROR(MATCH(J729,'Final List'!$L$4:$L$252,0),0)</f>
        <v>0</v>
      </c>
      <c r="Q729" s="169">
        <f>IFERROR(MATCH(J729,'Final List'!$N$4:$N$252,0),0)</f>
        <v>0</v>
      </c>
      <c r="R729" s="169">
        <f>IFERROR(MATCH(J729,'Final List'!$P$4:$P$252,0),0)</f>
        <v>0</v>
      </c>
      <c r="S729" s="169">
        <f t="shared" si="47"/>
        <v>0</v>
      </c>
      <c r="T729" s="169" t="s">
        <v>68</v>
      </c>
      <c r="V729" s="169" t="str">
        <f t="shared" si="45"/>
        <v>PANSIT</v>
      </c>
      <c r="W729" s="169" t="s">
        <v>2712</v>
      </c>
    </row>
    <row r="730" spans="2:23" x14ac:dyDescent="0.25">
      <c r="B730" s="169" t="s">
        <v>96</v>
      </c>
      <c r="C730" s="169" t="s">
        <v>57</v>
      </c>
      <c r="D730" s="169" t="s">
        <v>170</v>
      </c>
      <c r="E730" s="169" t="s">
        <v>211</v>
      </c>
      <c r="F730" s="245" t="str">
        <f t="shared" si="46"/>
        <v>StpS 77</v>
      </c>
      <c r="G730" s="169" t="s">
        <v>6988</v>
      </c>
      <c r="I730" s="169" t="str">
        <f t="shared" si="44"/>
        <v>L09_JVSPLIT_071E_STOPE PREP</v>
      </c>
      <c r="J730" s="169" t="s">
        <v>3803</v>
      </c>
      <c r="K730" s="169">
        <f>IFERROR(MATCH(J730,'Final List'!$B$4:$B$252,0),0)</f>
        <v>0</v>
      </c>
      <c r="L730" s="169">
        <f>IFERROR(MATCH(J730,'Final List'!$D$4:$D$252,0),0)</f>
        <v>0</v>
      </c>
      <c r="M730" s="169">
        <f>IFERROR(MATCH(J730,'Final List'!$F$4:$F$251,0),0)</f>
        <v>0</v>
      </c>
      <c r="N730" s="169">
        <f>IFERROR(MATCH(J730,'Final List'!$H$4:$H$252,0),0)</f>
        <v>0</v>
      </c>
      <c r="O730" s="169">
        <f>IFERROR(MATCH(J730,'Final List'!$J$4:$J$252,0),0)</f>
        <v>0</v>
      </c>
      <c r="P730" s="169">
        <f>IFERROR(MATCH(J730,'Final List'!$L$4:$L$252,0),0)</f>
        <v>0</v>
      </c>
      <c r="Q730" s="169">
        <f>IFERROR(MATCH(J730,'Final List'!$N$4:$N$252,0),0)</f>
        <v>0</v>
      </c>
      <c r="R730" s="169">
        <f>IFERROR(MATCH(J730,'Final List'!$P$4:$P$252,0),0)</f>
        <v>0</v>
      </c>
      <c r="S730" s="169">
        <f t="shared" si="47"/>
        <v>0</v>
      </c>
      <c r="T730" s="169" t="s">
        <v>68</v>
      </c>
      <c r="V730" s="169" t="str">
        <f t="shared" si="45"/>
        <v>REBOTE, JOSLITO 1</v>
      </c>
      <c r="W730" s="169" t="s">
        <v>2712</v>
      </c>
    </row>
    <row r="731" spans="2:23" x14ac:dyDescent="0.25">
      <c r="B731" s="169" t="s">
        <v>94</v>
      </c>
      <c r="C731" s="169" t="s">
        <v>42</v>
      </c>
      <c r="D731" s="169" t="s">
        <v>108</v>
      </c>
      <c r="E731" s="169" t="s">
        <v>19</v>
      </c>
      <c r="F731" s="245" t="str">
        <f t="shared" si="46"/>
        <v>DVR 72</v>
      </c>
      <c r="G731" s="169" t="s">
        <v>5770</v>
      </c>
      <c r="I731" s="169" t="str">
        <f t="shared" si="44"/>
        <v>L07_JV_007W_RAISE</v>
      </c>
      <c r="J731" s="169" t="s">
        <v>4516</v>
      </c>
      <c r="K731" s="169">
        <f>IFERROR(MATCH(J731,'Final List'!$B$4:$B$252,0),0)</f>
        <v>0</v>
      </c>
      <c r="L731" s="169">
        <f>IFERROR(MATCH(J731,'Final List'!$D$4:$D$252,0),0)</f>
        <v>0</v>
      </c>
      <c r="M731" s="169">
        <f>IFERROR(MATCH(J731,'Final List'!$F$4:$F$251,0),0)</f>
        <v>0</v>
      </c>
      <c r="N731" s="169">
        <f>IFERROR(MATCH(J731,'Final List'!$H$4:$H$252,0),0)</f>
        <v>0</v>
      </c>
      <c r="O731" s="169">
        <f>IFERROR(MATCH(J731,'Final List'!$J$4:$J$252,0),0)</f>
        <v>0</v>
      </c>
      <c r="P731" s="169">
        <f>IFERROR(MATCH(J731,'Final List'!$L$4:$L$252,0),0)</f>
        <v>0</v>
      </c>
      <c r="Q731" s="169">
        <f>IFERROR(MATCH(J731,'Final List'!$N$4:$N$252,0),0)</f>
        <v>0</v>
      </c>
      <c r="R731" s="169">
        <f>IFERROR(MATCH(J731,'Final List'!$P$4:$P$252,0),0)</f>
        <v>0</v>
      </c>
      <c r="S731" s="169">
        <f t="shared" si="47"/>
        <v>0</v>
      </c>
      <c r="V731" s="169" t="str">
        <f t="shared" si="45"/>
        <v>SHEPHERD AK 2</v>
      </c>
      <c r="W731" s="169" t="s">
        <v>2715</v>
      </c>
    </row>
    <row r="732" spans="2:23" x14ac:dyDescent="0.25">
      <c r="B732" s="169" t="s">
        <v>258</v>
      </c>
      <c r="C732" s="169" t="s">
        <v>45</v>
      </c>
      <c r="D732" s="169" t="s">
        <v>122</v>
      </c>
      <c r="E732" s="169" t="s">
        <v>19</v>
      </c>
      <c r="F732" s="245" t="str">
        <f t="shared" si="46"/>
        <v>DVR 72</v>
      </c>
      <c r="G732" s="169" t="s">
        <v>5957</v>
      </c>
      <c r="H732" s="169" t="s">
        <v>10895</v>
      </c>
      <c r="I732" s="169" t="str">
        <f t="shared" si="44"/>
        <v>L10_DPVE_025E_RAISE</v>
      </c>
      <c r="J732" s="169" t="s">
        <v>6993</v>
      </c>
      <c r="K732" s="169">
        <f>IFERROR(MATCH(J732,'Final List'!$B$4:$B$252,0),0)</f>
        <v>0</v>
      </c>
      <c r="L732" s="169">
        <f>IFERROR(MATCH(J732,'Final List'!$D$4:$D$252,0),0)</f>
        <v>0</v>
      </c>
      <c r="M732" s="169">
        <f>IFERROR(MATCH(J732,'Final List'!$F$4:$F$251,0),0)</f>
        <v>0</v>
      </c>
      <c r="N732" s="169">
        <f>IFERROR(MATCH(J732,'Final List'!$H$4:$H$252,0),0)</f>
        <v>0</v>
      </c>
      <c r="O732" s="169">
        <f>IFERROR(MATCH(J732,'Final List'!$J$4:$J$252,0),0)</f>
        <v>0</v>
      </c>
      <c r="P732" s="169">
        <f>IFERROR(MATCH(J732,'Final List'!$L$4:$L$252,0),0)</f>
        <v>0</v>
      </c>
      <c r="Q732" s="169">
        <f>IFERROR(MATCH(J732,'Final List'!$N$4:$N$252,0),0)</f>
        <v>0</v>
      </c>
      <c r="R732" s="169">
        <f>IFERROR(MATCH(J732,'Final List'!$P$4:$P$252,0),0)</f>
        <v>0</v>
      </c>
      <c r="S732" s="169">
        <f t="shared" si="47"/>
        <v>0</v>
      </c>
      <c r="V732" s="169" t="str">
        <f t="shared" si="45"/>
        <v>SHEPHERD BC 1</v>
      </c>
      <c r="W732" s="169" t="s">
        <v>2715</v>
      </c>
    </row>
    <row r="733" spans="2:23" x14ac:dyDescent="0.25">
      <c r="B733" s="169" t="s">
        <v>94</v>
      </c>
      <c r="C733" s="169" t="s">
        <v>45</v>
      </c>
      <c r="D733" s="169" t="s">
        <v>172</v>
      </c>
      <c r="E733" s="169" t="s">
        <v>19</v>
      </c>
      <c r="F733" s="245" t="str">
        <f t="shared" si="46"/>
        <v>DVR 72</v>
      </c>
      <c r="G733" s="169" t="s">
        <v>6432</v>
      </c>
      <c r="I733" s="169" t="str">
        <f t="shared" ref="I733:I796" si="48">CONCATENATE(B733,"_",C733,"_",D733,"_",E733)</f>
        <v>L07_DPVE_045E_RAISE</v>
      </c>
      <c r="J733" s="169" t="s">
        <v>1304</v>
      </c>
      <c r="K733" s="169">
        <f>IFERROR(MATCH(J733,'Final List'!$B$4:$B$252,0),0)</f>
        <v>0</v>
      </c>
      <c r="L733" s="169">
        <f>IFERROR(MATCH(J733,'Final List'!$D$4:$D$252,0),0)</f>
        <v>0</v>
      </c>
      <c r="M733" s="169">
        <f>IFERROR(MATCH(J733,'Final List'!$F$4:$F$251,0),0)</f>
        <v>0</v>
      </c>
      <c r="N733" s="169">
        <f>IFERROR(MATCH(J733,'Final List'!$H$4:$H$252,0),0)</f>
        <v>0</v>
      </c>
      <c r="O733" s="169">
        <f>IFERROR(MATCH(J733,'Final List'!$J$4:$J$252,0),0)</f>
        <v>0</v>
      </c>
      <c r="P733" s="169">
        <f>IFERROR(MATCH(J733,'Final List'!$L$4:$L$252,0),0)</f>
        <v>0</v>
      </c>
      <c r="Q733" s="169">
        <f>IFERROR(MATCH(J733,'Final List'!$N$4:$N$252,0),0)</f>
        <v>0</v>
      </c>
      <c r="R733" s="169">
        <f>IFERROR(MATCH(J733,'Final List'!$P$4:$P$252,0),0)</f>
        <v>0</v>
      </c>
      <c r="S733" s="169">
        <f t="shared" si="47"/>
        <v>0</v>
      </c>
      <c r="V733" s="169" t="str">
        <f t="shared" si="45"/>
        <v>CARIKITAN</v>
      </c>
      <c r="W733" s="169" t="s">
        <v>2715</v>
      </c>
    </row>
    <row r="734" spans="2:23" x14ac:dyDescent="0.25">
      <c r="B734" s="169" t="s">
        <v>94</v>
      </c>
      <c r="C734" s="169" t="s">
        <v>57</v>
      </c>
      <c r="D734" s="169" t="s">
        <v>218</v>
      </c>
      <c r="E734" s="169" t="s">
        <v>19</v>
      </c>
      <c r="F734" s="245" t="str">
        <f t="shared" si="46"/>
        <v>DVR 72</v>
      </c>
      <c r="G734" s="169" t="s">
        <v>324</v>
      </c>
      <c r="I734" s="169" t="str">
        <f t="shared" si="48"/>
        <v>L07_JVSPLIT_062E_RAISE</v>
      </c>
      <c r="J734" s="169" t="s">
        <v>7035</v>
      </c>
      <c r="K734" s="169">
        <f>IFERROR(MATCH(J734,'Final List'!$B$4:$B$252,0),0)</f>
        <v>0</v>
      </c>
      <c r="L734" s="169">
        <f>IFERROR(MATCH(J734,'Final List'!$D$4:$D$252,0),0)</f>
        <v>0</v>
      </c>
      <c r="M734" s="169">
        <f>IFERROR(MATCH(J734,'Final List'!$F$4:$F$251,0),0)</f>
        <v>0</v>
      </c>
      <c r="N734" s="169">
        <f>IFERROR(MATCH(J734,'Final List'!$H$4:$H$252,0),0)</f>
        <v>0</v>
      </c>
      <c r="O734" s="169">
        <f>IFERROR(MATCH(J734,'Final List'!$J$4:$J$252,0),0)</f>
        <v>0</v>
      </c>
      <c r="P734" s="169">
        <f>IFERROR(MATCH(J734,'Final List'!$L$4:$L$252,0),0)</f>
        <v>0</v>
      </c>
      <c r="Q734" s="169">
        <f>IFERROR(MATCH(J734,'Final List'!$N$4:$N$252,0),0)</f>
        <v>0</v>
      </c>
      <c r="R734" s="169">
        <f>IFERROR(MATCH(J734,'Final List'!$P$4:$P$252,0),0)</f>
        <v>0</v>
      </c>
      <c r="S734" s="169">
        <f t="shared" si="47"/>
        <v>0</v>
      </c>
      <c r="V734" s="169" t="str">
        <f t="shared" si="45"/>
        <v>CAYABAS 1</v>
      </c>
      <c r="W734" s="169" t="s">
        <v>2715</v>
      </c>
    </row>
    <row r="735" spans="2:23" x14ac:dyDescent="0.25">
      <c r="B735" s="169" t="s">
        <v>96</v>
      </c>
      <c r="C735" s="169" t="s">
        <v>43</v>
      </c>
      <c r="D735" s="169" t="s">
        <v>205</v>
      </c>
      <c r="E735" s="169" t="s">
        <v>211</v>
      </c>
      <c r="F735" s="245" t="str">
        <f t="shared" si="46"/>
        <v>StpS 77</v>
      </c>
      <c r="G735" s="169" t="s">
        <v>745</v>
      </c>
      <c r="I735" s="169" t="str">
        <f t="shared" si="48"/>
        <v>L09_GHVSPLIT_066E_STOPE PREP</v>
      </c>
      <c r="J735" s="169" t="s">
        <v>6989</v>
      </c>
      <c r="K735" s="169">
        <f>IFERROR(MATCH(J735,'Final List'!$B$4:$B$252,0),0)</f>
        <v>0</v>
      </c>
      <c r="L735" s="169">
        <f>IFERROR(MATCH(J735,'Final List'!$D$4:$D$252,0),0)</f>
        <v>0</v>
      </c>
      <c r="M735" s="169">
        <f>IFERROR(MATCH(J735,'Final List'!$F$4:$F$251,0),0)</f>
        <v>0</v>
      </c>
      <c r="N735" s="169">
        <f>IFERROR(MATCH(J735,'Final List'!$H$4:$H$252,0),0)</f>
        <v>0</v>
      </c>
      <c r="O735" s="169">
        <f>IFERROR(MATCH(J735,'Final List'!$J$4:$J$252,0),0)</f>
        <v>0</v>
      </c>
      <c r="P735" s="169">
        <f>IFERROR(MATCH(J735,'Final List'!$L$4:$L$252,0),0)</f>
        <v>0</v>
      </c>
      <c r="Q735" s="169">
        <f>IFERROR(MATCH(J735,'Final List'!$N$4:$N$252,0),0)</f>
        <v>0</v>
      </c>
      <c r="R735" s="169">
        <f>IFERROR(MATCH(J735,'Final List'!$P$4:$P$252,0),0)</f>
        <v>0</v>
      </c>
      <c r="S735" s="169">
        <f t="shared" si="47"/>
        <v>0</v>
      </c>
      <c r="T735" s="169" t="s">
        <v>68</v>
      </c>
      <c r="V735" s="169" t="str">
        <f t="shared" si="45"/>
        <v>CANOY 2</v>
      </c>
      <c r="W735" s="169" t="s">
        <v>2712</v>
      </c>
    </row>
    <row r="736" spans="2:23" x14ac:dyDescent="0.25">
      <c r="B736" s="169" t="s">
        <v>92</v>
      </c>
      <c r="C736" s="169" t="s">
        <v>41</v>
      </c>
      <c r="D736" s="169" t="s">
        <v>6714</v>
      </c>
      <c r="E736" s="169" t="s">
        <v>36</v>
      </c>
      <c r="F736" s="245" t="str">
        <f t="shared" si="46"/>
        <v>StpS 77</v>
      </c>
      <c r="G736" s="169" t="s">
        <v>3659</v>
      </c>
      <c r="I736" s="169" t="str">
        <f t="shared" si="48"/>
        <v>L05_CTV_037W_STOPE</v>
      </c>
      <c r="J736" s="169" t="s">
        <v>7000</v>
      </c>
      <c r="K736" s="169">
        <f>IFERROR(MATCH(J736,'Final List'!$B$4:$B$252,0),0)</f>
        <v>0</v>
      </c>
      <c r="L736" s="169">
        <f>IFERROR(MATCH(J736,'Final List'!$D$4:$D$252,0),0)</f>
        <v>0</v>
      </c>
      <c r="M736" s="169">
        <f>IFERROR(MATCH(J736,'Final List'!$F$4:$F$251,0),0)</f>
        <v>0</v>
      </c>
      <c r="N736" s="169">
        <f>IFERROR(MATCH(J736,'Final List'!$H$4:$H$252,0),0)</f>
        <v>0</v>
      </c>
      <c r="O736" s="169">
        <f>IFERROR(MATCH(J736,'Final List'!$J$4:$J$252,0),0)</f>
        <v>0</v>
      </c>
      <c r="P736" s="169">
        <f>IFERROR(MATCH(J736,'Final List'!$L$4:$L$252,0),0)</f>
        <v>0</v>
      </c>
      <c r="Q736" s="169">
        <f>IFERROR(MATCH(J736,'Final List'!$N$4:$N$252,0),0)</f>
        <v>0</v>
      </c>
      <c r="R736" s="169">
        <f>IFERROR(MATCH(J736,'Final List'!$P$4:$P$252,0),0)</f>
        <v>0</v>
      </c>
      <c r="S736" s="169">
        <f t="shared" si="47"/>
        <v>0</v>
      </c>
      <c r="T736" s="169" t="s">
        <v>68</v>
      </c>
      <c r="V736" s="169" t="str">
        <f t="shared" si="45"/>
        <v>SHEPHERD AD 2</v>
      </c>
      <c r="W736" s="169" t="s">
        <v>2711</v>
      </c>
    </row>
    <row r="737" spans="2:23" x14ac:dyDescent="0.25">
      <c r="B737" s="169" t="s">
        <v>95</v>
      </c>
      <c r="C737" s="169" t="s">
        <v>38</v>
      </c>
      <c r="D737" s="169" t="s">
        <v>6518</v>
      </c>
      <c r="E737" s="169" t="s">
        <v>211</v>
      </c>
      <c r="F737" s="245" t="str">
        <f t="shared" si="46"/>
        <v>StpS 77</v>
      </c>
      <c r="G737" s="169" t="s">
        <v>386</v>
      </c>
      <c r="I737" s="169" t="str">
        <f t="shared" si="48"/>
        <v>L08_GHV_007E_STOPE PREP</v>
      </c>
      <c r="J737" s="169" t="s">
        <v>7001</v>
      </c>
      <c r="K737" s="169">
        <f>IFERROR(MATCH(J737,'Final List'!$B$4:$B$252,0),0)</f>
        <v>0</v>
      </c>
      <c r="L737" s="169">
        <f>IFERROR(MATCH(J737,'Final List'!$D$4:$D$252,0),0)</f>
        <v>0</v>
      </c>
      <c r="M737" s="169">
        <f>IFERROR(MATCH(J737,'Final List'!$F$4:$F$251,0),0)</f>
        <v>0</v>
      </c>
      <c r="N737" s="169">
        <f>IFERROR(MATCH(J737,'Final List'!$H$4:$H$252,0),0)</f>
        <v>0</v>
      </c>
      <c r="O737" s="169">
        <f>IFERROR(MATCH(J737,'Final List'!$J$4:$J$252,0),0)</f>
        <v>0</v>
      </c>
      <c r="P737" s="169">
        <f>IFERROR(MATCH(J737,'Final List'!$L$4:$L$252,0),0)</f>
        <v>0</v>
      </c>
      <c r="Q737" s="169">
        <f>IFERROR(MATCH(J737,'Final List'!$N$4:$N$252,0),0)</f>
        <v>0</v>
      </c>
      <c r="R737" s="169">
        <f>IFERROR(MATCH(J737,'Final List'!$P$4:$P$252,0),0)</f>
        <v>0</v>
      </c>
      <c r="S737" s="169">
        <f t="shared" si="47"/>
        <v>0</v>
      </c>
      <c r="T737" s="169" t="s">
        <v>68</v>
      </c>
      <c r="V737" s="169" t="str">
        <f t="shared" si="45"/>
        <v>REVITA 1</v>
      </c>
      <c r="W737" s="169" t="s">
        <v>2712</v>
      </c>
    </row>
    <row r="738" spans="2:23" x14ac:dyDescent="0.25">
      <c r="B738" s="169" t="s">
        <v>96</v>
      </c>
      <c r="C738" s="169" t="s">
        <v>57</v>
      </c>
      <c r="D738" s="169" t="s">
        <v>197</v>
      </c>
      <c r="E738" s="169" t="s">
        <v>211</v>
      </c>
      <c r="F738" s="245" t="str">
        <f t="shared" si="46"/>
        <v>StpS 77</v>
      </c>
      <c r="G738" s="169" t="s">
        <v>746</v>
      </c>
      <c r="I738" s="169" t="str">
        <f t="shared" si="48"/>
        <v>L09_JVSPLIT_070E_STOPE PREP</v>
      </c>
      <c r="J738" s="169" t="s">
        <v>7005</v>
      </c>
      <c r="K738" s="169">
        <f>IFERROR(MATCH(J738,'Final List'!$B$4:$B$252,0),0)</f>
        <v>0</v>
      </c>
      <c r="L738" s="169">
        <f>IFERROR(MATCH(J738,'Final List'!$D$4:$D$252,0),0)</f>
        <v>0</v>
      </c>
      <c r="M738" s="169">
        <f>IFERROR(MATCH(J738,'Final List'!$F$4:$F$251,0),0)</f>
        <v>0</v>
      </c>
      <c r="N738" s="169">
        <f>IFERROR(MATCH(J738,'Final List'!$H$4:$H$252,0),0)</f>
        <v>0</v>
      </c>
      <c r="O738" s="169">
        <f>IFERROR(MATCH(J738,'Final List'!$J$4:$J$252,0),0)</f>
        <v>0</v>
      </c>
      <c r="P738" s="169">
        <f>IFERROR(MATCH(J738,'Final List'!$L$4:$L$252,0),0)</f>
        <v>0</v>
      </c>
      <c r="Q738" s="169">
        <f>IFERROR(MATCH(J738,'Final List'!$N$4:$N$252,0),0)</f>
        <v>0</v>
      </c>
      <c r="R738" s="169">
        <f>IFERROR(MATCH(J738,'Final List'!$P$4:$P$252,0),0)</f>
        <v>0</v>
      </c>
      <c r="S738" s="169">
        <f t="shared" si="47"/>
        <v>0</v>
      </c>
      <c r="T738" s="169" t="s">
        <v>68</v>
      </c>
      <c r="V738" s="169" t="str">
        <f t="shared" si="45"/>
        <v>CANOY 1</v>
      </c>
      <c r="W738" s="169" t="s">
        <v>2712</v>
      </c>
    </row>
    <row r="739" spans="2:23" x14ac:dyDescent="0.25">
      <c r="B739" s="169" t="s">
        <v>96</v>
      </c>
      <c r="C739" s="169" t="s">
        <v>42</v>
      </c>
      <c r="D739" s="169" t="s">
        <v>168</v>
      </c>
      <c r="E739" s="169" t="s">
        <v>19</v>
      </c>
      <c r="F739" s="245" t="str">
        <f t="shared" si="46"/>
        <v>DVR 72</v>
      </c>
      <c r="G739" s="169" t="s">
        <v>349</v>
      </c>
      <c r="I739" s="169" t="str">
        <f t="shared" si="48"/>
        <v>L09_JV_047E_RAISE</v>
      </c>
      <c r="J739" s="169" t="s">
        <v>11346</v>
      </c>
      <c r="K739" s="169">
        <f>IFERROR(MATCH(J739,'Final List'!$B$4:$B$252,0),0)</f>
        <v>0</v>
      </c>
      <c r="L739" s="169">
        <f>IFERROR(MATCH(J739,'Final List'!$D$4:$D$252,0),0)</f>
        <v>0</v>
      </c>
      <c r="M739" s="169">
        <f>IFERROR(MATCH(J739,'Final List'!$F$4:$F$251,0),0)</f>
        <v>0</v>
      </c>
      <c r="N739" s="169">
        <f>IFERROR(MATCH(J739,'Final List'!$H$4:$H$252,0),0)</f>
        <v>0</v>
      </c>
      <c r="O739" s="169">
        <f>IFERROR(MATCH(J739,'Final List'!$J$4:$J$252,0),0)</f>
        <v>0</v>
      </c>
      <c r="P739" s="169">
        <f>IFERROR(MATCH(J739,'Final List'!$L$4:$L$252,0),0)</f>
        <v>0</v>
      </c>
      <c r="Q739" s="169">
        <f>IFERROR(MATCH(J739,'Final List'!$N$4:$N$252,0),0)</f>
        <v>0</v>
      </c>
      <c r="R739" s="169">
        <f>IFERROR(MATCH(J739,'Final List'!$P$4:$P$252,0),0)</f>
        <v>0</v>
      </c>
      <c r="S739" s="169">
        <f t="shared" si="47"/>
        <v>0</v>
      </c>
      <c r="V739" s="169" t="str">
        <f t="shared" si="45"/>
        <v>QUIJANO 2</v>
      </c>
      <c r="W739" s="169" t="s">
        <v>2715</v>
      </c>
    </row>
    <row r="740" spans="2:23" x14ac:dyDescent="0.25">
      <c r="B740" s="169" t="s">
        <v>96</v>
      </c>
      <c r="C740" s="169" t="s">
        <v>57</v>
      </c>
      <c r="D740" s="169" t="s">
        <v>5872</v>
      </c>
      <c r="E740" s="169" t="s">
        <v>60</v>
      </c>
      <c r="F740" s="245" t="str">
        <f t="shared" si="46"/>
        <v>Dhoz 71</v>
      </c>
      <c r="G740" s="169" t="s">
        <v>677</v>
      </c>
      <c r="I740" s="169" t="str">
        <f t="shared" si="48"/>
        <v>L09_JVSPLIT_076E_DE</v>
      </c>
      <c r="J740" s="169" t="s">
        <v>7007</v>
      </c>
      <c r="K740" s="169">
        <f>IFERROR(MATCH(J740,'Final List'!$B$4:$B$252,0),0)</f>
        <v>0</v>
      </c>
      <c r="L740" s="169">
        <f>IFERROR(MATCH(J740,'Final List'!$D$4:$D$252,0),0)</f>
        <v>0</v>
      </c>
      <c r="M740" s="169">
        <f>IFERROR(MATCH(J740,'Final List'!$F$4:$F$251,0),0)</f>
        <v>0</v>
      </c>
      <c r="N740" s="169">
        <f>IFERROR(MATCH(J740,'Final List'!$H$4:$H$252,0),0)</f>
        <v>0</v>
      </c>
      <c r="O740" s="169">
        <f>IFERROR(MATCH(J740,'Final List'!$J$4:$J$252,0),0)</f>
        <v>0</v>
      </c>
      <c r="P740" s="169">
        <f>IFERROR(MATCH(J740,'Final List'!$L$4:$L$252,0),0)</f>
        <v>0</v>
      </c>
      <c r="Q740" s="169">
        <f>IFERROR(MATCH(J740,'Final List'!$N$4:$N$252,0),0)</f>
        <v>0</v>
      </c>
      <c r="R740" s="169">
        <f>IFERROR(MATCH(J740,'Final List'!$P$4:$P$252,0),0)</f>
        <v>0</v>
      </c>
      <c r="S740" s="169">
        <f t="shared" si="47"/>
        <v>0</v>
      </c>
      <c r="V740" s="169" t="str">
        <f t="shared" si="45"/>
        <v>PANSIT 6</v>
      </c>
      <c r="W740" s="169" t="s">
        <v>8896</v>
      </c>
    </row>
    <row r="741" spans="2:23" x14ac:dyDescent="0.25">
      <c r="B741" s="169" t="s">
        <v>91</v>
      </c>
      <c r="C741" s="169" t="s">
        <v>43</v>
      </c>
      <c r="D741" s="169" t="s">
        <v>104</v>
      </c>
      <c r="E741" s="169" t="s">
        <v>211</v>
      </c>
      <c r="F741" s="245" t="str">
        <f t="shared" si="46"/>
        <v>StpS 77</v>
      </c>
      <c r="G741" s="217" t="s">
        <v>7132</v>
      </c>
      <c r="I741" s="169" t="str">
        <f t="shared" si="48"/>
        <v>L04_GHVSPLIT_029W_STOPE PREP</v>
      </c>
      <c r="J741" s="169" t="s">
        <v>7008</v>
      </c>
      <c r="K741" s="169">
        <f>IFERROR(MATCH(J741,'Final List'!$B$4:$B$252,0),0)</f>
        <v>0</v>
      </c>
      <c r="L741" s="169">
        <f>IFERROR(MATCH(J741,'Final List'!$D$4:$D$252,0),0)</f>
        <v>0</v>
      </c>
      <c r="M741" s="169">
        <f>IFERROR(MATCH(J741,'Final List'!$F$4:$F$251,0),0)</f>
        <v>0</v>
      </c>
      <c r="N741" s="169">
        <f>IFERROR(MATCH(J741,'Final List'!$H$4:$H$252,0),0)</f>
        <v>0</v>
      </c>
      <c r="O741" s="169">
        <f>IFERROR(MATCH(J741,'Final List'!$J$4:$J$252,0),0)</f>
        <v>0</v>
      </c>
      <c r="P741" s="169">
        <f>IFERROR(MATCH(J741,'Final List'!$L$4:$L$252,0),0)</f>
        <v>0</v>
      </c>
      <c r="Q741" s="169">
        <f>IFERROR(MATCH(J741,'Final List'!$N$4:$N$252,0),0)</f>
        <v>0</v>
      </c>
      <c r="R741" s="169">
        <f>IFERROR(MATCH(J741,'Final List'!$P$4:$P$252,0),0)</f>
        <v>0</v>
      </c>
      <c r="S741" s="169">
        <f t="shared" si="47"/>
        <v>0</v>
      </c>
      <c r="T741" s="169" t="s">
        <v>68</v>
      </c>
      <c r="V741" s="169" t="str">
        <f t="shared" si="45"/>
        <v>SHEPHERD AQ</v>
      </c>
      <c r="W741" s="169" t="s">
        <v>2712</v>
      </c>
    </row>
    <row r="742" spans="2:23" x14ac:dyDescent="0.25">
      <c r="B742" s="169" t="s">
        <v>91</v>
      </c>
      <c r="C742" s="169" t="s">
        <v>87</v>
      </c>
      <c r="D742" s="169" t="s">
        <v>99</v>
      </c>
      <c r="E742" s="169" t="s">
        <v>6143</v>
      </c>
      <c r="F742" s="245" t="str">
        <f t="shared" si="46"/>
        <v>Dhoz 71</v>
      </c>
      <c r="G742" s="169" t="s">
        <v>310</v>
      </c>
      <c r="I742" s="169" t="str">
        <f t="shared" si="48"/>
        <v>L04_NONE_028W_DE_ISL</v>
      </c>
      <c r="J742" s="169" t="s">
        <v>7011</v>
      </c>
      <c r="K742" s="169">
        <f>IFERROR(MATCH(J742,'Final List'!$B$4:$B$252,0),0)</f>
        <v>0</v>
      </c>
      <c r="L742" s="169">
        <f>IFERROR(MATCH(J742,'Final List'!$D$4:$D$252,0),0)</f>
        <v>0</v>
      </c>
      <c r="M742" s="169">
        <f>IFERROR(MATCH(J742,'Final List'!$F$4:$F$251,0),0)</f>
        <v>0</v>
      </c>
      <c r="N742" s="169">
        <f>IFERROR(MATCH(J742,'Final List'!$H$4:$H$252,0),0)</f>
        <v>0</v>
      </c>
      <c r="O742" s="169">
        <f>IFERROR(MATCH(J742,'Final List'!$J$4:$J$252,0),0)</f>
        <v>0</v>
      </c>
      <c r="P742" s="169">
        <f>IFERROR(MATCH(J742,'Final List'!$L$4:$L$252,0),0)</f>
        <v>0</v>
      </c>
      <c r="Q742" s="169">
        <f>IFERROR(MATCH(J742,'Final List'!$N$4:$N$252,0),0)</f>
        <v>0</v>
      </c>
      <c r="R742" s="169">
        <f>IFERROR(MATCH(J742,'Final List'!$P$4:$P$252,0),0)</f>
        <v>0</v>
      </c>
      <c r="S742" s="169">
        <f t="shared" si="47"/>
        <v>0</v>
      </c>
      <c r="V742" s="169" t="str">
        <f t="shared" si="45"/>
        <v>MARTINEZ DN 1</v>
      </c>
      <c r="W742" s="169" t="s">
        <v>2708</v>
      </c>
    </row>
    <row r="743" spans="2:23" x14ac:dyDescent="0.25">
      <c r="B743" s="169" t="s">
        <v>91</v>
      </c>
      <c r="C743" s="169" t="s">
        <v>87</v>
      </c>
      <c r="D743" s="169" t="s">
        <v>129</v>
      </c>
      <c r="E743" s="169" t="s">
        <v>37</v>
      </c>
      <c r="F743" s="245" t="str">
        <f t="shared" si="46"/>
        <v>Dhoz 71</v>
      </c>
      <c r="G743" s="169" t="s">
        <v>5714</v>
      </c>
      <c r="I743" s="169" t="str">
        <f t="shared" si="48"/>
        <v>L04_NONE_010E_XCN</v>
      </c>
      <c r="J743" s="169" t="s">
        <v>7013</v>
      </c>
      <c r="K743" s="169">
        <f>IFERROR(MATCH(J743,'Final List'!$B$4:$B$252,0),0)</f>
        <v>0</v>
      </c>
      <c r="L743" s="169">
        <f>IFERROR(MATCH(J743,'Final List'!$D$4:$D$252,0),0)</f>
        <v>0</v>
      </c>
      <c r="M743" s="169">
        <f>IFERROR(MATCH(J743,'Final List'!$F$4:$F$251,0),0)</f>
        <v>0</v>
      </c>
      <c r="N743" s="169">
        <f>IFERROR(MATCH(J743,'Final List'!$H$4:$H$252,0),0)</f>
        <v>0</v>
      </c>
      <c r="O743" s="169">
        <f>IFERROR(MATCH(J743,'Final List'!$J$4:$J$252,0),0)</f>
        <v>0</v>
      </c>
      <c r="P743" s="169">
        <f>IFERROR(MATCH(J743,'Final List'!$L$4:$L$252,0),0)</f>
        <v>0</v>
      </c>
      <c r="Q743" s="169">
        <f>IFERROR(MATCH(J743,'Final List'!$N$4:$N$252,0),0)</f>
        <v>0</v>
      </c>
      <c r="R743" s="169">
        <f>IFERROR(MATCH(J743,'Final List'!$P$4:$P$252,0),0)</f>
        <v>0</v>
      </c>
      <c r="S743" s="169">
        <f t="shared" si="47"/>
        <v>0</v>
      </c>
      <c r="V743" s="169" t="str">
        <f t="shared" si="45"/>
        <v>MARTINEZ, RON 2</v>
      </c>
      <c r="W743" s="169" t="s">
        <v>8897</v>
      </c>
    </row>
    <row r="744" spans="2:23" x14ac:dyDescent="0.25">
      <c r="B744" s="169" t="s">
        <v>258</v>
      </c>
      <c r="C744" s="169" t="s">
        <v>45</v>
      </c>
      <c r="D744" s="169" t="s">
        <v>130</v>
      </c>
      <c r="E744" s="169" t="s">
        <v>36</v>
      </c>
      <c r="F744" s="245" t="str">
        <f t="shared" si="46"/>
        <v>StpS 77</v>
      </c>
      <c r="G744" s="169" t="s">
        <v>360</v>
      </c>
      <c r="I744" s="169" t="str">
        <f t="shared" si="48"/>
        <v>L10_DPVE_036E_STOPE</v>
      </c>
      <c r="J744" s="169" t="s">
        <v>7003</v>
      </c>
      <c r="K744" s="169">
        <f>IFERROR(MATCH(J744,'Final List'!$B$4:$B$252,0),0)</f>
        <v>0</v>
      </c>
      <c r="L744" s="169">
        <f>IFERROR(MATCH(J744,'Final List'!$D$4:$D$252,0),0)</f>
        <v>0</v>
      </c>
      <c r="M744" s="169">
        <f>IFERROR(MATCH(J744,'Final List'!$F$4:$F$251,0),0)</f>
        <v>0</v>
      </c>
      <c r="N744" s="169">
        <f>IFERROR(MATCH(J744,'Final List'!$H$4:$H$252,0),0)</f>
        <v>0</v>
      </c>
      <c r="O744" s="169">
        <f>IFERROR(MATCH(J744,'Final List'!$J$4:$J$252,0),0)</f>
        <v>0</v>
      </c>
      <c r="P744" s="169">
        <f>IFERROR(MATCH(J744,'Final List'!$L$4:$L$252,0),0)</f>
        <v>0</v>
      </c>
      <c r="Q744" s="169">
        <f>IFERROR(MATCH(J744,'Final List'!$N$4:$N$252,0),0)</f>
        <v>0</v>
      </c>
      <c r="R744" s="169">
        <f>IFERROR(MATCH(J744,'Final List'!$P$4:$P$252,0),0)</f>
        <v>0</v>
      </c>
      <c r="S744" s="169">
        <f t="shared" si="47"/>
        <v>0</v>
      </c>
      <c r="T744" s="169" t="s">
        <v>68</v>
      </c>
      <c r="V744" s="169" t="str">
        <f t="shared" si="45"/>
        <v>ALMASA 1</v>
      </c>
      <c r="W744" s="169" t="s">
        <v>2713</v>
      </c>
    </row>
    <row r="745" spans="2:23" x14ac:dyDescent="0.25">
      <c r="B745" s="169" t="s">
        <v>96</v>
      </c>
      <c r="C745" s="169" t="s">
        <v>55</v>
      </c>
      <c r="D745" s="169" t="s">
        <v>176</v>
      </c>
      <c r="E745" s="169" t="s">
        <v>36</v>
      </c>
      <c r="F745" s="245" t="str">
        <f t="shared" si="46"/>
        <v>StpL 78</v>
      </c>
      <c r="G745" s="169" t="s">
        <v>7017</v>
      </c>
      <c r="I745" s="169" t="str">
        <f t="shared" si="48"/>
        <v>L09_JVFW_057E_STOPE</v>
      </c>
      <c r="J745" s="169" t="s">
        <v>729</v>
      </c>
      <c r="K745" s="169">
        <f>IFERROR(MATCH(J745,'Final List'!$B$4:$B$252,0),0)</f>
        <v>0</v>
      </c>
      <c r="L745" s="169">
        <f>IFERROR(MATCH(J745,'Final List'!$D$4:$D$252,0),0)</f>
        <v>0</v>
      </c>
      <c r="M745" s="169">
        <f>IFERROR(MATCH(J745,'Final List'!$F$4:$F$251,0),0)</f>
        <v>0</v>
      </c>
      <c r="N745" s="169">
        <f>IFERROR(MATCH(J745,'Final List'!$H$4:$H$252,0),0)</f>
        <v>0</v>
      </c>
      <c r="O745" s="169">
        <f>IFERROR(MATCH(J745,'Final List'!$J$4:$J$252,0),0)</f>
        <v>0</v>
      </c>
      <c r="P745" s="169">
        <f>IFERROR(MATCH(J745,'Final List'!$L$4:$L$252,0),0)</f>
        <v>0</v>
      </c>
      <c r="Q745" s="169">
        <f>IFERROR(MATCH(J745,'Final List'!$N$4:$N$252,0),0)</f>
        <v>0</v>
      </c>
      <c r="R745" s="169">
        <f>IFERROR(MATCH(J745,'Final List'!$P$4:$P$252,0),0)</f>
        <v>0</v>
      </c>
      <c r="S745" s="169">
        <f t="shared" si="47"/>
        <v>0</v>
      </c>
      <c r="T745" s="169" t="s">
        <v>48</v>
      </c>
      <c r="V745" s="169" t="str">
        <f t="shared" si="45"/>
        <v>PANSIT  5</v>
      </c>
      <c r="W745" s="169" t="s">
        <v>2713</v>
      </c>
    </row>
    <row r="746" spans="2:23" x14ac:dyDescent="0.25">
      <c r="B746" s="169" t="s">
        <v>91</v>
      </c>
      <c r="C746" s="169" t="s">
        <v>55</v>
      </c>
      <c r="D746" s="169" t="s">
        <v>5741</v>
      </c>
      <c r="E746" s="169" t="s">
        <v>61</v>
      </c>
      <c r="F746" s="245" t="str">
        <f t="shared" si="46"/>
        <v>Dhoz 71</v>
      </c>
      <c r="G746" s="169" t="s">
        <v>448</v>
      </c>
      <c r="I746" s="169" t="str">
        <f t="shared" si="48"/>
        <v>L04_JVFW_035E_DW</v>
      </c>
      <c r="J746" s="169" t="s">
        <v>7021</v>
      </c>
      <c r="K746" s="169">
        <f>IFERROR(MATCH(J746,'Final List'!$B$4:$B$252,0),0)</f>
        <v>0</v>
      </c>
      <c r="L746" s="169">
        <f>IFERROR(MATCH(J746,'Final List'!$D$4:$D$252,0),0)</f>
        <v>0</v>
      </c>
      <c r="M746" s="169">
        <f>IFERROR(MATCH(J746,'Final List'!$F$4:$F$251,0),0)</f>
        <v>0</v>
      </c>
      <c r="N746" s="169">
        <f>IFERROR(MATCH(J746,'Final List'!$H$4:$H$252,0),0)</f>
        <v>0</v>
      </c>
      <c r="O746" s="169">
        <f>IFERROR(MATCH(J746,'Final List'!$J$4:$J$252,0),0)</f>
        <v>0</v>
      </c>
      <c r="P746" s="169">
        <f>IFERROR(MATCH(J746,'Final List'!$L$4:$L$252,0),0)</f>
        <v>0</v>
      </c>
      <c r="Q746" s="169">
        <f>IFERROR(MATCH(J746,'Final List'!$N$4:$N$252,0),0)</f>
        <v>0</v>
      </c>
      <c r="R746" s="169">
        <f>IFERROR(MATCH(J746,'Final List'!$P$4:$P$252,0),0)</f>
        <v>0</v>
      </c>
      <c r="S746" s="169">
        <f t="shared" si="47"/>
        <v>0</v>
      </c>
      <c r="V746" s="169" t="str">
        <f t="shared" si="45"/>
        <v>COMAINGKING 2</v>
      </c>
      <c r="W746" s="169" t="s">
        <v>8895</v>
      </c>
    </row>
    <row r="747" spans="2:23" x14ac:dyDescent="0.25">
      <c r="B747" s="169" t="s">
        <v>94</v>
      </c>
      <c r="C747" s="169" t="s">
        <v>39</v>
      </c>
      <c r="D747" s="169" t="s">
        <v>132</v>
      </c>
      <c r="E747" s="169" t="s">
        <v>19</v>
      </c>
      <c r="F747" s="245" t="str">
        <f t="shared" si="46"/>
        <v>DVR 72</v>
      </c>
      <c r="G747" s="169" t="s">
        <v>604</v>
      </c>
      <c r="I747" s="169" t="str">
        <f t="shared" si="48"/>
        <v>L07_JVHW_033E_RAISE</v>
      </c>
      <c r="J747" s="169" t="s">
        <v>7022</v>
      </c>
      <c r="K747" s="169">
        <f>IFERROR(MATCH(J747,'Final List'!$B$4:$B$252,0),0)</f>
        <v>0</v>
      </c>
      <c r="L747" s="169">
        <f>IFERROR(MATCH(J747,'Final List'!$D$4:$D$252,0),0)</f>
        <v>0</v>
      </c>
      <c r="M747" s="169">
        <f>IFERROR(MATCH(J747,'Final List'!$F$4:$F$251,0),0)</f>
        <v>0</v>
      </c>
      <c r="N747" s="169">
        <f>IFERROR(MATCH(J747,'Final List'!$H$4:$H$252,0),0)</f>
        <v>0</v>
      </c>
      <c r="O747" s="169">
        <f>IFERROR(MATCH(J747,'Final List'!$J$4:$J$252,0),0)</f>
        <v>0</v>
      </c>
      <c r="P747" s="169">
        <f>IFERROR(MATCH(J747,'Final List'!$L$4:$L$252,0),0)</f>
        <v>0</v>
      </c>
      <c r="Q747" s="169">
        <f>IFERROR(MATCH(J747,'Final List'!$N$4:$N$252,0),0)</f>
        <v>0</v>
      </c>
      <c r="R747" s="169">
        <f>IFERROR(MATCH(J747,'Final List'!$P$4:$P$252,0),0)</f>
        <v>0</v>
      </c>
      <c r="S747" s="169">
        <f t="shared" si="47"/>
        <v>0</v>
      </c>
      <c r="V747" s="169" t="str">
        <f t="shared" si="45"/>
        <v>CARIKITAN 3</v>
      </c>
      <c r="W747" s="169" t="s">
        <v>2715</v>
      </c>
    </row>
    <row r="748" spans="2:23" x14ac:dyDescent="0.25">
      <c r="B748" s="169" t="s">
        <v>96</v>
      </c>
      <c r="C748" s="169" t="s">
        <v>45</v>
      </c>
      <c r="D748" s="169" t="s">
        <v>7025</v>
      </c>
      <c r="E748" s="169" t="s">
        <v>60</v>
      </c>
      <c r="F748" s="245" t="str">
        <f t="shared" si="46"/>
        <v>Dhoz 71</v>
      </c>
      <c r="G748" s="169" t="s">
        <v>337</v>
      </c>
      <c r="H748" s="169" t="s">
        <v>362</v>
      </c>
      <c r="I748" s="169" t="str">
        <f t="shared" si="48"/>
        <v>L09_DPVE_082E_DE</v>
      </c>
      <c r="J748" s="169" t="s">
        <v>7024</v>
      </c>
      <c r="K748" s="169">
        <f>IFERROR(MATCH(J748,'Final List'!$B$4:$B$252,0),0)</f>
        <v>0</v>
      </c>
      <c r="L748" s="169">
        <f>IFERROR(MATCH(J748,'Final List'!$D$4:$D$252,0),0)</f>
        <v>0</v>
      </c>
      <c r="M748" s="169">
        <f>IFERROR(MATCH(J748,'Final List'!$F$4:$F$251,0),0)</f>
        <v>0</v>
      </c>
      <c r="N748" s="169">
        <f>IFERROR(MATCH(J748,'Final List'!$H$4:$H$252,0),0)</f>
        <v>0</v>
      </c>
      <c r="O748" s="169">
        <f>IFERROR(MATCH(J748,'Final List'!$J$4:$J$252,0),0)</f>
        <v>0</v>
      </c>
      <c r="P748" s="169">
        <f>IFERROR(MATCH(J748,'Final List'!$L$4:$L$252,0),0)</f>
        <v>0</v>
      </c>
      <c r="Q748" s="169">
        <f>IFERROR(MATCH(J748,'Final List'!$N$4:$N$252,0),0)</f>
        <v>0</v>
      </c>
      <c r="R748" s="169">
        <f>IFERROR(MATCH(J748,'Final List'!$P$4:$P$252,0),0)</f>
        <v>0</v>
      </c>
      <c r="S748" s="169">
        <f t="shared" si="47"/>
        <v>0</v>
      </c>
      <c r="V748" s="169" t="str">
        <f t="shared" si="45"/>
        <v>BABOR 1</v>
      </c>
      <c r="W748" s="169" t="s">
        <v>8896</v>
      </c>
    </row>
    <row r="749" spans="2:23" x14ac:dyDescent="0.25">
      <c r="B749" s="169" t="s">
        <v>258</v>
      </c>
      <c r="C749" s="169" t="s">
        <v>45</v>
      </c>
      <c r="D749" s="169" t="s">
        <v>595</v>
      </c>
      <c r="E749" s="169" t="s">
        <v>19</v>
      </c>
      <c r="F749" s="245" t="str">
        <f t="shared" si="46"/>
        <v>DVR 72</v>
      </c>
      <c r="G749" s="169" t="s">
        <v>5700</v>
      </c>
      <c r="I749" s="169" t="str">
        <f t="shared" si="48"/>
        <v>L10_DPVE_072E_RAISE</v>
      </c>
      <c r="J749" s="169" t="s">
        <v>7027</v>
      </c>
      <c r="K749" s="169">
        <f>IFERROR(MATCH(J749,'Final List'!$B$4:$B$252,0),0)</f>
        <v>0</v>
      </c>
      <c r="L749" s="169">
        <f>IFERROR(MATCH(J749,'Final List'!$D$4:$D$252,0),0)</f>
        <v>0</v>
      </c>
      <c r="M749" s="169">
        <f>IFERROR(MATCH(J749,'Final List'!$F$4:$F$251,0),0)</f>
        <v>0</v>
      </c>
      <c r="N749" s="169">
        <f>IFERROR(MATCH(J749,'Final List'!$H$4:$H$252,0),0)</f>
        <v>0</v>
      </c>
      <c r="O749" s="169">
        <f>IFERROR(MATCH(J749,'Final List'!$J$4:$J$252,0),0)</f>
        <v>0</v>
      </c>
      <c r="P749" s="169">
        <f>IFERROR(MATCH(J749,'Final List'!$L$4:$L$252,0),0)</f>
        <v>0</v>
      </c>
      <c r="Q749" s="169">
        <f>IFERROR(MATCH(J749,'Final List'!$N$4:$N$252,0),0)</f>
        <v>0</v>
      </c>
      <c r="R749" s="169">
        <f>IFERROR(MATCH(J749,'Final List'!$P$4:$P$252,0),0)</f>
        <v>0</v>
      </c>
      <c r="S749" s="169">
        <f t="shared" si="47"/>
        <v>0</v>
      </c>
      <c r="V749" s="169" t="str">
        <f t="shared" si="45"/>
        <v>LARGO 1</v>
      </c>
      <c r="W749" s="169" t="s">
        <v>2715</v>
      </c>
    </row>
    <row r="750" spans="2:23" x14ac:dyDescent="0.25">
      <c r="B750" s="169" t="s">
        <v>94</v>
      </c>
      <c r="C750" s="169" t="s">
        <v>38</v>
      </c>
      <c r="D750" s="169" t="s">
        <v>5723</v>
      </c>
      <c r="E750" s="169" t="s">
        <v>62</v>
      </c>
      <c r="F750" s="245" t="str">
        <f t="shared" si="46"/>
        <v>RobS 79</v>
      </c>
      <c r="G750" s="169" t="s">
        <v>5817</v>
      </c>
      <c r="I750" s="169" t="str">
        <f t="shared" si="48"/>
        <v>L07_GHV_046E_ROBBING</v>
      </c>
      <c r="J750" s="169" t="s">
        <v>7034</v>
      </c>
      <c r="K750" s="169">
        <f>IFERROR(MATCH(J750,'Final List'!$B$4:$B$252,0),0)</f>
        <v>0</v>
      </c>
      <c r="L750" s="169">
        <f>IFERROR(MATCH(J750,'Final List'!$D$4:$D$252,0),0)</f>
        <v>0</v>
      </c>
      <c r="M750" s="169">
        <f>IFERROR(MATCH(J750,'Final List'!$F$4:$F$251,0),0)</f>
        <v>0</v>
      </c>
      <c r="N750" s="169">
        <f>IFERROR(MATCH(J750,'Final List'!$H$4:$H$252,0),0)</f>
        <v>0</v>
      </c>
      <c r="O750" s="169">
        <f>IFERROR(MATCH(J750,'Final List'!$J$4:$J$252,0),0)</f>
        <v>0</v>
      </c>
      <c r="P750" s="169">
        <f>IFERROR(MATCH(J750,'Final List'!$L$4:$L$252,0),0)</f>
        <v>0</v>
      </c>
      <c r="Q750" s="169">
        <f>IFERROR(MATCH(J750,'Final List'!$N$4:$N$252,0),0)</f>
        <v>0</v>
      </c>
      <c r="R750" s="169">
        <f>IFERROR(MATCH(J750,'Final List'!$P$4:$P$252,0),0)</f>
        <v>0</v>
      </c>
      <c r="S750" s="169">
        <f t="shared" si="47"/>
        <v>0</v>
      </c>
      <c r="T750" s="169" t="s">
        <v>68</v>
      </c>
      <c r="V750" s="169" t="str">
        <f t="shared" si="45"/>
        <v>SHEPHERD AK</v>
      </c>
      <c r="W750" s="169" t="s">
        <v>2707</v>
      </c>
    </row>
    <row r="751" spans="2:23" x14ac:dyDescent="0.25">
      <c r="B751" s="169" t="s">
        <v>1167</v>
      </c>
      <c r="C751" s="169" t="s">
        <v>87</v>
      </c>
      <c r="D751" s="169" t="s">
        <v>178</v>
      </c>
      <c r="E751" s="169" t="s">
        <v>20</v>
      </c>
      <c r="F751" s="245" t="str">
        <f t="shared" si="46"/>
        <v>DVW 74</v>
      </c>
      <c r="G751" s="169" t="s">
        <v>6930</v>
      </c>
      <c r="I751" s="169" t="str">
        <f t="shared" si="48"/>
        <v>L12_NONE_048E_WINZE</v>
      </c>
      <c r="J751" s="169" t="s">
        <v>7486</v>
      </c>
      <c r="K751" s="169">
        <f>IFERROR(MATCH(J751,'Final List'!$B$4:$B$252,0),0)</f>
        <v>0</v>
      </c>
      <c r="L751" s="169">
        <f>IFERROR(MATCH(J751,'Final List'!$D$4:$D$252,0),0)</f>
        <v>0</v>
      </c>
      <c r="M751" s="169">
        <f>IFERROR(MATCH(J751,'Final List'!$F$4:$F$251,0),0)</f>
        <v>0</v>
      </c>
      <c r="N751" s="169">
        <f>IFERROR(MATCH(J751,'Final List'!$H$4:$H$252,0),0)</f>
        <v>0</v>
      </c>
      <c r="O751" s="169">
        <f>IFERROR(MATCH(J751,'Final List'!$J$4:$J$252,0),0)</f>
        <v>0</v>
      </c>
      <c r="P751" s="169">
        <f>IFERROR(MATCH(J751,'Final List'!$L$4:$L$252,0),0)</f>
        <v>0</v>
      </c>
      <c r="Q751" s="169">
        <f>IFERROR(MATCH(J751,'Final List'!$N$4:$N$252,0),0)</f>
        <v>0</v>
      </c>
      <c r="R751" s="169">
        <f>IFERROR(MATCH(J751,'Final List'!$P$4:$P$252,0),0)</f>
        <v>0</v>
      </c>
      <c r="S751" s="169">
        <f t="shared" si="47"/>
        <v>0</v>
      </c>
      <c r="V751" s="169" t="str">
        <f t="shared" si="45"/>
        <v>DUHIG, P1</v>
      </c>
      <c r="W751" s="169" t="s">
        <v>2714</v>
      </c>
    </row>
    <row r="752" spans="2:23" x14ac:dyDescent="0.25">
      <c r="B752" s="169" t="s">
        <v>95</v>
      </c>
      <c r="C752" s="169" t="s">
        <v>87</v>
      </c>
      <c r="D752" s="169" t="s">
        <v>144</v>
      </c>
      <c r="E752" s="169" t="s">
        <v>71</v>
      </c>
      <c r="F752" s="245" t="str">
        <f t="shared" si="46"/>
        <v>DVS 75</v>
      </c>
      <c r="G752" s="169" t="s">
        <v>6934</v>
      </c>
      <c r="H752" s="169" t="s">
        <v>382</v>
      </c>
      <c r="I752" s="169" t="str">
        <f t="shared" si="48"/>
        <v>L08_NONE_043E_SHAFT</v>
      </c>
      <c r="J752" s="169" t="s">
        <v>242</v>
      </c>
      <c r="K752" s="169">
        <f>IFERROR(MATCH(J752,'Final List'!$B$4:$B$252,0),0)</f>
        <v>0</v>
      </c>
      <c r="L752" s="169">
        <f>IFERROR(MATCH(J752,'Final List'!$D$4:$D$252,0),0)</f>
        <v>0</v>
      </c>
      <c r="M752" s="169">
        <f>IFERROR(MATCH(J752,'Final List'!$F$4:$F$251,0),0)</f>
        <v>0</v>
      </c>
      <c r="N752" s="169">
        <f>IFERROR(MATCH(J752,'Final List'!$H$4:$H$252,0),0)</f>
        <v>0</v>
      </c>
      <c r="O752" s="169">
        <f>IFERROR(MATCH(J752,'Final List'!$J$4:$J$252,0),0)</f>
        <v>0</v>
      </c>
      <c r="P752" s="169">
        <f>IFERROR(MATCH(J752,'Final List'!$L$4:$L$252,0),0)</f>
        <v>0</v>
      </c>
      <c r="Q752" s="169">
        <f>IFERROR(MATCH(J752,'Final List'!$N$4:$N$252,0),0)</f>
        <v>0</v>
      </c>
      <c r="R752" s="169">
        <f>IFERROR(MATCH(J752,'Final List'!$P$4:$P$252,0),0)</f>
        <v>0</v>
      </c>
      <c r="S752" s="169">
        <f t="shared" si="47"/>
        <v>0</v>
      </c>
      <c r="V752" s="169" t="str">
        <f t="shared" si="45"/>
        <v>HANGDAAN 1</v>
      </c>
      <c r="W752" s="169" t="s">
        <v>2714</v>
      </c>
    </row>
    <row r="753" spans="2:23" ht="15.75" x14ac:dyDescent="0.25">
      <c r="B753" s="169" t="s">
        <v>96</v>
      </c>
      <c r="C753" s="169" t="s">
        <v>45</v>
      </c>
      <c r="D753" s="169" t="s">
        <v>6864</v>
      </c>
      <c r="E753" s="169" t="s">
        <v>61</v>
      </c>
      <c r="F753" s="245" t="str">
        <f t="shared" si="46"/>
        <v>Dhoz 71</v>
      </c>
      <c r="G753" s="169" t="s">
        <v>554</v>
      </c>
      <c r="H753" s="107" t="s">
        <v>1661</v>
      </c>
      <c r="I753" s="169" t="str">
        <f t="shared" si="48"/>
        <v>L09_DPVE_006E_DW</v>
      </c>
      <c r="J753" s="169" t="s">
        <v>7029</v>
      </c>
      <c r="K753" s="169">
        <f>IFERROR(MATCH(J753,'Final List'!$B$4:$B$252,0),0)</f>
        <v>0</v>
      </c>
      <c r="L753" s="169">
        <f>IFERROR(MATCH(J753,'Final List'!$D$4:$D$252,0),0)</f>
        <v>0</v>
      </c>
      <c r="M753" s="169">
        <f>IFERROR(MATCH(J753,'Final List'!$F$4:$F$251,0),0)</f>
        <v>0</v>
      </c>
      <c r="N753" s="169">
        <f>IFERROR(MATCH(J753,'Final List'!$H$4:$H$252,0),0)</f>
        <v>0</v>
      </c>
      <c r="O753" s="169">
        <f>IFERROR(MATCH(J753,'Final List'!$J$4:$J$252,0),0)</f>
        <v>0</v>
      </c>
      <c r="P753" s="169">
        <f>IFERROR(MATCH(J753,'Final List'!$L$4:$L$252,0),0)</f>
        <v>0</v>
      </c>
      <c r="Q753" s="169">
        <f>IFERROR(MATCH(J753,'Final List'!$N$4:$N$252,0),0)</f>
        <v>0</v>
      </c>
      <c r="R753" s="169">
        <f>IFERROR(MATCH(J753,'Final List'!$P$4:$P$252,0),0)</f>
        <v>0</v>
      </c>
      <c r="S753" s="169">
        <f t="shared" si="47"/>
        <v>0</v>
      </c>
      <c r="V753" s="169" t="str">
        <f t="shared" si="45"/>
        <v>DELOS REYES V2</v>
      </c>
      <c r="W753" s="169" t="s">
        <v>8896</v>
      </c>
    </row>
    <row r="754" spans="2:23" x14ac:dyDescent="0.25">
      <c r="B754" s="169" t="s">
        <v>96</v>
      </c>
      <c r="C754" s="169" t="s">
        <v>46</v>
      </c>
      <c r="D754" s="169" t="s">
        <v>112</v>
      </c>
      <c r="E754" s="169" t="s">
        <v>61</v>
      </c>
      <c r="F754" s="245" t="str">
        <f t="shared" si="46"/>
        <v>Dhoz 71</v>
      </c>
      <c r="G754" s="169" t="s">
        <v>461</v>
      </c>
      <c r="I754" s="169" t="str">
        <f t="shared" si="48"/>
        <v>L09_DPVE2_018E_DW</v>
      </c>
      <c r="J754" s="169" t="s">
        <v>7053</v>
      </c>
      <c r="K754" s="169">
        <f>IFERROR(MATCH(J754,'Final List'!$B$4:$B$252,0),0)</f>
        <v>0</v>
      </c>
      <c r="L754" s="169">
        <f>IFERROR(MATCH(J754,'Final List'!$D$4:$D$252,0),0)</f>
        <v>0</v>
      </c>
      <c r="M754" s="169">
        <f>IFERROR(MATCH(J754,'Final List'!$F$4:$F$251,0),0)</f>
        <v>0</v>
      </c>
      <c r="N754" s="169">
        <f>IFERROR(MATCH(J754,'Final List'!$H$4:$H$252,0),0)</f>
        <v>0</v>
      </c>
      <c r="O754" s="169">
        <f>IFERROR(MATCH(J754,'Final List'!$J$4:$J$252,0),0)</f>
        <v>0</v>
      </c>
      <c r="P754" s="169">
        <f>IFERROR(MATCH(J754,'Final List'!$L$4:$L$252,0),0)</f>
        <v>0</v>
      </c>
      <c r="Q754" s="169">
        <f>IFERROR(MATCH(J754,'Final List'!$N$4:$N$252,0),0)</f>
        <v>0</v>
      </c>
      <c r="R754" s="169">
        <f>IFERROR(MATCH(J754,'Final List'!$P$4:$P$252,0),0)</f>
        <v>0</v>
      </c>
      <c r="S754" s="169">
        <f t="shared" si="47"/>
        <v>0</v>
      </c>
      <c r="V754" s="169" t="str">
        <f t="shared" si="45"/>
        <v>PANSIT 4</v>
      </c>
      <c r="W754" s="169" t="s">
        <v>8896</v>
      </c>
    </row>
    <row r="755" spans="2:23" x14ac:dyDescent="0.25">
      <c r="B755" s="169" t="s">
        <v>92</v>
      </c>
      <c r="C755" s="169" t="s">
        <v>57</v>
      </c>
      <c r="D755" s="169" t="s">
        <v>130</v>
      </c>
      <c r="E755" s="169" t="s">
        <v>19</v>
      </c>
      <c r="F755" s="245" t="str">
        <f t="shared" si="46"/>
        <v>DVR 72</v>
      </c>
      <c r="G755" s="169" t="s">
        <v>4819</v>
      </c>
      <c r="I755" s="169" t="str">
        <f t="shared" si="48"/>
        <v>L05_JVSPLIT_036E_RAISE</v>
      </c>
      <c r="J755" s="169" t="s">
        <v>7031</v>
      </c>
      <c r="K755" s="169">
        <f>IFERROR(MATCH(J755,'Final List'!$B$4:$B$252,0),0)</f>
        <v>0</v>
      </c>
      <c r="L755" s="169">
        <f>IFERROR(MATCH(J755,'Final List'!$D$4:$D$252,0),0)</f>
        <v>0</v>
      </c>
      <c r="M755" s="169">
        <f>IFERROR(MATCH(J755,'Final List'!$F$4:$F$251,0),0)</f>
        <v>0</v>
      </c>
      <c r="N755" s="169">
        <f>IFERROR(MATCH(J755,'Final List'!$H$4:$H$252,0),0)</f>
        <v>0</v>
      </c>
      <c r="O755" s="169">
        <f>IFERROR(MATCH(J755,'Final List'!$J$4:$J$252,0),0)</f>
        <v>0</v>
      </c>
      <c r="P755" s="169">
        <f>IFERROR(MATCH(J755,'Final List'!$L$4:$L$252,0),0)</f>
        <v>0</v>
      </c>
      <c r="Q755" s="169">
        <f>IFERROR(MATCH(J755,'Final List'!$N$4:$N$252,0),0)</f>
        <v>0</v>
      </c>
      <c r="R755" s="169">
        <f>IFERROR(MATCH(J755,'Final List'!$P$4:$P$252,0),0)</f>
        <v>0</v>
      </c>
      <c r="S755" s="169">
        <f t="shared" si="47"/>
        <v>0</v>
      </c>
      <c r="V755" s="169" t="str">
        <f t="shared" si="45"/>
        <v>PANCIT NOEL 3</v>
      </c>
      <c r="W755" s="169" t="s">
        <v>2715</v>
      </c>
    </row>
    <row r="756" spans="2:23" x14ac:dyDescent="0.25">
      <c r="B756" s="169" t="s">
        <v>91</v>
      </c>
      <c r="C756" s="169" t="s">
        <v>42</v>
      </c>
      <c r="D756" s="169" t="s">
        <v>7032</v>
      </c>
      <c r="E756" s="169" t="s">
        <v>20</v>
      </c>
      <c r="F756" s="245" t="str">
        <f t="shared" si="46"/>
        <v>DVW 74</v>
      </c>
      <c r="G756" s="169" t="s">
        <v>340</v>
      </c>
      <c r="I756" s="169" t="str">
        <f t="shared" si="48"/>
        <v>L04_JV_013W_WINZE</v>
      </c>
      <c r="J756" s="169" t="s">
        <v>5545</v>
      </c>
      <c r="K756" s="169">
        <f>IFERROR(MATCH(J756,'Final List'!$B$4:$B$252,0),0)</f>
        <v>0</v>
      </c>
      <c r="L756" s="169">
        <f>IFERROR(MATCH(J756,'Final List'!$D$4:$D$252,0),0)</f>
        <v>0</v>
      </c>
      <c r="M756" s="169">
        <f>IFERROR(MATCH(J756,'Final List'!$F$4:$F$251,0),0)</f>
        <v>0</v>
      </c>
      <c r="N756" s="169">
        <f>IFERROR(MATCH(J756,'Final List'!$H$4:$H$252,0),0)</f>
        <v>0</v>
      </c>
      <c r="O756" s="169">
        <f>IFERROR(MATCH(J756,'Final List'!$J$4:$J$252,0),0)</f>
        <v>0</v>
      </c>
      <c r="P756" s="169">
        <f>IFERROR(MATCH(J756,'Final List'!$L$4:$L$252,0),0)</f>
        <v>0</v>
      </c>
      <c r="Q756" s="169">
        <f>IFERROR(MATCH(J756,'Final List'!$N$4:$N$252,0),0)</f>
        <v>0</v>
      </c>
      <c r="R756" s="169">
        <f>IFERROR(MATCH(J756,'Final List'!$P$4:$P$252,0),0)</f>
        <v>0</v>
      </c>
      <c r="S756" s="169">
        <f t="shared" si="47"/>
        <v>0</v>
      </c>
      <c r="V756" s="169" t="str">
        <f t="shared" si="45"/>
        <v>COMAINGKING</v>
      </c>
      <c r="W756" s="169" t="s">
        <v>2706</v>
      </c>
    </row>
    <row r="757" spans="2:23" x14ac:dyDescent="0.25">
      <c r="B757" s="169" t="s">
        <v>96</v>
      </c>
      <c r="C757" s="169" t="s">
        <v>45</v>
      </c>
      <c r="D757" s="169" t="s">
        <v>160</v>
      </c>
      <c r="E757" s="169" t="s">
        <v>19</v>
      </c>
      <c r="F757" s="245" t="str">
        <f t="shared" si="46"/>
        <v>DVR 72</v>
      </c>
      <c r="G757" s="169" t="s">
        <v>6621</v>
      </c>
      <c r="I757" s="169" t="str">
        <f t="shared" si="48"/>
        <v>L09_DPVE_042E_RAISE</v>
      </c>
      <c r="J757" s="169" t="s">
        <v>7036</v>
      </c>
      <c r="K757" s="169">
        <f>IFERROR(MATCH(J757,'Final List'!$B$4:$B$252,0),0)</f>
        <v>0</v>
      </c>
      <c r="L757" s="169">
        <f>IFERROR(MATCH(J757,'Final List'!$D$4:$D$252,0),0)</f>
        <v>0</v>
      </c>
      <c r="M757" s="169">
        <f>IFERROR(MATCH(J757,'Final List'!$F$4:$F$251,0),0)</f>
        <v>0</v>
      </c>
      <c r="N757" s="169">
        <f>IFERROR(MATCH(J757,'Final List'!$H$4:$H$252,0),0)</f>
        <v>0</v>
      </c>
      <c r="O757" s="169">
        <f>IFERROR(MATCH(J757,'Final List'!$J$4:$J$252,0),0)</f>
        <v>0</v>
      </c>
      <c r="P757" s="169">
        <f>IFERROR(MATCH(J757,'Final List'!$L$4:$L$252,0),0)</f>
        <v>0</v>
      </c>
      <c r="Q757" s="169">
        <f>IFERROR(MATCH(J757,'Final List'!$N$4:$N$252,0),0)</f>
        <v>0</v>
      </c>
      <c r="R757" s="169">
        <f>IFERROR(MATCH(J757,'Final List'!$P$4:$P$252,0),0)</f>
        <v>0</v>
      </c>
      <c r="S757" s="169">
        <f t="shared" si="47"/>
        <v>0</v>
      </c>
      <c r="V757" s="169" t="str">
        <f t="shared" si="45"/>
        <v>DELOS REYES V1</v>
      </c>
      <c r="W757" s="169" t="s">
        <v>2715</v>
      </c>
    </row>
    <row r="758" spans="2:23" x14ac:dyDescent="0.25">
      <c r="B758" s="169" t="s">
        <v>93</v>
      </c>
      <c r="C758" s="169" t="s">
        <v>57</v>
      </c>
      <c r="D758" s="169" t="s">
        <v>141</v>
      </c>
      <c r="E758" s="169" t="s">
        <v>61</v>
      </c>
      <c r="F758" s="245" t="str">
        <f t="shared" si="46"/>
        <v>Dhoz 71</v>
      </c>
      <c r="G758" s="169" t="s">
        <v>352</v>
      </c>
      <c r="I758" s="169" t="str">
        <f t="shared" si="48"/>
        <v>L06_JVSPLIT_029E_DW</v>
      </c>
      <c r="J758" s="169" t="s">
        <v>7037</v>
      </c>
      <c r="K758" s="169">
        <f>IFERROR(MATCH(J758,'Final List'!$B$4:$B$252,0),0)</f>
        <v>0</v>
      </c>
      <c r="L758" s="169">
        <f>IFERROR(MATCH(J758,'Final List'!$D$4:$D$252,0),0)</f>
        <v>0</v>
      </c>
      <c r="M758" s="169">
        <f>IFERROR(MATCH(J758,'Final List'!$F$4:$F$251,0),0)</f>
        <v>0</v>
      </c>
      <c r="N758" s="169">
        <f>IFERROR(MATCH(J758,'Final List'!$H$4:$H$252,0),0)</f>
        <v>0</v>
      </c>
      <c r="O758" s="169">
        <f>IFERROR(MATCH(J758,'Final List'!$J$4:$J$252,0),0)</f>
        <v>0</v>
      </c>
      <c r="P758" s="169">
        <f>IFERROR(MATCH(J758,'Final List'!$L$4:$L$252,0),0)</f>
        <v>0</v>
      </c>
      <c r="Q758" s="169">
        <f>IFERROR(MATCH(J758,'Final List'!$N$4:$N$252,0),0)</f>
        <v>0</v>
      </c>
      <c r="R758" s="169">
        <f>IFERROR(MATCH(J758,'Final List'!$P$4:$P$252,0),0)</f>
        <v>0</v>
      </c>
      <c r="S758" s="169">
        <f t="shared" si="47"/>
        <v>0</v>
      </c>
      <c r="V758" s="169" t="str">
        <f t="shared" si="45"/>
        <v>BAÑEZ 5</v>
      </c>
      <c r="W758" s="169" t="s">
        <v>8895</v>
      </c>
    </row>
    <row r="759" spans="2:23" x14ac:dyDescent="0.25">
      <c r="B759" s="169" t="s">
        <v>96</v>
      </c>
      <c r="C759" s="169" t="s">
        <v>57</v>
      </c>
      <c r="D759" s="169" t="s">
        <v>226</v>
      </c>
      <c r="E759" s="169" t="s">
        <v>36</v>
      </c>
      <c r="F759" s="245" t="str">
        <f t="shared" si="46"/>
        <v>StpS 77</v>
      </c>
      <c r="G759" s="169" t="s">
        <v>5774</v>
      </c>
      <c r="I759" s="169" t="str">
        <f t="shared" si="48"/>
        <v>L09_JVSPLIT_074E_STOPE</v>
      </c>
      <c r="J759" s="169" t="s">
        <v>7039</v>
      </c>
      <c r="K759" s="169">
        <f>IFERROR(MATCH(J759,'Final List'!$B$4:$B$252,0),0)</f>
        <v>0</v>
      </c>
      <c r="L759" s="169">
        <f>IFERROR(MATCH(J759,'Final List'!$D$4:$D$252,0),0)</f>
        <v>0</v>
      </c>
      <c r="M759" s="169">
        <f>IFERROR(MATCH(J759,'Final List'!$F$4:$F$251,0),0)</f>
        <v>0</v>
      </c>
      <c r="N759" s="169">
        <f>IFERROR(MATCH(J759,'Final List'!$H$4:$H$252,0),0)</f>
        <v>0</v>
      </c>
      <c r="O759" s="169">
        <f>IFERROR(MATCH(J759,'Final List'!$J$4:$J$252,0),0)</f>
        <v>0</v>
      </c>
      <c r="P759" s="169">
        <f>IFERROR(MATCH(J759,'Final List'!$L$4:$L$252,0),0)</f>
        <v>0</v>
      </c>
      <c r="Q759" s="169">
        <f>IFERROR(MATCH(J759,'Final List'!$N$4:$N$252,0),0)</f>
        <v>0</v>
      </c>
      <c r="R759" s="169">
        <f>IFERROR(MATCH(J759,'Final List'!$P$4:$P$252,0),0)</f>
        <v>0</v>
      </c>
      <c r="S759" s="169">
        <f t="shared" si="47"/>
        <v>0</v>
      </c>
      <c r="T759" s="169" t="s">
        <v>68</v>
      </c>
      <c r="V759" s="169" t="str">
        <f t="shared" si="45"/>
        <v>BANTAYAN 1</v>
      </c>
      <c r="W759" s="169" t="s">
        <v>2713</v>
      </c>
    </row>
    <row r="760" spans="2:23" x14ac:dyDescent="0.25">
      <c r="B760" s="169" t="s">
        <v>96</v>
      </c>
      <c r="C760" s="169" t="s">
        <v>46</v>
      </c>
      <c r="D760" s="169" t="s">
        <v>5889</v>
      </c>
      <c r="E760" s="169" t="s">
        <v>19</v>
      </c>
      <c r="F760" s="245" t="str">
        <f t="shared" si="46"/>
        <v>DVR 72</v>
      </c>
      <c r="G760" s="169" t="s">
        <v>363</v>
      </c>
      <c r="I760" s="169" t="str">
        <f t="shared" si="48"/>
        <v>L09_DPVE2_077E_RAISE</v>
      </c>
      <c r="J760" s="169" t="s">
        <v>3330</v>
      </c>
      <c r="K760" s="169">
        <f>IFERROR(MATCH(J760,'Final List'!$B$4:$B$252,0),0)</f>
        <v>0</v>
      </c>
      <c r="L760" s="169">
        <f>IFERROR(MATCH(J760,'Final List'!$D$4:$D$252,0),0)</f>
        <v>0</v>
      </c>
      <c r="M760" s="169">
        <f>IFERROR(MATCH(J760,'Final List'!$F$4:$F$251,0),0)</f>
        <v>0</v>
      </c>
      <c r="N760" s="169">
        <f>IFERROR(MATCH(J760,'Final List'!$H$4:$H$252,0),0)</f>
        <v>0</v>
      </c>
      <c r="O760" s="169">
        <f>IFERROR(MATCH(J760,'Final List'!$J$4:$J$252,0),0)</f>
        <v>0</v>
      </c>
      <c r="P760" s="169">
        <f>IFERROR(MATCH(J760,'Final List'!$L$4:$L$252,0),0)</f>
        <v>0</v>
      </c>
      <c r="Q760" s="169">
        <f>IFERROR(MATCH(J760,'Final List'!$N$4:$N$252,0),0)</f>
        <v>0</v>
      </c>
      <c r="R760" s="169">
        <f>IFERROR(MATCH(J760,'Final List'!$P$4:$P$252,0),0)</f>
        <v>0</v>
      </c>
      <c r="S760" s="169">
        <f t="shared" si="47"/>
        <v>0</v>
      </c>
      <c r="V760" s="169" t="str">
        <f t="shared" si="45"/>
        <v>BABOR 2</v>
      </c>
      <c r="W760" s="169" t="s">
        <v>2715</v>
      </c>
    </row>
    <row r="761" spans="2:23" x14ac:dyDescent="0.25">
      <c r="B761" s="169" t="s">
        <v>95</v>
      </c>
      <c r="C761" s="169" t="s">
        <v>42</v>
      </c>
      <c r="D761" s="169" t="s">
        <v>97</v>
      </c>
      <c r="E761" s="169" t="s">
        <v>60</v>
      </c>
      <c r="F761" s="245" t="str">
        <f t="shared" si="46"/>
        <v>Dhoz 71</v>
      </c>
      <c r="G761" s="169" t="s">
        <v>386</v>
      </c>
      <c r="I761" s="169" t="str">
        <f t="shared" si="48"/>
        <v>L08_JV_012W_DE</v>
      </c>
      <c r="J761" s="169" t="s">
        <v>1082</v>
      </c>
      <c r="K761" s="169">
        <f>IFERROR(MATCH(J761,'Final List'!$B$4:$B$252,0),0)</f>
        <v>0</v>
      </c>
      <c r="L761" s="169">
        <f>IFERROR(MATCH(J761,'Final List'!$D$4:$D$252,0),0)</f>
        <v>0</v>
      </c>
      <c r="M761" s="169">
        <f>IFERROR(MATCH(J761,'Final List'!$F$4:$F$251,0),0)</f>
        <v>0</v>
      </c>
      <c r="N761" s="169">
        <f>IFERROR(MATCH(J761,'Final List'!$H$4:$H$252,0),0)</f>
        <v>0</v>
      </c>
      <c r="O761" s="169">
        <f>IFERROR(MATCH(J761,'Final List'!$J$4:$J$252,0),0)</f>
        <v>0</v>
      </c>
      <c r="P761" s="169">
        <f>IFERROR(MATCH(J761,'Final List'!$L$4:$L$252,0),0)</f>
        <v>0</v>
      </c>
      <c r="Q761" s="169">
        <f>IFERROR(MATCH(J761,'Final List'!$N$4:$N$252,0),0)</f>
        <v>0</v>
      </c>
      <c r="R761" s="169">
        <f>IFERROR(MATCH(J761,'Final List'!$P$4:$P$252,0),0)</f>
        <v>0</v>
      </c>
      <c r="S761" s="169">
        <f t="shared" si="47"/>
        <v>0</v>
      </c>
      <c r="V761" s="169" t="str">
        <f t="shared" si="45"/>
        <v>REVITA 1</v>
      </c>
      <c r="W761" s="169" t="s">
        <v>8895</v>
      </c>
    </row>
    <row r="762" spans="2:23" x14ac:dyDescent="0.25">
      <c r="B762" s="169" t="s">
        <v>258</v>
      </c>
      <c r="C762" s="169" t="s">
        <v>45</v>
      </c>
      <c r="D762" s="169" t="s">
        <v>5723</v>
      </c>
      <c r="E762" s="169" t="s">
        <v>61</v>
      </c>
      <c r="F762" s="245" t="str">
        <f t="shared" si="46"/>
        <v>Dhoz 71</v>
      </c>
      <c r="G762" s="169" t="s">
        <v>454</v>
      </c>
      <c r="I762" s="169" t="str">
        <f t="shared" si="48"/>
        <v>L10_DPVE_046E_DW</v>
      </c>
      <c r="J762" s="169" t="s">
        <v>7054</v>
      </c>
      <c r="K762" s="169">
        <f>IFERROR(MATCH(J762,'Final List'!$B$4:$B$252,0),0)</f>
        <v>0</v>
      </c>
      <c r="L762" s="169">
        <f>IFERROR(MATCH(J762,'Final List'!$D$4:$D$252,0),0)</f>
        <v>0</v>
      </c>
      <c r="M762" s="169">
        <f>IFERROR(MATCH(J762,'Final List'!$F$4:$F$251,0),0)</f>
        <v>0</v>
      </c>
      <c r="N762" s="169">
        <f>IFERROR(MATCH(J762,'Final List'!$H$4:$H$252,0),0)</f>
        <v>0</v>
      </c>
      <c r="O762" s="169">
        <f>IFERROR(MATCH(J762,'Final List'!$J$4:$J$252,0),0)</f>
        <v>0</v>
      </c>
      <c r="P762" s="169">
        <f>IFERROR(MATCH(J762,'Final List'!$L$4:$L$252,0),0)</f>
        <v>0</v>
      </c>
      <c r="Q762" s="169">
        <f>IFERROR(MATCH(J762,'Final List'!$N$4:$N$252,0),0)</f>
        <v>0</v>
      </c>
      <c r="R762" s="169">
        <f>IFERROR(MATCH(J762,'Final List'!$P$4:$P$252,0),0)</f>
        <v>0</v>
      </c>
      <c r="S762" s="169">
        <f t="shared" si="47"/>
        <v>0</v>
      </c>
      <c r="V762" s="169" t="str">
        <f t="shared" si="45"/>
        <v>BAÑEZ 8</v>
      </c>
      <c r="W762" s="169" t="s">
        <v>8896</v>
      </c>
    </row>
    <row r="763" spans="2:23" x14ac:dyDescent="0.25">
      <c r="B763" s="169" t="s">
        <v>258</v>
      </c>
      <c r="C763" s="169" t="s">
        <v>59</v>
      </c>
      <c r="D763" s="169" t="s">
        <v>5614</v>
      </c>
      <c r="E763" s="169" t="s">
        <v>61</v>
      </c>
      <c r="F763" s="245" t="str">
        <f t="shared" si="46"/>
        <v>Dhoz 71</v>
      </c>
      <c r="G763" s="169" t="s">
        <v>5701</v>
      </c>
      <c r="I763" s="169" t="str">
        <f t="shared" si="48"/>
        <v>L10_GHVHW_055E_DW</v>
      </c>
      <c r="J763" s="169" t="s">
        <v>7055</v>
      </c>
      <c r="K763" s="169">
        <f>IFERROR(MATCH(J763,'Final List'!$B$4:$B$252,0),0)</f>
        <v>0</v>
      </c>
      <c r="L763" s="169">
        <f>IFERROR(MATCH(J763,'Final List'!$D$4:$D$252,0),0)</f>
        <v>0</v>
      </c>
      <c r="M763" s="169">
        <f>IFERROR(MATCH(J763,'Final List'!$F$4:$F$251,0),0)</f>
        <v>0</v>
      </c>
      <c r="N763" s="169">
        <f>IFERROR(MATCH(J763,'Final List'!$H$4:$H$252,0),0)</f>
        <v>0</v>
      </c>
      <c r="O763" s="169">
        <f>IFERROR(MATCH(J763,'Final List'!$J$4:$J$252,0),0)</f>
        <v>0</v>
      </c>
      <c r="P763" s="169">
        <f>IFERROR(MATCH(J763,'Final List'!$L$4:$L$252,0),0)</f>
        <v>0</v>
      </c>
      <c r="Q763" s="169">
        <f>IFERROR(MATCH(J763,'Final List'!$N$4:$N$252,0),0)</f>
        <v>0</v>
      </c>
      <c r="R763" s="169">
        <f>IFERROR(MATCH(J763,'Final List'!$P$4:$P$252,0),0)</f>
        <v>0</v>
      </c>
      <c r="S763" s="169">
        <f t="shared" si="47"/>
        <v>0</v>
      </c>
      <c r="V763" s="169" t="str">
        <f t="shared" si="45"/>
        <v>LARGO 2</v>
      </c>
      <c r="W763" s="169" t="s">
        <v>8896</v>
      </c>
    </row>
    <row r="764" spans="2:23" x14ac:dyDescent="0.25">
      <c r="B764" s="169" t="s">
        <v>1166</v>
      </c>
      <c r="C764" s="169" t="s">
        <v>87</v>
      </c>
      <c r="D764" s="169" t="s">
        <v>5742</v>
      </c>
      <c r="E764" s="169" t="s">
        <v>37</v>
      </c>
      <c r="F764" s="245" t="str">
        <f t="shared" si="46"/>
        <v>Dhoz 71</v>
      </c>
      <c r="G764" s="169" t="s">
        <v>6931</v>
      </c>
      <c r="I764" s="169" t="str">
        <f t="shared" si="48"/>
        <v>L11_NONE_040E_XCN</v>
      </c>
      <c r="J764" s="169" t="s">
        <v>7052</v>
      </c>
      <c r="K764" s="169">
        <f>IFERROR(MATCH(J764,'Final List'!$B$4:$B$252,0),0)</f>
        <v>0</v>
      </c>
      <c r="L764" s="169">
        <f>IFERROR(MATCH(J764,'Final List'!$D$4:$D$252,0),0)</f>
        <v>0</v>
      </c>
      <c r="M764" s="169">
        <f>IFERROR(MATCH(J764,'Final List'!$F$4:$F$251,0),0)</f>
        <v>0</v>
      </c>
      <c r="N764" s="169">
        <f>IFERROR(MATCH(J764,'Final List'!$H$4:$H$252,0),0)</f>
        <v>0</v>
      </c>
      <c r="O764" s="169">
        <f>IFERROR(MATCH(J764,'Final List'!$J$4:$J$252,0),0)</f>
        <v>0</v>
      </c>
      <c r="P764" s="169">
        <f>IFERROR(MATCH(J764,'Final List'!$L$4:$L$252,0),0)</f>
        <v>0</v>
      </c>
      <c r="Q764" s="169">
        <f>IFERROR(MATCH(J764,'Final List'!$N$4:$N$252,0),0)</f>
        <v>0</v>
      </c>
      <c r="R764" s="169">
        <f>IFERROR(MATCH(J764,'Final List'!$P$4:$P$252,0),0)</f>
        <v>0</v>
      </c>
      <c r="S764" s="169">
        <f t="shared" si="47"/>
        <v>0</v>
      </c>
      <c r="V764" s="169" t="str">
        <f t="shared" si="45"/>
        <v>DUHIG, P2</v>
      </c>
      <c r="W764" s="169" t="s">
        <v>8898</v>
      </c>
    </row>
    <row r="765" spans="2:23" x14ac:dyDescent="0.25">
      <c r="B765" s="169" t="s">
        <v>96</v>
      </c>
      <c r="C765" s="169" t="s">
        <v>46</v>
      </c>
      <c r="D765" s="169" t="s">
        <v>147</v>
      </c>
      <c r="E765" s="169" t="s">
        <v>36</v>
      </c>
      <c r="F765" s="245" t="str">
        <f t="shared" si="46"/>
        <v>StpS 77</v>
      </c>
      <c r="G765" s="169" t="s">
        <v>336</v>
      </c>
      <c r="I765" s="169" t="str">
        <f t="shared" si="48"/>
        <v>L09_DPVE2_024E_STOPE</v>
      </c>
      <c r="J765" s="169" t="s">
        <v>7056</v>
      </c>
      <c r="K765" s="169">
        <f>IFERROR(MATCH(J765,'Final List'!$B$4:$B$252,0),0)</f>
        <v>0</v>
      </c>
      <c r="L765" s="169">
        <f>IFERROR(MATCH(J765,'Final List'!$D$4:$D$252,0),0)</f>
        <v>0</v>
      </c>
      <c r="M765" s="169">
        <f>IFERROR(MATCH(J765,'Final List'!$F$4:$F$251,0),0)</f>
        <v>0</v>
      </c>
      <c r="N765" s="169">
        <f>IFERROR(MATCH(J765,'Final List'!$H$4:$H$252,0),0)</f>
        <v>0</v>
      </c>
      <c r="O765" s="169">
        <f>IFERROR(MATCH(J765,'Final List'!$J$4:$J$252,0),0)</f>
        <v>0</v>
      </c>
      <c r="P765" s="169">
        <f>IFERROR(MATCH(J765,'Final List'!$L$4:$L$252,0),0)</f>
        <v>0</v>
      </c>
      <c r="Q765" s="169">
        <f>IFERROR(MATCH(J765,'Final List'!$N$4:$N$252,0),0)</f>
        <v>0</v>
      </c>
      <c r="R765" s="169">
        <f>IFERROR(MATCH(J765,'Final List'!$P$4:$P$252,0),0)</f>
        <v>0</v>
      </c>
      <c r="S765" s="169">
        <f t="shared" si="47"/>
        <v>0</v>
      </c>
      <c r="T765" s="169" t="s">
        <v>280</v>
      </c>
      <c r="V765" s="169" t="str">
        <f t="shared" si="45"/>
        <v>BALANGHIG 1</v>
      </c>
      <c r="W765" s="169" t="s">
        <v>2711</v>
      </c>
    </row>
    <row r="766" spans="2:23" x14ac:dyDescent="0.25">
      <c r="B766" s="169" t="s">
        <v>94</v>
      </c>
      <c r="C766" s="169" t="s">
        <v>43</v>
      </c>
      <c r="D766" s="169" t="s">
        <v>6068</v>
      </c>
      <c r="E766" s="169" t="s">
        <v>19</v>
      </c>
      <c r="F766" s="245" t="str">
        <f t="shared" si="46"/>
        <v>DVR 72</v>
      </c>
      <c r="G766" s="169" t="s">
        <v>585</v>
      </c>
      <c r="I766" s="169" t="str">
        <f t="shared" si="48"/>
        <v>L07_GHVSPLIT_035W_RAISE</v>
      </c>
      <c r="J766" s="169" t="s">
        <v>7057</v>
      </c>
      <c r="K766" s="169">
        <f>IFERROR(MATCH(J766,'Final List'!$B$4:$B$252,0),0)</f>
        <v>0</v>
      </c>
      <c r="L766" s="169">
        <f>IFERROR(MATCH(J766,'Final List'!$D$4:$D$252,0),0)</f>
        <v>0</v>
      </c>
      <c r="M766" s="169">
        <f>IFERROR(MATCH(J766,'Final List'!$F$4:$F$251,0),0)</f>
        <v>0</v>
      </c>
      <c r="N766" s="169">
        <f>IFERROR(MATCH(J766,'Final List'!$H$4:$H$252,0),0)</f>
        <v>0</v>
      </c>
      <c r="O766" s="169">
        <f>IFERROR(MATCH(J766,'Final List'!$J$4:$J$252,0),0)</f>
        <v>0</v>
      </c>
      <c r="P766" s="169">
        <f>IFERROR(MATCH(J766,'Final List'!$L$4:$L$252,0),0)</f>
        <v>0</v>
      </c>
      <c r="Q766" s="169">
        <f>IFERROR(MATCH(J766,'Final List'!$N$4:$N$252,0),0)</f>
        <v>0</v>
      </c>
      <c r="R766" s="169">
        <f>IFERROR(MATCH(J766,'Final List'!$P$4:$P$252,0),0)</f>
        <v>0</v>
      </c>
      <c r="S766" s="169">
        <f t="shared" si="47"/>
        <v>0</v>
      </c>
      <c r="V766" s="169" t="str">
        <f t="shared" si="45"/>
        <v>ESPADA 1</v>
      </c>
      <c r="W766" s="169" t="s">
        <v>2715</v>
      </c>
    </row>
    <row r="767" spans="2:23" x14ac:dyDescent="0.25">
      <c r="B767" s="169" t="s">
        <v>92</v>
      </c>
      <c r="C767" s="169" t="s">
        <v>42</v>
      </c>
      <c r="D767" s="169" t="s">
        <v>147</v>
      </c>
      <c r="E767" s="169" t="s">
        <v>6154</v>
      </c>
      <c r="F767" s="245" t="str">
        <f t="shared" si="46"/>
        <v>Dhoz 71</v>
      </c>
      <c r="G767" s="169" t="s">
        <v>387</v>
      </c>
      <c r="I767" s="169" t="str">
        <f t="shared" si="48"/>
        <v>L05_JV_024E_DW_ISL</v>
      </c>
      <c r="J767" s="169" t="s">
        <v>7077</v>
      </c>
      <c r="K767" s="169">
        <f>IFERROR(MATCH(J767,'Final List'!$B$4:$B$252,0),0)</f>
        <v>0</v>
      </c>
      <c r="L767" s="169">
        <f>IFERROR(MATCH(J767,'Final List'!$D$4:$D$252,0),0)</f>
        <v>0</v>
      </c>
      <c r="M767" s="169">
        <f>IFERROR(MATCH(J767,'Final List'!$F$4:$F$251,0),0)</f>
        <v>0</v>
      </c>
      <c r="N767" s="169">
        <f>IFERROR(MATCH(J767,'Final List'!$H$4:$H$252,0),0)</f>
        <v>0</v>
      </c>
      <c r="O767" s="169">
        <f>IFERROR(MATCH(J767,'Final List'!$J$4:$J$252,0),0)</f>
        <v>0</v>
      </c>
      <c r="P767" s="169">
        <f>IFERROR(MATCH(J767,'Final List'!$L$4:$L$252,0),0)</f>
        <v>0</v>
      </c>
      <c r="Q767" s="169">
        <f>IFERROR(MATCH(J767,'Final List'!$N$4:$N$252,0),0)</f>
        <v>0</v>
      </c>
      <c r="R767" s="169">
        <f>IFERROR(MATCH(J767,'Final List'!$P$4:$P$252,0),0)</f>
        <v>0</v>
      </c>
      <c r="S767" s="169">
        <f t="shared" si="47"/>
        <v>0</v>
      </c>
      <c r="V767" s="169" t="str">
        <f t="shared" si="45"/>
        <v>MAPAYO 1</v>
      </c>
      <c r="W767" s="169" t="s">
        <v>2708</v>
      </c>
    </row>
    <row r="768" spans="2:23" x14ac:dyDescent="0.25">
      <c r="B768" s="169" t="s">
        <v>258</v>
      </c>
      <c r="C768" s="169" t="s">
        <v>56</v>
      </c>
      <c r="D768" s="169" t="s">
        <v>179</v>
      </c>
      <c r="E768" s="169" t="s">
        <v>36</v>
      </c>
      <c r="F768" s="245" t="str">
        <f t="shared" si="46"/>
        <v>StpS 77</v>
      </c>
      <c r="G768" s="169" t="s">
        <v>1905</v>
      </c>
      <c r="I768" s="169" t="str">
        <f t="shared" si="48"/>
        <v>L10_GHVFW_050E_STOPE</v>
      </c>
      <c r="J768" s="169" t="s">
        <v>7066</v>
      </c>
      <c r="K768" s="169">
        <f>IFERROR(MATCH(J768,'Final List'!$B$4:$B$252,0),0)</f>
        <v>0</v>
      </c>
      <c r="L768" s="169">
        <f>IFERROR(MATCH(J768,'Final List'!$D$4:$D$252,0),0)</f>
        <v>0</v>
      </c>
      <c r="M768" s="169">
        <f>IFERROR(MATCH(J768,'Final List'!$F$4:$F$251,0),0)</f>
        <v>0</v>
      </c>
      <c r="N768" s="169">
        <f>IFERROR(MATCH(J768,'Final List'!$H$4:$H$252,0),0)</f>
        <v>0</v>
      </c>
      <c r="O768" s="169">
        <f>IFERROR(MATCH(J768,'Final List'!$J$4:$J$252,0),0)</f>
        <v>0</v>
      </c>
      <c r="P768" s="169">
        <f>IFERROR(MATCH(J768,'Final List'!$L$4:$L$252,0),0)</f>
        <v>0</v>
      </c>
      <c r="Q768" s="169">
        <f>IFERROR(MATCH(J768,'Final List'!$N$4:$N$252,0),0)</f>
        <v>0</v>
      </c>
      <c r="R768" s="169">
        <f>IFERROR(MATCH(J768,'Final List'!$P$4:$P$252,0),0)</f>
        <v>0</v>
      </c>
      <c r="S768" s="169">
        <f t="shared" si="47"/>
        <v>0</v>
      </c>
      <c r="T768" s="169" t="s">
        <v>68</v>
      </c>
      <c r="V768" s="169" t="str">
        <f t="shared" si="45"/>
        <v>MONTEBON 1</v>
      </c>
      <c r="W768" s="169" t="s">
        <v>2713</v>
      </c>
    </row>
    <row r="769" spans="2:23" x14ac:dyDescent="0.25">
      <c r="B769" s="169" t="s">
        <v>258</v>
      </c>
      <c r="C769" s="169" t="s">
        <v>43</v>
      </c>
      <c r="D769" s="169" t="s">
        <v>226</v>
      </c>
      <c r="E769" s="169" t="s">
        <v>36</v>
      </c>
      <c r="F769" s="245" t="str">
        <f t="shared" si="46"/>
        <v>StpS 77</v>
      </c>
      <c r="G769" s="169" t="s">
        <v>318</v>
      </c>
      <c r="I769" s="169" t="str">
        <f t="shared" si="48"/>
        <v>L10_GHVSPLIT_074E_STOPE</v>
      </c>
      <c r="J769" s="169" t="s">
        <v>7495</v>
      </c>
      <c r="K769" s="169">
        <f>IFERROR(MATCH(J769,'Final List'!$B$4:$B$252,0),0)</f>
        <v>0</v>
      </c>
      <c r="L769" s="169">
        <f>IFERROR(MATCH(J769,'Final List'!$D$4:$D$252,0),0)</f>
        <v>0</v>
      </c>
      <c r="M769" s="169">
        <f>IFERROR(MATCH(J769,'Final List'!$F$4:$F$251,0),0)</f>
        <v>0</v>
      </c>
      <c r="N769" s="169">
        <f>IFERROR(MATCH(J769,'Final List'!$H$4:$H$252,0),0)</f>
        <v>0</v>
      </c>
      <c r="O769" s="169">
        <f>IFERROR(MATCH(J769,'Final List'!$J$4:$J$252,0),0)</f>
        <v>0</v>
      </c>
      <c r="P769" s="169">
        <f>IFERROR(MATCH(J769,'Final List'!$L$4:$L$252,0),0)</f>
        <v>0</v>
      </c>
      <c r="Q769" s="169">
        <f>IFERROR(MATCH(J769,'Final List'!$N$4:$N$252,0),0)</f>
        <v>0</v>
      </c>
      <c r="R769" s="169">
        <f>IFERROR(MATCH(J769,'Final List'!$P$4:$P$252,0),0)</f>
        <v>0</v>
      </c>
      <c r="S769" s="169">
        <f t="shared" si="47"/>
        <v>0</v>
      </c>
      <c r="T769" s="169" t="s">
        <v>68</v>
      </c>
      <c r="V769" s="169" t="str">
        <f t="shared" si="45"/>
        <v>PARAGUYA 3</v>
      </c>
      <c r="W769" s="169" t="s">
        <v>2713</v>
      </c>
    </row>
    <row r="770" spans="2:23" x14ac:dyDescent="0.25">
      <c r="B770" s="169" t="s">
        <v>93</v>
      </c>
      <c r="C770" s="169" t="s">
        <v>38</v>
      </c>
      <c r="D770" s="169" t="s">
        <v>118</v>
      </c>
      <c r="E770" s="169" t="s">
        <v>60</v>
      </c>
      <c r="F770" s="245" t="str">
        <f t="shared" si="46"/>
        <v>Dhoz 71</v>
      </c>
      <c r="G770" s="169" t="s">
        <v>341</v>
      </c>
      <c r="I770" s="169" t="str">
        <f t="shared" si="48"/>
        <v>L06_GHV_014E_DE</v>
      </c>
      <c r="J770" s="169" t="s">
        <v>7061</v>
      </c>
      <c r="K770" s="169">
        <f>IFERROR(MATCH(J770,'Final List'!$B$4:$B$252,0),0)</f>
        <v>0</v>
      </c>
      <c r="L770" s="169">
        <f>IFERROR(MATCH(J770,'Final List'!$D$4:$D$252,0),0)</f>
        <v>0</v>
      </c>
      <c r="M770" s="169">
        <f>IFERROR(MATCH(J770,'Final List'!$F$4:$F$251,0),0)</f>
        <v>0</v>
      </c>
      <c r="N770" s="169">
        <f>IFERROR(MATCH(J770,'Final List'!$H$4:$H$252,0),0)</f>
        <v>0</v>
      </c>
      <c r="O770" s="169">
        <f>IFERROR(MATCH(J770,'Final List'!$J$4:$J$252,0),0)</f>
        <v>0</v>
      </c>
      <c r="P770" s="169">
        <f>IFERROR(MATCH(J770,'Final List'!$L$4:$L$252,0),0)</f>
        <v>0</v>
      </c>
      <c r="Q770" s="169">
        <f>IFERROR(MATCH(J770,'Final List'!$N$4:$N$252,0),0)</f>
        <v>0</v>
      </c>
      <c r="R770" s="169">
        <f>IFERROR(MATCH(J770,'Final List'!$P$4:$P$252,0),0)</f>
        <v>0</v>
      </c>
      <c r="S770" s="169">
        <f t="shared" si="47"/>
        <v>0</v>
      </c>
      <c r="V770" s="169" t="str">
        <f t="shared" ref="V770:V833" si="49">IF(H770="",G770,H770)</f>
        <v>BADBADON 1</v>
      </c>
      <c r="W770" s="169" t="s">
        <v>8895</v>
      </c>
    </row>
    <row r="771" spans="2:23" x14ac:dyDescent="0.25">
      <c r="B771" s="169" t="s">
        <v>93</v>
      </c>
      <c r="C771" s="169" t="s">
        <v>57</v>
      </c>
      <c r="D771" s="169" t="s">
        <v>146</v>
      </c>
      <c r="E771" s="169" t="s">
        <v>19</v>
      </c>
      <c r="F771" s="245" t="str">
        <f t="shared" ref="F771:F834" si="50">IF(OR(E771="XCN",E771="DE",E771="DW",E771="DN",E771="XCS",E771="XCE",E771="XCW",E771="SUMP",E771="BYPASS",E771="CHAMBER",E771="DRAIN HOLE",E771="DRILLING CHAMBER",E771="DE_ISL",E771="DW_ISL",E771="REHAB"),"Dhoz 71",IF(OR(E771="RAISE",E771="RAISE_ISL"),"DVR 72",IF(E771="ALIMAK","DVA 73",IF(E771="WINZE","DVW 74",IF(E771="SHAFT","DVS 75",IF(AND(E771="WINZE STOPE",T771="S"),"RobC 80",IF(AND(E771="STOPE",T771="S"),"StpS 77",IF(AND(E771="WINZE STOPE",T771="L"),"RobC 80",IF(AND(E771="STOPE",T771="L"),"StpL 78",IF(AND(E771="WINZE STOPE PREP",T771="S"),"RobC 80",IF(AND(E771="STOPE PREP",T771="S"),"StpS 77",IF(AND(E771="WINZE STOPE PREP",T771="L"),"RobC 80",IF(AND(E771="STOPE PREP",T771="L"),"StpL 78",IF(AND(E771="ROBBING",T771="L"),"RobC 80",IF(AND(E771="ROBBING",T771="S"),"RobS 79",0)))))))))))))))</f>
        <v>DVR 72</v>
      </c>
      <c r="G771" s="169" t="s">
        <v>356</v>
      </c>
      <c r="I771" s="169" t="str">
        <f t="shared" si="48"/>
        <v>L06_JVSPLIT_030E_RAISE</v>
      </c>
      <c r="J771" s="169" t="s">
        <v>7060</v>
      </c>
      <c r="K771" s="169">
        <f>IFERROR(MATCH(J771,'Final List'!$B$4:$B$252,0),0)</f>
        <v>0</v>
      </c>
      <c r="L771" s="169">
        <f>IFERROR(MATCH(J771,'Final List'!$D$4:$D$252,0),0)</f>
        <v>0</v>
      </c>
      <c r="M771" s="169">
        <f>IFERROR(MATCH(J771,'Final List'!$F$4:$F$251,0),0)</f>
        <v>0</v>
      </c>
      <c r="N771" s="169">
        <f>IFERROR(MATCH(J771,'Final List'!$H$4:$H$252,0),0)</f>
        <v>0</v>
      </c>
      <c r="O771" s="169">
        <f>IFERROR(MATCH(J771,'Final List'!$J$4:$J$252,0),0)</f>
        <v>0</v>
      </c>
      <c r="P771" s="169">
        <f>IFERROR(MATCH(J771,'Final List'!$L$4:$L$252,0),0)</f>
        <v>0</v>
      </c>
      <c r="Q771" s="169">
        <f>IFERROR(MATCH(J771,'Final List'!$N$4:$N$252,0),0)</f>
        <v>0</v>
      </c>
      <c r="R771" s="169">
        <f>IFERROR(MATCH(J771,'Final List'!$P$4:$P$252,0),0)</f>
        <v>0</v>
      </c>
      <c r="S771" s="169">
        <f t="shared" ref="S771:S834" si="51">SUM(K771:R771)</f>
        <v>0</v>
      </c>
      <c r="V771" s="169" t="str">
        <f t="shared" si="49"/>
        <v>BAÑEZ 1</v>
      </c>
      <c r="W771" s="169" t="s">
        <v>2715</v>
      </c>
    </row>
    <row r="772" spans="2:23" x14ac:dyDescent="0.25">
      <c r="B772" s="169" t="s">
        <v>91</v>
      </c>
      <c r="C772" s="169" t="s">
        <v>43</v>
      </c>
      <c r="D772" s="169" t="s">
        <v>107</v>
      </c>
      <c r="E772" s="169" t="s">
        <v>60</v>
      </c>
      <c r="F772" s="245" t="str">
        <f t="shared" si="50"/>
        <v>Dhoz 71</v>
      </c>
      <c r="G772" s="169" t="s">
        <v>448</v>
      </c>
      <c r="I772" s="169" t="str">
        <f t="shared" si="48"/>
        <v>L04_GHVSPLIT_032W_DE</v>
      </c>
      <c r="J772" s="169" t="s">
        <v>7075</v>
      </c>
      <c r="K772" s="169">
        <f>IFERROR(MATCH(J772,'Final List'!$B$4:$B$252,0),0)</f>
        <v>0</v>
      </c>
      <c r="L772" s="169">
        <f>IFERROR(MATCH(J772,'Final List'!$D$4:$D$252,0),0)</f>
        <v>0</v>
      </c>
      <c r="M772" s="169">
        <f>IFERROR(MATCH(J772,'Final List'!$F$4:$F$251,0),0)</f>
        <v>0</v>
      </c>
      <c r="N772" s="169">
        <f>IFERROR(MATCH(J772,'Final List'!$H$4:$H$252,0),0)</f>
        <v>0</v>
      </c>
      <c r="O772" s="169">
        <f>IFERROR(MATCH(J772,'Final List'!$J$4:$J$252,0),0)</f>
        <v>0</v>
      </c>
      <c r="P772" s="169">
        <f>IFERROR(MATCH(J772,'Final List'!$L$4:$L$252,0),0)</f>
        <v>0</v>
      </c>
      <c r="Q772" s="169">
        <f>IFERROR(MATCH(J772,'Final List'!$N$4:$N$252,0),0)</f>
        <v>0</v>
      </c>
      <c r="R772" s="169">
        <f>IFERROR(MATCH(J772,'Final List'!$P$4:$P$252,0),0)</f>
        <v>0</v>
      </c>
      <c r="S772" s="169">
        <f t="shared" si="51"/>
        <v>0</v>
      </c>
      <c r="V772" s="169" t="str">
        <f t="shared" si="49"/>
        <v>COMAINGKING 2</v>
      </c>
      <c r="W772" s="169" t="s">
        <v>8895</v>
      </c>
    </row>
    <row r="773" spans="2:23" ht="15.75" x14ac:dyDescent="0.25">
      <c r="B773" s="169" t="s">
        <v>95</v>
      </c>
      <c r="C773" s="169" t="s">
        <v>45</v>
      </c>
      <c r="D773" s="169" t="s">
        <v>130</v>
      </c>
      <c r="E773" s="169" t="s">
        <v>6143</v>
      </c>
      <c r="F773" s="245" t="str">
        <f t="shared" si="50"/>
        <v>Dhoz 71</v>
      </c>
      <c r="G773" s="152" t="s">
        <v>13172</v>
      </c>
      <c r="I773" s="169" t="str">
        <f t="shared" si="48"/>
        <v>L08_DPVE_036E_DE_ISL</v>
      </c>
      <c r="J773" s="169" t="s">
        <v>7069</v>
      </c>
      <c r="K773" s="169">
        <f>IFERROR(MATCH(J773,'Final List'!$B$4:$B$252,0),0)</f>
        <v>0</v>
      </c>
      <c r="L773" s="169">
        <f>IFERROR(MATCH(J773,'Final List'!$D$4:$D$252,0),0)</f>
        <v>0</v>
      </c>
      <c r="M773" s="169">
        <f>IFERROR(MATCH(J773,'Final List'!$F$4:$F$251,0),0)</f>
        <v>0</v>
      </c>
      <c r="N773" s="169">
        <f>IFERROR(MATCH(J773,'Final List'!$H$4:$H$252,0),0)</f>
        <v>0</v>
      </c>
      <c r="O773" s="169">
        <f>IFERROR(MATCH(J773,'Final List'!$J$4:$J$252,0),0)</f>
        <v>0</v>
      </c>
      <c r="P773" s="169">
        <f>IFERROR(MATCH(J773,'Final List'!$L$4:$L$252,0),0)</f>
        <v>0</v>
      </c>
      <c r="Q773" s="169">
        <f>IFERROR(MATCH(J773,'Final List'!$N$4:$N$252,0),0)</f>
        <v>0</v>
      </c>
      <c r="R773" s="169">
        <f>IFERROR(MATCH(J773,'Final List'!$P$4:$P$252,0),0)</f>
        <v>0</v>
      </c>
      <c r="S773" s="169">
        <f t="shared" si="51"/>
        <v>0</v>
      </c>
      <c r="V773" s="169" t="str">
        <f t="shared" si="49"/>
        <v>NITRO CB</v>
      </c>
      <c r="W773" s="169" t="s">
        <v>2708</v>
      </c>
    </row>
    <row r="774" spans="2:23" x14ac:dyDescent="0.25">
      <c r="B774" s="169" t="s">
        <v>94</v>
      </c>
      <c r="C774" s="169" t="s">
        <v>87</v>
      </c>
      <c r="D774" s="169" t="s">
        <v>121</v>
      </c>
      <c r="E774" s="169" t="s">
        <v>63</v>
      </c>
      <c r="F774" s="245" t="str">
        <f t="shared" si="50"/>
        <v>Dhoz 71</v>
      </c>
      <c r="G774" s="169" t="s">
        <v>5921</v>
      </c>
      <c r="I774" s="169" t="str">
        <f t="shared" si="48"/>
        <v>L07_NONE_022E_XCS</v>
      </c>
      <c r="J774" s="169" t="s">
        <v>7074</v>
      </c>
      <c r="K774" s="169">
        <f>IFERROR(MATCH(J774,'Final List'!$B$4:$B$252,0),0)</f>
        <v>0</v>
      </c>
      <c r="L774" s="169">
        <f>IFERROR(MATCH(J774,'Final List'!$D$4:$D$252,0),0)</f>
        <v>0</v>
      </c>
      <c r="M774" s="169">
        <f>IFERROR(MATCH(J774,'Final List'!$F$4:$F$251,0),0)</f>
        <v>0</v>
      </c>
      <c r="N774" s="169">
        <f>IFERROR(MATCH(J774,'Final List'!$H$4:$H$252,0),0)</f>
        <v>0</v>
      </c>
      <c r="O774" s="169">
        <f>IFERROR(MATCH(J774,'Final List'!$J$4:$J$252,0),0)</f>
        <v>0</v>
      </c>
      <c r="P774" s="169">
        <f>IFERROR(MATCH(J774,'Final List'!$L$4:$L$252,0),0)</f>
        <v>0</v>
      </c>
      <c r="Q774" s="169">
        <f>IFERROR(MATCH(J774,'Final List'!$N$4:$N$252,0),0)</f>
        <v>0</v>
      </c>
      <c r="R774" s="169">
        <f>IFERROR(MATCH(J774,'Final List'!$P$4:$P$252,0),0)</f>
        <v>0</v>
      </c>
      <c r="S774" s="169">
        <f t="shared" si="51"/>
        <v>0</v>
      </c>
      <c r="V774" s="169" t="str">
        <f t="shared" si="49"/>
        <v>TURRA 2</v>
      </c>
      <c r="W774" s="169" t="s">
        <v>8897</v>
      </c>
    </row>
    <row r="775" spans="2:23" x14ac:dyDescent="0.25">
      <c r="B775" s="169" t="s">
        <v>92</v>
      </c>
      <c r="C775" s="169" t="s">
        <v>41</v>
      </c>
      <c r="D775" s="169" t="s">
        <v>5601</v>
      </c>
      <c r="E775" s="169" t="s">
        <v>441</v>
      </c>
      <c r="F775" s="245" t="str">
        <f t="shared" si="50"/>
        <v>RobC 80</v>
      </c>
      <c r="G775" s="169" t="s">
        <v>5698</v>
      </c>
      <c r="I775" s="169" t="str">
        <f t="shared" si="48"/>
        <v>L05_CTV_026E_WINZE STOPE PREP</v>
      </c>
      <c r="J775" s="169" t="s">
        <v>7078</v>
      </c>
      <c r="K775" s="169">
        <f>IFERROR(MATCH(J775,'Final List'!$B$4:$B$252,0),0)</f>
        <v>0</v>
      </c>
      <c r="L775" s="169">
        <f>IFERROR(MATCH(J775,'Final List'!$D$4:$D$252,0),0)</f>
        <v>0</v>
      </c>
      <c r="M775" s="169">
        <f>IFERROR(MATCH(J775,'Final List'!$F$4:$F$251,0),0)</f>
        <v>0</v>
      </c>
      <c r="N775" s="169">
        <f>IFERROR(MATCH(J775,'Final List'!$H$4:$H$252,0),0)</f>
        <v>0</v>
      </c>
      <c r="O775" s="169">
        <f>IFERROR(MATCH(J775,'Final List'!$J$4:$J$252,0),0)</f>
        <v>0</v>
      </c>
      <c r="P775" s="169">
        <f>IFERROR(MATCH(J775,'Final List'!$L$4:$L$252,0),0)</f>
        <v>0</v>
      </c>
      <c r="Q775" s="169">
        <f>IFERROR(MATCH(J775,'Final List'!$N$4:$N$252,0),0)</f>
        <v>0</v>
      </c>
      <c r="R775" s="169">
        <f>IFERROR(MATCH(J775,'Final List'!$P$4:$P$252,0),0)</f>
        <v>0</v>
      </c>
      <c r="S775" s="169">
        <f t="shared" si="51"/>
        <v>0</v>
      </c>
      <c r="T775" s="169" t="s">
        <v>68</v>
      </c>
      <c r="V775" s="169" t="str">
        <f t="shared" si="49"/>
        <v>PARAN 1</v>
      </c>
      <c r="W775" s="169" t="s">
        <v>2716</v>
      </c>
    </row>
    <row r="776" spans="2:23" x14ac:dyDescent="0.25">
      <c r="B776" s="169" t="s">
        <v>91</v>
      </c>
      <c r="C776" s="169" t="s">
        <v>42</v>
      </c>
      <c r="D776" s="169" t="s">
        <v>99</v>
      </c>
      <c r="E776" s="169" t="s">
        <v>6143</v>
      </c>
      <c r="F776" s="245" t="str">
        <f t="shared" si="50"/>
        <v>Dhoz 71</v>
      </c>
      <c r="G776" s="169" t="s">
        <v>310</v>
      </c>
      <c r="I776" s="169" t="str">
        <f t="shared" si="48"/>
        <v>L04_JV_028W_DE_ISL</v>
      </c>
      <c r="J776" s="169" t="s">
        <v>7081</v>
      </c>
      <c r="K776" s="169">
        <f>IFERROR(MATCH(J776,'Final List'!$B$4:$B$252,0),0)</f>
        <v>0</v>
      </c>
      <c r="L776" s="169">
        <f>IFERROR(MATCH(J776,'Final List'!$D$4:$D$252,0),0)</f>
        <v>0</v>
      </c>
      <c r="M776" s="169">
        <f>IFERROR(MATCH(J776,'Final List'!$F$4:$F$251,0),0)</f>
        <v>0</v>
      </c>
      <c r="N776" s="169">
        <f>IFERROR(MATCH(J776,'Final List'!$H$4:$H$252,0),0)</f>
        <v>0</v>
      </c>
      <c r="O776" s="169">
        <f>IFERROR(MATCH(J776,'Final List'!$J$4:$J$252,0),0)</f>
        <v>0</v>
      </c>
      <c r="P776" s="169">
        <f>IFERROR(MATCH(J776,'Final List'!$L$4:$L$252,0),0)</f>
        <v>0</v>
      </c>
      <c r="Q776" s="169">
        <f>IFERROR(MATCH(J776,'Final List'!$N$4:$N$252,0),0)</f>
        <v>0</v>
      </c>
      <c r="R776" s="169">
        <f>IFERROR(MATCH(J776,'Final List'!$P$4:$P$252,0),0)</f>
        <v>0</v>
      </c>
      <c r="S776" s="169">
        <f t="shared" si="51"/>
        <v>0</v>
      </c>
      <c r="V776" s="169" t="str">
        <f t="shared" si="49"/>
        <v>MARTINEZ DN 1</v>
      </c>
      <c r="W776" s="169" t="s">
        <v>2708</v>
      </c>
    </row>
    <row r="777" spans="2:23" x14ac:dyDescent="0.25">
      <c r="B777" s="169" t="s">
        <v>94</v>
      </c>
      <c r="C777" s="169" t="s">
        <v>39</v>
      </c>
      <c r="D777" s="169" t="s">
        <v>142</v>
      </c>
      <c r="E777" s="169" t="s">
        <v>61</v>
      </c>
      <c r="F777" s="245" t="str">
        <f t="shared" si="50"/>
        <v>Dhoz 71</v>
      </c>
      <c r="G777" s="169" t="s">
        <v>5717</v>
      </c>
      <c r="H777" s="169" t="s">
        <v>5817</v>
      </c>
      <c r="I777" s="169" t="str">
        <f t="shared" si="48"/>
        <v>L07_JVHW_038E_DW</v>
      </c>
      <c r="J777" s="169" t="s">
        <v>5582</v>
      </c>
      <c r="K777" s="169">
        <f>IFERROR(MATCH(J777,'Final List'!$B$4:$B$252,0),0)</f>
        <v>0</v>
      </c>
      <c r="L777" s="169">
        <f>IFERROR(MATCH(J777,'Final List'!$D$4:$D$252,0),0)</f>
        <v>0</v>
      </c>
      <c r="M777" s="169">
        <f>IFERROR(MATCH(J777,'Final List'!$F$4:$F$251,0),0)</f>
        <v>0</v>
      </c>
      <c r="N777" s="169">
        <f>IFERROR(MATCH(J777,'Final List'!$H$4:$H$252,0),0)</f>
        <v>0</v>
      </c>
      <c r="O777" s="169">
        <f>IFERROR(MATCH(J777,'Final List'!$J$4:$J$252,0),0)</f>
        <v>0</v>
      </c>
      <c r="P777" s="169">
        <f>IFERROR(MATCH(J777,'Final List'!$L$4:$L$252,0),0)</f>
        <v>0</v>
      </c>
      <c r="Q777" s="169">
        <f>IFERROR(MATCH(J777,'Final List'!$N$4:$N$252,0),0)</f>
        <v>0</v>
      </c>
      <c r="R777" s="169">
        <f>IFERROR(MATCH(J777,'Final List'!$P$4:$P$252,0),0)</f>
        <v>0</v>
      </c>
      <c r="S777" s="169">
        <f t="shared" si="51"/>
        <v>0</v>
      </c>
      <c r="V777" s="169" t="str">
        <f t="shared" si="49"/>
        <v>SHEPHERD AK</v>
      </c>
      <c r="W777" s="169" t="s">
        <v>8895</v>
      </c>
    </row>
    <row r="778" spans="2:23" x14ac:dyDescent="0.25">
      <c r="B778" s="169" t="s">
        <v>93</v>
      </c>
      <c r="C778" s="169" t="s">
        <v>41</v>
      </c>
      <c r="D778" s="169" t="s">
        <v>5689</v>
      </c>
      <c r="E778" s="169" t="s">
        <v>61</v>
      </c>
      <c r="F778" s="245" t="str">
        <f t="shared" si="50"/>
        <v>Dhoz 71</v>
      </c>
      <c r="G778" s="169" t="s">
        <v>352</v>
      </c>
      <c r="I778" s="169" t="str">
        <f t="shared" si="48"/>
        <v>L06_CTV_003E_DW</v>
      </c>
      <c r="J778" s="169" t="s">
        <v>7089</v>
      </c>
      <c r="K778" s="169">
        <f>IFERROR(MATCH(J778,'Final List'!$B$4:$B$252,0),0)</f>
        <v>0</v>
      </c>
      <c r="L778" s="169">
        <f>IFERROR(MATCH(J778,'Final List'!$D$4:$D$252,0),0)</f>
        <v>0</v>
      </c>
      <c r="M778" s="169">
        <f>IFERROR(MATCH(J778,'Final List'!$F$4:$F$251,0),0)</f>
        <v>0</v>
      </c>
      <c r="N778" s="169">
        <f>IFERROR(MATCH(J778,'Final List'!$H$4:$H$252,0),0)</f>
        <v>0</v>
      </c>
      <c r="O778" s="169">
        <f>IFERROR(MATCH(J778,'Final List'!$J$4:$J$252,0),0)</f>
        <v>0</v>
      </c>
      <c r="P778" s="169">
        <f>IFERROR(MATCH(J778,'Final List'!$L$4:$L$252,0),0)</f>
        <v>0</v>
      </c>
      <c r="Q778" s="169">
        <f>IFERROR(MATCH(J778,'Final List'!$N$4:$N$252,0),0)</f>
        <v>0</v>
      </c>
      <c r="R778" s="169">
        <f>IFERROR(MATCH(J778,'Final List'!$P$4:$P$252,0),0)</f>
        <v>0</v>
      </c>
      <c r="S778" s="169">
        <f t="shared" si="51"/>
        <v>0</v>
      </c>
      <c r="V778" s="169" t="str">
        <f t="shared" si="49"/>
        <v>BAÑEZ 5</v>
      </c>
      <c r="W778" s="169" t="s">
        <v>8895</v>
      </c>
    </row>
    <row r="779" spans="2:23" x14ac:dyDescent="0.25">
      <c r="B779" s="169" t="s">
        <v>93</v>
      </c>
      <c r="C779" s="169" t="s">
        <v>57</v>
      </c>
      <c r="D779" s="169" t="s">
        <v>119</v>
      </c>
      <c r="E779" s="169" t="s">
        <v>19</v>
      </c>
      <c r="F779" s="245" t="str">
        <f t="shared" si="50"/>
        <v>DVR 72</v>
      </c>
      <c r="G779" s="169" t="s">
        <v>354</v>
      </c>
      <c r="I779" s="169" t="str">
        <f t="shared" si="48"/>
        <v>L06_JVSPLIT_012E_RAISE</v>
      </c>
      <c r="J779" s="169" t="s">
        <v>7090</v>
      </c>
      <c r="K779" s="169">
        <f>IFERROR(MATCH(J779,'Final List'!$B$4:$B$252,0),0)</f>
        <v>0</v>
      </c>
      <c r="L779" s="169">
        <f>IFERROR(MATCH(J779,'Final List'!$D$4:$D$252,0),0)</f>
        <v>0</v>
      </c>
      <c r="M779" s="169">
        <f>IFERROR(MATCH(J779,'Final List'!$F$4:$F$251,0),0)</f>
        <v>0</v>
      </c>
      <c r="N779" s="169">
        <f>IFERROR(MATCH(J779,'Final List'!$H$4:$H$252,0),0)</f>
        <v>0</v>
      </c>
      <c r="O779" s="169">
        <f>IFERROR(MATCH(J779,'Final List'!$J$4:$J$252,0),0)</f>
        <v>0</v>
      </c>
      <c r="P779" s="169">
        <f>IFERROR(MATCH(J779,'Final List'!$L$4:$L$252,0),0)</f>
        <v>0</v>
      </c>
      <c r="Q779" s="169">
        <f>IFERROR(MATCH(J779,'Final List'!$N$4:$N$252,0),0)</f>
        <v>0</v>
      </c>
      <c r="R779" s="169">
        <f>IFERROR(MATCH(J779,'Final List'!$P$4:$P$252,0),0)</f>
        <v>0</v>
      </c>
      <c r="S779" s="169">
        <f t="shared" si="51"/>
        <v>0</v>
      </c>
      <c r="V779" s="169" t="str">
        <f t="shared" si="49"/>
        <v>BAÑEZ 3</v>
      </c>
      <c r="W779" s="169" t="s">
        <v>2715</v>
      </c>
    </row>
    <row r="780" spans="2:23" x14ac:dyDescent="0.25">
      <c r="B780" s="169" t="s">
        <v>94</v>
      </c>
      <c r="C780" s="169" t="s">
        <v>42</v>
      </c>
      <c r="D780" s="169" t="s">
        <v>201</v>
      </c>
      <c r="E780" s="169" t="s">
        <v>20</v>
      </c>
      <c r="F780" s="245" t="str">
        <f t="shared" si="50"/>
        <v>DVW 74</v>
      </c>
      <c r="G780" s="169" t="s">
        <v>2972</v>
      </c>
      <c r="I780" s="169" t="str">
        <f t="shared" si="48"/>
        <v>L07_JV_067E_WINZE</v>
      </c>
      <c r="J780" s="169" t="s">
        <v>7091</v>
      </c>
      <c r="K780" s="169">
        <f>IFERROR(MATCH(J780,'Final List'!$B$4:$B$252,0),0)</f>
        <v>0</v>
      </c>
      <c r="L780" s="169">
        <f>IFERROR(MATCH(J780,'Final List'!$D$4:$D$252,0),0)</f>
        <v>0</v>
      </c>
      <c r="M780" s="169">
        <f>IFERROR(MATCH(J780,'Final List'!$F$4:$F$251,0),0)</f>
        <v>0</v>
      </c>
      <c r="N780" s="169">
        <f>IFERROR(MATCH(J780,'Final List'!$H$4:$H$252,0),0)</f>
        <v>0</v>
      </c>
      <c r="O780" s="169">
        <f>IFERROR(MATCH(J780,'Final List'!$J$4:$J$252,0),0)</f>
        <v>0</v>
      </c>
      <c r="P780" s="169">
        <f>IFERROR(MATCH(J780,'Final List'!$L$4:$L$252,0),0)</f>
        <v>0</v>
      </c>
      <c r="Q780" s="169">
        <f>IFERROR(MATCH(J780,'Final List'!$N$4:$N$252,0),0)</f>
        <v>0</v>
      </c>
      <c r="R780" s="169">
        <f>IFERROR(MATCH(J780,'Final List'!$P$4:$P$252,0),0)</f>
        <v>0</v>
      </c>
      <c r="S780" s="169">
        <f t="shared" si="51"/>
        <v>0</v>
      </c>
      <c r="V780" s="169" t="str">
        <f t="shared" si="49"/>
        <v>FABROA 1</v>
      </c>
      <c r="W780" s="169" t="s">
        <v>2706</v>
      </c>
    </row>
    <row r="781" spans="2:23" x14ac:dyDescent="0.25">
      <c r="B781" s="169" t="s">
        <v>258</v>
      </c>
      <c r="C781" s="169" t="s">
        <v>45</v>
      </c>
      <c r="D781" s="169" t="s">
        <v>201</v>
      </c>
      <c r="E781" s="169" t="s">
        <v>36</v>
      </c>
      <c r="F781" s="245" t="str">
        <f t="shared" si="50"/>
        <v>StpS 77</v>
      </c>
      <c r="G781" s="169" t="s">
        <v>453</v>
      </c>
      <c r="I781" s="169" t="str">
        <f t="shared" si="48"/>
        <v>L10_DPVE_067E_STOPE</v>
      </c>
      <c r="J781" s="169" t="s">
        <v>7096</v>
      </c>
      <c r="K781" s="169">
        <f>IFERROR(MATCH(J781,'Final List'!$B$4:$B$252,0),0)</f>
        <v>0</v>
      </c>
      <c r="L781" s="169">
        <f>IFERROR(MATCH(J781,'Final List'!$D$4:$D$252,0),0)</f>
        <v>0</v>
      </c>
      <c r="M781" s="169">
        <f>IFERROR(MATCH(J781,'Final List'!$F$4:$F$251,0),0)</f>
        <v>0</v>
      </c>
      <c r="N781" s="169">
        <f>IFERROR(MATCH(J781,'Final List'!$H$4:$H$252,0),0)</f>
        <v>0</v>
      </c>
      <c r="O781" s="169">
        <f>IFERROR(MATCH(J781,'Final List'!$J$4:$J$252,0),0)</f>
        <v>0</v>
      </c>
      <c r="P781" s="169">
        <f>IFERROR(MATCH(J781,'Final List'!$L$4:$L$252,0),0)</f>
        <v>0</v>
      </c>
      <c r="Q781" s="169">
        <f>IFERROR(MATCH(J781,'Final List'!$N$4:$N$252,0),0)</f>
        <v>0</v>
      </c>
      <c r="R781" s="169">
        <f>IFERROR(MATCH(J781,'Final List'!$P$4:$P$252,0),0)</f>
        <v>0</v>
      </c>
      <c r="S781" s="169">
        <f t="shared" si="51"/>
        <v>0</v>
      </c>
      <c r="T781" s="169" t="s">
        <v>68</v>
      </c>
      <c r="V781" s="169" t="str">
        <f t="shared" si="49"/>
        <v>BAÑEZ 7</v>
      </c>
      <c r="W781" s="169" t="s">
        <v>2713</v>
      </c>
    </row>
    <row r="782" spans="2:23" x14ac:dyDescent="0.25">
      <c r="B782" s="169" t="s">
        <v>91</v>
      </c>
      <c r="C782" s="169" t="s">
        <v>44</v>
      </c>
      <c r="D782" s="169" t="s">
        <v>5992</v>
      </c>
      <c r="E782" s="169" t="s">
        <v>19</v>
      </c>
      <c r="F782" s="245" t="str">
        <f t="shared" si="50"/>
        <v>DVR 72</v>
      </c>
      <c r="G782" s="169" t="s">
        <v>7076</v>
      </c>
      <c r="I782" s="169" t="str">
        <f t="shared" si="48"/>
        <v>L04_CV_026W_RAISE</v>
      </c>
      <c r="J782" s="169" t="s">
        <v>7085</v>
      </c>
      <c r="K782" s="169">
        <f>IFERROR(MATCH(J782,'Final List'!$B$4:$B$252,0),0)</f>
        <v>0</v>
      </c>
      <c r="L782" s="169">
        <f>IFERROR(MATCH(J782,'Final List'!$D$4:$D$252,0),0)</f>
        <v>0</v>
      </c>
      <c r="M782" s="169">
        <f>IFERROR(MATCH(J782,'Final List'!$F$4:$F$251,0),0)</f>
        <v>0</v>
      </c>
      <c r="N782" s="169">
        <f>IFERROR(MATCH(J782,'Final List'!$H$4:$H$252,0),0)</f>
        <v>0</v>
      </c>
      <c r="O782" s="169">
        <f>IFERROR(MATCH(J782,'Final List'!$J$4:$J$252,0),0)</f>
        <v>0</v>
      </c>
      <c r="P782" s="169">
        <f>IFERROR(MATCH(J782,'Final List'!$L$4:$L$252,0),0)</f>
        <v>0</v>
      </c>
      <c r="Q782" s="169">
        <f>IFERROR(MATCH(J782,'Final List'!$N$4:$N$252,0),0)</f>
        <v>0</v>
      </c>
      <c r="R782" s="169">
        <f>IFERROR(MATCH(J782,'Final List'!$P$4:$P$252,0),0)</f>
        <v>0</v>
      </c>
      <c r="S782" s="169">
        <f t="shared" si="51"/>
        <v>0</v>
      </c>
      <c r="V782" s="169" t="str">
        <f t="shared" si="49"/>
        <v>SHEPHERD AR</v>
      </c>
      <c r="W782" s="169" t="s">
        <v>2715</v>
      </c>
    </row>
    <row r="783" spans="2:23" x14ac:dyDescent="0.25">
      <c r="B783" s="169" t="s">
        <v>93</v>
      </c>
      <c r="C783" s="169" t="s">
        <v>57</v>
      </c>
      <c r="D783" s="169" t="s">
        <v>128</v>
      </c>
      <c r="E783" s="169" t="s">
        <v>60</v>
      </c>
      <c r="F783" s="245" t="str">
        <f t="shared" si="50"/>
        <v>Dhoz 71</v>
      </c>
      <c r="G783" s="169" t="s">
        <v>5717</v>
      </c>
      <c r="I783" s="169" t="str">
        <f t="shared" si="48"/>
        <v>L06_JVSPLIT_027E_DE</v>
      </c>
      <c r="J783" s="169" t="s">
        <v>7099</v>
      </c>
      <c r="K783" s="169">
        <f>IFERROR(MATCH(J783,'Final List'!$B$4:$B$252,0),0)</f>
        <v>0</v>
      </c>
      <c r="L783" s="169">
        <f>IFERROR(MATCH(J783,'Final List'!$D$4:$D$252,0),0)</f>
        <v>0</v>
      </c>
      <c r="M783" s="169">
        <f>IFERROR(MATCH(J783,'Final List'!$F$4:$F$251,0),0)</f>
        <v>0</v>
      </c>
      <c r="N783" s="169">
        <f>IFERROR(MATCH(J783,'Final List'!$H$4:$H$252,0),0)</f>
        <v>0</v>
      </c>
      <c r="O783" s="169">
        <f>IFERROR(MATCH(J783,'Final List'!$J$4:$J$252,0),0)</f>
        <v>0</v>
      </c>
      <c r="P783" s="169">
        <f>IFERROR(MATCH(J783,'Final List'!$L$4:$L$252,0),0)</f>
        <v>0</v>
      </c>
      <c r="Q783" s="169">
        <f>IFERROR(MATCH(J783,'Final List'!$N$4:$N$252,0),0)</f>
        <v>0</v>
      </c>
      <c r="R783" s="169">
        <f>IFERROR(MATCH(J783,'Final List'!$P$4:$P$252,0),0)</f>
        <v>0</v>
      </c>
      <c r="S783" s="169">
        <f t="shared" si="51"/>
        <v>0</v>
      </c>
      <c r="V783" s="169" t="str">
        <f t="shared" si="49"/>
        <v>SHEPHERD AC 1</v>
      </c>
      <c r="W783" s="169" t="s">
        <v>8895</v>
      </c>
    </row>
    <row r="784" spans="2:23" x14ac:dyDescent="0.25">
      <c r="B784" s="169" t="s">
        <v>93</v>
      </c>
      <c r="C784" s="169" t="s">
        <v>45</v>
      </c>
      <c r="D784" s="169" t="s">
        <v>120</v>
      </c>
      <c r="E784" s="169" t="s">
        <v>20</v>
      </c>
      <c r="F784" s="245" t="str">
        <f t="shared" si="50"/>
        <v>DVW 74</v>
      </c>
      <c r="G784" s="169" t="s">
        <v>350</v>
      </c>
      <c r="I784" s="169" t="str">
        <f t="shared" si="48"/>
        <v>L06_DPVE_015E_WINZE</v>
      </c>
      <c r="J784" s="169" t="s">
        <v>7100</v>
      </c>
      <c r="K784" s="169">
        <f>IFERROR(MATCH(J784,'Final List'!$B$4:$B$252,0),0)</f>
        <v>0</v>
      </c>
      <c r="L784" s="169">
        <f>IFERROR(MATCH(J784,'Final List'!$D$4:$D$252,0),0)</f>
        <v>0</v>
      </c>
      <c r="M784" s="169">
        <f>IFERROR(MATCH(J784,'Final List'!$F$4:$F$251,0),0)</f>
        <v>0</v>
      </c>
      <c r="N784" s="169">
        <f>IFERROR(MATCH(J784,'Final List'!$H$4:$H$252,0),0)</f>
        <v>0</v>
      </c>
      <c r="O784" s="169">
        <f>IFERROR(MATCH(J784,'Final List'!$J$4:$J$252,0),0)</f>
        <v>0</v>
      </c>
      <c r="P784" s="169">
        <f>IFERROR(MATCH(J784,'Final List'!$L$4:$L$252,0),0)</f>
        <v>0</v>
      </c>
      <c r="Q784" s="169">
        <f>IFERROR(MATCH(J784,'Final List'!$N$4:$N$252,0),0)</f>
        <v>0</v>
      </c>
      <c r="R784" s="169">
        <f>IFERROR(MATCH(J784,'Final List'!$P$4:$P$252,0),0)</f>
        <v>0</v>
      </c>
      <c r="S784" s="169">
        <f t="shared" si="51"/>
        <v>0</v>
      </c>
      <c r="V784" s="169" t="str">
        <f t="shared" si="49"/>
        <v>QUIJANO 1</v>
      </c>
      <c r="W784" s="169" t="s">
        <v>2706</v>
      </c>
    </row>
    <row r="785" spans="2:23" x14ac:dyDescent="0.25">
      <c r="B785" s="169" t="s">
        <v>95</v>
      </c>
      <c r="C785" s="169" t="s">
        <v>45</v>
      </c>
      <c r="D785" s="169" t="s">
        <v>6114</v>
      </c>
      <c r="E785" s="169" t="s">
        <v>60</v>
      </c>
      <c r="F785" s="245" t="str">
        <f t="shared" si="50"/>
        <v>Dhoz 71</v>
      </c>
      <c r="G785" s="169" t="s">
        <v>648</v>
      </c>
      <c r="H785" s="169" t="s">
        <v>5325</v>
      </c>
      <c r="I785" s="169" t="str">
        <f t="shared" si="48"/>
        <v>L08_DPVE_078E_DE</v>
      </c>
      <c r="J785" s="169" t="s">
        <v>7536</v>
      </c>
      <c r="K785" s="169">
        <f>IFERROR(MATCH(J785,'Final List'!$B$4:$B$252,0),0)</f>
        <v>0</v>
      </c>
      <c r="L785" s="169">
        <f>IFERROR(MATCH(J785,'Final List'!$D$4:$D$252,0),0)</f>
        <v>0</v>
      </c>
      <c r="M785" s="169">
        <f>IFERROR(MATCH(J785,'Final List'!$F$4:$F$251,0),0)</f>
        <v>0</v>
      </c>
      <c r="N785" s="169">
        <f>IFERROR(MATCH(J785,'Final List'!$H$4:$H$252,0),0)</f>
        <v>0</v>
      </c>
      <c r="O785" s="169">
        <f>IFERROR(MATCH(J785,'Final List'!$J$4:$J$252,0),0)</f>
        <v>0</v>
      </c>
      <c r="P785" s="169">
        <f>IFERROR(MATCH(J785,'Final List'!$L$4:$L$252,0),0)</f>
        <v>0</v>
      </c>
      <c r="Q785" s="169">
        <f>IFERROR(MATCH(J785,'Final List'!$N$4:$N$252,0),0)</f>
        <v>0</v>
      </c>
      <c r="R785" s="169">
        <f>IFERROR(MATCH(J785,'Final List'!$P$4:$P$252,0),0)</f>
        <v>0</v>
      </c>
      <c r="S785" s="169">
        <f t="shared" si="51"/>
        <v>0</v>
      </c>
      <c r="V785" s="169" t="str">
        <f t="shared" si="49"/>
        <v>REVITA</v>
      </c>
      <c r="W785" s="169" t="s">
        <v>8895</v>
      </c>
    </row>
    <row r="786" spans="2:23" x14ac:dyDescent="0.25">
      <c r="B786" s="169" t="s">
        <v>258</v>
      </c>
      <c r="C786" s="169" t="s">
        <v>38</v>
      </c>
      <c r="D786" s="169" t="s">
        <v>205</v>
      </c>
      <c r="E786" s="169" t="s">
        <v>211</v>
      </c>
      <c r="F786" s="245" t="str">
        <f t="shared" si="50"/>
        <v>StpS 77</v>
      </c>
      <c r="G786" s="169" t="s">
        <v>317</v>
      </c>
      <c r="I786" s="169" t="str">
        <f t="shared" si="48"/>
        <v>L10_GHV_066E_STOPE PREP</v>
      </c>
      <c r="J786" s="169" t="s">
        <v>7103</v>
      </c>
      <c r="K786" s="169">
        <f>IFERROR(MATCH(J786,'Final List'!$B$4:$B$252,0),0)</f>
        <v>0</v>
      </c>
      <c r="L786" s="169">
        <f>IFERROR(MATCH(J786,'Final List'!$D$4:$D$252,0),0)</f>
        <v>0</v>
      </c>
      <c r="M786" s="169">
        <f>IFERROR(MATCH(J786,'Final List'!$F$4:$F$251,0),0)</f>
        <v>0</v>
      </c>
      <c r="N786" s="169">
        <f>IFERROR(MATCH(J786,'Final List'!$H$4:$H$252,0),0)</f>
        <v>0</v>
      </c>
      <c r="O786" s="169">
        <f>IFERROR(MATCH(J786,'Final List'!$J$4:$J$252,0),0)</f>
        <v>0</v>
      </c>
      <c r="P786" s="169">
        <f>IFERROR(MATCH(J786,'Final List'!$L$4:$L$252,0),0)</f>
        <v>0</v>
      </c>
      <c r="Q786" s="169">
        <f>IFERROR(MATCH(J786,'Final List'!$N$4:$N$252,0),0)</f>
        <v>0</v>
      </c>
      <c r="R786" s="169">
        <f>IFERROR(MATCH(J786,'Final List'!$P$4:$P$252,0),0)</f>
        <v>0</v>
      </c>
      <c r="S786" s="169">
        <f t="shared" si="51"/>
        <v>0</v>
      </c>
      <c r="T786" s="169" t="s">
        <v>68</v>
      </c>
      <c r="V786" s="169" t="str">
        <f t="shared" si="49"/>
        <v>PARAGUYA 2</v>
      </c>
      <c r="W786" s="169" t="s">
        <v>2712</v>
      </c>
    </row>
    <row r="787" spans="2:23" x14ac:dyDescent="0.25">
      <c r="B787" s="169" t="s">
        <v>96</v>
      </c>
      <c r="C787" s="169" t="s">
        <v>56</v>
      </c>
      <c r="D787" s="169" t="s">
        <v>142</v>
      </c>
      <c r="E787" s="169" t="s">
        <v>19</v>
      </c>
      <c r="F787" s="245" t="str">
        <f t="shared" si="50"/>
        <v>DVR 72</v>
      </c>
      <c r="G787" s="169" t="s">
        <v>5773</v>
      </c>
      <c r="I787" s="169" t="str">
        <f t="shared" si="48"/>
        <v>L09_GHVFW_038E_RAISE</v>
      </c>
      <c r="J787" s="169" t="s">
        <v>3269</v>
      </c>
      <c r="K787" s="169">
        <f>IFERROR(MATCH(J787,'Final List'!$B$4:$B$252,0),0)</f>
        <v>0</v>
      </c>
      <c r="L787" s="169">
        <f>IFERROR(MATCH(J787,'Final List'!$D$4:$D$252,0),0)</f>
        <v>0</v>
      </c>
      <c r="M787" s="169">
        <f>IFERROR(MATCH(J787,'Final List'!$F$4:$F$251,0),0)</f>
        <v>0</v>
      </c>
      <c r="N787" s="169">
        <f>IFERROR(MATCH(J787,'Final List'!$H$4:$H$252,0),0)</f>
        <v>0</v>
      </c>
      <c r="O787" s="169">
        <f>IFERROR(MATCH(J787,'Final List'!$J$4:$J$252,0),0)</f>
        <v>0</v>
      </c>
      <c r="P787" s="169">
        <f>IFERROR(MATCH(J787,'Final List'!$L$4:$L$252,0),0)</f>
        <v>0</v>
      </c>
      <c r="Q787" s="169">
        <f>IFERROR(MATCH(J787,'Final List'!$N$4:$N$252,0),0)</f>
        <v>0</v>
      </c>
      <c r="R787" s="169">
        <f>IFERROR(MATCH(J787,'Final List'!$P$4:$P$252,0),0)</f>
        <v>0</v>
      </c>
      <c r="S787" s="169">
        <f t="shared" si="51"/>
        <v>0</v>
      </c>
      <c r="V787" s="169" t="str">
        <f t="shared" si="49"/>
        <v>PARAN 3</v>
      </c>
      <c r="W787" s="169" t="s">
        <v>2715</v>
      </c>
    </row>
    <row r="788" spans="2:23" x14ac:dyDescent="0.25">
      <c r="B788" s="169" t="s">
        <v>91</v>
      </c>
      <c r="C788" s="169" t="s">
        <v>44</v>
      </c>
      <c r="D788" s="219" t="s">
        <v>114</v>
      </c>
      <c r="E788" s="169" t="s">
        <v>36</v>
      </c>
      <c r="F788" s="245" t="str">
        <f t="shared" si="50"/>
        <v>StpS 77</v>
      </c>
      <c r="G788" s="169" t="s">
        <v>7076</v>
      </c>
      <c r="I788" s="169" t="str">
        <f t="shared" si="48"/>
        <v>L04_CV_025W_STOPE</v>
      </c>
      <c r="J788" s="169" t="s">
        <v>7106</v>
      </c>
      <c r="K788" s="169">
        <f>IFERROR(MATCH(J788,'Final List'!$B$4:$B$252,0),0)</f>
        <v>0</v>
      </c>
      <c r="L788" s="169">
        <f>IFERROR(MATCH(J788,'Final List'!$D$4:$D$252,0),0)</f>
        <v>0</v>
      </c>
      <c r="M788" s="169">
        <f>IFERROR(MATCH(J788,'Final List'!$F$4:$F$251,0),0)</f>
        <v>0</v>
      </c>
      <c r="N788" s="169">
        <f>IFERROR(MATCH(J788,'Final List'!$H$4:$H$252,0),0)</f>
        <v>0</v>
      </c>
      <c r="O788" s="169">
        <f>IFERROR(MATCH(J788,'Final List'!$J$4:$J$252,0),0)</f>
        <v>0</v>
      </c>
      <c r="P788" s="169">
        <f>IFERROR(MATCH(J788,'Final List'!$L$4:$L$252,0),0)</f>
        <v>0</v>
      </c>
      <c r="Q788" s="169">
        <f>IFERROR(MATCH(J788,'Final List'!$N$4:$N$252,0),0)</f>
        <v>0</v>
      </c>
      <c r="R788" s="169">
        <f>IFERROR(MATCH(J788,'Final List'!$P$4:$P$252,0),0)</f>
        <v>0</v>
      </c>
      <c r="S788" s="169">
        <f t="shared" si="51"/>
        <v>0</v>
      </c>
      <c r="T788" s="169" t="s">
        <v>68</v>
      </c>
      <c r="V788" s="169" t="str">
        <f t="shared" si="49"/>
        <v>SHEPHERD AR</v>
      </c>
      <c r="W788" s="169" t="s">
        <v>2713</v>
      </c>
    </row>
    <row r="789" spans="2:23" x14ac:dyDescent="0.25">
      <c r="B789" s="169" t="s">
        <v>91</v>
      </c>
      <c r="C789" s="169" t="s">
        <v>43</v>
      </c>
      <c r="D789" s="169" t="s">
        <v>7108</v>
      </c>
      <c r="E789" s="169" t="s">
        <v>20</v>
      </c>
      <c r="F789" s="245" t="str">
        <f t="shared" si="50"/>
        <v>DVW 74</v>
      </c>
      <c r="G789" s="169" t="s">
        <v>310</v>
      </c>
      <c r="I789" s="169" t="str">
        <f t="shared" si="48"/>
        <v>L04_GHVSPLIT_041W_WINZE</v>
      </c>
      <c r="J789" s="169" t="s">
        <v>7107</v>
      </c>
      <c r="K789" s="169">
        <f>IFERROR(MATCH(J789,'Final List'!$B$4:$B$252,0),0)</f>
        <v>0</v>
      </c>
      <c r="L789" s="169">
        <f>IFERROR(MATCH(J789,'Final List'!$D$4:$D$252,0),0)</f>
        <v>0</v>
      </c>
      <c r="M789" s="169">
        <f>IFERROR(MATCH(J789,'Final List'!$F$4:$F$251,0),0)</f>
        <v>0</v>
      </c>
      <c r="N789" s="169">
        <f>IFERROR(MATCH(J789,'Final List'!$H$4:$H$252,0),0)</f>
        <v>0</v>
      </c>
      <c r="O789" s="169">
        <f>IFERROR(MATCH(J789,'Final List'!$J$4:$J$252,0),0)</f>
        <v>0</v>
      </c>
      <c r="P789" s="169">
        <f>IFERROR(MATCH(J789,'Final List'!$L$4:$L$252,0),0)</f>
        <v>0</v>
      </c>
      <c r="Q789" s="169">
        <f>IFERROR(MATCH(J789,'Final List'!$N$4:$N$252,0),0)</f>
        <v>0</v>
      </c>
      <c r="R789" s="169">
        <f>IFERROR(MATCH(J789,'Final List'!$P$4:$P$252,0),0)</f>
        <v>0</v>
      </c>
      <c r="S789" s="169">
        <f t="shared" si="51"/>
        <v>0</v>
      </c>
      <c r="V789" s="169" t="str">
        <f t="shared" si="49"/>
        <v>MARTINEZ DN 1</v>
      </c>
      <c r="W789" s="169" t="s">
        <v>2706</v>
      </c>
    </row>
    <row r="790" spans="2:23" x14ac:dyDescent="0.25">
      <c r="B790" s="169" t="s">
        <v>93</v>
      </c>
      <c r="C790" s="169" t="s">
        <v>55</v>
      </c>
      <c r="D790" s="169" t="s">
        <v>112</v>
      </c>
      <c r="E790" s="169" t="s">
        <v>6143</v>
      </c>
      <c r="F790" s="245" t="str">
        <f t="shared" si="50"/>
        <v>Dhoz 71</v>
      </c>
      <c r="G790" s="169" t="s">
        <v>5717</v>
      </c>
      <c r="I790" s="169" t="str">
        <f t="shared" si="48"/>
        <v>L06_JVFW_018E_DE_ISL</v>
      </c>
      <c r="J790" s="169" t="s">
        <v>7109</v>
      </c>
      <c r="K790" s="169">
        <f>IFERROR(MATCH(J790,'Final List'!$B$4:$B$252,0),0)</f>
        <v>0</v>
      </c>
      <c r="L790" s="169">
        <f>IFERROR(MATCH(J790,'Final List'!$D$4:$D$252,0),0)</f>
        <v>0</v>
      </c>
      <c r="M790" s="169">
        <f>IFERROR(MATCH(J790,'Final List'!$F$4:$F$251,0),0)</f>
        <v>0</v>
      </c>
      <c r="N790" s="169">
        <f>IFERROR(MATCH(J790,'Final List'!$H$4:$H$252,0),0)</f>
        <v>0</v>
      </c>
      <c r="O790" s="169">
        <f>IFERROR(MATCH(J790,'Final List'!$J$4:$J$252,0),0)</f>
        <v>0</v>
      </c>
      <c r="P790" s="169">
        <f>IFERROR(MATCH(J790,'Final List'!$L$4:$L$252,0),0)</f>
        <v>0</v>
      </c>
      <c r="Q790" s="169">
        <f>IFERROR(MATCH(J790,'Final List'!$N$4:$N$252,0),0)</f>
        <v>0</v>
      </c>
      <c r="R790" s="169">
        <f>IFERROR(MATCH(J790,'Final List'!$P$4:$P$252,0),0)</f>
        <v>0</v>
      </c>
      <c r="S790" s="169">
        <f t="shared" si="51"/>
        <v>0</v>
      </c>
      <c r="V790" s="169" t="str">
        <f t="shared" si="49"/>
        <v>SHEPHERD AC 1</v>
      </c>
      <c r="W790" s="169" t="s">
        <v>2708</v>
      </c>
    </row>
    <row r="791" spans="2:23" x14ac:dyDescent="0.25">
      <c r="B791" s="169" t="s">
        <v>258</v>
      </c>
      <c r="C791" s="169" t="s">
        <v>45</v>
      </c>
      <c r="D791" s="169" t="s">
        <v>218</v>
      </c>
      <c r="E791" s="169" t="s">
        <v>60</v>
      </c>
      <c r="F791" s="245" t="str">
        <f t="shared" si="50"/>
        <v>Dhoz 71</v>
      </c>
      <c r="G791" s="169" t="s">
        <v>352</v>
      </c>
      <c r="I791" s="169" t="str">
        <f t="shared" si="48"/>
        <v>L10_DPVE_062E_DE</v>
      </c>
      <c r="J791" s="169" t="s">
        <v>4083</v>
      </c>
      <c r="K791" s="169">
        <f>IFERROR(MATCH(J791,'Final List'!$B$4:$B$252,0),0)</f>
        <v>0</v>
      </c>
      <c r="L791" s="169">
        <f>IFERROR(MATCH(J791,'Final List'!$D$4:$D$252,0),0)</f>
        <v>0</v>
      </c>
      <c r="M791" s="169">
        <f>IFERROR(MATCH(J791,'Final List'!$F$4:$F$251,0),0)</f>
        <v>0</v>
      </c>
      <c r="N791" s="169">
        <f>IFERROR(MATCH(J791,'Final List'!$H$4:$H$252,0),0)</f>
        <v>0</v>
      </c>
      <c r="O791" s="169">
        <f>IFERROR(MATCH(J791,'Final List'!$J$4:$J$252,0),0)</f>
        <v>0</v>
      </c>
      <c r="P791" s="169">
        <f>IFERROR(MATCH(J791,'Final List'!$L$4:$L$252,0),0)</f>
        <v>0</v>
      </c>
      <c r="Q791" s="169">
        <f>IFERROR(MATCH(J791,'Final List'!$N$4:$N$252,0),0)</f>
        <v>0</v>
      </c>
      <c r="R791" s="169">
        <f>IFERROR(MATCH(J791,'Final List'!$P$4:$P$252,0),0)</f>
        <v>0</v>
      </c>
      <c r="S791" s="169">
        <f t="shared" si="51"/>
        <v>0</v>
      </c>
      <c r="V791" s="169" t="str">
        <f t="shared" si="49"/>
        <v>BAÑEZ 5</v>
      </c>
      <c r="W791" s="169" t="s">
        <v>8896</v>
      </c>
    </row>
    <row r="792" spans="2:23" x14ac:dyDescent="0.25">
      <c r="B792" s="169" t="s">
        <v>95</v>
      </c>
      <c r="C792" s="169" t="s">
        <v>45</v>
      </c>
      <c r="D792" s="169" t="s">
        <v>6983</v>
      </c>
      <c r="E792" s="169" t="s">
        <v>60</v>
      </c>
      <c r="F792" s="245" t="str">
        <f t="shared" si="50"/>
        <v>Dhoz 71</v>
      </c>
      <c r="G792" s="169" t="s">
        <v>3042</v>
      </c>
      <c r="I792" s="169" t="str">
        <f t="shared" si="48"/>
        <v>L08_DPVE_001E_DE</v>
      </c>
      <c r="J792" s="169" t="s">
        <v>7113</v>
      </c>
      <c r="K792" s="169">
        <f>IFERROR(MATCH(J792,'Final List'!$B$4:$B$252,0),0)</f>
        <v>0</v>
      </c>
      <c r="L792" s="169">
        <f>IFERROR(MATCH(J792,'Final List'!$D$4:$D$252,0),0)</f>
        <v>0</v>
      </c>
      <c r="M792" s="169">
        <f>IFERROR(MATCH(J792,'Final List'!$F$4:$F$251,0),0)</f>
        <v>0</v>
      </c>
      <c r="N792" s="169">
        <f>IFERROR(MATCH(J792,'Final List'!$H$4:$H$252,0),0)</f>
        <v>0</v>
      </c>
      <c r="O792" s="169">
        <f>IFERROR(MATCH(J792,'Final List'!$J$4:$J$252,0),0)</f>
        <v>0</v>
      </c>
      <c r="P792" s="169">
        <f>IFERROR(MATCH(J792,'Final List'!$L$4:$L$252,0),0)</f>
        <v>0</v>
      </c>
      <c r="Q792" s="169">
        <f>IFERROR(MATCH(J792,'Final List'!$N$4:$N$252,0),0)</f>
        <v>0</v>
      </c>
      <c r="R792" s="169">
        <f>IFERROR(MATCH(J792,'Final List'!$P$4:$P$252,0),0)</f>
        <v>0</v>
      </c>
      <c r="S792" s="169">
        <f t="shared" si="51"/>
        <v>0</v>
      </c>
      <c r="V792" s="169" t="str">
        <f t="shared" si="49"/>
        <v>VILLARANTE</v>
      </c>
      <c r="W792" s="169" t="s">
        <v>8895</v>
      </c>
    </row>
    <row r="793" spans="2:23" x14ac:dyDescent="0.25">
      <c r="B793" s="169" t="s">
        <v>258</v>
      </c>
      <c r="C793" s="169" t="s">
        <v>43</v>
      </c>
      <c r="D793" s="169" t="s">
        <v>5604</v>
      </c>
      <c r="E793" s="169" t="s">
        <v>36</v>
      </c>
      <c r="F793" s="245" t="str">
        <f t="shared" si="50"/>
        <v>StpS 77</v>
      </c>
      <c r="G793" s="169" t="s">
        <v>6935</v>
      </c>
      <c r="I793" s="169" t="str">
        <f t="shared" si="48"/>
        <v>L10_GHVSPLIT_063E_STOPE</v>
      </c>
      <c r="J793" s="169" t="s">
        <v>7114</v>
      </c>
      <c r="K793" s="169">
        <f>IFERROR(MATCH(J793,'Final List'!$B$4:$B$252,0),0)</f>
        <v>0</v>
      </c>
      <c r="L793" s="169">
        <f>IFERROR(MATCH(J793,'Final List'!$D$4:$D$252,0),0)</f>
        <v>0</v>
      </c>
      <c r="M793" s="169">
        <f>IFERROR(MATCH(J793,'Final List'!$F$4:$F$251,0),0)</f>
        <v>0</v>
      </c>
      <c r="N793" s="169">
        <f>IFERROR(MATCH(J793,'Final List'!$H$4:$H$252,0),0)</f>
        <v>0</v>
      </c>
      <c r="O793" s="169">
        <f>IFERROR(MATCH(J793,'Final List'!$J$4:$J$252,0),0)</f>
        <v>0</v>
      </c>
      <c r="P793" s="169">
        <f>IFERROR(MATCH(J793,'Final List'!$L$4:$L$252,0),0)</f>
        <v>0</v>
      </c>
      <c r="Q793" s="169">
        <f>IFERROR(MATCH(J793,'Final List'!$N$4:$N$252,0),0)</f>
        <v>0</v>
      </c>
      <c r="R793" s="169">
        <f>IFERROR(MATCH(J793,'Final List'!$P$4:$P$252,0),0)</f>
        <v>0</v>
      </c>
      <c r="S793" s="169">
        <f t="shared" si="51"/>
        <v>0</v>
      </c>
      <c r="T793" s="169" t="s">
        <v>68</v>
      </c>
      <c r="V793" s="169" t="str">
        <f t="shared" si="49"/>
        <v>OCAÑA 1</v>
      </c>
      <c r="W793" s="169" t="s">
        <v>2711</v>
      </c>
    </row>
    <row r="794" spans="2:23" x14ac:dyDescent="0.25">
      <c r="B794" s="169" t="s">
        <v>96</v>
      </c>
      <c r="C794" s="169" t="s">
        <v>42</v>
      </c>
      <c r="D794" s="169" t="s">
        <v>143</v>
      </c>
      <c r="E794" s="169" t="s">
        <v>211</v>
      </c>
      <c r="F794" s="245" t="str">
        <f t="shared" si="50"/>
        <v>StpS 77</v>
      </c>
      <c r="G794" s="169" t="s">
        <v>363</v>
      </c>
      <c r="I794" s="169" t="str">
        <f t="shared" si="48"/>
        <v>L09_JV_032E_STOPE PREP</v>
      </c>
      <c r="J794" s="169" t="s">
        <v>7116</v>
      </c>
      <c r="K794" s="169">
        <f>IFERROR(MATCH(J794,'Final List'!$B$4:$B$252,0),0)</f>
        <v>0</v>
      </c>
      <c r="L794" s="169">
        <f>IFERROR(MATCH(J794,'Final List'!$D$4:$D$252,0),0)</f>
        <v>0</v>
      </c>
      <c r="M794" s="169">
        <f>IFERROR(MATCH(J794,'Final List'!$F$4:$F$251,0),0)</f>
        <v>0</v>
      </c>
      <c r="N794" s="169">
        <f>IFERROR(MATCH(J794,'Final List'!$H$4:$H$252,0),0)</f>
        <v>0</v>
      </c>
      <c r="O794" s="169">
        <f>IFERROR(MATCH(J794,'Final List'!$J$4:$J$252,0),0)</f>
        <v>0</v>
      </c>
      <c r="P794" s="169">
        <f>IFERROR(MATCH(J794,'Final List'!$L$4:$L$252,0),0)</f>
        <v>0</v>
      </c>
      <c r="Q794" s="169">
        <f>IFERROR(MATCH(J794,'Final List'!$N$4:$N$252,0),0)</f>
        <v>0</v>
      </c>
      <c r="R794" s="169">
        <f>IFERROR(MATCH(J794,'Final List'!$P$4:$P$252,0),0)</f>
        <v>0</v>
      </c>
      <c r="S794" s="169">
        <f t="shared" si="51"/>
        <v>0</v>
      </c>
      <c r="T794" s="169" t="s">
        <v>68</v>
      </c>
      <c r="V794" s="169" t="str">
        <f t="shared" si="49"/>
        <v>BABOR 2</v>
      </c>
      <c r="W794" s="169" t="s">
        <v>2712</v>
      </c>
    </row>
    <row r="795" spans="2:23" x14ac:dyDescent="0.25">
      <c r="B795" s="169" t="s">
        <v>96</v>
      </c>
      <c r="C795" s="169" t="s">
        <v>45</v>
      </c>
      <c r="D795" s="169" t="s">
        <v>130</v>
      </c>
      <c r="E795" s="169" t="s">
        <v>19</v>
      </c>
      <c r="F795" s="245" t="str">
        <f t="shared" si="50"/>
        <v>DVR 72</v>
      </c>
      <c r="G795" s="169" t="s">
        <v>1510</v>
      </c>
      <c r="H795" s="169" t="s">
        <v>10253</v>
      </c>
      <c r="I795" s="169" t="str">
        <f t="shared" si="48"/>
        <v>L09_DPVE_036E_RAISE</v>
      </c>
      <c r="J795" s="169" t="s">
        <v>282</v>
      </c>
      <c r="K795" s="169">
        <f>IFERROR(MATCH(J795,'Final List'!$B$4:$B$252,0),0)</f>
        <v>0</v>
      </c>
      <c r="L795" s="169">
        <f>IFERROR(MATCH(J795,'Final List'!$D$4:$D$252,0),0)</f>
        <v>0</v>
      </c>
      <c r="M795" s="169">
        <f>IFERROR(MATCH(J795,'Final List'!$F$4:$F$251,0),0)</f>
        <v>0</v>
      </c>
      <c r="N795" s="169">
        <f>IFERROR(MATCH(J795,'Final List'!$H$4:$H$252,0),0)</f>
        <v>0</v>
      </c>
      <c r="O795" s="169">
        <f>IFERROR(MATCH(J795,'Final List'!$J$4:$J$252,0),0)</f>
        <v>0</v>
      </c>
      <c r="P795" s="169">
        <f>IFERROR(MATCH(J795,'Final List'!$L$4:$L$252,0),0)</f>
        <v>0</v>
      </c>
      <c r="Q795" s="169">
        <f>IFERROR(MATCH(J795,'Final List'!$N$4:$N$252,0),0)</f>
        <v>0</v>
      </c>
      <c r="R795" s="169">
        <f>IFERROR(MATCH(J795,'Final List'!$P$4:$P$252,0),0)</f>
        <v>0</v>
      </c>
      <c r="S795" s="169">
        <f t="shared" si="51"/>
        <v>0</v>
      </c>
      <c r="V795" s="169" t="str">
        <f t="shared" si="49"/>
        <v>PANSIT NORMAN 4</v>
      </c>
      <c r="W795" s="169" t="s">
        <v>2715</v>
      </c>
    </row>
    <row r="796" spans="2:23" x14ac:dyDescent="0.25">
      <c r="B796" s="169" t="s">
        <v>96</v>
      </c>
      <c r="C796" s="169" t="s">
        <v>46</v>
      </c>
      <c r="D796" s="169" t="s">
        <v>595</v>
      </c>
      <c r="E796" s="169" t="s">
        <v>36</v>
      </c>
      <c r="F796" s="245" t="str">
        <f t="shared" si="50"/>
        <v>StpS 77</v>
      </c>
      <c r="G796" s="169" t="s">
        <v>336</v>
      </c>
      <c r="I796" s="169" t="str">
        <f t="shared" si="48"/>
        <v>L09_DPVE2_072E_STOPE</v>
      </c>
      <c r="J796" s="169" t="s">
        <v>7122</v>
      </c>
      <c r="K796" s="169">
        <f>IFERROR(MATCH(J796,'Final List'!$B$4:$B$252,0),0)</f>
        <v>0</v>
      </c>
      <c r="L796" s="169">
        <f>IFERROR(MATCH(J796,'Final List'!$D$4:$D$252,0),0)</f>
        <v>0</v>
      </c>
      <c r="M796" s="169">
        <f>IFERROR(MATCH(J796,'Final List'!$F$4:$F$251,0),0)</f>
        <v>0</v>
      </c>
      <c r="N796" s="169">
        <f>IFERROR(MATCH(J796,'Final List'!$H$4:$H$252,0),0)</f>
        <v>0</v>
      </c>
      <c r="O796" s="169">
        <f>IFERROR(MATCH(J796,'Final List'!$J$4:$J$252,0),0)</f>
        <v>0</v>
      </c>
      <c r="P796" s="169">
        <f>IFERROR(MATCH(J796,'Final List'!$L$4:$L$252,0),0)</f>
        <v>0</v>
      </c>
      <c r="Q796" s="169">
        <f>IFERROR(MATCH(J796,'Final List'!$N$4:$N$252,0),0)</f>
        <v>0</v>
      </c>
      <c r="R796" s="169">
        <f>IFERROR(MATCH(J796,'Final List'!$P$4:$P$252,0),0)</f>
        <v>0</v>
      </c>
      <c r="S796" s="169">
        <f t="shared" si="51"/>
        <v>0</v>
      </c>
      <c r="T796" s="169" t="s">
        <v>68</v>
      </c>
      <c r="V796" s="169" t="str">
        <f t="shared" si="49"/>
        <v>BALANGHIG 1</v>
      </c>
      <c r="W796" s="169" t="s">
        <v>2711</v>
      </c>
    </row>
    <row r="797" spans="2:23" x14ac:dyDescent="0.25">
      <c r="B797" s="169" t="s">
        <v>95</v>
      </c>
      <c r="C797" s="169" t="s">
        <v>56</v>
      </c>
      <c r="D797" s="169" t="s">
        <v>109</v>
      </c>
      <c r="E797" s="169" t="s">
        <v>6143</v>
      </c>
      <c r="F797" s="245" t="str">
        <f t="shared" si="50"/>
        <v>Dhoz 71</v>
      </c>
      <c r="G797" s="169" t="s">
        <v>1369</v>
      </c>
      <c r="I797" s="169" t="str">
        <f t="shared" ref="I797:I860" si="52">CONCATENATE(B797,"_",C797,"_",D797,"_",E797)</f>
        <v>L08_GHVFW_002W_DE_ISL</v>
      </c>
      <c r="J797" s="169" t="s">
        <v>7247</v>
      </c>
      <c r="K797" s="169">
        <f>IFERROR(MATCH(J797,'Final List'!$B$4:$B$252,0),0)</f>
        <v>0</v>
      </c>
      <c r="L797" s="169">
        <f>IFERROR(MATCH(J797,'Final List'!$D$4:$D$252,0),0)</f>
        <v>0</v>
      </c>
      <c r="M797" s="169">
        <f>IFERROR(MATCH(J797,'Final List'!$F$4:$F$251,0),0)</f>
        <v>0</v>
      </c>
      <c r="N797" s="169">
        <f>IFERROR(MATCH(J797,'Final List'!$H$4:$H$252,0),0)</f>
        <v>0</v>
      </c>
      <c r="O797" s="169">
        <f>IFERROR(MATCH(J797,'Final List'!$J$4:$J$252,0),0)</f>
        <v>0</v>
      </c>
      <c r="P797" s="169">
        <f>IFERROR(MATCH(J797,'Final List'!$L$4:$L$252,0),0)</f>
        <v>0</v>
      </c>
      <c r="Q797" s="169">
        <f>IFERROR(MATCH(J797,'Final List'!$N$4:$N$252,0),0)</f>
        <v>0</v>
      </c>
      <c r="R797" s="169">
        <f>IFERROR(MATCH(J797,'Final List'!$P$4:$P$252,0),0)</f>
        <v>0</v>
      </c>
      <c r="S797" s="169">
        <f t="shared" si="51"/>
        <v>0</v>
      </c>
      <c r="V797" s="169" t="str">
        <f t="shared" si="49"/>
        <v>TORMIS</v>
      </c>
      <c r="W797" s="169" t="s">
        <v>2708</v>
      </c>
    </row>
    <row r="798" spans="2:23" x14ac:dyDescent="0.25">
      <c r="B798" s="169" t="s">
        <v>95</v>
      </c>
      <c r="C798" s="169" t="s">
        <v>57</v>
      </c>
      <c r="D798" s="169" t="s">
        <v>595</v>
      </c>
      <c r="E798" s="169" t="s">
        <v>19</v>
      </c>
      <c r="F798" s="245" t="str">
        <f t="shared" si="50"/>
        <v>DVR 72</v>
      </c>
      <c r="G798" s="169" t="s">
        <v>6601</v>
      </c>
      <c r="I798" s="169" t="str">
        <f t="shared" si="52"/>
        <v>L08_JVSPLIT_072E_RAISE</v>
      </c>
      <c r="J798" s="169" t="s">
        <v>4325</v>
      </c>
      <c r="K798" s="169">
        <f>IFERROR(MATCH(J798,'Final List'!$B$4:$B$252,0),0)</f>
        <v>0</v>
      </c>
      <c r="L798" s="169">
        <f>IFERROR(MATCH(J798,'Final List'!$D$4:$D$252,0),0)</f>
        <v>0</v>
      </c>
      <c r="M798" s="169">
        <f>IFERROR(MATCH(J798,'Final List'!$F$4:$F$251,0),0)</f>
        <v>0</v>
      </c>
      <c r="N798" s="169">
        <f>IFERROR(MATCH(J798,'Final List'!$H$4:$H$252,0),0)</f>
        <v>0</v>
      </c>
      <c r="O798" s="169">
        <f>IFERROR(MATCH(J798,'Final List'!$J$4:$J$252,0),0)</f>
        <v>0</v>
      </c>
      <c r="P798" s="169">
        <f>IFERROR(MATCH(J798,'Final List'!$L$4:$L$252,0),0)</f>
        <v>0</v>
      </c>
      <c r="Q798" s="169">
        <f>IFERROR(MATCH(J798,'Final List'!$N$4:$N$252,0),0)</f>
        <v>0</v>
      </c>
      <c r="R798" s="169">
        <f>IFERROR(MATCH(J798,'Final List'!$P$4:$P$252,0),0)</f>
        <v>0</v>
      </c>
      <c r="S798" s="169">
        <f t="shared" si="51"/>
        <v>0</v>
      </c>
      <c r="V798" s="169" t="str">
        <f t="shared" si="49"/>
        <v>AGLOLO, MIGUEL 1</v>
      </c>
      <c r="W798" s="169" t="s">
        <v>2715</v>
      </c>
    </row>
    <row r="799" spans="2:23" x14ac:dyDescent="0.25">
      <c r="B799" s="169" t="s">
        <v>92</v>
      </c>
      <c r="C799" s="169" t="s">
        <v>45</v>
      </c>
      <c r="D799" s="169" t="s">
        <v>144</v>
      </c>
      <c r="E799" s="169" t="s">
        <v>36</v>
      </c>
      <c r="F799" s="245" t="str">
        <f t="shared" si="50"/>
        <v>StpS 77</v>
      </c>
      <c r="G799" s="169" t="s">
        <v>450</v>
      </c>
      <c r="I799" s="169" t="str">
        <f t="shared" si="52"/>
        <v>L05_DPVE_043E_STOPE</v>
      </c>
      <c r="J799" s="169" t="s">
        <v>7127</v>
      </c>
      <c r="K799" s="169">
        <f>IFERROR(MATCH(J799,'Final List'!$B$4:$B$252,0),0)</f>
        <v>0</v>
      </c>
      <c r="L799" s="169">
        <f>IFERROR(MATCH(J799,'Final List'!$D$4:$D$252,0),0)</f>
        <v>0</v>
      </c>
      <c r="M799" s="169">
        <f>IFERROR(MATCH(J799,'Final List'!$F$4:$F$251,0),0)</f>
        <v>0</v>
      </c>
      <c r="N799" s="169">
        <f>IFERROR(MATCH(J799,'Final List'!$H$4:$H$252,0),0)</f>
        <v>0</v>
      </c>
      <c r="O799" s="169">
        <f>IFERROR(MATCH(J799,'Final List'!$J$4:$J$252,0),0)</f>
        <v>0</v>
      </c>
      <c r="P799" s="169">
        <f>IFERROR(MATCH(J799,'Final List'!$L$4:$L$252,0),0)</f>
        <v>0</v>
      </c>
      <c r="Q799" s="169">
        <f>IFERROR(MATCH(J799,'Final List'!$N$4:$N$252,0),0)</f>
        <v>0</v>
      </c>
      <c r="R799" s="169">
        <f>IFERROR(MATCH(J799,'Final List'!$P$4:$P$252,0),0)</f>
        <v>0</v>
      </c>
      <c r="S799" s="169">
        <f t="shared" si="51"/>
        <v>0</v>
      </c>
      <c r="T799" s="169" t="s">
        <v>68</v>
      </c>
      <c r="V799" s="169" t="str">
        <f t="shared" si="49"/>
        <v>BAYOBAY 1</v>
      </c>
      <c r="W799" s="169" t="s">
        <v>2713</v>
      </c>
    </row>
    <row r="800" spans="2:23" x14ac:dyDescent="0.25">
      <c r="B800" s="169" t="s">
        <v>94</v>
      </c>
      <c r="C800" s="169" t="s">
        <v>42</v>
      </c>
      <c r="D800" s="169" t="s">
        <v>195</v>
      </c>
      <c r="E800" s="169" t="s">
        <v>211</v>
      </c>
      <c r="F800" s="245" t="str">
        <f t="shared" si="50"/>
        <v>StpS 77</v>
      </c>
      <c r="G800" s="169" t="s">
        <v>604</v>
      </c>
      <c r="I800" s="169" t="str">
        <f t="shared" si="52"/>
        <v>L07_JV_008W_STOPE PREP</v>
      </c>
      <c r="J800" s="169" t="s">
        <v>7128</v>
      </c>
      <c r="K800" s="169">
        <f>IFERROR(MATCH(J800,'Final List'!$B$4:$B$252,0),0)</f>
        <v>0</v>
      </c>
      <c r="L800" s="169">
        <f>IFERROR(MATCH(J800,'Final List'!$D$4:$D$252,0),0)</f>
        <v>0</v>
      </c>
      <c r="M800" s="169">
        <f>IFERROR(MATCH(J800,'Final List'!$F$4:$F$251,0),0)</f>
        <v>0</v>
      </c>
      <c r="N800" s="169">
        <f>IFERROR(MATCH(J800,'Final List'!$H$4:$H$252,0),0)</f>
        <v>0</v>
      </c>
      <c r="O800" s="169">
        <f>IFERROR(MATCH(J800,'Final List'!$J$4:$J$252,0),0)</f>
        <v>0</v>
      </c>
      <c r="P800" s="169">
        <f>IFERROR(MATCH(J800,'Final List'!$L$4:$L$252,0),0)</f>
        <v>0</v>
      </c>
      <c r="Q800" s="169">
        <f>IFERROR(MATCH(J800,'Final List'!$N$4:$N$252,0),0)</f>
        <v>0</v>
      </c>
      <c r="R800" s="169">
        <f>IFERROR(MATCH(J800,'Final List'!$P$4:$P$252,0),0)</f>
        <v>0</v>
      </c>
      <c r="S800" s="169">
        <f t="shared" si="51"/>
        <v>0</v>
      </c>
      <c r="T800" s="169" t="s">
        <v>68</v>
      </c>
      <c r="V800" s="169" t="str">
        <f t="shared" si="49"/>
        <v>CARIKITAN 3</v>
      </c>
      <c r="W800" s="169" t="s">
        <v>2712</v>
      </c>
    </row>
    <row r="801" spans="2:23" x14ac:dyDescent="0.25">
      <c r="B801" s="169" t="s">
        <v>93</v>
      </c>
      <c r="C801" s="169" t="s">
        <v>42</v>
      </c>
      <c r="D801" s="169" t="s">
        <v>5631</v>
      </c>
      <c r="E801" s="169" t="s">
        <v>20</v>
      </c>
      <c r="F801" s="245" t="str">
        <f t="shared" si="50"/>
        <v>DVW 74</v>
      </c>
      <c r="G801" s="169" t="s">
        <v>3252</v>
      </c>
      <c r="I801" s="169" t="str">
        <f t="shared" si="52"/>
        <v>L06_JV_020E_WINZE</v>
      </c>
      <c r="J801" s="169" t="s">
        <v>7129</v>
      </c>
      <c r="K801" s="169">
        <f>IFERROR(MATCH(J801,'Final List'!$B$4:$B$252,0),0)</f>
        <v>0</v>
      </c>
      <c r="L801" s="169">
        <f>IFERROR(MATCH(J801,'Final List'!$D$4:$D$252,0),0)</f>
        <v>0</v>
      </c>
      <c r="M801" s="169">
        <f>IFERROR(MATCH(J801,'Final List'!$F$4:$F$251,0),0)</f>
        <v>0</v>
      </c>
      <c r="N801" s="169">
        <f>IFERROR(MATCH(J801,'Final List'!$H$4:$H$252,0),0)</f>
        <v>0</v>
      </c>
      <c r="O801" s="169">
        <f>IFERROR(MATCH(J801,'Final List'!$J$4:$J$252,0),0)</f>
        <v>0</v>
      </c>
      <c r="P801" s="169">
        <f>IFERROR(MATCH(J801,'Final List'!$L$4:$L$252,0),0)</f>
        <v>0</v>
      </c>
      <c r="Q801" s="169">
        <f>IFERROR(MATCH(J801,'Final List'!$N$4:$N$252,0),0)</f>
        <v>0</v>
      </c>
      <c r="R801" s="169">
        <f>IFERROR(MATCH(J801,'Final List'!$P$4:$P$252,0),0)</f>
        <v>0</v>
      </c>
      <c r="S801" s="169">
        <f t="shared" si="51"/>
        <v>0</v>
      </c>
      <c r="V801" s="169" t="str">
        <f t="shared" si="49"/>
        <v>SHEPHERD AA1</v>
      </c>
      <c r="W801" s="169" t="s">
        <v>2706</v>
      </c>
    </row>
    <row r="802" spans="2:23" x14ac:dyDescent="0.25">
      <c r="B802" s="169" t="s">
        <v>258</v>
      </c>
      <c r="C802" s="169" t="s">
        <v>87</v>
      </c>
      <c r="D802" s="169" t="s">
        <v>595</v>
      </c>
      <c r="E802" s="169" t="s">
        <v>37</v>
      </c>
      <c r="F802" s="245" t="str">
        <f t="shared" si="50"/>
        <v>Dhoz 71</v>
      </c>
      <c r="G802" s="169" t="s">
        <v>5771</v>
      </c>
      <c r="I802" s="169" t="str">
        <f t="shared" si="52"/>
        <v>L10_NONE_072E_XCN</v>
      </c>
      <c r="J802" s="169" t="s">
        <v>7133</v>
      </c>
      <c r="K802" s="169">
        <f>IFERROR(MATCH(J802,'Final List'!$B$4:$B$252,0),0)</f>
        <v>0</v>
      </c>
      <c r="L802" s="169">
        <f>IFERROR(MATCH(J802,'Final List'!$D$4:$D$252,0),0)</f>
        <v>0</v>
      </c>
      <c r="M802" s="169">
        <f>IFERROR(MATCH(J802,'Final List'!$F$4:$F$251,0),0)</f>
        <v>0</v>
      </c>
      <c r="N802" s="169">
        <f>IFERROR(MATCH(J802,'Final List'!$H$4:$H$252,0),0)</f>
        <v>0</v>
      </c>
      <c r="O802" s="169">
        <f>IFERROR(MATCH(J802,'Final List'!$J$4:$J$252,0),0)</f>
        <v>0</v>
      </c>
      <c r="P802" s="169">
        <f>IFERROR(MATCH(J802,'Final List'!$L$4:$L$252,0),0)</f>
        <v>0</v>
      </c>
      <c r="Q802" s="169">
        <f>IFERROR(MATCH(J802,'Final List'!$N$4:$N$252,0),0)</f>
        <v>0</v>
      </c>
      <c r="R802" s="169">
        <f>IFERROR(MATCH(J802,'Final List'!$P$4:$P$252,0),0)</f>
        <v>0</v>
      </c>
      <c r="S802" s="169">
        <f t="shared" si="51"/>
        <v>0</v>
      </c>
      <c r="V802" s="169" t="str">
        <f t="shared" si="49"/>
        <v>PMC MINERS 5</v>
      </c>
      <c r="W802" s="169" t="s">
        <v>2714</v>
      </c>
    </row>
    <row r="803" spans="2:23" x14ac:dyDescent="0.25">
      <c r="B803" s="169" t="s">
        <v>94</v>
      </c>
      <c r="C803" s="169" t="s">
        <v>45</v>
      </c>
      <c r="D803" s="169" t="s">
        <v>118</v>
      </c>
      <c r="E803" s="169" t="s">
        <v>20</v>
      </c>
      <c r="F803" s="245" t="str">
        <f t="shared" si="50"/>
        <v>DVW 74</v>
      </c>
      <c r="G803" s="169" t="s">
        <v>5801</v>
      </c>
      <c r="H803" s="169" t="s">
        <v>7719</v>
      </c>
      <c r="I803" s="169" t="str">
        <f t="shared" si="52"/>
        <v>L07_DPVE_014E_WINZE</v>
      </c>
      <c r="J803" s="169" t="s">
        <v>7134</v>
      </c>
      <c r="K803" s="169">
        <f>IFERROR(MATCH(J803,'Final List'!$B$4:$B$252,0),0)</f>
        <v>0</v>
      </c>
      <c r="L803" s="169">
        <f>IFERROR(MATCH(J803,'Final List'!$D$4:$D$252,0),0)</f>
        <v>0</v>
      </c>
      <c r="M803" s="169">
        <f>IFERROR(MATCH(J803,'Final List'!$F$4:$F$251,0),0)</f>
        <v>0</v>
      </c>
      <c r="N803" s="169">
        <f>IFERROR(MATCH(J803,'Final List'!$H$4:$H$252,0),0)</f>
        <v>0</v>
      </c>
      <c r="O803" s="169">
        <f>IFERROR(MATCH(J803,'Final List'!$J$4:$J$252,0),0)</f>
        <v>0</v>
      </c>
      <c r="P803" s="169">
        <f>IFERROR(MATCH(J803,'Final List'!$L$4:$L$252,0),0)</f>
        <v>0</v>
      </c>
      <c r="Q803" s="169">
        <f>IFERROR(MATCH(J803,'Final List'!$N$4:$N$252,0),0)</f>
        <v>0</v>
      </c>
      <c r="R803" s="169">
        <f>IFERROR(MATCH(J803,'Final List'!$P$4:$P$252,0),0)</f>
        <v>0</v>
      </c>
      <c r="S803" s="169">
        <f t="shared" si="51"/>
        <v>0</v>
      </c>
      <c r="V803" s="169" t="str">
        <f t="shared" si="49"/>
        <v>TURRA 4</v>
      </c>
      <c r="W803" s="169" t="s">
        <v>2706</v>
      </c>
    </row>
    <row r="804" spans="2:23" x14ac:dyDescent="0.25">
      <c r="B804" s="169" t="s">
        <v>92</v>
      </c>
      <c r="C804" s="169" t="s">
        <v>57</v>
      </c>
      <c r="D804" s="169" t="s">
        <v>130</v>
      </c>
      <c r="E804" s="169" t="s">
        <v>211</v>
      </c>
      <c r="F804" s="245" t="str">
        <f t="shared" si="50"/>
        <v>StpS 77</v>
      </c>
      <c r="G804" s="169" t="s">
        <v>538</v>
      </c>
      <c r="I804" s="169" t="str">
        <f t="shared" si="52"/>
        <v>L05_JVSPLIT_036E_STOPE PREP</v>
      </c>
      <c r="J804" s="169" t="s">
        <v>7140</v>
      </c>
      <c r="K804" s="169">
        <f>IFERROR(MATCH(J804,'Final List'!$B$4:$B$252,0),0)</f>
        <v>0</v>
      </c>
      <c r="L804" s="169">
        <f>IFERROR(MATCH(J804,'Final List'!$D$4:$D$252,0),0)</f>
        <v>0</v>
      </c>
      <c r="M804" s="169">
        <f>IFERROR(MATCH(J804,'Final List'!$F$4:$F$251,0),0)</f>
        <v>0</v>
      </c>
      <c r="N804" s="169">
        <f>IFERROR(MATCH(J804,'Final List'!$H$4:$H$252,0),0)</f>
        <v>0</v>
      </c>
      <c r="O804" s="169">
        <f>IFERROR(MATCH(J804,'Final List'!$J$4:$J$252,0),0)</f>
        <v>0</v>
      </c>
      <c r="P804" s="169">
        <f>IFERROR(MATCH(J804,'Final List'!$L$4:$L$252,0),0)</f>
        <v>0</v>
      </c>
      <c r="Q804" s="169">
        <f>IFERROR(MATCH(J804,'Final List'!$N$4:$N$252,0),0)</f>
        <v>0</v>
      </c>
      <c r="R804" s="169">
        <f>IFERROR(MATCH(J804,'Final List'!$P$4:$P$252,0),0)</f>
        <v>0</v>
      </c>
      <c r="S804" s="169">
        <f t="shared" si="51"/>
        <v>0</v>
      </c>
      <c r="T804" s="169" t="s">
        <v>68</v>
      </c>
      <c r="V804" s="169" t="str">
        <f t="shared" si="49"/>
        <v>PANCIT, NOEL 4</v>
      </c>
      <c r="W804" s="169" t="s">
        <v>2712</v>
      </c>
    </row>
    <row r="805" spans="2:23" x14ac:dyDescent="0.25">
      <c r="B805" s="169" t="s">
        <v>92</v>
      </c>
      <c r="C805" s="169" t="s">
        <v>42</v>
      </c>
      <c r="D805" s="169" t="s">
        <v>123</v>
      </c>
      <c r="E805" s="169" t="s">
        <v>6143</v>
      </c>
      <c r="F805" s="245" t="str">
        <f t="shared" si="50"/>
        <v>Dhoz 71</v>
      </c>
      <c r="G805" s="169" t="s">
        <v>2969</v>
      </c>
      <c r="I805" s="169" t="str">
        <f t="shared" si="52"/>
        <v>L05_JV_031E_DE_ISL</v>
      </c>
      <c r="J805" s="169" t="s">
        <v>6158</v>
      </c>
      <c r="K805" s="169">
        <f>IFERROR(MATCH(J805,'Final List'!$B$4:$B$252,0),0)</f>
        <v>0</v>
      </c>
      <c r="L805" s="169">
        <f>IFERROR(MATCH(J805,'Final List'!$D$4:$D$252,0),0)</f>
        <v>0</v>
      </c>
      <c r="M805" s="169">
        <f>IFERROR(MATCH(J805,'Final List'!$F$4:$F$251,0),0)</f>
        <v>0</v>
      </c>
      <c r="N805" s="169">
        <f>IFERROR(MATCH(J805,'Final List'!$H$4:$H$252,0),0)</f>
        <v>0</v>
      </c>
      <c r="O805" s="169">
        <f>IFERROR(MATCH(J805,'Final List'!$J$4:$J$252,0),0)</f>
        <v>0</v>
      </c>
      <c r="P805" s="169">
        <f>IFERROR(MATCH(J805,'Final List'!$L$4:$L$252,0),0)</f>
        <v>0</v>
      </c>
      <c r="Q805" s="169">
        <f>IFERROR(MATCH(J805,'Final List'!$N$4:$N$252,0),0)</f>
        <v>0</v>
      </c>
      <c r="R805" s="169">
        <f>IFERROR(MATCH(J805,'Final List'!$P$4:$P$252,0),0)</f>
        <v>0</v>
      </c>
      <c r="S805" s="169">
        <f t="shared" si="51"/>
        <v>0</v>
      </c>
      <c r="V805" s="169" t="str">
        <f t="shared" si="49"/>
        <v>SAMBERE 1</v>
      </c>
      <c r="W805" s="169" t="s">
        <v>8895</v>
      </c>
    </row>
    <row r="806" spans="2:23" x14ac:dyDescent="0.25">
      <c r="B806" s="169" t="s">
        <v>94</v>
      </c>
      <c r="C806" s="169" t="s">
        <v>39</v>
      </c>
      <c r="D806" s="169" t="s">
        <v>167</v>
      </c>
      <c r="E806" s="169" t="s">
        <v>61</v>
      </c>
      <c r="F806" s="245" t="str">
        <f t="shared" si="50"/>
        <v>Dhoz 71</v>
      </c>
      <c r="G806" s="169" t="s">
        <v>6432</v>
      </c>
      <c r="I806" s="169" t="str">
        <f t="shared" si="52"/>
        <v>L07_JVHW_058E_DW</v>
      </c>
      <c r="J806" s="169" t="s">
        <v>4974</v>
      </c>
      <c r="K806" s="169">
        <f>IFERROR(MATCH(J806,'Final List'!$B$4:$B$252,0),0)</f>
        <v>0</v>
      </c>
      <c r="L806" s="169">
        <f>IFERROR(MATCH(J806,'Final List'!$D$4:$D$252,0),0)</f>
        <v>0</v>
      </c>
      <c r="M806" s="169">
        <f>IFERROR(MATCH(J806,'Final List'!$F$4:$F$251,0),0)</f>
        <v>0</v>
      </c>
      <c r="N806" s="169">
        <f>IFERROR(MATCH(J806,'Final List'!$H$4:$H$252,0),0)</f>
        <v>0</v>
      </c>
      <c r="O806" s="169">
        <f>IFERROR(MATCH(J806,'Final List'!$J$4:$J$252,0),0)</f>
        <v>0</v>
      </c>
      <c r="P806" s="169">
        <f>IFERROR(MATCH(J806,'Final List'!$L$4:$L$252,0),0)</f>
        <v>0</v>
      </c>
      <c r="Q806" s="169">
        <f>IFERROR(MATCH(J806,'Final List'!$N$4:$N$252,0),0)</f>
        <v>0</v>
      </c>
      <c r="R806" s="169">
        <f>IFERROR(MATCH(J806,'Final List'!$P$4:$P$252,0),0)</f>
        <v>0</v>
      </c>
      <c r="S806" s="169">
        <f t="shared" si="51"/>
        <v>0</v>
      </c>
      <c r="V806" s="169" t="str">
        <f t="shared" si="49"/>
        <v>CARIKITAN</v>
      </c>
      <c r="W806" s="169" t="s">
        <v>8895</v>
      </c>
    </row>
    <row r="807" spans="2:23" x14ac:dyDescent="0.25">
      <c r="B807" s="169" t="s">
        <v>258</v>
      </c>
      <c r="C807" s="169" t="s">
        <v>43</v>
      </c>
      <c r="D807" s="169" t="s">
        <v>5872</v>
      </c>
      <c r="E807" s="169" t="s">
        <v>60</v>
      </c>
      <c r="F807" s="245" t="str">
        <f t="shared" si="50"/>
        <v>Dhoz 71</v>
      </c>
      <c r="G807" s="169" t="s">
        <v>5704</v>
      </c>
      <c r="I807" s="169" t="str">
        <f t="shared" si="52"/>
        <v>L10_GHVSPLIT_076E_DE</v>
      </c>
      <c r="J807" s="169" t="s">
        <v>7146</v>
      </c>
      <c r="K807" s="169">
        <f>IFERROR(MATCH(J807,'Final List'!$B$4:$B$252,0),0)</f>
        <v>0</v>
      </c>
      <c r="L807" s="169">
        <f>IFERROR(MATCH(J807,'Final List'!$D$4:$D$252,0),0)</f>
        <v>0</v>
      </c>
      <c r="M807" s="169">
        <f>IFERROR(MATCH(J807,'Final List'!$F$4:$F$251,0),0)</f>
        <v>0</v>
      </c>
      <c r="N807" s="169">
        <f>IFERROR(MATCH(J807,'Final List'!$H$4:$H$252,0),0)</f>
        <v>0</v>
      </c>
      <c r="O807" s="169">
        <f>IFERROR(MATCH(J807,'Final List'!$J$4:$J$252,0),0)</f>
        <v>0</v>
      </c>
      <c r="P807" s="169">
        <f>IFERROR(MATCH(J807,'Final List'!$L$4:$L$252,0),0)</f>
        <v>0</v>
      </c>
      <c r="Q807" s="169">
        <f>IFERROR(MATCH(J807,'Final List'!$N$4:$N$252,0),0)</f>
        <v>0</v>
      </c>
      <c r="R807" s="169">
        <f>IFERROR(MATCH(J807,'Final List'!$P$4:$P$252,0),0)</f>
        <v>0</v>
      </c>
      <c r="S807" s="169">
        <f t="shared" si="51"/>
        <v>0</v>
      </c>
      <c r="V807" s="169" t="str">
        <f t="shared" si="49"/>
        <v>OLIVEROS 3</v>
      </c>
      <c r="W807" s="169" t="s">
        <v>8896</v>
      </c>
    </row>
    <row r="808" spans="2:23" x14ac:dyDescent="0.25">
      <c r="B808" s="169" t="s">
        <v>93</v>
      </c>
      <c r="C808" s="169" t="s">
        <v>41</v>
      </c>
      <c r="D808" s="169" t="s">
        <v>6983</v>
      </c>
      <c r="E808" s="169" t="s">
        <v>19</v>
      </c>
      <c r="F808" s="245" t="str">
        <f t="shared" si="50"/>
        <v>DVR 72</v>
      </c>
      <c r="G808" s="169" t="s">
        <v>352</v>
      </c>
      <c r="I808" s="169" t="str">
        <f t="shared" si="52"/>
        <v>L06_CTV_001E_RAISE</v>
      </c>
      <c r="J808" s="169" t="s">
        <v>4238</v>
      </c>
      <c r="K808" s="169">
        <f>IFERROR(MATCH(J808,'Final List'!$B$4:$B$252,0),0)</f>
        <v>0</v>
      </c>
      <c r="L808" s="169">
        <f>IFERROR(MATCH(J808,'Final List'!$D$4:$D$252,0),0)</f>
        <v>0</v>
      </c>
      <c r="M808" s="169">
        <f>IFERROR(MATCH(J808,'Final List'!$F$4:$F$251,0),0)</f>
        <v>0</v>
      </c>
      <c r="N808" s="169">
        <f>IFERROR(MATCH(J808,'Final List'!$H$4:$H$252,0),0)</f>
        <v>0</v>
      </c>
      <c r="O808" s="169">
        <f>IFERROR(MATCH(J808,'Final List'!$J$4:$J$252,0),0)</f>
        <v>0</v>
      </c>
      <c r="P808" s="169">
        <f>IFERROR(MATCH(J808,'Final List'!$L$4:$L$252,0),0)</f>
        <v>0</v>
      </c>
      <c r="Q808" s="169">
        <f>IFERROR(MATCH(J808,'Final List'!$N$4:$N$252,0),0)</f>
        <v>0</v>
      </c>
      <c r="R808" s="169">
        <f>IFERROR(MATCH(J808,'Final List'!$P$4:$P$252,0),0)</f>
        <v>0</v>
      </c>
      <c r="S808" s="169">
        <f t="shared" si="51"/>
        <v>0</v>
      </c>
      <c r="V808" s="169" t="str">
        <f t="shared" si="49"/>
        <v>BAÑEZ 5</v>
      </c>
      <c r="W808" s="169" t="s">
        <v>2715</v>
      </c>
    </row>
    <row r="809" spans="2:23" x14ac:dyDescent="0.25">
      <c r="B809" s="169" t="s">
        <v>91</v>
      </c>
      <c r="C809" s="169" t="s">
        <v>43</v>
      </c>
      <c r="D809" s="169" t="s">
        <v>104</v>
      </c>
      <c r="E809" s="169" t="s">
        <v>36</v>
      </c>
      <c r="F809" s="245" t="str">
        <f t="shared" si="50"/>
        <v>StpS 77</v>
      </c>
      <c r="G809" s="169" t="s">
        <v>7132</v>
      </c>
      <c r="I809" s="169" t="str">
        <f t="shared" si="52"/>
        <v>L04_GHVSPLIT_029W_STOPE</v>
      </c>
      <c r="J809" s="169" t="s">
        <v>7148</v>
      </c>
      <c r="K809" s="169">
        <f>IFERROR(MATCH(J809,'Final List'!$B$4:$B$252,0),0)</f>
        <v>0</v>
      </c>
      <c r="L809" s="169">
        <f>IFERROR(MATCH(J809,'Final List'!$D$4:$D$252,0),0)</f>
        <v>0</v>
      </c>
      <c r="M809" s="169">
        <f>IFERROR(MATCH(J809,'Final List'!$F$4:$F$251,0),0)</f>
        <v>0</v>
      </c>
      <c r="N809" s="169">
        <f>IFERROR(MATCH(J809,'Final List'!$H$4:$H$252,0),0)</f>
        <v>0</v>
      </c>
      <c r="O809" s="169">
        <f>IFERROR(MATCH(J809,'Final List'!$J$4:$J$252,0),0)</f>
        <v>0</v>
      </c>
      <c r="P809" s="169">
        <f>IFERROR(MATCH(J809,'Final List'!$L$4:$L$252,0),0)</f>
        <v>0</v>
      </c>
      <c r="Q809" s="169">
        <f>IFERROR(MATCH(J809,'Final List'!$N$4:$N$252,0),0)</f>
        <v>0</v>
      </c>
      <c r="R809" s="169">
        <f>IFERROR(MATCH(J809,'Final List'!$P$4:$P$252,0),0)</f>
        <v>0</v>
      </c>
      <c r="S809" s="169">
        <f t="shared" si="51"/>
        <v>0</v>
      </c>
      <c r="T809" s="169" t="s">
        <v>68</v>
      </c>
      <c r="V809" s="169" t="str">
        <f t="shared" si="49"/>
        <v>SHEPHERD AQ</v>
      </c>
      <c r="W809" s="169" t="s">
        <v>2713</v>
      </c>
    </row>
    <row r="810" spans="2:23" x14ac:dyDescent="0.25">
      <c r="B810" s="169" t="s">
        <v>91</v>
      </c>
      <c r="C810" s="169" t="s">
        <v>41</v>
      </c>
      <c r="D810" s="169" t="s">
        <v>145</v>
      </c>
      <c r="E810" s="169" t="s">
        <v>61</v>
      </c>
      <c r="F810" s="245" t="str">
        <f t="shared" si="50"/>
        <v>Dhoz 71</v>
      </c>
      <c r="G810" s="169" t="s">
        <v>7151</v>
      </c>
      <c r="I810" s="169" t="str">
        <f t="shared" si="52"/>
        <v>L04_CTV_009E_DW</v>
      </c>
      <c r="J810" s="169" t="s">
        <v>7150</v>
      </c>
      <c r="K810" s="169">
        <f>IFERROR(MATCH(J810,'Final List'!$B$4:$B$252,0),0)</f>
        <v>0</v>
      </c>
      <c r="L810" s="169">
        <f>IFERROR(MATCH(J810,'Final List'!$D$4:$D$252,0),0)</f>
        <v>0</v>
      </c>
      <c r="M810" s="169">
        <f>IFERROR(MATCH(J810,'Final List'!$F$4:$F$251,0),0)</f>
        <v>0</v>
      </c>
      <c r="N810" s="169">
        <f>IFERROR(MATCH(J810,'Final List'!$H$4:$H$252,0),0)</f>
        <v>0</v>
      </c>
      <c r="O810" s="169">
        <f>IFERROR(MATCH(J810,'Final List'!$J$4:$J$252,0),0)</f>
        <v>0</v>
      </c>
      <c r="P810" s="169">
        <f>IFERROR(MATCH(J810,'Final List'!$L$4:$L$252,0),0)</f>
        <v>0</v>
      </c>
      <c r="Q810" s="169">
        <f>IFERROR(MATCH(J810,'Final List'!$N$4:$N$252,0),0)</f>
        <v>0</v>
      </c>
      <c r="R810" s="169">
        <f>IFERROR(MATCH(J810,'Final List'!$P$4:$P$252,0),0)</f>
        <v>0</v>
      </c>
      <c r="S810" s="169">
        <f t="shared" si="51"/>
        <v>0</v>
      </c>
      <c r="V810" s="169" t="str">
        <f t="shared" si="49"/>
        <v>MARTINEZ RON 2</v>
      </c>
      <c r="W810" s="169" t="s">
        <v>8895</v>
      </c>
    </row>
    <row r="811" spans="2:23" x14ac:dyDescent="0.25">
      <c r="B811" s="169" t="s">
        <v>92</v>
      </c>
      <c r="C811" s="169" t="s">
        <v>45</v>
      </c>
      <c r="D811" s="169" t="s">
        <v>122</v>
      </c>
      <c r="E811" s="169" t="s">
        <v>20</v>
      </c>
      <c r="F811" s="245" t="str">
        <f t="shared" si="50"/>
        <v>DVW 74</v>
      </c>
      <c r="G811" s="169" t="s">
        <v>5707</v>
      </c>
      <c r="I811" s="169" t="str">
        <f t="shared" si="52"/>
        <v>L05_DPVE_025E_WINZE</v>
      </c>
      <c r="J811" s="169" t="s">
        <v>7152</v>
      </c>
      <c r="K811" s="169">
        <f>IFERROR(MATCH(J811,'Final List'!$B$4:$B$252,0),0)</f>
        <v>0</v>
      </c>
      <c r="L811" s="169">
        <f>IFERROR(MATCH(J811,'Final List'!$D$4:$D$252,0),0)</f>
        <v>0</v>
      </c>
      <c r="M811" s="169">
        <f>IFERROR(MATCH(J811,'Final List'!$F$4:$F$251,0),0)</f>
        <v>0</v>
      </c>
      <c r="N811" s="169">
        <f>IFERROR(MATCH(J811,'Final List'!$H$4:$H$252,0),0)</f>
        <v>0</v>
      </c>
      <c r="O811" s="169">
        <f>IFERROR(MATCH(J811,'Final List'!$J$4:$J$252,0),0)</f>
        <v>0</v>
      </c>
      <c r="P811" s="169">
        <f>IFERROR(MATCH(J811,'Final List'!$L$4:$L$252,0),0)</f>
        <v>0</v>
      </c>
      <c r="Q811" s="169">
        <f>IFERROR(MATCH(J811,'Final List'!$N$4:$N$252,0),0)</f>
        <v>0</v>
      </c>
      <c r="R811" s="169">
        <f>IFERROR(MATCH(J811,'Final List'!$P$4:$P$252,0),0)</f>
        <v>0</v>
      </c>
      <c r="S811" s="169">
        <f t="shared" si="51"/>
        <v>0</v>
      </c>
      <c r="V811" s="169" t="str">
        <f t="shared" si="49"/>
        <v>SHEPHERD AF 2</v>
      </c>
      <c r="W811" s="169" t="s">
        <v>2706</v>
      </c>
    </row>
    <row r="812" spans="2:23" x14ac:dyDescent="0.25">
      <c r="B812" s="169" t="s">
        <v>258</v>
      </c>
      <c r="C812" s="169" t="s">
        <v>57</v>
      </c>
      <c r="D812" s="169" t="s">
        <v>198</v>
      </c>
      <c r="E812" s="169" t="s">
        <v>19</v>
      </c>
      <c r="F812" s="245" t="str">
        <f t="shared" si="50"/>
        <v>DVR 72</v>
      </c>
      <c r="G812" s="169" t="s">
        <v>5705</v>
      </c>
      <c r="I812" s="169" t="str">
        <f t="shared" si="52"/>
        <v>L10_JVSPLIT_069E_RAISE</v>
      </c>
      <c r="J812" s="169" t="s">
        <v>7154</v>
      </c>
      <c r="K812" s="169">
        <f>IFERROR(MATCH(J812,'Final List'!$B$4:$B$252,0),0)</f>
        <v>0</v>
      </c>
      <c r="L812" s="169">
        <f>IFERROR(MATCH(J812,'Final List'!$D$4:$D$252,0),0)</f>
        <v>0</v>
      </c>
      <c r="M812" s="169">
        <f>IFERROR(MATCH(J812,'Final List'!$F$4:$F$251,0),0)</f>
        <v>0</v>
      </c>
      <c r="N812" s="169">
        <f>IFERROR(MATCH(J812,'Final List'!$H$4:$H$252,0),0)</f>
        <v>0</v>
      </c>
      <c r="O812" s="169">
        <f>IFERROR(MATCH(J812,'Final List'!$J$4:$J$252,0),0)</f>
        <v>0</v>
      </c>
      <c r="P812" s="169">
        <f>IFERROR(MATCH(J812,'Final List'!$L$4:$L$252,0),0)</f>
        <v>0</v>
      </c>
      <c r="Q812" s="169">
        <f>IFERROR(MATCH(J812,'Final List'!$N$4:$N$252,0),0)</f>
        <v>0</v>
      </c>
      <c r="R812" s="169">
        <f>IFERROR(MATCH(J812,'Final List'!$P$4:$P$252,0),0)</f>
        <v>0</v>
      </c>
      <c r="S812" s="169">
        <f t="shared" si="51"/>
        <v>0</v>
      </c>
      <c r="V812" s="169" t="str">
        <f t="shared" si="49"/>
        <v>OLIVEROS 4</v>
      </c>
      <c r="W812" s="169" t="s">
        <v>2715</v>
      </c>
    </row>
    <row r="813" spans="2:23" x14ac:dyDescent="0.25">
      <c r="B813" s="169" t="s">
        <v>93</v>
      </c>
      <c r="C813" s="169" t="s">
        <v>41</v>
      </c>
      <c r="D813" s="169" t="s">
        <v>131</v>
      </c>
      <c r="E813" s="169" t="s">
        <v>6154</v>
      </c>
      <c r="F813" s="245" t="str">
        <f t="shared" si="50"/>
        <v>Dhoz 71</v>
      </c>
      <c r="G813" s="169" t="s">
        <v>342</v>
      </c>
      <c r="I813" s="169" t="str">
        <f t="shared" si="52"/>
        <v>L06_CTV_011E_DW_ISL</v>
      </c>
      <c r="J813" s="169" t="s">
        <v>7373</v>
      </c>
      <c r="K813" s="169">
        <f>IFERROR(MATCH(J813,'Final List'!$B$4:$B$252,0),0)</f>
        <v>0</v>
      </c>
      <c r="L813" s="169">
        <f>IFERROR(MATCH(J813,'Final List'!$D$4:$D$252,0),0)</f>
        <v>0</v>
      </c>
      <c r="M813" s="169">
        <f>IFERROR(MATCH(J813,'Final List'!$F$4:$F$251,0),0)</f>
        <v>0</v>
      </c>
      <c r="N813" s="169">
        <f>IFERROR(MATCH(J813,'Final List'!$H$4:$H$252,0),0)</f>
        <v>0</v>
      </c>
      <c r="O813" s="169">
        <f>IFERROR(MATCH(J813,'Final List'!$J$4:$J$252,0),0)</f>
        <v>0</v>
      </c>
      <c r="P813" s="169">
        <f>IFERROR(MATCH(J813,'Final List'!$L$4:$L$252,0),0)</f>
        <v>0</v>
      </c>
      <c r="Q813" s="169">
        <f>IFERROR(MATCH(J813,'Final List'!$N$4:$N$252,0),0)</f>
        <v>0</v>
      </c>
      <c r="R813" s="169">
        <f>IFERROR(MATCH(J813,'Final List'!$P$4:$P$252,0),0)</f>
        <v>0</v>
      </c>
      <c r="S813" s="169">
        <f t="shared" si="51"/>
        <v>0</v>
      </c>
      <c r="V813" s="169" t="str">
        <f t="shared" si="49"/>
        <v>BADBADON 2</v>
      </c>
      <c r="W813" s="169" t="s">
        <v>2708</v>
      </c>
    </row>
    <row r="814" spans="2:23" x14ac:dyDescent="0.25">
      <c r="B814" s="169" t="s">
        <v>94</v>
      </c>
      <c r="C814" s="169" t="s">
        <v>42</v>
      </c>
      <c r="D814" s="169" t="s">
        <v>148</v>
      </c>
      <c r="E814" s="169" t="s">
        <v>62</v>
      </c>
      <c r="F814" s="245" t="str">
        <f t="shared" si="50"/>
        <v>RobC 80</v>
      </c>
      <c r="G814" s="169" t="s">
        <v>344</v>
      </c>
      <c r="I814" s="169" t="str">
        <f t="shared" si="52"/>
        <v>L07_JV_039E_ROBBING</v>
      </c>
      <c r="J814" s="169" t="s">
        <v>7156</v>
      </c>
      <c r="K814" s="169">
        <f>IFERROR(MATCH(J814,'Final List'!$B$4:$B$252,0),0)</f>
        <v>0</v>
      </c>
      <c r="L814" s="169">
        <f>IFERROR(MATCH(J814,'Final List'!$D$4:$D$252,0),0)</f>
        <v>0</v>
      </c>
      <c r="M814" s="169">
        <f>IFERROR(MATCH(J814,'Final List'!$F$4:$F$251,0),0)</f>
        <v>0</v>
      </c>
      <c r="N814" s="169">
        <f>IFERROR(MATCH(J814,'Final List'!$H$4:$H$252,0),0)</f>
        <v>0</v>
      </c>
      <c r="O814" s="169">
        <f>IFERROR(MATCH(J814,'Final List'!$J$4:$J$252,0),0)</f>
        <v>0</v>
      </c>
      <c r="P814" s="169">
        <f>IFERROR(MATCH(J814,'Final List'!$L$4:$L$252,0),0)</f>
        <v>0</v>
      </c>
      <c r="Q814" s="169">
        <f>IFERROR(MATCH(J814,'Final List'!$N$4:$N$252,0),0)</f>
        <v>0</v>
      </c>
      <c r="R814" s="169">
        <f>IFERROR(MATCH(J814,'Final List'!$P$4:$P$252,0),0)</f>
        <v>0</v>
      </c>
      <c r="S814" s="169">
        <f t="shared" si="51"/>
        <v>0</v>
      </c>
      <c r="T814" s="169" t="s">
        <v>48</v>
      </c>
      <c r="V814" s="169" t="str">
        <f t="shared" si="49"/>
        <v>UDLOS 1</v>
      </c>
      <c r="W814" s="169" t="s">
        <v>236</v>
      </c>
    </row>
    <row r="815" spans="2:23" x14ac:dyDescent="0.25">
      <c r="B815" s="169" t="s">
        <v>94</v>
      </c>
      <c r="C815" s="169" t="s">
        <v>45</v>
      </c>
      <c r="D815" s="169" t="s">
        <v>180</v>
      </c>
      <c r="E815" s="169" t="s">
        <v>441</v>
      </c>
      <c r="F815" s="245" t="str">
        <f t="shared" si="50"/>
        <v>RobC 80</v>
      </c>
      <c r="G815" s="169" t="s">
        <v>358</v>
      </c>
      <c r="I815" s="169" t="str">
        <f t="shared" si="52"/>
        <v>L07_DPVE_041E_WINZE STOPE PREP</v>
      </c>
      <c r="J815" s="169" t="s">
        <v>7158</v>
      </c>
      <c r="K815" s="169">
        <f>IFERROR(MATCH(J815,'Final List'!$B$4:$B$252,0),0)</f>
        <v>0</v>
      </c>
      <c r="L815" s="169">
        <f>IFERROR(MATCH(J815,'Final List'!$D$4:$D$252,0),0)</f>
        <v>0</v>
      </c>
      <c r="M815" s="169">
        <f>IFERROR(MATCH(J815,'Final List'!$F$4:$F$251,0),0)</f>
        <v>0</v>
      </c>
      <c r="N815" s="169">
        <f>IFERROR(MATCH(J815,'Final List'!$H$4:$H$252,0),0)</f>
        <v>0</v>
      </c>
      <c r="O815" s="169">
        <f>IFERROR(MATCH(J815,'Final List'!$J$4:$J$252,0),0)</f>
        <v>0</v>
      </c>
      <c r="P815" s="169">
        <f>IFERROR(MATCH(J815,'Final List'!$L$4:$L$252,0),0)</f>
        <v>0</v>
      </c>
      <c r="Q815" s="169">
        <f>IFERROR(MATCH(J815,'Final List'!$N$4:$N$252,0),0)</f>
        <v>0</v>
      </c>
      <c r="R815" s="169">
        <f>IFERROR(MATCH(J815,'Final List'!$P$4:$P$252,0),0)</f>
        <v>0</v>
      </c>
      <c r="S815" s="169">
        <f t="shared" si="51"/>
        <v>0</v>
      </c>
      <c r="T815" s="169" t="s">
        <v>48</v>
      </c>
      <c r="V815" s="169" t="str">
        <f t="shared" si="49"/>
        <v>ALEÑAR 1</v>
      </c>
      <c r="W815" s="169" t="s">
        <v>2716</v>
      </c>
    </row>
    <row r="816" spans="2:23" x14ac:dyDescent="0.25">
      <c r="B816" s="169" t="s">
        <v>91</v>
      </c>
      <c r="C816" s="169" t="s">
        <v>44</v>
      </c>
      <c r="D816" s="169" t="s">
        <v>101</v>
      </c>
      <c r="E816" s="169" t="s">
        <v>61</v>
      </c>
      <c r="F816" s="245" t="str">
        <f t="shared" si="50"/>
        <v>Dhoz 71</v>
      </c>
      <c r="G816" s="169" t="s">
        <v>7076</v>
      </c>
      <c r="I816" s="169" t="str">
        <f t="shared" si="52"/>
        <v>L04_CV_023W_DW</v>
      </c>
      <c r="J816" s="169" t="s">
        <v>7165</v>
      </c>
      <c r="K816" s="169">
        <f>IFERROR(MATCH(J816,'Final List'!$B$4:$B$252,0),0)</f>
        <v>0</v>
      </c>
      <c r="L816" s="169">
        <f>IFERROR(MATCH(J816,'Final List'!$D$4:$D$252,0),0)</f>
        <v>0</v>
      </c>
      <c r="M816" s="169">
        <f>IFERROR(MATCH(J816,'Final List'!$F$4:$F$251,0),0)</f>
        <v>0</v>
      </c>
      <c r="N816" s="169">
        <f>IFERROR(MATCH(J816,'Final List'!$H$4:$H$252,0),0)</f>
        <v>0</v>
      </c>
      <c r="O816" s="169">
        <f>IFERROR(MATCH(J816,'Final List'!$J$4:$J$252,0),0)</f>
        <v>0</v>
      </c>
      <c r="P816" s="169">
        <f>IFERROR(MATCH(J816,'Final List'!$L$4:$L$252,0),0)</f>
        <v>0</v>
      </c>
      <c r="Q816" s="169">
        <f>IFERROR(MATCH(J816,'Final List'!$N$4:$N$252,0),0)</f>
        <v>0</v>
      </c>
      <c r="R816" s="169">
        <f>IFERROR(MATCH(J816,'Final List'!$P$4:$P$252,0),0)</f>
        <v>0</v>
      </c>
      <c r="S816" s="169">
        <f t="shared" si="51"/>
        <v>0</v>
      </c>
      <c r="V816" s="169" t="str">
        <f t="shared" si="49"/>
        <v>SHEPHERD AR</v>
      </c>
      <c r="W816" s="169" t="s">
        <v>8895</v>
      </c>
    </row>
    <row r="817" spans="2:23" x14ac:dyDescent="0.25">
      <c r="B817" s="169" t="s">
        <v>91</v>
      </c>
      <c r="C817" s="169" t="s">
        <v>43</v>
      </c>
      <c r="D817" s="169" t="s">
        <v>107</v>
      </c>
      <c r="E817" s="169" t="s">
        <v>19</v>
      </c>
      <c r="F817" s="245" t="str">
        <f t="shared" si="50"/>
        <v>DVR 72</v>
      </c>
      <c r="G817" s="169" t="s">
        <v>448</v>
      </c>
      <c r="I817" s="169" t="str">
        <f t="shared" si="52"/>
        <v>L04_GHVSPLIT_032W_RAISE</v>
      </c>
      <c r="J817" s="169" t="s">
        <v>7166</v>
      </c>
      <c r="K817" s="169">
        <f>IFERROR(MATCH(J817,'Final List'!$B$4:$B$252,0),0)</f>
        <v>0</v>
      </c>
      <c r="L817" s="169">
        <f>IFERROR(MATCH(J817,'Final List'!$D$4:$D$252,0),0)</f>
        <v>0</v>
      </c>
      <c r="M817" s="169">
        <f>IFERROR(MATCH(J817,'Final List'!$F$4:$F$251,0),0)</f>
        <v>0</v>
      </c>
      <c r="N817" s="169">
        <f>IFERROR(MATCH(J817,'Final List'!$H$4:$H$252,0),0)</f>
        <v>0</v>
      </c>
      <c r="O817" s="169">
        <f>IFERROR(MATCH(J817,'Final List'!$J$4:$J$252,0),0)</f>
        <v>0</v>
      </c>
      <c r="P817" s="169">
        <f>IFERROR(MATCH(J817,'Final List'!$L$4:$L$252,0),0)</f>
        <v>0</v>
      </c>
      <c r="Q817" s="169">
        <f>IFERROR(MATCH(J817,'Final List'!$N$4:$N$252,0),0)</f>
        <v>0</v>
      </c>
      <c r="R817" s="169">
        <f>IFERROR(MATCH(J817,'Final List'!$P$4:$P$252,0),0)</f>
        <v>0</v>
      </c>
      <c r="S817" s="169">
        <f t="shared" si="51"/>
        <v>0</v>
      </c>
      <c r="V817" s="169" t="str">
        <f t="shared" si="49"/>
        <v>COMAINGKING 2</v>
      </c>
      <c r="W817" s="169" t="s">
        <v>2715</v>
      </c>
    </row>
    <row r="818" spans="2:23" x14ac:dyDescent="0.25">
      <c r="B818" s="169" t="s">
        <v>96</v>
      </c>
      <c r="C818" s="169" t="s">
        <v>57</v>
      </c>
      <c r="D818" s="169" t="s">
        <v>289</v>
      </c>
      <c r="E818" s="169" t="s">
        <v>60</v>
      </c>
      <c r="F818" s="245" t="str">
        <f t="shared" si="50"/>
        <v>Dhoz 71</v>
      </c>
      <c r="G818" s="169" t="s">
        <v>455</v>
      </c>
      <c r="I818" s="169" t="str">
        <f t="shared" si="52"/>
        <v>L09_JVSPLIT_059E_DE</v>
      </c>
      <c r="J818" s="169" t="s">
        <v>7167</v>
      </c>
      <c r="K818" s="169">
        <f>IFERROR(MATCH(J818,'Final List'!$B$4:$B$252,0),0)</f>
        <v>0</v>
      </c>
      <c r="L818" s="169">
        <f>IFERROR(MATCH(J818,'Final List'!$D$4:$D$252,0),0)</f>
        <v>0</v>
      </c>
      <c r="M818" s="169">
        <f>IFERROR(MATCH(J818,'Final List'!$F$4:$F$251,0),0)</f>
        <v>0</v>
      </c>
      <c r="N818" s="169">
        <f>IFERROR(MATCH(J818,'Final List'!$H$4:$H$252,0),0)</f>
        <v>0</v>
      </c>
      <c r="O818" s="169">
        <f>IFERROR(MATCH(J818,'Final List'!$J$4:$J$252,0),0)</f>
        <v>0</v>
      </c>
      <c r="P818" s="169">
        <f>IFERROR(MATCH(J818,'Final List'!$L$4:$L$252,0),0)</f>
        <v>0</v>
      </c>
      <c r="Q818" s="169">
        <f>IFERROR(MATCH(J818,'Final List'!$N$4:$N$252,0),0)</f>
        <v>0</v>
      </c>
      <c r="R818" s="169">
        <f>IFERROR(MATCH(J818,'Final List'!$P$4:$P$252,0),0)</f>
        <v>0</v>
      </c>
      <c r="S818" s="169">
        <f t="shared" si="51"/>
        <v>0</v>
      </c>
      <c r="V818" s="169" t="str">
        <f t="shared" si="49"/>
        <v>BABOR 4</v>
      </c>
      <c r="W818" s="169" t="s">
        <v>8896</v>
      </c>
    </row>
    <row r="819" spans="2:23" x14ac:dyDescent="0.25">
      <c r="B819" s="169" t="s">
        <v>95</v>
      </c>
      <c r="C819" s="169" t="s">
        <v>38</v>
      </c>
      <c r="D819" s="169" t="s">
        <v>6518</v>
      </c>
      <c r="E819" s="169" t="s">
        <v>36</v>
      </c>
      <c r="F819" s="245" t="str">
        <f t="shared" si="50"/>
        <v>StpS 77</v>
      </c>
      <c r="G819" s="169" t="s">
        <v>386</v>
      </c>
      <c r="I819" s="169" t="str">
        <f t="shared" si="52"/>
        <v>L08_GHV_007E_STOPE</v>
      </c>
      <c r="J819" s="169" t="s">
        <v>7168</v>
      </c>
      <c r="K819" s="169">
        <f>IFERROR(MATCH(J819,'Final List'!$B$4:$B$252,0),0)</f>
        <v>0</v>
      </c>
      <c r="L819" s="169">
        <f>IFERROR(MATCH(J819,'Final List'!$D$4:$D$252,0),0)</f>
        <v>0</v>
      </c>
      <c r="M819" s="169">
        <f>IFERROR(MATCH(J819,'Final List'!$F$4:$F$251,0),0)</f>
        <v>0</v>
      </c>
      <c r="N819" s="169">
        <f>IFERROR(MATCH(J819,'Final List'!$H$4:$H$252,0),0)</f>
        <v>0</v>
      </c>
      <c r="O819" s="169">
        <f>IFERROR(MATCH(J819,'Final List'!$J$4:$J$252,0),0)</f>
        <v>0</v>
      </c>
      <c r="P819" s="169">
        <f>IFERROR(MATCH(J819,'Final List'!$L$4:$L$252,0),0)</f>
        <v>0</v>
      </c>
      <c r="Q819" s="169">
        <f>IFERROR(MATCH(J819,'Final List'!$N$4:$N$252,0),0)</f>
        <v>0</v>
      </c>
      <c r="R819" s="169">
        <f>IFERROR(MATCH(J819,'Final List'!$P$4:$P$252,0),0)</f>
        <v>0</v>
      </c>
      <c r="S819" s="169">
        <f t="shared" si="51"/>
        <v>0</v>
      </c>
      <c r="T819" s="169" t="s">
        <v>68</v>
      </c>
      <c r="V819" s="169" t="str">
        <f t="shared" si="49"/>
        <v>REVITA 1</v>
      </c>
      <c r="W819" s="169" t="s">
        <v>2713</v>
      </c>
    </row>
    <row r="820" spans="2:23" x14ac:dyDescent="0.25">
      <c r="B820" s="169" t="s">
        <v>91</v>
      </c>
      <c r="C820" s="169" t="s">
        <v>43</v>
      </c>
      <c r="D820" s="169" t="s">
        <v>6941</v>
      </c>
      <c r="E820" s="169" t="s">
        <v>36</v>
      </c>
      <c r="F820" s="245" t="str">
        <f t="shared" si="50"/>
        <v>StpS 77</v>
      </c>
      <c r="G820" s="169" t="s">
        <v>7132</v>
      </c>
      <c r="I820" s="169" t="str">
        <f t="shared" si="52"/>
        <v>L04_GHVSPLIT_031W_STOPE</v>
      </c>
      <c r="J820" s="169" t="s">
        <v>7170</v>
      </c>
      <c r="K820" s="169">
        <f>IFERROR(MATCH(J820,'Final List'!$B$4:$B$252,0),0)</f>
        <v>0</v>
      </c>
      <c r="L820" s="169">
        <f>IFERROR(MATCH(J820,'Final List'!$D$4:$D$252,0),0)</f>
        <v>0</v>
      </c>
      <c r="M820" s="169">
        <f>IFERROR(MATCH(J820,'Final List'!$F$4:$F$251,0),0)</f>
        <v>0</v>
      </c>
      <c r="N820" s="169">
        <f>IFERROR(MATCH(J820,'Final List'!$H$4:$H$252,0),0)</f>
        <v>0</v>
      </c>
      <c r="O820" s="169">
        <f>IFERROR(MATCH(J820,'Final List'!$J$4:$J$252,0),0)</f>
        <v>0</v>
      </c>
      <c r="P820" s="169">
        <f>IFERROR(MATCH(J820,'Final List'!$L$4:$L$252,0),0)</f>
        <v>0</v>
      </c>
      <c r="Q820" s="169">
        <f>IFERROR(MATCH(J820,'Final List'!$N$4:$N$252,0),0)</f>
        <v>0</v>
      </c>
      <c r="R820" s="169">
        <f>IFERROR(MATCH(J820,'Final List'!$P$4:$P$252,0),0)</f>
        <v>0</v>
      </c>
      <c r="S820" s="169">
        <f t="shared" si="51"/>
        <v>0</v>
      </c>
      <c r="T820" s="169" t="s">
        <v>68</v>
      </c>
      <c r="V820" s="169" t="str">
        <f t="shared" si="49"/>
        <v>SHEPHERD AQ</v>
      </c>
      <c r="W820" s="169" t="s">
        <v>2713</v>
      </c>
    </row>
    <row r="821" spans="2:23" x14ac:dyDescent="0.25">
      <c r="B821" s="169" t="s">
        <v>95</v>
      </c>
      <c r="C821" s="169" t="s">
        <v>42</v>
      </c>
      <c r="D821" s="169" t="s">
        <v>6710</v>
      </c>
      <c r="E821" s="169" t="s">
        <v>19</v>
      </c>
      <c r="F821" s="245" t="str">
        <f t="shared" si="50"/>
        <v>DVR 72</v>
      </c>
      <c r="G821" s="169" t="s">
        <v>5</v>
      </c>
      <c r="I821" s="169" t="str">
        <f t="shared" si="52"/>
        <v>L08_JV_018W_RAISE</v>
      </c>
      <c r="J821" s="169" t="s">
        <v>3323</v>
      </c>
      <c r="K821" s="169">
        <f>IFERROR(MATCH(J821,'Final List'!$B$4:$B$252,0),0)</f>
        <v>0</v>
      </c>
      <c r="L821" s="169">
        <f>IFERROR(MATCH(J821,'Final List'!$D$4:$D$252,0),0)</f>
        <v>0</v>
      </c>
      <c r="M821" s="169">
        <f>IFERROR(MATCH(J821,'Final List'!$F$4:$F$251,0),0)</f>
        <v>0</v>
      </c>
      <c r="N821" s="169">
        <f>IFERROR(MATCH(J821,'Final List'!$H$4:$H$252,0),0)</f>
        <v>0</v>
      </c>
      <c r="O821" s="169">
        <f>IFERROR(MATCH(J821,'Final List'!$J$4:$J$252,0),0)</f>
        <v>0</v>
      </c>
      <c r="P821" s="169">
        <f>IFERROR(MATCH(J821,'Final List'!$L$4:$L$252,0),0)</f>
        <v>0</v>
      </c>
      <c r="Q821" s="169">
        <f>IFERROR(MATCH(J821,'Final List'!$N$4:$N$252,0),0)</f>
        <v>0</v>
      </c>
      <c r="R821" s="169">
        <f>IFERROR(MATCH(J821,'Final List'!$P$4:$P$252,0),0)</f>
        <v>0</v>
      </c>
      <c r="S821" s="169">
        <f t="shared" si="51"/>
        <v>0</v>
      </c>
      <c r="V821" s="169" t="str">
        <f t="shared" si="49"/>
        <v>BELICAN</v>
      </c>
      <c r="W821" s="169" t="s">
        <v>2715</v>
      </c>
    </row>
    <row r="822" spans="2:23" x14ac:dyDescent="0.25">
      <c r="B822" s="169" t="s">
        <v>94</v>
      </c>
      <c r="C822" s="169" t="s">
        <v>42</v>
      </c>
      <c r="D822" s="169" t="s">
        <v>5612</v>
      </c>
      <c r="E822" s="169" t="s">
        <v>61</v>
      </c>
      <c r="F822" s="245" t="str">
        <f t="shared" si="50"/>
        <v>Dhoz 71</v>
      </c>
      <c r="G822" s="169" t="s">
        <v>5721</v>
      </c>
      <c r="I822" s="169" t="str">
        <f t="shared" si="52"/>
        <v>L07_JV_011W_DW</v>
      </c>
      <c r="J822" s="169" t="s">
        <v>7182</v>
      </c>
      <c r="K822" s="169">
        <f>IFERROR(MATCH(J822,'Final List'!$B$4:$B$252,0),0)</f>
        <v>0</v>
      </c>
      <c r="L822" s="169">
        <f>IFERROR(MATCH(J822,'Final List'!$D$4:$D$252,0),0)</f>
        <v>0</v>
      </c>
      <c r="M822" s="169">
        <f>IFERROR(MATCH(J822,'Final List'!$F$4:$F$251,0),0)</f>
        <v>0</v>
      </c>
      <c r="N822" s="169">
        <f>IFERROR(MATCH(J822,'Final List'!$H$4:$H$252,0),0)</f>
        <v>0</v>
      </c>
      <c r="O822" s="169">
        <f>IFERROR(MATCH(J822,'Final List'!$J$4:$J$252,0),0)</f>
        <v>0</v>
      </c>
      <c r="P822" s="169">
        <f>IFERROR(MATCH(J822,'Final List'!$L$4:$L$252,0),0)</f>
        <v>0</v>
      </c>
      <c r="Q822" s="169">
        <f>IFERROR(MATCH(J822,'Final List'!$N$4:$N$252,0),0)</f>
        <v>0</v>
      </c>
      <c r="R822" s="169">
        <f>IFERROR(MATCH(J822,'Final List'!$P$4:$P$252,0),0)</f>
        <v>0</v>
      </c>
      <c r="S822" s="169">
        <f t="shared" si="51"/>
        <v>0</v>
      </c>
      <c r="V822" s="169" t="str">
        <f t="shared" si="49"/>
        <v>SHEPHERD AK 1</v>
      </c>
      <c r="W822" s="169" t="s">
        <v>8895</v>
      </c>
    </row>
    <row r="823" spans="2:23" x14ac:dyDescent="0.25">
      <c r="B823" s="169" t="s">
        <v>96</v>
      </c>
      <c r="C823" s="169" t="s">
        <v>55</v>
      </c>
      <c r="D823" s="169" t="s">
        <v>174</v>
      </c>
      <c r="E823" s="169" t="s">
        <v>62</v>
      </c>
      <c r="F823" s="245" t="str">
        <f t="shared" si="50"/>
        <v>RobS 79</v>
      </c>
      <c r="G823" s="169" t="s">
        <v>389</v>
      </c>
      <c r="H823" s="169" t="s">
        <v>336</v>
      </c>
      <c r="I823" s="169" t="str">
        <f t="shared" si="52"/>
        <v>L09_JVFW_052E_ROBBING</v>
      </c>
      <c r="J823" s="169" t="s">
        <v>7183</v>
      </c>
      <c r="K823" s="169">
        <f>IFERROR(MATCH(J823,'Final List'!$B$4:$B$252,0),0)</f>
        <v>0</v>
      </c>
      <c r="L823" s="169">
        <f>IFERROR(MATCH(J823,'Final List'!$D$4:$D$252,0),0)</f>
        <v>0</v>
      </c>
      <c r="M823" s="169">
        <f>IFERROR(MATCH(J823,'Final List'!$F$4:$F$251,0),0)</f>
        <v>0</v>
      </c>
      <c r="N823" s="169">
        <f>IFERROR(MATCH(J823,'Final List'!$H$4:$H$252,0),0)</f>
        <v>0</v>
      </c>
      <c r="O823" s="169">
        <f>IFERROR(MATCH(J823,'Final List'!$J$4:$J$252,0),0)</f>
        <v>0</v>
      </c>
      <c r="P823" s="169">
        <f>IFERROR(MATCH(J823,'Final List'!$L$4:$L$252,0),0)</f>
        <v>0</v>
      </c>
      <c r="Q823" s="169">
        <f>IFERROR(MATCH(J823,'Final List'!$N$4:$N$252,0),0)</f>
        <v>0</v>
      </c>
      <c r="R823" s="169">
        <f>IFERROR(MATCH(J823,'Final List'!$P$4:$P$252,0),0)</f>
        <v>0</v>
      </c>
      <c r="S823" s="169">
        <f t="shared" si="51"/>
        <v>0</v>
      </c>
      <c r="T823" s="169" t="s">
        <v>68</v>
      </c>
      <c r="V823" s="169" t="str">
        <f t="shared" si="49"/>
        <v>BALANGHIG 1</v>
      </c>
      <c r="W823" s="169" t="s">
        <v>2707</v>
      </c>
    </row>
    <row r="824" spans="2:23" x14ac:dyDescent="0.25">
      <c r="B824" s="169" t="s">
        <v>91</v>
      </c>
      <c r="C824" s="169" t="s">
        <v>58</v>
      </c>
      <c r="D824" s="169" t="s">
        <v>6710</v>
      </c>
      <c r="E824" s="169" t="s">
        <v>20</v>
      </c>
      <c r="F824" s="245" t="str">
        <f t="shared" si="50"/>
        <v>DVW 74</v>
      </c>
      <c r="G824" s="169" t="s">
        <v>7185</v>
      </c>
      <c r="I824" s="169" t="str">
        <f t="shared" si="52"/>
        <v>L04_EDV_018W_WINZE</v>
      </c>
      <c r="J824" s="169" t="s">
        <v>7184</v>
      </c>
      <c r="K824" s="169">
        <f>IFERROR(MATCH(J824,'Final List'!$B$4:$B$252,0),0)</f>
        <v>0</v>
      </c>
      <c r="L824" s="169">
        <f>IFERROR(MATCH(J824,'Final List'!$D$4:$D$252,0),0)</f>
        <v>0</v>
      </c>
      <c r="M824" s="169">
        <f>IFERROR(MATCH(J824,'Final List'!$F$4:$F$251,0),0)</f>
        <v>0</v>
      </c>
      <c r="N824" s="169">
        <f>IFERROR(MATCH(J824,'Final List'!$H$4:$H$252,0),0)</f>
        <v>0</v>
      </c>
      <c r="O824" s="169">
        <f>IFERROR(MATCH(J824,'Final List'!$J$4:$J$252,0),0)</f>
        <v>0</v>
      </c>
      <c r="P824" s="169">
        <f>IFERROR(MATCH(J824,'Final List'!$L$4:$L$252,0),0)</f>
        <v>0</v>
      </c>
      <c r="Q824" s="169">
        <f>IFERROR(MATCH(J824,'Final List'!$N$4:$N$252,0),0)</f>
        <v>0</v>
      </c>
      <c r="R824" s="169">
        <f>IFERROR(MATCH(J824,'Final List'!$P$4:$P$252,0),0)</f>
        <v>0</v>
      </c>
      <c r="S824" s="169">
        <f t="shared" si="51"/>
        <v>0</v>
      </c>
      <c r="V824" s="169" t="str">
        <f t="shared" si="49"/>
        <v>ANDILAD</v>
      </c>
      <c r="W824" s="169" t="s">
        <v>2706</v>
      </c>
    </row>
    <row r="825" spans="2:23" x14ac:dyDescent="0.25">
      <c r="B825" s="169" t="s">
        <v>92</v>
      </c>
      <c r="C825" s="169" t="s">
        <v>57</v>
      </c>
      <c r="D825" s="169" t="s">
        <v>130</v>
      </c>
      <c r="E825" s="169" t="s">
        <v>36</v>
      </c>
      <c r="F825" s="245" t="str">
        <f t="shared" si="50"/>
        <v>StpS 77</v>
      </c>
      <c r="G825" s="169" t="s">
        <v>7189</v>
      </c>
      <c r="I825" s="169" t="str">
        <f t="shared" si="52"/>
        <v>L05_JVSPLIT_036E_STOPE</v>
      </c>
      <c r="J825" s="169" t="s">
        <v>7188</v>
      </c>
      <c r="K825" s="169">
        <f>IFERROR(MATCH(J825,'Final List'!$B$4:$B$252,0),0)</f>
        <v>0</v>
      </c>
      <c r="L825" s="169">
        <f>IFERROR(MATCH(J825,'Final List'!$D$4:$D$252,0),0)</f>
        <v>0</v>
      </c>
      <c r="M825" s="169">
        <f>IFERROR(MATCH(J825,'Final List'!$F$4:$F$251,0),0)</f>
        <v>0</v>
      </c>
      <c r="N825" s="169">
        <f>IFERROR(MATCH(J825,'Final List'!$H$4:$H$252,0),0)</f>
        <v>0</v>
      </c>
      <c r="O825" s="169">
        <f>IFERROR(MATCH(J825,'Final List'!$J$4:$J$252,0),0)</f>
        <v>0</v>
      </c>
      <c r="P825" s="169">
        <f>IFERROR(MATCH(J825,'Final List'!$L$4:$L$252,0),0)</f>
        <v>0</v>
      </c>
      <c r="Q825" s="169">
        <f>IFERROR(MATCH(J825,'Final List'!$N$4:$N$252,0),0)</f>
        <v>0</v>
      </c>
      <c r="R825" s="169">
        <f>IFERROR(MATCH(J825,'Final List'!$P$4:$P$252,0),0)</f>
        <v>0</v>
      </c>
      <c r="S825" s="169">
        <f t="shared" si="51"/>
        <v>0</v>
      </c>
      <c r="T825" s="169" t="s">
        <v>68</v>
      </c>
      <c r="V825" s="169" t="str">
        <f t="shared" si="49"/>
        <v>PANCIT , NOEL 4</v>
      </c>
      <c r="W825" s="169" t="s">
        <v>2713</v>
      </c>
    </row>
    <row r="826" spans="2:23" x14ac:dyDescent="0.25">
      <c r="B826" s="169" t="s">
        <v>96</v>
      </c>
      <c r="C826" s="169" t="s">
        <v>57</v>
      </c>
      <c r="D826" s="169" t="s">
        <v>197</v>
      </c>
      <c r="E826" s="169" t="s">
        <v>36</v>
      </c>
      <c r="F826" s="245" t="str">
        <f t="shared" si="50"/>
        <v>StpS 77</v>
      </c>
      <c r="G826" s="169" t="s">
        <v>746</v>
      </c>
      <c r="I826" s="169" t="str">
        <f t="shared" si="52"/>
        <v>L09_JVSPLIT_070E_STOPE</v>
      </c>
      <c r="J826" s="169" t="s">
        <v>7191</v>
      </c>
      <c r="K826" s="169">
        <f>IFERROR(MATCH(J826,'Final List'!$B$4:$B$252,0),0)</f>
        <v>0</v>
      </c>
      <c r="L826" s="169">
        <f>IFERROR(MATCH(J826,'Final List'!$D$4:$D$252,0),0)</f>
        <v>0</v>
      </c>
      <c r="M826" s="169">
        <f>IFERROR(MATCH(J826,'Final List'!$F$4:$F$251,0),0)</f>
        <v>0</v>
      </c>
      <c r="N826" s="169">
        <f>IFERROR(MATCH(J826,'Final List'!$H$4:$H$252,0),0)</f>
        <v>0</v>
      </c>
      <c r="O826" s="169">
        <f>IFERROR(MATCH(J826,'Final List'!$J$4:$J$252,0),0)</f>
        <v>0</v>
      </c>
      <c r="P826" s="169">
        <f>IFERROR(MATCH(J826,'Final List'!$L$4:$L$252,0),0)</f>
        <v>0</v>
      </c>
      <c r="Q826" s="169">
        <f>IFERROR(MATCH(J826,'Final List'!$N$4:$N$252,0),0)</f>
        <v>0</v>
      </c>
      <c r="R826" s="169">
        <f>IFERROR(MATCH(J826,'Final List'!$P$4:$P$252,0),0)</f>
        <v>0</v>
      </c>
      <c r="S826" s="169">
        <f t="shared" si="51"/>
        <v>0</v>
      </c>
      <c r="T826" s="169" t="s">
        <v>68</v>
      </c>
      <c r="V826" s="169" t="str">
        <f t="shared" si="49"/>
        <v>CANOY 1</v>
      </c>
      <c r="W826" s="169" t="s">
        <v>2713</v>
      </c>
    </row>
    <row r="827" spans="2:23" x14ac:dyDescent="0.25">
      <c r="B827" s="169" t="s">
        <v>92</v>
      </c>
      <c r="C827" s="169" t="s">
        <v>45</v>
      </c>
      <c r="D827" s="169" t="s">
        <v>5781</v>
      </c>
      <c r="E827" s="169" t="s">
        <v>211</v>
      </c>
      <c r="F827" s="245" t="str">
        <f t="shared" si="50"/>
        <v>StpS 77</v>
      </c>
      <c r="G827" s="169" t="s">
        <v>3658</v>
      </c>
      <c r="I827" s="169" t="str">
        <f t="shared" si="52"/>
        <v>L05_DPVE_051E_STOPE PREP</v>
      </c>
      <c r="J827" s="169" t="s">
        <v>7193</v>
      </c>
      <c r="K827" s="169">
        <f>IFERROR(MATCH(J827,'Final List'!$B$4:$B$252,0),0)</f>
        <v>0</v>
      </c>
      <c r="L827" s="169">
        <f>IFERROR(MATCH(J827,'Final List'!$D$4:$D$252,0),0)</f>
        <v>0</v>
      </c>
      <c r="M827" s="169">
        <f>IFERROR(MATCH(J827,'Final List'!$F$4:$F$251,0),0)</f>
        <v>0</v>
      </c>
      <c r="N827" s="169">
        <f>IFERROR(MATCH(J827,'Final List'!$H$4:$H$252,0),0)</f>
        <v>0</v>
      </c>
      <c r="O827" s="169">
        <f>IFERROR(MATCH(J827,'Final List'!$J$4:$J$252,0),0)</f>
        <v>0</v>
      </c>
      <c r="P827" s="169">
        <f>IFERROR(MATCH(J827,'Final List'!$L$4:$L$252,0),0)</f>
        <v>0</v>
      </c>
      <c r="Q827" s="169">
        <f>IFERROR(MATCH(J827,'Final List'!$N$4:$N$252,0),0)</f>
        <v>0</v>
      </c>
      <c r="R827" s="169">
        <f>IFERROR(MATCH(J827,'Final List'!$P$4:$P$252,0),0)</f>
        <v>0</v>
      </c>
      <c r="S827" s="169">
        <f t="shared" si="51"/>
        <v>0</v>
      </c>
      <c r="T827" s="169" t="s">
        <v>68</v>
      </c>
      <c r="V827" s="169" t="str">
        <f t="shared" si="49"/>
        <v>SHEPHERD AD 1</v>
      </c>
      <c r="W827" s="169" t="s">
        <v>2712</v>
      </c>
    </row>
    <row r="828" spans="2:23" x14ac:dyDescent="0.25">
      <c r="B828" s="169" t="s">
        <v>95</v>
      </c>
      <c r="C828" s="169" t="s">
        <v>38</v>
      </c>
      <c r="D828" s="169" t="s">
        <v>111</v>
      </c>
      <c r="E828" s="169" t="s">
        <v>441</v>
      </c>
      <c r="F828" s="245" t="str">
        <f t="shared" si="50"/>
        <v>RobC 80</v>
      </c>
      <c r="G828" s="169" t="s">
        <v>380</v>
      </c>
      <c r="I828" s="169" t="str">
        <f t="shared" si="52"/>
        <v>L08_GHV_004W_WINZE STOPE PREP</v>
      </c>
      <c r="J828" s="169" t="s">
        <v>7201</v>
      </c>
      <c r="K828" s="169">
        <f>IFERROR(MATCH(J828,'Final List'!$B$4:$B$252,0),0)</f>
        <v>0</v>
      </c>
      <c r="L828" s="169">
        <f>IFERROR(MATCH(J828,'Final List'!$D$4:$D$252,0),0)</f>
        <v>0</v>
      </c>
      <c r="M828" s="169">
        <f>IFERROR(MATCH(J828,'Final List'!$F$4:$F$251,0),0)</f>
        <v>0</v>
      </c>
      <c r="N828" s="169">
        <f>IFERROR(MATCH(J828,'Final List'!$H$4:$H$252,0),0)</f>
        <v>0</v>
      </c>
      <c r="O828" s="169">
        <f>IFERROR(MATCH(J828,'Final List'!$J$4:$J$252,0),0)</f>
        <v>0</v>
      </c>
      <c r="P828" s="169">
        <f>IFERROR(MATCH(J828,'Final List'!$L$4:$L$252,0),0)</f>
        <v>0</v>
      </c>
      <c r="Q828" s="169">
        <f>IFERROR(MATCH(J828,'Final List'!$N$4:$N$252,0),0)</f>
        <v>0</v>
      </c>
      <c r="R828" s="169">
        <f>IFERROR(MATCH(J828,'Final List'!$P$4:$P$252,0),0)</f>
        <v>0</v>
      </c>
      <c r="S828" s="169">
        <f t="shared" si="51"/>
        <v>0</v>
      </c>
      <c r="T828" s="169" t="s">
        <v>68</v>
      </c>
      <c r="V828" s="169" t="str">
        <f t="shared" si="49"/>
        <v>AGLOLO 1</v>
      </c>
      <c r="W828" s="169" t="s">
        <v>2716</v>
      </c>
    </row>
    <row r="829" spans="2:23" x14ac:dyDescent="0.25">
      <c r="B829" s="169" t="s">
        <v>94</v>
      </c>
      <c r="C829" s="169" t="s">
        <v>42</v>
      </c>
      <c r="D829" s="169" t="s">
        <v>195</v>
      </c>
      <c r="E829" s="169" t="s">
        <v>36</v>
      </c>
      <c r="F829" s="245" t="str">
        <f t="shared" si="50"/>
        <v>StpS 77</v>
      </c>
      <c r="G829" s="169" t="s">
        <v>604</v>
      </c>
      <c r="I829" s="169" t="str">
        <f t="shared" si="52"/>
        <v>L07_JV_008W_STOPE</v>
      </c>
      <c r="J829" s="169" t="s">
        <v>7202</v>
      </c>
      <c r="K829" s="169">
        <f>IFERROR(MATCH(J829,'Final List'!$B$4:$B$252,0),0)</f>
        <v>0</v>
      </c>
      <c r="L829" s="169">
        <f>IFERROR(MATCH(J829,'Final List'!$D$4:$D$252,0),0)</f>
        <v>0</v>
      </c>
      <c r="M829" s="169">
        <f>IFERROR(MATCH(J829,'Final List'!$F$4:$F$251,0),0)</f>
        <v>0</v>
      </c>
      <c r="N829" s="169">
        <f>IFERROR(MATCH(J829,'Final List'!$H$4:$H$252,0),0)</f>
        <v>0</v>
      </c>
      <c r="O829" s="169">
        <f>IFERROR(MATCH(J829,'Final List'!$J$4:$J$252,0),0)</f>
        <v>0</v>
      </c>
      <c r="P829" s="169">
        <f>IFERROR(MATCH(J829,'Final List'!$L$4:$L$252,0),0)</f>
        <v>0</v>
      </c>
      <c r="Q829" s="169">
        <f>IFERROR(MATCH(J829,'Final List'!$N$4:$N$252,0),0)</f>
        <v>0</v>
      </c>
      <c r="R829" s="169">
        <f>IFERROR(MATCH(J829,'Final List'!$P$4:$P$252,0),0)</f>
        <v>0</v>
      </c>
      <c r="S829" s="169">
        <f t="shared" si="51"/>
        <v>0</v>
      </c>
      <c r="T829" s="169" t="s">
        <v>68</v>
      </c>
      <c r="V829" s="169" t="str">
        <f t="shared" si="49"/>
        <v>CARIKITAN 3</v>
      </c>
      <c r="W829" s="169" t="s">
        <v>2713</v>
      </c>
    </row>
    <row r="830" spans="2:23" x14ac:dyDescent="0.25">
      <c r="B830" s="169" t="s">
        <v>91</v>
      </c>
      <c r="C830" s="169" t="s">
        <v>41</v>
      </c>
      <c r="D830" s="169" t="s">
        <v>5940</v>
      </c>
      <c r="E830" s="169" t="s">
        <v>20</v>
      </c>
      <c r="F830" s="245" t="str">
        <f t="shared" si="50"/>
        <v>DVW 74</v>
      </c>
      <c r="G830" s="169" t="s">
        <v>7208</v>
      </c>
      <c r="I830" s="169" t="str">
        <f t="shared" si="52"/>
        <v>L04_CTV_022W_WINZE</v>
      </c>
      <c r="J830" s="169" t="s">
        <v>7207</v>
      </c>
      <c r="K830" s="169">
        <f>IFERROR(MATCH(J830,'Final List'!$B$4:$B$252,0),0)</f>
        <v>0</v>
      </c>
      <c r="L830" s="169">
        <f>IFERROR(MATCH(J830,'Final List'!$D$4:$D$252,0),0)</f>
        <v>0</v>
      </c>
      <c r="M830" s="169">
        <f>IFERROR(MATCH(J830,'Final List'!$F$4:$F$251,0),0)</f>
        <v>0</v>
      </c>
      <c r="N830" s="169">
        <f>IFERROR(MATCH(J830,'Final List'!$H$4:$H$252,0),0)</f>
        <v>0</v>
      </c>
      <c r="O830" s="169">
        <f>IFERROR(MATCH(J830,'Final List'!$J$4:$J$252,0),0)</f>
        <v>0</v>
      </c>
      <c r="P830" s="169">
        <f>IFERROR(MATCH(J830,'Final List'!$L$4:$L$252,0),0)</f>
        <v>0</v>
      </c>
      <c r="Q830" s="169">
        <f>IFERROR(MATCH(J830,'Final List'!$N$4:$N$252,0),0)</f>
        <v>0</v>
      </c>
      <c r="R830" s="169">
        <f>IFERROR(MATCH(J830,'Final List'!$P$4:$P$252,0),0)</f>
        <v>0</v>
      </c>
      <c r="S830" s="169">
        <f t="shared" si="51"/>
        <v>0</v>
      </c>
      <c r="V830" s="169" t="str">
        <f t="shared" si="49"/>
        <v>CAMAINGKING</v>
      </c>
      <c r="W830" s="169" t="s">
        <v>2706</v>
      </c>
    </row>
    <row r="831" spans="2:23" x14ac:dyDescent="0.25">
      <c r="B831" s="169" t="s">
        <v>258</v>
      </c>
      <c r="C831" s="169" t="s">
        <v>87</v>
      </c>
      <c r="D831" s="169" t="s">
        <v>6946</v>
      </c>
      <c r="E831" s="169" t="s">
        <v>37</v>
      </c>
      <c r="F831" s="245" t="str">
        <f t="shared" si="50"/>
        <v>Dhoz 71</v>
      </c>
      <c r="G831" s="169" t="s">
        <v>6851</v>
      </c>
      <c r="I831" s="169" t="str">
        <f t="shared" si="52"/>
        <v>L10_NONE_081E_XCN</v>
      </c>
      <c r="J831" s="169" t="s">
        <v>7209</v>
      </c>
      <c r="K831" s="169">
        <f>IFERROR(MATCH(J831,'Final List'!$B$4:$B$252,0),0)</f>
        <v>0</v>
      </c>
      <c r="L831" s="169">
        <f>IFERROR(MATCH(J831,'Final List'!$D$4:$D$252,0),0)</f>
        <v>0</v>
      </c>
      <c r="M831" s="169">
        <f>IFERROR(MATCH(J831,'Final List'!$F$4:$F$251,0),0)</f>
        <v>0</v>
      </c>
      <c r="N831" s="169">
        <f>IFERROR(MATCH(J831,'Final List'!$H$4:$H$252,0),0)</f>
        <v>0</v>
      </c>
      <c r="O831" s="169">
        <f>IFERROR(MATCH(J831,'Final List'!$J$4:$J$252,0),0)</f>
        <v>0</v>
      </c>
      <c r="P831" s="169">
        <f>IFERROR(MATCH(J831,'Final List'!$L$4:$L$252,0),0)</f>
        <v>0</v>
      </c>
      <c r="Q831" s="169">
        <f>IFERROR(MATCH(J831,'Final List'!$N$4:$N$252,0),0)</f>
        <v>0</v>
      </c>
      <c r="R831" s="169">
        <f>IFERROR(MATCH(J831,'Final List'!$P$4:$P$252,0),0)</f>
        <v>0</v>
      </c>
      <c r="S831" s="169">
        <f t="shared" si="51"/>
        <v>0</v>
      </c>
      <c r="V831" s="169" t="str">
        <f t="shared" si="49"/>
        <v>OLIVEROS 5</v>
      </c>
      <c r="W831" s="169" t="s">
        <v>8898</v>
      </c>
    </row>
    <row r="832" spans="2:23" x14ac:dyDescent="0.25">
      <c r="B832" s="169" t="s">
        <v>258</v>
      </c>
      <c r="C832" s="169" t="s">
        <v>45</v>
      </c>
      <c r="D832" s="169" t="s">
        <v>176</v>
      </c>
      <c r="E832" s="169" t="s">
        <v>61</v>
      </c>
      <c r="F832" s="245" t="str">
        <f t="shared" si="50"/>
        <v>Dhoz 71</v>
      </c>
      <c r="G832" s="169" t="s">
        <v>454</v>
      </c>
      <c r="I832" s="169" t="str">
        <f t="shared" si="52"/>
        <v>L10_DPVE_057E_DW</v>
      </c>
      <c r="J832" s="169" t="s">
        <v>7210</v>
      </c>
      <c r="K832" s="169">
        <f>IFERROR(MATCH(J832,'Final List'!$B$4:$B$252,0),0)</f>
        <v>0</v>
      </c>
      <c r="L832" s="169">
        <f>IFERROR(MATCH(J832,'Final List'!$D$4:$D$252,0),0)</f>
        <v>0</v>
      </c>
      <c r="M832" s="169">
        <f>IFERROR(MATCH(J832,'Final List'!$F$4:$F$251,0),0)</f>
        <v>0</v>
      </c>
      <c r="N832" s="169">
        <f>IFERROR(MATCH(J832,'Final List'!$H$4:$H$252,0),0)</f>
        <v>0</v>
      </c>
      <c r="O832" s="169">
        <f>IFERROR(MATCH(J832,'Final List'!$J$4:$J$252,0),0)</f>
        <v>0</v>
      </c>
      <c r="P832" s="169">
        <f>IFERROR(MATCH(J832,'Final List'!$L$4:$L$252,0),0)</f>
        <v>0</v>
      </c>
      <c r="Q832" s="169">
        <f>IFERROR(MATCH(J832,'Final List'!$N$4:$N$252,0),0)</f>
        <v>0</v>
      </c>
      <c r="R832" s="169">
        <f>IFERROR(MATCH(J832,'Final List'!$P$4:$P$252,0),0)</f>
        <v>0</v>
      </c>
      <c r="S832" s="169">
        <f t="shared" si="51"/>
        <v>0</v>
      </c>
      <c r="V832" s="169" t="str">
        <f t="shared" si="49"/>
        <v>BAÑEZ 8</v>
      </c>
      <c r="W832" s="169" t="s">
        <v>8896</v>
      </c>
    </row>
    <row r="833" spans="2:23" x14ac:dyDescent="0.25">
      <c r="B833" s="169" t="s">
        <v>94</v>
      </c>
      <c r="C833" s="169" t="s">
        <v>45</v>
      </c>
      <c r="D833" s="169" t="s">
        <v>5614</v>
      </c>
      <c r="E833" s="169" t="s">
        <v>61</v>
      </c>
      <c r="F833" s="245" t="str">
        <f t="shared" si="50"/>
        <v>Dhoz 71</v>
      </c>
      <c r="G833" s="169" t="s">
        <v>7213</v>
      </c>
      <c r="I833" s="169" t="str">
        <f t="shared" si="52"/>
        <v>L07_DPVE_055E_DW</v>
      </c>
      <c r="J833" s="169" t="s">
        <v>7212</v>
      </c>
      <c r="K833" s="169">
        <f>IFERROR(MATCH(J833,'Final List'!$B$4:$B$252,0),0)</f>
        <v>0</v>
      </c>
      <c r="L833" s="169">
        <f>IFERROR(MATCH(J833,'Final List'!$D$4:$D$252,0),0)</f>
        <v>0</v>
      </c>
      <c r="M833" s="169">
        <f>IFERROR(MATCH(J833,'Final List'!$F$4:$F$251,0),0)</f>
        <v>0</v>
      </c>
      <c r="N833" s="169">
        <f>IFERROR(MATCH(J833,'Final List'!$H$4:$H$252,0),0)</f>
        <v>0</v>
      </c>
      <c r="O833" s="169">
        <f>IFERROR(MATCH(J833,'Final List'!$J$4:$J$252,0),0)</f>
        <v>0</v>
      </c>
      <c r="P833" s="169">
        <f>IFERROR(MATCH(J833,'Final List'!$L$4:$L$252,0),0)</f>
        <v>0</v>
      </c>
      <c r="Q833" s="169">
        <f>IFERROR(MATCH(J833,'Final List'!$N$4:$N$252,0),0)</f>
        <v>0</v>
      </c>
      <c r="R833" s="169">
        <f>IFERROR(MATCH(J833,'Final List'!$P$4:$P$252,0),0)</f>
        <v>0</v>
      </c>
      <c r="S833" s="169">
        <f t="shared" si="51"/>
        <v>0</v>
      </c>
      <c r="V833" s="169" t="str">
        <f t="shared" si="49"/>
        <v xml:space="preserve">CARIKITAN </v>
      </c>
      <c r="W833" s="169" t="s">
        <v>8895</v>
      </c>
    </row>
    <row r="834" spans="2:23" x14ac:dyDescent="0.25">
      <c r="B834" s="169" t="s">
        <v>96</v>
      </c>
      <c r="C834" s="169" t="s">
        <v>46</v>
      </c>
      <c r="D834" s="169" t="s">
        <v>5850</v>
      </c>
      <c r="E834" s="169" t="s">
        <v>19</v>
      </c>
      <c r="F834" s="245" t="str">
        <f t="shared" si="50"/>
        <v>DVR 72</v>
      </c>
      <c r="G834" s="169" t="s">
        <v>461</v>
      </c>
      <c r="I834" s="169" t="str">
        <f t="shared" si="52"/>
        <v>L09_DPVE2_016E_RAISE</v>
      </c>
      <c r="J834" s="169" t="s">
        <v>7215</v>
      </c>
      <c r="K834" s="169">
        <f>IFERROR(MATCH(J834,'Final List'!$B$4:$B$252,0),0)</f>
        <v>0</v>
      </c>
      <c r="L834" s="169">
        <f>IFERROR(MATCH(J834,'Final List'!$D$4:$D$252,0),0)</f>
        <v>0</v>
      </c>
      <c r="M834" s="169">
        <f>IFERROR(MATCH(J834,'Final List'!$F$4:$F$251,0),0)</f>
        <v>0</v>
      </c>
      <c r="N834" s="169">
        <f>IFERROR(MATCH(J834,'Final List'!$H$4:$H$252,0),0)</f>
        <v>0</v>
      </c>
      <c r="O834" s="169">
        <f>IFERROR(MATCH(J834,'Final List'!$J$4:$J$252,0),0)</f>
        <v>0</v>
      </c>
      <c r="P834" s="169">
        <f>IFERROR(MATCH(J834,'Final List'!$L$4:$L$252,0),0)</f>
        <v>0</v>
      </c>
      <c r="Q834" s="169">
        <f>IFERROR(MATCH(J834,'Final List'!$N$4:$N$252,0),0)</f>
        <v>0</v>
      </c>
      <c r="R834" s="169">
        <f>IFERROR(MATCH(J834,'Final List'!$P$4:$P$252,0),0)</f>
        <v>0</v>
      </c>
      <c r="S834" s="169">
        <f t="shared" si="51"/>
        <v>0</v>
      </c>
      <c r="V834" s="169" t="str">
        <f t="shared" ref="V834:V897" si="53">IF(H834="",G834,H834)</f>
        <v>PANSIT 4</v>
      </c>
      <c r="W834" s="169" t="s">
        <v>2715</v>
      </c>
    </row>
    <row r="835" spans="2:23" x14ac:dyDescent="0.25">
      <c r="B835" s="169" t="s">
        <v>258</v>
      </c>
      <c r="C835" s="169" t="s">
        <v>38</v>
      </c>
      <c r="D835" s="169" t="s">
        <v>103</v>
      </c>
      <c r="E835" s="169" t="s">
        <v>60</v>
      </c>
      <c r="F835" s="245" t="str">
        <f t="shared" ref="F835:F898" si="54">IF(OR(E835="XCN",E835="DE",E835="DW",E835="DN",E835="XCS",E835="XCE",E835="XCW",E835="SUMP",E835="BYPASS",E835="CHAMBER",E835="DRAIN HOLE",E835="DRILLING CHAMBER",E835="DE_ISL",E835="DW_ISL",E835="REHAB"),"Dhoz 71",IF(OR(E835="RAISE",E835="RAISE_ISL"),"DVR 72",IF(E835="ALIMAK","DVA 73",IF(E835="WINZE","DVW 74",IF(E835="SHAFT","DVS 75",IF(AND(E835="WINZE STOPE",T835="S"),"RobC 80",IF(AND(E835="STOPE",T835="S"),"StpS 77",IF(AND(E835="WINZE STOPE",T835="L"),"RobC 80",IF(AND(E835="STOPE",T835="L"),"StpL 78",IF(AND(E835="WINZE STOPE PREP",T835="S"),"RobC 80",IF(AND(E835="STOPE PREP",T835="S"),"StpS 77",IF(AND(E835="WINZE STOPE PREP",T835="L"),"RobC 80",IF(AND(E835="STOPE PREP",T835="L"),"StpL 78",IF(AND(E835="ROBBING",T835="L"),"RobC 80",IF(AND(E835="ROBBING",T835="S"),"RobS 79",0)))))))))))))))</f>
        <v>Dhoz 71</v>
      </c>
      <c r="G835" s="169" t="s">
        <v>5697</v>
      </c>
      <c r="I835" s="169" t="str">
        <f t="shared" si="52"/>
        <v>L10_GHV_005E_DE</v>
      </c>
      <c r="J835" s="169" t="s">
        <v>7216</v>
      </c>
      <c r="K835" s="169">
        <f>IFERROR(MATCH(J835,'Final List'!$B$4:$B$252,0),0)</f>
        <v>0</v>
      </c>
      <c r="L835" s="169">
        <f>IFERROR(MATCH(J835,'Final List'!$D$4:$D$252,0),0)</f>
        <v>0</v>
      </c>
      <c r="M835" s="169">
        <f>IFERROR(MATCH(J835,'Final List'!$F$4:$F$251,0),0)</f>
        <v>0</v>
      </c>
      <c r="N835" s="169">
        <f>IFERROR(MATCH(J835,'Final List'!$H$4:$H$252,0),0)</f>
        <v>0</v>
      </c>
      <c r="O835" s="169">
        <f>IFERROR(MATCH(J835,'Final List'!$J$4:$J$252,0),0)</f>
        <v>0</v>
      </c>
      <c r="P835" s="169">
        <f>IFERROR(MATCH(J835,'Final List'!$L$4:$L$252,0),0)</f>
        <v>0</v>
      </c>
      <c r="Q835" s="169">
        <f>IFERROR(MATCH(J835,'Final List'!$N$4:$N$252,0),0)</f>
        <v>0</v>
      </c>
      <c r="R835" s="169">
        <f>IFERROR(MATCH(J835,'Final List'!$P$4:$P$252,0),0)</f>
        <v>0</v>
      </c>
      <c r="S835" s="169">
        <f t="shared" ref="S835:S898" si="55">SUM(K835:R835)</f>
        <v>0</v>
      </c>
      <c r="V835" s="169" t="str">
        <f t="shared" si="53"/>
        <v>OLIVEROS 1</v>
      </c>
      <c r="W835" s="169" t="s">
        <v>8896</v>
      </c>
    </row>
    <row r="836" spans="2:23" x14ac:dyDescent="0.25">
      <c r="B836" s="169" t="s">
        <v>96</v>
      </c>
      <c r="C836" s="169" t="s">
        <v>87</v>
      </c>
      <c r="D836" s="169" t="s">
        <v>7223</v>
      </c>
      <c r="E836" s="169" t="s">
        <v>63</v>
      </c>
      <c r="F836" s="245" t="str">
        <f t="shared" si="54"/>
        <v>Dhoz 71</v>
      </c>
      <c r="G836" s="169" t="s">
        <v>5774</v>
      </c>
      <c r="I836" s="169" t="str">
        <f t="shared" si="52"/>
        <v>L09_NONE_002E_XCS</v>
      </c>
      <c r="J836" s="169" t="s">
        <v>7222</v>
      </c>
      <c r="K836" s="169">
        <f>IFERROR(MATCH(J836,'Final List'!$B$4:$B$252,0),0)</f>
        <v>0</v>
      </c>
      <c r="L836" s="169">
        <f>IFERROR(MATCH(J836,'Final List'!$D$4:$D$252,0),0)</f>
        <v>0</v>
      </c>
      <c r="M836" s="169">
        <f>IFERROR(MATCH(J836,'Final List'!$F$4:$F$251,0),0)</f>
        <v>0</v>
      </c>
      <c r="N836" s="169">
        <f>IFERROR(MATCH(J836,'Final List'!$H$4:$H$252,0),0)</f>
        <v>0</v>
      </c>
      <c r="O836" s="169">
        <f>IFERROR(MATCH(J836,'Final List'!$J$4:$J$252,0),0)</f>
        <v>0</v>
      </c>
      <c r="P836" s="169">
        <f>IFERROR(MATCH(J836,'Final List'!$L$4:$L$252,0),0)</f>
        <v>0</v>
      </c>
      <c r="Q836" s="169">
        <f>IFERROR(MATCH(J836,'Final List'!$N$4:$N$252,0),0)</f>
        <v>0</v>
      </c>
      <c r="R836" s="169">
        <f>IFERROR(MATCH(J836,'Final List'!$P$4:$P$252,0),0)</f>
        <v>0</v>
      </c>
      <c r="S836" s="169">
        <f t="shared" si="55"/>
        <v>0</v>
      </c>
      <c r="V836" s="169" t="str">
        <f t="shared" si="53"/>
        <v>BANTAYAN 1</v>
      </c>
      <c r="W836" s="169" t="s">
        <v>8898</v>
      </c>
    </row>
    <row r="837" spans="2:23" x14ac:dyDescent="0.25">
      <c r="B837" s="169" t="s">
        <v>94</v>
      </c>
      <c r="C837" s="169" t="s">
        <v>38</v>
      </c>
      <c r="D837" s="169" t="s">
        <v>6714</v>
      </c>
      <c r="E837" s="169" t="s">
        <v>20</v>
      </c>
      <c r="F837" s="245" t="str">
        <f t="shared" si="54"/>
        <v>DVW 74</v>
      </c>
      <c r="G837" s="169" t="s">
        <v>7225</v>
      </c>
      <c r="I837" s="169" t="str">
        <f t="shared" si="52"/>
        <v>L07_GHV_037W_WINZE</v>
      </c>
      <c r="J837" s="169" t="s">
        <v>7224</v>
      </c>
      <c r="K837" s="169">
        <f>IFERROR(MATCH(J837,'Final List'!$B$4:$B$252,0),0)</f>
        <v>0</v>
      </c>
      <c r="L837" s="169">
        <f>IFERROR(MATCH(J837,'Final List'!$D$4:$D$252,0),0)</f>
        <v>0</v>
      </c>
      <c r="M837" s="169">
        <f>IFERROR(MATCH(J837,'Final List'!$F$4:$F$251,0),0)</f>
        <v>0</v>
      </c>
      <c r="N837" s="169">
        <f>IFERROR(MATCH(J837,'Final List'!$H$4:$H$252,0),0)</f>
        <v>0</v>
      </c>
      <c r="O837" s="169">
        <f>IFERROR(MATCH(J837,'Final List'!$J$4:$J$252,0),0)</f>
        <v>0</v>
      </c>
      <c r="P837" s="169">
        <f>IFERROR(MATCH(J837,'Final List'!$L$4:$L$252,0),0)</f>
        <v>0</v>
      </c>
      <c r="Q837" s="169">
        <f>IFERROR(MATCH(J837,'Final List'!$N$4:$N$252,0),0)</f>
        <v>0</v>
      </c>
      <c r="R837" s="169">
        <f>IFERROR(MATCH(J837,'Final List'!$P$4:$P$252,0),0)</f>
        <v>0</v>
      </c>
      <c r="S837" s="169">
        <f t="shared" si="55"/>
        <v>0</v>
      </c>
      <c r="V837" s="169" t="str">
        <f t="shared" si="53"/>
        <v>BORRERO</v>
      </c>
      <c r="W837" s="169" t="s">
        <v>2706</v>
      </c>
    </row>
    <row r="838" spans="2:23" x14ac:dyDescent="0.25">
      <c r="B838" s="169" t="s">
        <v>94</v>
      </c>
      <c r="C838" s="169" t="s">
        <v>45</v>
      </c>
      <c r="D838" s="169" t="s">
        <v>112</v>
      </c>
      <c r="E838" s="169" t="s">
        <v>60</v>
      </c>
      <c r="F838" s="245" t="str">
        <f t="shared" si="54"/>
        <v>Dhoz 71</v>
      </c>
      <c r="G838" s="169" t="s">
        <v>6406</v>
      </c>
      <c r="I838" s="169" t="str">
        <f t="shared" si="52"/>
        <v>L07_DPVE_018E_DE</v>
      </c>
      <c r="J838" s="169" t="s">
        <v>7226</v>
      </c>
      <c r="K838" s="169">
        <f>IFERROR(MATCH(J838,'Final List'!$B$4:$B$252,0),0)</f>
        <v>0</v>
      </c>
      <c r="L838" s="169">
        <f>IFERROR(MATCH(J838,'Final List'!$D$4:$D$252,0),0)</f>
        <v>0</v>
      </c>
      <c r="M838" s="169">
        <f>IFERROR(MATCH(J838,'Final List'!$F$4:$F$251,0),0)</f>
        <v>0</v>
      </c>
      <c r="N838" s="169">
        <f>IFERROR(MATCH(J838,'Final List'!$H$4:$H$252,0),0)</f>
        <v>0</v>
      </c>
      <c r="O838" s="169">
        <f>IFERROR(MATCH(J838,'Final List'!$J$4:$J$252,0),0)</f>
        <v>0</v>
      </c>
      <c r="P838" s="169">
        <f>IFERROR(MATCH(J838,'Final List'!$L$4:$L$252,0),0)</f>
        <v>0</v>
      </c>
      <c r="Q838" s="169">
        <f>IFERROR(MATCH(J838,'Final List'!$N$4:$N$252,0),0)</f>
        <v>0</v>
      </c>
      <c r="R838" s="169">
        <f>IFERROR(MATCH(J838,'Final List'!$P$4:$P$252,0),0)</f>
        <v>0</v>
      </c>
      <c r="S838" s="169">
        <f t="shared" si="55"/>
        <v>0</v>
      </c>
      <c r="V838" s="169" t="str">
        <f t="shared" si="53"/>
        <v>TURRA</v>
      </c>
      <c r="W838" s="169" t="s">
        <v>8895</v>
      </c>
    </row>
    <row r="839" spans="2:23" x14ac:dyDescent="0.25">
      <c r="B839" s="169" t="s">
        <v>91</v>
      </c>
      <c r="C839" s="169" t="s">
        <v>41</v>
      </c>
      <c r="D839" s="169" t="s">
        <v>145</v>
      </c>
      <c r="E839" s="169" t="s">
        <v>19</v>
      </c>
      <c r="F839" s="245" t="str">
        <f t="shared" si="54"/>
        <v>DVR 72</v>
      </c>
      <c r="G839" s="169" t="s">
        <v>5714</v>
      </c>
      <c r="I839" s="169" t="str">
        <f t="shared" si="52"/>
        <v>L04_CTV_009E_RAISE</v>
      </c>
      <c r="J839" s="169" t="s">
        <v>7228</v>
      </c>
      <c r="K839" s="169">
        <f>IFERROR(MATCH(J839,'Final List'!$B$4:$B$252,0),0)</f>
        <v>0</v>
      </c>
      <c r="L839" s="169">
        <f>IFERROR(MATCH(J839,'Final List'!$D$4:$D$252,0),0)</f>
        <v>0</v>
      </c>
      <c r="M839" s="169">
        <f>IFERROR(MATCH(J839,'Final List'!$F$4:$F$251,0),0)</f>
        <v>0</v>
      </c>
      <c r="N839" s="169">
        <f>IFERROR(MATCH(J839,'Final List'!$H$4:$H$252,0),0)</f>
        <v>0</v>
      </c>
      <c r="O839" s="169">
        <f>IFERROR(MATCH(J839,'Final List'!$J$4:$J$252,0),0)</f>
        <v>0</v>
      </c>
      <c r="P839" s="169">
        <f>IFERROR(MATCH(J839,'Final List'!$L$4:$L$252,0),0)</f>
        <v>0</v>
      </c>
      <c r="Q839" s="169">
        <f>IFERROR(MATCH(J839,'Final List'!$N$4:$N$252,0),0)</f>
        <v>0</v>
      </c>
      <c r="R839" s="169">
        <f>IFERROR(MATCH(J839,'Final List'!$P$4:$P$252,0),0)</f>
        <v>0</v>
      </c>
      <c r="S839" s="169">
        <f t="shared" si="55"/>
        <v>0</v>
      </c>
      <c r="V839" s="169" t="str">
        <f t="shared" si="53"/>
        <v>MARTINEZ, RON 2</v>
      </c>
      <c r="W839" s="169" t="s">
        <v>2715</v>
      </c>
    </row>
    <row r="840" spans="2:23" x14ac:dyDescent="0.25">
      <c r="B840" s="169" t="s">
        <v>91</v>
      </c>
      <c r="C840" s="169" t="s">
        <v>44</v>
      </c>
      <c r="D840" s="169" t="s">
        <v>6833</v>
      </c>
      <c r="E840" s="169" t="s">
        <v>60</v>
      </c>
      <c r="F840" s="245" t="str">
        <f t="shared" si="54"/>
        <v>Dhoz 71</v>
      </c>
      <c r="G840" s="169" t="s">
        <v>7076</v>
      </c>
      <c r="I840" s="169" t="str">
        <f t="shared" si="52"/>
        <v>L04_CV_017W_DE</v>
      </c>
      <c r="J840" s="169" t="s">
        <v>7236</v>
      </c>
      <c r="K840" s="169">
        <f>IFERROR(MATCH(J840,'Final List'!$B$4:$B$252,0),0)</f>
        <v>0</v>
      </c>
      <c r="L840" s="169">
        <f>IFERROR(MATCH(J840,'Final List'!$D$4:$D$252,0),0)</f>
        <v>0</v>
      </c>
      <c r="M840" s="169">
        <f>IFERROR(MATCH(J840,'Final List'!$F$4:$F$251,0),0)</f>
        <v>0</v>
      </c>
      <c r="N840" s="169">
        <f>IFERROR(MATCH(J840,'Final List'!$H$4:$H$252,0),0)</f>
        <v>0</v>
      </c>
      <c r="O840" s="169">
        <f>IFERROR(MATCH(J840,'Final List'!$J$4:$J$252,0),0)</f>
        <v>0</v>
      </c>
      <c r="P840" s="169">
        <f>IFERROR(MATCH(J840,'Final List'!$L$4:$L$252,0),0)</f>
        <v>0</v>
      </c>
      <c r="Q840" s="169">
        <f>IFERROR(MATCH(J840,'Final List'!$N$4:$N$252,0),0)</f>
        <v>0</v>
      </c>
      <c r="R840" s="169">
        <f>IFERROR(MATCH(J840,'Final List'!$P$4:$P$252,0),0)</f>
        <v>0</v>
      </c>
      <c r="S840" s="169">
        <f t="shared" si="55"/>
        <v>0</v>
      </c>
      <c r="V840" s="169" t="str">
        <f t="shared" si="53"/>
        <v>SHEPHERD AR</v>
      </c>
      <c r="W840" s="169" t="s">
        <v>8895</v>
      </c>
    </row>
    <row r="841" spans="2:23" x14ac:dyDescent="0.25">
      <c r="B841" s="169" t="s">
        <v>1167</v>
      </c>
      <c r="C841" s="169" t="s">
        <v>59</v>
      </c>
      <c r="D841" s="169" t="s">
        <v>174</v>
      </c>
      <c r="E841" s="169" t="s">
        <v>60</v>
      </c>
      <c r="F841" s="245" t="str">
        <f t="shared" si="54"/>
        <v>Dhoz 71</v>
      </c>
      <c r="G841" s="169" t="s">
        <v>7229</v>
      </c>
      <c r="H841" s="169" t="s">
        <v>12144</v>
      </c>
      <c r="I841" s="169" t="str">
        <f t="shared" si="52"/>
        <v>L12_GHVHW_052E_DE</v>
      </c>
      <c r="J841" s="169" t="s">
        <v>7420</v>
      </c>
      <c r="K841" s="169">
        <f>IFERROR(MATCH(J841,'Final List'!$B$4:$B$252,0),0)</f>
        <v>0</v>
      </c>
      <c r="L841" s="169">
        <f>IFERROR(MATCH(J841,'Final List'!$D$4:$D$252,0),0)</f>
        <v>0</v>
      </c>
      <c r="M841" s="169">
        <f>IFERROR(MATCH(J841,'Final List'!$F$4:$F$251,0),0)</f>
        <v>0</v>
      </c>
      <c r="N841" s="169">
        <f>IFERROR(MATCH(J841,'Final List'!$H$4:$H$252,0),0)</f>
        <v>0</v>
      </c>
      <c r="O841" s="169">
        <f>IFERROR(MATCH(J841,'Final List'!$J$4:$J$252,0),0)</f>
        <v>0</v>
      </c>
      <c r="P841" s="169">
        <f>IFERROR(MATCH(J841,'Final List'!$L$4:$L$252,0),0)</f>
        <v>0</v>
      </c>
      <c r="Q841" s="169">
        <f>IFERROR(MATCH(J841,'Final List'!$N$4:$N$252,0),0)</f>
        <v>0</v>
      </c>
      <c r="R841" s="169">
        <f>IFERROR(MATCH(J841,'Final List'!$P$4:$P$252,0),0)</f>
        <v>0</v>
      </c>
      <c r="S841" s="169">
        <f t="shared" si="55"/>
        <v>0</v>
      </c>
      <c r="V841" s="169" t="str">
        <f t="shared" si="53"/>
        <v>NITRO BC</v>
      </c>
      <c r="W841" s="169" t="s">
        <v>8896</v>
      </c>
    </row>
    <row r="842" spans="2:23" x14ac:dyDescent="0.25">
      <c r="B842" s="169" t="s">
        <v>93</v>
      </c>
      <c r="C842" s="169" t="s">
        <v>55</v>
      </c>
      <c r="D842" s="169" t="s">
        <v>195</v>
      </c>
      <c r="E842" s="169" t="s">
        <v>60</v>
      </c>
      <c r="F842" s="245" t="str">
        <f t="shared" si="54"/>
        <v>Dhoz 71</v>
      </c>
      <c r="G842" s="169" t="s">
        <v>747</v>
      </c>
      <c r="I842" s="169" t="str">
        <f t="shared" si="52"/>
        <v>L06_JVFW_008W_DE</v>
      </c>
      <c r="J842" s="169" t="s">
        <v>7231</v>
      </c>
      <c r="K842" s="169">
        <f>IFERROR(MATCH(J842,'Final List'!$B$4:$B$252,0),0)</f>
        <v>0</v>
      </c>
      <c r="L842" s="169">
        <f>IFERROR(MATCH(J842,'Final List'!$D$4:$D$252,0),0)</f>
        <v>0</v>
      </c>
      <c r="M842" s="169">
        <f>IFERROR(MATCH(J842,'Final List'!$F$4:$F$251,0),0)</f>
        <v>0</v>
      </c>
      <c r="N842" s="169">
        <f>IFERROR(MATCH(J842,'Final List'!$H$4:$H$252,0),0)</f>
        <v>0</v>
      </c>
      <c r="O842" s="169">
        <f>IFERROR(MATCH(J842,'Final List'!$J$4:$J$252,0),0)</f>
        <v>0</v>
      </c>
      <c r="P842" s="169">
        <f>IFERROR(MATCH(J842,'Final List'!$L$4:$L$252,0),0)</f>
        <v>0</v>
      </c>
      <c r="Q842" s="169">
        <f>IFERROR(MATCH(J842,'Final List'!$N$4:$N$252,0),0)</f>
        <v>0</v>
      </c>
      <c r="R842" s="169">
        <f>IFERROR(MATCH(J842,'Final List'!$P$4:$P$252,0),0)</f>
        <v>0</v>
      </c>
      <c r="S842" s="169">
        <f t="shared" si="55"/>
        <v>0</v>
      </c>
      <c r="V842" s="169" t="str">
        <f t="shared" si="53"/>
        <v>REBOTE</v>
      </c>
      <c r="W842" s="169" t="s">
        <v>8895</v>
      </c>
    </row>
    <row r="843" spans="2:23" x14ac:dyDescent="0.25">
      <c r="B843" s="169" t="s">
        <v>96</v>
      </c>
      <c r="C843" s="169" t="s">
        <v>56</v>
      </c>
      <c r="D843" s="169" t="s">
        <v>142</v>
      </c>
      <c r="E843" s="169" t="s">
        <v>211</v>
      </c>
      <c r="F843" s="245" t="str">
        <f t="shared" si="54"/>
        <v>StpS 77</v>
      </c>
      <c r="G843" s="169" t="s">
        <v>5773</v>
      </c>
      <c r="I843" s="169" t="str">
        <f t="shared" si="52"/>
        <v>L09_GHVFW_038E_STOPE PREP</v>
      </c>
      <c r="J843" s="169" t="s">
        <v>7234</v>
      </c>
      <c r="K843" s="169">
        <f>IFERROR(MATCH(J843,'Final List'!$B$4:$B$252,0),0)</f>
        <v>0</v>
      </c>
      <c r="L843" s="169">
        <f>IFERROR(MATCH(J843,'Final List'!$D$4:$D$252,0),0)</f>
        <v>0</v>
      </c>
      <c r="M843" s="169">
        <f>IFERROR(MATCH(J843,'Final List'!$F$4:$F$251,0),0)</f>
        <v>0</v>
      </c>
      <c r="N843" s="169">
        <f>IFERROR(MATCH(J843,'Final List'!$H$4:$H$252,0),0)</f>
        <v>0</v>
      </c>
      <c r="O843" s="169">
        <f>IFERROR(MATCH(J843,'Final List'!$J$4:$J$252,0),0)</f>
        <v>0</v>
      </c>
      <c r="P843" s="169">
        <f>IFERROR(MATCH(J843,'Final List'!$L$4:$L$252,0),0)</f>
        <v>0</v>
      </c>
      <c r="Q843" s="169">
        <f>IFERROR(MATCH(J843,'Final List'!$N$4:$N$252,0),0)</f>
        <v>0</v>
      </c>
      <c r="R843" s="169">
        <f>IFERROR(MATCH(J843,'Final List'!$P$4:$P$252,0),0)</f>
        <v>0</v>
      </c>
      <c r="S843" s="169">
        <f t="shared" si="55"/>
        <v>0</v>
      </c>
      <c r="T843" s="169" t="s">
        <v>68</v>
      </c>
      <c r="V843" s="169" t="str">
        <f t="shared" si="53"/>
        <v>PARAN 3</v>
      </c>
      <c r="W843" s="169" t="s">
        <v>2712</v>
      </c>
    </row>
    <row r="844" spans="2:23" x14ac:dyDescent="0.25">
      <c r="B844" s="169" t="s">
        <v>91</v>
      </c>
      <c r="C844" s="169" t="s">
        <v>57</v>
      </c>
      <c r="D844" s="169" t="s">
        <v>5975</v>
      </c>
      <c r="E844" s="169" t="s">
        <v>20</v>
      </c>
      <c r="F844" s="245" t="str">
        <f t="shared" si="54"/>
        <v>DVW 74</v>
      </c>
      <c r="G844" s="169" t="s">
        <v>311</v>
      </c>
      <c r="I844" s="169" t="str">
        <f t="shared" si="52"/>
        <v>L04_JVSPLIT_028E_WINZE</v>
      </c>
      <c r="J844" s="169" t="s">
        <v>7232</v>
      </c>
      <c r="K844" s="169">
        <f>IFERROR(MATCH(J844,'Final List'!$B$4:$B$252,0),0)</f>
        <v>0</v>
      </c>
      <c r="L844" s="169">
        <f>IFERROR(MATCH(J844,'Final List'!$D$4:$D$252,0),0)</f>
        <v>0</v>
      </c>
      <c r="M844" s="169">
        <f>IFERROR(MATCH(J844,'Final List'!$F$4:$F$251,0),0)</f>
        <v>0</v>
      </c>
      <c r="N844" s="169">
        <f>IFERROR(MATCH(J844,'Final List'!$H$4:$H$252,0),0)</f>
        <v>0</v>
      </c>
      <c r="O844" s="169">
        <f>IFERROR(MATCH(J844,'Final List'!$J$4:$J$252,0),0)</f>
        <v>0</v>
      </c>
      <c r="P844" s="169">
        <f>IFERROR(MATCH(J844,'Final List'!$L$4:$L$252,0),0)</f>
        <v>0</v>
      </c>
      <c r="Q844" s="169">
        <f>IFERROR(MATCH(J844,'Final List'!$N$4:$N$252,0),0)</f>
        <v>0</v>
      </c>
      <c r="R844" s="169">
        <f>IFERROR(MATCH(J844,'Final List'!$P$4:$P$252,0),0)</f>
        <v>0</v>
      </c>
      <c r="S844" s="169">
        <f t="shared" si="55"/>
        <v>0</v>
      </c>
      <c r="V844" s="169" t="str">
        <f t="shared" si="53"/>
        <v>MARTINEZ DN 2</v>
      </c>
      <c r="W844" s="169" t="s">
        <v>2706</v>
      </c>
    </row>
    <row r="845" spans="2:23" x14ac:dyDescent="0.25">
      <c r="B845" s="169" t="s">
        <v>96</v>
      </c>
      <c r="C845" s="169" t="s">
        <v>42</v>
      </c>
      <c r="D845" s="169" t="s">
        <v>161</v>
      </c>
      <c r="E845" s="169" t="s">
        <v>19</v>
      </c>
      <c r="F845" s="245" t="str">
        <f t="shared" si="54"/>
        <v>DVR 72</v>
      </c>
      <c r="G845" s="169" t="s">
        <v>6621</v>
      </c>
      <c r="H845" s="169" t="s">
        <v>8203</v>
      </c>
      <c r="I845" s="169" t="str">
        <f t="shared" si="52"/>
        <v>L09_JV_044E_RAISE</v>
      </c>
      <c r="J845" s="169" t="s">
        <v>10399</v>
      </c>
      <c r="K845" s="169">
        <f>IFERROR(MATCH(J845,'Final List'!$B$4:$B$252,0),0)</f>
        <v>0</v>
      </c>
      <c r="L845" s="169">
        <f>IFERROR(MATCH(J845,'Final List'!$D$4:$D$252,0),0)</f>
        <v>0</v>
      </c>
      <c r="M845" s="169">
        <f>IFERROR(MATCH(J845,'Final List'!$F$4:$F$251,0),0)</f>
        <v>0</v>
      </c>
      <c r="N845" s="169">
        <f>IFERROR(MATCH(J845,'Final List'!$H$4:$H$252,0),0)</f>
        <v>0</v>
      </c>
      <c r="O845" s="169">
        <f>IFERROR(MATCH(J845,'Final List'!$J$4:$J$252,0),0)</f>
        <v>0</v>
      </c>
      <c r="P845" s="169">
        <f>IFERROR(MATCH(J845,'Final List'!$L$4:$L$252,0),0)</f>
        <v>0</v>
      </c>
      <c r="Q845" s="169">
        <f>IFERROR(MATCH(J845,'Final List'!$N$4:$N$252,0),0)</f>
        <v>0</v>
      </c>
      <c r="R845" s="169">
        <f>IFERROR(MATCH(J845,'Final List'!$P$4:$P$252,0),0)</f>
        <v>0</v>
      </c>
      <c r="S845" s="169">
        <f t="shared" si="55"/>
        <v>0</v>
      </c>
      <c r="V845" s="169" t="str">
        <f t="shared" si="53"/>
        <v>PANSIT, NORMAN 3</v>
      </c>
      <c r="W845" s="169" t="s">
        <v>2715</v>
      </c>
    </row>
    <row r="846" spans="2:23" x14ac:dyDescent="0.25">
      <c r="B846" s="169" t="s">
        <v>258</v>
      </c>
      <c r="C846" s="169" t="s">
        <v>45</v>
      </c>
      <c r="D846" s="169" t="s">
        <v>5601</v>
      </c>
      <c r="E846" s="169" t="s">
        <v>211</v>
      </c>
      <c r="F846" s="245" t="str">
        <f t="shared" si="54"/>
        <v>StpS 77</v>
      </c>
      <c r="G846" s="169" t="s">
        <v>5703</v>
      </c>
      <c r="I846" s="169" t="str">
        <f t="shared" si="52"/>
        <v>L10_DPVE_026E_STOPE PREP</v>
      </c>
      <c r="J846" s="169" t="s">
        <v>7239</v>
      </c>
      <c r="K846" s="169">
        <f>IFERROR(MATCH(J846,'Final List'!$B$4:$B$252,0),0)</f>
        <v>0</v>
      </c>
      <c r="L846" s="169">
        <f>IFERROR(MATCH(J846,'Final List'!$D$4:$D$252,0),0)</f>
        <v>0</v>
      </c>
      <c r="M846" s="169">
        <f>IFERROR(MATCH(J846,'Final List'!$F$4:$F$251,0),0)</f>
        <v>0</v>
      </c>
      <c r="N846" s="169">
        <f>IFERROR(MATCH(J846,'Final List'!$H$4:$H$252,0),0)</f>
        <v>0</v>
      </c>
      <c r="O846" s="169">
        <f>IFERROR(MATCH(J846,'Final List'!$J$4:$J$252,0),0)</f>
        <v>0</v>
      </c>
      <c r="P846" s="169">
        <f>IFERROR(MATCH(J846,'Final List'!$L$4:$L$252,0),0)</f>
        <v>0</v>
      </c>
      <c r="Q846" s="169">
        <f>IFERROR(MATCH(J846,'Final List'!$N$4:$N$252,0),0)</f>
        <v>0</v>
      </c>
      <c r="R846" s="169">
        <f>IFERROR(MATCH(J846,'Final List'!$P$4:$P$252,0),0)</f>
        <v>0</v>
      </c>
      <c r="S846" s="169">
        <f t="shared" si="55"/>
        <v>0</v>
      </c>
      <c r="T846" s="169" t="s">
        <v>68</v>
      </c>
      <c r="V846" s="169" t="str">
        <f t="shared" si="53"/>
        <v>OLIVEROS 2</v>
      </c>
      <c r="W846" s="169" t="s">
        <v>2712</v>
      </c>
    </row>
    <row r="847" spans="2:23" x14ac:dyDescent="0.25">
      <c r="B847" s="169" t="s">
        <v>95</v>
      </c>
      <c r="C847" s="169" t="s">
        <v>45</v>
      </c>
      <c r="D847" s="169" t="s">
        <v>174</v>
      </c>
      <c r="E847" s="169" t="s">
        <v>61</v>
      </c>
      <c r="F847" s="245" t="str">
        <f t="shared" si="54"/>
        <v>Dhoz 71</v>
      </c>
      <c r="G847" s="169" t="s">
        <v>4009</v>
      </c>
      <c r="I847" s="169" t="str">
        <f t="shared" si="52"/>
        <v>L08_DPVE_052E_DW</v>
      </c>
      <c r="J847" s="169" t="s">
        <v>7240</v>
      </c>
      <c r="K847" s="169">
        <f>IFERROR(MATCH(J847,'Final List'!$B$4:$B$252,0),0)</f>
        <v>0</v>
      </c>
      <c r="L847" s="169">
        <f>IFERROR(MATCH(J847,'Final List'!$D$4:$D$252,0),0)</f>
        <v>0</v>
      </c>
      <c r="M847" s="169">
        <f>IFERROR(MATCH(J847,'Final List'!$F$4:$F$251,0),0)</f>
        <v>0</v>
      </c>
      <c r="N847" s="169">
        <f>IFERROR(MATCH(J847,'Final List'!$H$4:$H$252,0),0)</f>
        <v>0</v>
      </c>
      <c r="O847" s="169">
        <f>IFERROR(MATCH(J847,'Final List'!$J$4:$J$252,0),0)</f>
        <v>0</v>
      </c>
      <c r="P847" s="169">
        <f>IFERROR(MATCH(J847,'Final List'!$L$4:$L$252,0),0)</f>
        <v>0</v>
      </c>
      <c r="Q847" s="169">
        <f>IFERROR(MATCH(J847,'Final List'!$N$4:$N$252,0),0)</f>
        <v>0</v>
      </c>
      <c r="R847" s="169">
        <f>IFERROR(MATCH(J847,'Final List'!$P$4:$P$252,0),0)</f>
        <v>0</v>
      </c>
      <c r="S847" s="169">
        <f t="shared" si="55"/>
        <v>0</v>
      </c>
      <c r="V847" s="169" t="str">
        <f t="shared" si="53"/>
        <v>SHEPHERD AF</v>
      </c>
      <c r="W847" s="169" t="s">
        <v>8895</v>
      </c>
    </row>
    <row r="848" spans="2:23" x14ac:dyDescent="0.25">
      <c r="B848" s="169" t="s">
        <v>1166</v>
      </c>
      <c r="C848" s="169" t="s">
        <v>43</v>
      </c>
      <c r="D848" s="169" t="s">
        <v>289</v>
      </c>
      <c r="E848" s="169" t="s">
        <v>60</v>
      </c>
      <c r="F848" s="245" t="str">
        <f t="shared" si="54"/>
        <v>Dhoz 71</v>
      </c>
      <c r="G848" s="169" t="s">
        <v>6928</v>
      </c>
      <c r="H848" s="169" t="s">
        <v>577</v>
      </c>
      <c r="I848" s="169" t="str">
        <f t="shared" si="52"/>
        <v>L11_GHVSPLIT_059E_DE</v>
      </c>
      <c r="J848" s="169" t="s">
        <v>7677</v>
      </c>
      <c r="K848" s="169">
        <f>IFERROR(MATCH(J848,'Final List'!$B$4:$B$252,0),0)</f>
        <v>0</v>
      </c>
      <c r="L848" s="169">
        <f>IFERROR(MATCH(J848,'Final List'!$D$4:$D$252,0),0)</f>
        <v>0</v>
      </c>
      <c r="M848" s="169">
        <f>IFERROR(MATCH(J848,'Final List'!$F$4:$F$251,0),0)</f>
        <v>0</v>
      </c>
      <c r="N848" s="169">
        <f>IFERROR(MATCH(J848,'Final List'!$H$4:$H$252,0),0)</f>
        <v>0</v>
      </c>
      <c r="O848" s="169">
        <f>IFERROR(MATCH(J848,'Final List'!$J$4:$J$252,0),0)</f>
        <v>0</v>
      </c>
      <c r="P848" s="169">
        <f>IFERROR(MATCH(J848,'Final List'!$L$4:$L$252,0),0)</f>
        <v>0</v>
      </c>
      <c r="Q848" s="169">
        <f>IFERROR(MATCH(J848,'Final List'!$N$4:$N$252,0),0)</f>
        <v>0</v>
      </c>
      <c r="R848" s="169">
        <f>IFERROR(MATCH(J848,'Final List'!$P$4:$P$252,0),0)</f>
        <v>0</v>
      </c>
      <c r="S848" s="169">
        <f t="shared" si="55"/>
        <v>0</v>
      </c>
      <c r="V848" s="169" t="str">
        <f t="shared" si="53"/>
        <v>CARIKITAN 1</v>
      </c>
      <c r="W848" s="169" t="s">
        <v>8896</v>
      </c>
    </row>
    <row r="849" spans="2:23" x14ac:dyDescent="0.25">
      <c r="B849" s="169" t="s">
        <v>93</v>
      </c>
      <c r="C849" s="169" t="s">
        <v>87</v>
      </c>
      <c r="D849" s="169" t="s">
        <v>6033</v>
      </c>
      <c r="E849" s="169" t="s">
        <v>63</v>
      </c>
      <c r="F849" s="245" t="str">
        <f t="shared" si="54"/>
        <v>Dhoz 71</v>
      </c>
      <c r="G849" s="169" t="s">
        <v>355</v>
      </c>
      <c r="I849" s="169" t="str">
        <f t="shared" si="52"/>
        <v>L06_NONE_013E_XCS</v>
      </c>
      <c r="J849" s="169" t="s">
        <v>7242</v>
      </c>
      <c r="K849" s="169">
        <f>IFERROR(MATCH(J849,'Final List'!$B$4:$B$252,0),0)</f>
        <v>0</v>
      </c>
      <c r="L849" s="169">
        <f>IFERROR(MATCH(J849,'Final List'!$D$4:$D$252,0),0)</f>
        <v>0</v>
      </c>
      <c r="M849" s="169">
        <f>IFERROR(MATCH(J849,'Final List'!$F$4:$F$251,0),0)</f>
        <v>0</v>
      </c>
      <c r="N849" s="169">
        <f>IFERROR(MATCH(J849,'Final List'!$H$4:$H$252,0),0)</f>
        <v>0</v>
      </c>
      <c r="O849" s="169">
        <f>IFERROR(MATCH(J849,'Final List'!$J$4:$J$252,0),0)</f>
        <v>0</v>
      </c>
      <c r="P849" s="169">
        <f>IFERROR(MATCH(J849,'Final List'!$L$4:$L$252,0),0)</f>
        <v>0</v>
      </c>
      <c r="Q849" s="169">
        <f>IFERROR(MATCH(J849,'Final List'!$N$4:$N$252,0),0)</f>
        <v>0</v>
      </c>
      <c r="R849" s="169">
        <f>IFERROR(MATCH(J849,'Final List'!$P$4:$P$252,0),0)</f>
        <v>0</v>
      </c>
      <c r="S849" s="169">
        <f t="shared" si="55"/>
        <v>0</v>
      </c>
      <c r="V849" s="169" t="str">
        <f t="shared" si="53"/>
        <v>BAÑEZ 2</v>
      </c>
      <c r="W849" s="169" t="s">
        <v>2714</v>
      </c>
    </row>
    <row r="850" spans="2:23" x14ac:dyDescent="0.25">
      <c r="B850" s="169" t="s">
        <v>1166</v>
      </c>
      <c r="C850" s="169" t="s">
        <v>38</v>
      </c>
      <c r="D850" s="169" t="s">
        <v>167</v>
      </c>
      <c r="E850" s="169" t="s">
        <v>61</v>
      </c>
      <c r="F850" s="245" t="str">
        <f t="shared" si="54"/>
        <v>Dhoz 71</v>
      </c>
      <c r="G850" s="169" t="s">
        <v>6932</v>
      </c>
      <c r="I850" s="169" t="str">
        <f t="shared" si="52"/>
        <v>L11_GHV_058E_DW</v>
      </c>
      <c r="J850" s="169" t="s">
        <v>7241</v>
      </c>
      <c r="K850" s="169">
        <f>IFERROR(MATCH(J850,'Final List'!$B$4:$B$252,0),0)</f>
        <v>0</v>
      </c>
      <c r="L850" s="169">
        <f>IFERROR(MATCH(J850,'Final List'!$D$4:$D$252,0),0)</f>
        <v>0</v>
      </c>
      <c r="M850" s="169">
        <f>IFERROR(MATCH(J850,'Final List'!$F$4:$F$251,0),0)</f>
        <v>0</v>
      </c>
      <c r="N850" s="169">
        <f>IFERROR(MATCH(J850,'Final List'!$H$4:$H$252,0),0)</f>
        <v>0</v>
      </c>
      <c r="O850" s="169">
        <f>IFERROR(MATCH(J850,'Final List'!$J$4:$J$252,0),0)</f>
        <v>0</v>
      </c>
      <c r="P850" s="169">
        <f>IFERROR(MATCH(J850,'Final List'!$L$4:$L$252,0),0)</f>
        <v>0</v>
      </c>
      <c r="Q850" s="169">
        <f>IFERROR(MATCH(J850,'Final List'!$N$4:$N$252,0),0)</f>
        <v>0</v>
      </c>
      <c r="R850" s="169">
        <f>IFERROR(MATCH(J850,'Final List'!$P$4:$P$252,0),0)</f>
        <v>0</v>
      </c>
      <c r="S850" s="169">
        <f t="shared" si="55"/>
        <v>0</v>
      </c>
      <c r="V850" s="169" t="str">
        <f t="shared" si="53"/>
        <v>DUHIG, P3</v>
      </c>
      <c r="W850" s="169" t="s">
        <v>8896</v>
      </c>
    </row>
    <row r="851" spans="2:23" x14ac:dyDescent="0.25">
      <c r="B851" s="169" t="s">
        <v>93</v>
      </c>
      <c r="C851" s="169" t="s">
        <v>38</v>
      </c>
      <c r="D851" s="169" t="s">
        <v>5835</v>
      </c>
      <c r="E851" s="169" t="s">
        <v>19</v>
      </c>
      <c r="F851" s="245" t="str">
        <f t="shared" si="54"/>
        <v>DVR 72</v>
      </c>
      <c r="G851" s="169" t="s">
        <v>353</v>
      </c>
      <c r="I851" s="169" t="str">
        <f t="shared" si="52"/>
        <v>L06_GHV_003W_RAISE</v>
      </c>
      <c r="J851" s="169" t="s">
        <v>7245</v>
      </c>
      <c r="K851" s="169">
        <f>IFERROR(MATCH(J851,'Final List'!$B$4:$B$252,0),0)</f>
        <v>0</v>
      </c>
      <c r="L851" s="169">
        <f>IFERROR(MATCH(J851,'Final List'!$D$4:$D$252,0),0)</f>
        <v>0</v>
      </c>
      <c r="M851" s="169">
        <f>IFERROR(MATCH(J851,'Final List'!$F$4:$F$251,0),0)</f>
        <v>0</v>
      </c>
      <c r="N851" s="169">
        <f>IFERROR(MATCH(J851,'Final List'!$H$4:$H$252,0),0)</f>
        <v>0</v>
      </c>
      <c r="O851" s="169">
        <f>IFERROR(MATCH(J851,'Final List'!$J$4:$J$252,0),0)</f>
        <v>0</v>
      </c>
      <c r="P851" s="169">
        <f>IFERROR(MATCH(J851,'Final List'!$L$4:$L$252,0),0)</f>
        <v>0</v>
      </c>
      <c r="Q851" s="169">
        <f>IFERROR(MATCH(J851,'Final List'!$N$4:$N$252,0),0)</f>
        <v>0</v>
      </c>
      <c r="R851" s="169">
        <f>IFERROR(MATCH(J851,'Final List'!$P$4:$P$252,0),0)</f>
        <v>0</v>
      </c>
      <c r="S851" s="169">
        <f t="shared" si="55"/>
        <v>0</v>
      </c>
      <c r="V851" s="169" t="str">
        <f t="shared" si="53"/>
        <v>BAÑEZ 4</v>
      </c>
      <c r="W851" s="169" t="s">
        <v>2715</v>
      </c>
    </row>
    <row r="852" spans="2:23" x14ac:dyDescent="0.25">
      <c r="B852" s="169" t="s">
        <v>91</v>
      </c>
      <c r="C852" s="169" t="s">
        <v>56</v>
      </c>
      <c r="D852" s="169" t="s">
        <v>5850</v>
      </c>
      <c r="E852" s="169" t="s">
        <v>61</v>
      </c>
      <c r="F852" s="245" t="str">
        <f t="shared" si="54"/>
        <v>Dhoz 71</v>
      </c>
      <c r="G852" s="169" t="s">
        <v>7250</v>
      </c>
      <c r="I852" s="169" t="str">
        <f t="shared" si="52"/>
        <v>L04_GHVFW_016E_DW</v>
      </c>
      <c r="J852" s="169" t="s">
        <v>7249</v>
      </c>
      <c r="K852" s="169">
        <f>IFERROR(MATCH(J852,'Final List'!$B$4:$B$252,0),0)</f>
        <v>0</v>
      </c>
      <c r="L852" s="169">
        <f>IFERROR(MATCH(J852,'Final List'!$D$4:$D$252,0),0)</f>
        <v>0</v>
      </c>
      <c r="M852" s="169">
        <f>IFERROR(MATCH(J852,'Final List'!$F$4:$F$251,0),0)</f>
        <v>0</v>
      </c>
      <c r="N852" s="169">
        <f>IFERROR(MATCH(J852,'Final List'!$H$4:$H$252,0),0)</f>
        <v>0</v>
      </c>
      <c r="O852" s="169">
        <f>IFERROR(MATCH(J852,'Final List'!$J$4:$J$252,0),0)</f>
        <v>0</v>
      </c>
      <c r="P852" s="169">
        <f>IFERROR(MATCH(J852,'Final List'!$L$4:$L$252,0),0)</f>
        <v>0</v>
      </c>
      <c r="Q852" s="169">
        <f>IFERROR(MATCH(J852,'Final List'!$N$4:$N$252,0),0)</f>
        <v>0</v>
      </c>
      <c r="R852" s="169">
        <f>IFERROR(MATCH(J852,'Final List'!$P$4:$P$252,0),0)</f>
        <v>0</v>
      </c>
      <c r="S852" s="169">
        <f t="shared" si="55"/>
        <v>0</v>
      </c>
      <c r="V852" s="169" t="str">
        <f t="shared" si="53"/>
        <v>SHEPHERD AQ 2</v>
      </c>
      <c r="W852" s="169" t="s">
        <v>8895</v>
      </c>
    </row>
    <row r="853" spans="2:23" x14ac:dyDescent="0.25">
      <c r="B853" s="169" t="s">
        <v>91</v>
      </c>
      <c r="C853" s="169" t="s">
        <v>55</v>
      </c>
      <c r="D853" s="169" t="s">
        <v>118</v>
      </c>
      <c r="E853" s="169" t="s">
        <v>61</v>
      </c>
      <c r="F853" s="245" t="str">
        <f t="shared" si="54"/>
        <v>Dhoz 71</v>
      </c>
      <c r="G853" s="169" t="s">
        <v>448</v>
      </c>
      <c r="I853" s="169" t="str">
        <f t="shared" si="52"/>
        <v>L04_JVFW_014E_DW</v>
      </c>
      <c r="J853" s="169" t="s">
        <v>7327</v>
      </c>
      <c r="K853" s="169">
        <f>IFERROR(MATCH(J853,'Final List'!$B$4:$B$252,0),0)</f>
        <v>0</v>
      </c>
      <c r="L853" s="169">
        <f>IFERROR(MATCH(J853,'Final List'!$D$4:$D$252,0),0)</f>
        <v>0</v>
      </c>
      <c r="M853" s="169">
        <f>IFERROR(MATCH(J853,'Final List'!$F$4:$F$251,0),0)</f>
        <v>0</v>
      </c>
      <c r="N853" s="169">
        <f>IFERROR(MATCH(J853,'Final List'!$H$4:$H$252,0),0)</f>
        <v>0</v>
      </c>
      <c r="O853" s="169">
        <f>IFERROR(MATCH(J853,'Final List'!$J$4:$J$252,0),0)</f>
        <v>0</v>
      </c>
      <c r="P853" s="169">
        <f>IFERROR(MATCH(J853,'Final List'!$L$4:$L$252,0),0)</f>
        <v>0</v>
      </c>
      <c r="Q853" s="169">
        <f>IFERROR(MATCH(J853,'Final List'!$N$4:$N$252,0),0)</f>
        <v>0</v>
      </c>
      <c r="R853" s="169">
        <f>IFERROR(MATCH(J853,'Final List'!$P$4:$P$252,0),0)</f>
        <v>0</v>
      </c>
      <c r="S853" s="169">
        <f t="shared" si="55"/>
        <v>0</v>
      </c>
      <c r="V853" s="169" t="str">
        <f t="shared" si="53"/>
        <v>COMAINGKING 2</v>
      </c>
      <c r="W853" s="169" t="s">
        <v>8895</v>
      </c>
    </row>
    <row r="854" spans="2:23" x14ac:dyDescent="0.25">
      <c r="B854" s="169" t="s">
        <v>94</v>
      </c>
      <c r="C854" s="169" t="s">
        <v>45</v>
      </c>
      <c r="D854" s="169" t="s">
        <v>6036</v>
      </c>
      <c r="E854" s="169" t="s">
        <v>61</v>
      </c>
      <c r="F854" s="245" t="str">
        <f t="shared" si="54"/>
        <v>Dhoz 71</v>
      </c>
      <c r="G854" s="169" t="s">
        <v>6406</v>
      </c>
      <c r="I854" s="169" t="str">
        <f t="shared" si="52"/>
        <v>L07_DPVE_017E_DW</v>
      </c>
      <c r="J854" s="169" t="s">
        <v>7255</v>
      </c>
      <c r="K854" s="169">
        <f>IFERROR(MATCH(J854,'Final List'!$B$4:$B$252,0),0)</f>
        <v>0</v>
      </c>
      <c r="L854" s="169">
        <f>IFERROR(MATCH(J854,'Final List'!$D$4:$D$252,0),0)</f>
        <v>0</v>
      </c>
      <c r="M854" s="169">
        <f>IFERROR(MATCH(J854,'Final List'!$F$4:$F$251,0),0)</f>
        <v>0</v>
      </c>
      <c r="N854" s="169">
        <f>IFERROR(MATCH(J854,'Final List'!$H$4:$H$252,0),0)</f>
        <v>0</v>
      </c>
      <c r="O854" s="169">
        <f>IFERROR(MATCH(J854,'Final List'!$J$4:$J$252,0),0)</f>
        <v>0</v>
      </c>
      <c r="P854" s="169">
        <f>IFERROR(MATCH(J854,'Final List'!$L$4:$L$252,0),0)</f>
        <v>0</v>
      </c>
      <c r="Q854" s="169">
        <f>IFERROR(MATCH(J854,'Final List'!$N$4:$N$252,0),0)</f>
        <v>0</v>
      </c>
      <c r="R854" s="169">
        <f>IFERROR(MATCH(J854,'Final List'!$P$4:$P$252,0),0)</f>
        <v>0</v>
      </c>
      <c r="S854" s="169">
        <f t="shared" si="55"/>
        <v>0</v>
      </c>
      <c r="V854" s="169" t="str">
        <f t="shared" si="53"/>
        <v>TURRA</v>
      </c>
      <c r="W854" s="169" t="s">
        <v>8895</v>
      </c>
    </row>
    <row r="855" spans="2:23" x14ac:dyDescent="0.25">
      <c r="B855" s="169" t="s">
        <v>91</v>
      </c>
      <c r="C855" s="169" t="s">
        <v>41</v>
      </c>
      <c r="D855" s="169" t="s">
        <v>147</v>
      </c>
      <c r="E855" s="169" t="s">
        <v>62</v>
      </c>
      <c r="F855" s="245" t="str">
        <f t="shared" si="54"/>
        <v>RobS 79</v>
      </c>
      <c r="G855" s="169" t="s">
        <v>312</v>
      </c>
      <c r="I855" s="169" t="str">
        <f t="shared" si="52"/>
        <v>L04_CTV_024E_ROBBING</v>
      </c>
      <c r="J855" s="169" t="s">
        <v>7266</v>
      </c>
      <c r="K855" s="169">
        <f>IFERROR(MATCH(J855,'Final List'!$B$4:$B$252,0),0)</f>
        <v>0</v>
      </c>
      <c r="L855" s="169">
        <f>IFERROR(MATCH(J855,'Final List'!$D$4:$D$252,0),0)</f>
        <v>0</v>
      </c>
      <c r="M855" s="169">
        <f>IFERROR(MATCH(J855,'Final List'!$F$4:$F$251,0),0)</f>
        <v>0</v>
      </c>
      <c r="N855" s="169">
        <f>IFERROR(MATCH(J855,'Final List'!$H$4:$H$252,0),0)</f>
        <v>0</v>
      </c>
      <c r="O855" s="169">
        <f>IFERROR(MATCH(J855,'Final List'!$J$4:$J$252,0),0)</f>
        <v>0</v>
      </c>
      <c r="P855" s="169">
        <f>IFERROR(MATCH(J855,'Final List'!$L$4:$L$252,0),0)</f>
        <v>0</v>
      </c>
      <c r="Q855" s="169">
        <f>IFERROR(MATCH(J855,'Final List'!$N$4:$N$252,0),0)</f>
        <v>0</v>
      </c>
      <c r="R855" s="169">
        <f>IFERROR(MATCH(J855,'Final List'!$P$4:$P$252,0),0)</f>
        <v>0</v>
      </c>
      <c r="S855" s="169">
        <f t="shared" si="55"/>
        <v>0</v>
      </c>
      <c r="T855" s="169" t="s">
        <v>68</v>
      </c>
      <c r="V855" s="169" t="str">
        <f t="shared" si="53"/>
        <v>MARTINEZ DN 3</v>
      </c>
      <c r="W855" s="169" t="s">
        <v>2707</v>
      </c>
    </row>
    <row r="856" spans="2:23" x14ac:dyDescent="0.25">
      <c r="B856" s="169" t="s">
        <v>91</v>
      </c>
      <c r="C856" s="169" t="s">
        <v>55</v>
      </c>
      <c r="D856" s="169" t="s">
        <v>119</v>
      </c>
      <c r="E856" s="169" t="s">
        <v>62</v>
      </c>
      <c r="F856" s="245" t="str">
        <f t="shared" si="54"/>
        <v>RobS 79</v>
      </c>
      <c r="G856" s="169" t="s">
        <v>7261</v>
      </c>
      <c r="I856" s="169" t="str">
        <f t="shared" si="52"/>
        <v>L04_JVFW_012E_ROBBING</v>
      </c>
      <c r="J856" s="169" t="s">
        <v>7260</v>
      </c>
      <c r="K856" s="169">
        <f>IFERROR(MATCH(J856,'Final List'!$B$4:$B$252,0),0)</f>
        <v>0</v>
      </c>
      <c r="L856" s="169">
        <f>IFERROR(MATCH(J856,'Final List'!$D$4:$D$252,0),0)</f>
        <v>0</v>
      </c>
      <c r="M856" s="169">
        <f>IFERROR(MATCH(J856,'Final List'!$F$4:$F$251,0),0)</f>
        <v>0</v>
      </c>
      <c r="N856" s="169">
        <f>IFERROR(MATCH(J856,'Final List'!$H$4:$H$252,0),0)</f>
        <v>0</v>
      </c>
      <c r="O856" s="169">
        <f>IFERROR(MATCH(J856,'Final List'!$J$4:$J$252,0),0)</f>
        <v>0</v>
      </c>
      <c r="P856" s="169">
        <f>IFERROR(MATCH(J856,'Final List'!$L$4:$L$252,0),0)</f>
        <v>0</v>
      </c>
      <c r="Q856" s="169">
        <f>IFERROR(MATCH(J856,'Final List'!$N$4:$N$252,0),0)</f>
        <v>0</v>
      </c>
      <c r="R856" s="169">
        <f>IFERROR(MATCH(J856,'Final List'!$P$4:$P$252,0),0)</f>
        <v>0</v>
      </c>
      <c r="S856" s="169">
        <f t="shared" si="55"/>
        <v>0</v>
      </c>
      <c r="T856" s="169" t="s">
        <v>68</v>
      </c>
      <c r="V856" s="169" t="str">
        <f t="shared" si="53"/>
        <v>MARTINEZ RON 3</v>
      </c>
      <c r="W856" s="169" t="s">
        <v>2707</v>
      </c>
    </row>
    <row r="857" spans="2:23" x14ac:dyDescent="0.25">
      <c r="B857" s="169" t="s">
        <v>94</v>
      </c>
      <c r="C857" s="169" t="s">
        <v>42</v>
      </c>
      <c r="D857" s="169" t="s">
        <v>161</v>
      </c>
      <c r="E857" s="169" t="s">
        <v>6154</v>
      </c>
      <c r="F857" s="245" t="str">
        <f t="shared" si="54"/>
        <v>Dhoz 71</v>
      </c>
      <c r="G857" s="169" t="s">
        <v>2970</v>
      </c>
      <c r="H857" s="169" t="s">
        <v>1458</v>
      </c>
      <c r="I857" s="169" t="str">
        <f t="shared" si="52"/>
        <v>L07_JV_044E_DW_ISL</v>
      </c>
      <c r="J857" s="169" t="s">
        <v>7263</v>
      </c>
      <c r="K857" s="169">
        <f>IFERROR(MATCH(J857,'Final List'!$B$4:$B$252,0),0)</f>
        <v>0</v>
      </c>
      <c r="L857" s="169">
        <f>IFERROR(MATCH(J857,'Final List'!$D$4:$D$252,0),0)</f>
        <v>0</v>
      </c>
      <c r="M857" s="169">
        <f>IFERROR(MATCH(J857,'Final List'!$F$4:$F$251,0),0)</f>
        <v>0</v>
      </c>
      <c r="N857" s="169">
        <f>IFERROR(MATCH(J857,'Final List'!$H$4:$H$252,0),0)</f>
        <v>0</v>
      </c>
      <c r="O857" s="169">
        <f>IFERROR(MATCH(J857,'Final List'!$J$4:$J$252,0),0)</f>
        <v>0</v>
      </c>
      <c r="P857" s="169">
        <f>IFERROR(MATCH(J857,'Final List'!$L$4:$L$252,0),0)</f>
        <v>0</v>
      </c>
      <c r="Q857" s="169">
        <f>IFERROR(MATCH(J857,'Final List'!$N$4:$N$252,0),0)</f>
        <v>0</v>
      </c>
      <c r="R857" s="169">
        <f>IFERROR(MATCH(J857,'Final List'!$P$4:$P$252,0),0)</f>
        <v>0</v>
      </c>
      <c r="S857" s="169">
        <f t="shared" si="55"/>
        <v>0</v>
      </c>
      <c r="V857" s="169" t="str">
        <f t="shared" si="53"/>
        <v>DAVOCOL</v>
      </c>
      <c r="W857" s="169" t="s">
        <v>2708</v>
      </c>
    </row>
    <row r="858" spans="2:23" x14ac:dyDescent="0.25">
      <c r="B858" s="169" t="s">
        <v>95</v>
      </c>
      <c r="C858" s="169" t="s">
        <v>42</v>
      </c>
      <c r="D858" s="169" t="s">
        <v>5850</v>
      </c>
      <c r="E858" s="169" t="s">
        <v>20</v>
      </c>
      <c r="F858" s="245" t="str">
        <f t="shared" si="54"/>
        <v>DVW 74</v>
      </c>
      <c r="G858" s="169" t="s">
        <v>625</v>
      </c>
      <c r="I858" s="169" t="str">
        <f t="shared" si="52"/>
        <v>L08_JV_016E_WINZE</v>
      </c>
      <c r="J858" s="169" t="s">
        <v>7264</v>
      </c>
      <c r="K858" s="169">
        <f>IFERROR(MATCH(J858,'Final List'!$B$4:$B$252,0),0)</f>
        <v>0</v>
      </c>
      <c r="L858" s="169">
        <f>IFERROR(MATCH(J858,'Final List'!$D$4:$D$252,0),0)</f>
        <v>0</v>
      </c>
      <c r="M858" s="169">
        <f>IFERROR(MATCH(J858,'Final List'!$F$4:$F$251,0),0)</f>
        <v>0</v>
      </c>
      <c r="N858" s="169">
        <f>IFERROR(MATCH(J858,'Final List'!$H$4:$H$252,0),0)</f>
        <v>0</v>
      </c>
      <c r="O858" s="169">
        <f>IFERROR(MATCH(J858,'Final List'!$J$4:$J$252,0),0)</f>
        <v>0</v>
      </c>
      <c r="P858" s="169">
        <f>IFERROR(MATCH(J858,'Final List'!$L$4:$L$252,0),0)</f>
        <v>0</v>
      </c>
      <c r="Q858" s="169">
        <f>IFERROR(MATCH(J858,'Final List'!$N$4:$N$252,0),0)</f>
        <v>0</v>
      </c>
      <c r="R858" s="169">
        <f>IFERROR(MATCH(J858,'Final List'!$P$4:$P$252,0),0)</f>
        <v>0</v>
      </c>
      <c r="S858" s="169">
        <f t="shared" si="55"/>
        <v>0</v>
      </c>
      <c r="V858" s="169" t="str">
        <f t="shared" si="53"/>
        <v>VILLARANTE 3</v>
      </c>
      <c r="W858" s="169" t="s">
        <v>2706</v>
      </c>
    </row>
    <row r="859" spans="2:23" x14ac:dyDescent="0.25">
      <c r="B859" s="169" t="s">
        <v>96</v>
      </c>
      <c r="C859" s="169" t="s">
        <v>38</v>
      </c>
      <c r="D859" s="169" t="s">
        <v>5689</v>
      </c>
      <c r="E859" s="169" t="s">
        <v>62</v>
      </c>
      <c r="F859" s="245" t="str">
        <f t="shared" si="54"/>
        <v>RobS 79</v>
      </c>
      <c r="G859" s="169" t="s">
        <v>5718</v>
      </c>
      <c r="I859" s="169" t="str">
        <f t="shared" si="52"/>
        <v>L09_GHV_003E_ROBBING</v>
      </c>
      <c r="J859" s="169" t="s">
        <v>7310</v>
      </c>
      <c r="K859" s="169">
        <f>IFERROR(MATCH(J859,'Final List'!$B$4:$B$252,0),0)</f>
        <v>0</v>
      </c>
      <c r="L859" s="169">
        <f>IFERROR(MATCH(J859,'Final List'!$D$4:$D$252,0),0)</f>
        <v>0</v>
      </c>
      <c r="M859" s="169">
        <f>IFERROR(MATCH(J859,'Final List'!$F$4:$F$251,0),0)</f>
        <v>0</v>
      </c>
      <c r="N859" s="169">
        <f>IFERROR(MATCH(J859,'Final List'!$H$4:$H$252,0),0)</f>
        <v>0</v>
      </c>
      <c r="O859" s="169">
        <f>IFERROR(MATCH(J859,'Final List'!$J$4:$J$252,0),0)</f>
        <v>0</v>
      </c>
      <c r="P859" s="169">
        <f>IFERROR(MATCH(J859,'Final List'!$L$4:$L$252,0),0)</f>
        <v>0</v>
      </c>
      <c r="Q859" s="169">
        <f>IFERROR(MATCH(J859,'Final List'!$N$4:$N$252,0),0)</f>
        <v>0</v>
      </c>
      <c r="R859" s="169">
        <f>IFERROR(MATCH(J859,'Final List'!$P$4:$P$252,0),0)</f>
        <v>0</v>
      </c>
      <c r="S859" s="169">
        <f t="shared" si="55"/>
        <v>0</v>
      </c>
      <c r="T859" s="169" t="s">
        <v>68</v>
      </c>
      <c r="V859" s="169" t="str">
        <f t="shared" si="53"/>
        <v>FERNANDEZ 2</v>
      </c>
      <c r="W859" s="169" t="s">
        <v>2707</v>
      </c>
    </row>
    <row r="860" spans="2:23" x14ac:dyDescent="0.25">
      <c r="B860" s="169" t="s">
        <v>91</v>
      </c>
      <c r="C860" s="169" t="s">
        <v>42</v>
      </c>
      <c r="D860" s="169" t="s">
        <v>5992</v>
      </c>
      <c r="E860" s="169" t="s">
        <v>62</v>
      </c>
      <c r="F860" s="245" t="str">
        <f t="shared" si="54"/>
        <v>RobS 79</v>
      </c>
      <c r="G860" s="169" t="s">
        <v>9350</v>
      </c>
      <c r="I860" s="169" t="str">
        <f t="shared" si="52"/>
        <v>L04_JV_026W_ROBBING</v>
      </c>
      <c r="J860" s="169" t="s">
        <v>7268</v>
      </c>
      <c r="K860" s="169">
        <f>IFERROR(MATCH(J860,'Final List'!$B$4:$B$252,0),0)</f>
        <v>0</v>
      </c>
      <c r="L860" s="169">
        <f>IFERROR(MATCH(J860,'Final List'!$D$4:$D$252,0),0)</f>
        <v>0</v>
      </c>
      <c r="M860" s="169">
        <f>IFERROR(MATCH(J860,'Final List'!$F$4:$F$251,0),0)</f>
        <v>0</v>
      </c>
      <c r="N860" s="169">
        <f>IFERROR(MATCH(J860,'Final List'!$H$4:$H$252,0),0)</f>
        <v>0</v>
      </c>
      <c r="O860" s="169">
        <f>IFERROR(MATCH(J860,'Final List'!$J$4:$J$252,0),0)</f>
        <v>0</v>
      </c>
      <c r="P860" s="169">
        <f>IFERROR(MATCH(J860,'Final List'!$L$4:$L$252,0),0)</f>
        <v>0</v>
      </c>
      <c r="Q860" s="169">
        <f>IFERROR(MATCH(J860,'Final List'!$N$4:$N$252,0),0)</f>
        <v>0</v>
      </c>
      <c r="R860" s="169">
        <f>IFERROR(MATCH(J860,'Final List'!$P$4:$P$252,0),0)</f>
        <v>0</v>
      </c>
      <c r="S860" s="169">
        <f t="shared" si="55"/>
        <v>0</v>
      </c>
      <c r="T860" s="169" t="s">
        <v>68</v>
      </c>
      <c r="V860" s="169" t="str">
        <f t="shared" si="53"/>
        <v>SHEPHERD AQ 1</v>
      </c>
      <c r="W860" s="169" t="s">
        <v>2707</v>
      </c>
    </row>
    <row r="861" spans="2:23" x14ac:dyDescent="0.25">
      <c r="B861" s="169" t="s">
        <v>96</v>
      </c>
      <c r="C861" s="169" t="s">
        <v>87</v>
      </c>
      <c r="D861" s="169" t="s">
        <v>201</v>
      </c>
      <c r="E861" s="169" t="s">
        <v>37</v>
      </c>
      <c r="F861" s="245" t="str">
        <f t="shared" si="54"/>
        <v>Dhoz 71</v>
      </c>
      <c r="G861" s="169" t="s">
        <v>6621</v>
      </c>
      <c r="I861" s="169" t="str">
        <f t="shared" ref="I861:I924" si="56">CONCATENATE(B861,"_",C861,"_",D861,"_",E861)</f>
        <v>L09_NONE_067E_XCN</v>
      </c>
      <c r="J861" s="169" t="s">
        <v>7307</v>
      </c>
      <c r="K861" s="169">
        <f>IFERROR(MATCH(J861,'Final List'!$B$4:$B$252,0),0)</f>
        <v>0</v>
      </c>
      <c r="L861" s="169">
        <f>IFERROR(MATCH(J861,'Final List'!$D$4:$D$252,0),0)</f>
        <v>0</v>
      </c>
      <c r="M861" s="169">
        <f>IFERROR(MATCH(J861,'Final List'!$F$4:$F$251,0),0)</f>
        <v>0</v>
      </c>
      <c r="N861" s="169">
        <f>IFERROR(MATCH(J861,'Final List'!$H$4:$H$252,0),0)</f>
        <v>0</v>
      </c>
      <c r="O861" s="169">
        <f>IFERROR(MATCH(J861,'Final List'!$J$4:$J$252,0),0)</f>
        <v>0</v>
      </c>
      <c r="P861" s="169">
        <f>IFERROR(MATCH(J861,'Final List'!$L$4:$L$252,0),0)</f>
        <v>0</v>
      </c>
      <c r="Q861" s="169">
        <f>IFERROR(MATCH(J861,'Final List'!$N$4:$N$252,0),0)</f>
        <v>0</v>
      </c>
      <c r="R861" s="169">
        <f>IFERROR(MATCH(J861,'Final List'!$P$4:$P$252,0),0)</f>
        <v>0</v>
      </c>
      <c r="S861" s="169">
        <f t="shared" si="55"/>
        <v>0</v>
      </c>
      <c r="V861" s="169" t="str">
        <f t="shared" si="53"/>
        <v>DELOS REYES V1</v>
      </c>
      <c r="W861" s="169" t="s">
        <v>8898</v>
      </c>
    </row>
    <row r="862" spans="2:23" x14ac:dyDescent="0.25">
      <c r="B862" s="169" t="s">
        <v>93</v>
      </c>
      <c r="C862" s="169" t="s">
        <v>55</v>
      </c>
      <c r="D862" s="169" t="s">
        <v>5992</v>
      </c>
      <c r="E862" s="169" t="s">
        <v>19</v>
      </c>
      <c r="F862" s="245" t="str">
        <f t="shared" si="54"/>
        <v>DVR 72</v>
      </c>
      <c r="G862" s="169" t="s">
        <v>379</v>
      </c>
      <c r="I862" s="169" t="str">
        <f t="shared" si="56"/>
        <v>L06_JVFW_026W_RAISE</v>
      </c>
      <c r="J862" s="169" t="s">
        <v>7440</v>
      </c>
      <c r="K862" s="169">
        <f>IFERROR(MATCH(J862,'Final List'!$B$4:$B$252,0),0)</f>
        <v>0</v>
      </c>
      <c r="L862" s="169">
        <f>IFERROR(MATCH(J862,'Final List'!$D$4:$D$252,0),0)</f>
        <v>0</v>
      </c>
      <c r="M862" s="169">
        <f>IFERROR(MATCH(J862,'Final List'!$F$4:$F$251,0),0)</f>
        <v>0</v>
      </c>
      <c r="N862" s="169">
        <f>IFERROR(MATCH(J862,'Final List'!$H$4:$H$252,0),0)</f>
        <v>0</v>
      </c>
      <c r="O862" s="169">
        <f>IFERROR(MATCH(J862,'Final List'!$J$4:$J$252,0),0)</f>
        <v>0</v>
      </c>
      <c r="P862" s="169">
        <f>IFERROR(MATCH(J862,'Final List'!$L$4:$L$252,0),0)</f>
        <v>0</v>
      </c>
      <c r="Q862" s="169">
        <f>IFERROR(MATCH(J862,'Final List'!$N$4:$N$252,0),0)</f>
        <v>0</v>
      </c>
      <c r="R862" s="169">
        <f>IFERROR(MATCH(J862,'Final List'!$P$4:$P$252,0),0)</f>
        <v>0</v>
      </c>
      <c r="S862" s="169">
        <f t="shared" si="55"/>
        <v>0</v>
      </c>
      <c r="V862" s="169" t="str">
        <f t="shared" si="53"/>
        <v>GUNAY 3</v>
      </c>
      <c r="W862" s="169" t="s">
        <v>2715</v>
      </c>
    </row>
    <row r="863" spans="2:23" x14ac:dyDescent="0.25">
      <c r="B863" s="169" t="s">
        <v>93</v>
      </c>
      <c r="C863" s="169" t="s">
        <v>57</v>
      </c>
      <c r="D863" s="169" t="s">
        <v>141</v>
      </c>
      <c r="E863" s="169" t="s">
        <v>19</v>
      </c>
      <c r="F863" s="245" t="str">
        <f t="shared" si="54"/>
        <v>DVR 72</v>
      </c>
      <c r="G863" s="169" t="s">
        <v>352</v>
      </c>
      <c r="I863" s="169" t="str">
        <f t="shared" si="56"/>
        <v>L06_JVSPLIT_029E_RAISE</v>
      </c>
      <c r="J863" s="169" t="s">
        <v>5127</v>
      </c>
      <c r="K863" s="169">
        <f>IFERROR(MATCH(J863,'Final List'!$B$4:$B$252,0),0)</f>
        <v>0</v>
      </c>
      <c r="L863" s="169">
        <f>IFERROR(MATCH(J863,'Final List'!$D$4:$D$252,0),0)</f>
        <v>0</v>
      </c>
      <c r="M863" s="169">
        <f>IFERROR(MATCH(J863,'Final List'!$F$4:$F$251,0),0)</f>
        <v>0</v>
      </c>
      <c r="N863" s="169">
        <f>IFERROR(MATCH(J863,'Final List'!$H$4:$H$252,0),0)</f>
        <v>0</v>
      </c>
      <c r="O863" s="169">
        <f>IFERROR(MATCH(J863,'Final List'!$J$4:$J$252,0),0)</f>
        <v>0</v>
      </c>
      <c r="P863" s="169">
        <f>IFERROR(MATCH(J863,'Final List'!$L$4:$L$252,0),0)</f>
        <v>0</v>
      </c>
      <c r="Q863" s="169">
        <f>IFERROR(MATCH(J863,'Final List'!$N$4:$N$252,0),0)</f>
        <v>0</v>
      </c>
      <c r="R863" s="169">
        <f>IFERROR(MATCH(J863,'Final List'!$P$4:$P$252,0),0)</f>
        <v>0</v>
      </c>
      <c r="S863" s="169">
        <f t="shared" si="55"/>
        <v>0</v>
      </c>
      <c r="V863" s="169" t="str">
        <f t="shared" si="53"/>
        <v>BAÑEZ 5</v>
      </c>
      <c r="W863" s="169" t="s">
        <v>2715</v>
      </c>
    </row>
    <row r="864" spans="2:23" x14ac:dyDescent="0.25">
      <c r="B864" s="169" t="s">
        <v>93</v>
      </c>
      <c r="C864" s="169" t="s">
        <v>57</v>
      </c>
      <c r="D864" s="169" t="s">
        <v>5975</v>
      </c>
      <c r="E864" s="169" t="s">
        <v>61</v>
      </c>
      <c r="F864" s="245" t="str">
        <f t="shared" si="54"/>
        <v>Dhoz 71</v>
      </c>
      <c r="G864" s="169" t="s">
        <v>352</v>
      </c>
      <c r="I864" s="169" t="str">
        <f t="shared" si="56"/>
        <v>L06_JVSPLIT_028E_DW</v>
      </c>
      <c r="J864" s="169" t="s">
        <v>7271</v>
      </c>
      <c r="K864" s="169">
        <f>IFERROR(MATCH(J864,'Final List'!$B$4:$B$252,0),0)</f>
        <v>0</v>
      </c>
      <c r="L864" s="169">
        <f>IFERROR(MATCH(J864,'Final List'!$D$4:$D$252,0),0)</f>
        <v>0</v>
      </c>
      <c r="M864" s="169">
        <f>IFERROR(MATCH(J864,'Final List'!$F$4:$F$251,0),0)</f>
        <v>0</v>
      </c>
      <c r="N864" s="169">
        <f>IFERROR(MATCH(J864,'Final List'!$H$4:$H$252,0),0)</f>
        <v>0</v>
      </c>
      <c r="O864" s="169">
        <f>IFERROR(MATCH(J864,'Final List'!$J$4:$J$252,0),0)</f>
        <v>0</v>
      </c>
      <c r="P864" s="169">
        <f>IFERROR(MATCH(J864,'Final List'!$L$4:$L$252,0),0)</f>
        <v>0</v>
      </c>
      <c r="Q864" s="169">
        <f>IFERROR(MATCH(J864,'Final List'!$N$4:$N$252,0),0)</f>
        <v>0</v>
      </c>
      <c r="R864" s="169">
        <f>IFERROR(MATCH(J864,'Final List'!$P$4:$P$252,0),0)</f>
        <v>0</v>
      </c>
      <c r="S864" s="169">
        <f t="shared" si="55"/>
        <v>0</v>
      </c>
      <c r="V864" s="169" t="str">
        <f t="shared" si="53"/>
        <v>BAÑEZ 5</v>
      </c>
      <c r="W864" s="169" t="s">
        <v>8895</v>
      </c>
    </row>
    <row r="865" spans="2:23" x14ac:dyDescent="0.25">
      <c r="B865" s="169" t="s">
        <v>258</v>
      </c>
      <c r="C865" s="169" t="s">
        <v>38</v>
      </c>
      <c r="D865" s="169" t="s">
        <v>197</v>
      </c>
      <c r="E865" s="169" t="s">
        <v>62</v>
      </c>
      <c r="F865" s="245" t="str">
        <f t="shared" si="54"/>
        <v>RobS 79</v>
      </c>
      <c r="G865" s="169" t="s">
        <v>318</v>
      </c>
      <c r="I865" s="169" t="str">
        <f t="shared" si="56"/>
        <v>L10_GHV_070E_ROBBING</v>
      </c>
      <c r="J865" s="169" t="s">
        <v>7274</v>
      </c>
      <c r="K865" s="169">
        <f>IFERROR(MATCH(J865,'Final List'!$B$4:$B$252,0),0)</f>
        <v>0</v>
      </c>
      <c r="L865" s="169">
        <f>IFERROR(MATCH(J865,'Final List'!$D$4:$D$252,0),0)</f>
        <v>0</v>
      </c>
      <c r="M865" s="169">
        <f>IFERROR(MATCH(J865,'Final List'!$F$4:$F$251,0),0)</f>
        <v>0</v>
      </c>
      <c r="N865" s="169">
        <f>IFERROR(MATCH(J865,'Final List'!$H$4:$H$252,0),0)</f>
        <v>0</v>
      </c>
      <c r="O865" s="169">
        <f>IFERROR(MATCH(J865,'Final List'!$J$4:$J$252,0),0)</f>
        <v>0</v>
      </c>
      <c r="P865" s="169">
        <f>IFERROR(MATCH(J865,'Final List'!$L$4:$L$252,0),0)</f>
        <v>0</v>
      </c>
      <c r="Q865" s="169">
        <f>IFERROR(MATCH(J865,'Final List'!$N$4:$N$252,0),0)</f>
        <v>0</v>
      </c>
      <c r="R865" s="169">
        <f>IFERROR(MATCH(J865,'Final List'!$P$4:$P$252,0),0)</f>
        <v>0</v>
      </c>
      <c r="S865" s="169">
        <f t="shared" si="55"/>
        <v>0</v>
      </c>
      <c r="T865" s="169" t="s">
        <v>68</v>
      </c>
      <c r="V865" s="169" t="str">
        <f t="shared" si="53"/>
        <v>PARAGUYA 3</v>
      </c>
      <c r="W865" s="169" t="s">
        <v>2707</v>
      </c>
    </row>
    <row r="866" spans="2:23" x14ac:dyDescent="0.25">
      <c r="B866" s="169" t="s">
        <v>96</v>
      </c>
      <c r="C866" s="169" t="s">
        <v>46</v>
      </c>
      <c r="D866" s="169" t="s">
        <v>5723</v>
      </c>
      <c r="E866" s="169" t="s">
        <v>19</v>
      </c>
      <c r="F866" s="245" t="str">
        <f t="shared" si="54"/>
        <v>DVR 72</v>
      </c>
      <c r="G866" s="169" t="s">
        <v>362</v>
      </c>
      <c r="I866" s="169" t="str">
        <f t="shared" si="56"/>
        <v>L09_DPVE2_046E_RAISE</v>
      </c>
      <c r="J866" s="169" t="s">
        <v>7277</v>
      </c>
      <c r="K866" s="169">
        <f>IFERROR(MATCH(J866,'Final List'!$B$4:$B$252,0),0)</f>
        <v>0</v>
      </c>
      <c r="L866" s="169">
        <f>IFERROR(MATCH(J866,'Final List'!$D$4:$D$252,0),0)</f>
        <v>0</v>
      </c>
      <c r="M866" s="169">
        <f>IFERROR(MATCH(J866,'Final List'!$F$4:$F$251,0),0)</f>
        <v>0</v>
      </c>
      <c r="N866" s="169">
        <f>IFERROR(MATCH(J866,'Final List'!$H$4:$H$252,0),0)</f>
        <v>0</v>
      </c>
      <c r="O866" s="169">
        <f>IFERROR(MATCH(J866,'Final List'!$J$4:$J$252,0),0)</f>
        <v>0</v>
      </c>
      <c r="P866" s="169">
        <f>IFERROR(MATCH(J866,'Final List'!$L$4:$L$252,0),0)</f>
        <v>0</v>
      </c>
      <c r="Q866" s="169">
        <f>IFERROR(MATCH(J866,'Final List'!$N$4:$N$252,0),0)</f>
        <v>0</v>
      </c>
      <c r="R866" s="169">
        <f>IFERROR(MATCH(J866,'Final List'!$P$4:$P$252,0),0)</f>
        <v>0</v>
      </c>
      <c r="S866" s="169">
        <f t="shared" si="55"/>
        <v>0</v>
      </c>
      <c r="V866" s="169" t="str">
        <f t="shared" si="53"/>
        <v>BABOR 1</v>
      </c>
      <c r="W866" s="169" t="s">
        <v>2715</v>
      </c>
    </row>
    <row r="867" spans="2:23" x14ac:dyDescent="0.25">
      <c r="B867" s="169" t="s">
        <v>258</v>
      </c>
      <c r="C867" s="169" t="s">
        <v>56</v>
      </c>
      <c r="D867" s="169" t="s">
        <v>5602</v>
      </c>
      <c r="E867" s="169" t="s">
        <v>19</v>
      </c>
      <c r="F867" s="245" t="str">
        <f t="shared" si="54"/>
        <v>DVR 72</v>
      </c>
      <c r="G867" s="169" t="s">
        <v>296</v>
      </c>
      <c r="I867" s="169" t="str">
        <f t="shared" si="56"/>
        <v>L10_GHVFW_053E_RAISE</v>
      </c>
      <c r="J867" s="169" t="s">
        <v>7280</v>
      </c>
      <c r="K867" s="169">
        <f>IFERROR(MATCH(J867,'Final List'!$B$4:$B$252,0),0)</f>
        <v>0</v>
      </c>
      <c r="L867" s="169">
        <f>IFERROR(MATCH(J867,'Final List'!$D$4:$D$252,0),0)</f>
        <v>0</v>
      </c>
      <c r="M867" s="169">
        <f>IFERROR(MATCH(J867,'Final List'!$F$4:$F$251,0),0)</f>
        <v>0</v>
      </c>
      <c r="N867" s="169">
        <f>IFERROR(MATCH(J867,'Final List'!$H$4:$H$252,0),0)</f>
        <v>0</v>
      </c>
      <c r="O867" s="169">
        <f>IFERROR(MATCH(J867,'Final List'!$J$4:$J$252,0),0)</f>
        <v>0</v>
      </c>
      <c r="P867" s="169">
        <f>IFERROR(MATCH(J867,'Final List'!$L$4:$L$252,0),0)</f>
        <v>0</v>
      </c>
      <c r="Q867" s="169">
        <f>IFERROR(MATCH(J867,'Final List'!$N$4:$N$252,0),0)</f>
        <v>0</v>
      </c>
      <c r="R867" s="169">
        <f>IFERROR(MATCH(J867,'Final List'!$P$4:$P$252,0),0)</f>
        <v>0</v>
      </c>
      <c r="S867" s="169">
        <f t="shared" si="55"/>
        <v>0</v>
      </c>
      <c r="V867" s="169" t="str">
        <f t="shared" si="53"/>
        <v>MONTEBON 2</v>
      </c>
      <c r="W867" s="169" t="s">
        <v>2715</v>
      </c>
    </row>
    <row r="868" spans="2:23" x14ac:dyDescent="0.25">
      <c r="B868" s="169" t="s">
        <v>92</v>
      </c>
      <c r="C868" s="169" t="s">
        <v>42</v>
      </c>
      <c r="D868" s="169" t="s">
        <v>147</v>
      </c>
      <c r="E868" s="169" t="s">
        <v>441</v>
      </c>
      <c r="F868" s="245" t="str">
        <f t="shared" si="54"/>
        <v>RobC 80</v>
      </c>
      <c r="G868" s="169" t="s">
        <v>387</v>
      </c>
      <c r="I868" s="169" t="str">
        <f t="shared" si="56"/>
        <v>L05_JV_024E_WINZE STOPE PREP</v>
      </c>
      <c r="J868" s="169" t="s">
        <v>7282</v>
      </c>
      <c r="K868" s="169">
        <f>IFERROR(MATCH(J868,'Final List'!$B$4:$B$252,0),0)</f>
        <v>0</v>
      </c>
      <c r="L868" s="169">
        <f>IFERROR(MATCH(J868,'Final List'!$D$4:$D$252,0),0)</f>
        <v>0</v>
      </c>
      <c r="M868" s="169">
        <f>IFERROR(MATCH(J868,'Final List'!$F$4:$F$251,0),0)</f>
        <v>0</v>
      </c>
      <c r="N868" s="169">
        <f>IFERROR(MATCH(J868,'Final List'!$H$4:$H$252,0),0)</f>
        <v>0</v>
      </c>
      <c r="O868" s="169">
        <f>IFERROR(MATCH(J868,'Final List'!$J$4:$J$252,0),0)</f>
        <v>0</v>
      </c>
      <c r="P868" s="169">
        <f>IFERROR(MATCH(J868,'Final List'!$L$4:$L$252,0),0)</f>
        <v>0</v>
      </c>
      <c r="Q868" s="169">
        <f>IFERROR(MATCH(J868,'Final List'!$N$4:$N$252,0),0)</f>
        <v>0</v>
      </c>
      <c r="R868" s="169">
        <f>IFERROR(MATCH(J868,'Final List'!$P$4:$P$252,0),0)</f>
        <v>0</v>
      </c>
      <c r="S868" s="169">
        <f t="shared" si="55"/>
        <v>0</v>
      </c>
      <c r="T868" s="169" t="s">
        <v>68</v>
      </c>
      <c r="V868" s="169" t="str">
        <f t="shared" si="53"/>
        <v>MAPAYO 1</v>
      </c>
      <c r="W868" s="169" t="s">
        <v>2716</v>
      </c>
    </row>
    <row r="869" spans="2:23" x14ac:dyDescent="0.25">
      <c r="B869" s="169" t="s">
        <v>96</v>
      </c>
      <c r="C869" s="169" t="s">
        <v>43</v>
      </c>
      <c r="D869" s="169" t="s">
        <v>205</v>
      </c>
      <c r="E869" s="169" t="s">
        <v>36</v>
      </c>
      <c r="F869" s="245" t="str">
        <f t="shared" si="54"/>
        <v>StpS 77</v>
      </c>
      <c r="G869" s="169" t="s">
        <v>745</v>
      </c>
      <c r="I869" s="169" t="str">
        <f t="shared" si="56"/>
        <v>L09_GHVSPLIT_066E_STOPE</v>
      </c>
      <c r="J869" s="169" t="s">
        <v>7283</v>
      </c>
      <c r="K869" s="169">
        <f>IFERROR(MATCH(J869,'Final List'!$B$4:$B$252,0),0)</f>
        <v>0</v>
      </c>
      <c r="L869" s="169">
        <f>IFERROR(MATCH(J869,'Final List'!$D$4:$D$252,0),0)</f>
        <v>0</v>
      </c>
      <c r="M869" s="169">
        <f>IFERROR(MATCH(J869,'Final List'!$F$4:$F$251,0),0)</f>
        <v>0</v>
      </c>
      <c r="N869" s="169">
        <f>IFERROR(MATCH(J869,'Final List'!$H$4:$H$252,0),0)</f>
        <v>0</v>
      </c>
      <c r="O869" s="169">
        <f>IFERROR(MATCH(J869,'Final List'!$J$4:$J$252,0),0)</f>
        <v>0</v>
      </c>
      <c r="P869" s="169">
        <f>IFERROR(MATCH(J869,'Final List'!$L$4:$L$252,0),0)</f>
        <v>0</v>
      </c>
      <c r="Q869" s="169">
        <f>IFERROR(MATCH(J869,'Final List'!$N$4:$N$252,0),0)</f>
        <v>0</v>
      </c>
      <c r="R869" s="169">
        <f>IFERROR(MATCH(J869,'Final List'!$P$4:$P$252,0),0)</f>
        <v>0</v>
      </c>
      <c r="S869" s="169">
        <f t="shared" si="55"/>
        <v>0</v>
      </c>
      <c r="T869" s="169" t="s">
        <v>68</v>
      </c>
      <c r="V869" s="169" t="str">
        <f t="shared" si="53"/>
        <v>CANOY 2</v>
      </c>
      <c r="W869" s="169" t="s">
        <v>2713</v>
      </c>
    </row>
    <row r="870" spans="2:23" x14ac:dyDescent="0.25">
      <c r="B870" s="169" t="s">
        <v>96</v>
      </c>
      <c r="C870" s="169" t="s">
        <v>42</v>
      </c>
      <c r="D870" s="169" t="s">
        <v>143</v>
      </c>
      <c r="E870" s="169" t="s">
        <v>36</v>
      </c>
      <c r="F870" s="245" t="str">
        <f t="shared" si="54"/>
        <v>StpS 77</v>
      </c>
      <c r="G870" s="169" t="s">
        <v>363</v>
      </c>
      <c r="I870" s="169" t="str">
        <f t="shared" si="56"/>
        <v>L09_JV_032E_STOPE</v>
      </c>
      <c r="J870" s="169" t="s">
        <v>7285</v>
      </c>
      <c r="K870" s="169">
        <f>IFERROR(MATCH(J870,'Final List'!$B$4:$B$252,0),0)</f>
        <v>0</v>
      </c>
      <c r="L870" s="169">
        <f>IFERROR(MATCH(J870,'Final List'!$D$4:$D$252,0),0)</f>
        <v>0</v>
      </c>
      <c r="M870" s="169">
        <f>IFERROR(MATCH(J870,'Final List'!$F$4:$F$251,0),0)</f>
        <v>0</v>
      </c>
      <c r="N870" s="169">
        <f>IFERROR(MATCH(J870,'Final List'!$H$4:$H$252,0),0)</f>
        <v>0</v>
      </c>
      <c r="O870" s="169">
        <f>IFERROR(MATCH(J870,'Final List'!$J$4:$J$252,0),0)</f>
        <v>0</v>
      </c>
      <c r="P870" s="169">
        <f>IFERROR(MATCH(J870,'Final List'!$L$4:$L$252,0),0)</f>
        <v>0</v>
      </c>
      <c r="Q870" s="169">
        <f>IFERROR(MATCH(J870,'Final List'!$N$4:$N$252,0),0)</f>
        <v>0</v>
      </c>
      <c r="R870" s="169">
        <f>IFERROR(MATCH(J870,'Final List'!$P$4:$P$252,0),0)</f>
        <v>0</v>
      </c>
      <c r="S870" s="169">
        <f t="shared" si="55"/>
        <v>0</v>
      </c>
      <c r="T870" s="169" t="s">
        <v>68</v>
      </c>
      <c r="V870" s="169" t="str">
        <f t="shared" si="53"/>
        <v>BABOR 2</v>
      </c>
      <c r="W870" s="169" t="s">
        <v>2713</v>
      </c>
    </row>
    <row r="871" spans="2:23" x14ac:dyDescent="0.25">
      <c r="B871" s="169" t="s">
        <v>92</v>
      </c>
      <c r="C871" s="169" t="s">
        <v>45</v>
      </c>
      <c r="D871" s="169" t="s">
        <v>133</v>
      </c>
      <c r="E871" s="169" t="s">
        <v>60</v>
      </c>
      <c r="F871" s="245" t="str">
        <f t="shared" si="54"/>
        <v>Dhoz 71</v>
      </c>
      <c r="G871" s="169" t="s">
        <v>2969</v>
      </c>
      <c r="I871" s="169" t="str">
        <f t="shared" si="56"/>
        <v>L05_DPVE_037E_DE</v>
      </c>
      <c r="J871" s="169" t="s">
        <v>7292</v>
      </c>
      <c r="K871" s="169">
        <f>IFERROR(MATCH(J871,'Final List'!$B$4:$B$252,0),0)</f>
        <v>0</v>
      </c>
      <c r="L871" s="169">
        <f>IFERROR(MATCH(J871,'Final List'!$D$4:$D$252,0),0)</f>
        <v>0</v>
      </c>
      <c r="M871" s="169">
        <f>IFERROR(MATCH(J871,'Final List'!$F$4:$F$251,0),0)</f>
        <v>0</v>
      </c>
      <c r="N871" s="169">
        <f>IFERROR(MATCH(J871,'Final List'!$H$4:$H$252,0),0)</f>
        <v>0</v>
      </c>
      <c r="O871" s="169">
        <f>IFERROR(MATCH(J871,'Final List'!$J$4:$J$252,0),0)</f>
        <v>0</v>
      </c>
      <c r="P871" s="169">
        <f>IFERROR(MATCH(J871,'Final List'!$L$4:$L$252,0),0)</f>
        <v>0</v>
      </c>
      <c r="Q871" s="169">
        <f>IFERROR(MATCH(J871,'Final List'!$N$4:$N$252,0),0)</f>
        <v>0</v>
      </c>
      <c r="R871" s="169">
        <f>IFERROR(MATCH(J871,'Final List'!$P$4:$P$252,0),0)</f>
        <v>0</v>
      </c>
      <c r="S871" s="169">
        <f t="shared" si="55"/>
        <v>0</v>
      </c>
      <c r="V871" s="169" t="str">
        <f t="shared" si="53"/>
        <v>SAMBERE 1</v>
      </c>
      <c r="W871" s="169" t="s">
        <v>8895</v>
      </c>
    </row>
    <row r="872" spans="2:23" x14ac:dyDescent="0.25">
      <c r="B872" s="169" t="s">
        <v>92</v>
      </c>
      <c r="C872" s="169" t="s">
        <v>45</v>
      </c>
      <c r="D872" s="169" t="s">
        <v>161</v>
      </c>
      <c r="E872" s="169" t="s">
        <v>441</v>
      </c>
      <c r="F872" s="245" t="str">
        <f t="shared" si="54"/>
        <v>RobC 80</v>
      </c>
      <c r="G872" s="169" t="s">
        <v>7290</v>
      </c>
      <c r="I872" s="169" t="str">
        <f t="shared" si="56"/>
        <v>L05_DPVE_044E_WINZE STOPE PREP</v>
      </c>
      <c r="J872" s="169" t="s">
        <v>7291</v>
      </c>
      <c r="K872" s="169">
        <f>IFERROR(MATCH(J872,'Final List'!$B$4:$B$252,0),0)</f>
        <v>0</v>
      </c>
      <c r="L872" s="169">
        <f>IFERROR(MATCH(J872,'Final List'!$D$4:$D$252,0),0)</f>
        <v>0</v>
      </c>
      <c r="M872" s="169">
        <f>IFERROR(MATCH(J872,'Final List'!$F$4:$F$251,0),0)</f>
        <v>0</v>
      </c>
      <c r="N872" s="169">
        <f>IFERROR(MATCH(J872,'Final List'!$H$4:$H$252,0),0)</f>
        <v>0</v>
      </c>
      <c r="O872" s="169">
        <f>IFERROR(MATCH(J872,'Final List'!$J$4:$J$252,0),0)</f>
        <v>0</v>
      </c>
      <c r="P872" s="169">
        <f>IFERROR(MATCH(J872,'Final List'!$L$4:$L$252,0),0)</f>
        <v>0</v>
      </c>
      <c r="Q872" s="169">
        <f>IFERROR(MATCH(J872,'Final List'!$N$4:$N$252,0),0)</f>
        <v>0</v>
      </c>
      <c r="R872" s="169">
        <f>IFERROR(MATCH(J872,'Final List'!$P$4:$P$252,0),0)</f>
        <v>0</v>
      </c>
      <c r="S872" s="169">
        <f t="shared" si="55"/>
        <v>0</v>
      </c>
      <c r="T872" s="169" t="s">
        <v>68</v>
      </c>
      <c r="V872" s="169" t="str">
        <f t="shared" si="53"/>
        <v>PANCIT, NOEL</v>
      </c>
      <c r="W872" s="169" t="s">
        <v>2716</v>
      </c>
    </row>
    <row r="873" spans="2:23" x14ac:dyDescent="0.25">
      <c r="B873" s="169" t="s">
        <v>95</v>
      </c>
      <c r="C873" s="169" t="s">
        <v>42</v>
      </c>
      <c r="D873" s="169" t="s">
        <v>226</v>
      </c>
      <c r="E873" s="169" t="s">
        <v>6154</v>
      </c>
      <c r="F873" s="245" t="str">
        <f t="shared" si="54"/>
        <v>Dhoz 71</v>
      </c>
      <c r="G873" s="169" t="s">
        <v>7297</v>
      </c>
      <c r="I873" s="169" t="str">
        <f t="shared" si="56"/>
        <v>L08_JV_074E_DW_ISL</v>
      </c>
      <c r="J873" s="169" t="s">
        <v>7296</v>
      </c>
      <c r="K873" s="169">
        <f>IFERROR(MATCH(J873,'Final List'!$B$4:$B$252,0),0)</f>
        <v>0</v>
      </c>
      <c r="L873" s="169">
        <f>IFERROR(MATCH(J873,'Final List'!$D$4:$D$252,0),0)</f>
        <v>0</v>
      </c>
      <c r="M873" s="169">
        <f>IFERROR(MATCH(J873,'Final List'!$F$4:$F$251,0),0)</f>
        <v>0</v>
      </c>
      <c r="N873" s="169">
        <f>IFERROR(MATCH(J873,'Final List'!$H$4:$H$252,0),0)</f>
        <v>0</v>
      </c>
      <c r="O873" s="169">
        <f>IFERROR(MATCH(J873,'Final List'!$J$4:$J$252,0),0)</f>
        <v>0</v>
      </c>
      <c r="P873" s="169">
        <f>IFERROR(MATCH(J873,'Final List'!$L$4:$L$252,0),0)</f>
        <v>0</v>
      </c>
      <c r="Q873" s="169">
        <f>IFERROR(MATCH(J873,'Final List'!$N$4:$N$252,0),0)</f>
        <v>0</v>
      </c>
      <c r="R873" s="169">
        <f>IFERROR(MATCH(J873,'Final List'!$P$4:$P$252,0),0)</f>
        <v>0</v>
      </c>
      <c r="S873" s="169">
        <f t="shared" si="55"/>
        <v>0</v>
      </c>
      <c r="V873" s="169" t="str">
        <f t="shared" si="53"/>
        <v>AGLOLO MIGUEL</v>
      </c>
      <c r="W873" s="169" t="s">
        <v>2708</v>
      </c>
    </row>
    <row r="874" spans="2:23" x14ac:dyDescent="0.25">
      <c r="B874" s="169" t="s">
        <v>96</v>
      </c>
      <c r="C874" s="169" t="s">
        <v>45</v>
      </c>
      <c r="D874" s="169" t="s">
        <v>6864</v>
      </c>
      <c r="E874" s="169" t="s">
        <v>19</v>
      </c>
      <c r="F874" s="245" t="str">
        <f t="shared" si="54"/>
        <v>DVR 72</v>
      </c>
      <c r="G874" s="169" t="s">
        <v>4260</v>
      </c>
      <c r="I874" s="169" t="str">
        <f t="shared" si="56"/>
        <v>L09_DPVE_006E_RAISE</v>
      </c>
      <c r="J874" s="169" t="s">
        <v>7299</v>
      </c>
      <c r="K874" s="169">
        <f>IFERROR(MATCH(J874,'Final List'!$B$4:$B$252,0),0)</f>
        <v>0</v>
      </c>
      <c r="L874" s="169">
        <f>IFERROR(MATCH(J874,'Final List'!$D$4:$D$252,0),0)</f>
        <v>0</v>
      </c>
      <c r="M874" s="169">
        <f>IFERROR(MATCH(J874,'Final List'!$F$4:$F$251,0),0)</f>
        <v>0</v>
      </c>
      <c r="N874" s="169">
        <f>IFERROR(MATCH(J874,'Final List'!$H$4:$H$252,0),0)</f>
        <v>0</v>
      </c>
      <c r="O874" s="169">
        <f>IFERROR(MATCH(J874,'Final List'!$J$4:$J$252,0),0)</f>
        <v>0</v>
      </c>
      <c r="P874" s="169">
        <f>IFERROR(MATCH(J874,'Final List'!$L$4:$L$252,0),0)</f>
        <v>0</v>
      </c>
      <c r="Q874" s="169">
        <f>IFERROR(MATCH(J874,'Final List'!$N$4:$N$252,0),0)</f>
        <v>0</v>
      </c>
      <c r="R874" s="169">
        <f>IFERROR(MATCH(J874,'Final List'!$P$4:$P$252,0),0)</f>
        <v>0</v>
      </c>
      <c r="S874" s="169">
        <f t="shared" si="55"/>
        <v>0</v>
      </c>
      <c r="V874" s="169" t="str">
        <f t="shared" si="53"/>
        <v>PANCIT NOEL 1</v>
      </c>
      <c r="W874" s="169" t="s">
        <v>2715</v>
      </c>
    </row>
    <row r="875" spans="2:23" x14ac:dyDescent="0.25">
      <c r="B875" s="169" t="s">
        <v>94</v>
      </c>
      <c r="C875" s="169" t="s">
        <v>42</v>
      </c>
      <c r="D875" s="169" t="s">
        <v>5612</v>
      </c>
      <c r="E875" s="169" t="s">
        <v>62</v>
      </c>
      <c r="F875" s="245" t="str">
        <f t="shared" si="54"/>
        <v>RobC 80</v>
      </c>
      <c r="G875" s="169" t="s">
        <v>8199</v>
      </c>
      <c r="I875" s="169" t="str">
        <f t="shared" si="56"/>
        <v>L07_JV_011W_ROBBING</v>
      </c>
      <c r="J875" s="169" t="s">
        <v>7338</v>
      </c>
      <c r="K875" s="169">
        <f>IFERROR(MATCH(J875,'Final List'!$B$4:$B$252,0),0)</f>
        <v>0</v>
      </c>
      <c r="L875" s="169">
        <f>IFERROR(MATCH(J875,'Final List'!$D$4:$D$252,0),0)</f>
        <v>0</v>
      </c>
      <c r="M875" s="169">
        <f>IFERROR(MATCH(J875,'Final List'!$F$4:$F$251,0),0)</f>
        <v>0</v>
      </c>
      <c r="N875" s="169">
        <f>IFERROR(MATCH(J875,'Final List'!$H$4:$H$252,0),0)</f>
        <v>0</v>
      </c>
      <c r="O875" s="169">
        <f>IFERROR(MATCH(J875,'Final List'!$J$4:$J$252,0),0)</f>
        <v>0</v>
      </c>
      <c r="P875" s="169">
        <f>IFERROR(MATCH(J875,'Final List'!$L$4:$L$252,0),0)</f>
        <v>0</v>
      </c>
      <c r="Q875" s="169">
        <f>IFERROR(MATCH(J875,'Final List'!$N$4:$N$252,0),0)</f>
        <v>0</v>
      </c>
      <c r="R875" s="169">
        <f>IFERROR(MATCH(J875,'Final List'!$P$4:$P$252,0),0)</f>
        <v>0</v>
      </c>
      <c r="S875" s="169">
        <f t="shared" si="55"/>
        <v>0</v>
      </c>
      <c r="T875" s="169" t="s">
        <v>48</v>
      </c>
      <c r="V875" s="169" t="str">
        <f t="shared" si="53"/>
        <v>SHEPHERD AT 1</v>
      </c>
      <c r="W875" s="169" t="s">
        <v>236</v>
      </c>
    </row>
    <row r="876" spans="2:23" x14ac:dyDescent="0.25">
      <c r="B876" s="169" t="s">
        <v>95</v>
      </c>
      <c r="C876" s="169" t="s">
        <v>45</v>
      </c>
      <c r="D876" s="169" t="s">
        <v>201</v>
      </c>
      <c r="E876" s="169" t="s">
        <v>20</v>
      </c>
      <c r="F876" s="245" t="str">
        <f t="shared" si="54"/>
        <v>DVW 74</v>
      </c>
      <c r="G876" s="169" t="s">
        <v>1370</v>
      </c>
      <c r="I876" s="169" t="str">
        <f t="shared" si="56"/>
        <v>L08_DPVE_067E_WINZE</v>
      </c>
      <c r="J876" s="169" t="s">
        <v>7303</v>
      </c>
      <c r="K876" s="169">
        <f>IFERROR(MATCH(J876,'Final List'!$B$4:$B$252,0),0)</f>
        <v>0</v>
      </c>
      <c r="L876" s="169">
        <f>IFERROR(MATCH(J876,'Final List'!$D$4:$D$252,0),0)</f>
        <v>0</v>
      </c>
      <c r="M876" s="169">
        <f>IFERROR(MATCH(J876,'Final List'!$F$4:$F$251,0),0)</f>
        <v>0</v>
      </c>
      <c r="N876" s="169">
        <f>IFERROR(MATCH(J876,'Final List'!$H$4:$H$252,0),0)</f>
        <v>0</v>
      </c>
      <c r="O876" s="169">
        <f>IFERROR(MATCH(J876,'Final List'!$J$4:$J$252,0),0)</f>
        <v>0</v>
      </c>
      <c r="P876" s="169">
        <f>IFERROR(MATCH(J876,'Final List'!$L$4:$L$252,0),0)</f>
        <v>0</v>
      </c>
      <c r="Q876" s="169">
        <f>IFERROR(MATCH(J876,'Final List'!$N$4:$N$252,0),0)</f>
        <v>0</v>
      </c>
      <c r="R876" s="169">
        <f>IFERROR(MATCH(J876,'Final List'!$P$4:$P$252,0),0)</f>
        <v>0</v>
      </c>
      <c r="S876" s="169">
        <f t="shared" si="55"/>
        <v>0</v>
      </c>
      <c r="V876" s="169" t="str">
        <f t="shared" si="53"/>
        <v>OY-YOY</v>
      </c>
      <c r="W876" s="169" t="s">
        <v>2706</v>
      </c>
    </row>
    <row r="877" spans="2:23" x14ac:dyDescent="0.25">
      <c r="B877" s="169" t="s">
        <v>95</v>
      </c>
      <c r="C877" s="169" t="s">
        <v>42</v>
      </c>
      <c r="D877" s="169" t="s">
        <v>5602</v>
      </c>
      <c r="E877" s="169" t="s">
        <v>62</v>
      </c>
      <c r="F877" s="245" t="str">
        <f t="shared" si="54"/>
        <v>RobS 79</v>
      </c>
      <c r="G877" s="169" t="s">
        <v>5708</v>
      </c>
      <c r="I877" s="169" t="str">
        <f t="shared" si="56"/>
        <v>L08_JV_053E_ROBBING</v>
      </c>
      <c r="J877" s="169" t="s">
        <v>7304</v>
      </c>
      <c r="K877" s="169">
        <f>IFERROR(MATCH(J877,'Final List'!$B$4:$B$252,0),0)</f>
        <v>0</v>
      </c>
      <c r="L877" s="169">
        <f>IFERROR(MATCH(J877,'Final List'!$D$4:$D$252,0),0)</f>
        <v>0</v>
      </c>
      <c r="M877" s="169">
        <f>IFERROR(MATCH(J877,'Final List'!$F$4:$F$251,0),0)</f>
        <v>0</v>
      </c>
      <c r="N877" s="169">
        <f>IFERROR(MATCH(J877,'Final List'!$H$4:$H$252,0),0)</f>
        <v>0</v>
      </c>
      <c r="O877" s="169">
        <f>IFERROR(MATCH(J877,'Final List'!$J$4:$J$252,0),0)</f>
        <v>0</v>
      </c>
      <c r="P877" s="169">
        <f>IFERROR(MATCH(J877,'Final List'!$L$4:$L$252,0),0)</f>
        <v>0</v>
      </c>
      <c r="Q877" s="169">
        <f>IFERROR(MATCH(J877,'Final List'!$N$4:$N$252,0),0)</f>
        <v>0</v>
      </c>
      <c r="R877" s="169">
        <f>IFERROR(MATCH(J877,'Final List'!$P$4:$P$252,0),0)</f>
        <v>0</v>
      </c>
      <c r="S877" s="169">
        <f t="shared" si="55"/>
        <v>0</v>
      </c>
      <c r="T877" s="169" t="s">
        <v>68</v>
      </c>
      <c r="V877" s="169" t="str">
        <f t="shared" si="53"/>
        <v>SHEPHERD AJ 1</v>
      </c>
      <c r="W877" s="169" t="s">
        <v>2707</v>
      </c>
    </row>
    <row r="878" spans="2:23" x14ac:dyDescent="0.25">
      <c r="B878" s="169" t="s">
        <v>92</v>
      </c>
      <c r="C878" s="169" t="s">
        <v>41</v>
      </c>
      <c r="D878" s="169" t="s">
        <v>115</v>
      </c>
      <c r="E878" s="169" t="s">
        <v>62</v>
      </c>
      <c r="F878" s="245" t="str">
        <f t="shared" si="54"/>
        <v>RobS 79</v>
      </c>
      <c r="G878" s="169" t="s">
        <v>5698</v>
      </c>
      <c r="I878" s="169" t="str">
        <f t="shared" si="56"/>
        <v>L05_CTV_019W_ROBBING</v>
      </c>
      <c r="J878" s="169" t="s">
        <v>7305</v>
      </c>
      <c r="K878" s="169">
        <f>IFERROR(MATCH(J878,'Final List'!$B$4:$B$252,0),0)</f>
        <v>0</v>
      </c>
      <c r="L878" s="169">
        <f>IFERROR(MATCH(J878,'Final List'!$D$4:$D$252,0),0)</f>
        <v>0</v>
      </c>
      <c r="M878" s="169">
        <f>IFERROR(MATCH(J878,'Final List'!$F$4:$F$251,0),0)</f>
        <v>0</v>
      </c>
      <c r="N878" s="169">
        <f>IFERROR(MATCH(J878,'Final List'!$H$4:$H$252,0),0)</f>
        <v>0</v>
      </c>
      <c r="O878" s="169">
        <f>IFERROR(MATCH(J878,'Final List'!$J$4:$J$252,0),0)</f>
        <v>0</v>
      </c>
      <c r="P878" s="169">
        <f>IFERROR(MATCH(J878,'Final List'!$L$4:$L$252,0),0)</f>
        <v>0</v>
      </c>
      <c r="Q878" s="169">
        <f>IFERROR(MATCH(J878,'Final List'!$N$4:$N$252,0),0)</f>
        <v>0</v>
      </c>
      <c r="R878" s="169">
        <f>IFERROR(MATCH(J878,'Final List'!$P$4:$P$252,0),0)</f>
        <v>0</v>
      </c>
      <c r="S878" s="169">
        <f t="shared" si="55"/>
        <v>0</v>
      </c>
      <c r="T878" s="169" t="s">
        <v>68</v>
      </c>
      <c r="V878" s="169" t="str">
        <f t="shared" si="53"/>
        <v>PARAN 1</v>
      </c>
      <c r="W878" s="169" t="s">
        <v>2707</v>
      </c>
    </row>
    <row r="879" spans="2:23" x14ac:dyDescent="0.25">
      <c r="B879" s="169" t="s">
        <v>96</v>
      </c>
      <c r="C879" s="169" t="s">
        <v>42</v>
      </c>
      <c r="D879" s="169" t="s">
        <v>168</v>
      </c>
      <c r="E879" s="169" t="s">
        <v>20</v>
      </c>
      <c r="F879" s="245" t="str">
        <f t="shared" si="54"/>
        <v>DVW 74</v>
      </c>
      <c r="G879" s="169" t="s">
        <v>2971</v>
      </c>
      <c r="I879" s="169" t="str">
        <f t="shared" si="56"/>
        <v>L09_JV_047E_WINZE</v>
      </c>
      <c r="J879" s="169" t="s">
        <v>7306</v>
      </c>
      <c r="K879" s="169">
        <f>IFERROR(MATCH(J879,'Final List'!$B$4:$B$252,0),0)</f>
        <v>0</v>
      </c>
      <c r="L879" s="169">
        <f>IFERROR(MATCH(J879,'Final List'!$D$4:$D$252,0),0)</f>
        <v>0</v>
      </c>
      <c r="M879" s="169">
        <f>IFERROR(MATCH(J879,'Final List'!$F$4:$F$251,0),0)</f>
        <v>0</v>
      </c>
      <c r="N879" s="169">
        <f>IFERROR(MATCH(J879,'Final List'!$H$4:$H$252,0),0)</f>
        <v>0</v>
      </c>
      <c r="O879" s="169">
        <f>IFERROR(MATCH(J879,'Final List'!$J$4:$J$252,0),0)</f>
        <v>0</v>
      </c>
      <c r="P879" s="169">
        <f>IFERROR(MATCH(J879,'Final List'!$L$4:$L$252,0),0)</f>
        <v>0</v>
      </c>
      <c r="Q879" s="169">
        <f>IFERROR(MATCH(J879,'Final List'!$N$4:$N$252,0),0)</f>
        <v>0</v>
      </c>
      <c r="R879" s="169">
        <f>IFERROR(MATCH(J879,'Final List'!$P$4:$P$252,0),0)</f>
        <v>0</v>
      </c>
      <c r="S879" s="169">
        <f t="shared" si="55"/>
        <v>0</v>
      </c>
      <c r="V879" s="169" t="str">
        <f t="shared" si="53"/>
        <v>FABROA 3</v>
      </c>
      <c r="W879" s="169" t="s">
        <v>2706</v>
      </c>
    </row>
    <row r="880" spans="2:23" x14ac:dyDescent="0.25">
      <c r="B880" s="169" t="s">
        <v>258</v>
      </c>
      <c r="C880" s="169" t="s">
        <v>38</v>
      </c>
      <c r="D880" s="169" t="s">
        <v>117</v>
      </c>
      <c r="E880" s="169" t="s">
        <v>61</v>
      </c>
      <c r="F880" s="245" t="str">
        <f t="shared" si="54"/>
        <v>Dhoz 71</v>
      </c>
      <c r="G880" s="169" t="s">
        <v>5697</v>
      </c>
      <c r="I880" s="169" t="str">
        <f t="shared" si="56"/>
        <v>L10_GHV_006W_DW</v>
      </c>
      <c r="J880" s="169" t="s">
        <v>7311</v>
      </c>
      <c r="K880" s="169">
        <f>IFERROR(MATCH(J880,'Final List'!$B$4:$B$252,0),0)</f>
        <v>0</v>
      </c>
      <c r="L880" s="169">
        <f>IFERROR(MATCH(J880,'Final List'!$D$4:$D$252,0),0)</f>
        <v>0</v>
      </c>
      <c r="M880" s="169">
        <f>IFERROR(MATCH(J880,'Final List'!$F$4:$F$251,0),0)</f>
        <v>0</v>
      </c>
      <c r="N880" s="169">
        <f>IFERROR(MATCH(J880,'Final List'!$H$4:$H$252,0),0)</f>
        <v>0</v>
      </c>
      <c r="O880" s="169">
        <f>IFERROR(MATCH(J880,'Final List'!$J$4:$J$252,0),0)</f>
        <v>0</v>
      </c>
      <c r="P880" s="169">
        <f>IFERROR(MATCH(J880,'Final List'!$L$4:$L$252,0),0)</f>
        <v>0</v>
      </c>
      <c r="Q880" s="169">
        <f>IFERROR(MATCH(J880,'Final List'!$N$4:$N$252,0),0)</f>
        <v>0</v>
      </c>
      <c r="R880" s="169">
        <f>IFERROR(MATCH(J880,'Final List'!$P$4:$P$252,0),0)</f>
        <v>0</v>
      </c>
      <c r="S880" s="169">
        <f t="shared" si="55"/>
        <v>0</v>
      </c>
      <c r="V880" s="169" t="str">
        <f t="shared" si="53"/>
        <v>OLIVEROS 1</v>
      </c>
      <c r="W880" s="169" t="s">
        <v>8896</v>
      </c>
    </row>
    <row r="881" spans="2:23" x14ac:dyDescent="0.25">
      <c r="B881" s="169" t="s">
        <v>93</v>
      </c>
      <c r="C881" s="169" t="s">
        <v>87</v>
      </c>
      <c r="D881" s="169" t="s">
        <v>5850</v>
      </c>
      <c r="E881" s="169" t="s">
        <v>19</v>
      </c>
      <c r="F881" s="245" t="str">
        <f t="shared" si="54"/>
        <v>DVR 72</v>
      </c>
      <c r="G881" s="169" t="s">
        <v>355</v>
      </c>
      <c r="H881" s="169" t="s">
        <v>1456</v>
      </c>
      <c r="I881" s="169" t="str">
        <f t="shared" si="56"/>
        <v>L06_NONE_016E_RAISE</v>
      </c>
      <c r="J881" s="169" t="s">
        <v>7313</v>
      </c>
      <c r="K881" s="169">
        <f>IFERROR(MATCH(J881,'Final List'!$B$4:$B$252,0),0)</f>
        <v>0</v>
      </c>
      <c r="L881" s="169">
        <f>IFERROR(MATCH(J881,'Final List'!$D$4:$D$252,0),0)</f>
        <v>0</v>
      </c>
      <c r="M881" s="169">
        <f>IFERROR(MATCH(J881,'Final List'!$F$4:$F$251,0),0)</f>
        <v>0</v>
      </c>
      <c r="N881" s="169">
        <f>IFERROR(MATCH(J881,'Final List'!$H$4:$H$252,0),0)</f>
        <v>0</v>
      </c>
      <c r="O881" s="169">
        <f>IFERROR(MATCH(J881,'Final List'!$J$4:$J$252,0),0)</f>
        <v>0</v>
      </c>
      <c r="P881" s="169">
        <f>IFERROR(MATCH(J881,'Final List'!$L$4:$L$252,0),0)</f>
        <v>0</v>
      </c>
      <c r="Q881" s="169">
        <f>IFERROR(MATCH(J881,'Final List'!$N$4:$N$252,0),0)</f>
        <v>0</v>
      </c>
      <c r="R881" s="169">
        <f>IFERROR(MATCH(J881,'Final List'!$P$4:$P$252,0),0)</f>
        <v>0</v>
      </c>
      <c r="S881" s="169">
        <f t="shared" si="55"/>
        <v>0</v>
      </c>
      <c r="V881" s="169" t="str">
        <f t="shared" si="53"/>
        <v>GONZALES</v>
      </c>
      <c r="W881" s="169" t="s">
        <v>2714</v>
      </c>
    </row>
    <row r="882" spans="2:23" x14ac:dyDescent="0.25">
      <c r="B882" s="169" t="s">
        <v>94</v>
      </c>
      <c r="C882" s="169" t="s">
        <v>42</v>
      </c>
      <c r="D882" s="169" t="s">
        <v>7301</v>
      </c>
      <c r="E882" s="169" t="s">
        <v>60</v>
      </c>
      <c r="F882" s="245" t="str">
        <f t="shared" si="54"/>
        <v>Dhoz 71</v>
      </c>
      <c r="G882" s="169" t="s">
        <v>5817</v>
      </c>
      <c r="I882" s="169" t="str">
        <f t="shared" si="56"/>
        <v>L07_JV_010W_DE</v>
      </c>
      <c r="J882" s="169" t="s">
        <v>7321</v>
      </c>
      <c r="K882" s="169">
        <f>IFERROR(MATCH(J882,'Final List'!$B$4:$B$252,0),0)</f>
        <v>0</v>
      </c>
      <c r="L882" s="169">
        <f>IFERROR(MATCH(J882,'Final List'!$D$4:$D$252,0),0)</f>
        <v>0</v>
      </c>
      <c r="M882" s="169">
        <f>IFERROR(MATCH(J882,'Final List'!$F$4:$F$251,0),0)</f>
        <v>0</v>
      </c>
      <c r="N882" s="169">
        <f>IFERROR(MATCH(J882,'Final List'!$H$4:$H$252,0),0)</f>
        <v>0</v>
      </c>
      <c r="O882" s="169">
        <f>IFERROR(MATCH(J882,'Final List'!$J$4:$J$252,0),0)</f>
        <v>0</v>
      </c>
      <c r="P882" s="169">
        <f>IFERROR(MATCH(J882,'Final List'!$L$4:$L$252,0),0)</f>
        <v>0</v>
      </c>
      <c r="Q882" s="169">
        <f>IFERROR(MATCH(J882,'Final List'!$N$4:$N$252,0),0)</f>
        <v>0</v>
      </c>
      <c r="R882" s="169">
        <f>IFERROR(MATCH(J882,'Final List'!$P$4:$P$252,0),0)</f>
        <v>0</v>
      </c>
      <c r="S882" s="169">
        <f t="shared" si="55"/>
        <v>0</v>
      </c>
      <c r="V882" s="169" t="str">
        <f t="shared" si="53"/>
        <v>SHEPHERD AK</v>
      </c>
      <c r="W882" s="169" t="s">
        <v>8895</v>
      </c>
    </row>
    <row r="883" spans="2:23" x14ac:dyDescent="0.25">
      <c r="B883" s="169" t="s">
        <v>94</v>
      </c>
      <c r="C883" s="169" t="s">
        <v>41</v>
      </c>
      <c r="D883" s="169" t="s">
        <v>6033</v>
      </c>
      <c r="E883" s="169" t="s">
        <v>62</v>
      </c>
      <c r="F883" s="245" t="str">
        <f t="shared" si="54"/>
        <v>RobC 80</v>
      </c>
      <c r="G883" s="169" t="s">
        <v>604</v>
      </c>
      <c r="I883" s="169" t="str">
        <f t="shared" si="56"/>
        <v>L07_CTV_013E_ROBBING</v>
      </c>
      <c r="J883" s="169" t="s">
        <v>7339</v>
      </c>
      <c r="K883" s="169">
        <f>IFERROR(MATCH(J883,'Final List'!$B$4:$B$252,0),0)</f>
        <v>0</v>
      </c>
      <c r="L883" s="169">
        <f>IFERROR(MATCH(J883,'Final List'!$D$4:$D$252,0),0)</f>
        <v>0</v>
      </c>
      <c r="M883" s="169">
        <f>IFERROR(MATCH(J883,'Final List'!$F$4:$F$251,0),0)</f>
        <v>0</v>
      </c>
      <c r="N883" s="169">
        <f>IFERROR(MATCH(J883,'Final List'!$H$4:$H$252,0),0)</f>
        <v>0</v>
      </c>
      <c r="O883" s="169">
        <f>IFERROR(MATCH(J883,'Final List'!$J$4:$J$252,0),0)</f>
        <v>0</v>
      </c>
      <c r="P883" s="169">
        <f>IFERROR(MATCH(J883,'Final List'!$L$4:$L$252,0),0)</f>
        <v>0</v>
      </c>
      <c r="Q883" s="169">
        <f>IFERROR(MATCH(J883,'Final List'!$N$4:$N$252,0),0)</f>
        <v>0</v>
      </c>
      <c r="R883" s="169">
        <f>IFERROR(MATCH(J883,'Final List'!$P$4:$P$252,0),0)</f>
        <v>0</v>
      </c>
      <c r="S883" s="169">
        <f t="shared" si="55"/>
        <v>0</v>
      </c>
      <c r="T883" s="169" t="s">
        <v>48</v>
      </c>
      <c r="V883" s="169" t="str">
        <f t="shared" si="53"/>
        <v>CARIKITAN 3</v>
      </c>
      <c r="W883" s="169" t="s">
        <v>236</v>
      </c>
    </row>
    <row r="884" spans="2:23" x14ac:dyDescent="0.25">
      <c r="B884" s="169" t="s">
        <v>93</v>
      </c>
      <c r="C884" s="169" t="s">
        <v>39</v>
      </c>
      <c r="D884" s="169" t="s">
        <v>5669</v>
      </c>
      <c r="E884" s="169" t="s">
        <v>61</v>
      </c>
      <c r="F884" s="245" t="str">
        <f t="shared" si="54"/>
        <v>Dhoz 71</v>
      </c>
      <c r="G884" s="169" t="s">
        <v>378</v>
      </c>
      <c r="H884"/>
      <c r="I884" s="169" t="str">
        <f t="shared" si="56"/>
        <v>L06_JVHW_027W_DW</v>
      </c>
      <c r="J884" t="s">
        <v>7322</v>
      </c>
      <c r="K884" s="169">
        <f>IFERROR(MATCH(J884,'Final List'!$B$4:$B$252,0),0)</f>
        <v>0</v>
      </c>
      <c r="L884" s="169">
        <f>IFERROR(MATCH(J884,'Final List'!$D$4:$D$252,0),0)</f>
        <v>0</v>
      </c>
      <c r="M884" s="169">
        <f>IFERROR(MATCH(J884,'Final List'!$F$4:$F$251,0),0)</f>
        <v>0</v>
      </c>
      <c r="N884" s="169">
        <f>IFERROR(MATCH(J884,'Final List'!$H$4:$H$252,0),0)</f>
        <v>0</v>
      </c>
      <c r="O884" s="169">
        <f>IFERROR(MATCH(J884,'Final List'!$J$4:$J$252,0),0)</f>
        <v>0</v>
      </c>
      <c r="P884" s="169">
        <f>IFERROR(MATCH(J884,'Final List'!$L$4:$L$252,0),0)</f>
        <v>0</v>
      </c>
      <c r="Q884" s="169">
        <f>IFERROR(MATCH(J884,'Final List'!$N$4:$N$252,0),0)</f>
        <v>0</v>
      </c>
      <c r="R884" s="169">
        <f>IFERROR(MATCH(J884,'Final List'!$P$4:$P$252,0),0)</f>
        <v>0</v>
      </c>
      <c r="S884" s="169">
        <f t="shared" si="55"/>
        <v>0</v>
      </c>
      <c r="T884"/>
      <c r="U884"/>
      <c r="V884" s="169" t="str">
        <f t="shared" si="53"/>
        <v>GUNAY 1</v>
      </c>
      <c r="W884" s="169" t="s">
        <v>8895</v>
      </c>
    </row>
    <row r="885" spans="2:23" x14ac:dyDescent="0.25">
      <c r="B885" s="169" t="s">
        <v>95</v>
      </c>
      <c r="C885" s="169" t="s">
        <v>38</v>
      </c>
      <c r="D885" s="169" t="s">
        <v>179</v>
      </c>
      <c r="E885" s="169" t="s">
        <v>62</v>
      </c>
      <c r="F885" s="245" t="str">
        <f t="shared" si="54"/>
        <v>RobS 79</v>
      </c>
      <c r="G885" s="169" t="s">
        <v>1507</v>
      </c>
      <c r="I885" s="169" t="str">
        <f t="shared" si="56"/>
        <v>L08_GHV_050E_ROBBING</v>
      </c>
      <c r="J885" s="169" t="s">
        <v>7325</v>
      </c>
      <c r="K885" s="169">
        <f>IFERROR(MATCH(J885,'Final List'!$B$4:$B$252,0),0)</f>
        <v>0</v>
      </c>
      <c r="L885" s="169">
        <f>IFERROR(MATCH(J885,'Final List'!$D$4:$D$252,0),0)</f>
        <v>0</v>
      </c>
      <c r="M885" s="169">
        <f>IFERROR(MATCH(J885,'Final List'!$F$4:$F$251,0),0)</f>
        <v>0</v>
      </c>
      <c r="N885" s="169">
        <f>IFERROR(MATCH(J885,'Final List'!$H$4:$H$252,0),0)</f>
        <v>0</v>
      </c>
      <c r="O885" s="169">
        <f>IFERROR(MATCH(J885,'Final List'!$J$4:$J$252,0),0)</f>
        <v>0</v>
      </c>
      <c r="P885" s="169">
        <f>IFERROR(MATCH(J885,'Final List'!$L$4:$L$252,0),0)</f>
        <v>0</v>
      </c>
      <c r="Q885" s="169">
        <f>IFERROR(MATCH(J885,'Final List'!$N$4:$N$252,0),0)</f>
        <v>0</v>
      </c>
      <c r="R885" s="169">
        <f>IFERROR(MATCH(J885,'Final List'!$P$4:$P$252,0),0)</f>
        <v>0</v>
      </c>
      <c r="S885" s="169">
        <f t="shared" si="55"/>
        <v>0</v>
      </c>
      <c r="T885" s="169" t="s">
        <v>68</v>
      </c>
      <c r="V885" s="169" t="str">
        <f t="shared" si="53"/>
        <v>FERNANDEZ 1</v>
      </c>
      <c r="W885" s="169" t="s">
        <v>2707</v>
      </c>
    </row>
    <row r="886" spans="2:23" x14ac:dyDescent="0.25">
      <c r="B886" s="169" t="s">
        <v>96</v>
      </c>
      <c r="C886" s="169" t="s">
        <v>43</v>
      </c>
      <c r="D886" s="169" t="s">
        <v>7223</v>
      </c>
      <c r="E886" s="169" t="s">
        <v>61</v>
      </c>
      <c r="F886" s="245" t="str">
        <f t="shared" si="54"/>
        <v>Dhoz 71</v>
      </c>
      <c r="G886" s="169" t="s">
        <v>5774</v>
      </c>
      <c r="I886" s="169" t="str">
        <f t="shared" si="56"/>
        <v>L09_GHVSPLIT_002E_DW</v>
      </c>
      <c r="J886" s="169" t="s">
        <v>7549</v>
      </c>
      <c r="K886" s="169">
        <f>IFERROR(MATCH(J886,'Final List'!$B$4:$B$252,0),0)</f>
        <v>0</v>
      </c>
      <c r="L886" s="169">
        <f>IFERROR(MATCH(J886,'Final List'!$D$4:$D$252,0),0)</f>
        <v>0</v>
      </c>
      <c r="M886" s="169">
        <f>IFERROR(MATCH(J886,'Final List'!$F$4:$F$251,0),0)</f>
        <v>0</v>
      </c>
      <c r="N886" s="169">
        <f>IFERROR(MATCH(J886,'Final List'!$H$4:$H$252,0),0)</f>
        <v>0</v>
      </c>
      <c r="O886" s="169">
        <f>IFERROR(MATCH(J886,'Final List'!$J$4:$J$252,0),0)</f>
        <v>0</v>
      </c>
      <c r="P886" s="169">
        <f>IFERROR(MATCH(J886,'Final List'!$L$4:$L$252,0),0)</f>
        <v>0</v>
      </c>
      <c r="Q886" s="169">
        <f>IFERROR(MATCH(J886,'Final List'!$N$4:$N$252,0),0)</f>
        <v>0</v>
      </c>
      <c r="R886" s="169">
        <f>IFERROR(MATCH(J886,'Final List'!$P$4:$P$252,0),0)</f>
        <v>0</v>
      </c>
      <c r="S886" s="169">
        <f t="shared" si="55"/>
        <v>0</v>
      </c>
      <c r="V886" s="169" t="str">
        <f t="shared" si="53"/>
        <v>BANTAYAN 1</v>
      </c>
      <c r="W886" s="169" t="s">
        <v>8896</v>
      </c>
    </row>
    <row r="887" spans="2:23" x14ac:dyDescent="0.25">
      <c r="B887" s="169" t="s">
        <v>92</v>
      </c>
      <c r="C887" s="169" t="s">
        <v>41</v>
      </c>
      <c r="D887" s="169" t="s">
        <v>116</v>
      </c>
      <c r="E887" s="169" t="s">
        <v>62</v>
      </c>
      <c r="F887" s="245" t="str">
        <f t="shared" si="54"/>
        <v>RobS 79</v>
      </c>
      <c r="G887" s="169" t="s">
        <v>401</v>
      </c>
      <c r="I887" s="169" t="str">
        <f t="shared" si="56"/>
        <v>L05_CTV_021W_ROBBING</v>
      </c>
      <c r="J887" s="169" t="s">
        <v>7347</v>
      </c>
      <c r="K887" s="169">
        <f>IFERROR(MATCH(J887,'Final List'!$B$4:$B$252,0),0)</f>
        <v>0</v>
      </c>
      <c r="L887" s="169">
        <f>IFERROR(MATCH(J887,'Final List'!$D$4:$D$252,0),0)</f>
        <v>0</v>
      </c>
      <c r="M887" s="169">
        <f>IFERROR(MATCH(J887,'Final List'!$F$4:$F$251,0),0)</f>
        <v>0</v>
      </c>
      <c r="N887" s="169">
        <f>IFERROR(MATCH(J887,'Final List'!$H$4:$H$252,0),0)</f>
        <v>0</v>
      </c>
      <c r="O887" s="169">
        <f>IFERROR(MATCH(J887,'Final List'!$J$4:$J$252,0),0)</f>
        <v>0</v>
      </c>
      <c r="P887" s="169">
        <f>IFERROR(MATCH(J887,'Final List'!$L$4:$L$252,0),0)</f>
        <v>0</v>
      </c>
      <c r="Q887" s="169">
        <f>IFERROR(MATCH(J887,'Final List'!$N$4:$N$252,0),0)</f>
        <v>0</v>
      </c>
      <c r="R887" s="169">
        <f>IFERROR(MATCH(J887,'Final List'!$P$4:$P$252,0),0)</f>
        <v>0</v>
      </c>
      <c r="S887" s="169">
        <f t="shared" si="55"/>
        <v>0</v>
      </c>
      <c r="T887" s="169" t="s">
        <v>68</v>
      </c>
      <c r="V887" s="169" t="str">
        <f t="shared" si="53"/>
        <v>MAPAYO 2</v>
      </c>
      <c r="W887" s="169" t="s">
        <v>2707</v>
      </c>
    </row>
    <row r="888" spans="2:23" x14ac:dyDescent="0.25">
      <c r="B888" s="169" t="s">
        <v>91</v>
      </c>
      <c r="C888" s="169" t="s">
        <v>42</v>
      </c>
      <c r="D888" s="169" t="s">
        <v>6036</v>
      </c>
      <c r="E888" s="169" t="s">
        <v>60</v>
      </c>
      <c r="F888" s="245" t="str">
        <f t="shared" si="54"/>
        <v>Dhoz 71</v>
      </c>
      <c r="G888" s="169" t="s">
        <v>7076</v>
      </c>
      <c r="I888" s="169" t="str">
        <f t="shared" si="56"/>
        <v>L04_JV_017E_DE</v>
      </c>
      <c r="J888" s="169" t="s">
        <v>7331</v>
      </c>
      <c r="K888" s="169">
        <f>IFERROR(MATCH(J888,'Final List'!$B$4:$B$252,0),0)</f>
        <v>0</v>
      </c>
      <c r="L888" s="169">
        <f>IFERROR(MATCH(J888,'Final List'!$D$4:$D$252,0),0)</f>
        <v>0</v>
      </c>
      <c r="M888" s="169">
        <f>IFERROR(MATCH(J888,'Final List'!$F$4:$F$251,0),0)</f>
        <v>0</v>
      </c>
      <c r="N888" s="169">
        <f>IFERROR(MATCH(J888,'Final List'!$H$4:$H$252,0),0)</f>
        <v>0</v>
      </c>
      <c r="O888" s="169">
        <f>IFERROR(MATCH(J888,'Final List'!$J$4:$J$252,0),0)</f>
        <v>0</v>
      </c>
      <c r="P888" s="169">
        <f>IFERROR(MATCH(J888,'Final List'!$L$4:$L$252,0),0)</f>
        <v>0</v>
      </c>
      <c r="Q888" s="169">
        <f>IFERROR(MATCH(J888,'Final List'!$N$4:$N$252,0),0)</f>
        <v>0</v>
      </c>
      <c r="R888" s="169">
        <f>IFERROR(MATCH(J888,'Final List'!$P$4:$P$252,0),0)</f>
        <v>0</v>
      </c>
      <c r="S888" s="169">
        <f t="shared" si="55"/>
        <v>0</v>
      </c>
      <c r="V888" s="169" t="str">
        <f t="shared" si="53"/>
        <v>SHEPHERD AR</v>
      </c>
      <c r="W888" s="169" t="s">
        <v>8895</v>
      </c>
    </row>
    <row r="889" spans="2:23" x14ac:dyDescent="0.25">
      <c r="B889" s="169" t="s">
        <v>95</v>
      </c>
      <c r="C889" s="169" t="s">
        <v>56</v>
      </c>
      <c r="D889" s="169" t="s">
        <v>5835</v>
      </c>
      <c r="E889" s="169" t="s">
        <v>441</v>
      </c>
      <c r="F889" s="245" t="str">
        <f t="shared" si="54"/>
        <v>RobC 80</v>
      </c>
      <c r="G889" s="169" t="s">
        <v>1369</v>
      </c>
      <c r="I889" s="169" t="str">
        <f t="shared" si="56"/>
        <v>L08_GHVFW_003W_WINZE STOPE PREP</v>
      </c>
      <c r="J889" s="169" t="s">
        <v>8208</v>
      </c>
      <c r="K889" s="169">
        <f>IFERROR(MATCH(J889,'Final List'!$B$4:$B$252,0),0)</f>
        <v>0</v>
      </c>
      <c r="L889" s="169">
        <f>IFERROR(MATCH(J889,'Final List'!$D$4:$D$252,0),0)</f>
        <v>0</v>
      </c>
      <c r="M889" s="169">
        <f>IFERROR(MATCH(J889,'Final List'!$F$4:$F$251,0),0)</f>
        <v>0</v>
      </c>
      <c r="N889" s="169">
        <f>IFERROR(MATCH(J889,'Final List'!$H$4:$H$252,0),0)</f>
        <v>0</v>
      </c>
      <c r="O889" s="169">
        <f>IFERROR(MATCH(J889,'Final List'!$J$4:$J$252,0),0)</f>
        <v>0</v>
      </c>
      <c r="P889" s="169">
        <f>IFERROR(MATCH(J889,'Final List'!$L$4:$L$252,0),0)</f>
        <v>0</v>
      </c>
      <c r="Q889" s="169">
        <f>IFERROR(MATCH(J889,'Final List'!$N$4:$N$252,0),0)</f>
        <v>0</v>
      </c>
      <c r="R889" s="169">
        <f>IFERROR(MATCH(J889,'Final List'!$P$4:$P$252,0),0)</f>
        <v>0</v>
      </c>
      <c r="S889" s="169">
        <f t="shared" si="55"/>
        <v>0</v>
      </c>
      <c r="T889" s="169" t="s">
        <v>68</v>
      </c>
      <c r="V889" s="169" t="str">
        <f t="shared" si="53"/>
        <v>TORMIS</v>
      </c>
      <c r="W889" s="169" t="s">
        <v>2716</v>
      </c>
    </row>
    <row r="890" spans="2:23" x14ac:dyDescent="0.25">
      <c r="B890" s="169" t="s">
        <v>93</v>
      </c>
      <c r="C890" s="169" t="s">
        <v>57</v>
      </c>
      <c r="D890" s="169" t="s">
        <v>6033</v>
      </c>
      <c r="E890" s="169" t="s">
        <v>19</v>
      </c>
      <c r="F890" s="245" t="str">
        <f t="shared" si="54"/>
        <v>DVR 72</v>
      </c>
      <c r="G890" s="169" t="s">
        <v>354</v>
      </c>
      <c r="I890" s="169" t="str">
        <f t="shared" si="56"/>
        <v>L06_JVSPLIT_013E_RAISE</v>
      </c>
      <c r="J890" s="169" t="s">
        <v>7340</v>
      </c>
      <c r="K890" s="169">
        <f>IFERROR(MATCH(J890,'Final List'!$B$4:$B$252,0),0)</f>
        <v>0</v>
      </c>
      <c r="L890" s="169">
        <f>IFERROR(MATCH(J890,'Final List'!$D$4:$D$252,0),0)</f>
        <v>0</v>
      </c>
      <c r="M890" s="169">
        <f>IFERROR(MATCH(J890,'Final List'!$F$4:$F$251,0),0)</f>
        <v>0</v>
      </c>
      <c r="N890" s="169">
        <f>IFERROR(MATCH(J890,'Final List'!$H$4:$H$252,0),0)</f>
        <v>0</v>
      </c>
      <c r="O890" s="169">
        <f>IFERROR(MATCH(J890,'Final List'!$J$4:$J$252,0),0)</f>
        <v>0</v>
      </c>
      <c r="P890" s="169">
        <f>IFERROR(MATCH(J890,'Final List'!$L$4:$L$252,0),0)</f>
        <v>0</v>
      </c>
      <c r="Q890" s="169">
        <f>IFERROR(MATCH(J890,'Final List'!$N$4:$N$252,0),0)</f>
        <v>0</v>
      </c>
      <c r="R890" s="169">
        <f>IFERROR(MATCH(J890,'Final List'!$P$4:$P$252,0),0)</f>
        <v>0</v>
      </c>
      <c r="S890" s="169">
        <f t="shared" si="55"/>
        <v>0</v>
      </c>
      <c r="V890" s="169" t="str">
        <f t="shared" si="53"/>
        <v>BAÑEZ 3</v>
      </c>
      <c r="W890" s="169" t="s">
        <v>2715</v>
      </c>
    </row>
    <row r="891" spans="2:23" x14ac:dyDescent="0.25">
      <c r="B891" s="169" t="s">
        <v>95</v>
      </c>
      <c r="C891" s="169" t="s">
        <v>56</v>
      </c>
      <c r="D891" s="169" t="s">
        <v>128</v>
      </c>
      <c r="E891" s="169" t="s">
        <v>62</v>
      </c>
      <c r="F891" s="245" t="str">
        <f t="shared" si="54"/>
        <v>RobS 79</v>
      </c>
      <c r="G891" s="169" t="s">
        <v>472</v>
      </c>
      <c r="I891" s="169" t="str">
        <f t="shared" si="56"/>
        <v>L08_GHVFW_027E_ROBBING</v>
      </c>
      <c r="J891" s="169" t="s">
        <v>7342</v>
      </c>
      <c r="K891" s="169">
        <f>IFERROR(MATCH(J891,'Final List'!$B$4:$B$252,0),0)</f>
        <v>0</v>
      </c>
      <c r="L891" s="169">
        <f>IFERROR(MATCH(J891,'Final List'!$D$4:$D$252,0),0)</f>
        <v>0</v>
      </c>
      <c r="M891" s="169">
        <f>IFERROR(MATCH(J891,'Final List'!$F$4:$F$251,0),0)</f>
        <v>0</v>
      </c>
      <c r="N891" s="169">
        <f>IFERROR(MATCH(J891,'Final List'!$H$4:$H$252,0),0)</f>
        <v>0</v>
      </c>
      <c r="O891" s="169">
        <f>IFERROR(MATCH(J891,'Final List'!$J$4:$J$252,0),0)</f>
        <v>0</v>
      </c>
      <c r="P891" s="169">
        <f>IFERROR(MATCH(J891,'Final List'!$L$4:$L$252,0),0)</f>
        <v>0</v>
      </c>
      <c r="Q891" s="169">
        <f>IFERROR(MATCH(J891,'Final List'!$N$4:$N$252,0),0)</f>
        <v>0</v>
      </c>
      <c r="R891" s="169">
        <f>IFERROR(MATCH(J891,'Final List'!$P$4:$P$252,0),0)</f>
        <v>0</v>
      </c>
      <c r="S891" s="169">
        <f t="shared" si="55"/>
        <v>0</v>
      </c>
      <c r="T891" s="169" t="s">
        <v>68</v>
      </c>
      <c r="V891" s="169" t="str">
        <f t="shared" si="53"/>
        <v>LERIO 3</v>
      </c>
      <c r="W891" s="169" t="s">
        <v>2707</v>
      </c>
    </row>
    <row r="892" spans="2:23" x14ac:dyDescent="0.25">
      <c r="B892" s="169" t="s">
        <v>96</v>
      </c>
      <c r="C892" s="169" t="s">
        <v>45</v>
      </c>
      <c r="D892" s="169" t="s">
        <v>201</v>
      </c>
      <c r="E892" s="169" t="s">
        <v>60</v>
      </c>
      <c r="F892" s="245" t="str">
        <f t="shared" si="54"/>
        <v>Dhoz 71</v>
      </c>
      <c r="G892" s="169" t="s">
        <v>6621</v>
      </c>
      <c r="I892" s="169" t="str">
        <f t="shared" si="56"/>
        <v>L09_DPVE_067E_DE</v>
      </c>
      <c r="J892" s="169" t="s">
        <v>7344</v>
      </c>
      <c r="K892" s="169">
        <f>IFERROR(MATCH(J892,'Final List'!$B$4:$B$252,0),0)</f>
        <v>0</v>
      </c>
      <c r="L892" s="169">
        <f>IFERROR(MATCH(J892,'Final List'!$D$4:$D$252,0),0)</f>
        <v>0</v>
      </c>
      <c r="M892" s="169">
        <f>IFERROR(MATCH(J892,'Final List'!$F$4:$F$251,0),0)</f>
        <v>0</v>
      </c>
      <c r="N892" s="169">
        <f>IFERROR(MATCH(J892,'Final List'!$H$4:$H$252,0),0)</f>
        <v>0</v>
      </c>
      <c r="O892" s="169">
        <f>IFERROR(MATCH(J892,'Final List'!$J$4:$J$252,0),0)</f>
        <v>0</v>
      </c>
      <c r="P892" s="169">
        <f>IFERROR(MATCH(J892,'Final List'!$L$4:$L$252,0),0)</f>
        <v>0</v>
      </c>
      <c r="Q892" s="169">
        <f>IFERROR(MATCH(J892,'Final List'!$N$4:$N$252,0),0)</f>
        <v>0</v>
      </c>
      <c r="R892" s="169">
        <f>IFERROR(MATCH(J892,'Final List'!$P$4:$P$252,0),0)</f>
        <v>0</v>
      </c>
      <c r="S892" s="169">
        <f t="shared" si="55"/>
        <v>0</v>
      </c>
      <c r="V892" s="169" t="str">
        <f t="shared" si="53"/>
        <v>DELOS REYES V1</v>
      </c>
      <c r="W892" s="169" t="s">
        <v>8896</v>
      </c>
    </row>
    <row r="893" spans="2:23" x14ac:dyDescent="0.25">
      <c r="B893" s="169" t="s">
        <v>92</v>
      </c>
      <c r="C893" s="169" t="s">
        <v>45</v>
      </c>
      <c r="D893" s="169" t="s">
        <v>5602</v>
      </c>
      <c r="E893" s="169" t="s">
        <v>19</v>
      </c>
      <c r="F893" s="245" t="str">
        <f t="shared" si="54"/>
        <v>DVR 72</v>
      </c>
      <c r="G893" s="169" t="s">
        <v>7329</v>
      </c>
      <c r="I893" s="169" t="str">
        <f t="shared" si="56"/>
        <v>L05_DPVE_053E_RAISE</v>
      </c>
      <c r="J893" s="169" t="s">
        <v>7346</v>
      </c>
      <c r="K893" s="169">
        <f>IFERROR(MATCH(J893,'Final List'!$B$4:$B$252,0),0)</f>
        <v>0</v>
      </c>
      <c r="L893" s="169">
        <f>IFERROR(MATCH(J893,'Final List'!$D$4:$D$252,0),0)</f>
        <v>0</v>
      </c>
      <c r="M893" s="169">
        <f>IFERROR(MATCH(J893,'Final List'!$F$4:$F$251,0),0)</f>
        <v>0</v>
      </c>
      <c r="N893" s="169">
        <f>IFERROR(MATCH(J893,'Final List'!$H$4:$H$252,0),0)</f>
        <v>0</v>
      </c>
      <c r="O893" s="169">
        <f>IFERROR(MATCH(J893,'Final List'!$J$4:$J$252,0),0)</f>
        <v>0</v>
      </c>
      <c r="P893" s="169">
        <f>IFERROR(MATCH(J893,'Final List'!$L$4:$L$252,0),0)</f>
        <v>0</v>
      </c>
      <c r="Q893" s="169">
        <f>IFERROR(MATCH(J893,'Final List'!$N$4:$N$252,0),0)</f>
        <v>0</v>
      </c>
      <c r="R893" s="169">
        <f>IFERROR(MATCH(J893,'Final List'!$P$4:$P$252,0),0)</f>
        <v>0</v>
      </c>
      <c r="S893" s="169">
        <f t="shared" si="55"/>
        <v>0</v>
      </c>
      <c r="V893" s="169" t="str">
        <f t="shared" si="53"/>
        <v>SHEPHERD RG</v>
      </c>
      <c r="W893" s="169" t="s">
        <v>2715</v>
      </c>
    </row>
    <row r="894" spans="2:23" x14ac:dyDescent="0.25">
      <c r="B894" s="169" t="s">
        <v>91</v>
      </c>
      <c r="C894" s="169" t="s">
        <v>55</v>
      </c>
      <c r="D894" s="169" t="s">
        <v>129</v>
      </c>
      <c r="E894" s="169" t="s">
        <v>211</v>
      </c>
      <c r="F894" s="245" t="str">
        <f t="shared" si="54"/>
        <v>StpS 77</v>
      </c>
      <c r="G894" s="169" t="s">
        <v>448</v>
      </c>
      <c r="I894" s="169" t="str">
        <f t="shared" si="56"/>
        <v>L04_JVFW_010E_STOPE PREP</v>
      </c>
      <c r="J894" s="169" t="s">
        <v>7358</v>
      </c>
      <c r="K894" s="169">
        <f>IFERROR(MATCH(J894,'Final List'!$B$4:$B$252,0),0)</f>
        <v>0</v>
      </c>
      <c r="L894" s="169">
        <f>IFERROR(MATCH(J894,'Final List'!$D$4:$D$252,0),0)</f>
        <v>0</v>
      </c>
      <c r="M894" s="169">
        <f>IFERROR(MATCH(J894,'Final List'!$F$4:$F$251,0),0)</f>
        <v>0</v>
      </c>
      <c r="N894" s="169">
        <f>IFERROR(MATCH(J894,'Final List'!$H$4:$H$252,0),0)</f>
        <v>0</v>
      </c>
      <c r="O894" s="169">
        <f>IFERROR(MATCH(J894,'Final List'!$J$4:$J$252,0),0)</f>
        <v>0</v>
      </c>
      <c r="P894" s="169">
        <f>IFERROR(MATCH(J894,'Final List'!$L$4:$L$252,0),0)</f>
        <v>0</v>
      </c>
      <c r="Q894" s="169">
        <f>IFERROR(MATCH(J894,'Final List'!$N$4:$N$252,0),0)</f>
        <v>0</v>
      </c>
      <c r="R894" s="169">
        <f>IFERROR(MATCH(J894,'Final List'!$P$4:$P$252,0),0)</f>
        <v>0</v>
      </c>
      <c r="S894" s="169">
        <f t="shared" si="55"/>
        <v>0</v>
      </c>
      <c r="T894" s="169" t="s">
        <v>68</v>
      </c>
      <c r="V894" s="169" t="str">
        <f t="shared" si="53"/>
        <v>COMAINGKING 2</v>
      </c>
      <c r="W894" s="169" t="s">
        <v>2712</v>
      </c>
    </row>
    <row r="895" spans="2:23" x14ac:dyDescent="0.25">
      <c r="B895" s="169" t="s">
        <v>96</v>
      </c>
      <c r="C895" s="169" t="s">
        <v>56</v>
      </c>
      <c r="D895" s="169" t="s">
        <v>5614</v>
      </c>
      <c r="E895" s="169" t="s">
        <v>19</v>
      </c>
      <c r="F895" s="245" t="str">
        <f t="shared" si="54"/>
        <v>DVR 72</v>
      </c>
      <c r="G895" s="169" t="s">
        <v>455</v>
      </c>
      <c r="I895" s="169" t="str">
        <f t="shared" si="56"/>
        <v>L09_GHVFW_055E_RAISE</v>
      </c>
      <c r="J895" s="169" t="s">
        <v>7350</v>
      </c>
      <c r="K895" s="169">
        <f>IFERROR(MATCH(J895,'Final List'!$B$4:$B$252,0),0)</f>
        <v>0</v>
      </c>
      <c r="L895" s="169">
        <f>IFERROR(MATCH(J895,'Final List'!$D$4:$D$252,0),0)</f>
        <v>0</v>
      </c>
      <c r="M895" s="169">
        <f>IFERROR(MATCH(J895,'Final List'!$F$4:$F$251,0),0)</f>
        <v>0</v>
      </c>
      <c r="N895" s="169">
        <f>IFERROR(MATCH(J895,'Final List'!$H$4:$H$252,0),0)</f>
        <v>0</v>
      </c>
      <c r="O895" s="169">
        <f>IFERROR(MATCH(J895,'Final List'!$J$4:$J$252,0),0)</f>
        <v>0</v>
      </c>
      <c r="P895" s="169">
        <f>IFERROR(MATCH(J895,'Final List'!$L$4:$L$252,0),0)</f>
        <v>0</v>
      </c>
      <c r="Q895" s="169">
        <f>IFERROR(MATCH(J895,'Final List'!$N$4:$N$252,0),0)</f>
        <v>0</v>
      </c>
      <c r="R895" s="169">
        <f>IFERROR(MATCH(J895,'Final List'!$P$4:$P$252,0),0)</f>
        <v>0</v>
      </c>
      <c r="S895" s="169">
        <f t="shared" si="55"/>
        <v>0</v>
      </c>
      <c r="V895" s="169" t="str">
        <f t="shared" si="53"/>
        <v>BABOR 4</v>
      </c>
      <c r="W895" s="169" t="s">
        <v>2715</v>
      </c>
    </row>
    <row r="896" spans="2:23" x14ac:dyDescent="0.25">
      <c r="B896" s="169" t="s">
        <v>95</v>
      </c>
      <c r="C896" s="169" t="s">
        <v>45</v>
      </c>
      <c r="D896" s="169" t="s">
        <v>6946</v>
      </c>
      <c r="E896" s="169" t="s">
        <v>62</v>
      </c>
      <c r="F896" s="245" t="str">
        <f t="shared" si="54"/>
        <v>RobC 80</v>
      </c>
      <c r="G896" s="169" t="s">
        <v>3042</v>
      </c>
      <c r="I896" s="169" t="str">
        <f t="shared" si="56"/>
        <v>L08_DPVE_081E_ROBBING</v>
      </c>
      <c r="J896" s="169" t="s">
        <v>7351</v>
      </c>
      <c r="K896" s="169">
        <f>IFERROR(MATCH(J896,'Final List'!$B$4:$B$252,0),0)</f>
        <v>0</v>
      </c>
      <c r="L896" s="169">
        <f>IFERROR(MATCH(J896,'Final List'!$D$4:$D$252,0),0)</f>
        <v>0</v>
      </c>
      <c r="M896" s="169">
        <f>IFERROR(MATCH(J896,'Final List'!$F$4:$F$251,0),0)</f>
        <v>0</v>
      </c>
      <c r="N896" s="169">
        <f>IFERROR(MATCH(J896,'Final List'!$H$4:$H$252,0),0)</f>
        <v>0</v>
      </c>
      <c r="O896" s="169">
        <f>IFERROR(MATCH(J896,'Final List'!$J$4:$J$252,0),0)</f>
        <v>0</v>
      </c>
      <c r="P896" s="169">
        <f>IFERROR(MATCH(J896,'Final List'!$L$4:$L$252,0),0)</f>
        <v>0</v>
      </c>
      <c r="Q896" s="169">
        <f>IFERROR(MATCH(J896,'Final List'!$N$4:$N$252,0),0)</f>
        <v>0</v>
      </c>
      <c r="R896" s="169">
        <f>IFERROR(MATCH(J896,'Final List'!$P$4:$P$252,0),0)</f>
        <v>0</v>
      </c>
      <c r="S896" s="169">
        <f t="shared" si="55"/>
        <v>0</v>
      </c>
      <c r="T896" s="169" t="s">
        <v>48</v>
      </c>
      <c r="V896" s="169" t="str">
        <f t="shared" si="53"/>
        <v>VILLARANTE</v>
      </c>
      <c r="W896" s="169" t="s">
        <v>236</v>
      </c>
    </row>
    <row r="897" spans="2:23" x14ac:dyDescent="0.25">
      <c r="B897" s="169" t="s">
        <v>94</v>
      </c>
      <c r="C897" s="169" t="s">
        <v>45</v>
      </c>
      <c r="D897" s="169" t="s">
        <v>172</v>
      </c>
      <c r="E897" s="169" t="s">
        <v>211</v>
      </c>
      <c r="F897" s="245" t="str">
        <f t="shared" si="54"/>
        <v>StpS 77</v>
      </c>
      <c r="G897" s="169" t="s">
        <v>6406</v>
      </c>
      <c r="I897" s="169" t="str">
        <f t="shared" si="56"/>
        <v>L07_DPVE_045E_STOPE PREP</v>
      </c>
      <c r="J897" s="169" t="s">
        <v>7353</v>
      </c>
      <c r="K897" s="169">
        <f>IFERROR(MATCH(J897,'Final List'!$B$4:$B$252,0),0)</f>
        <v>0</v>
      </c>
      <c r="L897" s="169">
        <f>IFERROR(MATCH(J897,'Final List'!$D$4:$D$252,0),0)</f>
        <v>0</v>
      </c>
      <c r="M897" s="169">
        <f>IFERROR(MATCH(J897,'Final List'!$F$4:$F$251,0),0)</f>
        <v>0</v>
      </c>
      <c r="N897" s="169">
        <f>IFERROR(MATCH(J897,'Final List'!$H$4:$H$252,0),0)</f>
        <v>0</v>
      </c>
      <c r="O897" s="169">
        <f>IFERROR(MATCH(J897,'Final List'!$J$4:$J$252,0),0)</f>
        <v>0</v>
      </c>
      <c r="P897" s="169">
        <f>IFERROR(MATCH(J897,'Final List'!$L$4:$L$252,0),0)</f>
        <v>0</v>
      </c>
      <c r="Q897" s="169">
        <f>IFERROR(MATCH(J897,'Final List'!$N$4:$N$252,0),0)</f>
        <v>0</v>
      </c>
      <c r="R897" s="169">
        <f>IFERROR(MATCH(J897,'Final List'!$P$4:$P$252,0),0)</f>
        <v>0</v>
      </c>
      <c r="S897" s="169">
        <f t="shared" si="55"/>
        <v>0</v>
      </c>
      <c r="T897" s="169" t="s">
        <v>68</v>
      </c>
      <c r="V897" s="169" t="str">
        <f t="shared" si="53"/>
        <v>TURRA</v>
      </c>
      <c r="W897" s="169" t="s">
        <v>2712</v>
      </c>
    </row>
    <row r="898" spans="2:23" x14ac:dyDescent="0.25">
      <c r="B898" s="169" t="s">
        <v>94</v>
      </c>
      <c r="C898" s="169" t="s">
        <v>45</v>
      </c>
      <c r="D898" s="169" t="s">
        <v>6036</v>
      </c>
      <c r="E898" s="169" t="s">
        <v>19</v>
      </c>
      <c r="F898" s="245" t="str">
        <f t="shared" si="54"/>
        <v>DVR 72</v>
      </c>
      <c r="G898" s="169" t="s">
        <v>6406</v>
      </c>
      <c r="I898" s="169" t="str">
        <f t="shared" si="56"/>
        <v>L07_DPVE_017E_RAISE</v>
      </c>
      <c r="J898" s="169" t="s">
        <v>7355</v>
      </c>
      <c r="K898" s="169">
        <f>IFERROR(MATCH(J898,'Final List'!$B$4:$B$252,0),0)</f>
        <v>0</v>
      </c>
      <c r="L898" s="169">
        <f>IFERROR(MATCH(J898,'Final List'!$D$4:$D$252,0),0)</f>
        <v>0</v>
      </c>
      <c r="M898" s="169">
        <f>IFERROR(MATCH(J898,'Final List'!$F$4:$F$251,0),0)</f>
        <v>0</v>
      </c>
      <c r="N898" s="169">
        <f>IFERROR(MATCH(J898,'Final List'!$H$4:$H$252,0),0)</f>
        <v>0</v>
      </c>
      <c r="O898" s="169">
        <f>IFERROR(MATCH(J898,'Final List'!$J$4:$J$252,0),0)</f>
        <v>0</v>
      </c>
      <c r="P898" s="169">
        <f>IFERROR(MATCH(J898,'Final List'!$L$4:$L$252,0),0)</f>
        <v>0</v>
      </c>
      <c r="Q898" s="169">
        <f>IFERROR(MATCH(J898,'Final List'!$N$4:$N$252,0),0)</f>
        <v>0</v>
      </c>
      <c r="R898" s="169">
        <f>IFERROR(MATCH(J898,'Final List'!$P$4:$P$252,0),0)</f>
        <v>0</v>
      </c>
      <c r="S898" s="169">
        <f t="shared" si="55"/>
        <v>0</v>
      </c>
      <c r="V898" s="169" t="str">
        <f t="shared" ref="V898:V961" si="57">IF(H898="",G898,H898)</f>
        <v>TURRA</v>
      </c>
      <c r="W898" s="169" t="s">
        <v>2715</v>
      </c>
    </row>
    <row r="899" spans="2:23" x14ac:dyDescent="0.25">
      <c r="B899" s="169" t="s">
        <v>96</v>
      </c>
      <c r="C899" s="169" t="s">
        <v>38</v>
      </c>
      <c r="D899" s="169" t="s">
        <v>166</v>
      </c>
      <c r="E899" s="169" t="s">
        <v>62</v>
      </c>
      <c r="F899" s="245" t="str">
        <f t="shared" ref="F899:F962" si="58">IF(OR(E899="XCN",E899="DE",E899="DW",E899="DN",E899="XCS",E899="XCE",E899="XCW",E899="SUMP",E899="BYPASS",E899="CHAMBER",E899="DRAIN HOLE",E899="DRILLING CHAMBER",E899="DE_ISL",E899="DW_ISL",E899="REHAB"),"Dhoz 71",IF(OR(E899="RAISE",E899="RAISE_ISL"),"DVR 72",IF(E899="ALIMAK","DVA 73",IF(E899="WINZE","DVW 74",IF(E899="SHAFT","DVS 75",IF(AND(E899="WINZE STOPE",T899="S"),"RobC 80",IF(AND(E899="STOPE",T899="S"),"StpS 77",IF(AND(E899="WINZE STOPE",T899="L"),"RobC 80",IF(AND(E899="STOPE",T899="L"),"StpL 78",IF(AND(E899="WINZE STOPE PREP",T899="S"),"RobC 80",IF(AND(E899="STOPE PREP",T899="S"),"StpS 77",IF(AND(E899="WINZE STOPE PREP",T899="L"),"RobC 80",IF(AND(E899="STOPE PREP",T899="L"),"StpL 78",IF(AND(E899="ROBBING",T899="L"),"RobC 80",IF(AND(E899="ROBBING",T899="S"),"RobS 79",0)))))))))))))))</f>
        <v>RobS 79</v>
      </c>
      <c r="G899" s="169" t="s">
        <v>7360</v>
      </c>
      <c r="I899" s="169" t="str">
        <f t="shared" si="56"/>
        <v>L09_GHV_068E_ROBBING</v>
      </c>
      <c r="J899" s="169" t="s">
        <v>7359</v>
      </c>
      <c r="K899" s="169">
        <f>IFERROR(MATCH(J899,'Final List'!$B$4:$B$252,0),0)</f>
        <v>0</v>
      </c>
      <c r="L899" s="169">
        <f>IFERROR(MATCH(J899,'Final List'!$D$4:$D$252,0),0)</f>
        <v>0</v>
      </c>
      <c r="M899" s="169">
        <f>IFERROR(MATCH(J899,'Final List'!$F$4:$F$251,0),0)</f>
        <v>0</v>
      </c>
      <c r="N899" s="169">
        <f>IFERROR(MATCH(J899,'Final List'!$H$4:$H$252,0),0)</f>
        <v>0</v>
      </c>
      <c r="O899" s="169">
        <f>IFERROR(MATCH(J899,'Final List'!$J$4:$J$252,0),0)</f>
        <v>0</v>
      </c>
      <c r="P899" s="169">
        <f>IFERROR(MATCH(J899,'Final List'!$L$4:$L$252,0),0)</f>
        <v>0</v>
      </c>
      <c r="Q899" s="169">
        <f>IFERROR(MATCH(J899,'Final List'!$N$4:$N$252,0),0)</f>
        <v>0</v>
      </c>
      <c r="R899" s="169">
        <f>IFERROR(MATCH(J899,'Final List'!$P$4:$P$252,0),0)</f>
        <v>0</v>
      </c>
      <c r="S899" s="169">
        <f t="shared" ref="S899:S962" si="59">SUM(K899:R899)</f>
        <v>0</v>
      </c>
      <c r="T899" s="169" t="s">
        <v>68</v>
      </c>
      <c r="V899" s="169" t="str">
        <f t="shared" si="57"/>
        <v>REBOTE JOSELITO</v>
      </c>
      <c r="W899" s="169" t="s">
        <v>2707</v>
      </c>
    </row>
    <row r="900" spans="2:23" x14ac:dyDescent="0.25">
      <c r="B900" s="169" t="s">
        <v>96</v>
      </c>
      <c r="C900" s="169" t="s">
        <v>56</v>
      </c>
      <c r="D900" s="169" t="s">
        <v>179</v>
      </c>
      <c r="E900" s="169" t="s">
        <v>19</v>
      </c>
      <c r="F900" s="245" t="str">
        <f t="shared" si="58"/>
        <v>DVR 72</v>
      </c>
      <c r="G900" s="169" t="s">
        <v>5101</v>
      </c>
      <c r="I900" s="169" t="str">
        <f t="shared" si="56"/>
        <v>L09_GHVFW_050E_RAISE</v>
      </c>
      <c r="J900" s="169" t="s">
        <v>7356</v>
      </c>
      <c r="K900" s="169">
        <f>IFERROR(MATCH(J900,'Final List'!$B$4:$B$252,0),0)</f>
        <v>0</v>
      </c>
      <c r="L900" s="169">
        <f>IFERROR(MATCH(J900,'Final List'!$D$4:$D$252,0),0)</f>
        <v>0</v>
      </c>
      <c r="M900" s="169">
        <f>IFERROR(MATCH(J900,'Final List'!$F$4:$F$251,0),0)</f>
        <v>0</v>
      </c>
      <c r="N900" s="169">
        <f>IFERROR(MATCH(J900,'Final List'!$H$4:$H$252,0),0)</f>
        <v>0</v>
      </c>
      <c r="O900" s="169">
        <f>IFERROR(MATCH(J900,'Final List'!$J$4:$J$252,0),0)</f>
        <v>0</v>
      </c>
      <c r="P900" s="169">
        <f>IFERROR(MATCH(J900,'Final List'!$L$4:$L$252,0),0)</f>
        <v>0</v>
      </c>
      <c r="Q900" s="169">
        <f>IFERROR(MATCH(J900,'Final List'!$N$4:$N$252,0),0)</f>
        <v>0</v>
      </c>
      <c r="R900" s="169">
        <f>IFERROR(MATCH(J900,'Final List'!$P$4:$P$252,0),0)</f>
        <v>0</v>
      </c>
      <c r="S900" s="169">
        <f t="shared" si="59"/>
        <v>0</v>
      </c>
      <c r="V900" s="169" t="str">
        <f t="shared" si="57"/>
        <v>DELOS REYES V3</v>
      </c>
      <c r="W900" s="169" t="s">
        <v>2715</v>
      </c>
    </row>
    <row r="901" spans="2:23" x14ac:dyDescent="0.25">
      <c r="B901" s="169" t="s">
        <v>258</v>
      </c>
      <c r="C901" s="169" t="s">
        <v>45</v>
      </c>
      <c r="D901" s="169" t="s">
        <v>147</v>
      </c>
      <c r="E901" s="169" t="s">
        <v>19</v>
      </c>
      <c r="F901" s="245" t="str">
        <f t="shared" si="58"/>
        <v>DVR 72</v>
      </c>
      <c r="G901" s="169" t="s">
        <v>4155</v>
      </c>
      <c r="H901" s="169" t="s">
        <v>10895</v>
      </c>
      <c r="I901" s="169" t="str">
        <f t="shared" si="56"/>
        <v>L10_DPVE_024E_RAISE</v>
      </c>
      <c r="J901" s="169" t="s">
        <v>7362</v>
      </c>
      <c r="K901" s="169">
        <f>IFERROR(MATCH(J901,'Final List'!$B$4:$B$252,0),0)</f>
        <v>0</v>
      </c>
      <c r="L901" s="169">
        <f>IFERROR(MATCH(J901,'Final List'!$D$4:$D$252,0),0)</f>
        <v>0</v>
      </c>
      <c r="M901" s="169">
        <f>IFERROR(MATCH(J901,'Final List'!$F$4:$F$251,0),0)</f>
        <v>0</v>
      </c>
      <c r="N901" s="169">
        <f>IFERROR(MATCH(J901,'Final List'!$H$4:$H$252,0),0)</f>
        <v>0</v>
      </c>
      <c r="O901" s="169">
        <f>IFERROR(MATCH(J901,'Final List'!$J$4:$J$252,0),0)</f>
        <v>0</v>
      </c>
      <c r="P901" s="169">
        <f>IFERROR(MATCH(J901,'Final List'!$L$4:$L$252,0),0)</f>
        <v>0</v>
      </c>
      <c r="Q901" s="169">
        <f>IFERROR(MATCH(J901,'Final List'!$N$4:$N$252,0),0)</f>
        <v>0</v>
      </c>
      <c r="R901" s="169">
        <f>IFERROR(MATCH(J901,'Final List'!$P$4:$P$252,0),0)</f>
        <v>0</v>
      </c>
      <c r="S901" s="169">
        <f t="shared" si="59"/>
        <v>0</v>
      </c>
      <c r="V901" s="169" t="str">
        <f t="shared" si="57"/>
        <v>SHEPHERD BC 1</v>
      </c>
      <c r="W901" s="169" t="s">
        <v>2715</v>
      </c>
    </row>
    <row r="902" spans="2:23" x14ac:dyDescent="0.25">
      <c r="B902" s="169" t="s">
        <v>93</v>
      </c>
      <c r="C902" s="169" t="s">
        <v>42</v>
      </c>
      <c r="D902" s="169" t="s">
        <v>7301</v>
      </c>
      <c r="E902" s="169" t="s">
        <v>61</v>
      </c>
      <c r="F902" s="245" t="str">
        <f t="shared" si="58"/>
        <v>Dhoz 71</v>
      </c>
      <c r="G902" s="169" t="s">
        <v>862</v>
      </c>
      <c r="I902" s="169" t="str">
        <f t="shared" si="56"/>
        <v>L06_JV_010W_DW</v>
      </c>
      <c r="J902" s="169" t="s">
        <v>7393</v>
      </c>
      <c r="K902" s="169">
        <f>IFERROR(MATCH(J902,'Final List'!$B$4:$B$252,0),0)</f>
        <v>0</v>
      </c>
      <c r="L902" s="169">
        <f>IFERROR(MATCH(J902,'Final List'!$D$4:$D$252,0),0)</f>
        <v>0</v>
      </c>
      <c r="M902" s="169">
        <f>IFERROR(MATCH(J902,'Final List'!$F$4:$F$251,0),0)</f>
        <v>0</v>
      </c>
      <c r="N902" s="169">
        <f>IFERROR(MATCH(J902,'Final List'!$H$4:$H$252,0),0)</f>
        <v>0</v>
      </c>
      <c r="O902" s="169">
        <f>IFERROR(MATCH(J902,'Final List'!$J$4:$J$252,0),0)</f>
        <v>0</v>
      </c>
      <c r="P902" s="169">
        <f>IFERROR(MATCH(J902,'Final List'!$L$4:$L$252,0),0)</f>
        <v>0</v>
      </c>
      <c r="Q902" s="169">
        <f>IFERROR(MATCH(J902,'Final List'!$N$4:$N$252,0),0)</f>
        <v>0</v>
      </c>
      <c r="R902" s="169">
        <f>IFERROR(MATCH(J902,'Final List'!$P$4:$P$252,0),0)</f>
        <v>0</v>
      </c>
      <c r="S902" s="169">
        <f t="shared" si="59"/>
        <v>0</v>
      </c>
      <c r="V902" s="169" t="str">
        <f t="shared" si="57"/>
        <v>REBOTE 1</v>
      </c>
      <c r="W902" s="169" t="s">
        <v>8895</v>
      </c>
    </row>
    <row r="903" spans="2:23" x14ac:dyDescent="0.25">
      <c r="B903" s="169" t="s">
        <v>93</v>
      </c>
      <c r="C903" s="169" t="s">
        <v>45</v>
      </c>
      <c r="D903" s="169" t="s">
        <v>5912</v>
      </c>
      <c r="E903" s="169" t="s">
        <v>60</v>
      </c>
      <c r="F903" s="245" t="str">
        <f t="shared" si="58"/>
        <v>Dhoz 71</v>
      </c>
      <c r="G903" s="169" t="s">
        <v>7363</v>
      </c>
      <c r="I903" s="169" t="str">
        <f t="shared" si="56"/>
        <v>L06_DPVE_019E_DE</v>
      </c>
      <c r="J903" s="169" t="s">
        <v>7376</v>
      </c>
      <c r="K903" s="169">
        <f>IFERROR(MATCH(J903,'Final List'!$B$4:$B$252,0),0)</f>
        <v>0</v>
      </c>
      <c r="L903" s="169">
        <f>IFERROR(MATCH(J903,'Final List'!$D$4:$D$252,0),0)</f>
        <v>0</v>
      </c>
      <c r="M903" s="169">
        <f>IFERROR(MATCH(J903,'Final List'!$F$4:$F$251,0),0)</f>
        <v>0</v>
      </c>
      <c r="N903" s="169">
        <f>IFERROR(MATCH(J903,'Final List'!$H$4:$H$252,0),0)</f>
        <v>0</v>
      </c>
      <c r="O903" s="169">
        <f>IFERROR(MATCH(J903,'Final List'!$J$4:$J$252,0),0)</f>
        <v>0</v>
      </c>
      <c r="P903" s="169">
        <f>IFERROR(MATCH(J903,'Final List'!$L$4:$L$252,0),0)</f>
        <v>0</v>
      </c>
      <c r="Q903" s="169">
        <f>IFERROR(MATCH(J903,'Final List'!$N$4:$N$252,0),0)</f>
        <v>0</v>
      </c>
      <c r="R903" s="169">
        <f>IFERROR(MATCH(J903,'Final List'!$P$4:$P$252,0),0)</f>
        <v>0</v>
      </c>
      <c r="S903" s="169">
        <f t="shared" si="59"/>
        <v>0</v>
      </c>
      <c r="V903" s="169" t="str">
        <f t="shared" si="57"/>
        <v>SHEPHERD AC 2</v>
      </c>
      <c r="W903" s="169" t="s">
        <v>8895</v>
      </c>
    </row>
    <row r="904" spans="2:23" x14ac:dyDescent="0.25">
      <c r="B904" s="169" t="s">
        <v>93</v>
      </c>
      <c r="C904" s="169" t="s">
        <v>41</v>
      </c>
      <c r="D904" s="169" t="s">
        <v>6864</v>
      </c>
      <c r="E904" s="169" t="s">
        <v>20</v>
      </c>
      <c r="F904" s="245" t="str">
        <f t="shared" si="58"/>
        <v>DVW 74</v>
      </c>
      <c r="G904" s="169" t="s">
        <v>5717</v>
      </c>
      <c r="I904" s="169" t="str">
        <f t="shared" si="56"/>
        <v>L06_CTV_006E_WINZE</v>
      </c>
      <c r="J904" s="169" t="s">
        <v>7375</v>
      </c>
      <c r="K904" s="169">
        <f>IFERROR(MATCH(J904,'Final List'!$B$4:$B$252,0),0)</f>
        <v>0</v>
      </c>
      <c r="L904" s="169">
        <f>IFERROR(MATCH(J904,'Final List'!$D$4:$D$252,0),0)</f>
        <v>0</v>
      </c>
      <c r="M904" s="169">
        <f>IFERROR(MATCH(J904,'Final List'!$F$4:$F$251,0),0)</f>
        <v>0</v>
      </c>
      <c r="N904" s="169">
        <f>IFERROR(MATCH(J904,'Final List'!$H$4:$H$252,0),0)</f>
        <v>0</v>
      </c>
      <c r="O904" s="169">
        <f>IFERROR(MATCH(J904,'Final List'!$J$4:$J$252,0),0)</f>
        <v>0</v>
      </c>
      <c r="P904" s="169">
        <f>IFERROR(MATCH(J904,'Final List'!$L$4:$L$252,0),0)</f>
        <v>0</v>
      </c>
      <c r="Q904" s="169">
        <f>IFERROR(MATCH(J904,'Final List'!$N$4:$N$252,0),0)</f>
        <v>0</v>
      </c>
      <c r="R904" s="169">
        <f>IFERROR(MATCH(J904,'Final List'!$P$4:$P$252,0),0)</f>
        <v>0</v>
      </c>
      <c r="S904" s="169">
        <f t="shared" si="59"/>
        <v>0</v>
      </c>
      <c r="V904" s="169" t="str">
        <f t="shared" si="57"/>
        <v>SHEPHERD AC 1</v>
      </c>
      <c r="W904" s="169" t="s">
        <v>2706</v>
      </c>
    </row>
    <row r="905" spans="2:23" x14ac:dyDescent="0.25">
      <c r="B905" s="169" t="s">
        <v>93</v>
      </c>
      <c r="C905" s="169" t="s">
        <v>42</v>
      </c>
      <c r="D905" s="169" t="s">
        <v>111</v>
      </c>
      <c r="E905" s="169" t="s">
        <v>19</v>
      </c>
      <c r="F905" s="245" t="str">
        <f t="shared" si="58"/>
        <v>DVR 72</v>
      </c>
      <c r="G905" s="169" t="s">
        <v>742</v>
      </c>
      <c r="I905" s="169" t="str">
        <f t="shared" si="56"/>
        <v>L06_JV_004W_RAISE</v>
      </c>
      <c r="J905" s="169" t="s">
        <v>7374</v>
      </c>
      <c r="K905" s="169">
        <f>IFERROR(MATCH(J905,'Final List'!$B$4:$B$252,0),0)</f>
        <v>0</v>
      </c>
      <c r="L905" s="169">
        <f>IFERROR(MATCH(J905,'Final List'!$D$4:$D$252,0),0)</f>
        <v>0</v>
      </c>
      <c r="M905" s="169">
        <f>IFERROR(MATCH(J905,'Final List'!$F$4:$F$251,0),0)</f>
        <v>0</v>
      </c>
      <c r="N905" s="169">
        <f>IFERROR(MATCH(J905,'Final List'!$H$4:$H$252,0),0)</f>
        <v>0</v>
      </c>
      <c r="O905" s="169">
        <f>IFERROR(MATCH(J905,'Final List'!$J$4:$J$252,0),0)</f>
        <v>0</v>
      </c>
      <c r="P905" s="169">
        <f>IFERROR(MATCH(J905,'Final List'!$L$4:$L$252,0),0)</f>
        <v>0</v>
      </c>
      <c r="Q905" s="169">
        <f>IFERROR(MATCH(J905,'Final List'!$N$4:$N$252,0),0)</f>
        <v>0</v>
      </c>
      <c r="R905" s="169">
        <f>IFERROR(MATCH(J905,'Final List'!$P$4:$P$252,0),0)</f>
        <v>0</v>
      </c>
      <c r="S905" s="169">
        <f t="shared" si="59"/>
        <v>0</v>
      </c>
      <c r="V905" s="169" t="str">
        <f t="shared" si="57"/>
        <v>REBOTE 2</v>
      </c>
      <c r="W905" s="169" t="s">
        <v>2715</v>
      </c>
    </row>
    <row r="906" spans="2:23" x14ac:dyDescent="0.25">
      <c r="B906" s="169" t="s">
        <v>91</v>
      </c>
      <c r="C906" s="169" t="s">
        <v>87</v>
      </c>
      <c r="D906" s="169" t="s">
        <v>159</v>
      </c>
      <c r="E906" s="169" t="s">
        <v>37</v>
      </c>
      <c r="F906" s="245" t="str">
        <f t="shared" si="58"/>
        <v>Dhoz 71</v>
      </c>
      <c r="G906" s="169" t="s">
        <v>7076</v>
      </c>
      <c r="I906" s="169" t="str">
        <f t="shared" si="56"/>
        <v>L04_NONE_023E_XCN</v>
      </c>
      <c r="J906" s="169" t="s">
        <v>2786</v>
      </c>
      <c r="K906" s="169">
        <f>IFERROR(MATCH(J906,'Final List'!$B$4:$B$252,0),0)</f>
        <v>0</v>
      </c>
      <c r="L906" s="169">
        <f>IFERROR(MATCH(J906,'Final List'!$D$4:$D$252,0),0)</f>
        <v>0</v>
      </c>
      <c r="M906" s="169">
        <f>IFERROR(MATCH(J906,'Final List'!$F$4:$F$251,0),0)</f>
        <v>0</v>
      </c>
      <c r="N906" s="169">
        <f>IFERROR(MATCH(J906,'Final List'!$H$4:$H$252,0),0)</f>
        <v>0</v>
      </c>
      <c r="O906" s="169">
        <f>IFERROR(MATCH(J906,'Final List'!$J$4:$J$252,0),0)</f>
        <v>0</v>
      </c>
      <c r="P906" s="169">
        <f>IFERROR(MATCH(J906,'Final List'!$L$4:$L$252,0),0)</f>
        <v>0</v>
      </c>
      <c r="Q906" s="169">
        <f>IFERROR(MATCH(J906,'Final List'!$N$4:$N$252,0),0)</f>
        <v>0</v>
      </c>
      <c r="R906" s="169">
        <f>IFERROR(MATCH(J906,'Final List'!$P$4:$P$252,0),0)</f>
        <v>0</v>
      </c>
      <c r="S906" s="169">
        <f t="shared" si="59"/>
        <v>0</v>
      </c>
      <c r="V906" s="169" t="str">
        <f t="shared" si="57"/>
        <v>SHEPHERD AR</v>
      </c>
      <c r="W906" s="169" t="s">
        <v>8897</v>
      </c>
    </row>
    <row r="907" spans="2:23" x14ac:dyDescent="0.25">
      <c r="B907" s="169" t="s">
        <v>94</v>
      </c>
      <c r="C907" s="169" t="s">
        <v>42</v>
      </c>
      <c r="D907" s="169" t="s">
        <v>7301</v>
      </c>
      <c r="E907" s="169" t="s">
        <v>61</v>
      </c>
      <c r="F907" s="245" t="str">
        <f t="shared" si="58"/>
        <v>Dhoz 71</v>
      </c>
      <c r="G907" s="169" t="s">
        <v>6432</v>
      </c>
      <c r="I907" s="169" t="str">
        <f t="shared" si="56"/>
        <v>L07_JV_010W_DW</v>
      </c>
      <c r="J907" s="169" t="s">
        <v>7369</v>
      </c>
      <c r="K907" s="169">
        <f>IFERROR(MATCH(J907,'Final List'!$B$4:$B$252,0),0)</f>
        <v>0</v>
      </c>
      <c r="L907" s="169">
        <f>IFERROR(MATCH(J907,'Final List'!$D$4:$D$252,0),0)</f>
        <v>0</v>
      </c>
      <c r="M907" s="169">
        <f>IFERROR(MATCH(J907,'Final List'!$F$4:$F$251,0),0)</f>
        <v>0</v>
      </c>
      <c r="N907" s="169">
        <f>IFERROR(MATCH(J907,'Final List'!$H$4:$H$252,0),0)</f>
        <v>0</v>
      </c>
      <c r="O907" s="169">
        <f>IFERROR(MATCH(J907,'Final List'!$J$4:$J$252,0),0)</f>
        <v>0</v>
      </c>
      <c r="P907" s="169">
        <f>IFERROR(MATCH(J907,'Final List'!$L$4:$L$252,0),0)</f>
        <v>0</v>
      </c>
      <c r="Q907" s="169">
        <f>IFERROR(MATCH(J907,'Final List'!$N$4:$N$252,0),0)</f>
        <v>0</v>
      </c>
      <c r="R907" s="169">
        <f>IFERROR(MATCH(J907,'Final List'!$P$4:$P$252,0),0)</f>
        <v>0</v>
      </c>
      <c r="S907" s="169">
        <f t="shared" si="59"/>
        <v>0</v>
      </c>
      <c r="V907" s="169" t="str">
        <f t="shared" si="57"/>
        <v>CARIKITAN</v>
      </c>
      <c r="W907" s="169" t="s">
        <v>8895</v>
      </c>
    </row>
    <row r="908" spans="2:23" x14ac:dyDescent="0.25">
      <c r="B908" s="169" t="s">
        <v>94</v>
      </c>
      <c r="C908" s="169" t="s">
        <v>42</v>
      </c>
      <c r="D908" s="169" t="s">
        <v>97</v>
      </c>
      <c r="E908" s="169" t="s">
        <v>19</v>
      </c>
      <c r="F908" s="245" t="str">
        <f t="shared" si="58"/>
        <v>DVR 72</v>
      </c>
      <c r="G908" s="169" t="s">
        <v>5817</v>
      </c>
      <c r="I908" s="169" t="str">
        <f t="shared" si="56"/>
        <v>L07_JV_012W_RAISE</v>
      </c>
      <c r="J908" s="169" t="s">
        <v>7370</v>
      </c>
      <c r="K908" s="169">
        <f>IFERROR(MATCH(J908,'Final List'!$B$4:$B$252,0),0)</f>
        <v>0</v>
      </c>
      <c r="L908" s="169">
        <f>IFERROR(MATCH(J908,'Final List'!$D$4:$D$252,0),0)</f>
        <v>0</v>
      </c>
      <c r="M908" s="169">
        <f>IFERROR(MATCH(J908,'Final List'!$F$4:$F$251,0),0)</f>
        <v>0</v>
      </c>
      <c r="N908" s="169">
        <f>IFERROR(MATCH(J908,'Final List'!$H$4:$H$252,0),0)</f>
        <v>0</v>
      </c>
      <c r="O908" s="169">
        <f>IFERROR(MATCH(J908,'Final List'!$J$4:$J$252,0),0)</f>
        <v>0</v>
      </c>
      <c r="P908" s="169">
        <f>IFERROR(MATCH(J908,'Final List'!$L$4:$L$252,0),0)</f>
        <v>0</v>
      </c>
      <c r="Q908" s="169">
        <f>IFERROR(MATCH(J908,'Final List'!$N$4:$N$252,0),0)</f>
        <v>0</v>
      </c>
      <c r="R908" s="169">
        <f>IFERROR(MATCH(J908,'Final List'!$P$4:$P$252,0),0)</f>
        <v>0</v>
      </c>
      <c r="S908" s="169">
        <f t="shared" si="59"/>
        <v>0</v>
      </c>
      <c r="V908" s="169" t="str">
        <f t="shared" si="57"/>
        <v>SHEPHERD AK</v>
      </c>
      <c r="W908" s="169" t="s">
        <v>2715</v>
      </c>
    </row>
    <row r="909" spans="2:23" x14ac:dyDescent="0.25">
      <c r="B909" s="169" t="s">
        <v>91</v>
      </c>
      <c r="C909" s="169" t="s">
        <v>38</v>
      </c>
      <c r="D909" s="169" t="s">
        <v>7372</v>
      </c>
      <c r="E909" s="169" t="s">
        <v>62</v>
      </c>
      <c r="F909" s="245" t="str">
        <f t="shared" si="58"/>
        <v>RobS 79</v>
      </c>
      <c r="G909" s="169" t="s">
        <v>464</v>
      </c>
      <c r="I909" s="169" t="str">
        <f t="shared" si="56"/>
        <v>L04_GHV_057W_ROBBING</v>
      </c>
      <c r="J909" s="169" t="s">
        <v>4777</v>
      </c>
      <c r="K909" s="169">
        <f>IFERROR(MATCH(J909,'Final List'!$B$4:$B$252,0),0)</f>
        <v>0</v>
      </c>
      <c r="L909" s="169">
        <f>IFERROR(MATCH(J909,'Final List'!$D$4:$D$252,0),0)</f>
        <v>0</v>
      </c>
      <c r="M909" s="169">
        <f>IFERROR(MATCH(J909,'Final List'!$F$4:$F$251,0),0)</f>
        <v>0</v>
      </c>
      <c r="N909" s="169">
        <f>IFERROR(MATCH(J909,'Final List'!$H$4:$H$252,0),0)</f>
        <v>0</v>
      </c>
      <c r="O909" s="169">
        <f>IFERROR(MATCH(J909,'Final List'!$J$4:$J$252,0),0)</f>
        <v>0</v>
      </c>
      <c r="P909" s="169">
        <f>IFERROR(MATCH(J909,'Final List'!$L$4:$L$252,0),0)</f>
        <v>0</v>
      </c>
      <c r="Q909" s="169">
        <f>IFERROR(MATCH(J909,'Final List'!$N$4:$N$252,0),0)</f>
        <v>0</v>
      </c>
      <c r="R909" s="169">
        <f>IFERROR(MATCH(J909,'Final List'!$P$4:$P$252,0),0)</f>
        <v>0</v>
      </c>
      <c r="S909" s="169">
        <f t="shared" si="59"/>
        <v>0</v>
      </c>
      <c r="T909" s="169" t="s">
        <v>68</v>
      </c>
      <c r="V909" s="169" t="str">
        <f t="shared" si="57"/>
        <v>COMAINGKING 3</v>
      </c>
      <c r="W909" s="169" t="s">
        <v>2707</v>
      </c>
    </row>
    <row r="910" spans="2:23" x14ac:dyDescent="0.25">
      <c r="B910" s="169" t="s">
        <v>96</v>
      </c>
      <c r="C910" s="169" t="s">
        <v>45</v>
      </c>
      <c r="D910" s="169" t="s">
        <v>130</v>
      </c>
      <c r="E910" s="169" t="s">
        <v>211</v>
      </c>
      <c r="F910" s="245" t="str">
        <f t="shared" si="58"/>
        <v>StpS 77</v>
      </c>
      <c r="G910" s="169" t="s">
        <v>363</v>
      </c>
      <c r="I910" s="169" t="str">
        <f t="shared" si="56"/>
        <v>L09_DPVE_036E_STOPE PREP</v>
      </c>
      <c r="J910" s="169" t="s">
        <v>7381</v>
      </c>
      <c r="K910" s="169">
        <f>IFERROR(MATCH(J910,'Final List'!$B$4:$B$252,0),0)</f>
        <v>0</v>
      </c>
      <c r="L910" s="169">
        <f>IFERROR(MATCH(J910,'Final List'!$D$4:$D$252,0),0)</f>
        <v>0</v>
      </c>
      <c r="M910" s="169">
        <f>IFERROR(MATCH(J910,'Final List'!$F$4:$F$251,0),0)</f>
        <v>0</v>
      </c>
      <c r="N910" s="169">
        <f>IFERROR(MATCH(J910,'Final List'!$H$4:$H$252,0),0)</f>
        <v>0</v>
      </c>
      <c r="O910" s="169">
        <f>IFERROR(MATCH(J910,'Final List'!$J$4:$J$252,0),0)</f>
        <v>0</v>
      </c>
      <c r="P910" s="169">
        <f>IFERROR(MATCH(J910,'Final List'!$L$4:$L$252,0),0)</f>
        <v>0</v>
      </c>
      <c r="Q910" s="169">
        <f>IFERROR(MATCH(J910,'Final List'!$N$4:$N$252,0),0)</f>
        <v>0</v>
      </c>
      <c r="R910" s="169">
        <f>IFERROR(MATCH(J910,'Final List'!$P$4:$P$252,0),0)</f>
        <v>0</v>
      </c>
      <c r="S910" s="169">
        <f t="shared" si="59"/>
        <v>0</v>
      </c>
      <c r="T910" s="169" t="s">
        <v>68</v>
      </c>
      <c r="V910" s="169" t="str">
        <f t="shared" si="57"/>
        <v>BABOR 2</v>
      </c>
      <c r="W910" s="169" t="s">
        <v>2712</v>
      </c>
    </row>
    <row r="911" spans="2:23" x14ac:dyDescent="0.25">
      <c r="B911" s="169" t="s">
        <v>96</v>
      </c>
      <c r="C911" s="169" t="s">
        <v>56</v>
      </c>
      <c r="D911" s="169" t="s">
        <v>146</v>
      </c>
      <c r="E911" s="169" t="s">
        <v>19</v>
      </c>
      <c r="F911" s="245" t="str">
        <f t="shared" si="58"/>
        <v>DVR 72</v>
      </c>
      <c r="G911" s="169" t="s">
        <v>461</v>
      </c>
      <c r="I911" s="169" t="str">
        <f t="shared" si="56"/>
        <v>L09_GHVFW_030E_RAISE</v>
      </c>
      <c r="J911" s="169" t="s">
        <v>7383</v>
      </c>
      <c r="K911" s="169">
        <f>IFERROR(MATCH(J911,'Final List'!$B$4:$B$252,0),0)</f>
        <v>0</v>
      </c>
      <c r="L911" s="169">
        <f>IFERROR(MATCH(J911,'Final List'!$D$4:$D$252,0),0)</f>
        <v>0</v>
      </c>
      <c r="M911" s="169">
        <f>IFERROR(MATCH(J911,'Final List'!$F$4:$F$251,0),0)</f>
        <v>0</v>
      </c>
      <c r="N911" s="169">
        <f>IFERROR(MATCH(J911,'Final List'!$H$4:$H$252,0),0)</f>
        <v>0</v>
      </c>
      <c r="O911" s="169">
        <f>IFERROR(MATCH(J911,'Final List'!$J$4:$J$252,0),0)</f>
        <v>0</v>
      </c>
      <c r="P911" s="169">
        <f>IFERROR(MATCH(J911,'Final List'!$L$4:$L$252,0),0)</f>
        <v>0</v>
      </c>
      <c r="Q911" s="169">
        <f>IFERROR(MATCH(J911,'Final List'!$N$4:$N$252,0),0)</f>
        <v>0</v>
      </c>
      <c r="R911" s="169">
        <f>IFERROR(MATCH(J911,'Final List'!$P$4:$P$252,0),0)</f>
        <v>0</v>
      </c>
      <c r="S911" s="169">
        <f t="shared" si="59"/>
        <v>0</v>
      </c>
      <c r="V911" s="169" t="str">
        <f t="shared" si="57"/>
        <v>PANSIT 4</v>
      </c>
      <c r="W911" s="169" t="s">
        <v>2715</v>
      </c>
    </row>
    <row r="912" spans="2:23" x14ac:dyDescent="0.25">
      <c r="B912" s="169" t="s">
        <v>258</v>
      </c>
      <c r="C912" s="169" t="s">
        <v>87</v>
      </c>
      <c r="D912" s="169" t="s">
        <v>132</v>
      </c>
      <c r="E912" s="169" t="s">
        <v>19</v>
      </c>
      <c r="F912" s="245" t="str">
        <f t="shared" si="58"/>
        <v>DVR 72</v>
      </c>
      <c r="G912" s="169" t="s">
        <v>531</v>
      </c>
      <c r="H912" s="169" t="s">
        <v>532</v>
      </c>
      <c r="I912" s="169" t="str">
        <f t="shared" si="56"/>
        <v>L10_NONE_033E_RAISE</v>
      </c>
      <c r="J912" s="169" t="s">
        <v>7386</v>
      </c>
      <c r="K912" s="169">
        <f>IFERROR(MATCH(J912,'Final List'!$B$4:$B$252,0),0)</f>
        <v>0</v>
      </c>
      <c r="L912" s="169">
        <f>IFERROR(MATCH(J912,'Final List'!$D$4:$D$252,0),0)</f>
        <v>0</v>
      </c>
      <c r="M912" s="169">
        <f>IFERROR(MATCH(J912,'Final List'!$F$4:$F$251,0),0)</f>
        <v>0</v>
      </c>
      <c r="N912" s="169">
        <f>IFERROR(MATCH(J912,'Final List'!$H$4:$H$252,0),0)</f>
        <v>0</v>
      </c>
      <c r="O912" s="169">
        <f>IFERROR(MATCH(J912,'Final List'!$J$4:$J$252,0),0)</f>
        <v>0</v>
      </c>
      <c r="P912" s="169">
        <f>IFERROR(MATCH(J912,'Final List'!$L$4:$L$252,0),0)</f>
        <v>0</v>
      </c>
      <c r="Q912" s="169">
        <f>IFERROR(MATCH(J912,'Final List'!$N$4:$N$252,0),0)</f>
        <v>0</v>
      </c>
      <c r="R912" s="169">
        <f>IFERROR(MATCH(J912,'Final List'!$P$4:$P$252,0),0)</f>
        <v>0</v>
      </c>
      <c r="S912" s="169">
        <f t="shared" si="59"/>
        <v>0</v>
      </c>
      <c r="V912" s="169" t="str">
        <f t="shared" si="57"/>
        <v>PMC MINERS 3</v>
      </c>
      <c r="W912" s="169" t="s">
        <v>2714</v>
      </c>
    </row>
    <row r="913" spans="2:23" x14ac:dyDescent="0.25">
      <c r="B913" s="169" t="s">
        <v>95</v>
      </c>
      <c r="C913" s="169" t="s">
        <v>42</v>
      </c>
      <c r="D913" s="169" t="s">
        <v>6710</v>
      </c>
      <c r="E913" s="169" t="s">
        <v>211</v>
      </c>
      <c r="F913" s="245" t="str">
        <f t="shared" si="58"/>
        <v>StpS 77</v>
      </c>
      <c r="G913" s="169" t="s">
        <v>5</v>
      </c>
      <c r="I913" s="169" t="str">
        <f t="shared" si="56"/>
        <v>L08_JV_018W_STOPE PREP</v>
      </c>
      <c r="J913" s="169" t="s">
        <v>7388</v>
      </c>
      <c r="K913" s="169">
        <f>IFERROR(MATCH(J913,'Final List'!$B$4:$B$252,0),0)</f>
        <v>0</v>
      </c>
      <c r="L913" s="169">
        <f>IFERROR(MATCH(J913,'Final List'!$D$4:$D$252,0),0)</f>
        <v>0</v>
      </c>
      <c r="M913" s="169">
        <f>IFERROR(MATCH(J913,'Final List'!$F$4:$F$251,0),0)</f>
        <v>0</v>
      </c>
      <c r="N913" s="169">
        <f>IFERROR(MATCH(J913,'Final List'!$H$4:$H$252,0),0)</f>
        <v>0</v>
      </c>
      <c r="O913" s="169">
        <f>IFERROR(MATCH(J913,'Final List'!$J$4:$J$252,0),0)</f>
        <v>0</v>
      </c>
      <c r="P913" s="169">
        <f>IFERROR(MATCH(J913,'Final List'!$L$4:$L$252,0),0)</f>
        <v>0</v>
      </c>
      <c r="Q913" s="169">
        <f>IFERROR(MATCH(J913,'Final List'!$N$4:$N$252,0),0)</f>
        <v>0</v>
      </c>
      <c r="R913" s="169">
        <f>IFERROR(MATCH(J913,'Final List'!$P$4:$P$252,0),0)</f>
        <v>0</v>
      </c>
      <c r="S913" s="169">
        <f t="shared" si="59"/>
        <v>0</v>
      </c>
      <c r="T913" s="169" t="s">
        <v>68</v>
      </c>
      <c r="V913" s="169" t="str">
        <f t="shared" si="57"/>
        <v>BELICAN</v>
      </c>
      <c r="W913" s="169" t="s">
        <v>2712</v>
      </c>
    </row>
    <row r="914" spans="2:23" x14ac:dyDescent="0.25">
      <c r="B914" s="169" t="s">
        <v>92</v>
      </c>
      <c r="C914" s="169" t="s">
        <v>45</v>
      </c>
      <c r="D914" s="169" t="s">
        <v>5781</v>
      </c>
      <c r="E914" s="169" t="s">
        <v>36</v>
      </c>
      <c r="F914" s="245" t="str">
        <f t="shared" si="58"/>
        <v>StpS 77</v>
      </c>
      <c r="G914" s="169" t="s">
        <v>7390</v>
      </c>
      <c r="I914" s="169" t="str">
        <f t="shared" si="56"/>
        <v>L05_DPVE_051E_STOPE</v>
      </c>
      <c r="J914" s="169" t="s">
        <v>7391</v>
      </c>
      <c r="K914" s="169">
        <f>IFERROR(MATCH(J914,'Final List'!$B$4:$B$252,0),0)</f>
        <v>0</v>
      </c>
      <c r="L914" s="169">
        <f>IFERROR(MATCH(J914,'Final List'!$D$4:$D$252,0),0)</f>
        <v>0</v>
      </c>
      <c r="M914" s="169">
        <f>IFERROR(MATCH(J914,'Final List'!$F$4:$F$251,0),0)</f>
        <v>0</v>
      </c>
      <c r="N914" s="169">
        <f>IFERROR(MATCH(J914,'Final List'!$H$4:$H$252,0),0)</f>
        <v>0</v>
      </c>
      <c r="O914" s="169">
        <f>IFERROR(MATCH(J914,'Final List'!$J$4:$J$252,0),0)</f>
        <v>0</v>
      </c>
      <c r="P914" s="169">
        <f>IFERROR(MATCH(J914,'Final List'!$L$4:$L$252,0),0)</f>
        <v>0</v>
      </c>
      <c r="Q914" s="169">
        <f>IFERROR(MATCH(J914,'Final List'!$N$4:$N$252,0),0)</f>
        <v>0</v>
      </c>
      <c r="R914" s="169">
        <f>IFERROR(MATCH(J914,'Final List'!$P$4:$P$252,0),0)</f>
        <v>0</v>
      </c>
      <c r="S914" s="169">
        <f t="shared" si="59"/>
        <v>0</v>
      </c>
      <c r="T914" s="169" t="s">
        <v>68</v>
      </c>
      <c r="V914" s="169" t="str">
        <f t="shared" si="57"/>
        <v>FERNANDEZ, RG</v>
      </c>
      <c r="W914" s="169" t="s">
        <v>2711</v>
      </c>
    </row>
    <row r="915" spans="2:23" x14ac:dyDescent="0.25">
      <c r="B915" s="169" t="s">
        <v>95</v>
      </c>
      <c r="C915" s="169" t="s">
        <v>38</v>
      </c>
      <c r="D915" s="169" t="s">
        <v>111</v>
      </c>
      <c r="E915" s="169" t="s">
        <v>221</v>
      </c>
      <c r="F915" s="245" t="str">
        <f t="shared" si="58"/>
        <v>RobC 80</v>
      </c>
      <c r="G915" s="169" t="s">
        <v>380</v>
      </c>
      <c r="I915" s="169" t="str">
        <f t="shared" si="56"/>
        <v>L08_GHV_004W_WINZE STOPE</v>
      </c>
      <c r="J915" s="169" t="s">
        <v>7394</v>
      </c>
      <c r="K915" s="169">
        <f>IFERROR(MATCH(J915,'Final List'!$B$4:$B$252,0),0)</f>
        <v>0</v>
      </c>
      <c r="L915" s="169">
        <f>IFERROR(MATCH(J915,'Final List'!$D$4:$D$252,0),0)</f>
        <v>0</v>
      </c>
      <c r="M915" s="169">
        <f>IFERROR(MATCH(J915,'Final List'!$F$4:$F$251,0),0)</f>
        <v>0</v>
      </c>
      <c r="N915" s="169">
        <f>IFERROR(MATCH(J915,'Final List'!$H$4:$H$252,0),0)</f>
        <v>0</v>
      </c>
      <c r="O915" s="169">
        <f>IFERROR(MATCH(J915,'Final List'!$J$4:$J$252,0),0)</f>
        <v>0</v>
      </c>
      <c r="P915" s="169">
        <f>IFERROR(MATCH(J915,'Final List'!$L$4:$L$252,0),0)</f>
        <v>0</v>
      </c>
      <c r="Q915" s="169">
        <f>IFERROR(MATCH(J915,'Final List'!$N$4:$N$252,0),0)</f>
        <v>0</v>
      </c>
      <c r="R915" s="169">
        <f>IFERROR(MATCH(J915,'Final List'!$P$4:$P$252,0),0)</f>
        <v>0</v>
      </c>
      <c r="S915" s="169">
        <f t="shared" si="59"/>
        <v>0</v>
      </c>
      <c r="T915" s="169" t="s">
        <v>68</v>
      </c>
      <c r="V915" s="169" t="str">
        <f t="shared" si="57"/>
        <v>AGLOLO 1</v>
      </c>
      <c r="W915" s="169" t="s">
        <v>2719</v>
      </c>
    </row>
    <row r="916" spans="2:23" x14ac:dyDescent="0.25">
      <c r="B916" s="169" t="s">
        <v>93</v>
      </c>
      <c r="C916" s="169" t="s">
        <v>57</v>
      </c>
      <c r="D916" s="169" t="s">
        <v>149</v>
      </c>
      <c r="E916" s="169" t="s">
        <v>62</v>
      </c>
      <c r="F916" s="245" t="str">
        <f t="shared" si="58"/>
        <v>RobC 80</v>
      </c>
      <c r="G916" s="169" t="s">
        <v>378</v>
      </c>
      <c r="I916" s="169" t="str">
        <f t="shared" si="56"/>
        <v>L06_JVSPLIT_021E_ROBBING</v>
      </c>
      <c r="J916" s="169" t="s">
        <v>7401</v>
      </c>
      <c r="K916" s="169">
        <f>IFERROR(MATCH(J916,'Final List'!$B$4:$B$252,0),0)</f>
        <v>0</v>
      </c>
      <c r="L916" s="169">
        <f>IFERROR(MATCH(J916,'Final List'!$D$4:$D$252,0),0)</f>
        <v>0</v>
      </c>
      <c r="M916" s="169">
        <f>IFERROR(MATCH(J916,'Final List'!$F$4:$F$251,0),0)</f>
        <v>0</v>
      </c>
      <c r="N916" s="169">
        <f>IFERROR(MATCH(J916,'Final List'!$H$4:$H$252,0),0)</f>
        <v>0</v>
      </c>
      <c r="O916" s="169">
        <f>IFERROR(MATCH(J916,'Final List'!$J$4:$J$252,0),0)</f>
        <v>0</v>
      </c>
      <c r="P916" s="169">
        <f>IFERROR(MATCH(J916,'Final List'!$L$4:$L$252,0),0)</f>
        <v>0</v>
      </c>
      <c r="Q916" s="169">
        <f>IFERROR(MATCH(J916,'Final List'!$N$4:$N$252,0),0)</f>
        <v>0</v>
      </c>
      <c r="R916" s="169">
        <f>IFERROR(MATCH(J916,'Final List'!$P$4:$P$252,0),0)</f>
        <v>0</v>
      </c>
      <c r="S916" s="169">
        <f t="shared" si="59"/>
        <v>0</v>
      </c>
      <c r="T916" s="169" t="s">
        <v>48</v>
      </c>
      <c r="V916" s="169" t="str">
        <f t="shared" si="57"/>
        <v>GUNAY 1</v>
      </c>
      <c r="W916" s="169" t="s">
        <v>236</v>
      </c>
    </row>
    <row r="917" spans="2:23" x14ac:dyDescent="0.25">
      <c r="B917" s="169" t="s">
        <v>93</v>
      </c>
      <c r="C917" s="169" t="s">
        <v>39</v>
      </c>
      <c r="D917" s="169" t="s">
        <v>97</v>
      </c>
      <c r="E917" s="169" t="s">
        <v>60</v>
      </c>
      <c r="F917" s="245" t="str">
        <f t="shared" si="58"/>
        <v>Dhoz 71</v>
      </c>
      <c r="G917" s="169" t="s">
        <v>355</v>
      </c>
      <c r="I917" s="169" t="str">
        <f t="shared" si="56"/>
        <v>L06_JVHW_012W_DE</v>
      </c>
      <c r="J917" s="169" t="s">
        <v>7402</v>
      </c>
      <c r="K917" s="169">
        <f>IFERROR(MATCH(J917,'Final List'!$B$4:$B$252,0),0)</f>
        <v>0</v>
      </c>
      <c r="L917" s="169">
        <f>IFERROR(MATCH(J917,'Final List'!$D$4:$D$252,0),0)</f>
        <v>0</v>
      </c>
      <c r="M917" s="169">
        <f>IFERROR(MATCH(J917,'Final List'!$F$4:$F$251,0),0)</f>
        <v>0</v>
      </c>
      <c r="N917" s="169">
        <f>IFERROR(MATCH(J917,'Final List'!$H$4:$H$252,0),0)</f>
        <v>0</v>
      </c>
      <c r="O917" s="169">
        <f>IFERROR(MATCH(J917,'Final List'!$J$4:$J$252,0),0)</f>
        <v>0</v>
      </c>
      <c r="P917" s="169">
        <f>IFERROR(MATCH(J917,'Final List'!$L$4:$L$252,0),0)</f>
        <v>0</v>
      </c>
      <c r="Q917" s="169">
        <f>IFERROR(MATCH(J917,'Final List'!$N$4:$N$252,0),0)</f>
        <v>0</v>
      </c>
      <c r="R917" s="169">
        <f>IFERROR(MATCH(J917,'Final List'!$P$4:$P$252,0),0)</f>
        <v>0</v>
      </c>
      <c r="S917" s="169">
        <f t="shared" si="59"/>
        <v>0</v>
      </c>
      <c r="V917" s="169" t="str">
        <f t="shared" si="57"/>
        <v>BAÑEZ 2</v>
      </c>
      <c r="W917" s="169" t="s">
        <v>8895</v>
      </c>
    </row>
    <row r="918" spans="2:23" x14ac:dyDescent="0.25">
      <c r="B918" s="169" t="s">
        <v>94</v>
      </c>
      <c r="C918" s="169" t="s">
        <v>42</v>
      </c>
      <c r="D918" s="169" t="s">
        <v>201</v>
      </c>
      <c r="E918" s="169" t="s">
        <v>6154</v>
      </c>
      <c r="F918" s="245" t="str">
        <f t="shared" si="58"/>
        <v>Dhoz 71</v>
      </c>
      <c r="G918" s="169" t="s">
        <v>2972</v>
      </c>
      <c r="I918" s="169" t="str">
        <f t="shared" si="56"/>
        <v>L07_JV_067E_DW_ISL</v>
      </c>
      <c r="J918" s="169" t="s">
        <v>7504</v>
      </c>
      <c r="K918" s="169">
        <f>IFERROR(MATCH(J918,'Final List'!$B$4:$B$252,0),0)</f>
        <v>0</v>
      </c>
      <c r="L918" s="169">
        <f>IFERROR(MATCH(J918,'Final List'!$D$4:$D$252,0),0)</f>
        <v>0</v>
      </c>
      <c r="M918" s="169">
        <f>IFERROR(MATCH(J918,'Final List'!$F$4:$F$251,0),0)</f>
        <v>0</v>
      </c>
      <c r="N918" s="169">
        <f>IFERROR(MATCH(J918,'Final List'!$H$4:$H$252,0),0)</f>
        <v>0</v>
      </c>
      <c r="O918" s="169">
        <f>IFERROR(MATCH(J918,'Final List'!$J$4:$J$252,0),0)</f>
        <v>0</v>
      </c>
      <c r="P918" s="169">
        <f>IFERROR(MATCH(J918,'Final List'!$L$4:$L$252,0),0)</f>
        <v>0</v>
      </c>
      <c r="Q918" s="169">
        <f>IFERROR(MATCH(J918,'Final List'!$N$4:$N$252,0),0)</f>
        <v>0</v>
      </c>
      <c r="R918" s="169">
        <f>IFERROR(MATCH(J918,'Final List'!$P$4:$P$252,0),0)</f>
        <v>0</v>
      </c>
      <c r="S918" s="169">
        <f t="shared" si="59"/>
        <v>0</v>
      </c>
      <c r="V918" s="169" t="str">
        <f t="shared" si="57"/>
        <v>FABROA 1</v>
      </c>
      <c r="W918" s="169" t="s">
        <v>2708</v>
      </c>
    </row>
    <row r="919" spans="2:23" x14ac:dyDescent="0.25">
      <c r="B919" s="169" t="s">
        <v>95</v>
      </c>
      <c r="C919" s="169" t="s">
        <v>45</v>
      </c>
      <c r="D919" s="169" t="s">
        <v>130</v>
      </c>
      <c r="E919" s="169" t="s">
        <v>6154</v>
      </c>
      <c r="F919" s="245" t="str">
        <f t="shared" si="58"/>
        <v>Dhoz 71</v>
      </c>
      <c r="G919" s="169" t="s">
        <v>617</v>
      </c>
      <c r="I919" s="169" t="str">
        <f t="shared" si="56"/>
        <v>L08_DPVE_036E_DW_ISL</v>
      </c>
      <c r="J919" s="169" t="s">
        <v>7406</v>
      </c>
      <c r="K919" s="169">
        <f>IFERROR(MATCH(J919,'Final List'!$B$4:$B$252,0),0)</f>
        <v>0</v>
      </c>
      <c r="L919" s="169">
        <f>IFERROR(MATCH(J919,'Final List'!$D$4:$D$252,0),0)</f>
        <v>0</v>
      </c>
      <c r="M919" s="169">
        <f>IFERROR(MATCH(J919,'Final List'!$F$4:$F$251,0),0)</f>
        <v>0</v>
      </c>
      <c r="N919" s="169">
        <f>IFERROR(MATCH(J919,'Final List'!$H$4:$H$252,0),0)</f>
        <v>0</v>
      </c>
      <c r="O919" s="169">
        <f>IFERROR(MATCH(J919,'Final List'!$J$4:$J$252,0),0)</f>
        <v>0</v>
      </c>
      <c r="P919" s="169">
        <f>IFERROR(MATCH(J919,'Final List'!$L$4:$L$252,0),0)</f>
        <v>0</v>
      </c>
      <c r="Q919" s="169">
        <f>IFERROR(MATCH(J919,'Final List'!$N$4:$N$252,0),0)</f>
        <v>0</v>
      </c>
      <c r="R919" s="169">
        <f>IFERROR(MATCH(J919,'Final List'!$P$4:$P$252,0),0)</f>
        <v>0</v>
      </c>
      <c r="S919" s="169">
        <f t="shared" si="59"/>
        <v>0</v>
      </c>
      <c r="V919" s="169" t="str">
        <f t="shared" si="57"/>
        <v>HANGDAAN 2</v>
      </c>
      <c r="W919" s="169" t="s">
        <v>2708</v>
      </c>
    </row>
    <row r="920" spans="2:23" x14ac:dyDescent="0.25">
      <c r="B920" s="169" t="s">
        <v>95</v>
      </c>
      <c r="C920" s="169" t="s">
        <v>45</v>
      </c>
      <c r="D920" s="169" t="s">
        <v>5689</v>
      </c>
      <c r="E920" s="169" t="s">
        <v>19</v>
      </c>
      <c r="F920" s="245" t="str">
        <f t="shared" si="58"/>
        <v>DVR 72</v>
      </c>
      <c r="G920" s="169" t="s">
        <v>3042</v>
      </c>
      <c r="I920" s="169" t="str">
        <f t="shared" si="56"/>
        <v>L08_DPVE_003E_RAISE</v>
      </c>
      <c r="J920" s="169" t="s">
        <v>7407</v>
      </c>
      <c r="K920" s="169">
        <f>IFERROR(MATCH(J920,'Final List'!$B$4:$B$252,0),0)</f>
        <v>0</v>
      </c>
      <c r="L920" s="169">
        <f>IFERROR(MATCH(J920,'Final List'!$D$4:$D$252,0),0)</f>
        <v>0</v>
      </c>
      <c r="M920" s="169">
        <f>IFERROR(MATCH(J920,'Final List'!$F$4:$F$251,0),0)</f>
        <v>0</v>
      </c>
      <c r="N920" s="169">
        <f>IFERROR(MATCH(J920,'Final List'!$H$4:$H$252,0),0)</f>
        <v>0</v>
      </c>
      <c r="O920" s="169">
        <f>IFERROR(MATCH(J920,'Final List'!$J$4:$J$252,0),0)</f>
        <v>0</v>
      </c>
      <c r="P920" s="169">
        <f>IFERROR(MATCH(J920,'Final List'!$L$4:$L$252,0),0)</f>
        <v>0</v>
      </c>
      <c r="Q920" s="169">
        <f>IFERROR(MATCH(J920,'Final List'!$N$4:$N$252,0),0)</f>
        <v>0</v>
      </c>
      <c r="R920" s="169">
        <f>IFERROR(MATCH(J920,'Final List'!$P$4:$P$252,0),0)</f>
        <v>0</v>
      </c>
      <c r="S920" s="169">
        <f t="shared" si="59"/>
        <v>0</v>
      </c>
      <c r="V920" s="169" t="str">
        <f t="shared" si="57"/>
        <v>VILLARANTE</v>
      </c>
      <c r="W920" s="169" t="s">
        <v>2715</v>
      </c>
    </row>
    <row r="921" spans="2:23" x14ac:dyDescent="0.25">
      <c r="B921" s="169" t="s">
        <v>94</v>
      </c>
      <c r="C921" s="169" t="s">
        <v>45</v>
      </c>
      <c r="D921" s="169" t="s">
        <v>112</v>
      </c>
      <c r="E921" s="169" t="s">
        <v>19</v>
      </c>
      <c r="F921" s="245" t="str">
        <f t="shared" si="58"/>
        <v>DVR 72</v>
      </c>
      <c r="G921" s="169" t="s">
        <v>6406</v>
      </c>
      <c r="I921" s="169" t="str">
        <f t="shared" si="56"/>
        <v>L07_DPVE_018E_RAISE</v>
      </c>
      <c r="J921" s="169" t="s">
        <v>7409</v>
      </c>
      <c r="K921" s="169">
        <f>IFERROR(MATCH(J921,'Final List'!$B$4:$B$252,0),0)</f>
        <v>0</v>
      </c>
      <c r="L921" s="169">
        <f>IFERROR(MATCH(J921,'Final List'!$D$4:$D$252,0),0)</f>
        <v>0</v>
      </c>
      <c r="M921" s="169">
        <f>IFERROR(MATCH(J921,'Final List'!$F$4:$F$251,0),0)</f>
        <v>0</v>
      </c>
      <c r="N921" s="169">
        <f>IFERROR(MATCH(J921,'Final List'!$H$4:$H$252,0),0)</f>
        <v>0</v>
      </c>
      <c r="O921" s="169">
        <f>IFERROR(MATCH(J921,'Final List'!$J$4:$J$252,0),0)</f>
        <v>0</v>
      </c>
      <c r="P921" s="169">
        <f>IFERROR(MATCH(J921,'Final List'!$L$4:$L$252,0),0)</f>
        <v>0</v>
      </c>
      <c r="Q921" s="169">
        <f>IFERROR(MATCH(J921,'Final List'!$N$4:$N$252,0),0)</f>
        <v>0</v>
      </c>
      <c r="R921" s="169">
        <f>IFERROR(MATCH(J921,'Final List'!$P$4:$P$252,0),0)</f>
        <v>0</v>
      </c>
      <c r="S921" s="169">
        <f t="shared" si="59"/>
        <v>0</v>
      </c>
      <c r="V921" s="169" t="str">
        <f t="shared" si="57"/>
        <v>TURRA</v>
      </c>
      <c r="W921" s="169" t="s">
        <v>2715</v>
      </c>
    </row>
    <row r="922" spans="2:23" x14ac:dyDescent="0.25">
      <c r="B922" s="169" t="s">
        <v>95</v>
      </c>
      <c r="C922" s="169" t="s">
        <v>38</v>
      </c>
      <c r="D922" s="169" t="s">
        <v>5975</v>
      </c>
      <c r="E922" s="169" t="s">
        <v>60</v>
      </c>
      <c r="F922" s="245" t="str">
        <f t="shared" si="58"/>
        <v>Dhoz 71</v>
      </c>
      <c r="G922" s="169" t="s">
        <v>467</v>
      </c>
      <c r="I922" s="169" t="str">
        <f t="shared" si="56"/>
        <v>L08_GHV_028E_DE</v>
      </c>
      <c r="J922" s="169" t="s">
        <v>6052</v>
      </c>
      <c r="K922" s="169">
        <f>IFERROR(MATCH(J922,'Final List'!$B$4:$B$252,0),0)</f>
        <v>0</v>
      </c>
      <c r="L922" s="169">
        <f>IFERROR(MATCH(J922,'Final List'!$D$4:$D$252,0),0)</f>
        <v>0</v>
      </c>
      <c r="M922" s="169">
        <f>IFERROR(MATCH(J922,'Final List'!$F$4:$F$251,0),0)</f>
        <v>0</v>
      </c>
      <c r="N922" s="169">
        <f>IFERROR(MATCH(J922,'Final List'!$H$4:$H$252,0),0)</f>
        <v>0</v>
      </c>
      <c r="O922" s="169">
        <f>IFERROR(MATCH(J922,'Final List'!$J$4:$J$252,0),0)</f>
        <v>0</v>
      </c>
      <c r="P922" s="169">
        <f>IFERROR(MATCH(J922,'Final List'!$L$4:$L$252,0),0)</f>
        <v>0</v>
      </c>
      <c r="Q922" s="169">
        <f>IFERROR(MATCH(J922,'Final List'!$N$4:$N$252,0),0)</f>
        <v>0</v>
      </c>
      <c r="R922" s="169">
        <f>IFERROR(MATCH(J922,'Final List'!$P$4:$P$252,0),0)</f>
        <v>0</v>
      </c>
      <c r="S922" s="169">
        <f t="shared" si="59"/>
        <v>0</v>
      </c>
      <c r="V922" s="169" t="str">
        <f t="shared" si="57"/>
        <v>AGLOLO 2</v>
      </c>
      <c r="W922" s="169" t="s">
        <v>8895</v>
      </c>
    </row>
    <row r="923" spans="2:23" x14ac:dyDescent="0.25">
      <c r="B923" s="169" t="s">
        <v>96</v>
      </c>
      <c r="C923" s="169" t="s">
        <v>56</v>
      </c>
      <c r="D923" s="169" t="s">
        <v>142</v>
      </c>
      <c r="E923" s="169" t="s">
        <v>36</v>
      </c>
      <c r="F923" s="245" t="str">
        <f t="shared" si="58"/>
        <v>StpS 77</v>
      </c>
      <c r="G923" s="169" t="s">
        <v>5773</v>
      </c>
      <c r="I923" s="169" t="str">
        <f t="shared" si="56"/>
        <v>L09_GHVFW_038E_STOPE</v>
      </c>
      <c r="J923" s="169" t="s">
        <v>7413</v>
      </c>
      <c r="K923" s="169">
        <f>IFERROR(MATCH(J923,'Final List'!$B$4:$B$252,0),0)</f>
        <v>0</v>
      </c>
      <c r="L923" s="169">
        <f>IFERROR(MATCH(J923,'Final List'!$D$4:$D$252,0),0)</f>
        <v>0</v>
      </c>
      <c r="M923" s="169">
        <f>IFERROR(MATCH(J923,'Final List'!$F$4:$F$251,0),0)</f>
        <v>0</v>
      </c>
      <c r="N923" s="169">
        <f>IFERROR(MATCH(J923,'Final List'!$H$4:$H$252,0),0)</f>
        <v>0</v>
      </c>
      <c r="O923" s="169">
        <f>IFERROR(MATCH(J923,'Final List'!$J$4:$J$252,0),0)</f>
        <v>0</v>
      </c>
      <c r="P923" s="169">
        <f>IFERROR(MATCH(J923,'Final List'!$L$4:$L$252,0),0)</f>
        <v>0</v>
      </c>
      <c r="Q923" s="169">
        <f>IFERROR(MATCH(J923,'Final List'!$N$4:$N$252,0),0)</f>
        <v>0</v>
      </c>
      <c r="R923" s="169">
        <f>IFERROR(MATCH(J923,'Final List'!$P$4:$P$252,0),0)</f>
        <v>0</v>
      </c>
      <c r="S923" s="169">
        <f t="shared" si="59"/>
        <v>0</v>
      </c>
      <c r="T923" s="169" t="s">
        <v>68</v>
      </c>
      <c r="V923" s="169" t="str">
        <f t="shared" si="57"/>
        <v>PARAN 3</v>
      </c>
      <c r="W923" s="169" t="s">
        <v>2713</v>
      </c>
    </row>
    <row r="924" spans="2:23" x14ac:dyDescent="0.25">
      <c r="B924" s="169" t="s">
        <v>95</v>
      </c>
      <c r="C924" s="169" t="s">
        <v>45</v>
      </c>
      <c r="D924" s="169" t="s">
        <v>197</v>
      </c>
      <c r="E924" s="169" t="s">
        <v>6154</v>
      </c>
      <c r="F924" s="245" t="str">
        <f t="shared" si="58"/>
        <v>Dhoz 71</v>
      </c>
      <c r="G924" s="169" t="s">
        <v>305</v>
      </c>
      <c r="I924" s="169" t="str">
        <f t="shared" si="56"/>
        <v>L08_DPVE_070E_DW_ISL</v>
      </c>
      <c r="J924" s="169" t="s">
        <v>7416</v>
      </c>
      <c r="K924" s="169">
        <f>IFERROR(MATCH(J924,'Final List'!$B$4:$B$252,0),0)</f>
        <v>0</v>
      </c>
      <c r="L924" s="169">
        <f>IFERROR(MATCH(J924,'Final List'!$D$4:$D$252,0),0)</f>
        <v>0</v>
      </c>
      <c r="M924" s="169">
        <f>IFERROR(MATCH(J924,'Final List'!$F$4:$F$251,0),0)</f>
        <v>0</v>
      </c>
      <c r="N924" s="169">
        <f>IFERROR(MATCH(J924,'Final List'!$H$4:$H$252,0),0)</f>
        <v>0</v>
      </c>
      <c r="O924" s="169">
        <f>IFERROR(MATCH(J924,'Final List'!$J$4:$J$252,0),0)</f>
        <v>0</v>
      </c>
      <c r="P924" s="169">
        <f>IFERROR(MATCH(J924,'Final List'!$L$4:$L$252,0),0)</f>
        <v>0</v>
      </c>
      <c r="Q924" s="169">
        <f>IFERROR(MATCH(J924,'Final List'!$N$4:$N$252,0),0)</f>
        <v>0</v>
      </c>
      <c r="R924" s="169">
        <f>IFERROR(MATCH(J924,'Final List'!$P$4:$P$252,0),0)</f>
        <v>0</v>
      </c>
      <c r="S924" s="169">
        <f t="shared" si="59"/>
        <v>0</v>
      </c>
      <c r="V924" s="169" t="str">
        <f t="shared" si="57"/>
        <v>CABONITA 1</v>
      </c>
      <c r="W924" s="169" t="s">
        <v>2708</v>
      </c>
    </row>
    <row r="925" spans="2:23" x14ac:dyDescent="0.25">
      <c r="B925" s="169" t="s">
        <v>96</v>
      </c>
      <c r="C925" s="169" t="s">
        <v>57</v>
      </c>
      <c r="D925" s="169" t="s">
        <v>289</v>
      </c>
      <c r="E925" s="169" t="s">
        <v>19</v>
      </c>
      <c r="F925" s="245" t="str">
        <f t="shared" si="58"/>
        <v>DVR 72</v>
      </c>
      <c r="G925" s="169" t="s">
        <v>455</v>
      </c>
      <c r="I925" s="169" t="str">
        <f t="shared" ref="I925:I988" si="60">CONCATENATE(B925,"_",C925,"_",D925,"_",E925)</f>
        <v>L09_JVSPLIT_059E_RAISE</v>
      </c>
      <c r="J925" s="169" t="s">
        <v>4141</v>
      </c>
      <c r="K925" s="169">
        <f>IFERROR(MATCH(J925,'Final List'!$B$4:$B$252,0),0)</f>
        <v>0</v>
      </c>
      <c r="L925" s="169">
        <f>IFERROR(MATCH(J925,'Final List'!$D$4:$D$252,0),0)</f>
        <v>0</v>
      </c>
      <c r="M925" s="169">
        <f>IFERROR(MATCH(J925,'Final List'!$F$4:$F$251,0),0)</f>
        <v>0</v>
      </c>
      <c r="N925" s="169">
        <f>IFERROR(MATCH(J925,'Final List'!$H$4:$H$252,0),0)</f>
        <v>0</v>
      </c>
      <c r="O925" s="169">
        <f>IFERROR(MATCH(J925,'Final List'!$J$4:$J$252,0),0)</f>
        <v>0</v>
      </c>
      <c r="P925" s="169">
        <f>IFERROR(MATCH(J925,'Final List'!$L$4:$L$252,0),0)</f>
        <v>0</v>
      </c>
      <c r="Q925" s="169">
        <f>IFERROR(MATCH(J925,'Final List'!$N$4:$N$252,0),0)</f>
        <v>0</v>
      </c>
      <c r="R925" s="169">
        <f>IFERROR(MATCH(J925,'Final List'!$P$4:$P$252,0),0)</f>
        <v>0</v>
      </c>
      <c r="S925" s="169">
        <f t="shared" si="59"/>
        <v>0</v>
      </c>
      <c r="V925" s="169" t="str">
        <f t="shared" si="57"/>
        <v>BABOR 4</v>
      </c>
      <c r="W925" s="169" t="s">
        <v>2715</v>
      </c>
    </row>
    <row r="926" spans="2:23" x14ac:dyDescent="0.25">
      <c r="B926" s="169" t="s">
        <v>258</v>
      </c>
      <c r="C926" s="169" t="s">
        <v>87</v>
      </c>
      <c r="D926" s="169" t="s">
        <v>5604</v>
      </c>
      <c r="E926" s="169" t="s">
        <v>63</v>
      </c>
      <c r="F926" s="245" t="str">
        <f t="shared" si="58"/>
        <v>Dhoz 71</v>
      </c>
      <c r="G926" s="169" t="s">
        <v>5700</v>
      </c>
      <c r="I926" s="169" t="str">
        <f t="shared" si="60"/>
        <v>L10_NONE_063E_XCS</v>
      </c>
      <c r="J926" s="169" t="s">
        <v>7423</v>
      </c>
      <c r="K926" s="169">
        <f>IFERROR(MATCH(J926,'Final List'!$B$4:$B$252,0),0)</f>
        <v>0</v>
      </c>
      <c r="L926" s="169">
        <f>IFERROR(MATCH(J926,'Final List'!$D$4:$D$252,0),0)</f>
        <v>0</v>
      </c>
      <c r="M926" s="169">
        <f>IFERROR(MATCH(J926,'Final List'!$F$4:$F$251,0),0)</f>
        <v>0</v>
      </c>
      <c r="N926" s="169">
        <f>IFERROR(MATCH(J926,'Final List'!$H$4:$H$252,0),0)</f>
        <v>0</v>
      </c>
      <c r="O926" s="169">
        <f>IFERROR(MATCH(J926,'Final List'!$J$4:$J$252,0),0)</f>
        <v>0</v>
      </c>
      <c r="P926" s="169">
        <f>IFERROR(MATCH(J926,'Final List'!$L$4:$L$252,0),0)</f>
        <v>0</v>
      </c>
      <c r="Q926" s="169">
        <f>IFERROR(MATCH(J926,'Final List'!$N$4:$N$252,0),0)</f>
        <v>0</v>
      </c>
      <c r="R926" s="169">
        <f>IFERROR(MATCH(J926,'Final List'!$P$4:$P$252,0),0)</f>
        <v>0</v>
      </c>
      <c r="S926" s="169">
        <f t="shared" si="59"/>
        <v>0</v>
      </c>
      <c r="V926" s="169" t="str">
        <f t="shared" si="57"/>
        <v>LARGO 1</v>
      </c>
      <c r="W926" s="169" t="s">
        <v>2714</v>
      </c>
    </row>
    <row r="927" spans="2:23" x14ac:dyDescent="0.25">
      <c r="B927" s="169" t="s">
        <v>1166</v>
      </c>
      <c r="C927" s="169" t="s">
        <v>38</v>
      </c>
      <c r="D927" s="169" t="s">
        <v>5604</v>
      </c>
      <c r="E927" s="169" t="s">
        <v>6143</v>
      </c>
      <c r="F927" s="245" t="str">
        <f t="shared" si="58"/>
        <v>Dhoz 71</v>
      </c>
      <c r="G927" s="169" t="s">
        <v>655</v>
      </c>
      <c r="I927" s="169" t="str">
        <f t="shared" si="60"/>
        <v>L11_GHV_063E_DE_ISL</v>
      </c>
      <c r="J927" s="169" t="s">
        <v>7424</v>
      </c>
      <c r="K927" s="169">
        <f>IFERROR(MATCH(J927,'Final List'!$B$4:$B$252,0),0)</f>
        <v>0</v>
      </c>
      <c r="L927" s="169">
        <f>IFERROR(MATCH(J927,'Final List'!$D$4:$D$252,0),0)</f>
        <v>0</v>
      </c>
      <c r="M927" s="169">
        <f>IFERROR(MATCH(J927,'Final List'!$F$4:$F$251,0),0)</f>
        <v>0</v>
      </c>
      <c r="N927" s="169">
        <f>IFERROR(MATCH(J927,'Final List'!$H$4:$H$252,0),0)</f>
        <v>0</v>
      </c>
      <c r="O927" s="169">
        <f>IFERROR(MATCH(J927,'Final List'!$J$4:$J$252,0),0)</f>
        <v>0</v>
      </c>
      <c r="P927" s="169">
        <f>IFERROR(MATCH(J927,'Final List'!$L$4:$L$252,0),0)</f>
        <v>0</v>
      </c>
      <c r="Q927" s="169">
        <f>IFERROR(MATCH(J927,'Final List'!$N$4:$N$252,0),0)</f>
        <v>0</v>
      </c>
      <c r="R927" s="169">
        <f>IFERROR(MATCH(J927,'Final List'!$P$4:$P$252,0),0)</f>
        <v>0</v>
      </c>
      <c r="S927" s="169">
        <f t="shared" si="59"/>
        <v>0</v>
      </c>
      <c r="V927" s="169" t="str">
        <f t="shared" si="57"/>
        <v>MAPAYO 3</v>
      </c>
      <c r="W927" s="169" t="s">
        <v>2708</v>
      </c>
    </row>
    <row r="928" spans="2:23" x14ac:dyDescent="0.25">
      <c r="B928" s="169" t="s">
        <v>258</v>
      </c>
      <c r="C928" s="169" t="s">
        <v>56</v>
      </c>
      <c r="D928" s="169" t="s">
        <v>5614</v>
      </c>
      <c r="E928" s="169" t="s">
        <v>211</v>
      </c>
      <c r="F928" s="245" t="str">
        <f t="shared" si="58"/>
        <v>StpS 77</v>
      </c>
      <c r="G928" s="169" t="s">
        <v>296</v>
      </c>
      <c r="I928" s="169" t="str">
        <f t="shared" si="60"/>
        <v>L10_GHVFW_055E_STOPE PREP</v>
      </c>
      <c r="J928" s="169" t="s">
        <v>7477</v>
      </c>
      <c r="K928" s="169">
        <f>IFERROR(MATCH(J928,'Final List'!$B$4:$B$252,0),0)</f>
        <v>0</v>
      </c>
      <c r="L928" s="169">
        <f>IFERROR(MATCH(J928,'Final List'!$D$4:$D$252,0),0)</f>
        <v>0</v>
      </c>
      <c r="M928" s="169">
        <f>IFERROR(MATCH(J928,'Final List'!$F$4:$F$251,0),0)</f>
        <v>0</v>
      </c>
      <c r="N928" s="169">
        <f>IFERROR(MATCH(J928,'Final List'!$H$4:$H$252,0),0)</f>
        <v>0</v>
      </c>
      <c r="O928" s="169">
        <f>IFERROR(MATCH(J928,'Final List'!$J$4:$J$252,0),0)</f>
        <v>0</v>
      </c>
      <c r="P928" s="169">
        <f>IFERROR(MATCH(J928,'Final List'!$L$4:$L$252,0),0)</f>
        <v>0</v>
      </c>
      <c r="Q928" s="169">
        <f>IFERROR(MATCH(J928,'Final List'!$N$4:$N$252,0),0)</f>
        <v>0</v>
      </c>
      <c r="R928" s="169">
        <f>IFERROR(MATCH(J928,'Final List'!$P$4:$P$252,0),0)</f>
        <v>0</v>
      </c>
      <c r="S928" s="169">
        <f t="shared" si="59"/>
        <v>0</v>
      </c>
      <c r="T928" s="169" t="s">
        <v>68</v>
      </c>
      <c r="V928" s="169" t="str">
        <f t="shared" si="57"/>
        <v>MONTEBON 2</v>
      </c>
      <c r="W928" s="169" t="s">
        <v>2712</v>
      </c>
    </row>
    <row r="929" spans="2:23" x14ac:dyDescent="0.25">
      <c r="B929" s="169" t="s">
        <v>258</v>
      </c>
      <c r="C929" s="169" t="s">
        <v>39</v>
      </c>
      <c r="D929" s="169" t="s">
        <v>167</v>
      </c>
      <c r="E929" s="169" t="s">
        <v>61</v>
      </c>
      <c r="F929" s="245" t="str">
        <f t="shared" si="58"/>
        <v>Dhoz 71</v>
      </c>
      <c r="G929" s="169" t="s">
        <v>452</v>
      </c>
      <c r="H929" s="169" t="s">
        <v>5697</v>
      </c>
      <c r="I929" s="169" t="str">
        <f t="shared" si="60"/>
        <v>L10_JVHW_058E_DW</v>
      </c>
      <c r="J929" s="169" t="s">
        <v>10501</v>
      </c>
      <c r="K929" s="169">
        <f>IFERROR(MATCH(J929,'Final List'!$B$4:$B$252,0),0)</f>
        <v>0</v>
      </c>
      <c r="L929" s="169">
        <f>IFERROR(MATCH(J929,'Final List'!$D$4:$D$252,0),0)</f>
        <v>0</v>
      </c>
      <c r="M929" s="169">
        <f>IFERROR(MATCH(J929,'Final List'!$F$4:$F$251,0),0)</f>
        <v>0</v>
      </c>
      <c r="N929" s="169">
        <f>IFERROR(MATCH(J929,'Final List'!$H$4:$H$252,0),0)</f>
        <v>0</v>
      </c>
      <c r="O929" s="169">
        <f>IFERROR(MATCH(J929,'Final List'!$J$4:$J$252,0),0)</f>
        <v>0</v>
      </c>
      <c r="P929" s="169">
        <f>IFERROR(MATCH(J929,'Final List'!$L$4:$L$252,0),0)</f>
        <v>0</v>
      </c>
      <c r="Q929" s="169">
        <f>IFERROR(MATCH(J929,'Final List'!$N$4:$N$252,0),0)</f>
        <v>0</v>
      </c>
      <c r="R929" s="169">
        <f>IFERROR(MATCH(J929,'Final List'!$P$4:$P$252,0),0)</f>
        <v>0</v>
      </c>
      <c r="S929" s="169">
        <f t="shared" si="59"/>
        <v>0</v>
      </c>
      <c r="V929" s="169" t="str">
        <f t="shared" si="57"/>
        <v>OLIVEROS 1</v>
      </c>
      <c r="W929" s="169" t="s">
        <v>8896</v>
      </c>
    </row>
    <row r="930" spans="2:23" x14ac:dyDescent="0.25">
      <c r="B930" s="169" t="s">
        <v>95</v>
      </c>
      <c r="C930" s="169" t="s">
        <v>87</v>
      </c>
      <c r="D930" s="169" t="s">
        <v>106</v>
      </c>
      <c r="E930" s="169" t="s">
        <v>63</v>
      </c>
      <c r="F930" s="245" t="str">
        <f t="shared" si="58"/>
        <v>Dhoz 71</v>
      </c>
      <c r="G930" s="169" t="s">
        <v>367</v>
      </c>
      <c r="I930" s="169" t="str">
        <f t="shared" si="60"/>
        <v>L08_NONE_033W_XCS</v>
      </c>
      <c r="J930" s="169" t="s">
        <v>7429</v>
      </c>
      <c r="K930" s="169">
        <f>IFERROR(MATCH(J930,'Final List'!$B$4:$B$252,0),0)</f>
        <v>0</v>
      </c>
      <c r="L930" s="169">
        <f>IFERROR(MATCH(J930,'Final List'!$D$4:$D$252,0),0)</f>
        <v>0</v>
      </c>
      <c r="M930" s="169">
        <f>IFERROR(MATCH(J930,'Final List'!$F$4:$F$251,0),0)</f>
        <v>0</v>
      </c>
      <c r="N930" s="169">
        <f>IFERROR(MATCH(J930,'Final List'!$H$4:$H$252,0),0)</f>
        <v>0</v>
      </c>
      <c r="O930" s="169">
        <f>IFERROR(MATCH(J930,'Final List'!$J$4:$J$252,0),0)</f>
        <v>0</v>
      </c>
      <c r="P930" s="169">
        <f>IFERROR(MATCH(J930,'Final List'!$L$4:$L$252,0),0)</f>
        <v>0</v>
      </c>
      <c r="Q930" s="169">
        <f>IFERROR(MATCH(J930,'Final List'!$N$4:$N$252,0),0)</f>
        <v>0</v>
      </c>
      <c r="R930" s="169">
        <f>IFERROR(MATCH(J930,'Final List'!$P$4:$P$252,0),0)</f>
        <v>0</v>
      </c>
      <c r="S930" s="169">
        <f t="shared" si="59"/>
        <v>0</v>
      </c>
      <c r="V930" s="169" t="str">
        <f t="shared" si="57"/>
        <v>LERIO 1</v>
      </c>
      <c r="W930" s="169" t="s">
        <v>8897</v>
      </c>
    </row>
    <row r="931" spans="2:23" x14ac:dyDescent="0.25">
      <c r="B931" s="169" t="s">
        <v>94</v>
      </c>
      <c r="C931" s="169" t="s">
        <v>42</v>
      </c>
      <c r="D931" s="169" t="s">
        <v>142</v>
      </c>
      <c r="E931" s="169" t="s">
        <v>62</v>
      </c>
      <c r="F931" s="245" t="str">
        <f t="shared" si="58"/>
        <v>RobS 79</v>
      </c>
      <c r="G931" s="169" t="s">
        <v>344</v>
      </c>
      <c r="I931" s="169" t="str">
        <f t="shared" si="60"/>
        <v>L07_JV_038E_ROBBING</v>
      </c>
      <c r="J931" s="169" t="s">
        <v>2457</v>
      </c>
      <c r="K931" s="169">
        <f>IFERROR(MATCH(J931,'Final List'!$B$4:$B$252,0),0)</f>
        <v>0</v>
      </c>
      <c r="L931" s="169">
        <f>IFERROR(MATCH(J931,'Final List'!$D$4:$D$252,0),0)</f>
        <v>0</v>
      </c>
      <c r="M931" s="169">
        <f>IFERROR(MATCH(J931,'Final List'!$F$4:$F$251,0),0)</f>
        <v>0</v>
      </c>
      <c r="N931" s="169">
        <f>IFERROR(MATCH(J931,'Final List'!$H$4:$H$252,0),0)</f>
        <v>0</v>
      </c>
      <c r="O931" s="169">
        <f>IFERROR(MATCH(J931,'Final List'!$J$4:$J$252,0),0)</f>
        <v>0</v>
      </c>
      <c r="P931" s="169">
        <f>IFERROR(MATCH(J931,'Final List'!$L$4:$L$252,0),0)</f>
        <v>0</v>
      </c>
      <c r="Q931" s="169">
        <f>IFERROR(MATCH(J931,'Final List'!$N$4:$N$252,0),0)</f>
        <v>0</v>
      </c>
      <c r="R931" s="169">
        <f>IFERROR(MATCH(J931,'Final List'!$P$4:$P$252,0),0)</f>
        <v>0</v>
      </c>
      <c r="S931" s="169">
        <f t="shared" si="59"/>
        <v>0</v>
      </c>
      <c r="T931" s="169" t="s">
        <v>68</v>
      </c>
      <c r="V931" s="169" t="str">
        <f t="shared" si="57"/>
        <v>UDLOS 1</v>
      </c>
      <c r="W931" s="169" t="s">
        <v>2707</v>
      </c>
    </row>
    <row r="932" spans="2:23" x14ac:dyDescent="0.25">
      <c r="B932" s="169" t="s">
        <v>96</v>
      </c>
      <c r="C932" s="169" t="s">
        <v>87</v>
      </c>
      <c r="D932" s="169" t="s">
        <v>165</v>
      </c>
      <c r="E932" s="169" t="s">
        <v>63</v>
      </c>
      <c r="F932" s="245" t="str">
        <f t="shared" si="58"/>
        <v>Dhoz 71</v>
      </c>
      <c r="G932" s="169" t="s">
        <v>461</v>
      </c>
      <c r="I932" s="169" t="str">
        <f t="shared" si="60"/>
        <v>L09_NONE_056E_XCS</v>
      </c>
      <c r="J932" s="169" t="s">
        <v>7431</v>
      </c>
      <c r="K932" s="169">
        <f>IFERROR(MATCH(J932,'Final List'!$B$4:$B$252,0),0)</f>
        <v>0</v>
      </c>
      <c r="L932" s="169">
        <f>IFERROR(MATCH(J932,'Final List'!$D$4:$D$252,0),0)</f>
        <v>0</v>
      </c>
      <c r="M932" s="169">
        <f>IFERROR(MATCH(J932,'Final List'!$F$4:$F$251,0),0)</f>
        <v>0</v>
      </c>
      <c r="N932" s="169">
        <f>IFERROR(MATCH(J932,'Final List'!$H$4:$H$252,0),0)</f>
        <v>0</v>
      </c>
      <c r="O932" s="169">
        <f>IFERROR(MATCH(J932,'Final List'!$J$4:$J$252,0),0)</f>
        <v>0</v>
      </c>
      <c r="P932" s="169">
        <f>IFERROR(MATCH(J932,'Final List'!$L$4:$L$252,0),0)</f>
        <v>0</v>
      </c>
      <c r="Q932" s="169">
        <f>IFERROR(MATCH(J932,'Final List'!$N$4:$N$252,0),0)</f>
        <v>0</v>
      </c>
      <c r="R932" s="169">
        <f>IFERROR(MATCH(J932,'Final List'!$P$4:$P$252,0),0)</f>
        <v>0</v>
      </c>
      <c r="S932" s="169">
        <f t="shared" si="59"/>
        <v>0</v>
      </c>
      <c r="V932" s="169" t="str">
        <f t="shared" si="57"/>
        <v>PANSIT 4</v>
      </c>
      <c r="W932" s="169" t="s">
        <v>8898</v>
      </c>
    </row>
    <row r="933" spans="2:23" x14ac:dyDescent="0.25">
      <c r="B933" s="169" t="s">
        <v>92</v>
      </c>
      <c r="C933" s="169" t="s">
        <v>45</v>
      </c>
      <c r="D933" s="169" t="s">
        <v>133</v>
      </c>
      <c r="E933" s="169" t="s">
        <v>61</v>
      </c>
      <c r="F933" s="245" t="str">
        <f t="shared" si="58"/>
        <v>Dhoz 71</v>
      </c>
      <c r="G933" s="169" t="s">
        <v>3955</v>
      </c>
      <c r="I933" s="169" t="str">
        <f t="shared" si="60"/>
        <v>L05_DPVE_037E_DW</v>
      </c>
      <c r="J933" s="169" t="s">
        <v>7434</v>
      </c>
      <c r="K933" s="169">
        <f>IFERROR(MATCH(J933,'Final List'!$B$4:$B$252,0),0)</f>
        <v>0</v>
      </c>
      <c r="L933" s="169">
        <f>IFERROR(MATCH(J933,'Final List'!$D$4:$D$252,0),0)</f>
        <v>0</v>
      </c>
      <c r="M933" s="169">
        <f>IFERROR(MATCH(J933,'Final List'!$F$4:$F$251,0),0)</f>
        <v>0</v>
      </c>
      <c r="N933" s="169">
        <f>IFERROR(MATCH(J933,'Final List'!$H$4:$H$252,0),0)</f>
        <v>0</v>
      </c>
      <c r="O933" s="169">
        <f>IFERROR(MATCH(J933,'Final List'!$J$4:$J$252,0),0)</f>
        <v>0</v>
      </c>
      <c r="P933" s="169">
        <f>IFERROR(MATCH(J933,'Final List'!$L$4:$L$252,0),0)</f>
        <v>0</v>
      </c>
      <c r="Q933" s="169">
        <f>IFERROR(MATCH(J933,'Final List'!$N$4:$N$252,0),0)</f>
        <v>0</v>
      </c>
      <c r="R933" s="169">
        <f>IFERROR(MATCH(J933,'Final List'!$P$4:$P$252,0),0)</f>
        <v>0</v>
      </c>
      <c r="S933" s="169">
        <f t="shared" si="59"/>
        <v>0</v>
      </c>
      <c r="V933" s="169" t="str">
        <f t="shared" si="57"/>
        <v>SAMBERE</v>
      </c>
      <c r="W933" s="169" t="s">
        <v>8895</v>
      </c>
    </row>
    <row r="934" spans="2:23" x14ac:dyDescent="0.25">
      <c r="B934" s="169" t="s">
        <v>258</v>
      </c>
      <c r="C934" s="169" t="s">
        <v>57</v>
      </c>
      <c r="D934" s="169" t="s">
        <v>166</v>
      </c>
      <c r="E934" s="169" t="s">
        <v>19</v>
      </c>
      <c r="F934" s="245" t="str">
        <f t="shared" si="58"/>
        <v>DVR 72</v>
      </c>
      <c r="G934" s="169" t="s">
        <v>5702</v>
      </c>
      <c r="I934" s="169" t="str">
        <f t="shared" si="60"/>
        <v>L10_JVSPLIT_068E_RAISE</v>
      </c>
      <c r="J934" s="169" t="s">
        <v>7435</v>
      </c>
      <c r="K934" s="169">
        <f>IFERROR(MATCH(J934,'Final List'!$B$4:$B$252,0),0)</f>
        <v>0</v>
      </c>
      <c r="L934" s="169">
        <f>IFERROR(MATCH(J934,'Final List'!$D$4:$D$252,0),0)</f>
        <v>0</v>
      </c>
      <c r="M934" s="169">
        <f>IFERROR(MATCH(J934,'Final List'!$F$4:$F$251,0),0)</f>
        <v>0</v>
      </c>
      <c r="N934" s="169">
        <f>IFERROR(MATCH(J934,'Final List'!$H$4:$H$252,0),0)</f>
        <v>0</v>
      </c>
      <c r="O934" s="169">
        <f>IFERROR(MATCH(J934,'Final List'!$J$4:$J$252,0),0)</f>
        <v>0</v>
      </c>
      <c r="P934" s="169">
        <f>IFERROR(MATCH(J934,'Final List'!$L$4:$L$252,0),0)</f>
        <v>0</v>
      </c>
      <c r="Q934" s="169">
        <f>IFERROR(MATCH(J934,'Final List'!$N$4:$N$252,0),0)</f>
        <v>0</v>
      </c>
      <c r="R934" s="169">
        <f>IFERROR(MATCH(J934,'Final List'!$P$4:$P$252,0),0)</f>
        <v>0</v>
      </c>
      <c r="S934" s="169">
        <f t="shared" si="59"/>
        <v>0</v>
      </c>
      <c r="V934" s="169" t="str">
        <f t="shared" si="57"/>
        <v>LARGO 3</v>
      </c>
      <c r="W934" s="169" t="s">
        <v>2715</v>
      </c>
    </row>
    <row r="935" spans="2:23" x14ac:dyDescent="0.25">
      <c r="B935" s="169" t="s">
        <v>93</v>
      </c>
      <c r="C935" s="169" t="s">
        <v>55</v>
      </c>
      <c r="D935" s="169" t="s">
        <v>130</v>
      </c>
      <c r="E935" s="169" t="s">
        <v>6144</v>
      </c>
      <c r="F935" s="245" t="str">
        <f t="shared" si="58"/>
        <v>DVR 72</v>
      </c>
      <c r="G935" s="169" t="s">
        <v>379</v>
      </c>
      <c r="I935" s="169" t="str">
        <f t="shared" si="60"/>
        <v>L06_JVFW_036E_RAISE_ISL</v>
      </c>
      <c r="J935" s="169" t="s">
        <v>7439</v>
      </c>
      <c r="K935" s="169">
        <f>IFERROR(MATCH(J935,'Final List'!$B$4:$B$252,0),0)</f>
        <v>0</v>
      </c>
      <c r="L935" s="169">
        <f>IFERROR(MATCH(J935,'Final List'!$D$4:$D$252,0),0)</f>
        <v>0</v>
      </c>
      <c r="M935" s="169">
        <f>IFERROR(MATCH(J935,'Final List'!$F$4:$F$251,0),0)</f>
        <v>0</v>
      </c>
      <c r="N935" s="169">
        <f>IFERROR(MATCH(J935,'Final List'!$H$4:$H$252,0),0)</f>
        <v>0</v>
      </c>
      <c r="O935" s="169">
        <f>IFERROR(MATCH(J935,'Final List'!$J$4:$J$252,0),0)</f>
        <v>0</v>
      </c>
      <c r="P935" s="169">
        <f>IFERROR(MATCH(J935,'Final List'!$L$4:$L$252,0),0)</f>
        <v>0</v>
      </c>
      <c r="Q935" s="169">
        <f>IFERROR(MATCH(J935,'Final List'!$N$4:$N$252,0),0)</f>
        <v>0</v>
      </c>
      <c r="R935" s="169">
        <f>IFERROR(MATCH(J935,'Final List'!$P$4:$P$252,0),0)</f>
        <v>0</v>
      </c>
      <c r="S935" s="169">
        <f t="shared" si="59"/>
        <v>0</v>
      </c>
      <c r="V935" s="169" t="str">
        <f t="shared" si="57"/>
        <v>GUNAY 3</v>
      </c>
      <c r="W935" s="169" t="s">
        <v>2715</v>
      </c>
    </row>
    <row r="936" spans="2:23" x14ac:dyDescent="0.25">
      <c r="B936" s="169" t="s">
        <v>92</v>
      </c>
      <c r="C936" s="169" t="s">
        <v>42</v>
      </c>
      <c r="D936" s="169" t="s">
        <v>130</v>
      </c>
      <c r="E936" s="169" t="s">
        <v>20</v>
      </c>
      <c r="F936" s="245" t="str">
        <f t="shared" si="58"/>
        <v>DVW 74</v>
      </c>
      <c r="G936" s="169" t="s">
        <v>3955</v>
      </c>
      <c r="I936" s="169" t="str">
        <f t="shared" si="60"/>
        <v>L05_JV_036E_WINZE</v>
      </c>
      <c r="J936" s="169" t="s">
        <v>7442</v>
      </c>
      <c r="K936" s="169">
        <f>IFERROR(MATCH(J936,'Final List'!$B$4:$B$252,0),0)</f>
        <v>0</v>
      </c>
      <c r="L936" s="169">
        <f>IFERROR(MATCH(J936,'Final List'!$D$4:$D$252,0),0)</f>
        <v>0</v>
      </c>
      <c r="M936" s="169">
        <f>IFERROR(MATCH(J936,'Final List'!$F$4:$F$251,0),0)</f>
        <v>0</v>
      </c>
      <c r="N936" s="169">
        <f>IFERROR(MATCH(J936,'Final List'!$H$4:$H$252,0),0)</f>
        <v>0</v>
      </c>
      <c r="O936" s="169">
        <f>IFERROR(MATCH(J936,'Final List'!$J$4:$J$252,0),0)</f>
        <v>0</v>
      </c>
      <c r="P936" s="169">
        <f>IFERROR(MATCH(J936,'Final List'!$L$4:$L$252,0),0)</f>
        <v>0</v>
      </c>
      <c r="Q936" s="169">
        <f>IFERROR(MATCH(J936,'Final List'!$N$4:$N$252,0),0)</f>
        <v>0</v>
      </c>
      <c r="R936" s="169">
        <f>IFERROR(MATCH(J936,'Final List'!$P$4:$P$252,0),0)</f>
        <v>0</v>
      </c>
      <c r="S936" s="169">
        <f t="shared" si="59"/>
        <v>0</v>
      </c>
      <c r="V936" s="169" t="str">
        <f t="shared" si="57"/>
        <v>SAMBERE</v>
      </c>
      <c r="W936" s="169" t="s">
        <v>2706</v>
      </c>
    </row>
    <row r="937" spans="2:23" x14ac:dyDescent="0.25">
      <c r="B937" s="169" t="s">
        <v>91</v>
      </c>
      <c r="C937" s="169" t="s">
        <v>55</v>
      </c>
      <c r="D937" s="169" t="s">
        <v>129</v>
      </c>
      <c r="E937" s="169" t="s">
        <v>36</v>
      </c>
      <c r="F937" s="245" t="str">
        <f t="shared" si="58"/>
        <v>StpS 77</v>
      </c>
      <c r="G937" s="169" t="s">
        <v>7445</v>
      </c>
      <c r="I937" s="169" t="str">
        <f t="shared" si="60"/>
        <v>L04_JVFW_010E_STOPE</v>
      </c>
      <c r="J937" s="169" t="s">
        <v>7443</v>
      </c>
      <c r="K937" s="169">
        <f>IFERROR(MATCH(J937,'Final List'!$B$4:$B$252,0),0)</f>
        <v>0</v>
      </c>
      <c r="L937" s="169">
        <f>IFERROR(MATCH(J937,'Final List'!$D$4:$D$252,0),0)</f>
        <v>0</v>
      </c>
      <c r="M937" s="169">
        <f>IFERROR(MATCH(J937,'Final List'!$F$4:$F$251,0),0)</f>
        <v>0</v>
      </c>
      <c r="N937" s="169">
        <f>IFERROR(MATCH(J937,'Final List'!$H$4:$H$252,0),0)</f>
        <v>0</v>
      </c>
      <c r="O937" s="169">
        <f>IFERROR(MATCH(J937,'Final List'!$J$4:$J$252,0),0)</f>
        <v>0</v>
      </c>
      <c r="P937" s="169">
        <f>IFERROR(MATCH(J937,'Final List'!$L$4:$L$252,0),0)</f>
        <v>0</v>
      </c>
      <c r="Q937" s="169">
        <f>IFERROR(MATCH(J937,'Final List'!$N$4:$N$252,0),0)</f>
        <v>0</v>
      </c>
      <c r="R937" s="169">
        <f>IFERROR(MATCH(J937,'Final List'!$P$4:$P$252,0),0)</f>
        <v>0</v>
      </c>
      <c r="S937" s="169">
        <f t="shared" si="59"/>
        <v>0</v>
      </c>
      <c r="T937" s="169" t="s">
        <v>68</v>
      </c>
      <c r="V937" s="169" t="str">
        <f t="shared" si="57"/>
        <v>COMAINGLING 2</v>
      </c>
      <c r="W937" s="169" t="s">
        <v>2713</v>
      </c>
    </row>
    <row r="938" spans="2:23" x14ac:dyDescent="0.25">
      <c r="B938" s="169" t="s">
        <v>95</v>
      </c>
      <c r="C938" s="169" t="s">
        <v>45</v>
      </c>
      <c r="D938" s="169" t="s">
        <v>5872</v>
      </c>
      <c r="E938" s="169" t="s">
        <v>19</v>
      </c>
      <c r="F938" s="245" t="str">
        <f t="shared" si="58"/>
        <v>DVR 72</v>
      </c>
      <c r="G938" s="169" t="s">
        <v>648</v>
      </c>
      <c r="I938" s="169" t="str">
        <f t="shared" si="60"/>
        <v>L08_DPVE_076E_RAISE</v>
      </c>
      <c r="J938" s="169" t="s">
        <v>7446</v>
      </c>
      <c r="K938" s="169">
        <f>IFERROR(MATCH(J938,'Final List'!$B$4:$B$252,0),0)</f>
        <v>0</v>
      </c>
      <c r="L938" s="169">
        <f>IFERROR(MATCH(J938,'Final List'!$D$4:$D$252,0),0)</f>
        <v>0</v>
      </c>
      <c r="M938" s="169">
        <f>IFERROR(MATCH(J938,'Final List'!$F$4:$F$251,0),0)</f>
        <v>0</v>
      </c>
      <c r="N938" s="169">
        <f>IFERROR(MATCH(J938,'Final List'!$H$4:$H$252,0),0)</f>
        <v>0</v>
      </c>
      <c r="O938" s="169">
        <f>IFERROR(MATCH(J938,'Final List'!$J$4:$J$252,0),0)</f>
        <v>0</v>
      </c>
      <c r="P938" s="169">
        <f>IFERROR(MATCH(J938,'Final List'!$L$4:$L$252,0),0)</f>
        <v>0</v>
      </c>
      <c r="Q938" s="169">
        <f>IFERROR(MATCH(J938,'Final List'!$N$4:$N$252,0),0)</f>
        <v>0</v>
      </c>
      <c r="R938" s="169">
        <f>IFERROR(MATCH(J938,'Final List'!$P$4:$P$252,0),0)</f>
        <v>0</v>
      </c>
      <c r="S938" s="169">
        <f t="shared" si="59"/>
        <v>0</v>
      </c>
      <c r="V938" s="169" t="str">
        <f t="shared" si="57"/>
        <v>SHEPHERD Q</v>
      </c>
      <c r="W938" s="169" t="s">
        <v>2715</v>
      </c>
    </row>
    <row r="939" spans="2:23" x14ac:dyDescent="0.25">
      <c r="B939" s="169" t="s">
        <v>94</v>
      </c>
      <c r="C939" s="169" t="s">
        <v>45</v>
      </c>
      <c r="D939" s="169" t="s">
        <v>180</v>
      </c>
      <c r="E939" s="169" t="s">
        <v>221</v>
      </c>
      <c r="F939" s="245" t="str">
        <f t="shared" si="58"/>
        <v>RobC 80</v>
      </c>
      <c r="G939" s="169" t="s">
        <v>358</v>
      </c>
      <c r="I939" s="169" t="str">
        <f t="shared" si="60"/>
        <v>L07_DPVE_041E_WINZE STOPE</v>
      </c>
      <c r="J939" s="169" t="s">
        <v>7448</v>
      </c>
      <c r="K939" s="169">
        <f>IFERROR(MATCH(J939,'Final List'!$B$4:$B$252,0),0)</f>
        <v>0</v>
      </c>
      <c r="L939" s="169">
        <f>IFERROR(MATCH(J939,'Final List'!$D$4:$D$252,0),0)</f>
        <v>0</v>
      </c>
      <c r="M939" s="169">
        <f>IFERROR(MATCH(J939,'Final List'!$F$4:$F$251,0),0)</f>
        <v>0</v>
      </c>
      <c r="N939" s="169">
        <f>IFERROR(MATCH(J939,'Final List'!$H$4:$H$252,0),0)</f>
        <v>0</v>
      </c>
      <c r="O939" s="169">
        <f>IFERROR(MATCH(J939,'Final List'!$J$4:$J$252,0),0)</f>
        <v>0</v>
      </c>
      <c r="P939" s="169">
        <f>IFERROR(MATCH(J939,'Final List'!$L$4:$L$252,0),0)</f>
        <v>0</v>
      </c>
      <c r="Q939" s="169">
        <f>IFERROR(MATCH(J939,'Final List'!$N$4:$N$252,0),0)</f>
        <v>0</v>
      </c>
      <c r="R939" s="169">
        <f>IFERROR(MATCH(J939,'Final List'!$P$4:$P$252,0),0)</f>
        <v>0</v>
      </c>
      <c r="S939" s="169">
        <f t="shared" si="59"/>
        <v>0</v>
      </c>
      <c r="T939" s="169" t="s">
        <v>68</v>
      </c>
      <c r="V939" s="169" t="str">
        <f t="shared" si="57"/>
        <v>ALEÑAR 1</v>
      </c>
      <c r="W939" s="169" t="s">
        <v>2719</v>
      </c>
    </row>
    <row r="940" spans="2:23" x14ac:dyDescent="0.25">
      <c r="B940" s="169" t="s">
        <v>91</v>
      </c>
      <c r="C940" s="169" t="s">
        <v>87</v>
      </c>
      <c r="D940" s="169" t="s">
        <v>7451</v>
      </c>
      <c r="E940" s="169" t="s">
        <v>37</v>
      </c>
      <c r="F940" s="245" t="str">
        <f t="shared" si="58"/>
        <v>Dhoz 71</v>
      </c>
      <c r="G940" s="169" t="s">
        <v>299</v>
      </c>
      <c r="I940" s="169" t="str">
        <f t="shared" si="60"/>
        <v>L04_NONE_040W_XCN</v>
      </c>
      <c r="J940" s="169" t="s">
        <v>7447</v>
      </c>
      <c r="K940" s="169">
        <f>IFERROR(MATCH(J940,'Final List'!$B$4:$B$252,0),0)</f>
        <v>0</v>
      </c>
      <c r="L940" s="169">
        <f>IFERROR(MATCH(J940,'Final List'!$D$4:$D$252,0),0)</f>
        <v>0</v>
      </c>
      <c r="M940" s="169">
        <f>IFERROR(MATCH(J940,'Final List'!$F$4:$F$251,0),0)</f>
        <v>0</v>
      </c>
      <c r="N940" s="169">
        <f>IFERROR(MATCH(J940,'Final List'!$H$4:$H$252,0),0)</f>
        <v>0</v>
      </c>
      <c r="O940" s="169">
        <f>IFERROR(MATCH(J940,'Final List'!$J$4:$J$252,0),0)</f>
        <v>0</v>
      </c>
      <c r="P940" s="169">
        <f>IFERROR(MATCH(J940,'Final List'!$L$4:$L$252,0),0)</f>
        <v>0</v>
      </c>
      <c r="Q940" s="169">
        <f>IFERROR(MATCH(J940,'Final List'!$N$4:$N$252,0),0)</f>
        <v>0</v>
      </c>
      <c r="R940" s="169">
        <f>IFERROR(MATCH(J940,'Final List'!$P$4:$P$252,0),0)</f>
        <v>0</v>
      </c>
      <c r="S940" s="169">
        <f t="shared" si="59"/>
        <v>0</v>
      </c>
      <c r="V940" s="169" t="str">
        <f t="shared" si="57"/>
        <v>NOCOS 2</v>
      </c>
      <c r="W940" s="169" t="s">
        <v>2714</v>
      </c>
    </row>
    <row r="941" spans="2:23" x14ac:dyDescent="0.25">
      <c r="B941" s="169" t="s">
        <v>93</v>
      </c>
      <c r="C941" s="169" t="s">
        <v>57</v>
      </c>
      <c r="D941" s="169" t="s">
        <v>128</v>
      </c>
      <c r="E941" s="169" t="s">
        <v>19</v>
      </c>
      <c r="F941" s="245" t="str">
        <f t="shared" si="58"/>
        <v>DVR 72</v>
      </c>
      <c r="G941" s="169" t="s">
        <v>352</v>
      </c>
      <c r="I941" s="169" t="str">
        <f t="shared" si="60"/>
        <v>L06_JVSPLIT_027E_RAISE</v>
      </c>
      <c r="J941" s="169" t="s">
        <v>7452</v>
      </c>
      <c r="K941" s="169">
        <f>IFERROR(MATCH(J941,'Final List'!$B$4:$B$252,0),0)</f>
        <v>0</v>
      </c>
      <c r="L941" s="169">
        <f>IFERROR(MATCH(J941,'Final List'!$D$4:$D$252,0),0)</f>
        <v>0</v>
      </c>
      <c r="M941" s="169">
        <f>IFERROR(MATCH(J941,'Final List'!$F$4:$F$251,0),0)</f>
        <v>0</v>
      </c>
      <c r="N941" s="169">
        <f>IFERROR(MATCH(J941,'Final List'!$H$4:$H$252,0),0)</f>
        <v>0</v>
      </c>
      <c r="O941" s="169">
        <f>IFERROR(MATCH(J941,'Final List'!$J$4:$J$252,0),0)</f>
        <v>0</v>
      </c>
      <c r="P941" s="169">
        <f>IFERROR(MATCH(J941,'Final List'!$L$4:$L$252,0),0)</f>
        <v>0</v>
      </c>
      <c r="Q941" s="169">
        <f>IFERROR(MATCH(J941,'Final List'!$N$4:$N$252,0),0)</f>
        <v>0</v>
      </c>
      <c r="R941" s="169">
        <f>IFERROR(MATCH(J941,'Final List'!$P$4:$P$252,0),0)</f>
        <v>0</v>
      </c>
      <c r="S941" s="169">
        <f t="shared" si="59"/>
        <v>0</v>
      </c>
      <c r="V941" s="169" t="str">
        <f t="shared" si="57"/>
        <v>BAÑEZ 5</v>
      </c>
      <c r="W941" s="169" t="s">
        <v>2715</v>
      </c>
    </row>
    <row r="942" spans="2:23" x14ac:dyDescent="0.25">
      <c r="B942" s="169" t="s">
        <v>258</v>
      </c>
      <c r="C942" s="169" t="s">
        <v>45</v>
      </c>
      <c r="D942" s="169" t="s">
        <v>5601</v>
      </c>
      <c r="E942" s="169" t="s">
        <v>36</v>
      </c>
      <c r="F942" s="245" t="str">
        <f t="shared" si="58"/>
        <v>StpS 77</v>
      </c>
      <c r="G942" s="169" t="s">
        <v>7454</v>
      </c>
      <c r="I942" s="169" t="str">
        <f t="shared" si="60"/>
        <v>L10_DPVE_026E_STOPE</v>
      </c>
      <c r="J942" s="169" t="s">
        <v>7453</v>
      </c>
      <c r="K942" s="169">
        <f>IFERROR(MATCH(J942,'Final List'!$B$4:$B$252,0),0)</f>
        <v>0</v>
      </c>
      <c r="L942" s="169">
        <f>IFERROR(MATCH(J942,'Final List'!$D$4:$D$252,0),0)</f>
        <v>0</v>
      </c>
      <c r="M942" s="169">
        <f>IFERROR(MATCH(J942,'Final List'!$F$4:$F$251,0),0)</f>
        <v>0</v>
      </c>
      <c r="N942" s="169">
        <f>IFERROR(MATCH(J942,'Final List'!$H$4:$H$252,0),0)</f>
        <v>0</v>
      </c>
      <c r="O942" s="169">
        <f>IFERROR(MATCH(J942,'Final List'!$J$4:$J$252,0),0)</f>
        <v>0</v>
      </c>
      <c r="P942" s="169">
        <f>IFERROR(MATCH(J942,'Final List'!$L$4:$L$252,0),0)</f>
        <v>0</v>
      </c>
      <c r="Q942" s="169">
        <f>IFERROR(MATCH(J942,'Final List'!$N$4:$N$252,0),0)</f>
        <v>0</v>
      </c>
      <c r="R942" s="169">
        <f>IFERROR(MATCH(J942,'Final List'!$P$4:$P$252,0),0)</f>
        <v>0</v>
      </c>
      <c r="S942" s="169">
        <f t="shared" si="59"/>
        <v>0</v>
      </c>
      <c r="T942" s="169" t="s">
        <v>68</v>
      </c>
      <c r="V942" s="169" t="str">
        <f t="shared" si="57"/>
        <v>OLIVERS 2</v>
      </c>
      <c r="W942" s="169" t="s">
        <v>2713</v>
      </c>
    </row>
    <row r="943" spans="2:23" x14ac:dyDescent="0.25">
      <c r="B943" s="169" t="s">
        <v>258</v>
      </c>
      <c r="C943" s="169" t="s">
        <v>38</v>
      </c>
      <c r="D943" s="169" t="s">
        <v>205</v>
      </c>
      <c r="E943" s="169" t="s">
        <v>36</v>
      </c>
      <c r="F943" s="245" t="str">
        <f t="shared" si="58"/>
        <v>StpS 77</v>
      </c>
      <c r="G943" s="169" t="s">
        <v>317</v>
      </c>
      <c r="I943" s="169" t="str">
        <f t="shared" si="60"/>
        <v>L10_GHV_066E_STOPE</v>
      </c>
      <c r="J943" s="169" t="s">
        <v>7455</v>
      </c>
      <c r="K943" s="169">
        <f>IFERROR(MATCH(J943,'Final List'!$B$4:$B$252,0),0)</f>
        <v>0</v>
      </c>
      <c r="L943" s="169">
        <f>IFERROR(MATCH(J943,'Final List'!$D$4:$D$252,0),0)</f>
        <v>0</v>
      </c>
      <c r="M943" s="169">
        <f>IFERROR(MATCH(J943,'Final List'!$F$4:$F$251,0),0)</f>
        <v>0</v>
      </c>
      <c r="N943" s="169">
        <f>IFERROR(MATCH(J943,'Final List'!$H$4:$H$252,0),0)</f>
        <v>0</v>
      </c>
      <c r="O943" s="169">
        <f>IFERROR(MATCH(J943,'Final List'!$J$4:$J$252,0),0)</f>
        <v>0</v>
      </c>
      <c r="P943" s="169">
        <f>IFERROR(MATCH(J943,'Final List'!$L$4:$L$252,0),0)</f>
        <v>0</v>
      </c>
      <c r="Q943" s="169">
        <f>IFERROR(MATCH(J943,'Final List'!$N$4:$N$252,0),0)</f>
        <v>0</v>
      </c>
      <c r="R943" s="169">
        <f>IFERROR(MATCH(J943,'Final List'!$P$4:$P$252,0),0)</f>
        <v>0</v>
      </c>
      <c r="S943" s="169">
        <f t="shared" si="59"/>
        <v>0</v>
      </c>
      <c r="T943" s="169" t="s">
        <v>68</v>
      </c>
      <c r="V943" s="169" t="str">
        <f t="shared" si="57"/>
        <v>PARAGUYA 2</v>
      </c>
      <c r="W943" s="169" t="s">
        <v>2713</v>
      </c>
    </row>
    <row r="944" spans="2:23" x14ac:dyDescent="0.25">
      <c r="B944" s="169" t="s">
        <v>258</v>
      </c>
      <c r="C944" s="169" t="s">
        <v>45</v>
      </c>
      <c r="D944" s="169" t="s">
        <v>870</v>
      </c>
      <c r="E944" s="169" t="s">
        <v>20</v>
      </c>
      <c r="F944" s="245" t="str">
        <f t="shared" si="58"/>
        <v>DVW 74</v>
      </c>
      <c r="G944" s="169" t="s">
        <v>401</v>
      </c>
      <c r="I944" s="169" t="str">
        <f t="shared" si="60"/>
        <v>L10_DPVE_073E_WINZE</v>
      </c>
      <c r="J944" s="169" t="s">
        <v>7458</v>
      </c>
      <c r="K944" s="169">
        <f>IFERROR(MATCH(J944,'Final List'!$B$4:$B$252,0),0)</f>
        <v>0</v>
      </c>
      <c r="L944" s="169">
        <f>IFERROR(MATCH(J944,'Final List'!$D$4:$D$252,0),0)</f>
        <v>0</v>
      </c>
      <c r="M944" s="169">
        <f>IFERROR(MATCH(J944,'Final List'!$F$4:$F$251,0),0)</f>
        <v>0</v>
      </c>
      <c r="N944" s="169">
        <f>IFERROR(MATCH(J944,'Final List'!$H$4:$H$252,0),0)</f>
        <v>0</v>
      </c>
      <c r="O944" s="169">
        <f>IFERROR(MATCH(J944,'Final List'!$J$4:$J$252,0),0)</f>
        <v>0</v>
      </c>
      <c r="P944" s="169">
        <f>IFERROR(MATCH(J944,'Final List'!$L$4:$L$252,0),0)</f>
        <v>0</v>
      </c>
      <c r="Q944" s="169">
        <f>IFERROR(MATCH(J944,'Final List'!$N$4:$N$252,0),0)</f>
        <v>0</v>
      </c>
      <c r="R944" s="169">
        <f>IFERROR(MATCH(J944,'Final List'!$P$4:$P$252,0),0)</f>
        <v>0</v>
      </c>
      <c r="S944" s="169">
        <f t="shared" si="59"/>
        <v>0</v>
      </c>
      <c r="V944" s="169" t="str">
        <f t="shared" si="57"/>
        <v>MAPAYO 2</v>
      </c>
      <c r="W944" s="169" t="s">
        <v>2706</v>
      </c>
    </row>
    <row r="945" spans="2:23" x14ac:dyDescent="0.25">
      <c r="B945" s="169" t="s">
        <v>93</v>
      </c>
      <c r="C945" s="169" t="s">
        <v>42</v>
      </c>
      <c r="D945" s="169" t="s">
        <v>144</v>
      </c>
      <c r="E945" s="169" t="s">
        <v>19</v>
      </c>
      <c r="F945" s="245" t="str">
        <f t="shared" si="58"/>
        <v>DVR 72</v>
      </c>
      <c r="G945" s="169" t="s">
        <v>352</v>
      </c>
      <c r="I945" s="169" t="str">
        <f t="shared" si="60"/>
        <v>L06_JV_043E_RAISE</v>
      </c>
      <c r="J945" s="169" t="s">
        <v>7461</v>
      </c>
      <c r="K945" s="169">
        <f>IFERROR(MATCH(J945,'Final List'!$B$4:$B$252,0),0)</f>
        <v>0</v>
      </c>
      <c r="L945" s="169">
        <f>IFERROR(MATCH(J945,'Final List'!$D$4:$D$252,0),0)</f>
        <v>0</v>
      </c>
      <c r="M945" s="169">
        <f>IFERROR(MATCH(J945,'Final List'!$F$4:$F$251,0),0)</f>
        <v>0</v>
      </c>
      <c r="N945" s="169">
        <f>IFERROR(MATCH(J945,'Final List'!$H$4:$H$252,0),0)</f>
        <v>0</v>
      </c>
      <c r="O945" s="169">
        <f>IFERROR(MATCH(J945,'Final List'!$J$4:$J$252,0),0)</f>
        <v>0</v>
      </c>
      <c r="P945" s="169">
        <f>IFERROR(MATCH(J945,'Final List'!$L$4:$L$252,0),0)</f>
        <v>0</v>
      </c>
      <c r="Q945" s="169">
        <f>IFERROR(MATCH(J945,'Final List'!$N$4:$N$252,0),0)</f>
        <v>0</v>
      </c>
      <c r="R945" s="169">
        <f>IFERROR(MATCH(J945,'Final List'!$P$4:$P$252,0),0)</f>
        <v>0</v>
      </c>
      <c r="S945" s="169">
        <f t="shared" si="59"/>
        <v>0</v>
      </c>
      <c r="V945" s="169" t="str">
        <f t="shared" si="57"/>
        <v>BAÑEZ 5</v>
      </c>
      <c r="W945" s="169" t="s">
        <v>2715</v>
      </c>
    </row>
    <row r="946" spans="2:23" x14ac:dyDescent="0.25">
      <c r="B946" s="169" t="s">
        <v>92</v>
      </c>
      <c r="C946" s="169" t="s">
        <v>45</v>
      </c>
      <c r="D946" s="169" t="s">
        <v>142</v>
      </c>
      <c r="E946" s="169" t="s">
        <v>60</v>
      </c>
      <c r="F946" s="245" t="str">
        <f t="shared" si="58"/>
        <v>Dhoz 71</v>
      </c>
      <c r="G946" s="169" t="s">
        <v>538</v>
      </c>
      <c r="I946" s="169" t="str">
        <f t="shared" si="60"/>
        <v>L05_DPVE_038E_DE</v>
      </c>
      <c r="J946" s="169" t="s">
        <v>7470</v>
      </c>
      <c r="K946" s="169">
        <f>IFERROR(MATCH(J946,'Final List'!$B$4:$B$252,0),0)</f>
        <v>0</v>
      </c>
      <c r="L946" s="169">
        <f>IFERROR(MATCH(J946,'Final List'!$D$4:$D$252,0),0)</f>
        <v>0</v>
      </c>
      <c r="M946" s="169">
        <f>IFERROR(MATCH(J946,'Final List'!$F$4:$F$251,0),0)</f>
        <v>0</v>
      </c>
      <c r="N946" s="169">
        <f>IFERROR(MATCH(J946,'Final List'!$H$4:$H$252,0),0)</f>
        <v>0</v>
      </c>
      <c r="O946" s="169">
        <f>IFERROR(MATCH(J946,'Final List'!$J$4:$J$252,0),0)</f>
        <v>0</v>
      </c>
      <c r="P946" s="169">
        <f>IFERROR(MATCH(J946,'Final List'!$L$4:$L$252,0),0)</f>
        <v>0</v>
      </c>
      <c r="Q946" s="169">
        <f>IFERROR(MATCH(J946,'Final List'!$N$4:$N$252,0),0)</f>
        <v>0</v>
      </c>
      <c r="R946" s="169">
        <f>IFERROR(MATCH(J946,'Final List'!$P$4:$P$252,0),0)</f>
        <v>0</v>
      </c>
      <c r="S946" s="169">
        <f t="shared" si="59"/>
        <v>0</v>
      </c>
      <c r="V946" s="169" t="str">
        <f t="shared" si="57"/>
        <v>PANCIT, NOEL 4</v>
      </c>
      <c r="W946" s="169" t="s">
        <v>8895</v>
      </c>
    </row>
    <row r="947" spans="2:23" x14ac:dyDescent="0.25">
      <c r="B947" s="169" t="s">
        <v>96</v>
      </c>
      <c r="C947" s="169" t="s">
        <v>45</v>
      </c>
      <c r="D947" s="169" t="s">
        <v>103</v>
      </c>
      <c r="E947" s="169" t="s">
        <v>19</v>
      </c>
      <c r="F947" s="245" t="str">
        <f t="shared" si="58"/>
        <v>DVR 72</v>
      </c>
      <c r="G947" s="169" t="s">
        <v>7290</v>
      </c>
      <c r="H947" s="169" t="s">
        <v>12528</v>
      </c>
      <c r="I947" s="169" t="str">
        <f t="shared" si="60"/>
        <v>L09_DPVE_005E_RAISE</v>
      </c>
      <c r="J947" s="169" t="s">
        <v>7468</v>
      </c>
      <c r="K947" s="169">
        <f>IFERROR(MATCH(J947,'Final List'!$B$4:$B$252,0),0)</f>
        <v>0</v>
      </c>
      <c r="L947" s="169">
        <f>IFERROR(MATCH(J947,'Final List'!$D$4:$D$252,0),0)</f>
        <v>0</v>
      </c>
      <c r="M947" s="169">
        <f>IFERROR(MATCH(J947,'Final List'!$F$4:$F$251,0),0)</f>
        <v>0</v>
      </c>
      <c r="N947" s="169">
        <f>IFERROR(MATCH(J947,'Final List'!$H$4:$H$252,0),0)</f>
        <v>0</v>
      </c>
      <c r="O947" s="169">
        <f>IFERROR(MATCH(J947,'Final List'!$J$4:$J$252,0),0)</f>
        <v>0</v>
      </c>
      <c r="P947" s="169">
        <f>IFERROR(MATCH(J947,'Final List'!$L$4:$L$252,0),0)</f>
        <v>0</v>
      </c>
      <c r="Q947" s="169">
        <f>IFERROR(MATCH(J947,'Final List'!$N$4:$N$252,0),0)</f>
        <v>0</v>
      </c>
      <c r="R947" s="169">
        <f>IFERROR(MATCH(J947,'Final List'!$P$4:$P$252,0),0)</f>
        <v>0</v>
      </c>
      <c r="S947" s="169">
        <f t="shared" si="59"/>
        <v>0</v>
      </c>
      <c r="V947" s="169" t="str">
        <f t="shared" si="57"/>
        <v>NITRO AA</v>
      </c>
      <c r="W947" s="169" t="s">
        <v>2715</v>
      </c>
    </row>
    <row r="948" spans="2:23" x14ac:dyDescent="0.25">
      <c r="B948" s="169" t="s">
        <v>258</v>
      </c>
      <c r="C948" s="169" t="s">
        <v>43</v>
      </c>
      <c r="D948" s="169" t="s">
        <v>5631</v>
      </c>
      <c r="E948" s="169" t="s">
        <v>60</v>
      </c>
      <c r="F948" s="245" t="str">
        <f t="shared" si="58"/>
        <v>Dhoz 71</v>
      </c>
      <c r="G948" s="169" t="s">
        <v>454</v>
      </c>
      <c r="I948" s="169" t="str">
        <f t="shared" si="60"/>
        <v>L10_GHVSPLIT_020E_DE</v>
      </c>
      <c r="J948" s="169" t="s">
        <v>7478</v>
      </c>
      <c r="K948" s="169">
        <f>IFERROR(MATCH(J948,'Final List'!$B$4:$B$252,0),0)</f>
        <v>0</v>
      </c>
      <c r="L948" s="169">
        <f>IFERROR(MATCH(J948,'Final List'!$D$4:$D$252,0),0)</f>
        <v>0</v>
      </c>
      <c r="M948" s="169">
        <f>IFERROR(MATCH(J948,'Final List'!$F$4:$F$251,0),0)</f>
        <v>0</v>
      </c>
      <c r="N948" s="169">
        <f>IFERROR(MATCH(J948,'Final List'!$H$4:$H$252,0),0)</f>
        <v>0</v>
      </c>
      <c r="O948" s="169">
        <f>IFERROR(MATCH(J948,'Final List'!$J$4:$J$252,0),0)</f>
        <v>0</v>
      </c>
      <c r="P948" s="169">
        <f>IFERROR(MATCH(J948,'Final List'!$L$4:$L$252,0),0)</f>
        <v>0</v>
      </c>
      <c r="Q948" s="169">
        <f>IFERROR(MATCH(J948,'Final List'!$N$4:$N$252,0),0)</f>
        <v>0</v>
      </c>
      <c r="R948" s="169">
        <f>IFERROR(MATCH(J948,'Final List'!$P$4:$P$252,0),0)</f>
        <v>0</v>
      </c>
      <c r="S948" s="169">
        <f t="shared" si="59"/>
        <v>0</v>
      </c>
      <c r="V948" s="169" t="str">
        <f t="shared" si="57"/>
        <v>BAÑEZ 8</v>
      </c>
      <c r="W948" s="169" t="s">
        <v>8896</v>
      </c>
    </row>
    <row r="949" spans="2:23" x14ac:dyDescent="0.25">
      <c r="B949" s="169" t="s">
        <v>94</v>
      </c>
      <c r="C949" s="169" t="s">
        <v>55</v>
      </c>
      <c r="D949" s="169" t="s">
        <v>5742</v>
      </c>
      <c r="E949" s="169" t="s">
        <v>62</v>
      </c>
      <c r="F949" s="245" t="str">
        <f t="shared" si="58"/>
        <v>RobS 79</v>
      </c>
      <c r="G949" s="169" t="s">
        <v>6432</v>
      </c>
      <c r="I949" s="169" t="str">
        <f t="shared" si="60"/>
        <v>L07_JVFW_040E_ROBBING</v>
      </c>
      <c r="J949" s="169" t="s">
        <v>7471</v>
      </c>
      <c r="K949" s="169">
        <f>IFERROR(MATCH(J949,'Final List'!$B$4:$B$252,0),0)</f>
        <v>0</v>
      </c>
      <c r="L949" s="169">
        <f>IFERROR(MATCH(J949,'Final List'!$D$4:$D$252,0),0)</f>
        <v>0</v>
      </c>
      <c r="M949" s="169">
        <f>IFERROR(MATCH(J949,'Final List'!$F$4:$F$251,0),0)</f>
        <v>0</v>
      </c>
      <c r="N949" s="169">
        <f>IFERROR(MATCH(J949,'Final List'!$H$4:$H$252,0),0)</f>
        <v>0</v>
      </c>
      <c r="O949" s="169">
        <f>IFERROR(MATCH(J949,'Final List'!$J$4:$J$252,0),0)</f>
        <v>0</v>
      </c>
      <c r="P949" s="169">
        <f>IFERROR(MATCH(J949,'Final List'!$L$4:$L$252,0),0)</f>
        <v>0</v>
      </c>
      <c r="Q949" s="169">
        <f>IFERROR(MATCH(J949,'Final List'!$N$4:$N$252,0),0)</f>
        <v>0</v>
      </c>
      <c r="R949" s="169">
        <f>IFERROR(MATCH(J949,'Final List'!$P$4:$P$252,0),0)</f>
        <v>0</v>
      </c>
      <c r="S949" s="169">
        <f t="shared" si="59"/>
        <v>0</v>
      </c>
      <c r="T949" s="169" t="s">
        <v>68</v>
      </c>
      <c r="V949" s="169" t="str">
        <f t="shared" si="57"/>
        <v>CARIKITAN</v>
      </c>
      <c r="W949" s="169" t="s">
        <v>2707</v>
      </c>
    </row>
    <row r="950" spans="2:23" x14ac:dyDescent="0.25">
      <c r="B950" s="169" t="s">
        <v>95</v>
      </c>
      <c r="C950" s="169" t="s">
        <v>56</v>
      </c>
      <c r="D950" s="169" t="s">
        <v>5601</v>
      </c>
      <c r="E950" s="169" t="s">
        <v>62</v>
      </c>
      <c r="F950" s="245" t="str">
        <f t="shared" si="58"/>
        <v>RobC 80</v>
      </c>
      <c r="G950" s="169" t="s">
        <v>3042</v>
      </c>
      <c r="I950" s="169" t="str">
        <f t="shared" si="60"/>
        <v>L08_GHVFW_026E_ROBBING</v>
      </c>
      <c r="J950" s="169" t="s">
        <v>7476</v>
      </c>
      <c r="K950" s="169">
        <f>IFERROR(MATCH(J950,'Final List'!$B$4:$B$252,0),0)</f>
        <v>0</v>
      </c>
      <c r="L950" s="169">
        <f>IFERROR(MATCH(J950,'Final List'!$D$4:$D$252,0),0)</f>
        <v>0</v>
      </c>
      <c r="M950" s="169">
        <f>IFERROR(MATCH(J950,'Final List'!$F$4:$F$251,0),0)</f>
        <v>0</v>
      </c>
      <c r="N950" s="169">
        <f>IFERROR(MATCH(J950,'Final List'!$H$4:$H$252,0),0)</f>
        <v>0</v>
      </c>
      <c r="O950" s="169">
        <f>IFERROR(MATCH(J950,'Final List'!$J$4:$J$252,0),0)</f>
        <v>0</v>
      </c>
      <c r="P950" s="169">
        <f>IFERROR(MATCH(J950,'Final List'!$L$4:$L$252,0),0)</f>
        <v>0</v>
      </c>
      <c r="Q950" s="169">
        <f>IFERROR(MATCH(J950,'Final List'!$N$4:$N$252,0),0)</f>
        <v>0</v>
      </c>
      <c r="R950" s="169">
        <f>IFERROR(MATCH(J950,'Final List'!$P$4:$P$252,0),0)</f>
        <v>0</v>
      </c>
      <c r="S950" s="169">
        <f t="shared" si="59"/>
        <v>0</v>
      </c>
      <c r="T950" s="169" t="s">
        <v>48</v>
      </c>
      <c r="V950" s="169" t="str">
        <f t="shared" si="57"/>
        <v>VILLARANTE</v>
      </c>
      <c r="W950" s="169" t="s">
        <v>236</v>
      </c>
    </row>
    <row r="951" spans="2:23" x14ac:dyDescent="0.25">
      <c r="B951" s="169" t="s">
        <v>92</v>
      </c>
      <c r="C951" s="169" t="s">
        <v>42</v>
      </c>
      <c r="D951" s="169" t="s">
        <v>147</v>
      </c>
      <c r="E951" s="169" t="s">
        <v>221</v>
      </c>
      <c r="F951" s="245" t="str">
        <f t="shared" si="58"/>
        <v>RobC 80</v>
      </c>
      <c r="G951" s="169" t="s">
        <v>387</v>
      </c>
      <c r="I951" s="169" t="str">
        <f t="shared" si="60"/>
        <v>L05_JV_024E_WINZE STOPE</v>
      </c>
      <c r="J951" s="169" t="s">
        <v>7480</v>
      </c>
      <c r="K951" s="169">
        <f>IFERROR(MATCH(J951,'Final List'!$B$4:$B$252,0),0)</f>
        <v>0</v>
      </c>
      <c r="L951" s="169">
        <f>IFERROR(MATCH(J951,'Final List'!$D$4:$D$252,0),0)</f>
        <v>0</v>
      </c>
      <c r="M951" s="169">
        <f>IFERROR(MATCH(J951,'Final List'!$F$4:$F$251,0),0)</f>
        <v>0</v>
      </c>
      <c r="N951" s="169">
        <f>IFERROR(MATCH(J951,'Final List'!$H$4:$H$252,0),0)</f>
        <v>0</v>
      </c>
      <c r="O951" s="169">
        <f>IFERROR(MATCH(J951,'Final List'!$J$4:$J$252,0),0)</f>
        <v>0</v>
      </c>
      <c r="P951" s="169">
        <f>IFERROR(MATCH(J951,'Final List'!$L$4:$L$252,0),0)</f>
        <v>0</v>
      </c>
      <c r="Q951" s="169">
        <f>IFERROR(MATCH(J951,'Final List'!$N$4:$N$252,0),0)</f>
        <v>0</v>
      </c>
      <c r="R951" s="169">
        <f>IFERROR(MATCH(J951,'Final List'!$P$4:$P$252,0),0)</f>
        <v>0</v>
      </c>
      <c r="S951" s="169">
        <f t="shared" si="59"/>
        <v>0</v>
      </c>
      <c r="T951" s="169" t="s">
        <v>68</v>
      </c>
      <c r="V951" s="169" t="str">
        <f t="shared" si="57"/>
        <v>MAPAYO 1</v>
      </c>
      <c r="W951" s="169" t="s">
        <v>2719</v>
      </c>
    </row>
    <row r="952" spans="2:23" x14ac:dyDescent="0.25">
      <c r="B952" s="169" t="s">
        <v>92</v>
      </c>
      <c r="C952" s="169" t="s">
        <v>45</v>
      </c>
      <c r="D952" s="169" t="s">
        <v>161</v>
      </c>
      <c r="E952" s="169" t="s">
        <v>221</v>
      </c>
      <c r="F952" s="245" t="str">
        <f t="shared" si="58"/>
        <v>RobC 80</v>
      </c>
      <c r="G952" s="169" t="s">
        <v>7483</v>
      </c>
      <c r="I952" s="169" t="str">
        <f t="shared" si="60"/>
        <v>L05_DPVE_044E_WINZE STOPE</v>
      </c>
      <c r="J952" s="169" t="s">
        <v>7481</v>
      </c>
      <c r="K952" s="169">
        <f>IFERROR(MATCH(J952,'Final List'!$B$4:$B$252,0),0)</f>
        <v>0</v>
      </c>
      <c r="L952" s="169">
        <f>IFERROR(MATCH(J952,'Final List'!$D$4:$D$252,0),0)</f>
        <v>0</v>
      </c>
      <c r="M952" s="169">
        <f>IFERROR(MATCH(J952,'Final List'!$F$4:$F$251,0),0)</f>
        <v>0</v>
      </c>
      <c r="N952" s="169">
        <f>IFERROR(MATCH(J952,'Final List'!$H$4:$H$252,0),0)</f>
        <v>0</v>
      </c>
      <c r="O952" s="169">
        <f>IFERROR(MATCH(J952,'Final List'!$J$4:$J$252,0),0)</f>
        <v>0</v>
      </c>
      <c r="P952" s="169">
        <f>IFERROR(MATCH(J952,'Final List'!$L$4:$L$252,0),0)</f>
        <v>0</v>
      </c>
      <c r="Q952" s="169">
        <f>IFERROR(MATCH(J952,'Final List'!$N$4:$N$252,0),0)</f>
        <v>0</v>
      </c>
      <c r="R952" s="169">
        <f>IFERROR(MATCH(J952,'Final List'!$P$4:$P$252,0),0)</f>
        <v>0</v>
      </c>
      <c r="S952" s="169">
        <f t="shared" si="59"/>
        <v>0</v>
      </c>
      <c r="T952" s="169" t="s">
        <v>48</v>
      </c>
      <c r="V952" s="169" t="str">
        <f t="shared" si="57"/>
        <v>NOEL</v>
      </c>
      <c r="W952" s="169" t="s">
        <v>2719</v>
      </c>
    </row>
    <row r="953" spans="2:23" x14ac:dyDescent="0.25">
      <c r="B953" s="169" t="s">
        <v>95</v>
      </c>
      <c r="C953" s="169" t="s">
        <v>56</v>
      </c>
      <c r="D953" s="169" t="s">
        <v>109</v>
      </c>
      <c r="E953" s="169" t="s">
        <v>221</v>
      </c>
      <c r="F953" s="245" t="str">
        <f t="shared" si="58"/>
        <v>RobC 80</v>
      </c>
      <c r="G953" s="169" t="s">
        <v>1369</v>
      </c>
      <c r="I953" s="169" t="str">
        <f t="shared" si="60"/>
        <v>L08_GHVFW_002W_WINZE STOPE</v>
      </c>
      <c r="J953" s="169" t="s">
        <v>7484</v>
      </c>
      <c r="K953" s="169">
        <f>IFERROR(MATCH(J953,'Final List'!$B$4:$B$252,0),0)</f>
        <v>0</v>
      </c>
      <c r="L953" s="169">
        <f>IFERROR(MATCH(J953,'Final List'!$D$4:$D$252,0),0)</f>
        <v>0</v>
      </c>
      <c r="M953" s="169">
        <f>IFERROR(MATCH(J953,'Final List'!$F$4:$F$251,0),0)</f>
        <v>0</v>
      </c>
      <c r="N953" s="169">
        <f>IFERROR(MATCH(J953,'Final List'!$H$4:$H$252,0),0)</f>
        <v>0</v>
      </c>
      <c r="O953" s="169">
        <f>IFERROR(MATCH(J953,'Final List'!$J$4:$J$252,0),0)</f>
        <v>0</v>
      </c>
      <c r="P953" s="169">
        <f>IFERROR(MATCH(J953,'Final List'!$L$4:$L$252,0),0)</f>
        <v>0</v>
      </c>
      <c r="Q953" s="169">
        <f>IFERROR(MATCH(J953,'Final List'!$N$4:$N$252,0),0)</f>
        <v>0</v>
      </c>
      <c r="R953" s="169">
        <f>IFERROR(MATCH(J953,'Final List'!$P$4:$P$252,0),0)</f>
        <v>0</v>
      </c>
      <c r="S953" s="169">
        <f t="shared" si="59"/>
        <v>0</v>
      </c>
      <c r="T953" s="169" t="s">
        <v>68</v>
      </c>
      <c r="V953" s="169" t="str">
        <f t="shared" si="57"/>
        <v>TORMIS</v>
      </c>
      <c r="W953" s="169" t="s">
        <v>2719</v>
      </c>
    </row>
    <row r="954" spans="2:23" x14ac:dyDescent="0.25">
      <c r="B954" s="169" t="s">
        <v>92</v>
      </c>
      <c r="C954" s="169" t="s">
        <v>45</v>
      </c>
      <c r="D954" s="169" t="s">
        <v>178</v>
      </c>
      <c r="E954" s="169" t="s">
        <v>60</v>
      </c>
      <c r="F954" s="245" t="str">
        <f t="shared" si="58"/>
        <v>Dhoz 71</v>
      </c>
      <c r="G954" s="169" t="s">
        <v>7517</v>
      </c>
      <c r="I954" s="169" t="str">
        <f t="shared" si="60"/>
        <v>L05_DPVE_048E_DE</v>
      </c>
      <c r="J954" s="169" t="s">
        <v>7490</v>
      </c>
      <c r="K954" s="169">
        <f>IFERROR(MATCH(J954,'Final List'!$B$4:$B$252,0),0)</f>
        <v>0</v>
      </c>
      <c r="L954" s="169">
        <f>IFERROR(MATCH(J954,'Final List'!$D$4:$D$252,0),0)</f>
        <v>0</v>
      </c>
      <c r="M954" s="169">
        <f>IFERROR(MATCH(J954,'Final List'!$F$4:$F$251,0),0)</f>
        <v>0</v>
      </c>
      <c r="N954" s="169">
        <f>IFERROR(MATCH(J954,'Final List'!$H$4:$H$252,0),0)</f>
        <v>0</v>
      </c>
      <c r="O954" s="169">
        <f>IFERROR(MATCH(J954,'Final List'!$J$4:$J$252,0),0)</f>
        <v>0</v>
      </c>
      <c r="P954" s="169">
        <f>IFERROR(MATCH(J954,'Final List'!$L$4:$L$252,0),0)</f>
        <v>0</v>
      </c>
      <c r="Q954" s="169">
        <f>IFERROR(MATCH(J954,'Final List'!$N$4:$N$252,0),0)</f>
        <v>0</v>
      </c>
      <c r="R954" s="169">
        <f>IFERROR(MATCH(J954,'Final List'!$P$4:$P$252,0),0)</f>
        <v>0</v>
      </c>
      <c r="S954" s="169">
        <f t="shared" si="59"/>
        <v>0</v>
      </c>
      <c r="V954" s="169" t="str">
        <f t="shared" si="57"/>
        <v>FERNANDEZ RG</v>
      </c>
      <c r="W954" s="169" t="s">
        <v>8895</v>
      </c>
    </row>
    <row r="955" spans="2:23" x14ac:dyDescent="0.25">
      <c r="B955" s="169" t="s">
        <v>93</v>
      </c>
      <c r="C955" s="169" t="s">
        <v>39</v>
      </c>
      <c r="D955" s="169" t="s">
        <v>104</v>
      </c>
      <c r="E955" s="169" t="s">
        <v>60</v>
      </c>
      <c r="F955" s="245" t="str">
        <f t="shared" si="58"/>
        <v>Dhoz 71</v>
      </c>
      <c r="G955" s="169" t="s">
        <v>352</v>
      </c>
      <c r="I955" s="169" t="str">
        <f t="shared" si="60"/>
        <v>L06_JVHW_029W_DE</v>
      </c>
      <c r="J955" s="169" t="s">
        <v>7492</v>
      </c>
      <c r="K955" s="169">
        <f>IFERROR(MATCH(J955,'Final List'!$B$4:$B$252,0),0)</f>
        <v>0</v>
      </c>
      <c r="L955" s="169">
        <f>IFERROR(MATCH(J955,'Final List'!$D$4:$D$252,0),0)</f>
        <v>0</v>
      </c>
      <c r="M955" s="169">
        <f>IFERROR(MATCH(J955,'Final List'!$F$4:$F$251,0),0)</f>
        <v>0</v>
      </c>
      <c r="N955" s="169">
        <f>IFERROR(MATCH(J955,'Final List'!$H$4:$H$252,0),0)</f>
        <v>0</v>
      </c>
      <c r="O955" s="169">
        <f>IFERROR(MATCH(J955,'Final List'!$J$4:$J$252,0),0)</f>
        <v>0</v>
      </c>
      <c r="P955" s="169">
        <f>IFERROR(MATCH(J955,'Final List'!$L$4:$L$252,0),0)</f>
        <v>0</v>
      </c>
      <c r="Q955" s="169">
        <f>IFERROR(MATCH(J955,'Final List'!$N$4:$N$252,0),0)</f>
        <v>0</v>
      </c>
      <c r="R955" s="169">
        <f>IFERROR(MATCH(J955,'Final List'!$P$4:$P$252,0),0)</f>
        <v>0</v>
      </c>
      <c r="S955" s="169">
        <f t="shared" si="59"/>
        <v>0</v>
      </c>
      <c r="V955" s="169" t="str">
        <f t="shared" si="57"/>
        <v>BAÑEZ 5</v>
      </c>
      <c r="W955" s="169" t="s">
        <v>8895</v>
      </c>
    </row>
    <row r="956" spans="2:23" x14ac:dyDescent="0.25">
      <c r="B956" s="169" t="s">
        <v>93</v>
      </c>
      <c r="C956" s="169" t="s">
        <v>41</v>
      </c>
      <c r="D956" s="169" t="s">
        <v>131</v>
      </c>
      <c r="E956" s="169" t="s">
        <v>6143</v>
      </c>
      <c r="F956" s="245" t="str">
        <f t="shared" si="58"/>
        <v>Dhoz 71</v>
      </c>
      <c r="G956" s="169" t="s">
        <v>342</v>
      </c>
      <c r="I956" s="169" t="str">
        <f t="shared" si="60"/>
        <v>L06_CTV_011E_DE_ISL</v>
      </c>
      <c r="J956" s="169" t="s">
        <v>7493</v>
      </c>
      <c r="K956" s="169">
        <f>IFERROR(MATCH(J956,'Final List'!$B$4:$B$252,0),0)</f>
        <v>0</v>
      </c>
      <c r="L956" s="169">
        <f>IFERROR(MATCH(J956,'Final List'!$D$4:$D$252,0),0)</f>
        <v>0</v>
      </c>
      <c r="M956" s="169">
        <f>IFERROR(MATCH(J956,'Final List'!$F$4:$F$251,0),0)</f>
        <v>0</v>
      </c>
      <c r="N956" s="169">
        <f>IFERROR(MATCH(J956,'Final List'!$H$4:$H$252,0),0)</f>
        <v>0</v>
      </c>
      <c r="O956" s="169">
        <f>IFERROR(MATCH(J956,'Final List'!$J$4:$J$252,0),0)</f>
        <v>0</v>
      </c>
      <c r="P956" s="169">
        <f>IFERROR(MATCH(J956,'Final List'!$L$4:$L$252,0),0)</f>
        <v>0</v>
      </c>
      <c r="Q956" s="169">
        <f>IFERROR(MATCH(J956,'Final List'!$N$4:$N$252,0),0)</f>
        <v>0</v>
      </c>
      <c r="R956" s="169">
        <f>IFERROR(MATCH(J956,'Final List'!$P$4:$P$252,0),0)</f>
        <v>0</v>
      </c>
      <c r="S956" s="169">
        <f t="shared" si="59"/>
        <v>0</v>
      </c>
      <c r="V956" s="169" t="str">
        <f t="shared" si="57"/>
        <v>BADBADON 2</v>
      </c>
      <c r="W956" s="169" t="s">
        <v>2708</v>
      </c>
    </row>
    <row r="957" spans="2:23" x14ac:dyDescent="0.25">
      <c r="B957" s="169" t="s">
        <v>91</v>
      </c>
      <c r="C957" s="169" t="s">
        <v>58</v>
      </c>
      <c r="D957" s="169" t="s">
        <v>98</v>
      </c>
      <c r="E957" s="169" t="s">
        <v>60</v>
      </c>
      <c r="F957" s="245" t="str">
        <f t="shared" si="58"/>
        <v>Dhoz 71</v>
      </c>
      <c r="G957" s="169" t="s">
        <v>7076</v>
      </c>
      <c r="I957" s="169" t="str">
        <f t="shared" si="60"/>
        <v>L04_EDV_014W_DE</v>
      </c>
      <c r="J957" s="169" t="s">
        <v>7494</v>
      </c>
      <c r="K957" s="169">
        <f>IFERROR(MATCH(J957,'Final List'!$B$4:$B$252,0),0)</f>
        <v>0</v>
      </c>
      <c r="L957" s="169">
        <f>IFERROR(MATCH(J957,'Final List'!$D$4:$D$252,0),0)</f>
        <v>0</v>
      </c>
      <c r="M957" s="169">
        <f>IFERROR(MATCH(J957,'Final List'!$F$4:$F$251,0),0)</f>
        <v>0</v>
      </c>
      <c r="N957" s="169">
        <f>IFERROR(MATCH(J957,'Final List'!$H$4:$H$252,0),0)</f>
        <v>0</v>
      </c>
      <c r="O957" s="169">
        <f>IFERROR(MATCH(J957,'Final List'!$J$4:$J$252,0),0)</f>
        <v>0</v>
      </c>
      <c r="P957" s="169">
        <f>IFERROR(MATCH(J957,'Final List'!$L$4:$L$252,0),0)</f>
        <v>0</v>
      </c>
      <c r="Q957" s="169">
        <f>IFERROR(MATCH(J957,'Final List'!$N$4:$N$252,0),0)</f>
        <v>0</v>
      </c>
      <c r="R957" s="169">
        <f>IFERROR(MATCH(J957,'Final List'!$P$4:$P$252,0),0)</f>
        <v>0</v>
      </c>
      <c r="S957" s="169">
        <f t="shared" si="59"/>
        <v>0</v>
      </c>
      <c r="V957" s="169" t="str">
        <f t="shared" si="57"/>
        <v>SHEPHERD AR</v>
      </c>
      <c r="W957" s="169" t="s">
        <v>8895</v>
      </c>
    </row>
    <row r="958" spans="2:23" x14ac:dyDescent="0.25">
      <c r="B958" s="169" t="s">
        <v>96</v>
      </c>
      <c r="C958" s="169" t="s">
        <v>59</v>
      </c>
      <c r="D958" s="169" t="s">
        <v>113</v>
      </c>
      <c r="E958" s="169" t="s">
        <v>6154</v>
      </c>
      <c r="F958" s="245" t="str">
        <f t="shared" si="58"/>
        <v>Dhoz 71</v>
      </c>
      <c r="G958" s="169" t="s">
        <v>1899</v>
      </c>
      <c r="I958" s="169" t="str">
        <f t="shared" si="60"/>
        <v>L09_GHVHW_001W_DW_ISL</v>
      </c>
      <c r="J958" s="169" t="s">
        <v>9469</v>
      </c>
      <c r="K958" s="169">
        <f>IFERROR(MATCH(J958,'Final List'!$B$4:$B$252,0),0)</f>
        <v>0</v>
      </c>
      <c r="L958" s="169">
        <f>IFERROR(MATCH(J958,'Final List'!$D$4:$D$252,0),0)</f>
        <v>0</v>
      </c>
      <c r="M958" s="169">
        <f>IFERROR(MATCH(J958,'Final List'!$F$4:$F$251,0),0)</f>
        <v>0</v>
      </c>
      <c r="N958" s="169">
        <f>IFERROR(MATCH(J958,'Final List'!$H$4:$H$252,0),0)</f>
        <v>0</v>
      </c>
      <c r="O958" s="169">
        <f>IFERROR(MATCH(J958,'Final List'!$J$4:$J$252,0),0)</f>
        <v>0</v>
      </c>
      <c r="P958" s="169">
        <f>IFERROR(MATCH(J958,'Final List'!$L$4:$L$252,0),0)</f>
        <v>0</v>
      </c>
      <c r="Q958" s="169">
        <f>IFERROR(MATCH(J958,'Final List'!$N$4:$N$252,0),0)</f>
        <v>0</v>
      </c>
      <c r="R958" s="169">
        <f>IFERROR(MATCH(J958,'Final List'!$P$4:$P$252,0),0)</f>
        <v>0</v>
      </c>
      <c r="S958" s="169">
        <f t="shared" si="59"/>
        <v>0</v>
      </c>
      <c r="V958" s="169" t="str">
        <f t="shared" si="57"/>
        <v>DELOS REYES V 2</v>
      </c>
      <c r="W958" s="169" t="s">
        <v>8896</v>
      </c>
    </row>
    <row r="959" spans="2:23" x14ac:dyDescent="0.25">
      <c r="B959" s="169" t="s">
        <v>258</v>
      </c>
      <c r="C959" s="169" t="s">
        <v>45</v>
      </c>
      <c r="D959" s="169" t="s">
        <v>6946</v>
      </c>
      <c r="E959" s="169" t="s">
        <v>60</v>
      </c>
      <c r="F959" s="245" t="str">
        <f t="shared" si="58"/>
        <v>Dhoz 71</v>
      </c>
      <c r="G959" s="169" t="s">
        <v>6851</v>
      </c>
      <c r="I959" s="169" t="str">
        <f t="shared" si="60"/>
        <v>L10_DPVE_081E_DE</v>
      </c>
      <c r="J959" s="169" t="s">
        <v>7496</v>
      </c>
      <c r="K959" s="169">
        <f>IFERROR(MATCH(J959,'Final List'!$B$4:$B$252,0),0)</f>
        <v>0</v>
      </c>
      <c r="L959" s="169">
        <f>IFERROR(MATCH(J959,'Final List'!$D$4:$D$252,0),0)</f>
        <v>0</v>
      </c>
      <c r="M959" s="169">
        <f>IFERROR(MATCH(J959,'Final List'!$F$4:$F$251,0),0)</f>
        <v>0</v>
      </c>
      <c r="N959" s="169">
        <f>IFERROR(MATCH(J959,'Final List'!$H$4:$H$252,0),0)</f>
        <v>0</v>
      </c>
      <c r="O959" s="169">
        <f>IFERROR(MATCH(J959,'Final List'!$J$4:$J$252,0),0)</f>
        <v>0</v>
      </c>
      <c r="P959" s="169">
        <f>IFERROR(MATCH(J959,'Final List'!$L$4:$L$252,0),0)</f>
        <v>0</v>
      </c>
      <c r="Q959" s="169">
        <f>IFERROR(MATCH(J959,'Final List'!$N$4:$N$252,0),0)</f>
        <v>0</v>
      </c>
      <c r="R959" s="169">
        <f>IFERROR(MATCH(J959,'Final List'!$P$4:$P$252,0),0)</f>
        <v>0</v>
      </c>
      <c r="S959" s="169">
        <f t="shared" si="59"/>
        <v>0</v>
      </c>
      <c r="V959" s="169" t="str">
        <f t="shared" si="57"/>
        <v>OLIVEROS 5</v>
      </c>
      <c r="W959" s="169" t="s">
        <v>8896</v>
      </c>
    </row>
    <row r="960" spans="2:23" x14ac:dyDescent="0.25">
      <c r="B960" s="169" t="s">
        <v>94</v>
      </c>
      <c r="C960" s="169" t="s">
        <v>57</v>
      </c>
      <c r="D960" s="169" t="s">
        <v>134</v>
      </c>
      <c r="E960" s="169" t="s">
        <v>61</v>
      </c>
      <c r="F960" s="245" t="str">
        <f t="shared" si="58"/>
        <v>Dhoz 71</v>
      </c>
      <c r="G960" s="169" t="s">
        <v>5719</v>
      </c>
      <c r="I960" s="169" t="str">
        <f t="shared" si="60"/>
        <v>L07_JVSPLIT_016W_DW</v>
      </c>
      <c r="J960" s="169" t="s">
        <v>7499</v>
      </c>
      <c r="K960" s="169">
        <f>IFERROR(MATCH(J960,'Final List'!$B$4:$B$252,0),0)</f>
        <v>0</v>
      </c>
      <c r="L960" s="169">
        <f>IFERROR(MATCH(J960,'Final List'!$D$4:$D$252,0),0)</f>
        <v>0</v>
      </c>
      <c r="M960" s="169">
        <f>IFERROR(MATCH(J960,'Final List'!$F$4:$F$251,0),0)</f>
        <v>0</v>
      </c>
      <c r="N960" s="169">
        <f>IFERROR(MATCH(J960,'Final List'!$H$4:$H$252,0),0)</f>
        <v>0</v>
      </c>
      <c r="O960" s="169">
        <f>IFERROR(MATCH(J960,'Final List'!$J$4:$J$252,0),0)</f>
        <v>0</v>
      </c>
      <c r="P960" s="169">
        <f>IFERROR(MATCH(J960,'Final List'!$L$4:$L$252,0),0)</f>
        <v>0</v>
      </c>
      <c r="Q960" s="169">
        <f>IFERROR(MATCH(J960,'Final List'!$N$4:$N$252,0),0)</f>
        <v>0</v>
      </c>
      <c r="R960" s="169">
        <f>IFERROR(MATCH(J960,'Final List'!$P$4:$P$252,0),0)</f>
        <v>0</v>
      </c>
      <c r="S960" s="169">
        <f t="shared" si="59"/>
        <v>0</v>
      </c>
      <c r="V960" s="169" t="str">
        <f t="shared" si="57"/>
        <v>DAVOCOL 1</v>
      </c>
      <c r="W960" s="169" t="s">
        <v>8895</v>
      </c>
    </row>
    <row r="961" spans="2:23" x14ac:dyDescent="0.25">
      <c r="B961" s="169" t="s">
        <v>93</v>
      </c>
      <c r="C961" s="169" t="s">
        <v>38</v>
      </c>
      <c r="D961" s="169" t="s">
        <v>5975</v>
      </c>
      <c r="E961" s="169" t="s">
        <v>62</v>
      </c>
      <c r="F961" s="245" t="str">
        <f t="shared" si="58"/>
        <v>RobC 80</v>
      </c>
      <c r="G961" s="169" t="s">
        <v>349</v>
      </c>
      <c r="I961" s="169" t="str">
        <f t="shared" si="60"/>
        <v>L06_GHV_028E_ROBBING</v>
      </c>
      <c r="J961" s="169" t="s">
        <v>7528</v>
      </c>
      <c r="K961" s="169">
        <f>IFERROR(MATCH(J961,'Final List'!$B$4:$B$252,0),0)</f>
        <v>0</v>
      </c>
      <c r="L961" s="169">
        <f>IFERROR(MATCH(J961,'Final List'!$D$4:$D$252,0),0)</f>
        <v>0</v>
      </c>
      <c r="M961" s="169">
        <f>IFERROR(MATCH(J961,'Final List'!$F$4:$F$251,0),0)</f>
        <v>0</v>
      </c>
      <c r="N961" s="169">
        <f>IFERROR(MATCH(J961,'Final List'!$H$4:$H$252,0),0)</f>
        <v>0</v>
      </c>
      <c r="O961" s="169">
        <f>IFERROR(MATCH(J961,'Final List'!$J$4:$J$252,0),0)</f>
        <v>0</v>
      </c>
      <c r="P961" s="169">
        <f>IFERROR(MATCH(J961,'Final List'!$L$4:$L$252,0),0)</f>
        <v>0</v>
      </c>
      <c r="Q961" s="169">
        <f>IFERROR(MATCH(J961,'Final List'!$N$4:$N$252,0),0)</f>
        <v>0</v>
      </c>
      <c r="R961" s="169">
        <f>IFERROR(MATCH(J961,'Final List'!$P$4:$P$252,0),0)</f>
        <v>0</v>
      </c>
      <c r="S961" s="169">
        <f t="shared" si="59"/>
        <v>0</v>
      </c>
      <c r="T961" s="169" t="s">
        <v>48</v>
      </c>
      <c r="V961" s="169" t="str">
        <f t="shared" si="57"/>
        <v>QUIJANO 2</v>
      </c>
      <c r="W961" s="169" t="s">
        <v>236</v>
      </c>
    </row>
    <row r="962" spans="2:23" x14ac:dyDescent="0.25">
      <c r="B962" s="169" t="s">
        <v>94</v>
      </c>
      <c r="C962" s="169" t="s">
        <v>45</v>
      </c>
      <c r="D962" s="169" t="s">
        <v>5631</v>
      </c>
      <c r="E962" s="169" t="s">
        <v>60</v>
      </c>
      <c r="F962" s="245" t="str">
        <f t="shared" si="58"/>
        <v>Dhoz 71</v>
      </c>
      <c r="G962" s="169" t="s">
        <v>5921</v>
      </c>
      <c r="I962" s="169" t="str">
        <f t="shared" si="60"/>
        <v>L07_DPVE_020E_DE</v>
      </c>
      <c r="J962" s="169" t="s">
        <v>7503</v>
      </c>
      <c r="K962" s="169">
        <f>IFERROR(MATCH(J962,'Final List'!$B$4:$B$252,0),0)</f>
        <v>0</v>
      </c>
      <c r="L962" s="169">
        <f>IFERROR(MATCH(J962,'Final List'!$D$4:$D$252,0),0)</f>
        <v>0</v>
      </c>
      <c r="M962" s="169">
        <f>IFERROR(MATCH(J962,'Final List'!$F$4:$F$251,0),0)</f>
        <v>0</v>
      </c>
      <c r="N962" s="169">
        <f>IFERROR(MATCH(J962,'Final List'!$H$4:$H$252,0),0)</f>
        <v>0</v>
      </c>
      <c r="O962" s="169">
        <f>IFERROR(MATCH(J962,'Final List'!$J$4:$J$252,0),0)</f>
        <v>0</v>
      </c>
      <c r="P962" s="169">
        <f>IFERROR(MATCH(J962,'Final List'!$L$4:$L$252,0),0)</f>
        <v>0</v>
      </c>
      <c r="Q962" s="169">
        <f>IFERROR(MATCH(J962,'Final List'!$N$4:$N$252,0),0)</f>
        <v>0</v>
      </c>
      <c r="R962" s="169">
        <f>IFERROR(MATCH(J962,'Final List'!$P$4:$P$252,0),0)</f>
        <v>0</v>
      </c>
      <c r="S962" s="169">
        <f t="shared" si="59"/>
        <v>0</v>
      </c>
      <c r="V962" s="169" t="str">
        <f t="shared" ref="V962:V1025" si="61">IF(H962="",G962,H962)</f>
        <v>TURRA 2</v>
      </c>
      <c r="W962" s="169" t="s">
        <v>8895</v>
      </c>
    </row>
    <row r="963" spans="2:23" x14ac:dyDescent="0.25">
      <c r="B963" s="169" t="s">
        <v>94</v>
      </c>
      <c r="C963" s="169" t="s">
        <v>42</v>
      </c>
      <c r="D963" s="169" t="s">
        <v>144</v>
      </c>
      <c r="E963" s="169" t="s">
        <v>19</v>
      </c>
      <c r="F963" s="245" t="str">
        <f t="shared" ref="F963:F1026" si="62">IF(OR(E963="XCN",E963="DE",E963="DW",E963="DN",E963="XCS",E963="XCE",E963="XCW",E963="SUMP",E963="BYPASS",E963="CHAMBER",E963="DRAIN HOLE",E963="DRILLING CHAMBER",E963="DE_ISL",E963="DW_ISL",E963="REHAB"),"Dhoz 71",IF(OR(E963="RAISE",E963="RAISE_ISL"),"DVR 72",IF(E963="ALIMAK","DVA 73",IF(E963="WINZE","DVW 74",IF(E963="SHAFT","DVS 75",IF(AND(E963="WINZE STOPE",T963="S"),"RobC 80",IF(AND(E963="STOPE",T963="S"),"StpS 77",IF(AND(E963="WINZE STOPE",T963="L"),"RobC 80",IF(AND(E963="STOPE",T963="L"),"StpL 78",IF(AND(E963="WINZE STOPE PREP",T963="S"),"RobC 80",IF(AND(E963="STOPE PREP",T963="S"),"StpS 77",IF(AND(E963="WINZE STOPE PREP",T963="L"),"RobC 80",IF(AND(E963="STOPE PREP",T963="L"),"StpL 78",IF(AND(E963="ROBBING",T963="L"),"RobC 80",IF(AND(E963="ROBBING",T963="S"),"RobS 79",0)))))))))))))))</f>
        <v>DVR 72</v>
      </c>
      <c r="G963" s="169" t="s">
        <v>6432</v>
      </c>
      <c r="I963" s="169" t="str">
        <f t="shared" si="60"/>
        <v>L07_JV_043E_RAISE</v>
      </c>
      <c r="J963" s="169" t="s">
        <v>7505</v>
      </c>
      <c r="K963" s="169">
        <f>IFERROR(MATCH(J963,'Final List'!$B$4:$B$252,0),0)</f>
        <v>0</v>
      </c>
      <c r="L963" s="169">
        <f>IFERROR(MATCH(J963,'Final List'!$D$4:$D$252,0),0)</f>
        <v>0</v>
      </c>
      <c r="M963" s="169">
        <f>IFERROR(MATCH(J963,'Final List'!$F$4:$F$251,0),0)</f>
        <v>0</v>
      </c>
      <c r="N963" s="169">
        <f>IFERROR(MATCH(J963,'Final List'!$H$4:$H$252,0),0)</f>
        <v>0</v>
      </c>
      <c r="O963" s="169">
        <f>IFERROR(MATCH(J963,'Final List'!$J$4:$J$252,0),0)</f>
        <v>0</v>
      </c>
      <c r="P963" s="169">
        <f>IFERROR(MATCH(J963,'Final List'!$L$4:$L$252,0),0)</f>
        <v>0</v>
      </c>
      <c r="Q963" s="169">
        <f>IFERROR(MATCH(J963,'Final List'!$N$4:$N$252,0),0)</f>
        <v>0</v>
      </c>
      <c r="R963" s="169">
        <f>IFERROR(MATCH(J963,'Final List'!$P$4:$P$252,0),0)</f>
        <v>0</v>
      </c>
      <c r="S963" s="169">
        <f t="shared" ref="S963:S1026" si="63">SUM(K963:R963)</f>
        <v>0</v>
      </c>
      <c r="V963" s="169" t="str">
        <f t="shared" si="61"/>
        <v>CARIKITAN</v>
      </c>
      <c r="W963" s="169" t="s">
        <v>2715</v>
      </c>
    </row>
    <row r="964" spans="2:23" x14ac:dyDescent="0.25">
      <c r="B964" s="169" t="s">
        <v>94</v>
      </c>
      <c r="C964" s="169" t="s">
        <v>45</v>
      </c>
      <c r="D964" s="169" t="s">
        <v>172</v>
      </c>
      <c r="E964" s="169" t="s">
        <v>36</v>
      </c>
      <c r="F964" s="245" t="str">
        <f t="shared" si="62"/>
        <v>StpS 77</v>
      </c>
      <c r="G964" s="169" t="s">
        <v>6406</v>
      </c>
      <c r="I964" s="169" t="str">
        <f t="shared" si="60"/>
        <v>L07_DPVE_045E_STOPE</v>
      </c>
      <c r="J964" s="169" t="s">
        <v>7506</v>
      </c>
      <c r="K964" s="169">
        <f>IFERROR(MATCH(J964,'Final List'!$B$4:$B$252,0),0)</f>
        <v>0</v>
      </c>
      <c r="L964" s="169">
        <f>IFERROR(MATCH(J964,'Final List'!$D$4:$D$252,0),0)</f>
        <v>0</v>
      </c>
      <c r="M964" s="169">
        <f>IFERROR(MATCH(J964,'Final List'!$F$4:$F$251,0),0)</f>
        <v>0</v>
      </c>
      <c r="N964" s="169">
        <f>IFERROR(MATCH(J964,'Final List'!$H$4:$H$252,0),0)</f>
        <v>0</v>
      </c>
      <c r="O964" s="169">
        <f>IFERROR(MATCH(J964,'Final List'!$J$4:$J$252,0),0)</f>
        <v>0</v>
      </c>
      <c r="P964" s="169">
        <f>IFERROR(MATCH(J964,'Final List'!$L$4:$L$252,0),0)</f>
        <v>0</v>
      </c>
      <c r="Q964" s="169">
        <f>IFERROR(MATCH(J964,'Final List'!$N$4:$N$252,0),0)</f>
        <v>0</v>
      </c>
      <c r="R964" s="169">
        <f>IFERROR(MATCH(J964,'Final List'!$P$4:$P$252,0),0)</f>
        <v>0</v>
      </c>
      <c r="S964" s="169">
        <f t="shared" si="63"/>
        <v>0</v>
      </c>
      <c r="T964" s="169" t="s">
        <v>68</v>
      </c>
      <c r="V964" s="169" t="str">
        <f t="shared" si="61"/>
        <v>TURRA</v>
      </c>
      <c r="W964" s="169" t="s">
        <v>2713</v>
      </c>
    </row>
    <row r="965" spans="2:23" x14ac:dyDescent="0.25">
      <c r="B965" s="169" t="s">
        <v>91</v>
      </c>
      <c r="C965" s="169" t="s">
        <v>58</v>
      </c>
      <c r="D965" s="169" t="s">
        <v>6710</v>
      </c>
      <c r="E965" s="169" t="s">
        <v>6154</v>
      </c>
      <c r="F965" s="245" t="str">
        <f t="shared" si="62"/>
        <v>Dhoz 71</v>
      </c>
      <c r="G965" s="169" t="s">
        <v>8193</v>
      </c>
      <c r="I965" s="169" t="str">
        <f t="shared" si="60"/>
        <v>L04_EDV_018W_DW_ISL</v>
      </c>
      <c r="J965" s="169" t="s">
        <v>7509</v>
      </c>
      <c r="K965" s="169">
        <f>IFERROR(MATCH(J965,'Final List'!$B$4:$B$252,0),0)</f>
        <v>0</v>
      </c>
      <c r="L965" s="169">
        <f>IFERROR(MATCH(J965,'Final List'!$D$4:$D$252,0),0)</f>
        <v>0</v>
      </c>
      <c r="M965" s="169">
        <f>IFERROR(MATCH(J965,'Final List'!$F$4:$F$251,0),0)</f>
        <v>0</v>
      </c>
      <c r="N965" s="169">
        <f>IFERROR(MATCH(J965,'Final List'!$H$4:$H$252,0),0)</f>
        <v>0</v>
      </c>
      <c r="O965" s="169">
        <f>IFERROR(MATCH(J965,'Final List'!$J$4:$J$252,0),0)</f>
        <v>0</v>
      </c>
      <c r="P965" s="169">
        <f>IFERROR(MATCH(J965,'Final List'!$L$4:$L$252,0),0)</f>
        <v>0</v>
      </c>
      <c r="Q965" s="169">
        <f>IFERROR(MATCH(J965,'Final List'!$N$4:$N$252,0),0)</f>
        <v>0</v>
      </c>
      <c r="R965" s="169">
        <f>IFERROR(MATCH(J965,'Final List'!$P$4:$P$252,0),0)</f>
        <v>0</v>
      </c>
      <c r="S965" s="169">
        <f t="shared" si="63"/>
        <v>0</v>
      </c>
      <c r="V965" s="169" t="str">
        <f t="shared" si="61"/>
        <v>SHEPHERD AR 1</v>
      </c>
      <c r="W965" s="169" t="s">
        <v>2708</v>
      </c>
    </row>
    <row r="966" spans="2:23" x14ac:dyDescent="0.25">
      <c r="B966" s="169" t="s">
        <v>258</v>
      </c>
      <c r="C966" s="169" t="s">
        <v>59</v>
      </c>
      <c r="D966" s="169" t="s">
        <v>177</v>
      </c>
      <c r="E966" s="169" t="s">
        <v>60</v>
      </c>
      <c r="F966" s="245" t="str">
        <f t="shared" si="62"/>
        <v>Dhoz 71</v>
      </c>
      <c r="G966" s="169" t="s">
        <v>560</v>
      </c>
      <c r="I966" s="169" t="str">
        <f t="shared" si="60"/>
        <v>L10_GHVHW_054E_DE</v>
      </c>
      <c r="J966" s="169" t="s">
        <v>1846</v>
      </c>
      <c r="K966" s="169">
        <f>IFERROR(MATCH(J966,'Final List'!$B$4:$B$252,0),0)</f>
        <v>0</v>
      </c>
      <c r="L966" s="169">
        <f>IFERROR(MATCH(J966,'Final List'!$D$4:$D$252,0),0)</f>
        <v>0</v>
      </c>
      <c r="M966" s="169">
        <f>IFERROR(MATCH(J966,'Final List'!$F$4:$F$251,0),0)</f>
        <v>0</v>
      </c>
      <c r="N966" s="169">
        <f>IFERROR(MATCH(J966,'Final List'!$H$4:$H$252,0),0)</f>
        <v>0</v>
      </c>
      <c r="O966" s="169">
        <f>IFERROR(MATCH(J966,'Final List'!$J$4:$J$252,0),0)</f>
        <v>0</v>
      </c>
      <c r="P966" s="169">
        <f>IFERROR(MATCH(J966,'Final List'!$L$4:$L$252,0),0)</f>
        <v>0</v>
      </c>
      <c r="Q966" s="169">
        <f>IFERROR(MATCH(J966,'Final List'!$N$4:$N$252,0),0)</f>
        <v>0</v>
      </c>
      <c r="R966" s="169">
        <f>IFERROR(MATCH(J966,'Final List'!$P$4:$P$252,0),0)</f>
        <v>0</v>
      </c>
      <c r="S966" s="169">
        <f t="shared" si="63"/>
        <v>0</v>
      </c>
      <c r="V966" s="169" t="str">
        <f t="shared" si="61"/>
        <v>CAPOY 1</v>
      </c>
      <c r="W966" s="169" t="s">
        <v>8896</v>
      </c>
    </row>
    <row r="967" spans="2:23" x14ac:dyDescent="0.25">
      <c r="B967" s="169" t="s">
        <v>258</v>
      </c>
      <c r="C967" s="169" t="s">
        <v>45</v>
      </c>
      <c r="D967" s="169" t="s">
        <v>174</v>
      </c>
      <c r="E967" s="169" t="s">
        <v>61</v>
      </c>
      <c r="F967" s="245" t="str">
        <f t="shared" si="62"/>
        <v>Dhoz 71</v>
      </c>
      <c r="G967" s="169" t="s">
        <v>354</v>
      </c>
      <c r="I967" s="169" t="str">
        <f t="shared" si="60"/>
        <v>L10_DPVE_052E_DW</v>
      </c>
      <c r="J967" s="169" t="s">
        <v>7512</v>
      </c>
      <c r="K967" s="169">
        <f>IFERROR(MATCH(J967,'Final List'!$B$4:$B$252,0),0)</f>
        <v>0</v>
      </c>
      <c r="L967" s="169">
        <f>IFERROR(MATCH(J967,'Final List'!$D$4:$D$252,0),0)</f>
        <v>0</v>
      </c>
      <c r="M967" s="169">
        <f>IFERROR(MATCH(J967,'Final List'!$F$4:$F$251,0),0)</f>
        <v>0</v>
      </c>
      <c r="N967" s="169">
        <f>IFERROR(MATCH(J967,'Final List'!$H$4:$H$252,0),0)</f>
        <v>0</v>
      </c>
      <c r="O967" s="169">
        <f>IFERROR(MATCH(J967,'Final List'!$J$4:$J$252,0),0)</f>
        <v>0</v>
      </c>
      <c r="P967" s="169">
        <f>IFERROR(MATCH(J967,'Final List'!$L$4:$L$252,0),0)</f>
        <v>0</v>
      </c>
      <c r="Q967" s="169">
        <f>IFERROR(MATCH(J967,'Final List'!$N$4:$N$252,0),0)</f>
        <v>0</v>
      </c>
      <c r="R967" s="169">
        <f>IFERROR(MATCH(J967,'Final List'!$P$4:$P$252,0),0)</f>
        <v>0</v>
      </c>
      <c r="S967" s="169">
        <f t="shared" si="63"/>
        <v>0</v>
      </c>
      <c r="V967" s="169" t="str">
        <f t="shared" si="61"/>
        <v>BAÑEZ 3</v>
      </c>
      <c r="W967" s="169" t="s">
        <v>8896</v>
      </c>
    </row>
    <row r="968" spans="2:23" x14ac:dyDescent="0.25">
      <c r="B968" s="169" t="s">
        <v>258</v>
      </c>
      <c r="C968" s="169" t="s">
        <v>87</v>
      </c>
      <c r="D968" s="169" t="s">
        <v>112</v>
      </c>
      <c r="E968" s="169" t="s">
        <v>37</v>
      </c>
      <c r="F968" s="245" t="str">
        <f t="shared" si="62"/>
        <v>Dhoz 71</v>
      </c>
      <c r="G968" s="169" t="s">
        <v>453</v>
      </c>
      <c r="H968" s="169" t="s">
        <v>12409</v>
      </c>
      <c r="I968" s="169" t="str">
        <f t="shared" si="60"/>
        <v>L10_NONE_018E_XCN</v>
      </c>
      <c r="J968" s="169" t="s">
        <v>7508</v>
      </c>
      <c r="K968" s="169">
        <f>IFERROR(MATCH(J968,'Final List'!$B$4:$B$252,0),0)</f>
        <v>0</v>
      </c>
      <c r="L968" s="169">
        <f>IFERROR(MATCH(J968,'Final List'!$D$4:$D$252,0),0)</f>
        <v>0</v>
      </c>
      <c r="M968" s="169">
        <f>IFERROR(MATCH(J968,'Final List'!$F$4:$F$251,0),0)</f>
        <v>0</v>
      </c>
      <c r="N968" s="169">
        <f>IFERROR(MATCH(J968,'Final List'!$H$4:$H$252,0),0)</f>
        <v>0</v>
      </c>
      <c r="O968" s="169">
        <f>IFERROR(MATCH(J968,'Final List'!$J$4:$J$252,0),0)</f>
        <v>0</v>
      </c>
      <c r="P968" s="169">
        <f>IFERROR(MATCH(J968,'Final List'!$L$4:$L$252,0),0)</f>
        <v>0</v>
      </c>
      <c r="Q968" s="169">
        <f>IFERROR(MATCH(J968,'Final List'!$N$4:$N$252,0),0)</f>
        <v>0</v>
      </c>
      <c r="R968" s="169">
        <f>IFERROR(MATCH(J968,'Final List'!$P$4:$P$252,0),0)</f>
        <v>0</v>
      </c>
      <c r="S968" s="169">
        <f t="shared" si="63"/>
        <v>0</v>
      </c>
      <c r="V968" s="169" t="str">
        <f t="shared" si="61"/>
        <v>LARGO</v>
      </c>
      <c r="W968" s="169" t="s">
        <v>8898</v>
      </c>
    </row>
    <row r="969" spans="2:23" x14ac:dyDescent="0.25">
      <c r="B969" s="169" t="s">
        <v>95</v>
      </c>
      <c r="C969" s="169" t="s">
        <v>87</v>
      </c>
      <c r="D969" s="169" t="s">
        <v>141</v>
      </c>
      <c r="E969" s="169" t="s">
        <v>63</v>
      </c>
      <c r="F969" s="245" t="str">
        <f t="shared" si="62"/>
        <v>Dhoz 71</v>
      </c>
      <c r="G969" s="169" t="s">
        <v>5708</v>
      </c>
      <c r="I969" s="169" t="str">
        <f t="shared" si="60"/>
        <v>L08_NONE_029E_XCS</v>
      </c>
      <c r="J969" s="169" t="s">
        <v>7514</v>
      </c>
      <c r="K969" s="169">
        <f>IFERROR(MATCH(J969,'Final List'!$B$4:$B$252,0),0)</f>
        <v>0</v>
      </c>
      <c r="L969" s="169">
        <f>IFERROR(MATCH(J969,'Final List'!$D$4:$D$252,0),0)</f>
        <v>0</v>
      </c>
      <c r="M969" s="169">
        <f>IFERROR(MATCH(J969,'Final List'!$F$4:$F$251,0),0)</f>
        <v>0</v>
      </c>
      <c r="N969" s="169">
        <f>IFERROR(MATCH(J969,'Final List'!$H$4:$H$252,0),0)</f>
        <v>0</v>
      </c>
      <c r="O969" s="169">
        <f>IFERROR(MATCH(J969,'Final List'!$J$4:$J$252,0),0)</f>
        <v>0</v>
      </c>
      <c r="P969" s="169">
        <f>IFERROR(MATCH(J969,'Final List'!$L$4:$L$252,0),0)</f>
        <v>0</v>
      </c>
      <c r="Q969" s="169">
        <f>IFERROR(MATCH(J969,'Final List'!$N$4:$N$252,0),0)</f>
        <v>0</v>
      </c>
      <c r="R969" s="169">
        <f>IFERROR(MATCH(J969,'Final List'!$P$4:$P$252,0),0)</f>
        <v>0</v>
      </c>
      <c r="S969" s="169">
        <f t="shared" si="63"/>
        <v>0</v>
      </c>
      <c r="V969" s="169" t="str">
        <f t="shared" si="61"/>
        <v>SHEPHERD AJ 1</v>
      </c>
      <c r="W969" s="169" t="s">
        <v>8897</v>
      </c>
    </row>
    <row r="970" spans="2:23" x14ac:dyDescent="0.25">
      <c r="B970" s="169" t="s">
        <v>93</v>
      </c>
      <c r="C970" s="169" t="s">
        <v>42</v>
      </c>
      <c r="D970" s="169" t="s">
        <v>5631</v>
      </c>
      <c r="E970" s="169" t="s">
        <v>6143</v>
      </c>
      <c r="F970" s="245" t="str">
        <f t="shared" si="62"/>
        <v>Dhoz 71</v>
      </c>
      <c r="G970" s="169" t="s">
        <v>3252</v>
      </c>
      <c r="I970" s="169" t="str">
        <f t="shared" si="60"/>
        <v>L06_JV_020E_DE_ISL</v>
      </c>
      <c r="J970" s="169" t="s">
        <v>7515</v>
      </c>
      <c r="K970" s="169">
        <f>IFERROR(MATCH(J970,'Final List'!$B$4:$B$252,0),0)</f>
        <v>0</v>
      </c>
      <c r="L970" s="169">
        <f>IFERROR(MATCH(J970,'Final List'!$D$4:$D$252,0),0)</f>
        <v>0</v>
      </c>
      <c r="M970" s="169">
        <f>IFERROR(MATCH(J970,'Final List'!$F$4:$F$251,0),0)</f>
        <v>0</v>
      </c>
      <c r="N970" s="169">
        <f>IFERROR(MATCH(J970,'Final List'!$H$4:$H$252,0),0)</f>
        <v>0</v>
      </c>
      <c r="O970" s="169">
        <f>IFERROR(MATCH(J970,'Final List'!$J$4:$J$252,0),0)</f>
        <v>0</v>
      </c>
      <c r="P970" s="169">
        <f>IFERROR(MATCH(J970,'Final List'!$L$4:$L$252,0),0)</f>
        <v>0</v>
      </c>
      <c r="Q970" s="169">
        <f>IFERROR(MATCH(J970,'Final List'!$N$4:$N$252,0),0)</f>
        <v>0</v>
      </c>
      <c r="R970" s="169">
        <f>IFERROR(MATCH(J970,'Final List'!$P$4:$P$252,0),0)</f>
        <v>0</v>
      </c>
      <c r="S970" s="169">
        <f t="shared" si="63"/>
        <v>0</v>
      </c>
      <c r="V970" s="169" t="str">
        <f t="shared" si="61"/>
        <v>SHEPHERD AA1</v>
      </c>
      <c r="W970" s="169" t="s">
        <v>2708</v>
      </c>
    </row>
    <row r="971" spans="2:23" x14ac:dyDescent="0.25">
      <c r="B971" s="169" t="s">
        <v>93</v>
      </c>
      <c r="C971" s="169" t="s">
        <v>41</v>
      </c>
      <c r="D971" s="169" t="s">
        <v>195</v>
      </c>
      <c r="E971" s="169" t="s">
        <v>62</v>
      </c>
      <c r="F971" s="245" t="str">
        <f t="shared" si="62"/>
        <v>RobC 80</v>
      </c>
      <c r="G971" s="169" t="s">
        <v>6954</v>
      </c>
      <c r="I971" s="169" t="str">
        <f t="shared" si="60"/>
        <v>L06_CTV_008W_ROBBING</v>
      </c>
      <c r="J971" s="169" t="s">
        <v>7516</v>
      </c>
      <c r="K971" s="169">
        <f>IFERROR(MATCH(J971,'Final List'!$B$4:$B$252,0),0)</f>
        <v>0</v>
      </c>
      <c r="L971" s="169">
        <f>IFERROR(MATCH(J971,'Final List'!$D$4:$D$252,0),0)</f>
        <v>0</v>
      </c>
      <c r="M971" s="169">
        <f>IFERROR(MATCH(J971,'Final List'!$F$4:$F$251,0),0)</f>
        <v>0</v>
      </c>
      <c r="N971" s="169">
        <f>IFERROR(MATCH(J971,'Final List'!$H$4:$H$252,0),0)</f>
        <v>0</v>
      </c>
      <c r="O971" s="169">
        <f>IFERROR(MATCH(J971,'Final List'!$J$4:$J$252,0),0)</f>
        <v>0</v>
      </c>
      <c r="P971" s="169">
        <f>IFERROR(MATCH(J971,'Final List'!$L$4:$L$252,0),0)</f>
        <v>0</v>
      </c>
      <c r="Q971" s="169">
        <f>IFERROR(MATCH(J971,'Final List'!$N$4:$N$252,0),0)</f>
        <v>0</v>
      </c>
      <c r="R971" s="169">
        <f>IFERROR(MATCH(J971,'Final List'!$P$4:$P$252,0),0)</f>
        <v>0</v>
      </c>
      <c r="S971" s="169">
        <f t="shared" si="63"/>
        <v>0</v>
      </c>
      <c r="T971" s="169" t="s">
        <v>48</v>
      </c>
      <c r="V971" s="169" t="str">
        <f t="shared" si="61"/>
        <v>BADBADON</v>
      </c>
      <c r="W971" s="169" t="s">
        <v>236</v>
      </c>
    </row>
    <row r="972" spans="2:23" x14ac:dyDescent="0.25">
      <c r="B972" s="169" t="s">
        <v>94</v>
      </c>
      <c r="C972" s="169" t="s">
        <v>42</v>
      </c>
      <c r="D972" s="169" t="s">
        <v>5844</v>
      </c>
      <c r="E972" s="169" t="s">
        <v>19</v>
      </c>
      <c r="F972" s="245" t="str">
        <f t="shared" si="62"/>
        <v>DVR 72</v>
      </c>
      <c r="G972" s="169" t="s">
        <v>7521</v>
      </c>
      <c r="I972" s="169" t="str">
        <f t="shared" si="60"/>
        <v>L07_JV_009W_RAISE</v>
      </c>
      <c r="J972" s="169" t="s">
        <v>7527</v>
      </c>
      <c r="K972" s="169">
        <f>IFERROR(MATCH(J972,'Final List'!$B$4:$B$252,0),0)</f>
        <v>0</v>
      </c>
      <c r="L972" s="169">
        <f>IFERROR(MATCH(J972,'Final List'!$D$4:$D$252,0),0)</f>
        <v>0</v>
      </c>
      <c r="M972" s="169">
        <f>IFERROR(MATCH(J972,'Final List'!$F$4:$F$251,0),0)</f>
        <v>0</v>
      </c>
      <c r="N972" s="169">
        <f>IFERROR(MATCH(J972,'Final List'!$H$4:$H$252,0),0)</f>
        <v>0</v>
      </c>
      <c r="O972" s="169">
        <f>IFERROR(MATCH(J972,'Final List'!$J$4:$J$252,0),0)</f>
        <v>0</v>
      </c>
      <c r="P972" s="169">
        <f>IFERROR(MATCH(J972,'Final List'!$L$4:$L$252,0),0)</f>
        <v>0</v>
      </c>
      <c r="Q972" s="169">
        <f>IFERROR(MATCH(J972,'Final List'!$N$4:$N$252,0),0)</f>
        <v>0</v>
      </c>
      <c r="R972" s="169">
        <f>IFERROR(MATCH(J972,'Final List'!$P$4:$P$252,0),0)</f>
        <v>0</v>
      </c>
      <c r="S972" s="169">
        <f t="shared" si="63"/>
        <v>0</v>
      </c>
      <c r="V972" s="169" t="str">
        <f t="shared" si="61"/>
        <v xml:space="preserve">SHEPHED AK </v>
      </c>
      <c r="W972" s="169" t="s">
        <v>2715</v>
      </c>
    </row>
    <row r="973" spans="2:23" x14ac:dyDescent="0.25">
      <c r="B973" s="169" t="s">
        <v>92</v>
      </c>
      <c r="C973" s="169" t="s">
        <v>55</v>
      </c>
      <c r="D973" s="169" t="s">
        <v>171</v>
      </c>
      <c r="E973" s="169" t="s">
        <v>62</v>
      </c>
      <c r="F973" s="245" t="str">
        <f t="shared" si="62"/>
        <v>RobS 79</v>
      </c>
      <c r="G973" s="169" t="s">
        <v>484</v>
      </c>
      <c r="I973" s="169" t="str">
        <f t="shared" si="60"/>
        <v>L05_JVFW_015W_ROBBING</v>
      </c>
      <c r="J973" s="169" t="s">
        <v>7522</v>
      </c>
      <c r="K973" s="169">
        <f>IFERROR(MATCH(J973,'Final List'!$B$4:$B$252,0),0)</f>
        <v>0</v>
      </c>
      <c r="L973" s="169">
        <f>IFERROR(MATCH(J973,'Final List'!$D$4:$D$252,0),0)</f>
        <v>0</v>
      </c>
      <c r="M973" s="169">
        <f>IFERROR(MATCH(J973,'Final List'!$F$4:$F$251,0),0)</f>
        <v>0</v>
      </c>
      <c r="N973" s="169">
        <f>IFERROR(MATCH(J973,'Final List'!$H$4:$H$252,0),0)</f>
        <v>0</v>
      </c>
      <c r="O973" s="169">
        <f>IFERROR(MATCH(J973,'Final List'!$J$4:$J$252,0),0)</f>
        <v>0</v>
      </c>
      <c r="P973" s="169">
        <f>IFERROR(MATCH(J973,'Final List'!$L$4:$L$252,0),0)</f>
        <v>0</v>
      </c>
      <c r="Q973" s="169">
        <f>IFERROR(MATCH(J973,'Final List'!$N$4:$N$252,0),0)</f>
        <v>0</v>
      </c>
      <c r="R973" s="169">
        <f>IFERROR(MATCH(J973,'Final List'!$P$4:$P$252,0),0)</f>
        <v>0</v>
      </c>
      <c r="S973" s="169">
        <f t="shared" si="63"/>
        <v>0</v>
      </c>
      <c r="T973" s="169" t="s">
        <v>68</v>
      </c>
      <c r="V973" s="169" t="str">
        <f t="shared" si="61"/>
        <v>COMAINGKING 4</v>
      </c>
      <c r="W973" s="169" t="s">
        <v>2707</v>
      </c>
    </row>
    <row r="974" spans="2:23" x14ac:dyDescent="0.25">
      <c r="B974" s="169" t="s">
        <v>93</v>
      </c>
      <c r="C974" s="169" t="s">
        <v>45</v>
      </c>
      <c r="D974" s="169" t="s">
        <v>5912</v>
      </c>
      <c r="E974" s="169" t="s">
        <v>19</v>
      </c>
      <c r="F974" s="245" t="str">
        <f t="shared" si="62"/>
        <v>DVR 72</v>
      </c>
      <c r="G974" s="169" t="s">
        <v>7363</v>
      </c>
      <c r="I974" s="169" t="str">
        <f t="shared" si="60"/>
        <v>L06_DPVE_019E_RAISE</v>
      </c>
      <c r="J974" s="169" t="s">
        <v>7529</v>
      </c>
      <c r="K974" s="169">
        <f>IFERROR(MATCH(J974,'Final List'!$B$4:$B$252,0),0)</f>
        <v>0</v>
      </c>
      <c r="L974" s="169">
        <f>IFERROR(MATCH(J974,'Final List'!$D$4:$D$252,0),0)</f>
        <v>0</v>
      </c>
      <c r="M974" s="169">
        <f>IFERROR(MATCH(J974,'Final List'!$F$4:$F$251,0),0)</f>
        <v>0</v>
      </c>
      <c r="N974" s="169">
        <f>IFERROR(MATCH(J974,'Final List'!$H$4:$H$252,0),0)</f>
        <v>0</v>
      </c>
      <c r="O974" s="169">
        <f>IFERROR(MATCH(J974,'Final List'!$J$4:$J$252,0),0)</f>
        <v>0</v>
      </c>
      <c r="P974" s="169">
        <f>IFERROR(MATCH(J974,'Final List'!$L$4:$L$252,0),0)</f>
        <v>0</v>
      </c>
      <c r="Q974" s="169">
        <f>IFERROR(MATCH(J974,'Final List'!$N$4:$N$252,0),0)</f>
        <v>0</v>
      </c>
      <c r="R974" s="169">
        <f>IFERROR(MATCH(J974,'Final List'!$P$4:$P$252,0),0)</f>
        <v>0</v>
      </c>
      <c r="S974" s="169">
        <f t="shared" si="63"/>
        <v>0</v>
      </c>
      <c r="V974" s="169" t="str">
        <f t="shared" si="61"/>
        <v>SHEPHERD AC 2</v>
      </c>
      <c r="W974" s="169" t="s">
        <v>2715</v>
      </c>
    </row>
    <row r="975" spans="2:23" x14ac:dyDescent="0.25">
      <c r="B975" s="169" t="s">
        <v>93</v>
      </c>
      <c r="C975" s="169" t="s">
        <v>38</v>
      </c>
      <c r="D975" s="169" t="s">
        <v>5601</v>
      </c>
      <c r="E975" s="169" t="s">
        <v>20</v>
      </c>
      <c r="F975" s="245" t="str">
        <f t="shared" si="62"/>
        <v>DVW 74</v>
      </c>
      <c r="G975" s="169" t="s">
        <v>341</v>
      </c>
      <c r="I975" s="169" t="str">
        <f t="shared" si="60"/>
        <v>L06_GHV_026E_WINZE</v>
      </c>
      <c r="J975" s="169" t="s">
        <v>7530</v>
      </c>
      <c r="K975" s="169">
        <f>IFERROR(MATCH(J975,'Final List'!$B$4:$B$252,0),0)</f>
        <v>0</v>
      </c>
      <c r="L975" s="169">
        <f>IFERROR(MATCH(J975,'Final List'!$D$4:$D$252,0),0)</f>
        <v>0</v>
      </c>
      <c r="M975" s="169">
        <f>IFERROR(MATCH(J975,'Final List'!$F$4:$F$251,0),0)</f>
        <v>0</v>
      </c>
      <c r="N975" s="169">
        <f>IFERROR(MATCH(J975,'Final List'!$H$4:$H$252,0),0)</f>
        <v>0</v>
      </c>
      <c r="O975" s="169">
        <f>IFERROR(MATCH(J975,'Final List'!$J$4:$J$252,0),0)</f>
        <v>0</v>
      </c>
      <c r="P975" s="169">
        <f>IFERROR(MATCH(J975,'Final List'!$L$4:$L$252,0),0)</f>
        <v>0</v>
      </c>
      <c r="Q975" s="169">
        <f>IFERROR(MATCH(J975,'Final List'!$N$4:$N$252,0),0)</f>
        <v>0</v>
      </c>
      <c r="R975" s="169">
        <f>IFERROR(MATCH(J975,'Final List'!$P$4:$P$252,0),0)</f>
        <v>0</v>
      </c>
      <c r="S975" s="169">
        <f t="shared" si="63"/>
        <v>0</v>
      </c>
      <c r="V975" s="169" t="str">
        <f t="shared" si="61"/>
        <v>BADBADON 1</v>
      </c>
      <c r="W975" s="169" t="s">
        <v>2706</v>
      </c>
    </row>
    <row r="976" spans="2:23" x14ac:dyDescent="0.25">
      <c r="B976" s="169" t="s">
        <v>92</v>
      </c>
      <c r="C976" s="169" t="s">
        <v>45</v>
      </c>
      <c r="D976" s="169" t="s">
        <v>122</v>
      </c>
      <c r="E976" s="169" t="s">
        <v>6143</v>
      </c>
      <c r="F976" s="245" t="str">
        <f t="shared" si="62"/>
        <v>Dhoz 71</v>
      </c>
      <c r="G976" s="169" t="s">
        <v>5707</v>
      </c>
      <c r="I976" s="169" t="str">
        <f t="shared" si="60"/>
        <v>L05_DPVE_025E_DE_ISL</v>
      </c>
      <c r="J976" s="169" t="s">
        <v>7531</v>
      </c>
      <c r="K976" s="169">
        <f>IFERROR(MATCH(J976,'Final List'!$B$4:$B$252,0),0)</f>
        <v>0</v>
      </c>
      <c r="L976" s="169">
        <f>IFERROR(MATCH(J976,'Final List'!$D$4:$D$252,0),0)</f>
        <v>0</v>
      </c>
      <c r="M976" s="169">
        <f>IFERROR(MATCH(J976,'Final List'!$F$4:$F$251,0),0)</f>
        <v>0</v>
      </c>
      <c r="N976" s="169">
        <f>IFERROR(MATCH(J976,'Final List'!$H$4:$H$252,0),0)</f>
        <v>0</v>
      </c>
      <c r="O976" s="169">
        <f>IFERROR(MATCH(J976,'Final List'!$J$4:$J$252,0),0)</f>
        <v>0</v>
      </c>
      <c r="P976" s="169">
        <f>IFERROR(MATCH(J976,'Final List'!$L$4:$L$252,0),0)</f>
        <v>0</v>
      </c>
      <c r="Q976" s="169">
        <f>IFERROR(MATCH(J976,'Final List'!$N$4:$N$252,0),0)</f>
        <v>0</v>
      </c>
      <c r="R976" s="169">
        <f>IFERROR(MATCH(J976,'Final List'!$P$4:$P$252,0),0)</f>
        <v>0</v>
      </c>
      <c r="S976" s="169">
        <f t="shared" si="63"/>
        <v>0</v>
      </c>
      <c r="V976" s="169" t="str">
        <f t="shared" si="61"/>
        <v>SHEPHERD AF 2</v>
      </c>
      <c r="W976" s="169" t="s">
        <v>2708</v>
      </c>
    </row>
    <row r="977" spans="2:23" x14ac:dyDescent="0.25">
      <c r="B977" s="169" t="s">
        <v>93</v>
      </c>
      <c r="C977" s="169" t="s">
        <v>55</v>
      </c>
      <c r="D977" s="169" t="s">
        <v>130</v>
      </c>
      <c r="E977" s="169" t="s">
        <v>441</v>
      </c>
      <c r="F977" s="245" t="str">
        <f t="shared" si="62"/>
        <v>RobC 80</v>
      </c>
      <c r="G977" s="169" t="s">
        <v>1506</v>
      </c>
      <c r="I977" s="169" t="str">
        <f t="shared" si="60"/>
        <v>L06_JVFW_036E_WINZE STOPE PREP</v>
      </c>
      <c r="J977" s="169" t="s">
        <v>7532</v>
      </c>
      <c r="K977" s="169">
        <f>IFERROR(MATCH(J977,'Final List'!$B$4:$B$252,0),0)</f>
        <v>0</v>
      </c>
      <c r="L977" s="169">
        <f>IFERROR(MATCH(J977,'Final List'!$D$4:$D$252,0),0)</f>
        <v>0</v>
      </c>
      <c r="M977" s="169">
        <f>IFERROR(MATCH(J977,'Final List'!$F$4:$F$251,0),0)</f>
        <v>0</v>
      </c>
      <c r="N977" s="169">
        <f>IFERROR(MATCH(J977,'Final List'!$H$4:$H$252,0),0)</f>
        <v>0</v>
      </c>
      <c r="O977" s="169">
        <f>IFERROR(MATCH(J977,'Final List'!$J$4:$J$252,0),0)</f>
        <v>0</v>
      </c>
      <c r="P977" s="169">
        <f>IFERROR(MATCH(J977,'Final List'!$L$4:$L$252,0),0)</f>
        <v>0</v>
      </c>
      <c r="Q977" s="169">
        <f>IFERROR(MATCH(J977,'Final List'!$N$4:$N$252,0),0)</f>
        <v>0</v>
      </c>
      <c r="R977" s="169">
        <f>IFERROR(MATCH(J977,'Final List'!$P$4:$P$252,0),0)</f>
        <v>0</v>
      </c>
      <c r="S977" s="169">
        <f t="shared" si="63"/>
        <v>0</v>
      </c>
      <c r="T977" s="169" t="s">
        <v>68</v>
      </c>
      <c r="V977" s="169" t="str">
        <f t="shared" si="61"/>
        <v>GUNAY</v>
      </c>
      <c r="W977" s="169" t="s">
        <v>2716</v>
      </c>
    </row>
    <row r="978" spans="2:23" x14ac:dyDescent="0.25">
      <c r="B978" s="169" t="s">
        <v>93</v>
      </c>
      <c r="C978" s="169" t="s">
        <v>41</v>
      </c>
      <c r="D978" s="169" t="s">
        <v>131</v>
      </c>
      <c r="E978" s="169" t="s">
        <v>441</v>
      </c>
      <c r="F978" s="245" t="str">
        <f t="shared" si="62"/>
        <v>RobC 80</v>
      </c>
      <c r="G978" s="169" t="s">
        <v>342</v>
      </c>
      <c r="I978" s="169" t="str">
        <f t="shared" si="60"/>
        <v>L06_CTV_011E_WINZE STOPE PREP</v>
      </c>
      <c r="J978" s="169" t="s">
        <v>7533</v>
      </c>
      <c r="K978" s="169">
        <f>IFERROR(MATCH(J978,'Final List'!$B$4:$B$252,0),0)</f>
        <v>0</v>
      </c>
      <c r="L978" s="169">
        <f>IFERROR(MATCH(J978,'Final List'!$D$4:$D$252,0),0)</f>
        <v>0</v>
      </c>
      <c r="M978" s="169">
        <f>IFERROR(MATCH(J978,'Final List'!$F$4:$F$251,0),0)</f>
        <v>0</v>
      </c>
      <c r="N978" s="169">
        <f>IFERROR(MATCH(J978,'Final List'!$H$4:$H$252,0),0)</f>
        <v>0</v>
      </c>
      <c r="O978" s="169">
        <f>IFERROR(MATCH(J978,'Final List'!$J$4:$J$252,0),0)</f>
        <v>0</v>
      </c>
      <c r="P978" s="169">
        <f>IFERROR(MATCH(J978,'Final List'!$L$4:$L$252,0),0)</f>
        <v>0</v>
      </c>
      <c r="Q978" s="169">
        <f>IFERROR(MATCH(J978,'Final List'!$N$4:$N$252,0),0)</f>
        <v>0</v>
      </c>
      <c r="R978" s="169">
        <f>IFERROR(MATCH(J978,'Final List'!$P$4:$P$252,0),0)</f>
        <v>0</v>
      </c>
      <c r="S978" s="169">
        <f t="shared" si="63"/>
        <v>0</v>
      </c>
      <c r="T978" s="169" t="s">
        <v>68</v>
      </c>
      <c r="V978" s="169" t="str">
        <f t="shared" si="61"/>
        <v>BADBADON 2</v>
      </c>
      <c r="W978" s="169" t="s">
        <v>2716</v>
      </c>
    </row>
    <row r="979" spans="2:23" x14ac:dyDescent="0.25">
      <c r="B979" s="169" t="s">
        <v>93</v>
      </c>
      <c r="C979" s="169" t="s">
        <v>41</v>
      </c>
      <c r="D979" s="169" t="s">
        <v>6864</v>
      </c>
      <c r="E979" s="169" t="s">
        <v>62</v>
      </c>
      <c r="F979" s="245" t="str">
        <f t="shared" si="62"/>
        <v>RobS 79</v>
      </c>
      <c r="G979" s="169" t="s">
        <v>5717</v>
      </c>
      <c r="I979" s="169" t="str">
        <f t="shared" si="60"/>
        <v>L06_CTV_006E_ROBBING</v>
      </c>
      <c r="J979" s="169" t="s">
        <v>7534</v>
      </c>
      <c r="K979" s="169">
        <f>IFERROR(MATCH(J979,'Final List'!$B$4:$B$252,0),0)</f>
        <v>0</v>
      </c>
      <c r="L979" s="169">
        <f>IFERROR(MATCH(J979,'Final List'!$D$4:$D$252,0),0)</f>
        <v>0</v>
      </c>
      <c r="M979" s="169">
        <f>IFERROR(MATCH(J979,'Final List'!$F$4:$F$251,0),0)</f>
        <v>0</v>
      </c>
      <c r="N979" s="169">
        <f>IFERROR(MATCH(J979,'Final List'!$H$4:$H$252,0),0)</f>
        <v>0</v>
      </c>
      <c r="O979" s="169">
        <f>IFERROR(MATCH(J979,'Final List'!$J$4:$J$252,0),0)</f>
        <v>0</v>
      </c>
      <c r="P979" s="169">
        <f>IFERROR(MATCH(J979,'Final List'!$L$4:$L$252,0),0)</f>
        <v>0</v>
      </c>
      <c r="Q979" s="169">
        <f>IFERROR(MATCH(J979,'Final List'!$N$4:$N$252,0),0)</f>
        <v>0</v>
      </c>
      <c r="R979" s="169">
        <f>IFERROR(MATCH(J979,'Final List'!$P$4:$P$252,0),0)</f>
        <v>0</v>
      </c>
      <c r="S979" s="169">
        <f t="shared" si="63"/>
        <v>0</v>
      </c>
      <c r="T979" s="169" t="s">
        <v>68</v>
      </c>
      <c r="V979" s="169" t="str">
        <f t="shared" si="61"/>
        <v>SHEPHERD AC 1</v>
      </c>
      <c r="W979" s="169" t="s">
        <v>2707</v>
      </c>
    </row>
    <row r="980" spans="2:23" x14ac:dyDescent="0.25">
      <c r="B980" s="169" t="s">
        <v>95</v>
      </c>
      <c r="C980" s="169" t="s">
        <v>45</v>
      </c>
      <c r="D980" s="169" t="s">
        <v>166</v>
      </c>
      <c r="E980" s="169" t="s">
        <v>6154</v>
      </c>
      <c r="F980" s="245" t="str">
        <f t="shared" si="62"/>
        <v>Dhoz 71</v>
      </c>
      <c r="G980" s="169" t="s">
        <v>1370</v>
      </c>
      <c r="H980" s="169" t="s">
        <v>380</v>
      </c>
      <c r="I980" s="169" t="str">
        <f t="shared" si="60"/>
        <v>L08_DPVE_068E_DW_ISL</v>
      </c>
      <c r="J980" s="169" t="s">
        <v>7540</v>
      </c>
      <c r="K980" s="169">
        <f>IFERROR(MATCH(J980,'Final List'!$B$4:$B$252,0),0)</f>
        <v>0</v>
      </c>
      <c r="L980" s="169">
        <f>IFERROR(MATCH(J980,'Final List'!$D$4:$D$252,0),0)</f>
        <v>0</v>
      </c>
      <c r="M980" s="169">
        <f>IFERROR(MATCH(J980,'Final List'!$F$4:$F$251,0),0)</f>
        <v>0</v>
      </c>
      <c r="N980" s="169">
        <f>IFERROR(MATCH(J980,'Final List'!$H$4:$H$252,0),0)</f>
        <v>0</v>
      </c>
      <c r="O980" s="169">
        <f>IFERROR(MATCH(J980,'Final List'!$J$4:$J$252,0),0)</f>
        <v>0</v>
      </c>
      <c r="P980" s="169">
        <f>IFERROR(MATCH(J980,'Final List'!$L$4:$L$252,0),0)</f>
        <v>0</v>
      </c>
      <c r="Q980" s="169">
        <f>IFERROR(MATCH(J980,'Final List'!$N$4:$N$252,0),0)</f>
        <v>0</v>
      </c>
      <c r="R980" s="169">
        <f>IFERROR(MATCH(J980,'Final List'!$P$4:$P$252,0),0)</f>
        <v>0</v>
      </c>
      <c r="S980" s="169">
        <f t="shared" si="63"/>
        <v>0</v>
      </c>
      <c r="V980" s="169" t="str">
        <f t="shared" si="61"/>
        <v>AGLOLO 1</v>
      </c>
      <c r="W980" s="169" t="s">
        <v>2708</v>
      </c>
    </row>
    <row r="981" spans="2:23" x14ac:dyDescent="0.25">
      <c r="B981" s="169" t="s">
        <v>91</v>
      </c>
      <c r="C981" s="169" t="s">
        <v>44</v>
      </c>
      <c r="D981" s="169" t="s">
        <v>114</v>
      </c>
      <c r="E981" s="169" t="s">
        <v>20</v>
      </c>
      <c r="F981" s="245" t="str">
        <f t="shared" si="62"/>
        <v>DVW 74</v>
      </c>
      <c r="G981" s="169" t="s">
        <v>340</v>
      </c>
      <c r="I981" s="169" t="str">
        <f t="shared" si="60"/>
        <v>L04_CV_025W_WINZE</v>
      </c>
      <c r="J981" s="169" t="s">
        <v>7538</v>
      </c>
      <c r="K981" s="169">
        <f>IFERROR(MATCH(J981,'Final List'!$B$4:$B$252,0),0)</f>
        <v>0</v>
      </c>
      <c r="L981" s="169">
        <f>IFERROR(MATCH(J981,'Final List'!$D$4:$D$252,0),0)</f>
        <v>0</v>
      </c>
      <c r="M981" s="169">
        <f>IFERROR(MATCH(J981,'Final List'!$F$4:$F$251,0),0)</f>
        <v>0</v>
      </c>
      <c r="N981" s="169">
        <f>IFERROR(MATCH(J981,'Final List'!$H$4:$H$252,0),0)</f>
        <v>0</v>
      </c>
      <c r="O981" s="169">
        <f>IFERROR(MATCH(J981,'Final List'!$J$4:$J$252,0),0)</f>
        <v>0</v>
      </c>
      <c r="P981" s="169">
        <f>IFERROR(MATCH(J981,'Final List'!$L$4:$L$252,0),0)</f>
        <v>0</v>
      </c>
      <c r="Q981" s="169">
        <f>IFERROR(MATCH(J981,'Final List'!$N$4:$N$252,0),0)</f>
        <v>0</v>
      </c>
      <c r="R981" s="169">
        <f>IFERROR(MATCH(J981,'Final List'!$P$4:$P$252,0),0)</f>
        <v>0</v>
      </c>
      <c r="S981" s="169">
        <f t="shared" si="63"/>
        <v>0</v>
      </c>
      <c r="V981" s="169" t="str">
        <f t="shared" si="61"/>
        <v>COMAINGKING</v>
      </c>
      <c r="W981" s="169" t="s">
        <v>2706</v>
      </c>
    </row>
    <row r="982" spans="2:23" x14ac:dyDescent="0.25">
      <c r="B982" s="169" t="s">
        <v>93</v>
      </c>
      <c r="C982" s="169" t="s">
        <v>39</v>
      </c>
      <c r="D982" s="169" t="s">
        <v>114</v>
      </c>
      <c r="E982" s="169" t="s">
        <v>19</v>
      </c>
      <c r="F982" s="245" t="str">
        <f t="shared" si="62"/>
        <v>DVR 72</v>
      </c>
      <c r="G982" s="169" t="s">
        <v>352</v>
      </c>
      <c r="I982" s="169" t="str">
        <f t="shared" si="60"/>
        <v>L06_JVHW_025W_RAISE</v>
      </c>
      <c r="J982" s="169" t="s">
        <v>7551</v>
      </c>
      <c r="K982" s="169">
        <f>IFERROR(MATCH(J982,'Final List'!$B$4:$B$252,0),0)</f>
        <v>0</v>
      </c>
      <c r="L982" s="169">
        <f>IFERROR(MATCH(J982,'Final List'!$D$4:$D$252,0),0)</f>
        <v>0</v>
      </c>
      <c r="M982" s="169">
        <f>IFERROR(MATCH(J982,'Final List'!$F$4:$F$251,0),0)</f>
        <v>0</v>
      </c>
      <c r="N982" s="169">
        <f>IFERROR(MATCH(J982,'Final List'!$H$4:$H$252,0),0)</f>
        <v>0</v>
      </c>
      <c r="O982" s="169">
        <f>IFERROR(MATCH(J982,'Final List'!$J$4:$J$252,0),0)</f>
        <v>0</v>
      </c>
      <c r="P982" s="169">
        <f>IFERROR(MATCH(J982,'Final List'!$L$4:$L$252,0),0)</f>
        <v>0</v>
      </c>
      <c r="Q982" s="169">
        <f>IFERROR(MATCH(J982,'Final List'!$N$4:$N$252,0),0)</f>
        <v>0</v>
      </c>
      <c r="R982" s="169">
        <f>IFERROR(MATCH(J982,'Final List'!$P$4:$P$252,0),0)</f>
        <v>0</v>
      </c>
      <c r="S982" s="169">
        <f t="shared" si="63"/>
        <v>0</v>
      </c>
      <c r="V982" s="169" t="str">
        <f t="shared" si="61"/>
        <v>BAÑEZ 5</v>
      </c>
      <c r="W982" s="169" t="s">
        <v>2715</v>
      </c>
    </row>
    <row r="983" spans="2:23" x14ac:dyDescent="0.25">
      <c r="B983" s="169" t="s">
        <v>93</v>
      </c>
      <c r="C983" s="169" t="s">
        <v>57</v>
      </c>
      <c r="D983" s="169" t="s">
        <v>140</v>
      </c>
      <c r="E983" s="169" t="s">
        <v>19</v>
      </c>
      <c r="F983" s="245" t="str">
        <f t="shared" si="62"/>
        <v>DVR 72</v>
      </c>
      <c r="G983" s="169" t="s">
        <v>742</v>
      </c>
      <c r="I983" s="169" t="str">
        <f t="shared" si="60"/>
        <v>L06_JVSPLIT_005W_RAISE</v>
      </c>
      <c r="J983" s="169" t="s">
        <v>7569</v>
      </c>
      <c r="K983" s="169">
        <f>IFERROR(MATCH(J983,'Final List'!$B$4:$B$252,0),0)</f>
        <v>0</v>
      </c>
      <c r="L983" s="169">
        <f>IFERROR(MATCH(J983,'Final List'!$D$4:$D$252,0),0)</f>
        <v>0</v>
      </c>
      <c r="M983" s="169">
        <f>IFERROR(MATCH(J983,'Final List'!$F$4:$F$251,0),0)</f>
        <v>0</v>
      </c>
      <c r="N983" s="169">
        <f>IFERROR(MATCH(J983,'Final List'!$H$4:$H$252,0),0)</f>
        <v>0</v>
      </c>
      <c r="O983" s="169">
        <f>IFERROR(MATCH(J983,'Final List'!$J$4:$J$252,0),0)</f>
        <v>0</v>
      </c>
      <c r="P983" s="169">
        <f>IFERROR(MATCH(J983,'Final List'!$L$4:$L$252,0),0)</f>
        <v>0</v>
      </c>
      <c r="Q983" s="169">
        <f>IFERROR(MATCH(J983,'Final List'!$N$4:$N$252,0),0)</f>
        <v>0</v>
      </c>
      <c r="R983" s="169">
        <f>IFERROR(MATCH(J983,'Final List'!$P$4:$P$252,0),0)</f>
        <v>0</v>
      </c>
      <c r="S983" s="169">
        <f t="shared" si="63"/>
        <v>0</v>
      </c>
      <c r="V983" s="169" t="str">
        <f t="shared" si="61"/>
        <v>REBOTE 2</v>
      </c>
      <c r="W983" s="169" t="s">
        <v>2715</v>
      </c>
    </row>
    <row r="984" spans="2:23" x14ac:dyDescent="0.25">
      <c r="B984" s="169" t="s">
        <v>93</v>
      </c>
      <c r="C984" s="169" t="s">
        <v>39</v>
      </c>
      <c r="D984" s="169" t="s">
        <v>98</v>
      </c>
      <c r="E984" s="169" t="s">
        <v>19</v>
      </c>
      <c r="F984" s="245" t="str">
        <f t="shared" si="62"/>
        <v>DVR 72</v>
      </c>
      <c r="G984" s="169" t="s">
        <v>355</v>
      </c>
      <c r="I984" s="169" t="str">
        <f t="shared" si="60"/>
        <v>L06_JVHW_014W_RAISE</v>
      </c>
      <c r="J984" s="169" t="s">
        <v>7552</v>
      </c>
      <c r="K984" s="169">
        <f>IFERROR(MATCH(J984,'Final List'!$B$4:$B$252,0),0)</f>
        <v>0</v>
      </c>
      <c r="L984" s="169">
        <f>IFERROR(MATCH(J984,'Final List'!$D$4:$D$252,0),0)</f>
        <v>0</v>
      </c>
      <c r="M984" s="169">
        <f>IFERROR(MATCH(J984,'Final List'!$F$4:$F$251,0),0)</f>
        <v>0</v>
      </c>
      <c r="N984" s="169">
        <f>IFERROR(MATCH(J984,'Final List'!$H$4:$H$252,0),0)</f>
        <v>0</v>
      </c>
      <c r="O984" s="169">
        <f>IFERROR(MATCH(J984,'Final List'!$J$4:$J$252,0),0)</f>
        <v>0</v>
      </c>
      <c r="P984" s="169">
        <f>IFERROR(MATCH(J984,'Final List'!$L$4:$L$252,0),0)</f>
        <v>0</v>
      </c>
      <c r="Q984" s="169">
        <f>IFERROR(MATCH(J984,'Final List'!$N$4:$N$252,0),0)</f>
        <v>0</v>
      </c>
      <c r="R984" s="169">
        <f>IFERROR(MATCH(J984,'Final List'!$P$4:$P$252,0),0)</f>
        <v>0</v>
      </c>
      <c r="S984" s="169">
        <f t="shared" si="63"/>
        <v>0</v>
      </c>
      <c r="V984" s="169" t="str">
        <f t="shared" si="61"/>
        <v>BAÑEZ 2</v>
      </c>
      <c r="W984" s="169" t="s">
        <v>2715</v>
      </c>
    </row>
    <row r="985" spans="2:23" x14ac:dyDescent="0.25">
      <c r="B985" s="169" t="s">
        <v>92</v>
      </c>
      <c r="C985" s="169" t="s">
        <v>45</v>
      </c>
      <c r="D985" s="169" t="s">
        <v>160</v>
      </c>
      <c r="E985" s="169" t="s">
        <v>60</v>
      </c>
      <c r="F985" s="245" t="str">
        <f t="shared" si="62"/>
        <v>Dhoz 71</v>
      </c>
      <c r="G985" s="169" t="s">
        <v>538</v>
      </c>
      <c r="I985" s="169" t="str">
        <f t="shared" si="60"/>
        <v>L05_DPVE_042E_DE</v>
      </c>
      <c r="J985" s="169" t="s">
        <v>3783</v>
      </c>
      <c r="K985" s="169">
        <f>IFERROR(MATCH(J985,'Final List'!$B$4:$B$252,0),0)</f>
        <v>0</v>
      </c>
      <c r="L985" s="169">
        <f>IFERROR(MATCH(J985,'Final List'!$D$4:$D$252,0),0)</f>
        <v>0</v>
      </c>
      <c r="M985" s="169">
        <f>IFERROR(MATCH(J985,'Final List'!$F$4:$F$251,0),0)</f>
        <v>0</v>
      </c>
      <c r="N985" s="169">
        <f>IFERROR(MATCH(J985,'Final List'!$H$4:$H$252,0),0)</f>
        <v>0</v>
      </c>
      <c r="O985" s="169">
        <f>IFERROR(MATCH(J985,'Final List'!$J$4:$J$252,0),0)</f>
        <v>0</v>
      </c>
      <c r="P985" s="169">
        <f>IFERROR(MATCH(J985,'Final List'!$L$4:$L$252,0),0)</f>
        <v>0</v>
      </c>
      <c r="Q985" s="169">
        <f>IFERROR(MATCH(J985,'Final List'!$N$4:$N$252,0),0)</f>
        <v>0</v>
      </c>
      <c r="R985" s="169">
        <f>IFERROR(MATCH(J985,'Final List'!$P$4:$P$252,0),0)</f>
        <v>0</v>
      </c>
      <c r="S985" s="169">
        <f t="shared" si="63"/>
        <v>0</v>
      </c>
      <c r="V985" s="169" t="str">
        <f t="shared" si="61"/>
        <v>PANCIT, NOEL 4</v>
      </c>
      <c r="W985" s="169" t="s">
        <v>8895</v>
      </c>
    </row>
    <row r="986" spans="2:23" x14ac:dyDescent="0.25">
      <c r="B986" s="169" t="s">
        <v>95</v>
      </c>
      <c r="C986" s="169" t="s">
        <v>42</v>
      </c>
      <c r="D986" s="169" t="s">
        <v>6710</v>
      </c>
      <c r="E986" s="169" t="s">
        <v>36</v>
      </c>
      <c r="F986" s="245" t="str">
        <f t="shared" si="62"/>
        <v>StpS 77</v>
      </c>
      <c r="G986" s="169" t="s">
        <v>5</v>
      </c>
      <c r="I986" s="169" t="str">
        <f t="shared" si="60"/>
        <v>L08_JV_018W_STOPE</v>
      </c>
      <c r="J986" s="169" t="s">
        <v>7553</v>
      </c>
      <c r="K986" s="169">
        <f>IFERROR(MATCH(J986,'Final List'!$B$4:$B$252,0),0)</f>
        <v>0</v>
      </c>
      <c r="L986" s="169">
        <f>IFERROR(MATCH(J986,'Final List'!$D$4:$D$252,0),0)</f>
        <v>0</v>
      </c>
      <c r="M986" s="169">
        <f>IFERROR(MATCH(J986,'Final List'!$F$4:$F$251,0),0)</f>
        <v>0</v>
      </c>
      <c r="N986" s="169">
        <f>IFERROR(MATCH(J986,'Final List'!$H$4:$H$252,0),0)</f>
        <v>0</v>
      </c>
      <c r="O986" s="169">
        <f>IFERROR(MATCH(J986,'Final List'!$J$4:$J$252,0),0)</f>
        <v>0</v>
      </c>
      <c r="P986" s="169">
        <f>IFERROR(MATCH(J986,'Final List'!$L$4:$L$252,0),0)</f>
        <v>0</v>
      </c>
      <c r="Q986" s="169">
        <f>IFERROR(MATCH(J986,'Final List'!$N$4:$N$252,0),0)</f>
        <v>0</v>
      </c>
      <c r="R986" s="169">
        <f>IFERROR(MATCH(J986,'Final List'!$P$4:$P$252,0),0)</f>
        <v>0</v>
      </c>
      <c r="S986" s="169">
        <f t="shared" si="63"/>
        <v>0</v>
      </c>
      <c r="T986" s="169" t="s">
        <v>68</v>
      </c>
      <c r="V986" s="169" t="str">
        <f t="shared" si="61"/>
        <v>BELICAN</v>
      </c>
      <c r="W986" s="169" t="s">
        <v>2711</v>
      </c>
    </row>
    <row r="987" spans="2:23" x14ac:dyDescent="0.25">
      <c r="B987" s="169" t="s">
        <v>95</v>
      </c>
      <c r="C987" s="169" t="s">
        <v>45</v>
      </c>
      <c r="D987" s="169" t="s">
        <v>870</v>
      </c>
      <c r="E987" s="169" t="s">
        <v>6143</v>
      </c>
      <c r="F987" s="245" t="str">
        <f t="shared" si="62"/>
        <v>Dhoz 71</v>
      </c>
      <c r="G987" s="169" t="s">
        <v>7560</v>
      </c>
      <c r="I987" s="169" t="str">
        <f t="shared" si="60"/>
        <v>L08_DPVE_073E_DE_ISL</v>
      </c>
      <c r="J987" s="169" t="s">
        <v>7562</v>
      </c>
      <c r="K987" s="169">
        <f>IFERROR(MATCH(J987,'Final List'!$B$4:$B$252,0),0)</f>
        <v>0</v>
      </c>
      <c r="L987" s="169">
        <f>IFERROR(MATCH(J987,'Final List'!$D$4:$D$252,0),0)</f>
        <v>0</v>
      </c>
      <c r="M987" s="169">
        <f>IFERROR(MATCH(J987,'Final List'!$F$4:$F$251,0),0)</f>
        <v>0</v>
      </c>
      <c r="N987" s="169">
        <f>IFERROR(MATCH(J987,'Final List'!$H$4:$H$252,0),0)</f>
        <v>0</v>
      </c>
      <c r="O987" s="169">
        <f>IFERROR(MATCH(J987,'Final List'!$J$4:$J$252,0),0)</f>
        <v>0</v>
      </c>
      <c r="P987" s="169">
        <f>IFERROR(MATCH(J987,'Final List'!$L$4:$L$252,0),0)</f>
        <v>0</v>
      </c>
      <c r="Q987" s="169">
        <f>IFERROR(MATCH(J987,'Final List'!$N$4:$N$252,0),0)</f>
        <v>0</v>
      </c>
      <c r="R987" s="169">
        <f>IFERROR(MATCH(J987,'Final List'!$P$4:$P$252,0),0)</f>
        <v>0</v>
      </c>
      <c r="S987" s="169">
        <f t="shared" si="63"/>
        <v>0</v>
      </c>
      <c r="V987" s="169" t="str">
        <f t="shared" si="61"/>
        <v>CAPPUYAN 1</v>
      </c>
      <c r="W987" s="169" t="s">
        <v>2708</v>
      </c>
    </row>
    <row r="988" spans="2:23" x14ac:dyDescent="0.25">
      <c r="B988" s="169" t="s">
        <v>95</v>
      </c>
      <c r="C988" s="169" t="s">
        <v>45</v>
      </c>
      <c r="D988" s="169" t="s">
        <v>218</v>
      </c>
      <c r="E988" s="169" t="s">
        <v>20</v>
      </c>
      <c r="F988" s="245" t="str">
        <f t="shared" si="62"/>
        <v>DVW 74</v>
      </c>
      <c r="G988" s="169" t="s">
        <v>676</v>
      </c>
      <c r="I988" s="169" t="str">
        <f t="shared" si="60"/>
        <v>L08_DPVE_062E_WINZE</v>
      </c>
      <c r="J988" s="169" t="s">
        <v>7561</v>
      </c>
      <c r="K988" s="169">
        <f>IFERROR(MATCH(J988,'Final List'!$B$4:$B$252,0),0)</f>
        <v>0</v>
      </c>
      <c r="L988" s="169">
        <f>IFERROR(MATCH(J988,'Final List'!$D$4:$D$252,0),0)</f>
        <v>0</v>
      </c>
      <c r="M988" s="169">
        <f>IFERROR(MATCH(J988,'Final List'!$F$4:$F$251,0),0)</f>
        <v>0</v>
      </c>
      <c r="N988" s="169">
        <f>IFERROR(MATCH(J988,'Final List'!$H$4:$H$252,0),0)</f>
        <v>0</v>
      </c>
      <c r="O988" s="169">
        <f>IFERROR(MATCH(J988,'Final List'!$J$4:$J$252,0),0)</f>
        <v>0</v>
      </c>
      <c r="P988" s="169">
        <f>IFERROR(MATCH(J988,'Final List'!$L$4:$L$252,0),0)</f>
        <v>0</v>
      </c>
      <c r="Q988" s="169">
        <f>IFERROR(MATCH(J988,'Final List'!$N$4:$N$252,0),0)</f>
        <v>0</v>
      </c>
      <c r="R988" s="169">
        <f>IFERROR(MATCH(J988,'Final List'!$P$4:$P$252,0),0)</f>
        <v>0</v>
      </c>
      <c r="S988" s="169">
        <f t="shared" si="63"/>
        <v>0</v>
      </c>
      <c r="V988" s="169" t="str">
        <f t="shared" si="61"/>
        <v>OY-YOY 2</v>
      </c>
      <c r="W988" s="169" t="s">
        <v>2706</v>
      </c>
    </row>
    <row r="989" spans="2:23" x14ac:dyDescent="0.25">
      <c r="B989" s="169" t="s">
        <v>93</v>
      </c>
      <c r="C989" s="169" t="s">
        <v>39</v>
      </c>
      <c r="D989" s="169" t="s">
        <v>6139</v>
      </c>
      <c r="E989" s="169" t="s">
        <v>62</v>
      </c>
      <c r="F989" s="245" t="str">
        <f t="shared" si="62"/>
        <v>RobS 79</v>
      </c>
      <c r="G989" s="169" t="s">
        <v>7363</v>
      </c>
      <c r="I989" s="169" t="str">
        <f t="shared" ref="I989:I1052" si="64">CONCATENATE(B989,"_",C989,"_",D989,"_",E989)</f>
        <v>L06_JVHW_030W_ROBBING</v>
      </c>
      <c r="J989" s="169" t="s">
        <v>7324</v>
      </c>
      <c r="K989" s="169">
        <f>IFERROR(MATCH(J989,'Final List'!$B$4:$B$252,0),0)</f>
        <v>0</v>
      </c>
      <c r="L989" s="169">
        <f>IFERROR(MATCH(J989,'Final List'!$D$4:$D$252,0),0)</f>
        <v>0</v>
      </c>
      <c r="M989" s="169">
        <f>IFERROR(MATCH(J989,'Final List'!$F$4:$F$251,0),0)</f>
        <v>0</v>
      </c>
      <c r="N989" s="169">
        <f>IFERROR(MATCH(J989,'Final List'!$H$4:$H$252,0),0)</f>
        <v>0</v>
      </c>
      <c r="O989" s="169">
        <f>IFERROR(MATCH(J989,'Final List'!$J$4:$J$252,0),0)</f>
        <v>0</v>
      </c>
      <c r="P989" s="169">
        <f>IFERROR(MATCH(J989,'Final List'!$L$4:$L$252,0),0)</f>
        <v>0</v>
      </c>
      <c r="Q989" s="169">
        <f>IFERROR(MATCH(J989,'Final List'!$N$4:$N$252,0),0)</f>
        <v>0</v>
      </c>
      <c r="R989" s="169">
        <f>IFERROR(MATCH(J989,'Final List'!$P$4:$P$252,0),0)</f>
        <v>0</v>
      </c>
      <c r="S989" s="169">
        <f t="shared" si="63"/>
        <v>0</v>
      </c>
      <c r="T989" s="169" t="s">
        <v>68</v>
      </c>
      <c r="V989" s="169" t="str">
        <f t="shared" si="61"/>
        <v>SHEPHERD AC 2</v>
      </c>
      <c r="W989" s="169" t="s">
        <v>2707</v>
      </c>
    </row>
    <row r="990" spans="2:23" x14ac:dyDescent="0.25">
      <c r="B990" s="169" t="s">
        <v>93</v>
      </c>
      <c r="C990" s="169" t="s">
        <v>45</v>
      </c>
      <c r="D990" s="169" t="s">
        <v>130</v>
      </c>
      <c r="E990" s="169" t="s">
        <v>19</v>
      </c>
      <c r="F990" s="245" t="str">
        <f t="shared" si="62"/>
        <v>DVR 72</v>
      </c>
      <c r="G990" s="169" t="s">
        <v>351</v>
      </c>
      <c r="I990" s="169" t="str">
        <f t="shared" si="64"/>
        <v>L06_DPVE_036E_RAISE</v>
      </c>
      <c r="J990" s="169" t="s">
        <v>4541</v>
      </c>
      <c r="K990" s="169">
        <f>IFERROR(MATCH(J990,'Final List'!$B$4:$B$252,0),0)</f>
        <v>0</v>
      </c>
      <c r="L990" s="169">
        <f>IFERROR(MATCH(J990,'Final List'!$D$4:$D$252,0),0)</f>
        <v>0</v>
      </c>
      <c r="M990" s="169">
        <f>IFERROR(MATCH(J990,'Final List'!$F$4:$F$251,0),0)</f>
        <v>0</v>
      </c>
      <c r="N990" s="169">
        <f>IFERROR(MATCH(J990,'Final List'!$H$4:$H$252,0),0)</f>
        <v>0</v>
      </c>
      <c r="O990" s="169">
        <f>IFERROR(MATCH(J990,'Final List'!$J$4:$J$252,0),0)</f>
        <v>0</v>
      </c>
      <c r="P990" s="169">
        <f>IFERROR(MATCH(J990,'Final List'!$L$4:$L$252,0),0)</f>
        <v>0</v>
      </c>
      <c r="Q990" s="169">
        <f>IFERROR(MATCH(J990,'Final List'!$N$4:$N$252,0),0)</f>
        <v>0</v>
      </c>
      <c r="R990" s="169">
        <f>IFERROR(MATCH(J990,'Final List'!$P$4:$P$252,0),0)</f>
        <v>0</v>
      </c>
      <c r="S990" s="169">
        <f t="shared" si="63"/>
        <v>0</v>
      </c>
      <c r="V990" s="169" t="str">
        <f t="shared" si="61"/>
        <v>GONZALES 1</v>
      </c>
      <c r="W990" s="169" t="s">
        <v>2714</v>
      </c>
    </row>
    <row r="991" spans="2:23" x14ac:dyDescent="0.25">
      <c r="B991" s="169" t="s">
        <v>91</v>
      </c>
      <c r="C991" s="169" t="s">
        <v>58</v>
      </c>
      <c r="D991" s="169" t="s">
        <v>6833</v>
      </c>
      <c r="E991" s="169" t="s">
        <v>60</v>
      </c>
      <c r="F991" s="245" t="str">
        <f t="shared" si="62"/>
        <v>Dhoz 71</v>
      </c>
      <c r="G991" s="169" t="s">
        <v>7076</v>
      </c>
      <c r="I991" s="169" t="str">
        <f t="shared" si="64"/>
        <v>L04_EDV_017W_DE</v>
      </c>
      <c r="J991" s="169" t="s">
        <v>5315</v>
      </c>
      <c r="K991" s="169">
        <f>IFERROR(MATCH(J991,'Final List'!$B$4:$B$252,0),0)</f>
        <v>0</v>
      </c>
      <c r="L991" s="169">
        <f>IFERROR(MATCH(J991,'Final List'!$D$4:$D$252,0),0)</f>
        <v>0</v>
      </c>
      <c r="M991" s="169">
        <f>IFERROR(MATCH(J991,'Final List'!$F$4:$F$251,0),0)</f>
        <v>0</v>
      </c>
      <c r="N991" s="169">
        <f>IFERROR(MATCH(J991,'Final List'!$H$4:$H$252,0),0)</f>
        <v>0</v>
      </c>
      <c r="O991" s="169">
        <f>IFERROR(MATCH(J991,'Final List'!$J$4:$J$252,0),0)</f>
        <v>0</v>
      </c>
      <c r="P991" s="169">
        <f>IFERROR(MATCH(J991,'Final List'!$L$4:$L$252,0),0)</f>
        <v>0</v>
      </c>
      <c r="Q991" s="169">
        <f>IFERROR(MATCH(J991,'Final List'!$N$4:$N$252,0),0)</f>
        <v>0</v>
      </c>
      <c r="R991" s="169">
        <f>IFERROR(MATCH(J991,'Final List'!$P$4:$P$252,0),0)</f>
        <v>0</v>
      </c>
      <c r="S991" s="169">
        <f t="shared" si="63"/>
        <v>0</v>
      </c>
      <c r="V991" s="169" t="str">
        <f t="shared" si="61"/>
        <v>SHEPHERD AR</v>
      </c>
      <c r="W991" s="169" t="s">
        <v>8895</v>
      </c>
    </row>
    <row r="992" spans="2:23" x14ac:dyDescent="0.25">
      <c r="B992" s="169" t="s">
        <v>1167</v>
      </c>
      <c r="C992" s="169" t="s">
        <v>59</v>
      </c>
      <c r="D992" s="169" t="s">
        <v>142</v>
      </c>
      <c r="E992" s="169" t="s">
        <v>61</v>
      </c>
      <c r="F992" s="245" t="str">
        <f t="shared" si="62"/>
        <v>Dhoz 71</v>
      </c>
      <c r="G992" s="169" t="s">
        <v>9439</v>
      </c>
      <c r="H992" s="169" t="s">
        <v>3170</v>
      </c>
      <c r="I992" s="169" t="str">
        <f t="shared" si="64"/>
        <v>L12_GHVHW_038E_DW</v>
      </c>
      <c r="J992" s="169" t="s">
        <v>11536</v>
      </c>
      <c r="K992" s="169">
        <f>IFERROR(MATCH(J992,'Final List'!$B$4:$B$252,0),0)</f>
        <v>0</v>
      </c>
      <c r="L992" s="169">
        <f>IFERROR(MATCH(J992,'Final List'!$D$4:$D$252,0),0)</f>
        <v>0</v>
      </c>
      <c r="M992" s="169">
        <f>IFERROR(MATCH(J992,'Final List'!$F$4:$F$251,0),0)</f>
        <v>0</v>
      </c>
      <c r="N992" s="169">
        <f>IFERROR(MATCH(J992,'Final List'!$H$4:$H$252,0),0)</f>
        <v>0</v>
      </c>
      <c r="O992" s="169">
        <f>IFERROR(MATCH(J992,'Final List'!$J$4:$J$252,0),0)</f>
        <v>0</v>
      </c>
      <c r="P992" s="169">
        <f>IFERROR(MATCH(J992,'Final List'!$L$4:$L$252,0),0)</f>
        <v>0</v>
      </c>
      <c r="Q992" s="169">
        <f>IFERROR(MATCH(J992,'Final List'!$N$4:$N$252,0),0)</f>
        <v>0</v>
      </c>
      <c r="R992" s="169">
        <f>IFERROR(MATCH(J992,'Final List'!$P$4:$P$252,0),0)</f>
        <v>0</v>
      </c>
      <c r="S992" s="169">
        <f t="shared" si="63"/>
        <v>0</v>
      </c>
      <c r="V992" s="169" t="str">
        <f t="shared" si="61"/>
        <v>PANCIT NOEL 6</v>
      </c>
      <c r="W992" s="169" t="s">
        <v>8896</v>
      </c>
    </row>
    <row r="993" spans="2:23" x14ac:dyDescent="0.25">
      <c r="B993" s="169" t="s">
        <v>93</v>
      </c>
      <c r="C993" s="169" t="s">
        <v>39</v>
      </c>
      <c r="D993" s="169" t="s">
        <v>6941</v>
      </c>
      <c r="E993" s="169" t="s">
        <v>62</v>
      </c>
      <c r="F993" s="245" t="str">
        <f t="shared" si="62"/>
        <v>RobS 79</v>
      </c>
      <c r="G993" s="169" t="s">
        <v>3303</v>
      </c>
      <c r="I993" s="169" t="str">
        <f t="shared" si="64"/>
        <v>L06_JVHW_031W_ROBBING</v>
      </c>
      <c r="J993" s="169" t="s">
        <v>7565</v>
      </c>
      <c r="K993" s="169">
        <f>IFERROR(MATCH(J993,'Final List'!$B$4:$B$252,0),0)</f>
        <v>0</v>
      </c>
      <c r="L993" s="169">
        <f>IFERROR(MATCH(J993,'Final List'!$D$4:$D$252,0),0)</f>
        <v>0</v>
      </c>
      <c r="M993" s="169">
        <f>IFERROR(MATCH(J993,'Final List'!$F$4:$F$251,0),0)</f>
        <v>0</v>
      </c>
      <c r="N993" s="169">
        <f>IFERROR(MATCH(J993,'Final List'!$H$4:$H$252,0),0)</f>
        <v>0</v>
      </c>
      <c r="O993" s="169">
        <f>IFERROR(MATCH(J993,'Final List'!$J$4:$J$252,0),0)</f>
        <v>0</v>
      </c>
      <c r="P993" s="169">
        <f>IFERROR(MATCH(J993,'Final List'!$L$4:$L$252,0),0)</f>
        <v>0</v>
      </c>
      <c r="Q993" s="169">
        <f>IFERROR(MATCH(J993,'Final List'!$N$4:$N$252,0),0)</f>
        <v>0</v>
      </c>
      <c r="R993" s="169">
        <f>IFERROR(MATCH(J993,'Final List'!$P$4:$P$252,0),0)</f>
        <v>0</v>
      </c>
      <c r="S993" s="169">
        <f t="shared" si="63"/>
        <v>0</v>
      </c>
      <c r="T993" s="169" t="s">
        <v>68</v>
      </c>
      <c r="V993" s="169" t="str">
        <f t="shared" si="61"/>
        <v>SHEPHERD AC</v>
      </c>
      <c r="W993" s="169" t="s">
        <v>2707</v>
      </c>
    </row>
    <row r="994" spans="2:23" x14ac:dyDescent="0.25">
      <c r="B994" s="169" t="s">
        <v>95</v>
      </c>
      <c r="C994" s="169" t="s">
        <v>43</v>
      </c>
      <c r="D994" s="169" t="s">
        <v>106</v>
      </c>
      <c r="E994" s="169" t="s">
        <v>61</v>
      </c>
      <c r="F994" s="245" t="str">
        <f t="shared" si="62"/>
        <v>Dhoz 71</v>
      </c>
      <c r="G994" s="169" t="s">
        <v>367</v>
      </c>
      <c r="I994" s="169" t="str">
        <f t="shared" si="64"/>
        <v>L08_GHVSPLIT_033W_DW</v>
      </c>
      <c r="J994" s="169" t="s">
        <v>7566</v>
      </c>
      <c r="K994" s="169">
        <f>IFERROR(MATCH(J994,'Final List'!$B$4:$B$252,0),0)</f>
        <v>0</v>
      </c>
      <c r="L994" s="169">
        <f>IFERROR(MATCH(J994,'Final List'!$D$4:$D$252,0),0)</f>
        <v>0</v>
      </c>
      <c r="M994" s="169">
        <f>IFERROR(MATCH(J994,'Final List'!$F$4:$F$251,0),0)</f>
        <v>0</v>
      </c>
      <c r="N994" s="169">
        <f>IFERROR(MATCH(J994,'Final List'!$H$4:$H$252,0),0)</f>
        <v>0</v>
      </c>
      <c r="O994" s="169">
        <f>IFERROR(MATCH(J994,'Final List'!$J$4:$J$252,0),0)</f>
        <v>0</v>
      </c>
      <c r="P994" s="169">
        <f>IFERROR(MATCH(J994,'Final List'!$L$4:$L$252,0),0)</f>
        <v>0</v>
      </c>
      <c r="Q994" s="169">
        <f>IFERROR(MATCH(J994,'Final List'!$N$4:$N$252,0),0)</f>
        <v>0</v>
      </c>
      <c r="R994" s="169">
        <f>IFERROR(MATCH(J994,'Final List'!$P$4:$P$252,0),0)</f>
        <v>0</v>
      </c>
      <c r="S994" s="169">
        <f t="shared" si="63"/>
        <v>0</v>
      </c>
      <c r="V994" s="169" t="str">
        <f t="shared" si="61"/>
        <v>LERIO 1</v>
      </c>
      <c r="W994" s="169" t="s">
        <v>8895</v>
      </c>
    </row>
    <row r="995" spans="2:23" x14ac:dyDescent="0.25">
      <c r="B995" s="169" t="s">
        <v>95</v>
      </c>
      <c r="C995" s="169" t="s">
        <v>45</v>
      </c>
      <c r="D995" s="169" t="s">
        <v>103</v>
      </c>
      <c r="E995" s="169" t="s">
        <v>61</v>
      </c>
      <c r="F995" s="245" t="str">
        <f t="shared" si="62"/>
        <v>Dhoz 71</v>
      </c>
      <c r="G995" s="169" t="s">
        <v>3042</v>
      </c>
      <c r="I995" s="169" t="str">
        <f t="shared" si="64"/>
        <v>L08_DPVE_005E_DW</v>
      </c>
      <c r="J995" s="169" t="s">
        <v>7568</v>
      </c>
      <c r="K995" s="169">
        <f>IFERROR(MATCH(J995,'Final List'!$B$4:$B$252,0),0)</f>
        <v>0</v>
      </c>
      <c r="L995" s="169">
        <f>IFERROR(MATCH(J995,'Final List'!$D$4:$D$252,0),0)</f>
        <v>0</v>
      </c>
      <c r="M995" s="169">
        <f>IFERROR(MATCH(J995,'Final List'!$F$4:$F$251,0),0)</f>
        <v>0</v>
      </c>
      <c r="N995" s="169">
        <f>IFERROR(MATCH(J995,'Final List'!$H$4:$H$252,0),0)</f>
        <v>0</v>
      </c>
      <c r="O995" s="169">
        <f>IFERROR(MATCH(J995,'Final List'!$J$4:$J$252,0),0)</f>
        <v>0</v>
      </c>
      <c r="P995" s="169">
        <f>IFERROR(MATCH(J995,'Final List'!$L$4:$L$252,0),0)</f>
        <v>0</v>
      </c>
      <c r="Q995" s="169">
        <f>IFERROR(MATCH(J995,'Final List'!$N$4:$N$252,0),0)</f>
        <v>0</v>
      </c>
      <c r="R995" s="169">
        <f>IFERROR(MATCH(J995,'Final List'!$P$4:$P$252,0),0)</f>
        <v>0</v>
      </c>
      <c r="S995" s="169">
        <f t="shared" si="63"/>
        <v>0</v>
      </c>
      <c r="V995" s="169" t="str">
        <f t="shared" si="61"/>
        <v>VILLARANTE</v>
      </c>
      <c r="W995" s="169" t="s">
        <v>8895</v>
      </c>
    </row>
    <row r="996" spans="2:23" x14ac:dyDescent="0.25">
      <c r="B996" s="169" t="s">
        <v>92</v>
      </c>
      <c r="C996" s="169" t="s">
        <v>45</v>
      </c>
      <c r="D996" s="169" t="s">
        <v>133</v>
      </c>
      <c r="E996" s="169" t="s">
        <v>19</v>
      </c>
      <c r="F996" s="245" t="str">
        <f t="shared" si="62"/>
        <v>DVR 72</v>
      </c>
      <c r="G996" s="169" t="s">
        <v>7517</v>
      </c>
      <c r="I996" s="169" t="str">
        <f t="shared" si="64"/>
        <v>L05_DPVE_037E_RAISE</v>
      </c>
      <c r="J996" s="169" t="s">
        <v>4427</v>
      </c>
      <c r="K996" s="169">
        <f>IFERROR(MATCH(J996,'Final List'!$B$4:$B$252,0),0)</f>
        <v>0</v>
      </c>
      <c r="L996" s="169">
        <f>IFERROR(MATCH(J996,'Final List'!$D$4:$D$252,0),0)</f>
        <v>0</v>
      </c>
      <c r="M996" s="169">
        <f>IFERROR(MATCH(J996,'Final List'!$F$4:$F$251,0),0)</f>
        <v>0</v>
      </c>
      <c r="N996" s="169">
        <f>IFERROR(MATCH(J996,'Final List'!$H$4:$H$252,0),0)</f>
        <v>0</v>
      </c>
      <c r="O996" s="169">
        <f>IFERROR(MATCH(J996,'Final List'!$J$4:$J$252,0),0)</f>
        <v>0</v>
      </c>
      <c r="P996" s="169">
        <f>IFERROR(MATCH(J996,'Final List'!$L$4:$L$252,0),0)</f>
        <v>0</v>
      </c>
      <c r="Q996" s="169">
        <f>IFERROR(MATCH(J996,'Final List'!$N$4:$N$252,0),0)</f>
        <v>0</v>
      </c>
      <c r="R996" s="169">
        <f>IFERROR(MATCH(J996,'Final List'!$P$4:$P$252,0),0)</f>
        <v>0</v>
      </c>
      <c r="S996" s="169">
        <f t="shared" si="63"/>
        <v>0</v>
      </c>
      <c r="V996" s="169" t="str">
        <f t="shared" si="61"/>
        <v>FERNANDEZ RG</v>
      </c>
      <c r="W996" s="169" t="s">
        <v>2715</v>
      </c>
    </row>
    <row r="997" spans="2:23" x14ac:dyDescent="0.25">
      <c r="B997" s="169" t="s">
        <v>93</v>
      </c>
      <c r="C997" s="169" t="s">
        <v>55</v>
      </c>
      <c r="D997" s="169" t="s">
        <v>5844</v>
      </c>
      <c r="E997" s="169" t="s">
        <v>19</v>
      </c>
      <c r="F997" s="245" t="str">
        <f t="shared" si="62"/>
        <v>DVR 72</v>
      </c>
      <c r="G997" s="169" t="s">
        <v>747</v>
      </c>
      <c r="I997" s="169" t="str">
        <f t="shared" si="64"/>
        <v>L06_JVFW_009W_RAISE</v>
      </c>
      <c r="J997" s="169" t="s">
        <v>7571</v>
      </c>
      <c r="K997" s="169">
        <f>IFERROR(MATCH(J997,'Final List'!$B$4:$B$252,0),0)</f>
        <v>0</v>
      </c>
      <c r="L997" s="169">
        <f>IFERROR(MATCH(J997,'Final List'!$D$4:$D$252,0),0)</f>
        <v>0</v>
      </c>
      <c r="M997" s="169">
        <f>IFERROR(MATCH(J997,'Final List'!$F$4:$F$251,0),0)</f>
        <v>0</v>
      </c>
      <c r="N997" s="169">
        <f>IFERROR(MATCH(J997,'Final List'!$H$4:$H$252,0),0)</f>
        <v>0</v>
      </c>
      <c r="O997" s="169">
        <f>IFERROR(MATCH(J997,'Final List'!$J$4:$J$252,0),0)</f>
        <v>0</v>
      </c>
      <c r="P997" s="169">
        <f>IFERROR(MATCH(J997,'Final List'!$L$4:$L$252,0),0)</f>
        <v>0</v>
      </c>
      <c r="Q997" s="169">
        <f>IFERROR(MATCH(J997,'Final List'!$N$4:$N$252,0),0)</f>
        <v>0</v>
      </c>
      <c r="R997" s="169">
        <f>IFERROR(MATCH(J997,'Final List'!$P$4:$P$252,0),0)</f>
        <v>0</v>
      </c>
      <c r="S997" s="169">
        <f t="shared" si="63"/>
        <v>0</v>
      </c>
      <c r="V997" s="169" t="str">
        <f t="shared" si="61"/>
        <v>REBOTE</v>
      </c>
      <c r="W997" s="169" t="s">
        <v>2715</v>
      </c>
    </row>
    <row r="998" spans="2:23" x14ac:dyDescent="0.25">
      <c r="B998" s="169" t="s">
        <v>91</v>
      </c>
      <c r="C998" s="169" t="s">
        <v>41</v>
      </c>
      <c r="D998" s="169" t="s">
        <v>162</v>
      </c>
      <c r="E998" s="169" t="s">
        <v>62</v>
      </c>
      <c r="F998" s="245" t="str">
        <f t="shared" si="62"/>
        <v>RobC 80</v>
      </c>
      <c r="G998" s="169" t="s">
        <v>7261</v>
      </c>
      <c r="H998" s="169" t="s">
        <v>394</v>
      </c>
      <c r="I998" s="169" t="str">
        <f t="shared" si="64"/>
        <v>L04_CTV_008E_ROBBING</v>
      </c>
      <c r="J998" s="169" t="s">
        <v>7573</v>
      </c>
      <c r="K998" s="169">
        <f>IFERROR(MATCH(J998,'Final List'!$B$4:$B$252,0),0)</f>
        <v>0</v>
      </c>
      <c r="L998" s="169">
        <f>IFERROR(MATCH(J998,'Final List'!$D$4:$D$252,0),0)</f>
        <v>0</v>
      </c>
      <c r="M998" s="169">
        <f>IFERROR(MATCH(J998,'Final List'!$F$4:$F$251,0),0)</f>
        <v>0</v>
      </c>
      <c r="N998" s="169">
        <f>IFERROR(MATCH(J998,'Final List'!$H$4:$H$252,0),0)</f>
        <v>0</v>
      </c>
      <c r="O998" s="169">
        <f>IFERROR(MATCH(J998,'Final List'!$J$4:$J$252,0),0)</f>
        <v>0</v>
      </c>
      <c r="P998" s="169">
        <f>IFERROR(MATCH(J998,'Final List'!$L$4:$L$252,0),0)</f>
        <v>0</v>
      </c>
      <c r="Q998" s="169">
        <f>IFERROR(MATCH(J998,'Final List'!$N$4:$N$252,0),0)</f>
        <v>0</v>
      </c>
      <c r="R998" s="169">
        <f>IFERROR(MATCH(J998,'Final List'!$P$4:$P$252,0),0)</f>
        <v>0</v>
      </c>
      <c r="S998" s="169">
        <f t="shared" si="63"/>
        <v>0</v>
      </c>
      <c r="T998" s="169" t="s">
        <v>48</v>
      </c>
      <c r="V998" s="169" t="str">
        <f t="shared" si="61"/>
        <v>ANDILAB 1</v>
      </c>
      <c r="W998" s="169" t="s">
        <v>236</v>
      </c>
    </row>
    <row r="999" spans="2:23" x14ac:dyDescent="0.25">
      <c r="B999" s="169" t="s">
        <v>96</v>
      </c>
      <c r="C999" s="169" t="s">
        <v>45</v>
      </c>
      <c r="D999" s="169" t="s">
        <v>165</v>
      </c>
      <c r="E999" s="169" t="s">
        <v>60</v>
      </c>
      <c r="F999" s="245" t="str">
        <f t="shared" si="62"/>
        <v>Dhoz 71</v>
      </c>
      <c r="G999" s="169" t="s">
        <v>461</v>
      </c>
      <c r="I999" s="169" t="str">
        <f t="shared" si="64"/>
        <v>L09_DPVE_056E_DE</v>
      </c>
      <c r="J999" s="169" t="s">
        <v>7576</v>
      </c>
      <c r="K999" s="169">
        <f>IFERROR(MATCH(J999,'Final List'!$B$4:$B$252,0),0)</f>
        <v>0</v>
      </c>
      <c r="L999" s="169">
        <f>IFERROR(MATCH(J999,'Final List'!$D$4:$D$252,0),0)</f>
        <v>0</v>
      </c>
      <c r="M999" s="169">
        <f>IFERROR(MATCH(J999,'Final List'!$F$4:$F$251,0),0)</f>
        <v>0</v>
      </c>
      <c r="N999" s="169">
        <f>IFERROR(MATCH(J999,'Final List'!$H$4:$H$252,0),0)</f>
        <v>0</v>
      </c>
      <c r="O999" s="169">
        <f>IFERROR(MATCH(J999,'Final List'!$J$4:$J$252,0),0)</f>
        <v>0</v>
      </c>
      <c r="P999" s="169">
        <f>IFERROR(MATCH(J999,'Final List'!$L$4:$L$252,0),0)</f>
        <v>0</v>
      </c>
      <c r="Q999" s="169">
        <f>IFERROR(MATCH(J999,'Final List'!$N$4:$N$252,0),0)</f>
        <v>0</v>
      </c>
      <c r="R999" s="169">
        <f>IFERROR(MATCH(J999,'Final List'!$P$4:$P$252,0),0)</f>
        <v>0</v>
      </c>
      <c r="S999" s="169">
        <f t="shared" si="63"/>
        <v>0</v>
      </c>
      <c r="V999" s="169" t="str">
        <f t="shared" si="61"/>
        <v>PANSIT 4</v>
      </c>
      <c r="W999" s="169" t="s">
        <v>8896</v>
      </c>
    </row>
    <row r="1000" spans="2:23" x14ac:dyDescent="0.25">
      <c r="B1000" s="169" t="s">
        <v>96</v>
      </c>
      <c r="C1000" s="169" t="s">
        <v>43</v>
      </c>
      <c r="D1000" s="169" t="s">
        <v>6864</v>
      </c>
      <c r="E1000" s="169" t="s">
        <v>19</v>
      </c>
      <c r="F1000" s="245" t="str">
        <f t="shared" si="62"/>
        <v>DVR 72</v>
      </c>
      <c r="G1000" s="169" t="s">
        <v>363</v>
      </c>
      <c r="H1000" s="169" t="s">
        <v>747</v>
      </c>
      <c r="I1000" s="169" t="str">
        <f t="shared" si="64"/>
        <v>L09_GHVSPLIT_006E_RAISE</v>
      </c>
      <c r="J1000" s="169" t="s">
        <v>7578</v>
      </c>
      <c r="K1000" s="169">
        <f>IFERROR(MATCH(J1000,'Final List'!$B$4:$B$252,0),0)</f>
        <v>0</v>
      </c>
      <c r="L1000" s="169">
        <f>IFERROR(MATCH(J1000,'Final List'!$D$4:$D$252,0),0)</f>
        <v>0</v>
      </c>
      <c r="M1000" s="169">
        <f>IFERROR(MATCH(J1000,'Final List'!$F$4:$F$251,0),0)</f>
        <v>0</v>
      </c>
      <c r="N1000" s="169">
        <f>IFERROR(MATCH(J1000,'Final List'!$H$4:$H$252,0),0)</f>
        <v>0</v>
      </c>
      <c r="O1000" s="169">
        <f>IFERROR(MATCH(J1000,'Final List'!$J$4:$J$252,0),0)</f>
        <v>0</v>
      </c>
      <c r="P1000" s="169">
        <f>IFERROR(MATCH(J1000,'Final List'!$L$4:$L$252,0),0)</f>
        <v>0</v>
      </c>
      <c r="Q1000" s="169">
        <f>IFERROR(MATCH(J1000,'Final List'!$N$4:$N$252,0),0)</f>
        <v>0</v>
      </c>
      <c r="R1000" s="169">
        <f>IFERROR(MATCH(J1000,'Final List'!$P$4:$P$252,0),0)</f>
        <v>0</v>
      </c>
      <c r="S1000" s="169">
        <f t="shared" si="63"/>
        <v>0</v>
      </c>
      <c r="V1000" s="169" t="str">
        <f t="shared" si="61"/>
        <v>REBOTE</v>
      </c>
      <c r="W1000" s="169" t="s">
        <v>2715</v>
      </c>
    </row>
    <row r="1001" spans="2:23" x14ac:dyDescent="0.25">
      <c r="B1001" s="169" t="s">
        <v>258</v>
      </c>
      <c r="C1001" s="169" t="s">
        <v>45</v>
      </c>
      <c r="D1001" s="169" t="s">
        <v>120</v>
      </c>
      <c r="E1001" s="169" t="s">
        <v>61</v>
      </c>
      <c r="F1001" s="245" t="str">
        <f t="shared" si="62"/>
        <v>Dhoz 71</v>
      </c>
      <c r="G1001" s="169" t="s">
        <v>7585</v>
      </c>
      <c r="I1001" s="169" t="str">
        <f t="shared" si="64"/>
        <v>L10_DPVE_015E_DW</v>
      </c>
      <c r="J1001" s="169" t="s">
        <v>7584</v>
      </c>
      <c r="K1001" s="169">
        <f>IFERROR(MATCH(J1001,'Final List'!$B$4:$B$252,0),0)</f>
        <v>0</v>
      </c>
      <c r="L1001" s="169">
        <f>IFERROR(MATCH(J1001,'Final List'!$D$4:$D$252,0),0)</f>
        <v>0</v>
      </c>
      <c r="M1001" s="169">
        <f>IFERROR(MATCH(J1001,'Final List'!$F$4:$F$251,0),0)</f>
        <v>0</v>
      </c>
      <c r="N1001" s="169">
        <f>IFERROR(MATCH(J1001,'Final List'!$H$4:$H$252,0),0)</f>
        <v>0</v>
      </c>
      <c r="O1001" s="169">
        <f>IFERROR(MATCH(J1001,'Final List'!$J$4:$J$252,0),0)</f>
        <v>0</v>
      </c>
      <c r="P1001" s="169">
        <f>IFERROR(MATCH(J1001,'Final List'!$L$4:$L$252,0),0)</f>
        <v>0</v>
      </c>
      <c r="Q1001" s="169">
        <f>IFERROR(MATCH(J1001,'Final List'!$N$4:$N$252,0),0)</f>
        <v>0</v>
      </c>
      <c r="R1001" s="169">
        <f>IFERROR(MATCH(J1001,'Final List'!$P$4:$P$252,0),0)</f>
        <v>0</v>
      </c>
      <c r="S1001" s="169">
        <f t="shared" si="63"/>
        <v>0</v>
      </c>
      <c r="V1001" s="169" t="str">
        <f t="shared" si="61"/>
        <v>OLIVERS 4</v>
      </c>
      <c r="W1001" s="169" t="s">
        <v>8896</v>
      </c>
    </row>
    <row r="1002" spans="2:23" x14ac:dyDescent="0.25">
      <c r="B1002" s="169" t="s">
        <v>258</v>
      </c>
      <c r="C1002" s="169" t="s">
        <v>43</v>
      </c>
      <c r="D1002" s="169" t="s">
        <v>5889</v>
      </c>
      <c r="E1002" s="169" t="s">
        <v>60</v>
      </c>
      <c r="F1002" s="245" t="str">
        <f t="shared" si="62"/>
        <v>Dhoz 71</v>
      </c>
      <c r="G1002" s="169" t="s">
        <v>5704</v>
      </c>
      <c r="I1002" s="169" t="str">
        <f t="shared" si="64"/>
        <v>L10_GHVSPLIT_077E_DE</v>
      </c>
      <c r="J1002" s="169" t="s">
        <v>7586</v>
      </c>
      <c r="K1002" s="169">
        <f>IFERROR(MATCH(J1002,'Final List'!$B$4:$B$252,0),0)</f>
        <v>0</v>
      </c>
      <c r="L1002" s="169">
        <f>IFERROR(MATCH(J1002,'Final List'!$D$4:$D$252,0),0)</f>
        <v>0</v>
      </c>
      <c r="M1002" s="169">
        <f>IFERROR(MATCH(J1002,'Final List'!$F$4:$F$251,0),0)</f>
        <v>0</v>
      </c>
      <c r="N1002" s="169">
        <f>IFERROR(MATCH(J1002,'Final List'!$H$4:$H$252,0),0)</f>
        <v>0</v>
      </c>
      <c r="O1002" s="169">
        <f>IFERROR(MATCH(J1002,'Final List'!$J$4:$J$252,0),0)</f>
        <v>0</v>
      </c>
      <c r="P1002" s="169">
        <f>IFERROR(MATCH(J1002,'Final List'!$L$4:$L$252,0),0)</f>
        <v>0</v>
      </c>
      <c r="Q1002" s="169">
        <f>IFERROR(MATCH(J1002,'Final List'!$N$4:$N$252,0),0)</f>
        <v>0</v>
      </c>
      <c r="R1002" s="169">
        <f>IFERROR(MATCH(J1002,'Final List'!$P$4:$P$252,0),0)</f>
        <v>0</v>
      </c>
      <c r="S1002" s="169">
        <f t="shared" si="63"/>
        <v>0</v>
      </c>
      <c r="V1002" s="169" t="str">
        <f t="shared" si="61"/>
        <v>OLIVEROS 3</v>
      </c>
      <c r="W1002" s="169" t="s">
        <v>8896</v>
      </c>
    </row>
    <row r="1003" spans="2:23" x14ac:dyDescent="0.25">
      <c r="B1003" s="169" t="s">
        <v>95</v>
      </c>
      <c r="C1003" s="169" t="s">
        <v>38</v>
      </c>
      <c r="D1003" s="169" t="s">
        <v>146</v>
      </c>
      <c r="E1003" s="169" t="s">
        <v>441</v>
      </c>
      <c r="F1003" s="245" t="str">
        <f t="shared" si="62"/>
        <v>RobC 80</v>
      </c>
      <c r="G1003" s="169" t="s">
        <v>467</v>
      </c>
      <c r="I1003" s="169" t="str">
        <f t="shared" si="64"/>
        <v>L08_GHV_030E_WINZE STOPE PREP</v>
      </c>
      <c r="J1003" s="169" t="s">
        <v>7591</v>
      </c>
      <c r="K1003" s="169">
        <f>IFERROR(MATCH(J1003,'Final List'!$B$4:$B$252,0),0)</f>
        <v>0</v>
      </c>
      <c r="L1003" s="169">
        <f>IFERROR(MATCH(J1003,'Final List'!$D$4:$D$252,0),0)</f>
        <v>0</v>
      </c>
      <c r="M1003" s="169">
        <f>IFERROR(MATCH(J1003,'Final List'!$F$4:$F$251,0),0)</f>
        <v>0</v>
      </c>
      <c r="N1003" s="169">
        <f>IFERROR(MATCH(J1003,'Final List'!$H$4:$H$252,0),0)</f>
        <v>0</v>
      </c>
      <c r="O1003" s="169">
        <f>IFERROR(MATCH(J1003,'Final List'!$J$4:$J$252,0),0)</f>
        <v>0</v>
      </c>
      <c r="P1003" s="169">
        <f>IFERROR(MATCH(J1003,'Final List'!$L$4:$L$252,0),0)</f>
        <v>0</v>
      </c>
      <c r="Q1003" s="169">
        <f>IFERROR(MATCH(J1003,'Final List'!$N$4:$N$252,0),0)</f>
        <v>0</v>
      </c>
      <c r="R1003" s="169">
        <f>IFERROR(MATCH(J1003,'Final List'!$P$4:$P$252,0),0)</f>
        <v>0</v>
      </c>
      <c r="S1003" s="169">
        <f t="shared" si="63"/>
        <v>0</v>
      </c>
      <c r="T1003" s="169" t="s">
        <v>48</v>
      </c>
      <c r="V1003" s="169" t="str">
        <f t="shared" si="61"/>
        <v>AGLOLO 2</v>
      </c>
      <c r="W1003" s="169" t="s">
        <v>2716</v>
      </c>
    </row>
    <row r="1004" spans="2:23" x14ac:dyDescent="0.25">
      <c r="B1004" s="169" t="s">
        <v>94</v>
      </c>
      <c r="C1004" s="169" t="s">
        <v>45</v>
      </c>
      <c r="D1004" s="169" t="s">
        <v>148</v>
      </c>
      <c r="E1004" s="169" t="s">
        <v>19</v>
      </c>
      <c r="F1004" s="245" t="str">
        <f t="shared" si="62"/>
        <v>DVR 72</v>
      </c>
      <c r="G1004" s="169" t="s">
        <v>6406</v>
      </c>
      <c r="I1004" s="169" t="str">
        <f t="shared" si="64"/>
        <v>L07_DPVE_039E_RAISE</v>
      </c>
      <c r="J1004" s="169" t="s">
        <v>693</v>
      </c>
      <c r="K1004" s="169">
        <f>IFERROR(MATCH(J1004,'Final List'!$B$4:$B$252,0),0)</f>
        <v>0</v>
      </c>
      <c r="L1004" s="169">
        <f>IFERROR(MATCH(J1004,'Final List'!$D$4:$D$252,0),0)</f>
        <v>0</v>
      </c>
      <c r="M1004" s="169">
        <f>IFERROR(MATCH(J1004,'Final List'!$F$4:$F$251,0),0)</f>
        <v>0</v>
      </c>
      <c r="N1004" s="169">
        <f>IFERROR(MATCH(J1004,'Final List'!$H$4:$H$252,0),0)</f>
        <v>0</v>
      </c>
      <c r="O1004" s="169">
        <f>IFERROR(MATCH(J1004,'Final List'!$J$4:$J$252,0),0)</f>
        <v>0</v>
      </c>
      <c r="P1004" s="169">
        <f>IFERROR(MATCH(J1004,'Final List'!$L$4:$L$252,0),0)</f>
        <v>0</v>
      </c>
      <c r="Q1004" s="169">
        <f>IFERROR(MATCH(J1004,'Final List'!$N$4:$N$252,0),0)</f>
        <v>0</v>
      </c>
      <c r="R1004" s="169">
        <f>IFERROR(MATCH(J1004,'Final List'!$P$4:$P$252,0),0)</f>
        <v>0</v>
      </c>
      <c r="S1004" s="169">
        <f t="shared" si="63"/>
        <v>0</v>
      </c>
      <c r="V1004" s="169" t="str">
        <f t="shared" si="61"/>
        <v>TURRA</v>
      </c>
      <c r="W1004" s="169" t="s">
        <v>2715</v>
      </c>
    </row>
    <row r="1005" spans="2:23" x14ac:dyDescent="0.25">
      <c r="B1005" s="169" t="s">
        <v>94</v>
      </c>
      <c r="C1005" s="169" t="s">
        <v>87</v>
      </c>
      <c r="D1005" s="169" t="s">
        <v>146</v>
      </c>
      <c r="E1005" s="169" t="s">
        <v>72</v>
      </c>
      <c r="F1005" s="245" t="str">
        <f t="shared" si="62"/>
        <v>Dhoz 71</v>
      </c>
      <c r="G1005" s="169" t="s">
        <v>6406</v>
      </c>
      <c r="I1005" s="169" t="str">
        <f t="shared" si="64"/>
        <v>L07_NONE_030E_CHAMBER</v>
      </c>
      <c r="J1005" s="169" t="s">
        <v>7592</v>
      </c>
      <c r="K1005" s="169">
        <f>IFERROR(MATCH(J1005,'Final List'!$B$4:$B$252,0),0)</f>
        <v>0</v>
      </c>
      <c r="L1005" s="169">
        <f>IFERROR(MATCH(J1005,'Final List'!$D$4:$D$252,0),0)</f>
        <v>0</v>
      </c>
      <c r="M1005" s="169">
        <f>IFERROR(MATCH(J1005,'Final List'!$F$4:$F$251,0),0)</f>
        <v>0</v>
      </c>
      <c r="N1005" s="169">
        <f>IFERROR(MATCH(J1005,'Final List'!$H$4:$H$252,0),0)</f>
        <v>0</v>
      </c>
      <c r="O1005" s="169">
        <f>IFERROR(MATCH(J1005,'Final List'!$J$4:$J$252,0),0)</f>
        <v>0</v>
      </c>
      <c r="P1005" s="169">
        <f>IFERROR(MATCH(J1005,'Final List'!$L$4:$L$252,0),0)</f>
        <v>0</v>
      </c>
      <c r="Q1005" s="169">
        <f>IFERROR(MATCH(J1005,'Final List'!$N$4:$N$252,0),0)</f>
        <v>0</v>
      </c>
      <c r="R1005" s="169">
        <f>IFERROR(MATCH(J1005,'Final List'!$P$4:$P$252,0),0)</f>
        <v>0</v>
      </c>
      <c r="S1005" s="169">
        <f t="shared" si="63"/>
        <v>0</v>
      </c>
      <c r="V1005" s="169" t="str">
        <f t="shared" si="61"/>
        <v>TURRA</v>
      </c>
      <c r="W1005" s="169" t="s">
        <v>2714</v>
      </c>
    </row>
    <row r="1006" spans="2:23" x14ac:dyDescent="0.25">
      <c r="B1006" s="169" t="s">
        <v>96</v>
      </c>
      <c r="C1006" s="169" t="s">
        <v>45</v>
      </c>
      <c r="D1006" s="169" t="s">
        <v>164</v>
      </c>
      <c r="E1006" s="169" t="s">
        <v>19</v>
      </c>
      <c r="F1006" s="245" t="str">
        <f t="shared" si="62"/>
        <v>DVR 72</v>
      </c>
      <c r="G1006" s="169" t="s">
        <v>7290</v>
      </c>
      <c r="H1006" s="169" t="s">
        <v>362</v>
      </c>
      <c r="I1006" s="169" t="str">
        <f t="shared" si="64"/>
        <v>L09_DPVE_064E_RAISE</v>
      </c>
      <c r="J1006" s="169" t="s">
        <v>7595</v>
      </c>
      <c r="K1006" s="169">
        <f>IFERROR(MATCH(J1006,'Final List'!$B$4:$B$252,0),0)</f>
        <v>0</v>
      </c>
      <c r="L1006" s="169">
        <f>IFERROR(MATCH(J1006,'Final List'!$D$4:$D$252,0),0)</f>
        <v>0</v>
      </c>
      <c r="M1006" s="169">
        <f>IFERROR(MATCH(J1006,'Final List'!$F$4:$F$251,0),0)</f>
        <v>0</v>
      </c>
      <c r="N1006" s="169">
        <f>IFERROR(MATCH(J1006,'Final List'!$H$4:$H$252,0),0)</f>
        <v>0</v>
      </c>
      <c r="O1006" s="169">
        <f>IFERROR(MATCH(J1006,'Final List'!$J$4:$J$252,0),0)</f>
        <v>0</v>
      </c>
      <c r="P1006" s="169">
        <f>IFERROR(MATCH(J1006,'Final List'!$L$4:$L$252,0),0)</f>
        <v>0</v>
      </c>
      <c r="Q1006" s="169">
        <f>IFERROR(MATCH(J1006,'Final List'!$N$4:$N$252,0),0)</f>
        <v>0</v>
      </c>
      <c r="R1006" s="169">
        <f>IFERROR(MATCH(J1006,'Final List'!$P$4:$P$252,0),0)</f>
        <v>0</v>
      </c>
      <c r="S1006" s="169">
        <f t="shared" si="63"/>
        <v>0</v>
      </c>
      <c r="V1006" s="169" t="str">
        <f t="shared" si="61"/>
        <v>BABOR 1</v>
      </c>
      <c r="W1006" s="169" t="s">
        <v>2715</v>
      </c>
    </row>
    <row r="1007" spans="2:23" x14ac:dyDescent="0.25">
      <c r="B1007" s="169" t="s">
        <v>96</v>
      </c>
      <c r="C1007" s="169" t="s">
        <v>56</v>
      </c>
      <c r="D1007" s="169" t="s">
        <v>179</v>
      </c>
      <c r="E1007" s="169" t="s">
        <v>211</v>
      </c>
      <c r="F1007" s="245" t="str">
        <f t="shared" si="62"/>
        <v>StpS 77</v>
      </c>
      <c r="G1007" s="169" t="s">
        <v>677</v>
      </c>
      <c r="I1007" s="169" t="str">
        <f t="shared" si="64"/>
        <v>L09_GHVFW_050E_STOPE PREP</v>
      </c>
      <c r="J1007" s="169" t="s">
        <v>7596</v>
      </c>
      <c r="K1007" s="169">
        <f>IFERROR(MATCH(J1007,'Final List'!$B$4:$B$252,0),0)</f>
        <v>0</v>
      </c>
      <c r="L1007" s="169">
        <f>IFERROR(MATCH(J1007,'Final List'!$D$4:$D$252,0),0)</f>
        <v>0</v>
      </c>
      <c r="M1007" s="169">
        <f>IFERROR(MATCH(J1007,'Final List'!$F$4:$F$251,0),0)</f>
        <v>0</v>
      </c>
      <c r="N1007" s="169">
        <f>IFERROR(MATCH(J1007,'Final List'!$H$4:$H$252,0),0)</f>
        <v>0</v>
      </c>
      <c r="O1007" s="169">
        <f>IFERROR(MATCH(J1007,'Final List'!$J$4:$J$252,0),0)</f>
        <v>0</v>
      </c>
      <c r="P1007" s="169">
        <f>IFERROR(MATCH(J1007,'Final List'!$L$4:$L$252,0),0)</f>
        <v>0</v>
      </c>
      <c r="Q1007" s="169">
        <f>IFERROR(MATCH(J1007,'Final List'!$N$4:$N$252,0),0)</f>
        <v>0</v>
      </c>
      <c r="R1007" s="169">
        <f>IFERROR(MATCH(J1007,'Final List'!$P$4:$P$252,0),0)</f>
        <v>0</v>
      </c>
      <c r="S1007" s="169">
        <f t="shared" si="63"/>
        <v>0</v>
      </c>
      <c r="T1007" s="169" t="s">
        <v>68</v>
      </c>
      <c r="V1007" s="169" t="str">
        <f t="shared" si="61"/>
        <v>PANSIT 6</v>
      </c>
      <c r="W1007" s="169" t="s">
        <v>2712</v>
      </c>
    </row>
    <row r="1008" spans="2:23" x14ac:dyDescent="0.25">
      <c r="B1008" s="169" t="s">
        <v>258</v>
      </c>
      <c r="C1008" s="169" t="s">
        <v>56</v>
      </c>
      <c r="D1008" s="169" t="s">
        <v>5614</v>
      </c>
      <c r="E1008" s="169" t="s">
        <v>36</v>
      </c>
      <c r="F1008" s="245" t="str">
        <f t="shared" si="62"/>
        <v>StpS 77</v>
      </c>
      <c r="G1008" s="169" t="s">
        <v>296</v>
      </c>
      <c r="I1008" s="169" t="str">
        <f t="shared" si="64"/>
        <v>L10_GHVFW_055E_STOPE</v>
      </c>
      <c r="J1008" s="169" t="s">
        <v>7598</v>
      </c>
      <c r="K1008" s="169">
        <f>IFERROR(MATCH(J1008,'Final List'!$B$4:$B$252,0),0)</f>
        <v>0</v>
      </c>
      <c r="L1008" s="169">
        <f>IFERROR(MATCH(J1008,'Final List'!$D$4:$D$252,0),0)</f>
        <v>0</v>
      </c>
      <c r="M1008" s="169">
        <f>IFERROR(MATCH(J1008,'Final List'!$F$4:$F$251,0),0)</f>
        <v>0</v>
      </c>
      <c r="N1008" s="169">
        <f>IFERROR(MATCH(J1008,'Final List'!$H$4:$H$252,0),0)</f>
        <v>0</v>
      </c>
      <c r="O1008" s="169">
        <f>IFERROR(MATCH(J1008,'Final List'!$J$4:$J$252,0),0)</f>
        <v>0</v>
      </c>
      <c r="P1008" s="169">
        <f>IFERROR(MATCH(J1008,'Final List'!$L$4:$L$252,0),0)</f>
        <v>0</v>
      </c>
      <c r="Q1008" s="169">
        <f>IFERROR(MATCH(J1008,'Final List'!$N$4:$N$252,0),0)</f>
        <v>0</v>
      </c>
      <c r="R1008" s="169">
        <f>IFERROR(MATCH(J1008,'Final List'!$P$4:$P$252,0),0)</f>
        <v>0</v>
      </c>
      <c r="S1008" s="169">
        <f t="shared" si="63"/>
        <v>0</v>
      </c>
      <c r="T1008" s="169" t="s">
        <v>68</v>
      </c>
      <c r="V1008" s="169" t="str">
        <f t="shared" si="61"/>
        <v>MONTEBON 2</v>
      </c>
      <c r="W1008" s="169" t="s">
        <v>2713</v>
      </c>
    </row>
    <row r="1009" spans="2:23" x14ac:dyDescent="0.25">
      <c r="B1009" s="169" t="s">
        <v>96</v>
      </c>
      <c r="C1009" s="169" t="s">
        <v>87</v>
      </c>
      <c r="D1009" s="169" t="s">
        <v>5975</v>
      </c>
      <c r="E1009" s="169" t="s">
        <v>37</v>
      </c>
      <c r="F1009" s="245" t="str">
        <f t="shared" si="62"/>
        <v>Dhoz 71</v>
      </c>
      <c r="G1009" s="169" t="s">
        <v>5101</v>
      </c>
      <c r="I1009" s="169" t="str">
        <f t="shared" si="64"/>
        <v>L09_NONE_028E_XCN</v>
      </c>
      <c r="J1009" s="169" t="s">
        <v>7606</v>
      </c>
      <c r="K1009" s="169">
        <f>IFERROR(MATCH(J1009,'Final List'!$B$4:$B$252,0),0)</f>
        <v>0</v>
      </c>
      <c r="L1009" s="169">
        <f>IFERROR(MATCH(J1009,'Final List'!$D$4:$D$252,0),0)</f>
        <v>0</v>
      </c>
      <c r="M1009" s="169">
        <f>IFERROR(MATCH(J1009,'Final List'!$F$4:$F$251,0),0)</f>
        <v>0</v>
      </c>
      <c r="N1009" s="169">
        <f>IFERROR(MATCH(J1009,'Final List'!$H$4:$H$252,0),0)</f>
        <v>0</v>
      </c>
      <c r="O1009" s="169">
        <f>IFERROR(MATCH(J1009,'Final List'!$J$4:$J$252,0),0)</f>
        <v>0</v>
      </c>
      <c r="P1009" s="169">
        <f>IFERROR(MATCH(J1009,'Final List'!$L$4:$L$252,0),0)</f>
        <v>0</v>
      </c>
      <c r="Q1009" s="169">
        <f>IFERROR(MATCH(J1009,'Final List'!$N$4:$N$252,0),0)</f>
        <v>0</v>
      </c>
      <c r="R1009" s="169">
        <f>IFERROR(MATCH(J1009,'Final List'!$P$4:$P$252,0),0)</f>
        <v>0</v>
      </c>
      <c r="S1009" s="169">
        <f t="shared" si="63"/>
        <v>0</v>
      </c>
      <c r="V1009" s="169" t="str">
        <f t="shared" si="61"/>
        <v>DELOS REYES V3</v>
      </c>
      <c r="W1009" s="169" t="s">
        <v>8898</v>
      </c>
    </row>
    <row r="1010" spans="2:23" x14ac:dyDescent="0.25">
      <c r="B1010" s="169" t="s">
        <v>1166</v>
      </c>
      <c r="C1010" s="169" t="s">
        <v>87</v>
      </c>
      <c r="D1010" s="169" t="s">
        <v>177</v>
      </c>
      <c r="E1010" s="169" t="s">
        <v>70</v>
      </c>
      <c r="F1010" s="245" t="str">
        <f t="shared" si="62"/>
        <v>Dhoz 71</v>
      </c>
      <c r="G1010" s="169" t="s">
        <v>965</v>
      </c>
      <c r="H1010" s="169" t="s">
        <v>12672</v>
      </c>
      <c r="I1010" s="169" t="str">
        <f t="shared" si="64"/>
        <v>L11_NONE_054E_SUMP</v>
      </c>
      <c r="J1010" s="169" t="s">
        <v>5956</v>
      </c>
      <c r="K1010" s="169">
        <f>IFERROR(MATCH(J1010,'Final List'!$B$4:$B$252,0),0)</f>
        <v>0</v>
      </c>
      <c r="L1010" s="169">
        <f>IFERROR(MATCH(J1010,'Final List'!$D$4:$D$252,0),0)</f>
        <v>0</v>
      </c>
      <c r="M1010" s="169">
        <f>IFERROR(MATCH(J1010,'Final List'!$F$4:$F$251,0),0)</f>
        <v>0</v>
      </c>
      <c r="N1010" s="169">
        <f>IFERROR(MATCH(J1010,'Final List'!$H$4:$H$252,0),0)</f>
        <v>0</v>
      </c>
      <c r="O1010" s="169">
        <f>IFERROR(MATCH(J1010,'Final List'!$J$4:$J$252,0),0)</f>
        <v>0</v>
      </c>
      <c r="P1010" s="169">
        <f>IFERROR(MATCH(J1010,'Final List'!$L$4:$L$252,0),0)</f>
        <v>0</v>
      </c>
      <c r="Q1010" s="169">
        <f>IFERROR(MATCH(J1010,'Final List'!$N$4:$N$252,0),0)</f>
        <v>0</v>
      </c>
      <c r="R1010" s="169">
        <f>IFERROR(MATCH(J1010,'Final List'!$P$4:$P$252,0),0)</f>
        <v>0</v>
      </c>
      <c r="S1010" s="169">
        <f t="shared" si="63"/>
        <v>0</v>
      </c>
      <c r="V1010" s="169" t="str">
        <f t="shared" si="61"/>
        <v>NITRO BE</v>
      </c>
      <c r="W1010" s="169" t="s">
        <v>2714</v>
      </c>
    </row>
    <row r="1011" spans="2:23" x14ac:dyDescent="0.25">
      <c r="B1011" s="169" t="s">
        <v>92</v>
      </c>
      <c r="C1011" s="169" t="s">
        <v>87</v>
      </c>
      <c r="D1011" s="169" t="s">
        <v>118</v>
      </c>
      <c r="E1011" s="169" t="s">
        <v>63</v>
      </c>
      <c r="F1011" s="245" t="str">
        <f t="shared" si="62"/>
        <v>Dhoz 71</v>
      </c>
      <c r="G1011" s="169" t="s">
        <v>7611</v>
      </c>
      <c r="I1011" s="169" t="str">
        <f t="shared" si="64"/>
        <v>L05_NONE_014E_XCS</v>
      </c>
      <c r="J1011" s="169" t="s">
        <v>7610</v>
      </c>
      <c r="K1011" s="169">
        <f>IFERROR(MATCH(J1011,'Final List'!$B$4:$B$252,0),0)</f>
        <v>0</v>
      </c>
      <c r="L1011" s="169">
        <f>IFERROR(MATCH(J1011,'Final List'!$D$4:$D$252,0),0)</f>
        <v>0</v>
      </c>
      <c r="M1011" s="169">
        <f>IFERROR(MATCH(J1011,'Final List'!$F$4:$F$251,0),0)</f>
        <v>0</v>
      </c>
      <c r="N1011" s="169">
        <f>IFERROR(MATCH(J1011,'Final List'!$H$4:$H$252,0),0)</f>
        <v>0</v>
      </c>
      <c r="O1011" s="169">
        <f>IFERROR(MATCH(J1011,'Final List'!$J$4:$J$252,0),0)</f>
        <v>0</v>
      </c>
      <c r="P1011" s="169">
        <f>IFERROR(MATCH(J1011,'Final List'!$L$4:$L$252,0),0)</f>
        <v>0</v>
      </c>
      <c r="Q1011" s="169">
        <f>IFERROR(MATCH(J1011,'Final List'!$N$4:$N$252,0),0)</f>
        <v>0</v>
      </c>
      <c r="R1011" s="169">
        <f>IFERROR(MATCH(J1011,'Final List'!$P$4:$P$252,0),0)</f>
        <v>0</v>
      </c>
      <c r="S1011" s="169">
        <f t="shared" si="63"/>
        <v>0</v>
      </c>
      <c r="V1011" s="169" t="str">
        <f t="shared" si="61"/>
        <v>PANCIT,NOEL</v>
      </c>
      <c r="W1011" s="169" t="s">
        <v>2714</v>
      </c>
    </row>
    <row r="1012" spans="2:23" x14ac:dyDescent="0.25">
      <c r="B1012" s="169" t="s">
        <v>92</v>
      </c>
      <c r="C1012" s="169" t="s">
        <v>42</v>
      </c>
      <c r="D1012" s="169" t="s">
        <v>130</v>
      </c>
      <c r="E1012" s="169" t="s">
        <v>6143</v>
      </c>
      <c r="F1012" s="245" t="str">
        <f t="shared" si="62"/>
        <v>Dhoz 71</v>
      </c>
      <c r="G1012" s="169" t="s">
        <v>3955</v>
      </c>
      <c r="I1012" s="169" t="str">
        <f t="shared" si="64"/>
        <v>L05_JV_036E_DE_ISL</v>
      </c>
      <c r="J1012" s="169" t="s">
        <v>7622</v>
      </c>
      <c r="K1012" s="169">
        <f>IFERROR(MATCH(J1012,'Final List'!$B$4:$B$252,0),0)</f>
        <v>0</v>
      </c>
      <c r="L1012" s="169">
        <f>IFERROR(MATCH(J1012,'Final List'!$D$4:$D$252,0),0)</f>
        <v>0</v>
      </c>
      <c r="M1012" s="169">
        <f>IFERROR(MATCH(J1012,'Final List'!$F$4:$F$251,0),0)</f>
        <v>0</v>
      </c>
      <c r="N1012" s="169">
        <f>IFERROR(MATCH(J1012,'Final List'!$H$4:$H$252,0),0)</f>
        <v>0</v>
      </c>
      <c r="O1012" s="169">
        <f>IFERROR(MATCH(J1012,'Final List'!$J$4:$J$252,0),0)</f>
        <v>0</v>
      </c>
      <c r="P1012" s="169">
        <f>IFERROR(MATCH(J1012,'Final List'!$L$4:$L$252,0),0)</f>
        <v>0</v>
      </c>
      <c r="Q1012" s="169">
        <f>IFERROR(MATCH(J1012,'Final List'!$N$4:$N$252,0),0)</f>
        <v>0</v>
      </c>
      <c r="R1012" s="169">
        <f>IFERROR(MATCH(J1012,'Final List'!$P$4:$P$252,0),0)</f>
        <v>0</v>
      </c>
      <c r="S1012" s="169">
        <f t="shared" si="63"/>
        <v>0</v>
      </c>
      <c r="V1012" s="169" t="str">
        <f t="shared" si="61"/>
        <v>SAMBERE</v>
      </c>
      <c r="W1012" s="169" t="s">
        <v>2708</v>
      </c>
    </row>
    <row r="1013" spans="2:23" x14ac:dyDescent="0.25">
      <c r="B1013" s="169" t="s">
        <v>93</v>
      </c>
      <c r="C1013" s="169" t="s">
        <v>42</v>
      </c>
      <c r="D1013" s="169" t="s">
        <v>5912</v>
      </c>
      <c r="E1013" s="169" t="s">
        <v>6154</v>
      </c>
      <c r="F1013" s="245" t="str">
        <f t="shared" si="62"/>
        <v>Dhoz 71</v>
      </c>
      <c r="G1013" s="169" t="s">
        <v>3252</v>
      </c>
      <c r="I1013" s="169" t="str">
        <f t="shared" si="64"/>
        <v>L06_JV_019E_DW_ISL</v>
      </c>
      <c r="J1013" s="169" t="s">
        <v>7624</v>
      </c>
      <c r="K1013" s="169">
        <f>IFERROR(MATCH(J1013,'Final List'!$B$4:$B$252,0),0)</f>
        <v>0</v>
      </c>
      <c r="L1013" s="169">
        <f>IFERROR(MATCH(J1013,'Final List'!$D$4:$D$252,0),0)</f>
        <v>0</v>
      </c>
      <c r="M1013" s="169">
        <f>IFERROR(MATCH(J1013,'Final List'!$F$4:$F$251,0),0)</f>
        <v>0</v>
      </c>
      <c r="N1013" s="169">
        <f>IFERROR(MATCH(J1013,'Final List'!$H$4:$H$252,0),0)</f>
        <v>0</v>
      </c>
      <c r="O1013" s="169">
        <f>IFERROR(MATCH(J1013,'Final List'!$J$4:$J$252,0),0)</f>
        <v>0</v>
      </c>
      <c r="P1013" s="169">
        <f>IFERROR(MATCH(J1013,'Final List'!$L$4:$L$252,0),0)</f>
        <v>0</v>
      </c>
      <c r="Q1013" s="169">
        <f>IFERROR(MATCH(J1013,'Final List'!$N$4:$N$252,0),0)</f>
        <v>0</v>
      </c>
      <c r="R1013" s="169">
        <f>IFERROR(MATCH(J1013,'Final List'!$P$4:$P$252,0),0)</f>
        <v>0</v>
      </c>
      <c r="S1013" s="169">
        <f t="shared" si="63"/>
        <v>0</v>
      </c>
      <c r="V1013" s="169" t="str">
        <f t="shared" si="61"/>
        <v>SHEPHERD AA1</v>
      </c>
      <c r="W1013" s="169" t="s">
        <v>2708</v>
      </c>
    </row>
    <row r="1014" spans="2:23" x14ac:dyDescent="0.25">
      <c r="B1014" s="169" t="s">
        <v>93</v>
      </c>
      <c r="C1014" s="169" t="s">
        <v>45</v>
      </c>
      <c r="D1014" s="169" t="s">
        <v>120</v>
      </c>
      <c r="E1014" s="169" t="s">
        <v>62</v>
      </c>
      <c r="F1014" s="245" t="str">
        <f t="shared" si="62"/>
        <v>RobC 80</v>
      </c>
      <c r="G1014" s="169" t="s">
        <v>350</v>
      </c>
      <c r="I1014" s="169" t="str">
        <f t="shared" si="64"/>
        <v>L06_DPVE_015E_ROBBING</v>
      </c>
      <c r="J1014" s="169" t="s">
        <v>7626</v>
      </c>
      <c r="K1014" s="169">
        <f>IFERROR(MATCH(J1014,'Final List'!$B$4:$B$252,0),0)</f>
        <v>0</v>
      </c>
      <c r="L1014" s="169">
        <f>IFERROR(MATCH(J1014,'Final List'!$D$4:$D$252,0),0)</f>
        <v>0</v>
      </c>
      <c r="M1014" s="169">
        <f>IFERROR(MATCH(J1014,'Final List'!$F$4:$F$251,0),0)</f>
        <v>0</v>
      </c>
      <c r="N1014" s="169">
        <f>IFERROR(MATCH(J1014,'Final List'!$H$4:$H$252,0),0)</f>
        <v>0</v>
      </c>
      <c r="O1014" s="169">
        <f>IFERROR(MATCH(J1014,'Final List'!$J$4:$J$252,0),0)</f>
        <v>0</v>
      </c>
      <c r="P1014" s="169">
        <f>IFERROR(MATCH(J1014,'Final List'!$L$4:$L$252,0),0)</f>
        <v>0</v>
      </c>
      <c r="Q1014" s="169">
        <f>IFERROR(MATCH(J1014,'Final List'!$N$4:$N$252,0),0)</f>
        <v>0</v>
      </c>
      <c r="R1014" s="169">
        <f>IFERROR(MATCH(J1014,'Final List'!$P$4:$P$252,0),0)</f>
        <v>0</v>
      </c>
      <c r="S1014" s="169">
        <f t="shared" si="63"/>
        <v>0</v>
      </c>
      <c r="T1014" s="169" t="s">
        <v>48</v>
      </c>
      <c r="V1014" s="169" t="str">
        <f t="shared" si="61"/>
        <v>QUIJANO 1</v>
      </c>
      <c r="W1014" s="169" t="s">
        <v>236</v>
      </c>
    </row>
    <row r="1015" spans="2:23" x14ac:dyDescent="0.25">
      <c r="B1015" s="169" t="s">
        <v>93</v>
      </c>
      <c r="C1015" s="169" t="s">
        <v>87</v>
      </c>
      <c r="D1015" s="169" t="s">
        <v>5612</v>
      </c>
      <c r="E1015" s="169" t="s">
        <v>70</v>
      </c>
      <c r="F1015" s="245" t="str">
        <f t="shared" si="62"/>
        <v>Dhoz 71</v>
      </c>
      <c r="G1015" s="169" t="s">
        <v>351</v>
      </c>
      <c r="I1015" s="169" t="str">
        <f t="shared" si="64"/>
        <v>L06_NONE_011W_SUMP</v>
      </c>
      <c r="J1015" s="169" t="s">
        <v>7627</v>
      </c>
      <c r="K1015" s="169">
        <f>IFERROR(MATCH(J1015,'Final List'!$B$4:$B$252,0),0)</f>
        <v>0</v>
      </c>
      <c r="L1015" s="169">
        <f>IFERROR(MATCH(J1015,'Final List'!$D$4:$D$252,0),0)</f>
        <v>0</v>
      </c>
      <c r="M1015" s="169">
        <f>IFERROR(MATCH(J1015,'Final List'!$F$4:$F$251,0),0)</f>
        <v>0</v>
      </c>
      <c r="N1015" s="169">
        <f>IFERROR(MATCH(J1015,'Final List'!$H$4:$H$252,0),0)</f>
        <v>0</v>
      </c>
      <c r="O1015" s="169">
        <f>IFERROR(MATCH(J1015,'Final List'!$J$4:$J$252,0),0)</f>
        <v>0</v>
      </c>
      <c r="P1015" s="169">
        <f>IFERROR(MATCH(J1015,'Final List'!$L$4:$L$252,0),0)</f>
        <v>0</v>
      </c>
      <c r="Q1015" s="169">
        <f>IFERROR(MATCH(J1015,'Final List'!$N$4:$N$252,0),0)</f>
        <v>0</v>
      </c>
      <c r="R1015" s="169">
        <f>IFERROR(MATCH(J1015,'Final List'!$P$4:$P$252,0),0)</f>
        <v>0</v>
      </c>
      <c r="S1015" s="169">
        <f t="shared" si="63"/>
        <v>0</v>
      </c>
      <c r="V1015" s="169" t="str">
        <f t="shared" si="61"/>
        <v>GONZALES 1</v>
      </c>
      <c r="W1015" s="169" t="s">
        <v>2714</v>
      </c>
    </row>
    <row r="1016" spans="2:23" x14ac:dyDescent="0.25">
      <c r="B1016" s="169" t="s">
        <v>258</v>
      </c>
      <c r="C1016" s="169" t="s">
        <v>43</v>
      </c>
      <c r="D1016" s="169" t="s">
        <v>149</v>
      </c>
      <c r="E1016" s="169" t="s">
        <v>60</v>
      </c>
      <c r="F1016" s="245" t="str">
        <f t="shared" si="62"/>
        <v>Dhoz 71</v>
      </c>
      <c r="G1016" s="169" t="s">
        <v>454</v>
      </c>
      <c r="I1016" s="169" t="str">
        <f t="shared" si="64"/>
        <v>L10_GHVSPLIT_021E_DE</v>
      </c>
      <c r="J1016" s="169" t="s">
        <v>7628</v>
      </c>
      <c r="K1016" s="169">
        <f>IFERROR(MATCH(J1016,'Final List'!$B$4:$B$252,0),0)</f>
        <v>0</v>
      </c>
      <c r="L1016" s="169">
        <f>IFERROR(MATCH(J1016,'Final List'!$D$4:$D$252,0),0)</f>
        <v>0</v>
      </c>
      <c r="M1016" s="169">
        <f>IFERROR(MATCH(J1016,'Final List'!$F$4:$F$251,0),0)</f>
        <v>0</v>
      </c>
      <c r="N1016" s="169">
        <f>IFERROR(MATCH(J1016,'Final List'!$H$4:$H$252,0),0)</f>
        <v>0</v>
      </c>
      <c r="O1016" s="169">
        <f>IFERROR(MATCH(J1016,'Final List'!$J$4:$J$252,0),0)</f>
        <v>0</v>
      </c>
      <c r="P1016" s="169">
        <f>IFERROR(MATCH(J1016,'Final List'!$L$4:$L$252,0),0)</f>
        <v>0</v>
      </c>
      <c r="Q1016" s="169">
        <f>IFERROR(MATCH(J1016,'Final List'!$N$4:$N$252,0),0)</f>
        <v>0</v>
      </c>
      <c r="R1016" s="169">
        <f>IFERROR(MATCH(J1016,'Final List'!$P$4:$P$252,0),0)</f>
        <v>0</v>
      </c>
      <c r="S1016" s="169">
        <f t="shared" si="63"/>
        <v>0</v>
      </c>
      <c r="V1016" s="169" t="str">
        <f t="shared" si="61"/>
        <v>BAÑEZ 8</v>
      </c>
      <c r="W1016" s="169" t="s">
        <v>8896</v>
      </c>
    </row>
    <row r="1017" spans="2:23" x14ac:dyDescent="0.25">
      <c r="B1017" s="169" t="s">
        <v>258</v>
      </c>
      <c r="C1017" s="169" t="s">
        <v>56</v>
      </c>
      <c r="D1017" s="169" t="s">
        <v>180</v>
      </c>
      <c r="E1017" s="169" t="s">
        <v>19</v>
      </c>
      <c r="F1017" s="245" t="str">
        <f t="shared" si="62"/>
        <v>DVR 72</v>
      </c>
      <c r="G1017" s="169" t="s">
        <v>1905</v>
      </c>
      <c r="I1017" s="169" t="str">
        <f t="shared" si="64"/>
        <v>L10_GHVFW_041E_RAISE</v>
      </c>
      <c r="J1017" s="169" t="s">
        <v>7629</v>
      </c>
      <c r="K1017" s="169">
        <f>IFERROR(MATCH(J1017,'Final List'!$B$4:$B$252,0),0)</f>
        <v>0</v>
      </c>
      <c r="L1017" s="169">
        <f>IFERROR(MATCH(J1017,'Final List'!$D$4:$D$252,0),0)</f>
        <v>0</v>
      </c>
      <c r="M1017" s="169">
        <f>IFERROR(MATCH(J1017,'Final List'!$F$4:$F$251,0),0)</f>
        <v>0</v>
      </c>
      <c r="N1017" s="169">
        <f>IFERROR(MATCH(J1017,'Final List'!$H$4:$H$252,0),0)</f>
        <v>0</v>
      </c>
      <c r="O1017" s="169">
        <f>IFERROR(MATCH(J1017,'Final List'!$J$4:$J$252,0),0)</f>
        <v>0</v>
      </c>
      <c r="P1017" s="169">
        <f>IFERROR(MATCH(J1017,'Final List'!$L$4:$L$252,0),0)</f>
        <v>0</v>
      </c>
      <c r="Q1017" s="169">
        <f>IFERROR(MATCH(J1017,'Final List'!$N$4:$N$252,0),0)</f>
        <v>0</v>
      </c>
      <c r="R1017" s="169">
        <f>IFERROR(MATCH(J1017,'Final List'!$P$4:$P$252,0),0)</f>
        <v>0</v>
      </c>
      <c r="S1017" s="169">
        <f t="shared" si="63"/>
        <v>0</v>
      </c>
      <c r="V1017" s="169" t="str">
        <f t="shared" si="61"/>
        <v>MONTEBON 1</v>
      </c>
      <c r="W1017" s="169" t="s">
        <v>2715</v>
      </c>
    </row>
    <row r="1018" spans="2:23" x14ac:dyDescent="0.25">
      <c r="B1018" s="169" t="s">
        <v>94</v>
      </c>
      <c r="C1018" s="169" t="s">
        <v>45</v>
      </c>
      <c r="D1018" s="169" t="s">
        <v>149</v>
      </c>
      <c r="E1018" s="169" t="s">
        <v>20</v>
      </c>
      <c r="F1018" s="245" t="str">
        <f t="shared" si="62"/>
        <v>DVW 74</v>
      </c>
      <c r="G1018" s="169" t="s">
        <v>7631</v>
      </c>
      <c r="I1018" s="169" t="str">
        <f t="shared" si="64"/>
        <v>L07_DPVE_021E_WINZE</v>
      </c>
      <c r="J1018" s="169" t="s">
        <v>7630</v>
      </c>
      <c r="K1018" s="169">
        <f>IFERROR(MATCH(J1018,'Final List'!$B$4:$B$252,0),0)</f>
        <v>0</v>
      </c>
      <c r="L1018" s="169">
        <f>IFERROR(MATCH(J1018,'Final List'!$D$4:$D$252,0),0)</f>
        <v>0</v>
      </c>
      <c r="M1018" s="169">
        <f>IFERROR(MATCH(J1018,'Final List'!$F$4:$F$251,0),0)</f>
        <v>0</v>
      </c>
      <c r="N1018" s="169">
        <f>IFERROR(MATCH(J1018,'Final List'!$H$4:$H$252,0),0)</f>
        <v>0</v>
      </c>
      <c r="O1018" s="169">
        <f>IFERROR(MATCH(J1018,'Final List'!$J$4:$J$252,0),0)</f>
        <v>0</v>
      </c>
      <c r="P1018" s="169">
        <f>IFERROR(MATCH(J1018,'Final List'!$L$4:$L$252,0),0)</f>
        <v>0</v>
      </c>
      <c r="Q1018" s="169">
        <f>IFERROR(MATCH(J1018,'Final List'!$N$4:$N$252,0),0)</f>
        <v>0</v>
      </c>
      <c r="R1018" s="169">
        <f>IFERROR(MATCH(J1018,'Final List'!$P$4:$P$252,0),0)</f>
        <v>0</v>
      </c>
      <c r="S1018" s="169">
        <f t="shared" si="63"/>
        <v>0</v>
      </c>
      <c r="V1018" s="169" t="str">
        <f t="shared" si="61"/>
        <v>TURRA 3</v>
      </c>
      <c r="W1018" s="169" t="s">
        <v>2706</v>
      </c>
    </row>
    <row r="1019" spans="2:23" x14ac:dyDescent="0.25">
      <c r="B1019" s="169" t="s">
        <v>96</v>
      </c>
      <c r="C1019" s="169" t="s">
        <v>45</v>
      </c>
      <c r="D1019" s="169" t="s">
        <v>5741</v>
      </c>
      <c r="E1019" s="169" t="s">
        <v>19</v>
      </c>
      <c r="F1019" s="245" t="str">
        <f t="shared" si="62"/>
        <v>DVR 72</v>
      </c>
      <c r="G1019" s="169" t="s">
        <v>14450</v>
      </c>
      <c r="I1019" s="169" t="str">
        <f t="shared" si="64"/>
        <v>L09_DPVE_035E_RAISE</v>
      </c>
      <c r="J1019" s="169" t="s">
        <v>7632</v>
      </c>
      <c r="K1019" s="169">
        <f>IFERROR(MATCH(J1019,'Final List'!$B$4:$B$252,0),0)</f>
        <v>0</v>
      </c>
      <c r="L1019" s="169">
        <f>IFERROR(MATCH(J1019,'Final List'!$D$4:$D$252,0),0)</f>
        <v>0</v>
      </c>
      <c r="M1019" s="169">
        <f>IFERROR(MATCH(J1019,'Final List'!$F$4:$F$251,0),0)</f>
        <v>0</v>
      </c>
      <c r="N1019" s="169">
        <f>IFERROR(MATCH(J1019,'Final List'!$H$4:$H$252,0),0)</f>
        <v>0</v>
      </c>
      <c r="O1019" s="169">
        <f>IFERROR(MATCH(J1019,'Final List'!$J$4:$J$252,0),0)</f>
        <v>0</v>
      </c>
      <c r="P1019" s="169">
        <f>IFERROR(MATCH(J1019,'Final List'!$L$4:$L$252,0),0)</f>
        <v>0</v>
      </c>
      <c r="Q1019" s="169">
        <f>IFERROR(MATCH(J1019,'Final List'!$N$4:$N$252,0),0)</f>
        <v>0</v>
      </c>
      <c r="R1019" s="169">
        <f>IFERROR(MATCH(J1019,'Final List'!$P$4:$P$252,0),0)</f>
        <v>0</v>
      </c>
      <c r="S1019" s="169">
        <f t="shared" si="63"/>
        <v>0</v>
      </c>
      <c r="V1019" s="169" t="str">
        <f t="shared" si="61"/>
        <v>NITRO CJ</v>
      </c>
      <c r="W1019" s="169" t="s">
        <v>2715</v>
      </c>
    </row>
    <row r="1020" spans="2:23" x14ac:dyDescent="0.25">
      <c r="B1020" s="169" t="s">
        <v>1166</v>
      </c>
      <c r="C1020" s="169" t="s">
        <v>87</v>
      </c>
      <c r="D1020" s="169" t="s">
        <v>284</v>
      </c>
      <c r="E1020" s="169" t="s">
        <v>63</v>
      </c>
      <c r="F1020" s="245" t="str">
        <f t="shared" si="62"/>
        <v>Dhoz 71</v>
      </c>
      <c r="G1020" s="169" t="s">
        <v>481</v>
      </c>
      <c r="I1020" s="169" t="str">
        <f t="shared" si="64"/>
        <v>L11_NONE_061E_XCS</v>
      </c>
      <c r="J1020" s="169" t="s">
        <v>7635</v>
      </c>
      <c r="K1020" s="169">
        <f>IFERROR(MATCH(J1020,'Final List'!$B$4:$B$252,0),0)</f>
        <v>0</v>
      </c>
      <c r="L1020" s="169">
        <f>IFERROR(MATCH(J1020,'Final List'!$D$4:$D$252,0),0)</f>
        <v>0</v>
      </c>
      <c r="M1020" s="169">
        <f>IFERROR(MATCH(J1020,'Final List'!$F$4:$F$251,0),0)</f>
        <v>0</v>
      </c>
      <c r="N1020" s="169">
        <f>IFERROR(MATCH(J1020,'Final List'!$H$4:$H$252,0),0)</f>
        <v>0</v>
      </c>
      <c r="O1020" s="169">
        <f>IFERROR(MATCH(J1020,'Final List'!$J$4:$J$252,0),0)</f>
        <v>0</v>
      </c>
      <c r="P1020" s="169">
        <f>IFERROR(MATCH(J1020,'Final List'!$L$4:$L$252,0),0)</f>
        <v>0</v>
      </c>
      <c r="Q1020" s="169">
        <f>IFERROR(MATCH(J1020,'Final List'!$N$4:$N$252,0),0)</f>
        <v>0</v>
      </c>
      <c r="R1020" s="169">
        <f>IFERROR(MATCH(J1020,'Final List'!$P$4:$P$252,0),0)</f>
        <v>0</v>
      </c>
      <c r="S1020" s="169">
        <f t="shared" si="63"/>
        <v>0</v>
      </c>
      <c r="V1020" s="169" t="str">
        <f t="shared" si="61"/>
        <v>DUHIG 4</v>
      </c>
      <c r="W1020" s="169" t="s">
        <v>8898</v>
      </c>
    </row>
    <row r="1021" spans="2:23" x14ac:dyDescent="0.25">
      <c r="B1021" s="169" t="s">
        <v>258</v>
      </c>
      <c r="C1021" s="169" t="s">
        <v>59</v>
      </c>
      <c r="D1021" s="169" t="s">
        <v>173</v>
      </c>
      <c r="E1021" s="169" t="s">
        <v>211</v>
      </c>
      <c r="F1021" s="245" t="str">
        <f t="shared" si="62"/>
        <v>StpS 77</v>
      </c>
      <c r="G1021" s="169" t="s">
        <v>5700</v>
      </c>
      <c r="I1021" s="169" t="str">
        <f t="shared" si="64"/>
        <v>L10_GHVHW_049E_STOPE PREP</v>
      </c>
      <c r="J1021" s="169" t="s">
        <v>7636</v>
      </c>
      <c r="K1021" s="169">
        <f>IFERROR(MATCH(J1021,'Final List'!$B$4:$B$252,0),0)</f>
        <v>0</v>
      </c>
      <c r="L1021" s="169">
        <f>IFERROR(MATCH(J1021,'Final List'!$D$4:$D$252,0),0)</f>
        <v>0</v>
      </c>
      <c r="M1021" s="169">
        <f>IFERROR(MATCH(J1021,'Final List'!$F$4:$F$251,0),0)</f>
        <v>0</v>
      </c>
      <c r="N1021" s="169">
        <f>IFERROR(MATCH(J1021,'Final List'!$H$4:$H$252,0),0)</f>
        <v>0</v>
      </c>
      <c r="O1021" s="169">
        <f>IFERROR(MATCH(J1021,'Final List'!$J$4:$J$252,0),0)</f>
        <v>0</v>
      </c>
      <c r="P1021" s="169">
        <f>IFERROR(MATCH(J1021,'Final List'!$L$4:$L$252,0),0)</f>
        <v>0</v>
      </c>
      <c r="Q1021" s="169">
        <f>IFERROR(MATCH(J1021,'Final List'!$N$4:$N$252,0),0)</f>
        <v>0</v>
      </c>
      <c r="R1021" s="169">
        <f>IFERROR(MATCH(J1021,'Final List'!$P$4:$P$252,0),0)</f>
        <v>0</v>
      </c>
      <c r="S1021" s="169">
        <f t="shared" si="63"/>
        <v>0</v>
      </c>
      <c r="T1021" s="169" t="s">
        <v>68</v>
      </c>
      <c r="V1021" s="169" t="str">
        <f t="shared" si="61"/>
        <v>LARGO 1</v>
      </c>
      <c r="W1021" s="169" t="s">
        <v>2712</v>
      </c>
    </row>
    <row r="1022" spans="2:23" x14ac:dyDescent="0.25">
      <c r="B1022" s="169" t="s">
        <v>91</v>
      </c>
      <c r="C1022" s="169" t="s">
        <v>87</v>
      </c>
      <c r="D1022" s="169" t="s">
        <v>5850</v>
      </c>
      <c r="E1022" s="169" t="s">
        <v>37</v>
      </c>
      <c r="F1022" s="245" t="str">
        <f t="shared" si="62"/>
        <v>Dhoz 71</v>
      </c>
      <c r="G1022" s="169" t="s">
        <v>7132</v>
      </c>
      <c r="I1022" s="169" t="str">
        <f t="shared" si="64"/>
        <v>L04_NONE_016E_XCN</v>
      </c>
      <c r="J1022" s="169" t="s">
        <v>7638</v>
      </c>
      <c r="K1022" s="169">
        <f>IFERROR(MATCH(J1022,'Final List'!$B$4:$B$252,0),0)</f>
        <v>0</v>
      </c>
      <c r="L1022" s="169">
        <f>IFERROR(MATCH(J1022,'Final List'!$D$4:$D$252,0),0)</f>
        <v>0</v>
      </c>
      <c r="M1022" s="169">
        <f>IFERROR(MATCH(J1022,'Final List'!$F$4:$F$251,0),0)</f>
        <v>0</v>
      </c>
      <c r="N1022" s="169">
        <f>IFERROR(MATCH(J1022,'Final List'!$H$4:$H$252,0),0)</f>
        <v>0</v>
      </c>
      <c r="O1022" s="169">
        <f>IFERROR(MATCH(J1022,'Final List'!$J$4:$J$252,0),0)</f>
        <v>0</v>
      </c>
      <c r="P1022" s="169">
        <f>IFERROR(MATCH(J1022,'Final List'!$L$4:$L$252,0),0)</f>
        <v>0</v>
      </c>
      <c r="Q1022" s="169">
        <f>IFERROR(MATCH(J1022,'Final List'!$N$4:$N$252,0),0)</f>
        <v>0</v>
      </c>
      <c r="R1022" s="169">
        <f>IFERROR(MATCH(J1022,'Final List'!$P$4:$P$252,0),0)</f>
        <v>0</v>
      </c>
      <c r="S1022" s="169">
        <f t="shared" si="63"/>
        <v>0</v>
      </c>
      <c r="V1022" s="169" t="str">
        <f t="shared" si="61"/>
        <v>SHEPHERD AQ</v>
      </c>
      <c r="W1022" s="169" t="s">
        <v>8897</v>
      </c>
    </row>
    <row r="1023" spans="2:23" x14ac:dyDescent="0.25">
      <c r="B1023" s="169" t="s">
        <v>93</v>
      </c>
      <c r="C1023" s="169" t="s">
        <v>57</v>
      </c>
      <c r="D1023" s="169" t="s">
        <v>6033</v>
      </c>
      <c r="E1023" s="169" t="s">
        <v>211</v>
      </c>
      <c r="F1023" s="245" t="str">
        <f t="shared" si="62"/>
        <v>StpS 77</v>
      </c>
      <c r="G1023" s="169" t="s">
        <v>4155</v>
      </c>
      <c r="I1023" s="169" t="str">
        <f t="shared" si="64"/>
        <v>L06_JVSPLIT_013E_STOPE PREP</v>
      </c>
      <c r="J1023" s="169" t="s">
        <v>7643</v>
      </c>
      <c r="K1023" s="169">
        <f>IFERROR(MATCH(J1023,'Final List'!$B$4:$B$252,0),0)</f>
        <v>0</v>
      </c>
      <c r="L1023" s="169">
        <f>IFERROR(MATCH(J1023,'Final List'!$D$4:$D$252,0),0)</f>
        <v>0</v>
      </c>
      <c r="M1023" s="169">
        <f>IFERROR(MATCH(J1023,'Final List'!$F$4:$F$251,0),0)</f>
        <v>0</v>
      </c>
      <c r="N1023" s="169">
        <f>IFERROR(MATCH(J1023,'Final List'!$H$4:$H$252,0),0)</f>
        <v>0</v>
      </c>
      <c r="O1023" s="169">
        <f>IFERROR(MATCH(J1023,'Final List'!$J$4:$J$252,0),0)</f>
        <v>0</v>
      </c>
      <c r="P1023" s="169">
        <f>IFERROR(MATCH(J1023,'Final List'!$L$4:$L$252,0),0)</f>
        <v>0</v>
      </c>
      <c r="Q1023" s="169">
        <f>IFERROR(MATCH(J1023,'Final List'!$N$4:$N$252,0),0)</f>
        <v>0</v>
      </c>
      <c r="R1023" s="169">
        <f>IFERROR(MATCH(J1023,'Final List'!$P$4:$P$252,0),0)</f>
        <v>0</v>
      </c>
      <c r="S1023" s="169">
        <f t="shared" si="63"/>
        <v>0</v>
      </c>
      <c r="T1023" s="169" t="s">
        <v>68</v>
      </c>
      <c r="V1023" s="169" t="str">
        <f t="shared" si="61"/>
        <v>BAÑEZ</v>
      </c>
      <c r="W1023" s="169" t="s">
        <v>2712</v>
      </c>
    </row>
    <row r="1024" spans="2:23" x14ac:dyDescent="0.25">
      <c r="B1024" s="169" t="s">
        <v>92</v>
      </c>
      <c r="C1024" s="169" t="s">
        <v>41</v>
      </c>
      <c r="D1024" s="169" t="s">
        <v>5601</v>
      </c>
      <c r="E1024" s="169" t="s">
        <v>221</v>
      </c>
      <c r="F1024" s="245" t="str">
        <f t="shared" si="62"/>
        <v>RobC 80</v>
      </c>
      <c r="G1024" s="169" t="s">
        <v>5698</v>
      </c>
      <c r="I1024" s="169" t="str">
        <f t="shared" si="64"/>
        <v>L05_CTV_026E_WINZE STOPE</v>
      </c>
      <c r="J1024" s="169" t="s">
        <v>7641</v>
      </c>
      <c r="K1024" s="169">
        <f>IFERROR(MATCH(J1024,'Final List'!$B$4:$B$252,0),0)</f>
        <v>0</v>
      </c>
      <c r="L1024" s="169">
        <f>IFERROR(MATCH(J1024,'Final List'!$D$4:$D$252,0),0)</f>
        <v>0</v>
      </c>
      <c r="M1024" s="169">
        <f>IFERROR(MATCH(J1024,'Final List'!$F$4:$F$251,0),0)</f>
        <v>0</v>
      </c>
      <c r="N1024" s="169">
        <f>IFERROR(MATCH(J1024,'Final List'!$H$4:$H$252,0),0)</f>
        <v>0</v>
      </c>
      <c r="O1024" s="169">
        <f>IFERROR(MATCH(J1024,'Final List'!$J$4:$J$252,0),0)</f>
        <v>0</v>
      </c>
      <c r="P1024" s="169">
        <f>IFERROR(MATCH(J1024,'Final List'!$L$4:$L$252,0),0)</f>
        <v>0</v>
      </c>
      <c r="Q1024" s="169">
        <f>IFERROR(MATCH(J1024,'Final List'!$N$4:$N$252,0),0)</f>
        <v>0</v>
      </c>
      <c r="R1024" s="169">
        <f>IFERROR(MATCH(J1024,'Final List'!$P$4:$P$252,0),0)</f>
        <v>0</v>
      </c>
      <c r="S1024" s="169">
        <f t="shared" si="63"/>
        <v>0</v>
      </c>
      <c r="T1024" s="169" t="s">
        <v>68</v>
      </c>
      <c r="V1024" s="169" t="str">
        <f t="shared" si="61"/>
        <v>PARAN 1</v>
      </c>
      <c r="W1024" s="169" t="s">
        <v>2719</v>
      </c>
    </row>
    <row r="1025" spans="2:23" x14ac:dyDescent="0.25">
      <c r="B1025" s="169" t="s">
        <v>91</v>
      </c>
      <c r="C1025" s="169" t="s">
        <v>44</v>
      </c>
      <c r="D1025" s="169" t="s">
        <v>6518</v>
      </c>
      <c r="E1025" s="169" t="s">
        <v>61</v>
      </c>
      <c r="F1025" s="245" t="str">
        <f t="shared" si="62"/>
        <v>Dhoz 71</v>
      </c>
      <c r="G1025" s="169" t="s">
        <v>7648</v>
      </c>
      <c r="I1025" s="169" t="str">
        <f t="shared" si="64"/>
        <v>L04_CV_007E_DW</v>
      </c>
      <c r="J1025" s="169" t="s">
        <v>7645</v>
      </c>
      <c r="K1025" s="169">
        <f>IFERROR(MATCH(J1025,'Final List'!$B$4:$B$252,0),0)</f>
        <v>0</v>
      </c>
      <c r="L1025" s="169">
        <f>IFERROR(MATCH(J1025,'Final List'!$D$4:$D$252,0),0)</f>
        <v>0</v>
      </c>
      <c r="M1025" s="169">
        <f>IFERROR(MATCH(J1025,'Final List'!$F$4:$F$251,0),0)</f>
        <v>0</v>
      </c>
      <c r="N1025" s="169">
        <f>IFERROR(MATCH(J1025,'Final List'!$H$4:$H$252,0),0)</f>
        <v>0</v>
      </c>
      <c r="O1025" s="169">
        <f>IFERROR(MATCH(J1025,'Final List'!$J$4:$J$252,0),0)</f>
        <v>0</v>
      </c>
      <c r="P1025" s="169">
        <f>IFERROR(MATCH(J1025,'Final List'!$L$4:$L$252,0),0)</f>
        <v>0</v>
      </c>
      <c r="Q1025" s="169">
        <f>IFERROR(MATCH(J1025,'Final List'!$N$4:$N$252,0),0)</f>
        <v>0</v>
      </c>
      <c r="R1025" s="169">
        <f>IFERROR(MATCH(J1025,'Final List'!$P$4:$P$252,0),0)</f>
        <v>0</v>
      </c>
      <c r="S1025" s="169">
        <f t="shared" si="63"/>
        <v>0</v>
      </c>
      <c r="V1025" s="169" t="str">
        <f t="shared" si="61"/>
        <v>MARTINEZ, RON</v>
      </c>
      <c r="W1025" s="169" t="s">
        <v>8895</v>
      </c>
    </row>
    <row r="1026" spans="2:23" x14ac:dyDescent="0.25">
      <c r="B1026" s="169" t="s">
        <v>92</v>
      </c>
      <c r="C1026" s="169" t="s">
        <v>45</v>
      </c>
      <c r="D1026" s="169" t="s">
        <v>168</v>
      </c>
      <c r="E1026" s="169" t="s">
        <v>61</v>
      </c>
      <c r="F1026" s="245" t="str">
        <f t="shared" si="62"/>
        <v>Dhoz 71</v>
      </c>
      <c r="G1026" s="169" t="s">
        <v>7649</v>
      </c>
      <c r="I1026" s="169" t="str">
        <f t="shared" si="64"/>
        <v>L05_DPVE_047E_DW</v>
      </c>
      <c r="J1026" s="169" t="s">
        <v>7640</v>
      </c>
      <c r="K1026" s="169">
        <f>IFERROR(MATCH(J1026,'Final List'!$B$4:$B$252,0),0)</f>
        <v>0</v>
      </c>
      <c r="L1026" s="169">
        <f>IFERROR(MATCH(J1026,'Final List'!$D$4:$D$252,0),0)</f>
        <v>0</v>
      </c>
      <c r="M1026" s="169">
        <f>IFERROR(MATCH(J1026,'Final List'!$F$4:$F$251,0),0)</f>
        <v>0</v>
      </c>
      <c r="N1026" s="169">
        <f>IFERROR(MATCH(J1026,'Final List'!$H$4:$H$252,0),0)</f>
        <v>0</v>
      </c>
      <c r="O1026" s="169">
        <f>IFERROR(MATCH(J1026,'Final List'!$J$4:$J$252,0),0)</f>
        <v>0</v>
      </c>
      <c r="P1026" s="169">
        <f>IFERROR(MATCH(J1026,'Final List'!$L$4:$L$252,0),0)</f>
        <v>0</v>
      </c>
      <c r="Q1026" s="169">
        <f>IFERROR(MATCH(J1026,'Final List'!$N$4:$N$252,0),0)</f>
        <v>0</v>
      </c>
      <c r="R1026" s="169">
        <f>IFERROR(MATCH(J1026,'Final List'!$P$4:$P$252,0),0)</f>
        <v>0</v>
      </c>
      <c r="S1026" s="169">
        <f t="shared" si="63"/>
        <v>0</v>
      </c>
      <c r="V1026" s="169" t="str">
        <f t="shared" ref="V1026:V1089" si="65">IF(H1026="",G1026,H1026)</f>
        <v>FERNADEZ RG</v>
      </c>
      <c r="W1026" s="169" t="s">
        <v>8895</v>
      </c>
    </row>
    <row r="1027" spans="2:23" x14ac:dyDescent="0.25">
      <c r="B1027" s="169" t="s">
        <v>93</v>
      </c>
      <c r="C1027" s="169" t="s">
        <v>55</v>
      </c>
      <c r="D1027" s="169" t="s">
        <v>130</v>
      </c>
      <c r="E1027" s="169" t="s">
        <v>221</v>
      </c>
      <c r="F1027" s="245" t="str">
        <f t="shared" ref="F1027:F1090" si="66">IF(OR(E1027="XCN",E1027="DE",E1027="DW",E1027="DN",E1027="XCS",E1027="XCE",E1027="XCW",E1027="SUMP",E1027="BYPASS",E1027="CHAMBER",E1027="DRAIN HOLE",E1027="DRILLING CHAMBER",E1027="DE_ISL",E1027="DW_ISL",E1027="REHAB"),"Dhoz 71",IF(OR(E1027="RAISE",E1027="RAISE_ISL"),"DVR 72",IF(E1027="ALIMAK","DVA 73",IF(E1027="WINZE","DVW 74",IF(E1027="SHAFT","DVS 75",IF(AND(E1027="WINZE STOPE",T1027="S"),"RobC 80",IF(AND(E1027="STOPE",T1027="S"),"StpS 77",IF(AND(E1027="WINZE STOPE",T1027="L"),"RobC 80",IF(AND(E1027="STOPE",T1027="L"),"StpL 78",IF(AND(E1027="WINZE STOPE PREP",T1027="S"),"RobC 80",IF(AND(E1027="STOPE PREP",T1027="S"),"StpS 77",IF(AND(E1027="WINZE STOPE PREP",T1027="L"),"RobC 80",IF(AND(E1027="STOPE PREP",T1027="L"),"StpL 78",IF(AND(E1027="ROBBING",T1027="L"),"RobC 80",IF(AND(E1027="ROBBING",T1027="S"),"RobS 79",0)))))))))))))))</f>
        <v>RobC 80</v>
      </c>
      <c r="G1027" s="169" t="s">
        <v>379</v>
      </c>
      <c r="I1027" s="169" t="str">
        <f t="shared" si="64"/>
        <v>L06_JVFW_036E_WINZE STOPE</v>
      </c>
      <c r="J1027" s="169" t="s">
        <v>7652</v>
      </c>
      <c r="K1027" s="169">
        <f>IFERROR(MATCH(J1027,'Final List'!$B$4:$B$252,0),0)</f>
        <v>0</v>
      </c>
      <c r="L1027" s="169">
        <f>IFERROR(MATCH(J1027,'Final List'!$D$4:$D$252,0),0)</f>
        <v>0</v>
      </c>
      <c r="M1027" s="169">
        <f>IFERROR(MATCH(J1027,'Final List'!$F$4:$F$251,0),0)</f>
        <v>0</v>
      </c>
      <c r="N1027" s="169">
        <f>IFERROR(MATCH(J1027,'Final List'!$H$4:$H$252,0),0)</f>
        <v>0</v>
      </c>
      <c r="O1027" s="169">
        <f>IFERROR(MATCH(J1027,'Final List'!$J$4:$J$252,0),0)</f>
        <v>0</v>
      </c>
      <c r="P1027" s="169">
        <f>IFERROR(MATCH(J1027,'Final List'!$L$4:$L$252,0),0)</f>
        <v>0</v>
      </c>
      <c r="Q1027" s="169">
        <f>IFERROR(MATCH(J1027,'Final List'!$N$4:$N$252,0),0)</f>
        <v>0</v>
      </c>
      <c r="R1027" s="169">
        <f>IFERROR(MATCH(J1027,'Final List'!$P$4:$P$252,0),0)</f>
        <v>0</v>
      </c>
      <c r="S1027" s="169">
        <f t="shared" ref="S1027:S1090" si="67">SUM(K1027:R1027)</f>
        <v>0</v>
      </c>
      <c r="T1027" s="169" t="s">
        <v>68</v>
      </c>
      <c r="V1027" s="169" t="str">
        <f t="shared" si="65"/>
        <v>GUNAY 3</v>
      </c>
      <c r="W1027" s="169" t="s">
        <v>2719</v>
      </c>
    </row>
    <row r="1028" spans="2:23" x14ac:dyDescent="0.25">
      <c r="B1028" s="169" t="s">
        <v>96</v>
      </c>
      <c r="C1028" s="169" t="s">
        <v>87</v>
      </c>
      <c r="D1028" s="169" t="s">
        <v>111</v>
      </c>
      <c r="E1028" s="169" t="s">
        <v>70</v>
      </c>
      <c r="F1028" s="245" t="str">
        <f t="shared" si="66"/>
        <v>Dhoz 71</v>
      </c>
      <c r="G1028" s="169" t="s">
        <v>385</v>
      </c>
      <c r="I1028" s="169" t="str">
        <f t="shared" si="64"/>
        <v>L09_NONE_004W_SUMP</v>
      </c>
      <c r="J1028" s="169" t="s">
        <v>7650</v>
      </c>
      <c r="K1028" s="169">
        <f>IFERROR(MATCH(J1028,'Final List'!$B$4:$B$252,0),0)</f>
        <v>0</v>
      </c>
      <c r="L1028" s="169">
        <f>IFERROR(MATCH(J1028,'Final List'!$D$4:$D$252,0),0)</f>
        <v>0</v>
      </c>
      <c r="M1028" s="169">
        <f>IFERROR(MATCH(J1028,'Final List'!$F$4:$F$251,0),0)</f>
        <v>0</v>
      </c>
      <c r="N1028" s="169">
        <f>IFERROR(MATCH(J1028,'Final List'!$H$4:$H$252,0),0)</f>
        <v>0</v>
      </c>
      <c r="O1028" s="169">
        <f>IFERROR(MATCH(J1028,'Final List'!$J$4:$J$252,0),0)</f>
        <v>0</v>
      </c>
      <c r="P1028" s="169">
        <f>IFERROR(MATCH(J1028,'Final List'!$L$4:$L$252,0),0)</f>
        <v>0</v>
      </c>
      <c r="Q1028" s="169">
        <f>IFERROR(MATCH(J1028,'Final List'!$N$4:$N$252,0),0)</f>
        <v>0</v>
      </c>
      <c r="R1028" s="169">
        <f>IFERROR(MATCH(J1028,'Final List'!$P$4:$P$252,0),0)</f>
        <v>0</v>
      </c>
      <c r="S1028" s="169">
        <f t="shared" si="67"/>
        <v>0</v>
      </c>
      <c r="V1028" s="169" t="str">
        <f t="shared" si="65"/>
        <v>SILVOZA 1</v>
      </c>
      <c r="W1028" s="169" t="s">
        <v>2714</v>
      </c>
    </row>
    <row r="1029" spans="2:23" x14ac:dyDescent="0.25">
      <c r="B1029" s="169" t="s">
        <v>95</v>
      </c>
      <c r="C1029" s="169" t="s">
        <v>45</v>
      </c>
      <c r="D1029" s="169" t="s">
        <v>1230</v>
      </c>
      <c r="E1029" s="169" t="s">
        <v>19</v>
      </c>
      <c r="F1029" s="245" t="str">
        <f t="shared" si="66"/>
        <v>DVR 72</v>
      </c>
      <c r="G1029" s="169" t="s">
        <v>648</v>
      </c>
      <c r="I1029" s="169" t="str">
        <f t="shared" si="64"/>
        <v>L08_DPVE_075E_RAISE</v>
      </c>
      <c r="J1029" s="169" t="s">
        <v>1231</v>
      </c>
      <c r="K1029" s="169">
        <f>IFERROR(MATCH(J1029,'Final List'!$B$4:$B$252,0),0)</f>
        <v>0</v>
      </c>
      <c r="L1029" s="169">
        <f>IFERROR(MATCH(J1029,'Final List'!$D$4:$D$252,0),0)</f>
        <v>0</v>
      </c>
      <c r="M1029" s="169">
        <f>IFERROR(MATCH(J1029,'Final List'!$F$4:$F$251,0),0)</f>
        <v>0</v>
      </c>
      <c r="N1029" s="169">
        <f>IFERROR(MATCH(J1029,'Final List'!$H$4:$H$252,0),0)</f>
        <v>0</v>
      </c>
      <c r="O1029" s="169">
        <f>IFERROR(MATCH(J1029,'Final List'!$J$4:$J$252,0),0)</f>
        <v>0</v>
      </c>
      <c r="P1029" s="169">
        <f>IFERROR(MATCH(J1029,'Final List'!$L$4:$L$252,0),0)</f>
        <v>0</v>
      </c>
      <c r="Q1029" s="169">
        <f>IFERROR(MATCH(J1029,'Final List'!$N$4:$N$252,0),0)</f>
        <v>0</v>
      </c>
      <c r="R1029" s="169">
        <f>IFERROR(MATCH(J1029,'Final List'!$P$4:$P$252,0),0)</f>
        <v>0</v>
      </c>
      <c r="S1029" s="169">
        <f t="shared" si="67"/>
        <v>0</v>
      </c>
      <c r="V1029" s="169" t="str">
        <f t="shared" si="65"/>
        <v>SHEPHERD Q</v>
      </c>
      <c r="W1029" s="169" t="s">
        <v>2715</v>
      </c>
    </row>
    <row r="1030" spans="2:23" x14ac:dyDescent="0.25">
      <c r="B1030" s="169" t="s">
        <v>96</v>
      </c>
      <c r="C1030" s="169" t="s">
        <v>42</v>
      </c>
      <c r="D1030" s="169" t="s">
        <v>173</v>
      </c>
      <c r="E1030" s="169" t="s">
        <v>61</v>
      </c>
      <c r="F1030" s="245" t="str">
        <f t="shared" si="66"/>
        <v>Dhoz 71</v>
      </c>
      <c r="G1030" s="169" t="s">
        <v>377</v>
      </c>
      <c r="I1030" s="169" t="str">
        <f t="shared" si="64"/>
        <v>L09_JV_049E_DW</v>
      </c>
      <c r="J1030" s="169" t="s">
        <v>7657</v>
      </c>
      <c r="K1030" s="169">
        <f>IFERROR(MATCH(J1030,'Final List'!$B$4:$B$252,0),0)</f>
        <v>0</v>
      </c>
      <c r="L1030" s="169">
        <f>IFERROR(MATCH(J1030,'Final List'!$D$4:$D$252,0),0)</f>
        <v>0</v>
      </c>
      <c r="M1030" s="169">
        <f>IFERROR(MATCH(J1030,'Final List'!$F$4:$F$251,0),0)</f>
        <v>0</v>
      </c>
      <c r="N1030" s="169">
        <f>IFERROR(MATCH(J1030,'Final List'!$H$4:$H$252,0),0)</f>
        <v>0</v>
      </c>
      <c r="O1030" s="169">
        <f>IFERROR(MATCH(J1030,'Final List'!$J$4:$J$252,0),0)</f>
        <v>0</v>
      </c>
      <c r="P1030" s="169">
        <f>IFERROR(MATCH(J1030,'Final List'!$L$4:$L$252,0),0)</f>
        <v>0</v>
      </c>
      <c r="Q1030" s="169">
        <f>IFERROR(MATCH(J1030,'Final List'!$N$4:$N$252,0),0)</f>
        <v>0</v>
      </c>
      <c r="R1030" s="169">
        <f>IFERROR(MATCH(J1030,'Final List'!$P$4:$P$252,0),0)</f>
        <v>0</v>
      </c>
      <c r="S1030" s="169">
        <f t="shared" si="67"/>
        <v>0</v>
      </c>
      <c r="V1030" s="169" t="str">
        <f t="shared" si="65"/>
        <v>DELOS REYES 1</v>
      </c>
      <c r="W1030" s="169" t="s">
        <v>8896</v>
      </c>
    </row>
    <row r="1031" spans="2:23" x14ac:dyDescent="0.25">
      <c r="B1031" s="169" t="s">
        <v>94</v>
      </c>
      <c r="C1031" s="169" t="s">
        <v>43</v>
      </c>
      <c r="D1031" s="169" t="s">
        <v>100</v>
      </c>
      <c r="E1031" s="169" t="s">
        <v>60</v>
      </c>
      <c r="F1031" s="245" t="str">
        <f t="shared" si="66"/>
        <v>Dhoz 71</v>
      </c>
      <c r="G1031" s="169" t="s">
        <v>6432</v>
      </c>
      <c r="I1031" s="169" t="str">
        <f t="shared" si="64"/>
        <v>L07_GHVSPLIT_020W_DE</v>
      </c>
      <c r="J1031" s="169" t="s">
        <v>7661</v>
      </c>
      <c r="K1031" s="169">
        <f>IFERROR(MATCH(J1031,'Final List'!$B$4:$B$252,0),0)</f>
        <v>0</v>
      </c>
      <c r="L1031" s="169">
        <f>IFERROR(MATCH(J1031,'Final List'!$D$4:$D$252,0),0)</f>
        <v>0</v>
      </c>
      <c r="M1031" s="169">
        <f>IFERROR(MATCH(J1031,'Final List'!$F$4:$F$251,0),0)</f>
        <v>0</v>
      </c>
      <c r="N1031" s="169">
        <f>IFERROR(MATCH(J1031,'Final List'!$H$4:$H$252,0),0)</f>
        <v>0</v>
      </c>
      <c r="O1031" s="169">
        <f>IFERROR(MATCH(J1031,'Final List'!$J$4:$J$252,0),0)</f>
        <v>0</v>
      </c>
      <c r="P1031" s="169">
        <f>IFERROR(MATCH(J1031,'Final List'!$L$4:$L$252,0),0)</f>
        <v>0</v>
      </c>
      <c r="Q1031" s="169">
        <f>IFERROR(MATCH(J1031,'Final List'!$N$4:$N$252,0),0)</f>
        <v>0</v>
      </c>
      <c r="R1031" s="169">
        <f>IFERROR(MATCH(J1031,'Final List'!$P$4:$P$252,0),0)</f>
        <v>0</v>
      </c>
      <c r="S1031" s="169">
        <f t="shared" si="67"/>
        <v>0</v>
      </c>
      <c r="V1031" s="169" t="str">
        <f t="shared" si="65"/>
        <v>CARIKITAN</v>
      </c>
      <c r="W1031" s="169" t="s">
        <v>8895</v>
      </c>
    </row>
    <row r="1032" spans="2:23" x14ac:dyDescent="0.25">
      <c r="B1032" s="169" t="s">
        <v>1166</v>
      </c>
      <c r="C1032" s="169" t="s">
        <v>55</v>
      </c>
      <c r="D1032" s="169" t="s">
        <v>284</v>
      </c>
      <c r="E1032" s="169" t="s">
        <v>60</v>
      </c>
      <c r="F1032" s="245" t="str">
        <f t="shared" si="66"/>
        <v>Dhoz 71</v>
      </c>
      <c r="G1032" s="169" t="s">
        <v>481</v>
      </c>
      <c r="I1032" s="169" t="str">
        <f t="shared" si="64"/>
        <v>L11_JVFW_061E_DE</v>
      </c>
      <c r="J1032" s="169" t="s">
        <v>7663</v>
      </c>
      <c r="K1032" s="169">
        <f>IFERROR(MATCH(J1032,'Final List'!$B$4:$B$252,0),0)</f>
        <v>0</v>
      </c>
      <c r="L1032" s="169">
        <f>IFERROR(MATCH(J1032,'Final List'!$D$4:$D$252,0),0)</f>
        <v>0</v>
      </c>
      <c r="M1032" s="169">
        <f>IFERROR(MATCH(J1032,'Final List'!$F$4:$F$251,0),0)</f>
        <v>0</v>
      </c>
      <c r="N1032" s="169">
        <f>IFERROR(MATCH(J1032,'Final List'!$H$4:$H$252,0),0)</f>
        <v>0</v>
      </c>
      <c r="O1032" s="169">
        <f>IFERROR(MATCH(J1032,'Final List'!$J$4:$J$252,0),0)</f>
        <v>0</v>
      </c>
      <c r="P1032" s="169">
        <f>IFERROR(MATCH(J1032,'Final List'!$L$4:$L$252,0),0)</f>
        <v>0</v>
      </c>
      <c r="Q1032" s="169">
        <f>IFERROR(MATCH(J1032,'Final List'!$N$4:$N$252,0),0)</f>
        <v>0</v>
      </c>
      <c r="R1032" s="169">
        <f>IFERROR(MATCH(J1032,'Final List'!$P$4:$P$252,0),0)</f>
        <v>0</v>
      </c>
      <c r="S1032" s="169">
        <f t="shared" si="67"/>
        <v>0</v>
      </c>
      <c r="V1032" s="169" t="str">
        <f t="shared" si="65"/>
        <v>DUHIG 4</v>
      </c>
      <c r="W1032" s="169" t="s">
        <v>8896</v>
      </c>
    </row>
    <row r="1033" spans="2:23" x14ac:dyDescent="0.25">
      <c r="B1033" s="169" t="s">
        <v>93</v>
      </c>
      <c r="C1033" s="169" t="s">
        <v>42</v>
      </c>
      <c r="D1033" s="169" t="s">
        <v>111</v>
      </c>
      <c r="E1033" s="169" t="s">
        <v>211</v>
      </c>
      <c r="F1033" s="245" t="str">
        <f t="shared" si="66"/>
        <v>StpS 77</v>
      </c>
      <c r="G1033" s="169" t="s">
        <v>742</v>
      </c>
      <c r="I1033" s="169" t="str">
        <f t="shared" si="64"/>
        <v>L06_JV_004W_STOPE PREP</v>
      </c>
      <c r="J1033" s="169" t="s">
        <v>7665</v>
      </c>
      <c r="K1033" s="169">
        <f>IFERROR(MATCH(J1033,'Final List'!$B$4:$B$252,0),0)</f>
        <v>0</v>
      </c>
      <c r="L1033" s="169">
        <f>IFERROR(MATCH(J1033,'Final List'!$D$4:$D$252,0),0)</f>
        <v>0</v>
      </c>
      <c r="M1033" s="169">
        <f>IFERROR(MATCH(J1033,'Final List'!$F$4:$F$251,0),0)</f>
        <v>0</v>
      </c>
      <c r="N1033" s="169">
        <f>IFERROR(MATCH(J1033,'Final List'!$H$4:$H$252,0),0)</f>
        <v>0</v>
      </c>
      <c r="O1033" s="169">
        <f>IFERROR(MATCH(J1033,'Final List'!$J$4:$J$252,0),0)</f>
        <v>0</v>
      </c>
      <c r="P1033" s="169">
        <f>IFERROR(MATCH(J1033,'Final List'!$L$4:$L$252,0),0)</f>
        <v>0</v>
      </c>
      <c r="Q1033" s="169">
        <f>IFERROR(MATCH(J1033,'Final List'!$N$4:$N$252,0),0)</f>
        <v>0</v>
      </c>
      <c r="R1033" s="169">
        <f>IFERROR(MATCH(J1033,'Final List'!$P$4:$P$252,0),0)</f>
        <v>0</v>
      </c>
      <c r="S1033" s="169">
        <f t="shared" si="67"/>
        <v>0</v>
      </c>
      <c r="T1033" s="169" t="s">
        <v>68</v>
      </c>
      <c r="V1033" s="169" t="str">
        <f t="shared" si="65"/>
        <v>REBOTE 2</v>
      </c>
      <c r="W1033" s="169" t="s">
        <v>2712</v>
      </c>
    </row>
    <row r="1034" spans="2:23" x14ac:dyDescent="0.25">
      <c r="B1034" s="169" t="s">
        <v>93</v>
      </c>
      <c r="C1034" s="169" t="s">
        <v>55</v>
      </c>
      <c r="D1034" s="169" t="s">
        <v>5835</v>
      </c>
      <c r="E1034" s="169" t="s">
        <v>61</v>
      </c>
      <c r="F1034" s="245" t="str">
        <f t="shared" si="66"/>
        <v>Dhoz 71</v>
      </c>
      <c r="G1034" s="169" t="s">
        <v>747</v>
      </c>
      <c r="H1034" s="169" t="s">
        <v>5717</v>
      </c>
      <c r="I1034" s="169" t="str">
        <f t="shared" si="64"/>
        <v>L06_JVFW_003W_DW</v>
      </c>
      <c r="J1034" s="169" t="s">
        <v>8222</v>
      </c>
      <c r="K1034" s="169">
        <f>IFERROR(MATCH(J1034,'Final List'!$B$4:$B$252,0),0)</f>
        <v>0</v>
      </c>
      <c r="L1034" s="169">
        <f>IFERROR(MATCH(J1034,'Final List'!$D$4:$D$252,0),0)</f>
        <v>0</v>
      </c>
      <c r="M1034" s="169">
        <f>IFERROR(MATCH(J1034,'Final List'!$F$4:$F$251,0),0)</f>
        <v>0</v>
      </c>
      <c r="N1034" s="169">
        <f>IFERROR(MATCH(J1034,'Final List'!$H$4:$H$252,0),0)</f>
        <v>0</v>
      </c>
      <c r="O1034" s="169">
        <f>IFERROR(MATCH(J1034,'Final List'!$J$4:$J$252,0),0)</f>
        <v>0</v>
      </c>
      <c r="P1034" s="169">
        <f>IFERROR(MATCH(J1034,'Final List'!$L$4:$L$252,0),0)</f>
        <v>0</v>
      </c>
      <c r="Q1034" s="169">
        <f>IFERROR(MATCH(J1034,'Final List'!$N$4:$N$252,0),0)</f>
        <v>0</v>
      </c>
      <c r="R1034" s="169">
        <f>IFERROR(MATCH(J1034,'Final List'!$P$4:$P$252,0),0)</f>
        <v>0</v>
      </c>
      <c r="S1034" s="169">
        <f t="shared" si="67"/>
        <v>0</v>
      </c>
      <c r="V1034" s="169" t="str">
        <f t="shared" si="65"/>
        <v>SHEPHERD AC 1</v>
      </c>
      <c r="W1034" s="169" t="s">
        <v>8895</v>
      </c>
    </row>
    <row r="1035" spans="2:23" x14ac:dyDescent="0.25">
      <c r="B1035" s="169" t="s">
        <v>96</v>
      </c>
      <c r="C1035" s="169" t="s">
        <v>45</v>
      </c>
      <c r="D1035" s="169" t="s">
        <v>130</v>
      </c>
      <c r="E1035" s="169" t="s">
        <v>36</v>
      </c>
      <c r="F1035" s="245" t="str">
        <f t="shared" si="66"/>
        <v>StpS 77</v>
      </c>
      <c r="G1035" s="169" t="s">
        <v>363</v>
      </c>
      <c r="I1035" s="169" t="str">
        <f t="shared" si="64"/>
        <v>L09_DPVE_036E_STOPE</v>
      </c>
      <c r="J1035" s="169" t="s">
        <v>7672</v>
      </c>
      <c r="K1035" s="169">
        <f>IFERROR(MATCH(J1035,'Final List'!$B$4:$B$252,0),0)</f>
        <v>0</v>
      </c>
      <c r="L1035" s="169">
        <f>IFERROR(MATCH(J1035,'Final List'!$D$4:$D$252,0),0)</f>
        <v>0</v>
      </c>
      <c r="M1035" s="169">
        <f>IFERROR(MATCH(J1035,'Final List'!$F$4:$F$251,0),0)</f>
        <v>0</v>
      </c>
      <c r="N1035" s="169">
        <f>IFERROR(MATCH(J1035,'Final List'!$H$4:$H$252,0),0)</f>
        <v>0</v>
      </c>
      <c r="O1035" s="169">
        <f>IFERROR(MATCH(J1035,'Final List'!$J$4:$J$252,0),0)</f>
        <v>0</v>
      </c>
      <c r="P1035" s="169">
        <f>IFERROR(MATCH(J1035,'Final List'!$L$4:$L$252,0),0)</f>
        <v>0</v>
      </c>
      <c r="Q1035" s="169">
        <f>IFERROR(MATCH(J1035,'Final List'!$N$4:$N$252,0),0)</f>
        <v>0</v>
      </c>
      <c r="R1035" s="169">
        <f>IFERROR(MATCH(J1035,'Final List'!$P$4:$P$252,0),0)</f>
        <v>0</v>
      </c>
      <c r="S1035" s="169">
        <f t="shared" si="67"/>
        <v>0</v>
      </c>
      <c r="T1035" s="169" t="s">
        <v>68</v>
      </c>
      <c r="V1035" s="169" t="str">
        <f t="shared" si="65"/>
        <v>BABOR 2</v>
      </c>
      <c r="W1035" s="169" t="s">
        <v>2713</v>
      </c>
    </row>
    <row r="1036" spans="2:23" x14ac:dyDescent="0.25">
      <c r="B1036" s="169" t="s">
        <v>96</v>
      </c>
      <c r="C1036" s="169" t="s">
        <v>42</v>
      </c>
      <c r="D1036" s="169" t="s">
        <v>178</v>
      </c>
      <c r="E1036" s="169" t="s">
        <v>36</v>
      </c>
      <c r="F1036" s="245" t="str">
        <f t="shared" si="66"/>
        <v>StpS 77</v>
      </c>
      <c r="G1036" s="169" t="s">
        <v>461</v>
      </c>
      <c r="I1036" s="169" t="str">
        <f t="shared" si="64"/>
        <v>L09_JV_048E_STOPE</v>
      </c>
      <c r="J1036" s="169" t="s">
        <v>7668</v>
      </c>
      <c r="K1036" s="169">
        <f>IFERROR(MATCH(J1036,'Final List'!$B$4:$B$252,0),0)</f>
        <v>0</v>
      </c>
      <c r="L1036" s="169">
        <f>IFERROR(MATCH(J1036,'Final List'!$D$4:$D$252,0),0)</f>
        <v>0</v>
      </c>
      <c r="M1036" s="169">
        <f>IFERROR(MATCH(J1036,'Final List'!$F$4:$F$251,0),0)</f>
        <v>0</v>
      </c>
      <c r="N1036" s="169">
        <f>IFERROR(MATCH(J1036,'Final List'!$H$4:$H$252,0),0)</f>
        <v>0</v>
      </c>
      <c r="O1036" s="169">
        <f>IFERROR(MATCH(J1036,'Final List'!$J$4:$J$252,0),0)</f>
        <v>0</v>
      </c>
      <c r="P1036" s="169">
        <f>IFERROR(MATCH(J1036,'Final List'!$L$4:$L$252,0),0)</f>
        <v>0</v>
      </c>
      <c r="Q1036" s="169">
        <f>IFERROR(MATCH(J1036,'Final List'!$N$4:$N$252,0),0)</f>
        <v>0</v>
      </c>
      <c r="R1036" s="169">
        <f>IFERROR(MATCH(J1036,'Final List'!$P$4:$P$252,0),0)</f>
        <v>0</v>
      </c>
      <c r="S1036" s="169">
        <f t="shared" si="67"/>
        <v>0</v>
      </c>
      <c r="T1036" s="169" t="s">
        <v>68</v>
      </c>
      <c r="V1036" s="169" t="str">
        <f t="shared" si="65"/>
        <v>PANSIT 4</v>
      </c>
      <c r="W1036" s="169" t="s">
        <v>2713</v>
      </c>
    </row>
    <row r="1037" spans="2:23" x14ac:dyDescent="0.25">
      <c r="B1037" s="169" t="s">
        <v>92</v>
      </c>
      <c r="C1037" s="169" t="s">
        <v>42</v>
      </c>
      <c r="D1037" s="169" t="s">
        <v>130</v>
      </c>
      <c r="E1037" s="169" t="s">
        <v>6154</v>
      </c>
      <c r="F1037" s="245" t="str">
        <f t="shared" si="66"/>
        <v>Dhoz 71</v>
      </c>
      <c r="G1037" s="169" t="s">
        <v>3955</v>
      </c>
      <c r="I1037" s="169" t="str">
        <f t="shared" si="64"/>
        <v>L05_JV_036E_DW_ISL</v>
      </c>
      <c r="J1037" s="169" t="s">
        <v>7670</v>
      </c>
      <c r="K1037" s="169">
        <f>IFERROR(MATCH(J1037,'Final List'!$B$4:$B$252,0),0)</f>
        <v>0</v>
      </c>
      <c r="L1037" s="169">
        <f>IFERROR(MATCH(J1037,'Final List'!$D$4:$D$252,0),0)</f>
        <v>0</v>
      </c>
      <c r="M1037" s="169">
        <f>IFERROR(MATCH(J1037,'Final List'!$F$4:$F$251,0),0)</f>
        <v>0</v>
      </c>
      <c r="N1037" s="169">
        <f>IFERROR(MATCH(J1037,'Final List'!$H$4:$H$252,0),0)</f>
        <v>0</v>
      </c>
      <c r="O1037" s="169">
        <f>IFERROR(MATCH(J1037,'Final List'!$J$4:$J$252,0),0)</f>
        <v>0</v>
      </c>
      <c r="P1037" s="169">
        <f>IFERROR(MATCH(J1037,'Final List'!$L$4:$L$252,0),0)</f>
        <v>0</v>
      </c>
      <c r="Q1037" s="169">
        <f>IFERROR(MATCH(J1037,'Final List'!$N$4:$N$252,0),0)</f>
        <v>0</v>
      </c>
      <c r="R1037" s="169">
        <f>IFERROR(MATCH(J1037,'Final List'!$P$4:$P$252,0),0)</f>
        <v>0</v>
      </c>
      <c r="S1037" s="169">
        <f t="shared" si="67"/>
        <v>0</v>
      </c>
      <c r="V1037" s="169" t="str">
        <f t="shared" si="65"/>
        <v>SAMBERE</v>
      </c>
      <c r="W1037" s="169" t="s">
        <v>2708</v>
      </c>
    </row>
    <row r="1038" spans="2:23" x14ac:dyDescent="0.25">
      <c r="B1038" s="169" t="s">
        <v>93</v>
      </c>
      <c r="C1038" s="169" t="s">
        <v>57</v>
      </c>
      <c r="D1038" s="169" t="s">
        <v>5741</v>
      </c>
      <c r="E1038" s="169" t="s">
        <v>19</v>
      </c>
      <c r="F1038" s="245" t="str">
        <f t="shared" si="66"/>
        <v>DVR 72</v>
      </c>
      <c r="G1038" s="169" t="s">
        <v>352</v>
      </c>
      <c r="I1038" s="169" t="str">
        <f t="shared" si="64"/>
        <v>L06_JVSPLIT_035E_RAISE</v>
      </c>
      <c r="J1038" s="169" t="s">
        <v>7674</v>
      </c>
      <c r="K1038" s="169">
        <f>IFERROR(MATCH(J1038,'Final List'!$B$4:$B$252,0),0)</f>
        <v>0</v>
      </c>
      <c r="L1038" s="169">
        <f>IFERROR(MATCH(J1038,'Final List'!$D$4:$D$252,0),0)</f>
        <v>0</v>
      </c>
      <c r="M1038" s="169">
        <f>IFERROR(MATCH(J1038,'Final List'!$F$4:$F$251,0),0)</f>
        <v>0</v>
      </c>
      <c r="N1038" s="169">
        <f>IFERROR(MATCH(J1038,'Final List'!$H$4:$H$252,0),0)</f>
        <v>0</v>
      </c>
      <c r="O1038" s="169">
        <f>IFERROR(MATCH(J1038,'Final List'!$J$4:$J$252,0),0)</f>
        <v>0</v>
      </c>
      <c r="P1038" s="169">
        <f>IFERROR(MATCH(J1038,'Final List'!$L$4:$L$252,0),0)</f>
        <v>0</v>
      </c>
      <c r="Q1038" s="169">
        <f>IFERROR(MATCH(J1038,'Final List'!$N$4:$N$252,0),0)</f>
        <v>0</v>
      </c>
      <c r="R1038" s="169">
        <f>IFERROR(MATCH(J1038,'Final List'!$P$4:$P$252,0),0)</f>
        <v>0</v>
      </c>
      <c r="S1038" s="169">
        <f t="shared" si="67"/>
        <v>0</v>
      </c>
      <c r="V1038" s="169" t="str">
        <f t="shared" si="65"/>
        <v>BAÑEZ 5</v>
      </c>
      <c r="W1038" s="169" t="s">
        <v>2715</v>
      </c>
    </row>
    <row r="1039" spans="2:23" x14ac:dyDescent="0.25">
      <c r="B1039" s="169" t="s">
        <v>1166</v>
      </c>
      <c r="C1039" s="169" t="s">
        <v>38</v>
      </c>
      <c r="D1039" s="169" t="s">
        <v>218</v>
      </c>
      <c r="E1039" s="169" t="s">
        <v>60</v>
      </c>
      <c r="F1039" s="245" t="str">
        <f t="shared" si="66"/>
        <v>Dhoz 71</v>
      </c>
      <c r="G1039" s="169" t="s">
        <v>5231</v>
      </c>
      <c r="I1039" s="169" t="str">
        <f t="shared" si="64"/>
        <v>L11_GHV_062E_DE</v>
      </c>
      <c r="J1039" s="169" t="s">
        <v>7678</v>
      </c>
      <c r="K1039" s="169">
        <f>IFERROR(MATCH(J1039,'Final List'!$B$4:$B$252,0),0)</f>
        <v>0</v>
      </c>
      <c r="L1039" s="169">
        <f>IFERROR(MATCH(J1039,'Final List'!$D$4:$D$252,0),0)</f>
        <v>0</v>
      </c>
      <c r="M1039" s="169">
        <f>IFERROR(MATCH(J1039,'Final List'!$F$4:$F$251,0),0)</f>
        <v>0</v>
      </c>
      <c r="N1039" s="169">
        <f>IFERROR(MATCH(J1039,'Final List'!$H$4:$H$252,0),0)</f>
        <v>0</v>
      </c>
      <c r="O1039" s="169">
        <f>IFERROR(MATCH(J1039,'Final List'!$J$4:$J$252,0),0)</f>
        <v>0</v>
      </c>
      <c r="P1039" s="169">
        <f>IFERROR(MATCH(J1039,'Final List'!$L$4:$L$252,0),0)</f>
        <v>0</v>
      </c>
      <c r="Q1039" s="169">
        <f>IFERROR(MATCH(J1039,'Final List'!$N$4:$N$252,0),0)</f>
        <v>0</v>
      </c>
      <c r="R1039" s="169">
        <f>IFERROR(MATCH(J1039,'Final List'!$P$4:$P$252,0),0)</f>
        <v>0</v>
      </c>
      <c r="S1039" s="169">
        <f t="shared" si="67"/>
        <v>0</v>
      </c>
      <c r="V1039" s="169" t="str">
        <f t="shared" si="65"/>
        <v>DUHIG 5</v>
      </c>
      <c r="W1039" s="169" t="s">
        <v>8896</v>
      </c>
    </row>
    <row r="1040" spans="2:23" x14ac:dyDescent="0.25">
      <c r="B1040" s="169" t="s">
        <v>95</v>
      </c>
      <c r="C1040" s="169" t="s">
        <v>43</v>
      </c>
      <c r="D1040" s="169" t="s">
        <v>6941</v>
      </c>
      <c r="E1040" s="169" t="s">
        <v>60</v>
      </c>
      <c r="F1040" s="245" t="str">
        <f t="shared" si="66"/>
        <v>Dhoz 71</v>
      </c>
      <c r="G1040" s="169" t="s">
        <v>367</v>
      </c>
      <c r="I1040" s="169" t="str">
        <f t="shared" si="64"/>
        <v>L08_GHVSPLIT_031W_DE</v>
      </c>
      <c r="J1040" s="169" t="s">
        <v>7687</v>
      </c>
      <c r="K1040" s="169">
        <f>IFERROR(MATCH(J1040,'Final List'!$B$4:$B$252,0),0)</f>
        <v>0</v>
      </c>
      <c r="L1040" s="169">
        <f>IFERROR(MATCH(J1040,'Final List'!$D$4:$D$252,0),0)</f>
        <v>0</v>
      </c>
      <c r="M1040" s="169">
        <f>IFERROR(MATCH(J1040,'Final List'!$F$4:$F$251,0),0)</f>
        <v>0</v>
      </c>
      <c r="N1040" s="169">
        <f>IFERROR(MATCH(J1040,'Final List'!$H$4:$H$252,0),0)</f>
        <v>0</v>
      </c>
      <c r="O1040" s="169">
        <f>IFERROR(MATCH(J1040,'Final List'!$J$4:$J$252,0),0)</f>
        <v>0</v>
      </c>
      <c r="P1040" s="169">
        <f>IFERROR(MATCH(J1040,'Final List'!$L$4:$L$252,0),0)</f>
        <v>0</v>
      </c>
      <c r="Q1040" s="169">
        <f>IFERROR(MATCH(J1040,'Final List'!$N$4:$N$252,0),0)</f>
        <v>0</v>
      </c>
      <c r="R1040" s="169">
        <f>IFERROR(MATCH(J1040,'Final List'!$P$4:$P$252,0),0)</f>
        <v>0</v>
      </c>
      <c r="S1040" s="169">
        <f t="shared" si="67"/>
        <v>0</v>
      </c>
      <c r="V1040" s="169" t="str">
        <f t="shared" si="65"/>
        <v>LERIO 1</v>
      </c>
      <c r="W1040" s="169" t="s">
        <v>8895</v>
      </c>
    </row>
    <row r="1041" spans="2:23" x14ac:dyDescent="0.25">
      <c r="B1041" s="169" t="s">
        <v>93</v>
      </c>
      <c r="C1041" s="169" t="s">
        <v>45</v>
      </c>
      <c r="D1041" s="169" t="s">
        <v>133</v>
      </c>
      <c r="E1041" s="169" t="s">
        <v>20</v>
      </c>
      <c r="F1041" s="245" t="str">
        <f t="shared" si="66"/>
        <v>DVW 74</v>
      </c>
      <c r="G1041" s="169" t="s">
        <v>3303</v>
      </c>
      <c r="I1041" s="169" t="str">
        <f t="shared" si="64"/>
        <v>L06_DPVE_037E_WINZE</v>
      </c>
      <c r="J1041" s="169" t="s">
        <v>7685</v>
      </c>
      <c r="K1041" s="169">
        <f>IFERROR(MATCH(J1041,'Final List'!$B$4:$B$252,0),0)</f>
        <v>0</v>
      </c>
      <c r="L1041" s="169">
        <f>IFERROR(MATCH(J1041,'Final List'!$D$4:$D$252,0),0)</f>
        <v>0</v>
      </c>
      <c r="M1041" s="169">
        <f>IFERROR(MATCH(J1041,'Final List'!$F$4:$F$251,0),0)</f>
        <v>0</v>
      </c>
      <c r="N1041" s="169">
        <f>IFERROR(MATCH(J1041,'Final List'!$H$4:$H$252,0),0)</f>
        <v>0</v>
      </c>
      <c r="O1041" s="169">
        <f>IFERROR(MATCH(J1041,'Final List'!$J$4:$J$252,0),0)</f>
        <v>0</v>
      </c>
      <c r="P1041" s="169">
        <f>IFERROR(MATCH(J1041,'Final List'!$L$4:$L$252,0),0)</f>
        <v>0</v>
      </c>
      <c r="Q1041" s="169">
        <f>IFERROR(MATCH(J1041,'Final List'!$N$4:$N$252,0),0)</f>
        <v>0</v>
      </c>
      <c r="R1041" s="169">
        <f>IFERROR(MATCH(J1041,'Final List'!$P$4:$P$252,0),0)</f>
        <v>0</v>
      </c>
      <c r="S1041" s="169">
        <f t="shared" si="67"/>
        <v>0</v>
      </c>
      <c r="V1041" s="169" t="str">
        <f t="shared" si="65"/>
        <v>SHEPHERD AC</v>
      </c>
      <c r="W1041" s="169" t="s">
        <v>2706</v>
      </c>
    </row>
    <row r="1042" spans="2:23" x14ac:dyDescent="0.25">
      <c r="B1042" s="169" t="s">
        <v>95</v>
      </c>
      <c r="C1042" s="169" t="s">
        <v>42</v>
      </c>
      <c r="D1042" s="169" t="s">
        <v>226</v>
      </c>
      <c r="E1042" s="169" t="s">
        <v>6144</v>
      </c>
      <c r="F1042" s="245" t="str">
        <f t="shared" si="66"/>
        <v>DVR 72</v>
      </c>
      <c r="G1042" s="169" t="s">
        <v>1533</v>
      </c>
      <c r="I1042" s="169" t="str">
        <f t="shared" si="64"/>
        <v>L08_JV_074E_RAISE_ISL</v>
      </c>
      <c r="J1042" s="169" t="s">
        <v>7690</v>
      </c>
      <c r="K1042" s="169">
        <f>IFERROR(MATCH(J1042,'Final List'!$B$4:$B$252,0),0)</f>
        <v>0</v>
      </c>
      <c r="L1042" s="169">
        <f>IFERROR(MATCH(J1042,'Final List'!$D$4:$D$252,0),0)</f>
        <v>0</v>
      </c>
      <c r="M1042" s="169">
        <f>IFERROR(MATCH(J1042,'Final List'!$F$4:$F$251,0),0)</f>
        <v>0</v>
      </c>
      <c r="N1042" s="169">
        <f>IFERROR(MATCH(J1042,'Final List'!$H$4:$H$252,0),0)</f>
        <v>0</v>
      </c>
      <c r="O1042" s="169">
        <f>IFERROR(MATCH(J1042,'Final List'!$J$4:$J$252,0),0)</f>
        <v>0</v>
      </c>
      <c r="P1042" s="169">
        <f>IFERROR(MATCH(J1042,'Final List'!$L$4:$L$252,0),0)</f>
        <v>0</v>
      </c>
      <c r="Q1042" s="169">
        <f>IFERROR(MATCH(J1042,'Final List'!$N$4:$N$252,0),0)</f>
        <v>0</v>
      </c>
      <c r="R1042" s="169">
        <f>IFERROR(MATCH(J1042,'Final List'!$P$4:$P$252,0),0)</f>
        <v>0</v>
      </c>
      <c r="S1042" s="169">
        <f t="shared" si="67"/>
        <v>0</v>
      </c>
      <c r="V1042" s="169" t="str">
        <f t="shared" si="65"/>
        <v>AGLOLO</v>
      </c>
      <c r="W1042" s="169" t="s">
        <v>2715</v>
      </c>
    </row>
    <row r="1043" spans="2:23" x14ac:dyDescent="0.25">
      <c r="B1043" s="169" t="s">
        <v>93</v>
      </c>
      <c r="C1043" s="169" t="s">
        <v>39</v>
      </c>
      <c r="D1043" s="169" t="s">
        <v>129</v>
      </c>
      <c r="E1043" s="169" t="s">
        <v>61</v>
      </c>
      <c r="F1043" s="245" t="str">
        <f t="shared" si="66"/>
        <v>Dhoz 71</v>
      </c>
      <c r="G1043" s="169" t="s">
        <v>4155</v>
      </c>
      <c r="I1043" s="169" t="str">
        <f t="shared" si="64"/>
        <v>L06_JVHW_010E_DW</v>
      </c>
      <c r="J1043" s="169" t="s">
        <v>7693</v>
      </c>
      <c r="K1043" s="169">
        <f>IFERROR(MATCH(J1043,'Final List'!$B$4:$B$252,0),0)</f>
        <v>0</v>
      </c>
      <c r="L1043" s="169">
        <f>IFERROR(MATCH(J1043,'Final List'!$D$4:$D$252,0),0)</f>
        <v>0</v>
      </c>
      <c r="M1043" s="169">
        <f>IFERROR(MATCH(J1043,'Final List'!$F$4:$F$251,0),0)</f>
        <v>0</v>
      </c>
      <c r="N1043" s="169">
        <f>IFERROR(MATCH(J1043,'Final List'!$H$4:$H$252,0),0)</f>
        <v>0</v>
      </c>
      <c r="O1043" s="169">
        <f>IFERROR(MATCH(J1043,'Final List'!$J$4:$J$252,0),0)</f>
        <v>0</v>
      </c>
      <c r="P1043" s="169">
        <f>IFERROR(MATCH(J1043,'Final List'!$L$4:$L$252,0),0)</f>
        <v>0</v>
      </c>
      <c r="Q1043" s="169">
        <f>IFERROR(MATCH(J1043,'Final List'!$N$4:$N$252,0),0)</f>
        <v>0</v>
      </c>
      <c r="R1043" s="169">
        <f>IFERROR(MATCH(J1043,'Final List'!$P$4:$P$252,0),0)</f>
        <v>0</v>
      </c>
      <c r="S1043" s="169">
        <f t="shared" si="67"/>
        <v>0</v>
      </c>
      <c r="V1043" s="169" t="str">
        <f t="shared" si="65"/>
        <v>BAÑEZ</v>
      </c>
      <c r="W1043" s="169" t="s">
        <v>8895</v>
      </c>
    </row>
    <row r="1044" spans="2:23" x14ac:dyDescent="0.25">
      <c r="B1044" s="169" t="s">
        <v>91</v>
      </c>
      <c r="C1044" s="169" t="s">
        <v>38</v>
      </c>
      <c r="D1044" s="169" t="s">
        <v>176</v>
      </c>
      <c r="E1044" s="169" t="s">
        <v>62</v>
      </c>
      <c r="F1044" s="245" t="str">
        <f t="shared" si="66"/>
        <v>RobS 79</v>
      </c>
      <c r="G1044" s="169" t="s">
        <v>394</v>
      </c>
      <c r="I1044" s="169" t="str">
        <f t="shared" si="64"/>
        <v>L04_GHV_057E_ROBBING</v>
      </c>
      <c r="J1044" s="169" t="s">
        <v>7694</v>
      </c>
      <c r="K1044" s="169">
        <f>IFERROR(MATCH(J1044,'Final List'!$B$4:$B$252,0),0)</f>
        <v>0</v>
      </c>
      <c r="L1044" s="169">
        <f>IFERROR(MATCH(J1044,'Final List'!$D$4:$D$252,0),0)</f>
        <v>0</v>
      </c>
      <c r="M1044" s="169">
        <f>IFERROR(MATCH(J1044,'Final List'!$F$4:$F$251,0),0)</f>
        <v>0</v>
      </c>
      <c r="N1044" s="169">
        <f>IFERROR(MATCH(J1044,'Final List'!$H$4:$H$252,0),0)</f>
        <v>0</v>
      </c>
      <c r="O1044" s="169">
        <f>IFERROR(MATCH(J1044,'Final List'!$J$4:$J$252,0),0)</f>
        <v>0</v>
      </c>
      <c r="P1044" s="169">
        <f>IFERROR(MATCH(J1044,'Final List'!$L$4:$L$252,0),0)</f>
        <v>0</v>
      </c>
      <c r="Q1044" s="169">
        <f>IFERROR(MATCH(J1044,'Final List'!$N$4:$N$252,0),0)</f>
        <v>0</v>
      </c>
      <c r="R1044" s="169">
        <f>IFERROR(MATCH(J1044,'Final List'!$P$4:$P$252,0),0)</f>
        <v>0</v>
      </c>
      <c r="S1044" s="169">
        <f t="shared" si="67"/>
        <v>0</v>
      </c>
      <c r="T1044" s="169" t="s">
        <v>68</v>
      </c>
      <c r="V1044" s="169" t="str">
        <f t="shared" si="65"/>
        <v>ANDILAB 1</v>
      </c>
      <c r="W1044" s="169" t="s">
        <v>2707</v>
      </c>
    </row>
    <row r="1045" spans="2:23" x14ac:dyDescent="0.25">
      <c r="B1045" s="169" t="s">
        <v>95</v>
      </c>
      <c r="C1045" s="169" t="s">
        <v>38</v>
      </c>
      <c r="D1045" s="169" t="s">
        <v>133</v>
      </c>
      <c r="E1045" s="169" t="s">
        <v>6143</v>
      </c>
      <c r="F1045" s="245" t="str">
        <f t="shared" si="66"/>
        <v>Dhoz 71</v>
      </c>
      <c r="G1045" s="169" t="s">
        <v>584</v>
      </c>
      <c r="I1045" s="169" t="str">
        <f t="shared" si="64"/>
        <v>L08_GHV_037E_DE_ISL</v>
      </c>
      <c r="J1045" s="169" t="s">
        <v>7695</v>
      </c>
      <c r="K1045" s="169">
        <f>IFERROR(MATCH(J1045,'Final List'!$B$4:$B$252,0),0)</f>
        <v>0</v>
      </c>
      <c r="L1045" s="169">
        <f>IFERROR(MATCH(J1045,'Final List'!$D$4:$D$252,0),0)</f>
        <v>0</v>
      </c>
      <c r="M1045" s="169">
        <f>IFERROR(MATCH(J1045,'Final List'!$F$4:$F$251,0),0)</f>
        <v>0</v>
      </c>
      <c r="N1045" s="169">
        <f>IFERROR(MATCH(J1045,'Final List'!$H$4:$H$252,0),0)</f>
        <v>0</v>
      </c>
      <c r="O1045" s="169">
        <f>IFERROR(MATCH(J1045,'Final List'!$J$4:$J$252,0),0)</f>
        <v>0</v>
      </c>
      <c r="P1045" s="169">
        <f>IFERROR(MATCH(J1045,'Final List'!$L$4:$L$252,0),0)</f>
        <v>0</v>
      </c>
      <c r="Q1045" s="169">
        <f>IFERROR(MATCH(J1045,'Final List'!$N$4:$N$252,0),0)</f>
        <v>0</v>
      </c>
      <c r="R1045" s="169">
        <f>IFERROR(MATCH(J1045,'Final List'!$P$4:$P$252,0),0)</f>
        <v>0</v>
      </c>
      <c r="S1045" s="169">
        <f t="shared" si="67"/>
        <v>0</v>
      </c>
      <c r="V1045" s="169" t="str">
        <f t="shared" si="65"/>
        <v>VILLARANTE 2</v>
      </c>
      <c r="W1045" s="169" t="s">
        <v>2708</v>
      </c>
    </row>
    <row r="1046" spans="2:23" x14ac:dyDescent="0.25">
      <c r="B1046" s="169" t="s">
        <v>95</v>
      </c>
      <c r="C1046" s="169" t="s">
        <v>56</v>
      </c>
      <c r="D1046" s="169" t="s">
        <v>141</v>
      </c>
      <c r="E1046" s="169" t="s">
        <v>60</v>
      </c>
      <c r="F1046" s="245" t="str">
        <f t="shared" si="66"/>
        <v>Dhoz 71</v>
      </c>
      <c r="G1046" s="169" t="s">
        <v>5708</v>
      </c>
      <c r="I1046" s="169" t="str">
        <f t="shared" si="64"/>
        <v>L08_GHVFW_029E_DE</v>
      </c>
      <c r="J1046" s="169" t="s">
        <v>7697</v>
      </c>
      <c r="K1046" s="169">
        <f>IFERROR(MATCH(J1046,'Final List'!$B$4:$B$252,0),0)</f>
        <v>0</v>
      </c>
      <c r="L1046" s="169">
        <f>IFERROR(MATCH(J1046,'Final List'!$D$4:$D$252,0),0)</f>
        <v>0</v>
      </c>
      <c r="M1046" s="169">
        <f>IFERROR(MATCH(J1046,'Final List'!$F$4:$F$251,0),0)</f>
        <v>0</v>
      </c>
      <c r="N1046" s="169">
        <f>IFERROR(MATCH(J1046,'Final List'!$H$4:$H$252,0),0)</f>
        <v>0</v>
      </c>
      <c r="O1046" s="169">
        <f>IFERROR(MATCH(J1046,'Final List'!$J$4:$J$252,0),0)</f>
        <v>0</v>
      </c>
      <c r="P1046" s="169">
        <f>IFERROR(MATCH(J1046,'Final List'!$L$4:$L$252,0),0)</f>
        <v>0</v>
      </c>
      <c r="Q1046" s="169">
        <f>IFERROR(MATCH(J1046,'Final List'!$N$4:$N$252,0),0)</f>
        <v>0</v>
      </c>
      <c r="R1046" s="169">
        <f>IFERROR(MATCH(J1046,'Final List'!$P$4:$P$252,0),0)</f>
        <v>0</v>
      </c>
      <c r="S1046" s="169">
        <f t="shared" si="67"/>
        <v>0</v>
      </c>
      <c r="V1046" s="169" t="str">
        <f t="shared" si="65"/>
        <v>SHEPHERD AJ 1</v>
      </c>
      <c r="W1046" s="169" t="s">
        <v>8895</v>
      </c>
    </row>
    <row r="1047" spans="2:23" x14ac:dyDescent="0.25">
      <c r="B1047" s="169" t="s">
        <v>258</v>
      </c>
      <c r="C1047" s="169" t="s">
        <v>87</v>
      </c>
      <c r="D1047" s="169" t="s">
        <v>133</v>
      </c>
      <c r="E1047" s="169" t="s">
        <v>37</v>
      </c>
      <c r="F1047" s="245" t="str">
        <f t="shared" si="66"/>
        <v>Dhoz 71</v>
      </c>
      <c r="G1047" s="169" t="s">
        <v>7513</v>
      </c>
      <c r="I1047" s="169" t="str">
        <f t="shared" si="64"/>
        <v>L10_NONE_037E_XCN</v>
      </c>
      <c r="J1047" s="169" t="s">
        <v>3917</v>
      </c>
      <c r="K1047" s="169">
        <f>IFERROR(MATCH(J1047,'Final List'!$B$4:$B$252,0),0)</f>
        <v>0</v>
      </c>
      <c r="L1047" s="169">
        <f>IFERROR(MATCH(J1047,'Final List'!$D$4:$D$252,0),0)</f>
        <v>0</v>
      </c>
      <c r="M1047" s="169">
        <f>IFERROR(MATCH(J1047,'Final List'!$F$4:$F$251,0),0)</f>
        <v>0</v>
      </c>
      <c r="N1047" s="169">
        <f>IFERROR(MATCH(J1047,'Final List'!$H$4:$H$252,0),0)</f>
        <v>0</v>
      </c>
      <c r="O1047" s="169">
        <f>IFERROR(MATCH(J1047,'Final List'!$J$4:$J$252,0),0)</f>
        <v>0</v>
      </c>
      <c r="P1047" s="169">
        <f>IFERROR(MATCH(J1047,'Final List'!$L$4:$L$252,0),0)</f>
        <v>0</v>
      </c>
      <c r="Q1047" s="169">
        <f>IFERROR(MATCH(J1047,'Final List'!$N$4:$N$252,0),0)</f>
        <v>0</v>
      </c>
      <c r="R1047" s="169">
        <f>IFERROR(MATCH(J1047,'Final List'!$P$4:$P$252,0),0)</f>
        <v>0</v>
      </c>
      <c r="S1047" s="169">
        <f t="shared" si="67"/>
        <v>0</v>
      </c>
      <c r="V1047" s="169" t="str">
        <f t="shared" si="65"/>
        <v>DUHIG R1</v>
      </c>
      <c r="W1047" s="169" t="s">
        <v>8898</v>
      </c>
    </row>
    <row r="1048" spans="2:23" x14ac:dyDescent="0.25">
      <c r="B1048" s="169" t="s">
        <v>93</v>
      </c>
      <c r="C1048" s="169" t="s">
        <v>38</v>
      </c>
      <c r="D1048" s="169" t="s">
        <v>146</v>
      </c>
      <c r="E1048" s="169" t="s">
        <v>19</v>
      </c>
      <c r="F1048" s="245" t="str">
        <f t="shared" si="66"/>
        <v>DVR 72</v>
      </c>
      <c r="G1048" s="169" t="s">
        <v>349</v>
      </c>
      <c r="I1048" s="169" t="str">
        <f t="shared" si="64"/>
        <v>L06_GHV_030E_RAISE</v>
      </c>
      <c r="J1048" s="169" t="s">
        <v>7745</v>
      </c>
      <c r="K1048" s="169">
        <f>IFERROR(MATCH(J1048,'Final List'!$B$4:$B$252,0),0)</f>
        <v>0</v>
      </c>
      <c r="L1048" s="169">
        <f>IFERROR(MATCH(J1048,'Final List'!$D$4:$D$252,0),0)</f>
        <v>0</v>
      </c>
      <c r="M1048" s="169">
        <f>IFERROR(MATCH(J1048,'Final List'!$F$4:$F$251,0),0)</f>
        <v>0</v>
      </c>
      <c r="N1048" s="169">
        <f>IFERROR(MATCH(J1048,'Final List'!$H$4:$H$252,0),0)</f>
        <v>0</v>
      </c>
      <c r="O1048" s="169">
        <f>IFERROR(MATCH(J1048,'Final List'!$J$4:$J$252,0),0)</f>
        <v>0</v>
      </c>
      <c r="P1048" s="169">
        <f>IFERROR(MATCH(J1048,'Final List'!$L$4:$L$252,0),0)</f>
        <v>0</v>
      </c>
      <c r="Q1048" s="169">
        <f>IFERROR(MATCH(J1048,'Final List'!$N$4:$N$252,0),0)</f>
        <v>0</v>
      </c>
      <c r="R1048" s="169">
        <f>IFERROR(MATCH(J1048,'Final List'!$P$4:$P$252,0),0)</f>
        <v>0</v>
      </c>
      <c r="S1048" s="169">
        <f t="shared" si="67"/>
        <v>0</v>
      </c>
      <c r="V1048" s="169" t="str">
        <f t="shared" si="65"/>
        <v>QUIJANO 2</v>
      </c>
      <c r="W1048" s="169" t="s">
        <v>2715</v>
      </c>
    </row>
    <row r="1049" spans="2:23" x14ac:dyDescent="0.25">
      <c r="B1049" s="169" t="s">
        <v>93</v>
      </c>
      <c r="C1049" s="169" t="s">
        <v>41</v>
      </c>
      <c r="D1049" s="169" t="s">
        <v>131</v>
      </c>
      <c r="E1049" s="169" t="s">
        <v>221</v>
      </c>
      <c r="F1049" s="245" t="str">
        <f t="shared" si="66"/>
        <v>RobC 80</v>
      </c>
      <c r="G1049" s="169" t="s">
        <v>342</v>
      </c>
      <c r="I1049" s="169" t="str">
        <f t="shared" si="64"/>
        <v>L06_CTV_011E_WINZE STOPE</v>
      </c>
      <c r="J1049" s="169" t="s">
        <v>7709</v>
      </c>
      <c r="K1049" s="169">
        <f>IFERROR(MATCH(J1049,'Final List'!$B$4:$B$252,0),0)</f>
        <v>0</v>
      </c>
      <c r="L1049" s="169">
        <f>IFERROR(MATCH(J1049,'Final List'!$D$4:$D$252,0),0)</f>
        <v>0</v>
      </c>
      <c r="M1049" s="169">
        <f>IFERROR(MATCH(J1049,'Final List'!$F$4:$F$251,0),0)</f>
        <v>0</v>
      </c>
      <c r="N1049" s="169">
        <f>IFERROR(MATCH(J1049,'Final List'!$H$4:$H$252,0),0)</f>
        <v>0</v>
      </c>
      <c r="O1049" s="169">
        <f>IFERROR(MATCH(J1049,'Final List'!$J$4:$J$252,0),0)</f>
        <v>0</v>
      </c>
      <c r="P1049" s="169">
        <f>IFERROR(MATCH(J1049,'Final List'!$L$4:$L$252,0),0)</f>
        <v>0</v>
      </c>
      <c r="Q1049" s="169">
        <f>IFERROR(MATCH(J1049,'Final List'!$N$4:$N$252,0),0)</f>
        <v>0</v>
      </c>
      <c r="R1049" s="169">
        <f>IFERROR(MATCH(J1049,'Final List'!$P$4:$P$252,0),0)</f>
        <v>0</v>
      </c>
      <c r="S1049" s="169">
        <f t="shared" si="67"/>
        <v>0</v>
      </c>
      <c r="T1049" s="169" t="s">
        <v>68</v>
      </c>
      <c r="V1049" s="169" t="str">
        <f t="shared" si="65"/>
        <v>BADBADON 2</v>
      </c>
      <c r="W1049" s="169" t="s">
        <v>2719</v>
      </c>
    </row>
    <row r="1050" spans="2:23" x14ac:dyDescent="0.25">
      <c r="B1050" s="169" t="s">
        <v>94</v>
      </c>
      <c r="C1050" s="169" t="s">
        <v>55</v>
      </c>
      <c r="D1050" s="169" t="s">
        <v>133</v>
      </c>
      <c r="E1050" s="169" t="s">
        <v>19</v>
      </c>
      <c r="F1050" s="245" t="str">
        <f t="shared" si="66"/>
        <v>DVR 72</v>
      </c>
      <c r="G1050" s="169" t="s">
        <v>5980</v>
      </c>
      <c r="I1050" s="169" t="str">
        <f t="shared" si="64"/>
        <v>L07_JVFW_037E_RAISE</v>
      </c>
      <c r="J1050" s="169" t="s">
        <v>163</v>
      </c>
      <c r="K1050" s="169">
        <f>IFERROR(MATCH(J1050,'Final List'!$B$4:$B$252,0),0)</f>
        <v>0</v>
      </c>
      <c r="L1050" s="169">
        <f>IFERROR(MATCH(J1050,'Final List'!$D$4:$D$252,0),0)</f>
        <v>0</v>
      </c>
      <c r="M1050" s="169">
        <f>IFERROR(MATCH(J1050,'Final List'!$F$4:$F$251,0),0)</f>
        <v>0</v>
      </c>
      <c r="N1050" s="169">
        <f>IFERROR(MATCH(J1050,'Final List'!$H$4:$H$252,0),0)</f>
        <v>0</v>
      </c>
      <c r="O1050" s="169">
        <f>IFERROR(MATCH(J1050,'Final List'!$J$4:$J$252,0),0)</f>
        <v>0</v>
      </c>
      <c r="P1050" s="169">
        <f>IFERROR(MATCH(J1050,'Final List'!$L$4:$L$252,0),0)</f>
        <v>0</v>
      </c>
      <c r="Q1050" s="169">
        <f>IFERROR(MATCH(J1050,'Final List'!$N$4:$N$252,0),0)</f>
        <v>0</v>
      </c>
      <c r="R1050" s="169">
        <f>IFERROR(MATCH(J1050,'Final List'!$P$4:$P$252,0),0)</f>
        <v>0</v>
      </c>
      <c r="S1050" s="169">
        <f t="shared" si="67"/>
        <v>0</v>
      </c>
      <c r="V1050" s="169" t="str">
        <f t="shared" si="65"/>
        <v xml:space="preserve">CARIKITAN 2 </v>
      </c>
      <c r="W1050" s="169" t="s">
        <v>2715</v>
      </c>
    </row>
    <row r="1051" spans="2:23" x14ac:dyDescent="0.25">
      <c r="B1051" s="169" t="s">
        <v>94</v>
      </c>
      <c r="C1051" s="169" t="s">
        <v>45</v>
      </c>
      <c r="D1051" s="169" t="s">
        <v>130</v>
      </c>
      <c r="E1051" s="169" t="s">
        <v>19</v>
      </c>
      <c r="F1051" s="245" t="str">
        <f t="shared" si="66"/>
        <v>DVR 72</v>
      </c>
      <c r="G1051" s="169" t="s">
        <v>5720</v>
      </c>
      <c r="I1051" s="169" t="str">
        <f t="shared" si="64"/>
        <v>L07_DPVE_036E_RAISE</v>
      </c>
      <c r="J1051" s="169" t="s">
        <v>7711</v>
      </c>
      <c r="K1051" s="169">
        <f>IFERROR(MATCH(J1051,'Final List'!$B$4:$B$252,0),0)</f>
        <v>0</v>
      </c>
      <c r="L1051" s="169">
        <f>IFERROR(MATCH(J1051,'Final List'!$D$4:$D$252,0),0)</f>
        <v>0</v>
      </c>
      <c r="M1051" s="169">
        <f>IFERROR(MATCH(J1051,'Final List'!$F$4:$F$251,0),0)</f>
        <v>0</v>
      </c>
      <c r="N1051" s="169">
        <f>IFERROR(MATCH(J1051,'Final List'!$H$4:$H$252,0),0)</f>
        <v>0</v>
      </c>
      <c r="O1051" s="169">
        <f>IFERROR(MATCH(J1051,'Final List'!$J$4:$J$252,0),0)</f>
        <v>0</v>
      </c>
      <c r="P1051" s="169">
        <f>IFERROR(MATCH(J1051,'Final List'!$L$4:$L$252,0),0)</f>
        <v>0</v>
      </c>
      <c r="Q1051" s="169">
        <f>IFERROR(MATCH(J1051,'Final List'!$N$4:$N$252,0),0)</f>
        <v>0</v>
      </c>
      <c r="R1051" s="169">
        <f>IFERROR(MATCH(J1051,'Final List'!$P$4:$P$252,0),0)</f>
        <v>0</v>
      </c>
      <c r="S1051" s="169">
        <f t="shared" si="67"/>
        <v>0</v>
      </c>
      <c r="V1051" s="169" t="str">
        <f t="shared" si="65"/>
        <v>TURRA 1</v>
      </c>
      <c r="W1051" s="169" t="s">
        <v>2715</v>
      </c>
    </row>
    <row r="1052" spans="2:23" x14ac:dyDescent="0.25">
      <c r="B1052" s="169" t="s">
        <v>94</v>
      </c>
      <c r="C1052" s="169" t="s">
        <v>43</v>
      </c>
      <c r="D1052" s="169" t="s">
        <v>135</v>
      </c>
      <c r="E1052" s="169" t="s">
        <v>19</v>
      </c>
      <c r="F1052" s="245" t="str">
        <f t="shared" si="66"/>
        <v>DVR 72</v>
      </c>
      <c r="G1052" s="169" t="s">
        <v>1355</v>
      </c>
      <c r="I1052" s="169" t="str">
        <f t="shared" si="64"/>
        <v>L07_GHVSPLIT_034E_RAISE</v>
      </c>
      <c r="J1052" s="169" t="s">
        <v>7712</v>
      </c>
      <c r="K1052" s="169">
        <f>IFERROR(MATCH(J1052,'Final List'!$B$4:$B$252,0),0)</f>
        <v>0</v>
      </c>
      <c r="L1052" s="169">
        <f>IFERROR(MATCH(J1052,'Final List'!$D$4:$D$252,0),0)</f>
        <v>0</v>
      </c>
      <c r="M1052" s="169">
        <f>IFERROR(MATCH(J1052,'Final List'!$F$4:$F$251,0),0)</f>
        <v>0</v>
      </c>
      <c r="N1052" s="169">
        <f>IFERROR(MATCH(J1052,'Final List'!$H$4:$H$252,0),0)</f>
        <v>0</v>
      </c>
      <c r="O1052" s="169">
        <f>IFERROR(MATCH(J1052,'Final List'!$J$4:$J$252,0),0)</f>
        <v>0</v>
      </c>
      <c r="P1052" s="169">
        <f>IFERROR(MATCH(J1052,'Final List'!$L$4:$L$252,0),0)</f>
        <v>0</v>
      </c>
      <c r="Q1052" s="169">
        <f>IFERROR(MATCH(J1052,'Final List'!$N$4:$N$252,0),0)</f>
        <v>0</v>
      </c>
      <c r="R1052" s="169">
        <f>IFERROR(MATCH(J1052,'Final List'!$P$4:$P$252,0),0)</f>
        <v>0</v>
      </c>
      <c r="S1052" s="169">
        <f t="shared" si="67"/>
        <v>0</v>
      </c>
      <c r="V1052" s="169" t="str">
        <f t="shared" si="65"/>
        <v>BORERO</v>
      </c>
      <c r="W1052" s="169" t="s">
        <v>2715</v>
      </c>
    </row>
    <row r="1053" spans="2:23" x14ac:dyDescent="0.25">
      <c r="B1053" s="169" t="s">
        <v>94</v>
      </c>
      <c r="C1053" s="169" t="s">
        <v>57</v>
      </c>
      <c r="D1053" s="169" t="s">
        <v>171</v>
      </c>
      <c r="E1053" s="169" t="s">
        <v>20</v>
      </c>
      <c r="F1053" s="245" t="str">
        <f t="shared" si="66"/>
        <v>DVW 74</v>
      </c>
      <c r="G1053" s="169" t="s">
        <v>5719</v>
      </c>
      <c r="I1053" s="169" t="str">
        <f t="shared" ref="I1053:I1116" si="68">CONCATENATE(B1053,"_",C1053,"_",D1053,"_",E1053)</f>
        <v>L07_JVSPLIT_015W_WINZE</v>
      </c>
      <c r="J1053" s="169" t="s">
        <v>7713</v>
      </c>
      <c r="K1053" s="169">
        <f>IFERROR(MATCH(J1053,'Final List'!$B$4:$B$252,0),0)</f>
        <v>0</v>
      </c>
      <c r="L1053" s="169">
        <f>IFERROR(MATCH(J1053,'Final List'!$D$4:$D$252,0),0)</f>
        <v>0</v>
      </c>
      <c r="M1053" s="169">
        <f>IFERROR(MATCH(J1053,'Final List'!$F$4:$F$251,0),0)</f>
        <v>0</v>
      </c>
      <c r="N1053" s="169">
        <f>IFERROR(MATCH(J1053,'Final List'!$H$4:$H$252,0),0)</f>
        <v>0</v>
      </c>
      <c r="O1053" s="169">
        <f>IFERROR(MATCH(J1053,'Final List'!$J$4:$J$252,0),0)</f>
        <v>0</v>
      </c>
      <c r="P1053" s="169">
        <f>IFERROR(MATCH(J1053,'Final List'!$L$4:$L$252,0),0)</f>
        <v>0</v>
      </c>
      <c r="Q1053" s="169">
        <f>IFERROR(MATCH(J1053,'Final List'!$N$4:$N$252,0),0)</f>
        <v>0</v>
      </c>
      <c r="R1053" s="169">
        <f>IFERROR(MATCH(J1053,'Final List'!$P$4:$P$252,0),0)</f>
        <v>0</v>
      </c>
      <c r="S1053" s="169">
        <f t="shared" si="67"/>
        <v>0</v>
      </c>
      <c r="V1053" s="169" t="str">
        <f t="shared" si="65"/>
        <v>DAVOCOL 1</v>
      </c>
      <c r="W1053" s="169" t="s">
        <v>2706</v>
      </c>
    </row>
    <row r="1054" spans="2:23" x14ac:dyDescent="0.25">
      <c r="B1054" s="169" t="s">
        <v>1166</v>
      </c>
      <c r="C1054" s="169" t="s">
        <v>55</v>
      </c>
      <c r="D1054" s="169" t="s">
        <v>168</v>
      </c>
      <c r="E1054" s="169" t="s">
        <v>19</v>
      </c>
      <c r="F1054" s="245" t="str">
        <f t="shared" si="66"/>
        <v>DVR 72</v>
      </c>
      <c r="G1054" s="169" t="s">
        <v>7716</v>
      </c>
      <c r="I1054" s="169" t="str">
        <f t="shared" si="68"/>
        <v>L11_JVFW_047E_RAISE</v>
      </c>
      <c r="J1054" s="169" t="s">
        <v>7715</v>
      </c>
      <c r="K1054" s="169">
        <f>IFERROR(MATCH(J1054,'Final List'!$B$4:$B$252,0),0)</f>
        <v>0</v>
      </c>
      <c r="L1054" s="169">
        <f>IFERROR(MATCH(J1054,'Final List'!$D$4:$D$252,0),0)</f>
        <v>0</v>
      </c>
      <c r="M1054" s="169">
        <f>IFERROR(MATCH(J1054,'Final List'!$F$4:$F$251,0),0)</f>
        <v>0</v>
      </c>
      <c r="N1054" s="169">
        <f>IFERROR(MATCH(J1054,'Final List'!$H$4:$H$252,0),0)</f>
        <v>0</v>
      </c>
      <c r="O1054" s="169">
        <f>IFERROR(MATCH(J1054,'Final List'!$J$4:$J$252,0),0)</f>
        <v>0</v>
      </c>
      <c r="P1054" s="169">
        <f>IFERROR(MATCH(J1054,'Final List'!$L$4:$L$252,0),0)</f>
        <v>0</v>
      </c>
      <c r="Q1054" s="169">
        <f>IFERROR(MATCH(J1054,'Final List'!$N$4:$N$252,0),0)</f>
        <v>0</v>
      </c>
      <c r="R1054" s="169">
        <f>IFERROR(MATCH(J1054,'Final List'!$P$4:$P$252,0),0)</f>
        <v>0</v>
      </c>
      <c r="S1054" s="169">
        <f t="shared" si="67"/>
        <v>0</v>
      </c>
      <c r="V1054" s="169" t="str">
        <f t="shared" si="65"/>
        <v>DUHIG P1</v>
      </c>
      <c r="W1054" s="169" t="s">
        <v>2715</v>
      </c>
    </row>
    <row r="1055" spans="2:23" x14ac:dyDescent="0.25">
      <c r="B1055" s="169" t="s">
        <v>258</v>
      </c>
      <c r="C1055" s="169" t="s">
        <v>87</v>
      </c>
      <c r="D1055" s="169" t="s">
        <v>143</v>
      </c>
      <c r="E1055" s="169" t="s">
        <v>37</v>
      </c>
      <c r="F1055" s="245" t="str">
        <f t="shared" si="66"/>
        <v>Dhoz 71</v>
      </c>
      <c r="G1055" s="169" t="s">
        <v>5704</v>
      </c>
      <c r="H1055" s="169" t="s">
        <v>11753</v>
      </c>
      <c r="I1055" s="169" t="str">
        <f t="shared" si="68"/>
        <v>L10_NONE_032E_XCN</v>
      </c>
      <c r="J1055" s="169" t="s">
        <v>1133</v>
      </c>
      <c r="K1055" s="169">
        <f>IFERROR(MATCH(J1055,'Final List'!$B$4:$B$252,0),0)</f>
        <v>0</v>
      </c>
      <c r="L1055" s="169">
        <f>IFERROR(MATCH(J1055,'Final List'!$D$4:$D$252,0),0)</f>
        <v>0</v>
      </c>
      <c r="M1055" s="169">
        <f>IFERROR(MATCH(J1055,'Final List'!$F$4:$F$251,0),0)</f>
        <v>0</v>
      </c>
      <c r="N1055" s="169">
        <f>IFERROR(MATCH(J1055,'Final List'!$H$4:$H$252,0),0)</f>
        <v>0</v>
      </c>
      <c r="O1055" s="169">
        <f>IFERROR(MATCH(J1055,'Final List'!$J$4:$J$252,0),0)</f>
        <v>0</v>
      </c>
      <c r="P1055" s="169">
        <f>IFERROR(MATCH(J1055,'Final List'!$L$4:$L$252,0),0)</f>
        <v>0</v>
      </c>
      <c r="Q1055" s="169">
        <f>IFERROR(MATCH(J1055,'Final List'!$N$4:$N$252,0),0)</f>
        <v>0</v>
      </c>
      <c r="R1055" s="169">
        <f>IFERROR(MATCH(J1055,'Final List'!$P$4:$P$252,0),0)</f>
        <v>0</v>
      </c>
      <c r="S1055" s="169">
        <f t="shared" si="67"/>
        <v>0</v>
      </c>
      <c r="V1055" s="169" t="str">
        <f t="shared" si="65"/>
        <v>SHEPHERD BB1</v>
      </c>
      <c r="W1055" s="169" t="s">
        <v>8898</v>
      </c>
    </row>
    <row r="1056" spans="2:23" x14ac:dyDescent="0.25">
      <c r="B1056" s="169" t="s">
        <v>96</v>
      </c>
      <c r="C1056" s="169" t="s">
        <v>45</v>
      </c>
      <c r="D1056" s="169" t="s">
        <v>226</v>
      </c>
      <c r="E1056" s="169" t="s">
        <v>60</v>
      </c>
      <c r="F1056" s="245" t="str">
        <f t="shared" si="66"/>
        <v>Dhoz 71</v>
      </c>
      <c r="G1056" s="169" t="s">
        <v>3860</v>
      </c>
      <c r="I1056" s="169" t="str">
        <f t="shared" si="68"/>
        <v>L09_DPVE_074E_DE</v>
      </c>
      <c r="J1056" s="169" t="s">
        <v>7720</v>
      </c>
      <c r="K1056" s="169">
        <f>IFERROR(MATCH(J1056,'Final List'!$B$4:$B$252,0),0)</f>
        <v>0</v>
      </c>
      <c r="L1056" s="169">
        <f>IFERROR(MATCH(J1056,'Final List'!$D$4:$D$252,0),0)</f>
        <v>0</v>
      </c>
      <c r="M1056" s="169">
        <f>IFERROR(MATCH(J1056,'Final List'!$F$4:$F$251,0),0)</f>
        <v>0</v>
      </c>
      <c r="N1056" s="169">
        <f>IFERROR(MATCH(J1056,'Final List'!$H$4:$H$252,0),0)</f>
        <v>0</v>
      </c>
      <c r="O1056" s="169">
        <f>IFERROR(MATCH(J1056,'Final List'!$J$4:$J$252,0),0)</f>
        <v>0</v>
      </c>
      <c r="P1056" s="169">
        <f>IFERROR(MATCH(J1056,'Final List'!$L$4:$L$252,0),0)</f>
        <v>0</v>
      </c>
      <c r="Q1056" s="169">
        <f>IFERROR(MATCH(J1056,'Final List'!$N$4:$N$252,0),0)</f>
        <v>0</v>
      </c>
      <c r="R1056" s="169">
        <f>IFERROR(MATCH(J1056,'Final List'!$P$4:$P$252,0),0)</f>
        <v>0</v>
      </c>
      <c r="S1056" s="169">
        <f t="shared" si="67"/>
        <v>0</v>
      </c>
      <c r="V1056" s="169" t="str">
        <f t="shared" si="65"/>
        <v>FERNANDEZ, REX 1</v>
      </c>
      <c r="W1056" s="169" t="s">
        <v>8896</v>
      </c>
    </row>
    <row r="1057" spans="2:23" x14ac:dyDescent="0.25">
      <c r="B1057" s="169" t="s">
        <v>93</v>
      </c>
      <c r="C1057" s="169" t="s">
        <v>39</v>
      </c>
      <c r="D1057" s="169" t="s">
        <v>5844</v>
      </c>
      <c r="E1057" s="169" t="s">
        <v>19</v>
      </c>
      <c r="F1057" s="245" t="str">
        <f t="shared" si="66"/>
        <v>DVR 72</v>
      </c>
      <c r="G1057" s="169" t="s">
        <v>352</v>
      </c>
      <c r="I1057" s="169" t="str">
        <f t="shared" si="68"/>
        <v>L06_JVHW_009W_RAISE</v>
      </c>
      <c r="J1057" s="169" t="s">
        <v>7721</v>
      </c>
      <c r="K1057" s="169">
        <f>IFERROR(MATCH(J1057,'Final List'!$B$4:$B$252,0),0)</f>
        <v>0</v>
      </c>
      <c r="L1057" s="169">
        <f>IFERROR(MATCH(J1057,'Final List'!$D$4:$D$252,0),0)</f>
        <v>0</v>
      </c>
      <c r="M1057" s="169">
        <f>IFERROR(MATCH(J1057,'Final List'!$F$4:$F$251,0),0)</f>
        <v>0</v>
      </c>
      <c r="N1057" s="169">
        <f>IFERROR(MATCH(J1057,'Final List'!$H$4:$H$252,0),0)</f>
        <v>0</v>
      </c>
      <c r="O1057" s="169">
        <f>IFERROR(MATCH(J1057,'Final List'!$J$4:$J$252,0),0)</f>
        <v>0</v>
      </c>
      <c r="P1057" s="169">
        <f>IFERROR(MATCH(J1057,'Final List'!$L$4:$L$252,0),0)</f>
        <v>0</v>
      </c>
      <c r="Q1057" s="169">
        <f>IFERROR(MATCH(J1057,'Final List'!$N$4:$N$252,0),0)</f>
        <v>0</v>
      </c>
      <c r="R1057" s="169">
        <f>IFERROR(MATCH(J1057,'Final List'!$P$4:$P$252,0),0)</f>
        <v>0</v>
      </c>
      <c r="S1057" s="169">
        <f t="shared" si="67"/>
        <v>0</v>
      </c>
      <c r="V1057" s="169" t="str">
        <f t="shared" si="65"/>
        <v>BAÑEZ 5</v>
      </c>
      <c r="W1057" s="169" t="s">
        <v>2715</v>
      </c>
    </row>
    <row r="1058" spans="2:23" x14ac:dyDescent="0.25">
      <c r="B1058" s="169" t="s">
        <v>93</v>
      </c>
      <c r="C1058" s="169" t="s">
        <v>42</v>
      </c>
      <c r="D1058" s="169" t="s">
        <v>141</v>
      </c>
      <c r="E1058" s="169" t="s">
        <v>20</v>
      </c>
      <c r="F1058" s="245" t="str">
        <f t="shared" si="66"/>
        <v>DVW 74</v>
      </c>
      <c r="G1058" s="169" t="s">
        <v>352</v>
      </c>
      <c r="I1058" s="169" t="str">
        <f t="shared" si="68"/>
        <v>L06_JV_029E_WINZE</v>
      </c>
      <c r="J1058" s="169" t="s">
        <v>7722</v>
      </c>
      <c r="K1058" s="169">
        <f>IFERROR(MATCH(J1058,'Final List'!$B$4:$B$252,0),0)</f>
        <v>0</v>
      </c>
      <c r="L1058" s="169">
        <f>IFERROR(MATCH(J1058,'Final List'!$D$4:$D$252,0),0)</f>
        <v>0</v>
      </c>
      <c r="M1058" s="169">
        <f>IFERROR(MATCH(J1058,'Final List'!$F$4:$F$251,0),0)</f>
        <v>0</v>
      </c>
      <c r="N1058" s="169">
        <f>IFERROR(MATCH(J1058,'Final List'!$H$4:$H$252,0),0)</f>
        <v>0</v>
      </c>
      <c r="O1058" s="169">
        <f>IFERROR(MATCH(J1058,'Final List'!$J$4:$J$252,0),0)</f>
        <v>0</v>
      </c>
      <c r="P1058" s="169">
        <f>IFERROR(MATCH(J1058,'Final List'!$L$4:$L$252,0),0)</f>
        <v>0</v>
      </c>
      <c r="Q1058" s="169">
        <f>IFERROR(MATCH(J1058,'Final List'!$N$4:$N$252,0),0)</f>
        <v>0</v>
      </c>
      <c r="R1058" s="169">
        <f>IFERROR(MATCH(J1058,'Final List'!$P$4:$P$252,0),0)</f>
        <v>0</v>
      </c>
      <c r="S1058" s="169">
        <f t="shared" si="67"/>
        <v>0</v>
      </c>
      <c r="V1058" s="169" t="str">
        <f t="shared" si="65"/>
        <v>BAÑEZ 5</v>
      </c>
      <c r="W1058" s="169" t="s">
        <v>2706</v>
      </c>
    </row>
    <row r="1059" spans="2:23" x14ac:dyDescent="0.25">
      <c r="B1059" s="169" t="s">
        <v>91</v>
      </c>
      <c r="C1059" s="169" t="s">
        <v>41</v>
      </c>
      <c r="D1059" s="169" t="s">
        <v>162</v>
      </c>
      <c r="E1059" s="169" t="s">
        <v>20</v>
      </c>
      <c r="F1059" s="245" t="str">
        <f t="shared" si="66"/>
        <v>DVW 74</v>
      </c>
      <c r="G1059" s="169" t="s">
        <v>394</v>
      </c>
      <c r="I1059" s="169" t="str">
        <f t="shared" si="68"/>
        <v>L04_CTV_008E_WINZE</v>
      </c>
      <c r="J1059" s="169" t="s">
        <v>7727</v>
      </c>
      <c r="K1059" s="169">
        <f>IFERROR(MATCH(J1059,'Final List'!$B$4:$B$252,0),0)</f>
        <v>0</v>
      </c>
      <c r="L1059" s="169">
        <f>IFERROR(MATCH(J1059,'Final List'!$D$4:$D$252,0),0)</f>
        <v>0</v>
      </c>
      <c r="M1059" s="169">
        <f>IFERROR(MATCH(J1059,'Final List'!$F$4:$F$251,0),0)</f>
        <v>0</v>
      </c>
      <c r="N1059" s="169">
        <f>IFERROR(MATCH(J1059,'Final List'!$H$4:$H$252,0),0)</f>
        <v>0</v>
      </c>
      <c r="O1059" s="169">
        <f>IFERROR(MATCH(J1059,'Final List'!$J$4:$J$252,0),0)</f>
        <v>0</v>
      </c>
      <c r="P1059" s="169">
        <f>IFERROR(MATCH(J1059,'Final List'!$L$4:$L$252,0),0)</f>
        <v>0</v>
      </c>
      <c r="Q1059" s="169">
        <f>IFERROR(MATCH(J1059,'Final List'!$N$4:$N$252,0),0)</f>
        <v>0</v>
      </c>
      <c r="R1059" s="169">
        <f>IFERROR(MATCH(J1059,'Final List'!$P$4:$P$252,0),0)</f>
        <v>0</v>
      </c>
      <c r="S1059" s="169">
        <f t="shared" si="67"/>
        <v>0</v>
      </c>
      <c r="V1059" s="169" t="str">
        <f t="shared" si="65"/>
        <v>ANDILAB 1</v>
      </c>
      <c r="W1059" s="169" t="s">
        <v>2706</v>
      </c>
    </row>
    <row r="1060" spans="2:23" x14ac:dyDescent="0.25">
      <c r="B1060" s="169" t="s">
        <v>1167</v>
      </c>
      <c r="C1060" s="169" t="s">
        <v>42</v>
      </c>
      <c r="D1060" s="169" t="s">
        <v>5742</v>
      </c>
      <c r="E1060" s="169" t="s">
        <v>19</v>
      </c>
      <c r="F1060" s="245" t="str">
        <f t="shared" si="66"/>
        <v>DVR 72</v>
      </c>
      <c r="G1060" s="169" t="s">
        <v>6934</v>
      </c>
      <c r="I1060" s="169" t="str">
        <f t="shared" si="68"/>
        <v>L12_JV_040E_RAISE</v>
      </c>
      <c r="J1060" s="169" t="s">
        <v>7728</v>
      </c>
      <c r="K1060" s="169">
        <f>IFERROR(MATCH(J1060,'Final List'!$B$4:$B$252,0),0)</f>
        <v>0</v>
      </c>
      <c r="L1060" s="169">
        <f>IFERROR(MATCH(J1060,'Final List'!$D$4:$D$252,0),0)</f>
        <v>0</v>
      </c>
      <c r="M1060" s="169">
        <f>IFERROR(MATCH(J1060,'Final List'!$F$4:$F$251,0),0)</f>
        <v>0</v>
      </c>
      <c r="N1060" s="169">
        <f>IFERROR(MATCH(J1060,'Final List'!$H$4:$H$252,0),0)</f>
        <v>0</v>
      </c>
      <c r="O1060" s="169">
        <f>IFERROR(MATCH(J1060,'Final List'!$J$4:$J$252,0),0)</f>
        <v>0</v>
      </c>
      <c r="P1060" s="169">
        <f>IFERROR(MATCH(J1060,'Final List'!$L$4:$L$252,0),0)</f>
        <v>0</v>
      </c>
      <c r="Q1060" s="169">
        <f>IFERROR(MATCH(J1060,'Final List'!$N$4:$N$252,0),0)</f>
        <v>0</v>
      </c>
      <c r="R1060" s="169">
        <f>IFERROR(MATCH(J1060,'Final List'!$P$4:$P$252,0),0)</f>
        <v>0</v>
      </c>
      <c r="S1060" s="169">
        <f t="shared" si="67"/>
        <v>0</v>
      </c>
      <c r="V1060" s="169" t="str">
        <f t="shared" si="65"/>
        <v>DUHIG, P7</v>
      </c>
      <c r="W1060" s="169" t="s">
        <v>2715</v>
      </c>
    </row>
    <row r="1061" spans="2:23" x14ac:dyDescent="0.25">
      <c r="B1061" s="169" t="s">
        <v>1166</v>
      </c>
      <c r="C1061" s="169" t="s">
        <v>59</v>
      </c>
      <c r="D1061" s="169" t="s">
        <v>164</v>
      </c>
      <c r="E1061" s="169" t="s">
        <v>19</v>
      </c>
      <c r="F1061" s="245" t="str">
        <f t="shared" si="66"/>
        <v>DVR 72</v>
      </c>
      <c r="G1061" s="169" t="s">
        <v>7730</v>
      </c>
      <c r="H1061" s="169" t="s">
        <v>448</v>
      </c>
      <c r="I1061" s="169" t="str">
        <f t="shared" si="68"/>
        <v>L11_GHVHW_064E_RAISE</v>
      </c>
      <c r="J1061" s="169" t="s">
        <v>7729</v>
      </c>
      <c r="K1061" s="169">
        <f>IFERROR(MATCH(J1061,'Final List'!$B$4:$B$252,0),0)</f>
        <v>0</v>
      </c>
      <c r="L1061" s="169">
        <f>IFERROR(MATCH(J1061,'Final List'!$D$4:$D$252,0),0)</f>
        <v>0</v>
      </c>
      <c r="M1061" s="169">
        <f>IFERROR(MATCH(J1061,'Final List'!$F$4:$F$251,0),0)</f>
        <v>0</v>
      </c>
      <c r="N1061" s="169">
        <f>IFERROR(MATCH(J1061,'Final List'!$H$4:$H$252,0),0)</f>
        <v>0</v>
      </c>
      <c r="O1061" s="169">
        <f>IFERROR(MATCH(J1061,'Final List'!$J$4:$J$252,0),0)</f>
        <v>0</v>
      </c>
      <c r="P1061" s="169">
        <f>IFERROR(MATCH(J1061,'Final List'!$L$4:$L$252,0),0)</f>
        <v>0</v>
      </c>
      <c r="Q1061" s="169">
        <f>IFERROR(MATCH(J1061,'Final List'!$N$4:$N$252,0),0)</f>
        <v>0</v>
      </c>
      <c r="R1061" s="169">
        <f>IFERROR(MATCH(J1061,'Final List'!$P$4:$P$252,0),0)</f>
        <v>0</v>
      </c>
      <c r="S1061" s="169">
        <f t="shared" si="67"/>
        <v>0</v>
      </c>
      <c r="V1061" s="169" t="str">
        <f t="shared" si="65"/>
        <v>COMAINGKING 2</v>
      </c>
      <c r="W1061" s="169" t="s">
        <v>2715</v>
      </c>
    </row>
    <row r="1062" spans="2:23" x14ac:dyDescent="0.25">
      <c r="B1062" s="169" t="s">
        <v>95</v>
      </c>
      <c r="C1062" s="169" t="s">
        <v>87</v>
      </c>
      <c r="D1062" s="169" t="s">
        <v>5612</v>
      </c>
      <c r="E1062" s="169" t="s">
        <v>37</v>
      </c>
      <c r="F1062" s="245" t="str">
        <f t="shared" si="66"/>
        <v>Dhoz 71</v>
      </c>
      <c r="G1062" s="169" t="s">
        <v>5</v>
      </c>
      <c r="I1062" s="169" t="str">
        <f t="shared" si="68"/>
        <v>L08_NONE_011W_XCN</v>
      </c>
      <c r="J1062" s="169" t="s">
        <v>7732</v>
      </c>
      <c r="K1062" s="169">
        <f>IFERROR(MATCH(J1062,'Final List'!$B$4:$B$252,0),0)</f>
        <v>0</v>
      </c>
      <c r="L1062" s="169">
        <f>IFERROR(MATCH(J1062,'Final List'!$D$4:$D$252,0),0)</f>
        <v>0</v>
      </c>
      <c r="M1062" s="169">
        <f>IFERROR(MATCH(J1062,'Final List'!$F$4:$F$251,0),0)</f>
        <v>0</v>
      </c>
      <c r="N1062" s="169">
        <f>IFERROR(MATCH(J1062,'Final List'!$H$4:$H$252,0),0)</f>
        <v>0</v>
      </c>
      <c r="O1062" s="169">
        <f>IFERROR(MATCH(J1062,'Final List'!$J$4:$J$252,0),0)</f>
        <v>0</v>
      </c>
      <c r="P1062" s="169">
        <f>IFERROR(MATCH(J1062,'Final List'!$L$4:$L$252,0),0)</f>
        <v>0</v>
      </c>
      <c r="Q1062" s="169">
        <f>IFERROR(MATCH(J1062,'Final List'!$N$4:$N$252,0),0)</f>
        <v>0</v>
      </c>
      <c r="R1062" s="169">
        <f>IFERROR(MATCH(J1062,'Final List'!$P$4:$P$252,0),0)</f>
        <v>0</v>
      </c>
      <c r="S1062" s="169">
        <f t="shared" si="67"/>
        <v>0</v>
      </c>
      <c r="V1062" s="169" t="str">
        <f t="shared" si="65"/>
        <v>BELICAN</v>
      </c>
      <c r="W1062" s="169" t="s">
        <v>8897</v>
      </c>
    </row>
    <row r="1063" spans="2:23" x14ac:dyDescent="0.25">
      <c r="B1063" s="169" t="s">
        <v>94</v>
      </c>
      <c r="C1063" s="169" t="s">
        <v>42</v>
      </c>
      <c r="D1063" s="169" t="s">
        <v>201</v>
      </c>
      <c r="E1063" s="169" t="s">
        <v>441</v>
      </c>
      <c r="F1063" s="245" t="str">
        <f t="shared" si="66"/>
        <v>RobC 80</v>
      </c>
      <c r="G1063" s="169" t="s">
        <v>2972</v>
      </c>
      <c r="I1063" s="169" t="str">
        <f t="shared" si="68"/>
        <v>L07_JV_067E_WINZE STOPE PREP</v>
      </c>
      <c r="J1063" s="169" t="s">
        <v>7734</v>
      </c>
      <c r="K1063" s="169">
        <f>IFERROR(MATCH(J1063,'Final List'!$B$4:$B$252,0),0)</f>
        <v>0</v>
      </c>
      <c r="L1063" s="169">
        <f>IFERROR(MATCH(J1063,'Final List'!$D$4:$D$252,0),0)</f>
        <v>0</v>
      </c>
      <c r="M1063" s="169">
        <f>IFERROR(MATCH(J1063,'Final List'!$F$4:$F$251,0),0)</f>
        <v>0</v>
      </c>
      <c r="N1063" s="169">
        <f>IFERROR(MATCH(J1063,'Final List'!$H$4:$H$252,0),0)</f>
        <v>0</v>
      </c>
      <c r="O1063" s="169">
        <f>IFERROR(MATCH(J1063,'Final List'!$J$4:$J$252,0),0)</f>
        <v>0</v>
      </c>
      <c r="P1063" s="169">
        <f>IFERROR(MATCH(J1063,'Final List'!$L$4:$L$252,0),0)</f>
        <v>0</v>
      </c>
      <c r="Q1063" s="169">
        <f>IFERROR(MATCH(J1063,'Final List'!$N$4:$N$252,0),0)</f>
        <v>0</v>
      </c>
      <c r="R1063" s="169">
        <f>IFERROR(MATCH(J1063,'Final List'!$P$4:$P$252,0),0)</f>
        <v>0</v>
      </c>
      <c r="S1063" s="169">
        <f t="shared" si="67"/>
        <v>0</v>
      </c>
      <c r="T1063" s="169" t="s">
        <v>68</v>
      </c>
      <c r="V1063" s="169" t="str">
        <f t="shared" si="65"/>
        <v>FABROA 1</v>
      </c>
      <c r="W1063" s="169" t="s">
        <v>2716</v>
      </c>
    </row>
    <row r="1064" spans="2:23" x14ac:dyDescent="0.25">
      <c r="B1064" s="169" t="s">
        <v>91</v>
      </c>
      <c r="C1064" s="169" t="s">
        <v>41</v>
      </c>
      <c r="D1064" s="169" t="s">
        <v>5940</v>
      </c>
      <c r="E1064" s="169" t="s">
        <v>6143</v>
      </c>
      <c r="F1064" s="245" t="str">
        <f t="shared" si="66"/>
        <v>Dhoz 71</v>
      </c>
      <c r="G1064" s="169" t="s">
        <v>340</v>
      </c>
      <c r="H1064" s="169" t="s">
        <v>7250</v>
      </c>
      <c r="I1064" s="169" t="str">
        <f t="shared" si="68"/>
        <v>L04_CTV_022W_DE_ISL</v>
      </c>
      <c r="J1064" s="169" t="s">
        <v>7735</v>
      </c>
      <c r="K1064" s="169">
        <f>IFERROR(MATCH(J1064,'Final List'!$B$4:$B$252,0),0)</f>
        <v>0</v>
      </c>
      <c r="L1064" s="169">
        <f>IFERROR(MATCH(J1064,'Final List'!$D$4:$D$252,0),0)</f>
        <v>0</v>
      </c>
      <c r="M1064" s="169">
        <f>IFERROR(MATCH(J1064,'Final List'!$F$4:$F$251,0),0)</f>
        <v>0</v>
      </c>
      <c r="N1064" s="169">
        <f>IFERROR(MATCH(J1064,'Final List'!$H$4:$H$252,0),0)</f>
        <v>0</v>
      </c>
      <c r="O1064" s="169">
        <f>IFERROR(MATCH(J1064,'Final List'!$J$4:$J$252,0),0)</f>
        <v>0</v>
      </c>
      <c r="P1064" s="169">
        <f>IFERROR(MATCH(J1064,'Final List'!$L$4:$L$252,0),0)</f>
        <v>0</v>
      </c>
      <c r="Q1064" s="169">
        <f>IFERROR(MATCH(J1064,'Final List'!$N$4:$N$252,0),0)</f>
        <v>0</v>
      </c>
      <c r="R1064" s="169">
        <f>IFERROR(MATCH(J1064,'Final List'!$P$4:$P$252,0),0)</f>
        <v>0</v>
      </c>
      <c r="S1064" s="169">
        <f t="shared" si="67"/>
        <v>0</v>
      </c>
      <c r="V1064" s="169" t="str">
        <f t="shared" si="65"/>
        <v>SHEPHERD AQ 2</v>
      </c>
      <c r="W1064" s="169" t="s">
        <v>2708</v>
      </c>
    </row>
    <row r="1065" spans="2:23" x14ac:dyDescent="0.25">
      <c r="B1065" s="169" t="s">
        <v>258</v>
      </c>
      <c r="C1065" s="169" t="s">
        <v>45</v>
      </c>
      <c r="D1065" s="169" t="s">
        <v>122</v>
      </c>
      <c r="E1065" s="169" t="s">
        <v>211</v>
      </c>
      <c r="F1065" s="245" t="str">
        <f t="shared" si="66"/>
        <v>StpS 77</v>
      </c>
      <c r="G1065" s="169" t="s">
        <v>361</v>
      </c>
      <c r="I1065" s="169" t="str">
        <f t="shared" si="68"/>
        <v>L10_DPVE_025E_STOPE PREP</v>
      </c>
      <c r="J1065" s="169" t="s">
        <v>7740</v>
      </c>
      <c r="K1065" s="169">
        <f>IFERROR(MATCH(J1065,'Final List'!$B$4:$B$252,0),0)</f>
        <v>0</v>
      </c>
      <c r="L1065" s="169">
        <f>IFERROR(MATCH(J1065,'Final List'!$D$4:$D$252,0),0)</f>
        <v>0</v>
      </c>
      <c r="M1065" s="169">
        <f>IFERROR(MATCH(J1065,'Final List'!$F$4:$F$251,0),0)</f>
        <v>0</v>
      </c>
      <c r="N1065" s="169">
        <f>IFERROR(MATCH(J1065,'Final List'!$H$4:$H$252,0),0)</f>
        <v>0</v>
      </c>
      <c r="O1065" s="169">
        <f>IFERROR(MATCH(J1065,'Final List'!$J$4:$J$252,0),0)</f>
        <v>0</v>
      </c>
      <c r="P1065" s="169">
        <f>IFERROR(MATCH(J1065,'Final List'!$L$4:$L$252,0),0)</f>
        <v>0</v>
      </c>
      <c r="Q1065" s="169">
        <f>IFERROR(MATCH(J1065,'Final List'!$N$4:$N$252,0),0)</f>
        <v>0</v>
      </c>
      <c r="R1065" s="169">
        <f>IFERROR(MATCH(J1065,'Final List'!$P$4:$P$252,0),0)</f>
        <v>0</v>
      </c>
      <c r="S1065" s="169">
        <f t="shared" si="67"/>
        <v>0</v>
      </c>
      <c r="T1065" s="169" t="s">
        <v>68</v>
      </c>
      <c r="V1065" s="169" t="str">
        <f t="shared" si="65"/>
        <v>ALMASA 2</v>
      </c>
      <c r="W1065" s="169" t="s">
        <v>2712</v>
      </c>
    </row>
    <row r="1066" spans="2:23" x14ac:dyDescent="0.25">
      <c r="B1066" s="169" t="s">
        <v>91</v>
      </c>
      <c r="C1066" s="169" t="s">
        <v>42</v>
      </c>
      <c r="D1066" s="169" t="s">
        <v>132</v>
      </c>
      <c r="E1066" s="169" t="s">
        <v>62</v>
      </c>
      <c r="F1066" s="245" t="str">
        <f t="shared" si="66"/>
        <v>RobC 80</v>
      </c>
      <c r="G1066" s="169" t="s">
        <v>7742</v>
      </c>
      <c r="I1066" s="169" t="str">
        <f t="shared" si="68"/>
        <v>L04_JV_033E_ROBBING</v>
      </c>
      <c r="J1066" s="169" t="s">
        <v>7741</v>
      </c>
      <c r="K1066" s="169">
        <f>IFERROR(MATCH(J1066,'Final List'!$B$4:$B$252,0),0)</f>
        <v>0</v>
      </c>
      <c r="L1066" s="169">
        <f>IFERROR(MATCH(J1066,'Final List'!$D$4:$D$252,0),0)</f>
        <v>0</v>
      </c>
      <c r="M1066" s="169">
        <f>IFERROR(MATCH(J1066,'Final List'!$F$4:$F$251,0),0)</f>
        <v>0</v>
      </c>
      <c r="N1066" s="169">
        <f>IFERROR(MATCH(J1066,'Final List'!$H$4:$H$252,0),0)</f>
        <v>0</v>
      </c>
      <c r="O1066" s="169">
        <f>IFERROR(MATCH(J1066,'Final List'!$J$4:$J$252,0),0)</f>
        <v>0</v>
      </c>
      <c r="P1066" s="169">
        <f>IFERROR(MATCH(J1066,'Final List'!$L$4:$L$252,0),0)</f>
        <v>0</v>
      </c>
      <c r="Q1066" s="169">
        <f>IFERROR(MATCH(J1066,'Final List'!$N$4:$N$252,0),0)</f>
        <v>0</v>
      </c>
      <c r="R1066" s="169">
        <f>IFERROR(MATCH(J1066,'Final List'!$P$4:$P$252,0),0)</f>
        <v>0</v>
      </c>
      <c r="S1066" s="169">
        <f t="shared" si="67"/>
        <v>0</v>
      </c>
      <c r="T1066" s="169" t="s">
        <v>48</v>
      </c>
      <c r="V1066" s="169" t="str">
        <f t="shared" si="65"/>
        <v>NARTINEZ, RON 2</v>
      </c>
      <c r="W1066" s="169" t="s">
        <v>236</v>
      </c>
    </row>
    <row r="1067" spans="2:23" x14ac:dyDescent="0.25">
      <c r="B1067" s="169" t="s">
        <v>92</v>
      </c>
      <c r="C1067" s="169" t="s">
        <v>45</v>
      </c>
      <c r="D1067" s="169" t="s">
        <v>5781</v>
      </c>
      <c r="E1067" s="169" t="s">
        <v>20</v>
      </c>
      <c r="F1067" s="245" t="str">
        <f t="shared" si="66"/>
        <v>DVW 74</v>
      </c>
      <c r="G1067" s="169" t="s">
        <v>7390</v>
      </c>
      <c r="I1067" s="169" t="str">
        <f t="shared" si="68"/>
        <v>L05_DPVE_051E_WINZE</v>
      </c>
      <c r="J1067" s="169" t="s">
        <v>7743</v>
      </c>
      <c r="K1067" s="169">
        <f>IFERROR(MATCH(J1067,'Final List'!$B$4:$B$252,0),0)</f>
        <v>0</v>
      </c>
      <c r="L1067" s="169">
        <f>IFERROR(MATCH(J1067,'Final List'!$D$4:$D$252,0),0)</f>
        <v>0</v>
      </c>
      <c r="M1067" s="169">
        <f>IFERROR(MATCH(J1067,'Final List'!$F$4:$F$251,0),0)</f>
        <v>0</v>
      </c>
      <c r="N1067" s="169">
        <f>IFERROR(MATCH(J1067,'Final List'!$H$4:$H$252,0),0)</f>
        <v>0</v>
      </c>
      <c r="O1067" s="169">
        <f>IFERROR(MATCH(J1067,'Final List'!$J$4:$J$252,0),0)</f>
        <v>0</v>
      </c>
      <c r="P1067" s="169">
        <f>IFERROR(MATCH(J1067,'Final List'!$L$4:$L$252,0),0)</f>
        <v>0</v>
      </c>
      <c r="Q1067" s="169">
        <f>IFERROR(MATCH(J1067,'Final List'!$N$4:$N$252,0),0)</f>
        <v>0</v>
      </c>
      <c r="R1067" s="169">
        <f>IFERROR(MATCH(J1067,'Final List'!$P$4:$P$252,0),0)</f>
        <v>0</v>
      </c>
      <c r="S1067" s="169">
        <f t="shared" si="67"/>
        <v>0</v>
      </c>
      <c r="V1067" s="169" t="str">
        <f t="shared" si="65"/>
        <v>FERNANDEZ, RG</v>
      </c>
      <c r="W1067" s="169" t="s">
        <v>2706</v>
      </c>
    </row>
    <row r="1068" spans="2:23" x14ac:dyDescent="0.25">
      <c r="B1068" s="169" t="s">
        <v>93</v>
      </c>
      <c r="C1068" s="169" t="s">
        <v>38</v>
      </c>
      <c r="D1068" s="169" t="s">
        <v>132</v>
      </c>
      <c r="E1068" s="169" t="s">
        <v>20</v>
      </c>
      <c r="F1068" s="245" t="str">
        <f t="shared" si="66"/>
        <v>DVW 74</v>
      </c>
      <c r="G1068" s="169" t="s">
        <v>6980</v>
      </c>
      <c r="I1068" s="169" t="str">
        <f t="shared" si="68"/>
        <v>L06_GHV_033E_WINZE</v>
      </c>
      <c r="J1068" s="169" t="s">
        <v>7746</v>
      </c>
      <c r="K1068" s="169">
        <f>IFERROR(MATCH(J1068,'Final List'!$B$4:$B$252,0),0)</f>
        <v>0</v>
      </c>
      <c r="L1068" s="169">
        <f>IFERROR(MATCH(J1068,'Final List'!$D$4:$D$252,0),0)</f>
        <v>0</v>
      </c>
      <c r="M1068" s="169">
        <f>IFERROR(MATCH(J1068,'Final List'!$F$4:$F$251,0),0)</f>
        <v>0</v>
      </c>
      <c r="N1068" s="169">
        <f>IFERROR(MATCH(J1068,'Final List'!$H$4:$H$252,0),0)</f>
        <v>0</v>
      </c>
      <c r="O1068" s="169">
        <f>IFERROR(MATCH(J1068,'Final List'!$J$4:$J$252,0),0)</f>
        <v>0</v>
      </c>
      <c r="P1068" s="169">
        <f>IFERROR(MATCH(J1068,'Final List'!$L$4:$L$252,0),0)</f>
        <v>0</v>
      </c>
      <c r="Q1068" s="169">
        <f>IFERROR(MATCH(J1068,'Final List'!$N$4:$N$252,0),0)</f>
        <v>0</v>
      </c>
      <c r="R1068" s="169">
        <f>IFERROR(MATCH(J1068,'Final List'!$P$4:$P$252,0),0)</f>
        <v>0</v>
      </c>
      <c r="S1068" s="169">
        <f t="shared" si="67"/>
        <v>0</v>
      </c>
      <c r="V1068" s="169" t="str">
        <f t="shared" si="65"/>
        <v>BADBADON 3</v>
      </c>
      <c r="W1068" s="169" t="s">
        <v>2706</v>
      </c>
    </row>
    <row r="1069" spans="2:23" x14ac:dyDescent="0.25">
      <c r="B1069" s="169" t="s">
        <v>94</v>
      </c>
      <c r="C1069" s="169" t="s">
        <v>45</v>
      </c>
      <c r="D1069" s="169" t="s">
        <v>160</v>
      </c>
      <c r="E1069" s="169" t="s">
        <v>61</v>
      </c>
      <c r="F1069" s="245" t="str">
        <f t="shared" si="66"/>
        <v>Dhoz 71</v>
      </c>
      <c r="G1069" s="169" t="s">
        <v>5921</v>
      </c>
      <c r="I1069" s="169" t="str">
        <f t="shared" si="68"/>
        <v>L07_DPVE_042E_DW</v>
      </c>
      <c r="J1069" s="169" t="s">
        <v>762</v>
      </c>
      <c r="K1069" s="169">
        <f>IFERROR(MATCH(J1069,'Final List'!$B$4:$B$252,0),0)</f>
        <v>0</v>
      </c>
      <c r="L1069" s="169">
        <f>IFERROR(MATCH(J1069,'Final List'!$D$4:$D$252,0),0)</f>
        <v>0</v>
      </c>
      <c r="M1069" s="169">
        <f>IFERROR(MATCH(J1069,'Final List'!$F$4:$F$251,0),0)</f>
        <v>0</v>
      </c>
      <c r="N1069" s="169">
        <f>IFERROR(MATCH(J1069,'Final List'!$H$4:$H$252,0),0)</f>
        <v>0</v>
      </c>
      <c r="O1069" s="169">
        <f>IFERROR(MATCH(J1069,'Final List'!$J$4:$J$252,0),0)</f>
        <v>0</v>
      </c>
      <c r="P1069" s="169">
        <f>IFERROR(MATCH(J1069,'Final List'!$L$4:$L$252,0),0)</f>
        <v>0</v>
      </c>
      <c r="Q1069" s="169">
        <f>IFERROR(MATCH(J1069,'Final List'!$N$4:$N$252,0),0)</f>
        <v>0</v>
      </c>
      <c r="R1069" s="169">
        <f>IFERROR(MATCH(J1069,'Final List'!$P$4:$P$252,0),0)</f>
        <v>0</v>
      </c>
      <c r="S1069" s="169">
        <f t="shared" si="67"/>
        <v>0</v>
      </c>
      <c r="V1069" s="169" t="str">
        <f t="shared" si="65"/>
        <v>TURRA 2</v>
      </c>
      <c r="W1069" s="169" t="s">
        <v>8895</v>
      </c>
    </row>
    <row r="1070" spans="2:23" x14ac:dyDescent="0.25">
      <c r="B1070" s="169" t="s">
        <v>94</v>
      </c>
      <c r="C1070" s="169" t="s">
        <v>56</v>
      </c>
      <c r="D1070" s="169" t="s">
        <v>6139</v>
      </c>
      <c r="E1070" s="169" t="s">
        <v>62</v>
      </c>
      <c r="F1070" s="245" t="str">
        <f t="shared" si="66"/>
        <v>RobS 79</v>
      </c>
      <c r="G1070" s="169" t="s">
        <v>376</v>
      </c>
      <c r="I1070" s="169" t="str">
        <f t="shared" si="68"/>
        <v>L07_GHVFW_030W_ROBBING</v>
      </c>
      <c r="J1070" s="169" t="s">
        <v>7751</v>
      </c>
      <c r="K1070" s="169">
        <f>IFERROR(MATCH(J1070,'Final List'!$B$4:$B$252,0),0)</f>
        <v>0</v>
      </c>
      <c r="L1070" s="169">
        <f>IFERROR(MATCH(J1070,'Final List'!$D$4:$D$252,0),0)</f>
        <v>0</v>
      </c>
      <c r="M1070" s="169">
        <f>IFERROR(MATCH(J1070,'Final List'!$F$4:$F$251,0),0)</f>
        <v>0</v>
      </c>
      <c r="N1070" s="169">
        <f>IFERROR(MATCH(J1070,'Final List'!$H$4:$H$252,0),0)</f>
        <v>0</v>
      </c>
      <c r="O1070" s="169">
        <f>IFERROR(MATCH(J1070,'Final List'!$J$4:$J$252,0),0)</f>
        <v>0</v>
      </c>
      <c r="P1070" s="169">
        <f>IFERROR(MATCH(J1070,'Final List'!$L$4:$L$252,0),0)</f>
        <v>0</v>
      </c>
      <c r="Q1070" s="169">
        <f>IFERROR(MATCH(J1070,'Final List'!$N$4:$N$252,0),0)</f>
        <v>0</v>
      </c>
      <c r="R1070" s="169">
        <f>IFERROR(MATCH(J1070,'Final List'!$P$4:$P$252,0),0)</f>
        <v>0</v>
      </c>
      <c r="S1070" s="169">
        <f t="shared" si="67"/>
        <v>0</v>
      </c>
      <c r="T1070" s="169" t="s">
        <v>68</v>
      </c>
      <c r="V1070" s="169" t="str">
        <f t="shared" si="65"/>
        <v>BORERO 2</v>
      </c>
      <c r="W1070" s="169" t="s">
        <v>2707</v>
      </c>
    </row>
    <row r="1071" spans="2:23" x14ac:dyDescent="0.25">
      <c r="B1071" s="169" t="s">
        <v>94</v>
      </c>
      <c r="C1071" s="169" t="s">
        <v>45</v>
      </c>
      <c r="D1071" s="169" t="s">
        <v>141</v>
      </c>
      <c r="E1071" s="169" t="s">
        <v>19</v>
      </c>
      <c r="F1071" s="245" t="str">
        <f t="shared" si="66"/>
        <v>DVR 72</v>
      </c>
      <c r="G1071" s="169" t="s">
        <v>5980</v>
      </c>
      <c r="I1071" s="169" t="str">
        <f t="shared" si="68"/>
        <v>L07_DPVE_029E_RAISE</v>
      </c>
      <c r="J1071" s="169" t="s">
        <v>732</v>
      </c>
      <c r="K1071" s="169">
        <f>IFERROR(MATCH(J1071,'Final List'!$B$4:$B$252,0),0)</f>
        <v>0</v>
      </c>
      <c r="L1071" s="169">
        <f>IFERROR(MATCH(J1071,'Final List'!$D$4:$D$252,0),0)</f>
        <v>0</v>
      </c>
      <c r="M1071" s="169">
        <f>IFERROR(MATCH(J1071,'Final List'!$F$4:$F$251,0),0)</f>
        <v>0</v>
      </c>
      <c r="N1071" s="169">
        <f>IFERROR(MATCH(J1071,'Final List'!$H$4:$H$252,0),0)</f>
        <v>0</v>
      </c>
      <c r="O1071" s="169">
        <f>IFERROR(MATCH(J1071,'Final List'!$J$4:$J$252,0),0)</f>
        <v>0</v>
      </c>
      <c r="P1071" s="169">
        <f>IFERROR(MATCH(J1071,'Final List'!$L$4:$L$252,0),0)</f>
        <v>0</v>
      </c>
      <c r="Q1071" s="169">
        <f>IFERROR(MATCH(J1071,'Final List'!$N$4:$N$252,0),0)</f>
        <v>0</v>
      </c>
      <c r="R1071" s="169">
        <f>IFERROR(MATCH(J1071,'Final List'!$P$4:$P$252,0),0)</f>
        <v>0</v>
      </c>
      <c r="S1071" s="169">
        <f t="shared" si="67"/>
        <v>0</v>
      </c>
      <c r="V1071" s="169" t="str">
        <f t="shared" si="65"/>
        <v xml:space="preserve">CARIKITAN 2 </v>
      </c>
      <c r="W1071" s="169" t="s">
        <v>2715</v>
      </c>
    </row>
    <row r="1072" spans="2:23" x14ac:dyDescent="0.25">
      <c r="B1072" s="169" t="s">
        <v>96</v>
      </c>
      <c r="C1072" s="169" t="s">
        <v>39</v>
      </c>
      <c r="D1072" s="169" t="s">
        <v>141</v>
      </c>
      <c r="E1072" s="169" t="s">
        <v>61</v>
      </c>
      <c r="F1072" s="245" t="str">
        <f t="shared" si="66"/>
        <v>Dhoz 71</v>
      </c>
      <c r="G1072" s="169" t="s">
        <v>5101</v>
      </c>
      <c r="I1072" s="169" t="str">
        <f t="shared" si="68"/>
        <v>L09_JVHW_029E_DW</v>
      </c>
      <c r="J1072" s="169" t="s">
        <v>7753</v>
      </c>
      <c r="K1072" s="169">
        <f>IFERROR(MATCH(J1072,'Final List'!$B$4:$B$252,0),0)</f>
        <v>0</v>
      </c>
      <c r="L1072" s="169">
        <f>IFERROR(MATCH(J1072,'Final List'!$D$4:$D$252,0),0)</f>
        <v>0</v>
      </c>
      <c r="M1072" s="169">
        <f>IFERROR(MATCH(J1072,'Final List'!$F$4:$F$251,0),0)</f>
        <v>0</v>
      </c>
      <c r="N1072" s="169">
        <f>IFERROR(MATCH(J1072,'Final List'!$H$4:$H$252,0),0)</f>
        <v>0</v>
      </c>
      <c r="O1072" s="169">
        <f>IFERROR(MATCH(J1072,'Final List'!$J$4:$J$252,0),0)</f>
        <v>0</v>
      </c>
      <c r="P1072" s="169">
        <f>IFERROR(MATCH(J1072,'Final List'!$L$4:$L$252,0),0)</f>
        <v>0</v>
      </c>
      <c r="Q1072" s="169">
        <f>IFERROR(MATCH(J1072,'Final List'!$N$4:$N$252,0),0)</f>
        <v>0</v>
      </c>
      <c r="R1072" s="169">
        <f>IFERROR(MATCH(J1072,'Final List'!$P$4:$P$252,0),0)</f>
        <v>0</v>
      </c>
      <c r="S1072" s="169">
        <f t="shared" si="67"/>
        <v>0</v>
      </c>
      <c r="V1072" s="169" t="str">
        <f t="shared" si="65"/>
        <v>DELOS REYES V3</v>
      </c>
      <c r="W1072" s="169" t="s">
        <v>8896</v>
      </c>
    </row>
    <row r="1073" spans="2:23" x14ac:dyDescent="0.25">
      <c r="B1073" s="169" t="s">
        <v>96</v>
      </c>
      <c r="C1073" s="169" t="s">
        <v>45</v>
      </c>
      <c r="D1073" s="169" t="s">
        <v>5602</v>
      </c>
      <c r="E1073" s="169" t="s">
        <v>19</v>
      </c>
      <c r="F1073" s="245" t="str">
        <f t="shared" si="66"/>
        <v>DVR 72</v>
      </c>
      <c r="G1073" s="169" t="s">
        <v>461</v>
      </c>
      <c r="I1073" s="169" t="str">
        <f t="shared" si="68"/>
        <v>L09_DPVE_053E_RAISE</v>
      </c>
      <c r="J1073" s="169" t="s">
        <v>7776</v>
      </c>
      <c r="K1073" s="169">
        <f>IFERROR(MATCH(J1073,'Final List'!$B$4:$B$252,0),0)</f>
        <v>0</v>
      </c>
      <c r="L1073" s="169">
        <f>IFERROR(MATCH(J1073,'Final List'!$D$4:$D$252,0),0)</f>
        <v>0</v>
      </c>
      <c r="M1073" s="169">
        <f>IFERROR(MATCH(J1073,'Final List'!$F$4:$F$251,0),0)</f>
        <v>0</v>
      </c>
      <c r="N1073" s="169">
        <f>IFERROR(MATCH(J1073,'Final List'!$H$4:$H$252,0),0)</f>
        <v>0</v>
      </c>
      <c r="O1073" s="169">
        <f>IFERROR(MATCH(J1073,'Final List'!$J$4:$J$252,0),0)</f>
        <v>0</v>
      </c>
      <c r="P1073" s="169">
        <f>IFERROR(MATCH(J1073,'Final List'!$L$4:$L$252,0),0)</f>
        <v>0</v>
      </c>
      <c r="Q1073" s="169">
        <f>IFERROR(MATCH(J1073,'Final List'!$N$4:$N$252,0),0)</f>
        <v>0</v>
      </c>
      <c r="R1073" s="169">
        <f>IFERROR(MATCH(J1073,'Final List'!$P$4:$P$252,0),0)</f>
        <v>0</v>
      </c>
      <c r="S1073" s="169">
        <f t="shared" si="67"/>
        <v>0</v>
      </c>
      <c r="V1073" s="169" t="str">
        <f t="shared" si="65"/>
        <v>PANSIT 4</v>
      </c>
      <c r="W1073" s="169" t="s">
        <v>2715</v>
      </c>
    </row>
    <row r="1074" spans="2:23" x14ac:dyDescent="0.25">
      <c r="B1074" s="169" t="s">
        <v>94</v>
      </c>
      <c r="C1074" s="169" t="s">
        <v>87</v>
      </c>
      <c r="D1074" s="169" t="s">
        <v>100</v>
      </c>
      <c r="E1074" s="169" t="s">
        <v>63</v>
      </c>
      <c r="F1074" s="245" t="str">
        <f t="shared" si="66"/>
        <v>Dhoz 71</v>
      </c>
      <c r="G1074" s="169" t="s">
        <v>6432</v>
      </c>
      <c r="I1074" s="169" t="str">
        <f t="shared" si="68"/>
        <v>L07_NONE_020W_XCS</v>
      </c>
      <c r="J1074" s="169" t="s">
        <v>859</v>
      </c>
      <c r="K1074" s="169">
        <f>IFERROR(MATCH(J1074,'Final List'!$B$4:$B$252,0),0)</f>
        <v>0</v>
      </c>
      <c r="L1074" s="169">
        <f>IFERROR(MATCH(J1074,'Final List'!$D$4:$D$252,0),0)</f>
        <v>0</v>
      </c>
      <c r="M1074" s="169">
        <f>IFERROR(MATCH(J1074,'Final List'!$F$4:$F$251,0),0)</f>
        <v>0</v>
      </c>
      <c r="N1074" s="169">
        <f>IFERROR(MATCH(J1074,'Final List'!$H$4:$H$252,0),0)</f>
        <v>0</v>
      </c>
      <c r="O1074" s="169">
        <f>IFERROR(MATCH(J1074,'Final List'!$J$4:$J$252,0),0)</f>
        <v>0</v>
      </c>
      <c r="P1074" s="169">
        <f>IFERROR(MATCH(J1074,'Final List'!$L$4:$L$252,0),0)</f>
        <v>0</v>
      </c>
      <c r="Q1074" s="169">
        <f>IFERROR(MATCH(J1074,'Final List'!$N$4:$N$252,0),0)</f>
        <v>0</v>
      </c>
      <c r="R1074" s="169">
        <f>IFERROR(MATCH(J1074,'Final List'!$P$4:$P$252,0),0)</f>
        <v>0</v>
      </c>
      <c r="S1074" s="169">
        <f t="shared" si="67"/>
        <v>0</v>
      </c>
      <c r="V1074" s="169" t="str">
        <f t="shared" si="65"/>
        <v>CARIKITAN</v>
      </c>
      <c r="W1074" s="169" t="s">
        <v>8897</v>
      </c>
    </row>
    <row r="1075" spans="2:23" x14ac:dyDescent="0.25">
      <c r="B1075" s="169" t="s">
        <v>93</v>
      </c>
      <c r="C1075" s="169" t="s">
        <v>57</v>
      </c>
      <c r="D1075" s="169" t="s">
        <v>6033</v>
      </c>
      <c r="E1075" s="169" t="s">
        <v>36</v>
      </c>
      <c r="F1075" s="245" t="str">
        <f t="shared" si="66"/>
        <v>StpS 77</v>
      </c>
      <c r="G1075" s="169" t="s">
        <v>352</v>
      </c>
      <c r="I1075" s="169" t="str">
        <f t="shared" si="68"/>
        <v>L06_JVSPLIT_013E_STOPE</v>
      </c>
      <c r="J1075" s="169" t="s">
        <v>7758</v>
      </c>
      <c r="K1075" s="169">
        <f>IFERROR(MATCH(J1075,'Final List'!$B$4:$B$252,0),0)</f>
        <v>0</v>
      </c>
      <c r="L1075" s="169">
        <f>IFERROR(MATCH(J1075,'Final List'!$D$4:$D$252,0),0)</f>
        <v>0</v>
      </c>
      <c r="M1075" s="169">
        <f>IFERROR(MATCH(J1075,'Final List'!$F$4:$F$251,0),0)</f>
        <v>0</v>
      </c>
      <c r="N1075" s="169">
        <f>IFERROR(MATCH(J1075,'Final List'!$H$4:$H$252,0),0)</f>
        <v>0</v>
      </c>
      <c r="O1075" s="169">
        <f>IFERROR(MATCH(J1075,'Final List'!$J$4:$J$252,0),0)</f>
        <v>0</v>
      </c>
      <c r="P1075" s="169">
        <f>IFERROR(MATCH(J1075,'Final List'!$L$4:$L$252,0),0)</f>
        <v>0</v>
      </c>
      <c r="Q1075" s="169">
        <f>IFERROR(MATCH(J1075,'Final List'!$N$4:$N$252,0),0)</f>
        <v>0</v>
      </c>
      <c r="R1075" s="169">
        <f>IFERROR(MATCH(J1075,'Final List'!$P$4:$P$252,0),0)</f>
        <v>0</v>
      </c>
      <c r="S1075" s="169">
        <f t="shared" si="67"/>
        <v>0</v>
      </c>
      <c r="T1075" s="169" t="s">
        <v>68</v>
      </c>
      <c r="V1075" s="169" t="str">
        <f t="shared" si="65"/>
        <v>BAÑEZ 5</v>
      </c>
      <c r="W1075" s="169" t="s">
        <v>2713</v>
      </c>
    </row>
    <row r="1076" spans="2:23" x14ac:dyDescent="0.25">
      <c r="B1076" s="169" t="s">
        <v>94</v>
      </c>
      <c r="C1076" s="169" t="s">
        <v>42</v>
      </c>
      <c r="D1076" s="169" t="s">
        <v>161</v>
      </c>
      <c r="E1076" s="169" t="s">
        <v>6154</v>
      </c>
      <c r="F1076" s="245" t="str">
        <f t="shared" si="66"/>
        <v>Dhoz 71</v>
      </c>
      <c r="G1076" s="169" t="s">
        <v>344</v>
      </c>
      <c r="I1076" s="169" t="str">
        <f t="shared" si="68"/>
        <v>L07_JV_044E_DW_ISL</v>
      </c>
      <c r="J1076" s="169" t="s">
        <v>7744</v>
      </c>
      <c r="K1076" s="169">
        <f>IFERROR(MATCH(J1076,'Final List'!$B$4:$B$252,0),0)</f>
        <v>0</v>
      </c>
      <c r="L1076" s="169">
        <f>IFERROR(MATCH(J1076,'Final List'!$D$4:$D$252,0),0)</f>
        <v>0</v>
      </c>
      <c r="M1076" s="169">
        <f>IFERROR(MATCH(J1076,'Final List'!$F$4:$F$251,0),0)</f>
        <v>0</v>
      </c>
      <c r="N1076" s="169">
        <f>IFERROR(MATCH(J1076,'Final List'!$H$4:$H$252,0),0)</f>
        <v>0</v>
      </c>
      <c r="O1076" s="169">
        <f>IFERROR(MATCH(J1076,'Final List'!$J$4:$J$252,0),0)</f>
        <v>0</v>
      </c>
      <c r="P1076" s="169">
        <f>IFERROR(MATCH(J1076,'Final List'!$L$4:$L$252,0),0)</f>
        <v>0</v>
      </c>
      <c r="Q1076" s="169">
        <f>IFERROR(MATCH(J1076,'Final List'!$N$4:$N$252,0),0)</f>
        <v>0</v>
      </c>
      <c r="R1076" s="169">
        <f>IFERROR(MATCH(J1076,'Final List'!$P$4:$P$252,0),0)</f>
        <v>0</v>
      </c>
      <c r="S1076" s="169">
        <f t="shared" si="67"/>
        <v>0</v>
      </c>
      <c r="V1076" s="169" t="str">
        <f t="shared" si="65"/>
        <v>UDLOS 1</v>
      </c>
      <c r="W1076" s="169" t="s">
        <v>2708</v>
      </c>
    </row>
    <row r="1077" spans="2:23" x14ac:dyDescent="0.25">
      <c r="B1077" s="169" t="s">
        <v>95</v>
      </c>
      <c r="C1077" s="169" t="s">
        <v>45</v>
      </c>
      <c r="D1077" s="169" t="s">
        <v>175</v>
      </c>
      <c r="E1077" s="169" t="s">
        <v>61</v>
      </c>
      <c r="F1077" s="245" t="str">
        <f t="shared" si="66"/>
        <v>Dhoz 71</v>
      </c>
      <c r="G1077" s="169" t="s">
        <v>386</v>
      </c>
      <c r="I1077" s="169" t="str">
        <f t="shared" si="68"/>
        <v>L08_DPVE_060E_DW</v>
      </c>
      <c r="J1077" s="169" t="s">
        <v>7760</v>
      </c>
      <c r="K1077" s="169">
        <f>IFERROR(MATCH(J1077,'Final List'!$B$4:$B$252,0),0)</f>
        <v>0</v>
      </c>
      <c r="L1077" s="169">
        <f>IFERROR(MATCH(J1077,'Final List'!$D$4:$D$252,0),0)</f>
        <v>0</v>
      </c>
      <c r="M1077" s="169">
        <f>IFERROR(MATCH(J1077,'Final List'!$F$4:$F$251,0),0)</f>
        <v>0</v>
      </c>
      <c r="N1077" s="169">
        <f>IFERROR(MATCH(J1077,'Final List'!$H$4:$H$252,0),0)</f>
        <v>0</v>
      </c>
      <c r="O1077" s="169">
        <f>IFERROR(MATCH(J1077,'Final List'!$J$4:$J$252,0),0)</f>
        <v>0</v>
      </c>
      <c r="P1077" s="169">
        <f>IFERROR(MATCH(J1077,'Final List'!$L$4:$L$252,0),0)</f>
        <v>0</v>
      </c>
      <c r="Q1077" s="169">
        <f>IFERROR(MATCH(J1077,'Final List'!$N$4:$N$252,0),0)</f>
        <v>0</v>
      </c>
      <c r="R1077" s="169">
        <f>IFERROR(MATCH(J1077,'Final List'!$P$4:$P$252,0),0)</f>
        <v>0</v>
      </c>
      <c r="S1077" s="169">
        <f t="shared" si="67"/>
        <v>0</v>
      </c>
      <c r="V1077" s="169" t="str">
        <f t="shared" si="65"/>
        <v>REVITA 1</v>
      </c>
      <c r="W1077" s="169" t="s">
        <v>8895</v>
      </c>
    </row>
    <row r="1078" spans="2:23" x14ac:dyDescent="0.25">
      <c r="B1078" s="169" t="s">
        <v>96</v>
      </c>
      <c r="C1078" s="169" t="s">
        <v>56</v>
      </c>
      <c r="D1078" s="169" t="s">
        <v>179</v>
      </c>
      <c r="E1078" s="169" t="s">
        <v>36</v>
      </c>
      <c r="F1078" s="245" t="str">
        <f t="shared" si="66"/>
        <v>StpS 77</v>
      </c>
      <c r="G1078" s="169" t="s">
        <v>677</v>
      </c>
      <c r="I1078" s="169" t="str">
        <f t="shared" si="68"/>
        <v>L09_GHVFW_050E_STOPE</v>
      </c>
      <c r="J1078" s="169" t="s">
        <v>7765</v>
      </c>
      <c r="K1078" s="169">
        <f>IFERROR(MATCH(J1078,'Final List'!$B$4:$B$252,0),0)</f>
        <v>0</v>
      </c>
      <c r="L1078" s="169">
        <f>IFERROR(MATCH(J1078,'Final List'!$D$4:$D$252,0),0)</f>
        <v>0</v>
      </c>
      <c r="M1078" s="169">
        <f>IFERROR(MATCH(J1078,'Final List'!$F$4:$F$251,0),0)</f>
        <v>0</v>
      </c>
      <c r="N1078" s="169">
        <f>IFERROR(MATCH(J1078,'Final List'!$H$4:$H$252,0),0)</f>
        <v>0</v>
      </c>
      <c r="O1078" s="169">
        <f>IFERROR(MATCH(J1078,'Final List'!$J$4:$J$252,0),0)</f>
        <v>0</v>
      </c>
      <c r="P1078" s="169">
        <f>IFERROR(MATCH(J1078,'Final List'!$L$4:$L$252,0),0)</f>
        <v>0</v>
      </c>
      <c r="Q1078" s="169">
        <f>IFERROR(MATCH(J1078,'Final List'!$N$4:$N$252,0),0)</f>
        <v>0</v>
      </c>
      <c r="R1078" s="169">
        <f>IFERROR(MATCH(J1078,'Final List'!$P$4:$P$252,0),0)</f>
        <v>0</v>
      </c>
      <c r="S1078" s="169">
        <f t="shared" si="67"/>
        <v>0</v>
      </c>
      <c r="T1078" s="169" t="s">
        <v>68</v>
      </c>
      <c r="V1078" s="169" t="str">
        <f t="shared" si="65"/>
        <v>PANSIT 6</v>
      </c>
      <c r="W1078" s="169" t="s">
        <v>2713</v>
      </c>
    </row>
    <row r="1079" spans="2:23" x14ac:dyDescent="0.25">
      <c r="B1079" s="169" t="s">
        <v>258</v>
      </c>
      <c r="C1079" s="169" t="s">
        <v>56</v>
      </c>
      <c r="D1079" s="169" t="s">
        <v>178</v>
      </c>
      <c r="E1079" s="169" t="s">
        <v>19</v>
      </c>
      <c r="F1079" s="245" t="str">
        <f t="shared" si="66"/>
        <v>DVR 72</v>
      </c>
      <c r="G1079" s="169" t="s">
        <v>560</v>
      </c>
      <c r="I1079" s="169" t="str">
        <f t="shared" si="68"/>
        <v>L10_GHVFW_048E_RAISE</v>
      </c>
      <c r="J1079" s="169" t="s">
        <v>7762</v>
      </c>
      <c r="K1079" s="169">
        <f>IFERROR(MATCH(J1079,'Final List'!$B$4:$B$252,0),0)</f>
        <v>0</v>
      </c>
      <c r="L1079" s="169">
        <f>IFERROR(MATCH(J1079,'Final List'!$D$4:$D$252,0),0)</f>
        <v>0</v>
      </c>
      <c r="M1079" s="169">
        <f>IFERROR(MATCH(J1079,'Final List'!$F$4:$F$251,0),0)</f>
        <v>0</v>
      </c>
      <c r="N1079" s="169">
        <f>IFERROR(MATCH(J1079,'Final List'!$H$4:$H$252,0),0)</f>
        <v>0</v>
      </c>
      <c r="O1079" s="169">
        <f>IFERROR(MATCH(J1079,'Final List'!$J$4:$J$252,0),0)</f>
        <v>0</v>
      </c>
      <c r="P1079" s="169">
        <f>IFERROR(MATCH(J1079,'Final List'!$L$4:$L$252,0),0)</f>
        <v>0</v>
      </c>
      <c r="Q1079" s="169">
        <f>IFERROR(MATCH(J1079,'Final List'!$N$4:$N$252,0),0)</f>
        <v>0</v>
      </c>
      <c r="R1079" s="169">
        <f>IFERROR(MATCH(J1079,'Final List'!$P$4:$P$252,0),0)</f>
        <v>0</v>
      </c>
      <c r="S1079" s="169">
        <f t="shared" si="67"/>
        <v>0</v>
      </c>
      <c r="V1079" s="169" t="str">
        <f t="shared" si="65"/>
        <v>CAPOY 1</v>
      </c>
      <c r="W1079" s="169" t="s">
        <v>2715</v>
      </c>
    </row>
    <row r="1080" spans="2:23" x14ac:dyDescent="0.25">
      <c r="B1080" s="169" t="s">
        <v>94</v>
      </c>
      <c r="C1080" s="169" t="s">
        <v>42</v>
      </c>
      <c r="D1080" s="169" t="s">
        <v>5844</v>
      </c>
      <c r="E1080" s="169" t="s">
        <v>211</v>
      </c>
      <c r="F1080" s="245" t="str">
        <f t="shared" si="66"/>
        <v>StpS 77</v>
      </c>
      <c r="G1080" s="169" t="s">
        <v>7631</v>
      </c>
      <c r="I1080" s="169" t="str">
        <f t="shared" si="68"/>
        <v>L07_JV_009W_STOPE PREP</v>
      </c>
      <c r="J1080" s="169" t="s">
        <v>7767</v>
      </c>
      <c r="K1080" s="169">
        <f>IFERROR(MATCH(J1080,'Final List'!$B$4:$B$252,0),0)</f>
        <v>0</v>
      </c>
      <c r="L1080" s="169">
        <f>IFERROR(MATCH(J1080,'Final List'!$D$4:$D$252,0),0)</f>
        <v>0</v>
      </c>
      <c r="M1080" s="169">
        <f>IFERROR(MATCH(J1080,'Final List'!$F$4:$F$251,0),0)</f>
        <v>0</v>
      </c>
      <c r="N1080" s="169">
        <f>IFERROR(MATCH(J1080,'Final List'!$H$4:$H$252,0),0)</f>
        <v>0</v>
      </c>
      <c r="O1080" s="169">
        <f>IFERROR(MATCH(J1080,'Final List'!$J$4:$J$252,0),0)</f>
        <v>0</v>
      </c>
      <c r="P1080" s="169">
        <f>IFERROR(MATCH(J1080,'Final List'!$L$4:$L$252,0),0)</f>
        <v>0</v>
      </c>
      <c r="Q1080" s="169">
        <f>IFERROR(MATCH(J1080,'Final List'!$N$4:$N$252,0),0)</f>
        <v>0</v>
      </c>
      <c r="R1080" s="169">
        <f>IFERROR(MATCH(J1080,'Final List'!$P$4:$P$252,0),0)</f>
        <v>0</v>
      </c>
      <c r="S1080" s="169">
        <f t="shared" si="67"/>
        <v>0</v>
      </c>
      <c r="T1080" s="169" t="s">
        <v>68</v>
      </c>
      <c r="V1080" s="169" t="str">
        <f t="shared" si="65"/>
        <v>TURRA 3</v>
      </c>
      <c r="W1080" s="169" t="s">
        <v>2712</v>
      </c>
    </row>
    <row r="1081" spans="2:23" x14ac:dyDescent="0.25">
      <c r="B1081" s="169" t="s">
        <v>93</v>
      </c>
      <c r="C1081" s="169" t="s">
        <v>42</v>
      </c>
      <c r="D1081" s="169" t="s">
        <v>111</v>
      </c>
      <c r="E1081" s="169" t="s">
        <v>36</v>
      </c>
      <c r="F1081" s="245" t="str">
        <f t="shared" si="66"/>
        <v>StpS 77</v>
      </c>
      <c r="G1081" s="169" t="s">
        <v>742</v>
      </c>
      <c r="I1081" s="169" t="str">
        <f t="shared" si="68"/>
        <v>L06_JV_004W_STOPE</v>
      </c>
      <c r="J1081" s="169" t="s">
        <v>7769</v>
      </c>
      <c r="K1081" s="169">
        <f>IFERROR(MATCH(J1081,'Final List'!$B$4:$B$252,0),0)</f>
        <v>0</v>
      </c>
      <c r="L1081" s="169">
        <f>IFERROR(MATCH(J1081,'Final List'!$D$4:$D$252,0),0)</f>
        <v>0</v>
      </c>
      <c r="M1081" s="169">
        <f>IFERROR(MATCH(J1081,'Final List'!$F$4:$F$251,0),0)</f>
        <v>0</v>
      </c>
      <c r="N1081" s="169">
        <f>IFERROR(MATCH(J1081,'Final List'!$H$4:$H$252,0),0)</f>
        <v>0</v>
      </c>
      <c r="O1081" s="169">
        <f>IFERROR(MATCH(J1081,'Final List'!$J$4:$J$252,0),0)</f>
        <v>0</v>
      </c>
      <c r="P1081" s="169">
        <f>IFERROR(MATCH(J1081,'Final List'!$L$4:$L$252,0),0)</f>
        <v>0</v>
      </c>
      <c r="Q1081" s="169">
        <f>IFERROR(MATCH(J1081,'Final List'!$N$4:$N$252,0),0)</f>
        <v>0</v>
      </c>
      <c r="R1081" s="169">
        <f>IFERROR(MATCH(J1081,'Final List'!$P$4:$P$252,0),0)</f>
        <v>0</v>
      </c>
      <c r="S1081" s="169">
        <f t="shared" si="67"/>
        <v>0</v>
      </c>
      <c r="T1081" s="169" t="s">
        <v>68</v>
      </c>
      <c r="V1081" s="169" t="str">
        <f t="shared" si="65"/>
        <v>REBOTE 2</v>
      </c>
      <c r="W1081" s="169" t="s">
        <v>2713</v>
      </c>
    </row>
    <row r="1082" spans="2:23" x14ac:dyDescent="0.25">
      <c r="B1082" s="169" t="s">
        <v>258</v>
      </c>
      <c r="C1082" s="169" t="s">
        <v>87</v>
      </c>
      <c r="D1082" s="169" t="s">
        <v>172</v>
      </c>
      <c r="E1082" s="169" t="s">
        <v>63</v>
      </c>
      <c r="F1082" s="245" t="str">
        <f t="shared" si="66"/>
        <v>Dhoz 71</v>
      </c>
      <c r="G1082" s="169" t="s">
        <v>5705</v>
      </c>
      <c r="I1082" s="169" t="str">
        <f t="shared" si="68"/>
        <v>L10_NONE_045E_XCS</v>
      </c>
      <c r="J1082" s="169" t="s">
        <v>7771</v>
      </c>
      <c r="K1082" s="169">
        <f>IFERROR(MATCH(J1082,'Final List'!$B$4:$B$252,0),0)</f>
        <v>0</v>
      </c>
      <c r="L1082" s="169">
        <f>IFERROR(MATCH(J1082,'Final List'!$D$4:$D$252,0),0)</f>
        <v>0</v>
      </c>
      <c r="M1082" s="169">
        <f>IFERROR(MATCH(J1082,'Final List'!$F$4:$F$251,0),0)</f>
        <v>0</v>
      </c>
      <c r="N1082" s="169">
        <f>IFERROR(MATCH(J1082,'Final List'!$H$4:$H$252,0),0)</f>
        <v>0</v>
      </c>
      <c r="O1082" s="169">
        <f>IFERROR(MATCH(J1082,'Final List'!$J$4:$J$252,0),0)</f>
        <v>0</v>
      </c>
      <c r="P1082" s="169">
        <f>IFERROR(MATCH(J1082,'Final List'!$L$4:$L$252,0),0)</f>
        <v>0</v>
      </c>
      <c r="Q1082" s="169">
        <f>IFERROR(MATCH(J1082,'Final List'!$N$4:$N$252,0),0)</f>
        <v>0</v>
      </c>
      <c r="R1082" s="169">
        <f>IFERROR(MATCH(J1082,'Final List'!$P$4:$P$252,0),0)</f>
        <v>0</v>
      </c>
      <c r="S1082" s="169">
        <f t="shared" si="67"/>
        <v>0</v>
      </c>
      <c r="V1082" s="169" t="str">
        <f t="shared" si="65"/>
        <v>OLIVEROS 4</v>
      </c>
      <c r="W1082" s="169" t="s">
        <v>8898</v>
      </c>
    </row>
    <row r="1083" spans="2:23" x14ac:dyDescent="0.25">
      <c r="B1083" s="169" t="s">
        <v>95</v>
      </c>
      <c r="C1083" s="169" t="s">
        <v>42</v>
      </c>
      <c r="D1083" s="169" t="s">
        <v>171</v>
      </c>
      <c r="E1083" s="169" t="s">
        <v>19</v>
      </c>
      <c r="F1083" s="245" t="str">
        <f t="shared" si="66"/>
        <v>DVR 72</v>
      </c>
      <c r="G1083" s="169" t="s">
        <v>476</v>
      </c>
      <c r="I1083" s="169" t="str">
        <f t="shared" si="68"/>
        <v>L08_JV_015W_RAISE</v>
      </c>
      <c r="J1083" s="169" t="s">
        <v>7772</v>
      </c>
      <c r="K1083" s="169">
        <f>IFERROR(MATCH(J1083,'Final List'!$B$4:$B$252,0),0)</f>
        <v>0</v>
      </c>
      <c r="L1083" s="169">
        <f>IFERROR(MATCH(J1083,'Final List'!$D$4:$D$252,0),0)</f>
        <v>0</v>
      </c>
      <c r="M1083" s="169">
        <f>IFERROR(MATCH(J1083,'Final List'!$F$4:$F$251,0),0)</f>
        <v>0</v>
      </c>
      <c r="N1083" s="169">
        <f>IFERROR(MATCH(J1083,'Final List'!$H$4:$H$252,0),0)</f>
        <v>0</v>
      </c>
      <c r="O1083" s="169">
        <f>IFERROR(MATCH(J1083,'Final List'!$J$4:$J$252,0),0)</f>
        <v>0</v>
      </c>
      <c r="P1083" s="169">
        <f>IFERROR(MATCH(J1083,'Final List'!$L$4:$L$252,0),0)</f>
        <v>0</v>
      </c>
      <c r="Q1083" s="169">
        <f>IFERROR(MATCH(J1083,'Final List'!$N$4:$N$252,0),0)</f>
        <v>0</v>
      </c>
      <c r="R1083" s="169">
        <f>IFERROR(MATCH(J1083,'Final List'!$P$4:$P$252,0),0)</f>
        <v>0</v>
      </c>
      <c r="S1083" s="169">
        <f t="shared" si="67"/>
        <v>0</v>
      </c>
      <c r="V1083" s="169" t="str">
        <f t="shared" si="65"/>
        <v>VERSOZA 1</v>
      </c>
      <c r="W1083" s="169" t="s">
        <v>2715</v>
      </c>
    </row>
    <row r="1084" spans="2:23" x14ac:dyDescent="0.25">
      <c r="B1084" s="169" t="s">
        <v>93</v>
      </c>
      <c r="C1084" s="169" t="s">
        <v>42</v>
      </c>
      <c r="D1084" s="169" t="s">
        <v>122</v>
      </c>
      <c r="E1084" s="169" t="s">
        <v>61</v>
      </c>
      <c r="F1084" s="245" t="str">
        <f t="shared" si="66"/>
        <v>Dhoz 71</v>
      </c>
      <c r="G1084" s="169" t="s">
        <v>352</v>
      </c>
      <c r="I1084" s="169" t="str">
        <f t="shared" si="68"/>
        <v>L06_JV_025E_DW</v>
      </c>
      <c r="J1084" s="169" t="s">
        <v>7775</v>
      </c>
      <c r="K1084" s="169">
        <f>IFERROR(MATCH(J1084,'Final List'!$B$4:$B$252,0),0)</f>
        <v>0</v>
      </c>
      <c r="L1084" s="169">
        <f>IFERROR(MATCH(J1084,'Final List'!$D$4:$D$252,0),0)</f>
        <v>0</v>
      </c>
      <c r="M1084" s="169">
        <f>IFERROR(MATCH(J1084,'Final List'!$F$4:$F$251,0),0)</f>
        <v>0</v>
      </c>
      <c r="N1084" s="169">
        <f>IFERROR(MATCH(J1084,'Final List'!$H$4:$H$252,0),0)</f>
        <v>0</v>
      </c>
      <c r="O1084" s="169">
        <f>IFERROR(MATCH(J1084,'Final List'!$J$4:$J$252,0),0)</f>
        <v>0</v>
      </c>
      <c r="P1084" s="169">
        <f>IFERROR(MATCH(J1084,'Final List'!$L$4:$L$252,0),0)</f>
        <v>0</v>
      </c>
      <c r="Q1084" s="169">
        <f>IFERROR(MATCH(J1084,'Final List'!$N$4:$N$252,0),0)</f>
        <v>0</v>
      </c>
      <c r="R1084" s="169">
        <f>IFERROR(MATCH(J1084,'Final List'!$P$4:$P$252,0),0)</f>
        <v>0</v>
      </c>
      <c r="S1084" s="169">
        <f t="shared" si="67"/>
        <v>0</v>
      </c>
      <c r="V1084" s="169" t="str">
        <f t="shared" si="65"/>
        <v>BAÑEZ 5</v>
      </c>
      <c r="W1084" s="169" t="s">
        <v>8895</v>
      </c>
    </row>
    <row r="1085" spans="2:23" x14ac:dyDescent="0.25">
      <c r="B1085" s="169" t="s">
        <v>96</v>
      </c>
      <c r="C1085" s="169" t="s">
        <v>59</v>
      </c>
      <c r="D1085" s="169" t="s">
        <v>111</v>
      </c>
      <c r="E1085" s="169" t="s">
        <v>19</v>
      </c>
      <c r="F1085" s="245" t="str">
        <f t="shared" si="66"/>
        <v>DVR 72</v>
      </c>
      <c r="G1085" s="169" t="s">
        <v>7659</v>
      </c>
      <c r="I1085" s="169" t="str">
        <f t="shared" si="68"/>
        <v>L09_GHVHW_004W_RAISE</v>
      </c>
      <c r="J1085" s="169" t="s">
        <v>7780</v>
      </c>
      <c r="K1085" s="169">
        <f>IFERROR(MATCH(J1085,'Final List'!$B$4:$B$252,0),0)</f>
        <v>0</v>
      </c>
      <c r="L1085" s="169">
        <f>IFERROR(MATCH(J1085,'Final List'!$D$4:$D$252,0),0)</f>
        <v>0</v>
      </c>
      <c r="M1085" s="169">
        <f>IFERROR(MATCH(J1085,'Final List'!$F$4:$F$251,0),0)</f>
        <v>0</v>
      </c>
      <c r="N1085" s="169">
        <f>IFERROR(MATCH(J1085,'Final List'!$H$4:$H$252,0),0)</f>
        <v>0</v>
      </c>
      <c r="O1085" s="169">
        <f>IFERROR(MATCH(J1085,'Final List'!$J$4:$J$252,0),0)</f>
        <v>0</v>
      </c>
      <c r="P1085" s="169">
        <f>IFERROR(MATCH(J1085,'Final List'!$L$4:$L$252,0),0)</f>
        <v>0</v>
      </c>
      <c r="Q1085" s="169">
        <f>IFERROR(MATCH(J1085,'Final List'!$N$4:$N$252,0),0)</f>
        <v>0</v>
      </c>
      <c r="R1085" s="169">
        <f>IFERROR(MATCH(J1085,'Final List'!$P$4:$P$252,0),0)</f>
        <v>0</v>
      </c>
      <c r="S1085" s="169">
        <f t="shared" si="67"/>
        <v>0</v>
      </c>
      <c r="V1085" s="169" t="str">
        <f t="shared" si="65"/>
        <v>DELOS REYES 2</v>
      </c>
      <c r="W1085" s="169" t="s">
        <v>2715</v>
      </c>
    </row>
    <row r="1086" spans="2:23" x14ac:dyDescent="0.25">
      <c r="B1086" s="169" t="s">
        <v>258</v>
      </c>
      <c r="C1086" s="169" t="s">
        <v>59</v>
      </c>
      <c r="D1086" s="169" t="s">
        <v>173</v>
      </c>
      <c r="E1086" s="169" t="s">
        <v>36</v>
      </c>
      <c r="F1086" s="245" t="str">
        <f t="shared" si="66"/>
        <v>StpS 77</v>
      </c>
      <c r="G1086" s="169" t="s">
        <v>5700</v>
      </c>
      <c r="I1086" s="169" t="str">
        <f t="shared" si="68"/>
        <v>L10_GHVHW_049E_STOPE</v>
      </c>
      <c r="J1086" s="169" t="s">
        <v>7783</v>
      </c>
      <c r="K1086" s="169">
        <f>IFERROR(MATCH(J1086,'Final List'!$B$4:$B$252,0),0)</f>
        <v>0</v>
      </c>
      <c r="L1086" s="169">
        <f>IFERROR(MATCH(J1086,'Final List'!$D$4:$D$252,0),0)</f>
        <v>0</v>
      </c>
      <c r="M1086" s="169">
        <f>IFERROR(MATCH(J1086,'Final List'!$F$4:$F$251,0),0)</f>
        <v>0</v>
      </c>
      <c r="N1086" s="169">
        <f>IFERROR(MATCH(J1086,'Final List'!$H$4:$H$252,0),0)</f>
        <v>0</v>
      </c>
      <c r="O1086" s="169">
        <f>IFERROR(MATCH(J1086,'Final List'!$J$4:$J$252,0),0)</f>
        <v>0</v>
      </c>
      <c r="P1086" s="169">
        <f>IFERROR(MATCH(J1086,'Final List'!$L$4:$L$252,0),0)</f>
        <v>0</v>
      </c>
      <c r="Q1086" s="169">
        <f>IFERROR(MATCH(J1086,'Final List'!$N$4:$N$252,0),0)</f>
        <v>0</v>
      </c>
      <c r="R1086" s="169">
        <f>IFERROR(MATCH(J1086,'Final List'!$P$4:$P$252,0),0)</f>
        <v>0</v>
      </c>
      <c r="S1086" s="169">
        <f t="shared" si="67"/>
        <v>0</v>
      </c>
      <c r="T1086" s="169" t="s">
        <v>68</v>
      </c>
      <c r="V1086" s="169" t="str">
        <f t="shared" si="65"/>
        <v>LARGO 1</v>
      </c>
      <c r="W1086" s="169" t="s">
        <v>2713</v>
      </c>
    </row>
    <row r="1087" spans="2:23" x14ac:dyDescent="0.25">
      <c r="B1087" s="169" t="s">
        <v>92</v>
      </c>
      <c r="C1087" s="169" t="s">
        <v>45</v>
      </c>
      <c r="D1087" s="169" t="s">
        <v>135</v>
      </c>
      <c r="E1087" s="169" t="s">
        <v>6154</v>
      </c>
      <c r="F1087" s="245" t="str">
        <f t="shared" si="66"/>
        <v>Dhoz 71</v>
      </c>
      <c r="G1087" s="169" t="s">
        <v>1577</v>
      </c>
      <c r="I1087" s="169" t="str">
        <f t="shared" si="68"/>
        <v>L05_DPVE_034E_DW_ISL</v>
      </c>
      <c r="J1087" s="169" t="s">
        <v>7824</v>
      </c>
      <c r="K1087" s="169">
        <f>IFERROR(MATCH(J1087,'Final List'!$B$4:$B$252,0),0)</f>
        <v>0</v>
      </c>
      <c r="L1087" s="169">
        <f>IFERROR(MATCH(J1087,'Final List'!$D$4:$D$252,0),0)</f>
        <v>0</v>
      </c>
      <c r="M1087" s="169">
        <f>IFERROR(MATCH(J1087,'Final List'!$F$4:$F$251,0),0)</f>
        <v>0</v>
      </c>
      <c r="N1087" s="169">
        <f>IFERROR(MATCH(J1087,'Final List'!$H$4:$H$252,0),0)</f>
        <v>0</v>
      </c>
      <c r="O1087" s="169">
        <f>IFERROR(MATCH(J1087,'Final List'!$J$4:$J$252,0),0)</f>
        <v>0</v>
      </c>
      <c r="P1087" s="169">
        <f>IFERROR(MATCH(J1087,'Final List'!$L$4:$L$252,0),0)</f>
        <v>0</v>
      </c>
      <c r="Q1087" s="169">
        <f>IFERROR(MATCH(J1087,'Final List'!$N$4:$N$252,0),0)</f>
        <v>0</v>
      </c>
      <c r="R1087" s="169">
        <f>IFERROR(MATCH(J1087,'Final List'!$P$4:$P$252,0),0)</f>
        <v>0</v>
      </c>
      <c r="S1087" s="169">
        <f t="shared" si="67"/>
        <v>0</v>
      </c>
      <c r="V1087" s="169" t="str">
        <f t="shared" si="65"/>
        <v>PANCIT, NOEL 2</v>
      </c>
      <c r="W1087" s="169" t="s">
        <v>2708</v>
      </c>
    </row>
    <row r="1088" spans="2:23" x14ac:dyDescent="0.25">
      <c r="B1088" s="169" t="s">
        <v>96</v>
      </c>
      <c r="C1088" s="169" t="s">
        <v>45</v>
      </c>
      <c r="D1088" s="169" t="s">
        <v>146</v>
      </c>
      <c r="E1088" s="169" t="s">
        <v>60</v>
      </c>
      <c r="F1088" s="245" t="str">
        <f t="shared" si="66"/>
        <v>Dhoz 71</v>
      </c>
      <c r="G1088" s="169" t="s">
        <v>5101</v>
      </c>
      <c r="I1088" s="169" t="str">
        <f t="shared" si="68"/>
        <v>L09_DPVE_030E_DE</v>
      </c>
      <c r="J1088" s="169" t="s">
        <v>7792</v>
      </c>
      <c r="K1088" s="169">
        <f>IFERROR(MATCH(J1088,'Final List'!$B$4:$B$252,0),0)</f>
        <v>0</v>
      </c>
      <c r="L1088" s="169">
        <f>IFERROR(MATCH(J1088,'Final List'!$D$4:$D$252,0),0)</f>
        <v>0</v>
      </c>
      <c r="M1088" s="169">
        <f>IFERROR(MATCH(J1088,'Final List'!$F$4:$F$251,0),0)</f>
        <v>0</v>
      </c>
      <c r="N1088" s="169">
        <f>IFERROR(MATCH(J1088,'Final List'!$H$4:$H$252,0),0)</f>
        <v>0</v>
      </c>
      <c r="O1088" s="169">
        <f>IFERROR(MATCH(J1088,'Final List'!$J$4:$J$252,0),0)</f>
        <v>0</v>
      </c>
      <c r="P1088" s="169">
        <f>IFERROR(MATCH(J1088,'Final List'!$L$4:$L$252,0),0)</f>
        <v>0</v>
      </c>
      <c r="Q1088" s="169">
        <f>IFERROR(MATCH(J1088,'Final List'!$N$4:$N$252,0),0)</f>
        <v>0</v>
      </c>
      <c r="R1088" s="169">
        <f>IFERROR(MATCH(J1088,'Final List'!$P$4:$P$252,0),0)</f>
        <v>0</v>
      </c>
      <c r="S1088" s="169">
        <f t="shared" si="67"/>
        <v>0</v>
      </c>
      <c r="V1088" s="169" t="str">
        <f t="shared" si="65"/>
        <v>DELOS REYES V3</v>
      </c>
      <c r="W1088" s="169" t="s">
        <v>8896</v>
      </c>
    </row>
    <row r="1089" spans="2:23" x14ac:dyDescent="0.25">
      <c r="B1089" s="169" t="s">
        <v>96</v>
      </c>
      <c r="C1089" s="169" t="s">
        <v>55</v>
      </c>
      <c r="D1089" s="169" t="s">
        <v>5614</v>
      </c>
      <c r="E1089" s="169" t="s">
        <v>62</v>
      </c>
      <c r="F1089" s="245" t="str">
        <f t="shared" si="66"/>
        <v>RobS 79</v>
      </c>
      <c r="G1089" s="169" t="s">
        <v>349</v>
      </c>
      <c r="I1089" s="169" t="str">
        <f t="shared" si="68"/>
        <v>L09_JVFW_055E_ROBBING</v>
      </c>
      <c r="J1089" s="169" t="s">
        <v>7790</v>
      </c>
      <c r="K1089" s="169">
        <f>IFERROR(MATCH(J1089,'Final List'!$B$4:$B$252,0),0)</f>
        <v>0</v>
      </c>
      <c r="L1089" s="169">
        <f>IFERROR(MATCH(J1089,'Final List'!$D$4:$D$252,0),0)</f>
        <v>0</v>
      </c>
      <c r="M1089" s="169">
        <f>IFERROR(MATCH(J1089,'Final List'!$F$4:$F$251,0),0)</f>
        <v>0</v>
      </c>
      <c r="N1089" s="169">
        <f>IFERROR(MATCH(J1089,'Final List'!$H$4:$H$252,0),0)</f>
        <v>0</v>
      </c>
      <c r="O1089" s="169">
        <f>IFERROR(MATCH(J1089,'Final List'!$J$4:$J$252,0),0)</f>
        <v>0</v>
      </c>
      <c r="P1089" s="169">
        <f>IFERROR(MATCH(J1089,'Final List'!$L$4:$L$252,0),0)</f>
        <v>0</v>
      </c>
      <c r="Q1089" s="169">
        <f>IFERROR(MATCH(J1089,'Final List'!$N$4:$N$252,0),0)</f>
        <v>0</v>
      </c>
      <c r="R1089" s="169">
        <f>IFERROR(MATCH(J1089,'Final List'!$P$4:$P$252,0),0)</f>
        <v>0</v>
      </c>
      <c r="S1089" s="169">
        <f t="shared" si="67"/>
        <v>0</v>
      </c>
      <c r="T1089" s="169" t="s">
        <v>68</v>
      </c>
      <c r="V1089" s="169" t="str">
        <f t="shared" si="65"/>
        <v>QUIJANO 2</v>
      </c>
      <c r="W1089" s="169" t="s">
        <v>2707</v>
      </c>
    </row>
    <row r="1090" spans="2:23" x14ac:dyDescent="0.25">
      <c r="B1090" s="169" t="s">
        <v>258</v>
      </c>
      <c r="C1090" s="169" t="s">
        <v>55</v>
      </c>
      <c r="D1090" s="169" t="s">
        <v>112</v>
      </c>
      <c r="E1090" s="169" t="s">
        <v>61</v>
      </c>
      <c r="F1090" s="245" t="str">
        <f t="shared" si="66"/>
        <v>Dhoz 71</v>
      </c>
      <c r="G1090" s="169" t="s">
        <v>453</v>
      </c>
      <c r="I1090" s="169" t="str">
        <f t="shared" si="68"/>
        <v>L10_JVFW_018E_DW</v>
      </c>
      <c r="J1090" s="169" t="s">
        <v>7801</v>
      </c>
      <c r="K1090" s="169">
        <f>IFERROR(MATCH(J1090,'Final List'!$B$4:$B$252,0),0)</f>
        <v>0</v>
      </c>
      <c r="L1090" s="169">
        <f>IFERROR(MATCH(J1090,'Final List'!$D$4:$D$252,0),0)</f>
        <v>0</v>
      </c>
      <c r="M1090" s="169">
        <f>IFERROR(MATCH(J1090,'Final List'!$F$4:$F$251,0),0)</f>
        <v>0</v>
      </c>
      <c r="N1090" s="169">
        <f>IFERROR(MATCH(J1090,'Final List'!$H$4:$H$252,0),0)</f>
        <v>0</v>
      </c>
      <c r="O1090" s="169">
        <f>IFERROR(MATCH(J1090,'Final List'!$J$4:$J$252,0),0)</f>
        <v>0</v>
      </c>
      <c r="P1090" s="169">
        <f>IFERROR(MATCH(J1090,'Final List'!$L$4:$L$252,0),0)</f>
        <v>0</v>
      </c>
      <c r="Q1090" s="169">
        <f>IFERROR(MATCH(J1090,'Final List'!$N$4:$N$252,0),0)</f>
        <v>0</v>
      </c>
      <c r="R1090" s="169">
        <f>IFERROR(MATCH(J1090,'Final List'!$P$4:$P$252,0),0)</f>
        <v>0</v>
      </c>
      <c r="S1090" s="169">
        <f t="shared" si="67"/>
        <v>0</v>
      </c>
      <c r="V1090" s="169" t="str">
        <f t="shared" ref="V1090:V1153" si="69">IF(H1090="",G1090,H1090)</f>
        <v>BAÑEZ 7</v>
      </c>
      <c r="W1090" s="169" t="s">
        <v>8896</v>
      </c>
    </row>
    <row r="1091" spans="2:23" x14ac:dyDescent="0.25">
      <c r="B1091" s="169" t="s">
        <v>258</v>
      </c>
      <c r="C1091" s="169" t="s">
        <v>55</v>
      </c>
      <c r="D1091" s="169" t="s">
        <v>143</v>
      </c>
      <c r="E1091" s="169" t="s">
        <v>61</v>
      </c>
      <c r="F1091" s="245" t="str">
        <f t="shared" ref="F1091:F1154" si="70">IF(OR(E1091="XCN",E1091="DE",E1091="DW",E1091="DN",E1091="XCS",E1091="XCE",E1091="XCW",E1091="SUMP",E1091="BYPASS",E1091="CHAMBER",E1091="DRAIN HOLE",E1091="DRILLING CHAMBER",E1091="DE_ISL",E1091="DW_ISL",E1091="REHAB"),"Dhoz 71",IF(OR(E1091="RAISE",E1091="RAISE_ISL"),"DVR 72",IF(E1091="ALIMAK","DVA 73",IF(E1091="WINZE","DVW 74",IF(E1091="SHAFT","DVS 75",IF(AND(E1091="WINZE STOPE",T1091="S"),"RobC 80",IF(AND(E1091="STOPE",T1091="S"),"StpS 77",IF(AND(E1091="WINZE STOPE",T1091="L"),"RobC 80",IF(AND(E1091="STOPE",T1091="L"),"StpL 78",IF(AND(E1091="WINZE STOPE PREP",T1091="S"),"RobC 80",IF(AND(E1091="STOPE PREP",T1091="S"),"StpS 77",IF(AND(E1091="WINZE STOPE PREP",T1091="L"),"RobC 80",IF(AND(E1091="STOPE PREP",T1091="L"),"StpL 78",IF(AND(E1091="ROBBING",T1091="L"),"RobC 80",IF(AND(E1091="ROBBING",T1091="S"),"RobS 79",0)))))))))))))))</f>
        <v>Dhoz 71</v>
      </c>
      <c r="G1091" s="169" t="s">
        <v>5704</v>
      </c>
      <c r="I1091" s="169" t="str">
        <f t="shared" si="68"/>
        <v>L10_JVFW_032E_DW</v>
      </c>
      <c r="J1091" s="169" t="s">
        <v>7791</v>
      </c>
      <c r="K1091" s="169">
        <f>IFERROR(MATCH(J1091,'Final List'!$B$4:$B$252,0),0)</f>
        <v>0</v>
      </c>
      <c r="L1091" s="169">
        <f>IFERROR(MATCH(J1091,'Final List'!$D$4:$D$252,0),0)</f>
        <v>0</v>
      </c>
      <c r="M1091" s="169">
        <f>IFERROR(MATCH(J1091,'Final List'!$F$4:$F$251,0),0)</f>
        <v>0</v>
      </c>
      <c r="N1091" s="169">
        <f>IFERROR(MATCH(J1091,'Final List'!$H$4:$H$252,0),0)</f>
        <v>0</v>
      </c>
      <c r="O1091" s="169">
        <f>IFERROR(MATCH(J1091,'Final List'!$J$4:$J$252,0),0)</f>
        <v>0</v>
      </c>
      <c r="P1091" s="169">
        <f>IFERROR(MATCH(J1091,'Final List'!$L$4:$L$252,0),0)</f>
        <v>0</v>
      </c>
      <c r="Q1091" s="169">
        <f>IFERROR(MATCH(J1091,'Final List'!$N$4:$N$252,0),0)</f>
        <v>0</v>
      </c>
      <c r="R1091" s="169">
        <f>IFERROR(MATCH(J1091,'Final List'!$P$4:$P$252,0),0)</f>
        <v>0</v>
      </c>
      <c r="S1091" s="169">
        <f t="shared" ref="S1091:S1154" si="71">SUM(K1091:R1091)</f>
        <v>0</v>
      </c>
      <c r="V1091" s="169" t="str">
        <f t="shared" si="69"/>
        <v>OLIVEROS 3</v>
      </c>
      <c r="W1091" s="169" t="s">
        <v>8896</v>
      </c>
    </row>
    <row r="1092" spans="2:23" x14ac:dyDescent="0.25">
      <c r="B1092" s="169" t="s">
        <v>258</v>
      </c>
      <c r="C1092" s="169" t="s">
        <v>45</v>
      </c>
      <c r="D1092" s="169" t="s">
        <v>5887</v>
      </c>
      <c r="E1092" s="169" t="s">
        <v>60</v>
      </c>
      <c r="F1092" s="245" t="str">
        <f t="shared" si="70"/>
        <v>Dhoz 71</v>
      </c>
      <c r="G1092" s="169" t="s">
        <v>6851</v>
      </c>
      <c r="I1092" s="169" t="str">
        <f t="shared" si="68"/>
        <v>L10_DPVE_085E_DE</v>
      </c>
      <c r="J1092" s="169" t="s">
        <v>7781</v>
      </c>
      <c r="K1092" s="169">
        <f>IFERROR(MATCH(J1092,'Final List'!$B$4:$B$252,0),0)</f>
        <v>0</v>
      </c>
      <c r="L1092" s="169">
        <f>IFERROR(MATCH(J1092,'Final List'!$D$4:$D$252,0),0)</f>
        <v>0</v>
      </c>
      <c r="M1092" s="169">
        <f>IFERROR(MATCH(J1092,'Final List'!$F$4:$F$251,0),0)</f>
        <v>0</v>
      </c>
      <c r="N1092" s="169">
        <f>IFERROR(MATCH(J1092,'Final List'!$H$4:$H$252,0),0)</f>
        <v>0</v>
      </c>
      <c r="O1092" s="169">
        <f>IFERROR(MATCH(J1092,'Final List'!$J$4:$J$252,0),0)</f>
        <v>0</v>
      </c>
      <c r="P1092" s="169">
        <f>IFERROR(MATCH(J1092,'Final List'!$L$4:$L$252,0),0)</f>
        <v>0</v>
      </c>
      <c r="Q1092" s="169">
        <f>IFERROR(MATCH(J1092,'Final List'!$N$4:$N$252,0),0)</f>
        <v>0</v>
      </c>
      <c r="R1092" s="169">
        <f>IFERROR(MATCH(J1092,'Final List'!$P$4:$P$252,0),0)</f>
        <v>0</v>
      </c>
      <c r="S1092" s="169">
        <f t="shared" si="71"/>
        <v>0</v>
      </c>
      <c r="V1092" s="169" t="str">
        <f t="shared" si="69"/>
        <v>OLIVEROS 5</v>
      </c>
      <c r="W1092" s="169" t="s">
        <v>8896</v>
      </c>
    </row>
    <row r="1093" spans="2:23" x14ac:dyDescent="0.25">
      <c r="B1093" s="169" t="s">
        <v>258</v>
      </c>
      <c r="C1093" s="169" t="s">
        <v>39</v>
      </c>
      <c r="D1093" s="169" t="s">
        <v>133</v>
      </c>
      <c r="E1093" s="169" t="s">
        <v>61</v>
      </c>
      <c r="F1093" s="245" t="str">
        <f t="shared" si="70"/>
        <v>Dhoz 71</v>
      </c>
      <c r="G1093" s="169" t="s">
        <v>7513</v>
      </c>
      <c r="I1093" s="169" t="str">
        <f t="shared" si="68"/>
        <v>L10_JVHW_037E_DW</v>
      </c>
      <c r="J1093" s="169" t="s">
        <v>7787</v>
      </c>
      <c r="K1093" s="169">
        <f>IFERROR(MATCH(J1093,'Final List'!$B$4:$B$252,0),0)</f>
        <v>0</v>
      </c>
      <c r="L1093" s="169">
        <f>IFERROR(MATCH(J1093,'Final List'!$D$4:$D$252,0),0)</f>
        <v>0</v>
      </c>
      <c r="M1093" s="169">
        <f>IFERROR(MATCH(J1093,'Final List'!$F$4:$F$251,0),0)</f>
        <v>0</v>
      </c>
      <c r="N1093" s="169">
        <f>IFERROR(MATCH(J1093,'Final List'!$H$4:$H$252,0),0)</f>
        <v>0</v>
      </c>
      <c r="O1093" s="169">
        <f>IFERROR(MATCH(J1093,'Final List'!$J$4:$J$252,0),0)</f>
        <v>0</v>
      </c>
      <c r="P1093" s="169">
        <f>IFERROR(MATCH(J1093,'Final List'!$L$4:$L$252,0),0)</f>
        <v>0</v>
      </c>
      <c r="Q1093" s="169">
        <f>IFERROR(MATCH(J1093,'Final List'!$N$4:$N$252,0),0)</f>
        <v>0</v>
      </c>
      <c r="R1093" s="169">
        <f>IFERROR(MATCH(J1093,'Final List'!$P$4:$P$252,0),0)</f>
        <v>0</v>
      </c>
      <c r="S1093" s="169">
        <f t="shared" si="71"/>
        <v>0</v>
      </c>
      <c r="V1093" s="169" t="str">
        <f t="shared" si="69"/>
        <v>DUHIG R1</v>
      </c>
      <c r="W1093" s="169" t="s">
        <v>8896</v>
      </c>
    </row>
    <row r="1094" spans="2:23" x14ac:dyDescent="0.25">
      <c r="B1094" s="169" t="s">
        <v>91</v>
      </c>
      <c r="C1094" s="169" t="s">
        <v>39</v>
      </c>
      <c r="D1094" s="169" t="s">
        <v>159</v>
      </c>
      <c r="E1094" s="169" t="s">
        <v>60</v>
      </c>
      <c r="F1094" s="245" t="str">
        <f t="shared" si="70"/>
        <v>Dhoz 71</v>
      </c>
      <c r="G1094" s="169" t="s">
        <v>7076</v>
      </c>
      <c r="I1094" s="169" t="str">
        <f t="shared" si="68"/>
        <v>L04_JVHW_023E_DE</v>
      </c>
      <c r="J1094" s="169" t="s">
        <v>7799</v>
      </c>
      <c r="K1094" s="169">
        <f>IFERROR(MATCH(J1094,'Final List'!$B$4:$B$252,0),0)</f>
        <v>0</v>
      </c>
      <c r="L1094" s="169">
        <f>IFERROR(MATCH(J1094,'Final List'!$D$4:$D$252,0),0)</f>
        <v>0</v>
      </c>
      <c r="M1094" s="169">
        <f>IFERROR(MATCH(J1094,'Final List'!$F$4:$F$251,0),0)</f>
        <v>0</v>
      </c>
      <c r="N1094" s="169">
        <f>IFERROR(MATCH(J1094,'Final List'!$H$4:$H$252,0),0)</f>
        <v>0</v>
      </c>
      <c r="O1094" s="169">
        <f>IFERROR(MATCH(J1094,'Final List'!$J$4:$J$252,0),0)</f>
        <v>0</v>
      </c>
      <c r="P1094" s="169">
        <f>IFERROR(MATCH(J1094,'Final List'!$L$4:$L$252,0),0)</f>
        <v>0</v>
      </c>
      <c r="Q1094" s="169">
        <f>IFERROR(MATCH(J1094,'Final List'!$N$4:$N$252,0),0)</f>
        <v>0</v>
      </c>
      <c r="R1094" s="169">
        <f>IFERROR(MATCH(J1094,'Final List'!$P$4:$P$252,0),0)</f>
        <v>0</v>
      </c>
      <c r="S1094" s="169">
        <f t="shared" si="71"/>
        <v>0</v>
      </c>
      <c r="V1094" s="169" t="str">
        <f t="shared" si="69"/>
        <v>SHEPHERD AR</v>
      </c>
      <c r="W1094" s="169" t="s">
        <v>8895</v>
      </c>
    </row>
    <row r="1095" spans="2:23" x14ac:dyDescent="0.25">
      <c r="B1095" s="169" t="s">
        <v>258</v>
      </c>
      <c r="C1095" s="169" t="s">
        <v>55</v>
      </c>
      <c r="D1095" s="169" t="s">
        <v>159</v>
      </c>
      <c r="E1095" s="169" t="s">
        <v>61</v>
      </c>
      <c r="F1095" s="245" t="str">
        <f t="shared" si="70"/>
        <v>Dhoz 71</v>
      </c>
      <c r="G1095" s="169" t="s">
        <v>454</v>
      </c>
      <c r="I1095" s="169" t="str">
        <f t="shared" si="68"/>
        <v>L10_JVFW_023E_DW</v>
      </c>
      <c r="J1095" s="169" t="s">
        <v>7798</v>
      </c>
      <c r="K1095" s="169">
        <f>IFERROR(MATCH(J1095,'Final List'!$B$4:$B$252,0),0)</f>
        <v>0</v>
      </c>
      <c r="L1095" s="169">
        <f>IFERROR(MATCH(J1095,'Final List'!$D$4:$D$252,0),0)</f>
        <v>0</v>
      </c>
      <c r="M1095" s="169">
        <f>IFERROR(MATCH(J1095,'Final List'!$F$4:$F$251,0),0)</f>
        <v>0</v>
      </c>
      <c r="N1095" s="169">
        <f>IFERROR(MATCH(J1095,'Final List'!$H$4:$H$252,0),0)</f>
        <v>0</v>
      </c>
      <c r="O1095" s="169">
        <f>IFERROR(MATCH(J1095,'Final List'!$J$4:$J$252,0),0)</f>
        <v>0</v>
      </c>
      <c r="P1095" s="169">
        <f>IFERROR(MATCH(J1095,'Final List'!$L$4:$L$252,0),0)</f>
        <v>0</v>
      </c>
      <c r="Q1095" s="169">
        <f>IFERROR(MATCH(J1095,'Final List'!$N$4:$N$252,0),0)</f>
        <v>0</v>
      </c>
      <c r="R1095" s="169">
        <f>IFERROR(MATCH(J1095,'Final List'!$P$4:$P$252,0),0)</f>
        <v>0</v>
      </c>
      <c r="S1095" s="169">
        <f t="shared" si="71"/>
        <v>0</v>
      </c>
      <c r="V1095" s="169" t="str">
        <f t="shared" si="69"/>
        <v>BAÑEZ 8</v>
      </c>
      <c r="W1095" s="169" t="s">
        <v>8896</v>
      </c>
    </row>
    <row r="1096" spans="2:23" x14ac:dyDescent="0.25">
      <c r="B1096" s="169" t="s">
        <v>258</v>
      </c>
      <c r="C1096" s="169" t="s">
        <v>87</v>
      </c>
      <c r="D1096" s="169" t="s">
        <v>195</v>
      </c>
      <c r="E1096" s="169" t="s">
        <v>63</v>
      </c>
      <c r="F1096" s="245" t="str">
        <f t="shared" si="70"/>
        <v>Dhoz 71</v>
      </c>
      <c r="G1096" s="169" t="s">
        <v>5701</v>
      </c>
      <c r="I1096" s="169" t="str">
        <f t="shared" si="68"/>
        <v>L10_NONE_008W_XCS</v>
      </c>
      <c r="J1096" s="169" t="s">
        <v>7796</v>
      </c>
      <c r="K1096" s="169">
        <f>IFERROR(MATCH(J1096,'Final List'!$B$4:$B$252,0),0)</f>
        <v>0</v>
      </c>
      <c r="L1096" s="169">
        <f>IFERROR(MATCH(J1096,'Final List'!$D$4:$D$252,0),0)</f>
        <v>0</v>
      </c>
      <c r="M1096" s="169">
        <f>IFERROR(MATCH(J1096,'Final List'!$F$4:$F$251,0),0)</f>
        <v>0</v>
      </c>
      <c r="N1096" s="169">
        <f>IFERROR(MATCH(J1096,'Final List'!$H$4:$H$252,0),0)</f>
        <v>0</v>
      </c>
      <c r="O1096" s="169">
        <f>IFERROR(MATCH(J1096,'Final List'!$J$4:$J$252,0),0)</f>
        <v>0</v>
      </c>
      <c r="P1096" s="169">
        <f>IFERROR(MATCH(J1096,'Final List'!$L$4:$L$252,0),0)</f>
        <v>0</v>
      </c>
      <c r="Q1096" s="169">
        <f>IFERROR(MATCH(J1096,'Final List'!$N$4:$N$252,0),0)</f>
        <v>0</v>
      </c>
      <c r="R1096" s="169">
        <f>IFERROR(MATCH(J1096,'Final List'!$P$4:$P$252,0),0)</f>
        <v>0</v>
      </c>
      <c r="S1096" s="169">
        <f t="shared" si="71"/>
        <v>0</v>
      </c>
      <c r="V1096" s="169" t="str">
        <f t="shared" si="69"/>
        <v>LARGO 2</v>
      </c>
      <c r="W1096" s="169" t="s">
        <v>8898</v>
      </c>
    </row>
    <row r="1097" spans="2:23" x14ac:dyDescent="0.25">
      <c r="B1097" s="169" t="s">
        <v>258</v>
      </c>
      <c r="C1097" s="169" t="s">
        <v>45</v>
      </c>
      <c r="D1097" s="169" t="s">
        <v>172</v>
      </c>
      <c r="E1097" s="169" t="s">
        <v>211</v>
      </c>
      <c r="F1097" s="245" t="str">
        <f t="shared" si="70"/>
        <v>StpL 78</v>
      </c>
      <c r="G1097" s="169" t="s">
        <v>374</v>
      </c>
      <c r="I1097" s="169" t="str">
        <f t="shared" si="68"/>
        <v>L10_DPVE_045E_STOPE PREP</v>
      </c>
      <c r="J1097" s="169" t="s">
        <v>7800</v>
      </c>
      <c r="K1097" s="169">
        <f>IFERROR(MATCH(J1097,'Final List'!$B$4:$B$252,0),0)</f>
        <v>0</v>
      </c>
      <c r="L1097" s="169">
        <f>IFERROR(MATCH(J1097,'Final List'!$D$4:$D$252,0),0)</f>
        <v>0</v>
      </c>
      <c r="M1097" s="169">
        <f>IFERROR(MATCH(J1097,'Final List'!$F$4:$F$251,0),0)</f>
        <v>0</v>
      </c>
      <c r="N1097" s="169">
        <f>IFERROR(MATCH(J1097,'Final List'!$H$4:$H$252,0),0)</f>
        <v>0</v>
      </c>
      <c r="O1097" s="169">
        <f>IFERROR(MATCH(J1097,'Final List'!$J$4:$J$252,0),0)</f>
        <v>0</v>
      </c>
      <c r="P1097" s="169">
        <f>IFERROR(MATCH(J1097,'Final List'!$L$4:$L$252,0),0)</f>
        <v>0</v>
      </c>
      <c r="Q1097" s="169">
        <f>IFERROR(MATCH(J1097,'Final List'!$N$4:$N$252,0),0)</f>
        <v>0</v>
      </c>
      <c r="R1097" s="169">
        <f>IFERROR(MATCH(J1097,'Final List'!$P$4:$P$252,0),0)</f>
        <v>0</v>
      </c>
      <c r="S1097" s="169">
        <f t="shared" si="71"/>
        <v>0</v>
      </c>
      <c r="T1097" s="169" t="s">
        <v>48</v>
      </c>
      <c r="V1097" s="169" t="str">
        <f t="shared" si="69"/>
        <v>TAÑEZA 6</v>
      </c>
      <c r="W1097" s="169" t="s">
        <v>2712</v>
      </c>
    </row>
    <row r="1098" spans="2:23" x14ac:dyDescent="0.25">
      <c r="B1098" s="169" t="s">
        <v>93</v>
      </c>
      <c r="C1098" s="169" t="s">
        <v>45</v>
      </c>
      <c r="D1098" s="169" t="s">
        <v>143</v>
      </c>
      <c r="E1098" s="169" t="s">
        <v>20</v>
      </c>
      <c r="F1098" s="245" t="str">
        <f t="shared" si="70"/>
        <v>DVW 74</v>
      </c>
      <c r="G1098" s="169" t="s">
        <v>350</v>
      </c>
      <c r="I1098" s="169" t="str">
        <f t="shared" si="68"/>
        <v>L06_DPVE_032E_WINZE</v>
      </c>
      <c r="J1098" s="169" t="s">
        <v>7795</v>
      </c>
      <c r="K1098" s="169">
        <f>IFERROR(MATCH(J1098,'Final List'!$B$4:$B$252,0),0)</f>
        <v>0</v>
      </c>
      <c r="L1098" s="169">
        <f>IFERROR(MATCH(J1098,'Final List'!$D$4:$D$252,0),0)</f>
        <v>0</v>
      </c>
      <c r="M1098" s="169">
        <f>IFERROR(MATCH(J1098,'Final List'!$F$4:$F$251,0),0)</f>
        <v>0</v>
      </c>
      <c r="N1098" s="169">
        <f>IFERROR(MATCH(J1098,'Final List'!$H$4:$H$252,0),0)</f>
        <v>0</v>
      </c>
      <c r="O1098" s="169">
        <f>IFERROR(MATCH(J1098,'Final List'!$J$4:$J$252,0),0)</f>
        <v>0</v>
      </c>
      <c r="P1098" s="169">
        <f>IFERROR(MATCH(J1098,'Final List'!$L$4:$L$252,0),0)</f>
        <v>0</v>
      </c>
      <c r="Q1098" s="169">
        <f>IFERROR(MATCH(J1098,'Final List'!$N$4:$N$252,0),0)</f>
        <v>0</v>
      </c>
      <c r="R1098" s="169">
        <f>IFERROR(MATCH(J1098,'Final List'!$P$4:$P$252,0),0)</f>
        <v>0</v>
      </c>
      <c r="S1098" s="169">
        <f t="shared" si="71"/>
        <v>0</v>
      </c>
      <c r="V1098" s="169" t="str">
        <f t="shared" si="69"/>
        <v>QUIJANO 1</v>
      </c>
      <c r="W1098" s="169" t="s">
        <v>2706</v>
      </c>
    </row>
    <row r="1099" spans="2:23" x14ac:dyDescent="0.25">
      <c r="B1099" s="169" t="s">
        <v>95</v>
      </c>
      <c r="C1099" s="169" t="s">
        <v>45</v>
      </c>
      <c r="D1099" s="169" t="s">
        <v>170</v>
      </c>
      <c r="E1099" s="169" t="s">
        <v>441</v>
      </c>
      <c r="F1099" s="245" t="str">
        <f t="shared" si="70"/>
        <v>RobC 80</v>
      </c>
      <c r="G1099" s="169" t="s">
        <v>305</v>
      </c>
      <c r="I1099" s="169" t="str">
        <f t="shared" si="68"/>
        <v>L08_DPVE_071E_WINZE STOPE PREP</v>
      </c>
      <c r="J1099" s="169" t="s">
        <v>7803</v>
      </c>
      <c r="K1099" s="169">
        <f>IFERROR(MATCH(J1099,'Final List'!$B$4:$B$252,0),0)</f>
        <v>0</v>
      </c>
      <c r="L1099" s="169">
        <f>IFERROR(MATCH(J1099,'Final List'!$D$4:$D$252,0),0)</f>
        <v>0</v>
      </c>
      <c r="M1099" s="169">
        <f>IFERROR(MATCH(J1099,'Final List'!$F$4:$F$251,0),0)</f>
        <v>0</v>
      </c>
      <c r="N1099" s="169">
        <f>IFERROR(MATCH(J1099,'Final List'!$H$4:$H$252,0),0)</f>
        <v>0</v>
      </c>
      <c r="O1099" s="169">
        <f>IFERROR(MATCH(J1099,'Final List'!$J$4:$J$252,0),0)</f>
        <v>0</v>
      </c>
      <c r="P1099" s="169">
        <f>IFERROR(MATCH(J1099,'Final List'!$L$4:$L$252,0),0)</f>
        <v>0</v>
      </c>
      <c r="Q1099" s="169">
        <f>IFERROR(MATCH(J1099,'Final List'!$N$4:$N$252,0),0)</f>
        <v>0</v>
      </c>
      <c r="R1099" s="169">
        <f>IFERROR(MATCH(J1099,'Final List'!$P$4:$P$252,0),0)</f>
        <v>0</v>
      </c>
      <c r="S1099" s="169">
        <f t="shared" si="71"/>
        <v>0</v>
      </c>
      <c r="T1099" s="169" t="s">
        <v>68</v>
      </c>
      <c r="V1099" s="169" t="str">
        <f t="shared" si="69"/>
        <v>CABONITA 1</v>
      </c>
      <c r="W1099" s="169" t="s">
        <v>2716</v>
      </c>
    </row>
    <row r="1100" spans="2:23" x14ac:dyDescent="0.25">
      <c r="B1100" s="169" t="s">
        <v>95</v>
      </c>
      <c r="C1100" s="169" t="s">
        <v>45</v>
      </c>
      <c r="D1100" s="169" t="s">
        <v>595</v>
      </c>
      <c r="E1100" s="169" t="s">
        <v>441</v>
      </c>
      <c r="F1100" s="245" t="str">
        <f t="shared" si="70"/>
        <v>RobC 80</v>
      </c>
      <c r="G1100" s="169" t="s">
        <v>7560</v>
      </c>
      <c r="H1100" s="169" t="s">
        <v>526</v>
      </c>
      <c r="I1100" s="169" t="str">
        <f t="shared" si="68"/>
        <v>L08_DPVE_072E_WINZE STOPE PREP</v>
      </c>
      <c r="J1100" s="169" t="s">
        <v>7806</v>
      </c>
      <c r="K1100" s="169">
        <f>IFERROR(MATCH(J1100,'Final List'!$B$4:$B$252,0),0)</f>
        <v>0</v>
      </c>
      <c r="L1100" s="169">
        <f>IFERROR(MATCH(J1100,'Final List'!$D$4:$D$252,0),0)</f>
        <v>0</v>
      </c>
      <c r="M1100" s="169">
        <f>IFERROR(MATCH(J1100,'Final List'!$F$4:$F$251,0),0)</f>
        <v>0</v>
      </c>
      <c r="N1100" s="169">
        <f>IFERROR(MATCH(J1100,'Final List'!$H$4:$H$252,0),0)</f>
        <v>0</v>
      </c>
      <c r="O1100" s="169">
        <f>IFERROR(MATCH(J1100,'Final List'!$J$4:$J$252,0),0)</f>
        <v>0</v>
      </c>
      <c r="P1100" s="169">
        <f>IFERROR(MATCH(J1100,'Final List'!$L$4:$L$252,0),0)</f>
        <v>0</v>
      </c>
      <c r="Q1100" s="169">
        <f>IFERROR(MATCH(J1100,'Final List'!$N$4:$N$252,0),0)</f>
        <v>0</v>
      </c>
      <c r="R1100" s="169">
        <f>IFERROR(MATCH(J1100,'Final List'!$P$4:$P$252,0),0)</f>
        <v>0</v>
      </c>
      <c r="S1100" s="169">
        <f t="shared" si="71"/>
        <v>0</v>
      </c>
      <c r="T1100" s="169" t="s">
        <v>68</v>
      </c>
      <c r="V1100" s="169" t="str">
        <f t="shared" si="69"/>
        <v>CARIKITAN 2</v>
      </c>
      <c r="W1100" s="169" t="s">
        <v>2705</v>
      </c>
    </row>
    <row r="1101" spans="2:23" x14ac:dyDescent="0.25">
      <c r="B1101" s="169" t="s">
        <v>94</v>
      </c>
      <c r="C1101" s="169" t="s">
        <v>45</v>
      </c>
      <c r="D1101" s="169" t="s">
        <v>5631</v>
      </c>
      <c r="E1101" s="169" t="s">
        <v>19</v>
      </c>
      <c r="F1101" s="245" t="str">
        <f t="shared" si="70"/>
        <v>DVR 72</v>
      </c>
      <c r="G1101" s="169" t="s">
        <v>7631</v>
      </c>
      <c r="I1101" s="169" t="str">
        <f t="shared" si="68"/>
        <v>L07_DPVE_020E_RAISE</v>
      </c>
      <c r="J1101" s="169" t="s">
        <v>7809</v>
      </c>
      <c r="K1101" s="169">
        <f>IFERROR(MATCH(J1101,'Final List'!$B$4:$B$252,0),0)</f>
        <v>0</v>
      </c>
      <c r="L1101" s="169">
        <f>IFERROR(MATCH(J1101,'Final List'!$D$4:$D$252,0),0)</f>
        <v>0</v>
      </c>
      <c r="M1101" s="169">
        <f>IFERROR(MATCH(J1101,'Final List'!$F$4:$F$251,0),0)</f>
        <v>0</v>
      </c>
      <c r="N1101" s="169">
        <f>IFERROR(MATCH(J1101,'Final List'!$H$4:$H$252,0),0)</f>
        <v>0</v>
      </c>
      <c r="O1101" s="169">
        <f>IFERROR(MATCH(J1101,'Final List'!$J$4:$J$252,0),0)</f>
        <v>0</v>
      </c>
      <c r="P1101" s="169">
        <f>IFERROR(MATCH(J1101,'Final List'!$L$4:$L$252,0),0)</f>
        <v>0</v>
      </c>
      <c r="Q1101" s="169">
        <f>IFERROR(MATCH(J1101,'Final List'!$N$4:$N$252,0),0)</f>
        <v>0</v>
      </c>
      <c r="R1101" s="169">
        <f>IFERROR(MATCH(J1101,'Final List'!$P$4:$P$252,0),0)</f>
        <v>0</v>
      </c>
      <c r="S1101" s="169">
        <f t="shared" si="71"/>
        <v>0</v>
      </c>
      <c r="V1101" s="169" t="str">
        <f t="shared" si="69"/>
        <v>TURRA 3</v>
      </c>
      <c r="W1101" s="169" t="s">
        <v>2715</v>
      </c>
    </row>
    <row r="1102" spans="2:23" x14ac:dyDescent="0.25">
      <c r="B1102" s="169" t="s">
        <v>95</v>
      </c>
      <c r="C1102" s="169" t="s">
        <v>87</v>
      </c>
      <c r="D1102" s="169" t="s">
        <v>135</v>
      </c>
      <c r="E1102" s="169" t="s">
        <v>37</v>
      </c>
      <c r="F1102" s="245" t="str">
        <f t="shared" si="70"/>
        <v>Dhoz 71</v>
      </c>
      <c r="G1102" s="169" t="s">
        <v>367</v>
      </c>
      <c r="I1102" s="169" t="str">
        <f t="shared" si="68"/>
        <v>L08_NONE_034E_XCN</v>
      </c>
      <c r="J1102" s="169" t="s">
        <v>7810</v>
      </c>
      <c r="K1102" s="169">
        <f>IFERROR(MATCH(J1102,'Final List'!$B$4:$B$252,0),0)</f>
        <v>0</v>
      </c>
      <c r="L1102" s="169">
        <f>IFERROR(MATCH(J1102,'Final List'!$D$4:$D$252,0),0)</f>
        <v>0</v>
      </c>
      <c r="M1102" s="169">
        <f>IFERROR(MATCH(J1102,'Final List'!$F$4:$F$251,0),0)</f>
        <v>0</v>
      </c>
      <c r="N1102" s="169">
        <f>IFERROR(MATCH(J1102,'Final List'!$H$4:$H$252,0),0)</f>
        <v>0</v>
      </c>
      <c r="O1102" s="169">
        <f>IFERROR(MATCH(J1102,'Final List'!$J$4:$J$252,0),0)</f>
        <v>0</v>
      </c>
      <c r="P1102" s="169">
        <f>IFERROR(MATCH(J1102,'Final List'!$L$4:$L$252,0),0)</f>
        <v>0</v>
      </c>
      <c r="Q1102" s="169">
        <f>IFERROR(MATCH(J1102,'Final List'!$N$4:$N$252,0),0)</f>
        <v>0</v>
      </c>
      <c r="R1102" s="169">
        <f>IFERROR(MATCH(J1102,'Final List'!$P$4:$P$252,0),0)</f>
        <v>0</v>
      </c>
      <c r="S1102" s="169">
        <f t="shared" si="71"/>
        <v>0</v>
      </c>
      <c r="V1102" s="169" t="str">
        <f t="shared" si="69"/>
        <v>LERIO 1</v>
      </c>
      <c r="W1102" s="169" t="s">
        <v>8897</v>
      </c>
    </row>
    <row r="1103" spans="2:23" x14ac:dyDescent="0.25">
      <c r="B1103" s="169" t="s">
        <v>96</v>
      </c>
      <c r="C1103" s="169" t="s">
        <v>42</v>
      </c>
      <c r="D1103" s="169" t="s">
        <v>172</v>
      </c>
      <c r="E1103" s="169" t="s">
        <v>19</v>
      </c>
      <c r="F1103" s="245" t="str">
        <f t="shared" si="70"/>
        <v>DVR 72</v>
      </c>
      <c r="G1103" s="169" t="s">
        <v>377</v>
      </c>
      <c r="I1103" s="169" t="str">
        <f t="shared" si="68"/>
        <v>L09_JV_045E_RAISE</v>
      </c>
      <c r="J1103" s="169" t="s">
        <v>7812</v>
      </c>
      <c r="K1103" s="169">
        <f>IFERROR(MATCH(J1103,'Final List'!$B$4:$B$252,0),0)</f>
        <v>0</v>
      </c>
      <c r="L1103" s="169">
        <f>IFERROR(MATCH(J1103,'Final List'!$D$4:$D$252,0),0)</f>
        <v>0</v>
      </c>
      <c r="M1103" s="169">
        <f>IFERROR(MATCH(J1103,'Final List'!$F$4:$F$251,0),0)</f>
        <v>0</v>
      </c>
      <c r="N1103" s="169">
        <f>IFERROR(MATCH(J1103,'Final List'!$H$4:$H$252,0),0)</f>
        <v>0</v>
      </c>
      <c r="O1103" s="169">
        <f>IFERROR(MATCH(J1103,'Final List'!$J$4:$J$252,0),0)</f>
        <v>0</v>
      </c>
      <c r="P1103" s="169">
        <f>IFERROR(MATCH(J1103,'Final List'!$L$4:$L$252,0),0)</f>
        <v>0</v>
      </c>
      <c r="Q1103" s="169">
        <f>IFERROR(MATCH(J1103,'Final List'!$N$4:$N$252,0),0)</f>
        <v>0</v>
      </c>
      <c r="R1103" s="169">
        <f>IFERROR(MATCH(J1103,'Final List'!$P$4:$P$252,0),0)</f>
        <v>0</v>
      </c>
      <c r="S1103" s="169">
        <f t="shared" si="71"/>
        <v>0</v>
      </c>
      <c r="V1103" s="169" t="str">
        <f t="shared" si="69"/>
        <v>DELOS REYES 1</v>
      </c>
      <c r="W1103" s="169" t="s">
        <v>2715</v>
      </c>
    </row>
    <row r="1104" spans="2:23" x14ac:dyDescent="0.25">
      <c r="B1104" s="169" t="s">
        <v>96</v>
      </c>
      <c r="C1104" s="169" t="s">
        <v>87</v>
      </c>
      <c r="D1104" s="169" t="s">
        <v>140</v>
      </c>
      <c r="E1104" s="169" t="s">
        <v>63</v>
      </c>
      <c r="F1104" s="245" t="str">
        <f t="shared" si="70"/>
        <v>Dhoz 71</v>
      </c>
      <c r="G1104" s="169" t="s">
        <v>3860</v>
      </c>
      <c r="I1104" s="169" t="str">
        <f t="shared" si="68"/>
        <v>L09_NONE_005W_XCS</v>
      </c>
      <c r="J1104" s="169" t="s">
        <v>7813</v>
      </c>
      <c r="K1104" s="169">
        <f>IFERROR(MATCH(J1104,'Final List'!$B$4:$B$252,0),0)</f>
        <v>0</v>
      </c>
      <c r="L1104" s="169">
        <f>IFERROR(MATCH(J1104,'Final List'!$D$4:$D$252,0),0)</f>
        <v>0</v>
      </c>
      <c r="M1104" s="169">
        <f>IFERROR(MATCH(J1104,'Final List'!$F$4:$F$251,0),0)</f>
        <v>0</v>
      </c>
      <c r="N1104" s="169">
        <f>IFERROR(MATCH(J1104,'Final List'!$H$4:$H$252,0),0)</f>
        <v>0</v>
      </c>
      <c r="O1104" s="169">
        <f>IFERROR(MATCH(J1104,'Final List'!$J$4:$J$252,0),0)</f>
        <v>0</v>
      </c>
      <c r="P1104" s="169">
        <f>IFERROR(MATCH(J1104,'Final List'!$L$4:$L$252,0),0)</f>
        <v>0</v>
      </c>
      <c r="Q1104" s="169">
        <f>IFERROR(MATCH(J1104,'Final List'!$N$4:$N$252,0),0)</f>
        <v>0</v>
      </c>
      <c r="R1104" s="169">
        <f>IFERROR(MATCH(J1104,'Final List'!$P$4:$P$252,0),0)</f>
        <v>0</v>
      </c>
      <c r="S1104" s="169">
        <f t="shared" si="71"/>
        <v>0</v>
      </c>
      <c r="V1104" s="169" t="str">
        <f t="shared" si="69"/>
        <v>FERNANDEZ, REX 1</v>
      </c>
      <c r="W1104" s="169" t="s">
        <v>8898</v>
      </c>
    </row>
    <row r="1105" spans="2:23" x14ac:dyDescent="0.25">
      <c r="B1105" s="169" t="s">
        <v>258</v>
      </c>
      <c r="C1105" s="169" t="s">
        <v>39</v>
      </c>
      <c r="D1105" s="169" t="s">
        <v>5723</v>
      </c>
      <c r="E1105" s="169" t="s">
        <v>61</v>
      </c>
      <c r="F1105" s="245" t="str">
        <f t="shared" si="70"/>
        <v>Dhoz 71</v>
      </c>
      <c r="G1105" s="169" t="s">
        <v>5705</v>
      </c>
      <c r="I1105" s="169" t="str">
        <f t="shared" si="68"/>
        <v>L10_JVHW_046E_DW</v>
      </c>
      <c r="J1105" s="169" t="s">
        <v>7815</v>
      </c>
      <c r="K1105" s="169">
        <f>IFERROR(MATCH(J1105,'Final List'!$B$4:$B$252,0),0)</f>
        <v>0</v>
      </c>
      <c r="L1105" s="169">
        <f>IFERROR(MATCH(J1105,'Final List'!$D$4:$D$252,0),0)</f>
        <v>0</v>
      </c>
      <c r="M1105" s="169">
        <f>IFERROR(MATCH(J1105,'Final List'!$F$4:$F$251,0),0)</f>
        <v>0</v>
      </c>
      <c r="N1105" s="169">
        <f>IFERROR(MATCH(J1105,'Final List'!$H$4:$H$252,0),0)</f>
        <v>0</v>
      </c>
      <c r="O1105" s="169">
        <f>IFERROR(MATCH(J1105,'Final List'!$J$4:$J$252,0),0)</f>
        <v>0</v>
      </c>
      <c r="P1105" s="169">
        <f>IFERROR(MATCH(J1105,'Final List'!$L$4:$L$252,0),0)</f>
        <v>0</v>
      </c>
      <c r="Q1105" s="169">
        <f>IFERROR(MATCH(J1105,'Final List'!$N$4:$N$252,0),0)</f>
        <v>0</v>
      </c>
      <c r="R1105" s="169">
        <f>IFERROR(MATCH(J1105,'Final List'!$P$4:$P$252,0),0)</f>
        <v>0</v>
      </c>
      <c r="S1105" s="169">
        <f t="shared" si="71"/>
        <v>0</v>
      </c>
      <c r="V1105" s="169" t="str">
        <f t="shared" si="69"/>
        <v>OLIVEROS 4</v>
      </c>
      <c r="W1105" s="169" t="s">
        <v>8896</v>
      </c>
    </row>
    <row r="1106" spans="2:23" x14ac:dyDescent="0.25">
      <c r="B1106" s="169" t="s">
        <v>95</v>
      </c>
      <c r="C1106" s="169" t="s">
        <v>38</v>
      </c>
      <c r="D1106" s="169" t="s">
        <v>146</v>
      </c>
      <c r="E1106" s="169" t="s">
        <v>221</v>
      </c>
      <c r="F1106" s="245" t="str">
        <f t="shared" si="70"/>
        <v>RobC 80</v>
      </c>
      <c r="G1106" s="169" t="s">
        <v>467</v>
      </c>
      <c r="I1106" s="169" t="str">
        <f t="shared" si="68"/>
        <v>L08_GHV_030E_WINZE STOPE</v>
      </c>
      <c r="J1106" s="169" t="s">
        <v>7816</v>
      </c>
      <c r="K1106" s="169">
        <f>IFERROR(MATCH(J1106,'Final List'!$B$4:$B$252,0),0)</f>
        <v>0</v>
      </c>
      <c r="L1106" s="169">
        <f>IFERROR(MATCH(J1106,'Final List'!$D$4:$D$252,0),0)</f>
        <v>0</v>
      </c>
      <c r="M1106" s="169">
        <f>IFERROR(MATCH(J1106,'Final List'!$F$4:$F$251,0),0)</f>
        <v>0</v>
      </c>
      <c r="N1106" s="169">
        <f>IFERROR(MATCH(J1106,'Final List'!$H$4:$H$252,0),0)</f>
        <v>0</v>
      </c>
      <c r="O1106" s="169">
        <f>IFERROR(MATCH(J1106,'Final List'!$J$4:$J$252,0),0)</f>
        <v>0</v>
      </c>
      <c r="P1106" s="169">
        <f>IFERROR(MATCH(J1106,'Final List'!$L$4:$L$252,0),0)</f>
        <v>0</v>
      </c>
      <c r="Q1106" s="169">
        <f>IFERROR(MATCH(J1106,'Final List'!$N$4:$N$252,0),0)</f>
        <v>0</v>
      </c>
      <c r="R1106" s="169">
        <f>IFERROR(MATCH(J1106,'Final List'!$P$4:$P$252,0),0)</f>
        <v>0</v>
      </c>
      <c r="S1106" s="169">
        <f t="shared" si="71"/>
        <v>0</v>
      </c>
      <c r="T1106" s="169" t="s">
        <v>68</v>
      </c>
      <c r="V1106" s="169" t="str">
        <f t="shared" si="69"/>
        <v>AGLOLO 2</v>
      </c>
      <c r="W1106" s="169" t="s">
        <v>2719</v>
      </c>
    </row>
    <row r="1107" spans="2:23" x14ac:dyDescent="0.25">
      <c r="B1107" s="169" t="s">
        <v>96</v>
      </c>
      <c r="C1107" s="169" t="s">
        <v>38</v>
      </c>
      <c r="D1107" s="169" t="s">
        <v>143</v>
      </c>
      <c r="E1107" s="169" t="s">
        <v>6154</v>
      </c>
      <c r="F1107" s="245" t="str">
        <f t="shared" si="70"/>
        <v>Dhoz 71</v>
      </c>
      <c r="G1107" s="169" t="s">
        <v>363</v>
      </c>
      <c r="I1107" s="169" t="str">
        <f t="shared" si="68"/>
        <v>L09_GHV_032E_DW_ISL</v>
      </c>
      <c r="J1107" s="169" t="s">
        <v>7821</v>
      </c>
      <c r="K1107" s="169">
        <f>IFERROR(MATCH(J1107,'Final List'!$B$4:$B$252,0),0)</f>
        <v>0</v>
      </c>
      <c r="L1107" s="169">
        <f>IFERROR(MATCH(J1107,'Final List'!$D$4:$D$252,0),0)</f>
        <v>0</v>
      </c>
      <c r="M1107" s="169">
        <f>IFERROR(MATCH(J1107,'Final List'!$F$4:$F$251,0),0)</f>
        <v>0</v>
      </c>
      <c r="N1107" s="169">
        <f>IFERROR(MATCH(J1107,'Final List'!$H$4:$H$252,0),0)</f>
        <v>0</v>
      </c>
      <c r="O1107" s="169">
        <f>IFERROR(MATCH(J1107,'Final List'!$J$4:$J$252,0),0)</f>
        <v>0</v>
      </c>
      <c r="P1107" s="169">
        <f>IFERROR(MATCH(J1107,'Final List'!$L$4:$L$252,0),0)</f>
        <v>0</v>
      </c>
      <c r="Q1107" s="169">
        <f>IFERROR(MATCH(J1107,'Final List'!$N$4:$N$252,0),0)</f>
        <v>0</v>
      </c>
      <c r="R1107" s="169">
        <f>IFERROR(MATCH(J1107,'Final List'!$P$4:$P$252,0),0)</f>
        <v>0</v>
      </c>
      <c r="S1107" s="169">
        <f t="shared" si="71"/>
        <v>0</v>
      </c>
      <c r="V1107" s="169" t="str">
        <f t="shared" si="69"/>
        <v>BABOR 2</v>
      </c>
      <c r="W1107" s="169" t="s">
        <v>8896</v>
      </c>
    </row>
    <row r="1108" spans="2:23" x14ac:dyDescent="0.25">
      <c r="B1108" s="169" t="s">
        <v>1166</v>
      </c>
      <c r="C1108" s="169" t="s">
        <v>87</v>
      </c>
      <c r="D1108" s="169" t="s">
        <v>178</v>
      </c>
      <c r="E1108" s="169" t="s">
        <v>72</v>
      </c>
      <c r="F1108" s="245" t="str">
        <f t="shared" si="70"/>
        <v>Dhoz 71</v>
      </c>
      <c r="G1108" s="169" t="s">
        <v>7716</v>
      </c>
      <c r="I1108" s="169" t="str">
        <f t="shared" si="68"/>
        <v>L11_NONE_048E_CHAMBER</v>
      </c>
      <c r="J1108" s="169" t="s">
        <v>7822</v>
      </c>
      <c r="K1108" s="169">
        <f>IFERROR(MATCH(J1108,'Final List'!$B$4:$B$252,0),0)</f>
        <v>0</v>
      </c>
      <c r="L1108" s="169">
        <f>IFERROR(MATCH(J1108,'Final List'!$D$4:$D$252,0),0)</f>
        <v>0</v>
      </c>
      <c r="M1108" s="169">
        <f>IFERROR(MATCH(J1108,'Final List'!$F$4:$F$251,0),0)</f>
        <v>0</v>
      </c>
      <c r="N1108" s="169">
        <f>IFERROR(MATCH(J1108,'Final List'!$H$4:$H$252,0),0)</f>
        <v>0</v>
      </c>
      <c r="O1108" s="169">
        <f>IFERROR(MATCH(J1108,'Final List'!$J$4:$J$252,0),0)</f>
        <v>0</v>
      </c>
      <c r="P1108" s="169">
        <f>IFERROR(MATCH(J1108,'Final List'!$L$4:$L$252,0),0)</f>
        <v>0</v>
      </c>
      <c r="Q1108" s="169">
        <f>IFERROR(MATCH(J1108,'Final List'!$N$4:$N$252,0),0)</f>
        <v>0</v>
      </c>
      <c r="R1108" s="169">
        <f>IFERROR(MATCH(J1108,'Final List'!$P$4:$P$252,0),0)</f>
        <v>0</v>
      </c>
      <c r="S1108" s="169">
        <f t="shared" si="71"/>
        <v>0</v>
      </c>
      <c r="V1108" s="169" t="str">
        <f t="shared" si="69"/>
        <v>DUHIG P1</v>
      </c>
      <c r="W1108" s="169" t="s">
        <v>2714</v>
      </c>
    </row>
    <row r="1109" spans="2:23" x14ac:dyDescent="0.25">
      <c r="B1109" s="169" t="s">
        <v>258</v>
      </c>
      <c r="C1109" s="169" t="s">
        <v>45</v>
      </c>
      <c r="D1109" s="169" t="s">
        <v>218</v>
      </c>
      <c r="E1109" s="169" t="s">
        <v>61</v>
      </c>
      <c r="F1109" s="245" t="str">
        <f t="shared" si="70"/>
        <v>Dhoz 71</v>
      </c>
      <c r="G1109" s="169" t="s">
        <v>5700</v>
      </c>
      <c r="I1109" s="169" t="str">
        <f t="shared" si="68"/>
        <v>L10_DPVE_062E_DW</v>
      </c>
      <c r="J1109" s="169" t="s">
        <v>4667</v>
      </c>
      <c r="K1109" s="169">
        <f>IFERROR(MATCH(J1109,'Final List'!$B$4:$B$252,0),0)</f>
        <v>0</v>
      </c>
      <c r="L1109" s="169">
        <f>IFERROR(MATCH(J1109,'Final List'!$D$4:$D$252,0),0)</f>
        <v>0</v>
      </c>
      <c r="M1109" s="169">
        <f>IFERROR(MATCH(J1109,'Final List'!$F$4:$F$251,0),0)</f>
        <v>0</v>
      </c>
      <c r="N1109" s="169">
        <f>IFERROR(MATCH(J1109,'Final List'!$H$4:$H$252,0),0)</f>
        <v>0</v>
      </c>
      <c r="O1109" s="169">
        <f>IFERROR(MATCH(J1109,'Final List'!$J$4:$J$252,0),0)</f>
        <v>0</v>
      </c>
      <c r="P1109" s="169">
        <f>IFERROR(MATCH(J1109,'Final List'!$L$4:$L$252,0),0)</f>
        <v>0</v>
      </c>
      <c r="Q1109" s="169">
        <f>IFERROR(MATCH(J1109,'Final List'!$N$4:$N$252,0),0)</f>
        <v>0</v>
      </c>
      <c r="R1109" s="169">
        <f>IFERROR(MATCH(J1109,'Final List'!$P$4:$P$252,0),0)</f>
        <v>0</v>
      </c>
      <c r="S1109" s="169">
        <f t="shared" si="71"/>
        <v>0</v>
      </c>
      <c r="V1109" s="169" t="str">
        <f t="shared" si="69"/>
        <v>LARGO 1</v>
      </c>
      <c r="W1109" s="169" t="s">
        <v>8896</v>
      </c>
    </row>
    <row r="1110" spans="2:23" x14ac:dyDescent="0.25">
      <c r="B1110" s="169" t="s">
        <v>93</v>
      </c>
      <c r="C1110" s="169" t="s">
        <v>38</v>
      </c>
      <c r="D1110" s="169" t="s">
        <v>146</v>
      </c>
      <c r="E1110" s="169" t="s">
        <v>20</v>
      </c>
      <c r="F1110" s="245" t="str">
        <f t="shared" si="70"/>
        <v>DVW 74</v>
      </c>
      <c r="G1110" s="169" t="s">
        <v>349</v>
      </c>
      <c r="I1110" s="169" t="str">
        <f t="shared" si="68"/>
        <v>L06_GHV_030E_WINZE</v>
      </c>
      <c r="J1110" s="169" t="s">
        <v>7828</v>
      </c>
      <c r="K1110" s="169">
        <f>IFERROR(MATCH(J1110,'Final List'!$B$4:$B$252,0),0)</f>
        <v>0</v>
      </c>
      <c r="L1110" s="169">
        <f>IFERROR(MATCH(J1110,'Final List'!$D$4:$D$252,0),0)</f>
        <v>0</v>
      </c>
      <c r="M1110" s="169">
        <f>IFERROR(MATCH(J1110,'Final List'!$F$4:$F$251,0),0)</f>
        <v>0</v>
      </c>
      <c r="N1110" s="169">
        <f>IFERROR(MATCH(J1110,'Final List'!$H$4:$H$252,0),0)</f>
        <v>0</v>
      </c>
      <c r="O1110" s="169">
        <f>IFERROR(MATCH(J1110,'Final List'!$J$4:$J$252,0),0)</f>
        <v>0</v>
      </c>
      <c r="P1110" s="169">
        <f>IFERROR(MATCH(J1110,'Final List'!$L$4:$L$252,0),0)</f>
        <v>0</v>
      </c>
      <c r="Q1110" s="169">
        <f>IFERROR(MATCH(J1110,'Final List'!$N$4:$N$252,0),0)</f>
        <v>0</v>
      </c>
      <c r="R1110" s="169">
        <f>IFERROR(MATCH(J1110,'Final List'!$P$4:$P$252,0),0)</f>
        <v>0</v>
      </c>
      <c r="S1110" s="169">
        <f t="shared" si="71"/>
        <v>0</v>
      </c>
      <c r="V1110" s="169" t="str">
        <f t="shared" si="69"/>
        <v>QUIJANO 2</v>
      </c>
      <c r="W1110" s="169" t="s">
        <v>2706</v>
      </c>
    </row>
    <row r="1111" spans="2:23" x14ac:dyDescent="0.25">
      <c r="B1111" s="169" t="s">
        <v>93</v>
      </c>
      <c r="C1111" s="169" t="s">
        <v>42</v>
      </c>
      <c r="D1111" s="169" t="s">
        <v>141</v>
      </c>
      <c r="E1111" s="169" t="s">
        <v>62</v>
      </c>
      <c r="F1111" s="245" t="str">
        <f t="shared" si="70"/>
        <v>RobC 80</v>
      </c>
      <c r="G1111" s="169" t="s">
        <v>352</v>
      </c>
      <c r="I1111" s="169" t="str">
        <f t="shared" si="68"/>
        <v>L06_JV_029E_ROBBING</v>
      </c>
      <c r="J1111" s="169" t="s">
        <v>7830</v>
      </c>
      <c r="K1111" s="169">
        <f>IFERROR(MATCH(J1111,'Final List'!$B$4:$B$252,0),0)</f>
        <v>0</v>
      </c>
      <c r="L1111" s="169">
        <f>IFERROR(MATCH(J1111,'Final List'!$D$4:$D$252,0),0)</f>
        <v>0</v>
      </c>
      <c r="M1111" s="169">
        <f>IFERROR(MATCH(J1111,'Final List'!$F$4:$F$251,0),0)</f>
        <v>0</v>
      </c>
      <c r="N1111" s="169">
        <f>IFERROR(MATCH(J1111,'Final List'!$H$4:$H$252,0),0)</f>
        <v>0</v>
      </c>
      <c r="O1111" s="169">
        <f>IFERROR(MATCH(J1111,'Final List'!$J$4:$J$252,0),0)</f>
        <v>0</v>
      </c>
      <c r="P1111" s="169">
        <f>IFERROR(MATCH(J1111,'Final List'!$L$4:$L$252,0),0)</f>
        <v>0</v>
      </c>
      <c r="Q1111" s="169">
        <f>IFERROR(MATCH(J1111,'Final List'!$N$4:$N$252,0),0)</f>
        <v>0</v>
      </c>
      <c r="R1111" s="169">
        <f>IFERROR(MATCH(J1111,'Final List'!$P$4:$P$252,0),0)</f>
        <v>0</v>
      </c>
      <c r="S1111" s="169">
        <f t="shared" si="71"/>
        <v>0</v>
      </c>
      <c r="T1111" s="169" t="s">
        <v>48</v>
      </c>
      <c r="V1111" s="169" t="str">
        <f t="shared" si="69"/>
        <v>BAÑEZ 5</v>
      </c>
      <c r="W1111" s="169" t="s">
        <v>236</v>
      </c>
    </row>
    <row r="1112" spans="2:23" x14ac:dyDescent="0.25">
      <c r="B1112" s="169" t="s">
        <v>92</v>
      </c>
      <c r="C1112" s="169" t="s">
        <v>57</v>
      </c>
      <c r="D1112" s="169" t="s">
        <v>5844</v>
      </c>
      <c r="E1112" s="169" t="s">
        <v>60</v>
      </c>
      <c r="F1112" s="245" t="str">
        <f t="shared" si="70"/>
        <v>Dhoz 71</v>
      </c>
      <c r="G1112" s="169" t="s">
        <v>7517</v>
      </c>
      <c r="I1112" s="169" t="str">
        <f t="shared" si="68"/>
        <v>L05_JVSPLIT_009W_DE</v>
      </c>
      <c r="J1112" s="169" t="s">
        <v>7882</v>
      </c>
      <c r="K1112" s="169">
        <f>IFERROR(MATCH(J1112,'Final List'!$B$4:$B$252,0),0)</f>
        <v>0</v>
      </c>
      <c r="L1112" s="169">
        <f>IFERROR(MATCH(J1112,'Final List'!$D$4:$D$252,0),0)</f>
        <v>0</v>
      </c>
      <c r="M1112" s="169">
        <f>IFERROR(MATCH(J1112,'Final List'!$F$4:$F$251,0),0)</f>
        <v>0</v>
      </c>
      <c r="N1112" s="169">
        <f>IFERROR(MATCH(J1112,'Final List'!$H$4:$H$252,0),0)</f>
        <v>0</v>
      </c>
      <c r="O1112" s="169">
        <f>IFERROR(MATCH(J1112,'Final List'!$J$4:$J$252,0),0)</f>
        <v>0</v>
      </c>
      <c r="P1112" s="169">
        <f>IFERROR(MATCH(J1112,'Final List'!$L$4:$L$252,0),0)</f>
        <v>0</v>
      </c>
      <c r="Q1112" s="169">
        <f>IFERROR(MATCH(J1112,'Final List'!$N$4:$N$252,0),0)</f>
        <v>0</v>
      </c>
      <c r="R1112" s="169">
        <f>IFERROR(MATCH(J1112,'Final List'!$P$4:$P$252,0),0)</f>
        <v>0</v>
      </c>
      <c r="S1112" s="169">
        <f t="shared" si="71"/>
        <v>0</v>
      </c>
      <c r="V1112" s="169" t="str">
        <f t="shared" si="69"/>
        <v>FERNANDEZ RG</v>
      </c>
      <c r="W1112" s="169" t="s">
        <v>8895</v>
      </c>
    </row>
    <row r="1113" spans="2:23" x14ac:dyDescent="0.25">
      <c r="B1113" s="169" t="s">
        <v>92</v>
      </c>
      <c r="C1113" s="169" t="s">
        <v>45</v>
      </c>
      <c r="D1113" s="169" t="s">
        <v>122</v>
      </c>
      <c r="E1113" s="169" t="s">
        <v>6144</v>
      </c>
      <c r="F1113" s="245" t="str">
        <f t="shared" si="70"/>
        <v>DVR 72</v>
      </c>
      <c r="G1113" s="169" t="s">
        <v>7832</v>
      </c>
      <c r="I1113" s="169" t="str">
        <f t="shared" si="68"/>
        <v>L05_DPVE_025E_RAISE_ISL</v>
      </c>
      <c r="J1113" s="169" t="s">
        <v>7831</v>
      </c>
      <c r="K1113" s="169">
        <f>IFERROR(MATCH(J1113,'Final List'!$B$4:$B$252,0),0)</f>
        <v>0</v>
      </c>
      <c r="L1113" s="169">
        <f>IFERROR(MATCH(J1113,'Final List'!$D$4:$D$252,0),0)</f>
        <v>0</v>
      </c>
      <c r="M1113" s="169">
        <f>IFERROR(MATCH(J1113,'Final List'!$F$4:$F$251,0),0)</f>
        <v>0</v>
      </c>
      <c r="N1113" s="169">
        <f>IFERROR(MATCH(J1113,'Final List'!$H$4:$H$252,0),0)</f>
        <v>0</v>
      </c>
      <c r="O1113" s="169">
        <f>IFERROR(MATCH(J1113,'Final List'!$J$4:$J$252,0),0)</f>
        <v>0</v>
      </c>
      <c r="P1113" s="169">
        <f>IFERROR(MATCH(J1113,'Final List'!$L$4:$L$252,0),0)</f>
        <v>0</v>
      </c>
      <c r="Q1113" s="169">
        <f>IFERROR(MATCH(J1113,'Final List'!$N$4:$N$252,0),0)</f>
        <v>0</v>
      </c>
      <c r="R1113" s="169">
        <f>IFERROR(MATCH(J1113,'Final List'!$P$4:$P$252,0),0)</f>
        <v>0</v>
      </c>
      <c r="S1113" s="169">
        <f t="shared" si="71"/>
        <v>0</v>
      </c>
      <c r="V1113" s="169" t="str">
        <f t="shared" si="69"/>
        <v>SHAPHERD AF 2</v>
      </c>
      <c r="W1113" s="169" t="s">
        <v>2715</v>
      </c>
    </row>
    <row r="1114" spans="2:23" x14ac:dyDescent="0.25">
      <c r="B1114" s="169" t="s">
        <v>96</v>
      </c>
      <c r="C1114" s="169" t="s">
        <v>43</v>
      </c>
      <c r="D1114" s="169" t="s">
        <v>7223</v>
      </c>
      <c r="E1114" s="169" t="s">
        <v>60</v>
      </c>
      <c r="F1114" s="245" t="str">
        <f t="shared" si="70"/>
        <v>Dhoz 71</v>
      </c>
      <c r="G1114" s="169" t="s">
        <v>362</v>
      </c>
      <c r="I1114" s="169" t="str">
        <f t="shared" si="68"/>
        <v>L09_GHVSPLIT_002E_DE</v>
      </c>
      <c r="J1114" s="169" t="s">
        <v>7835</v>
      </c>
      <c r="K1114" s="169">
        <f>IFERROR(MATCH(J1114,'Final List'!$B$4:$B$252,0),0)</f>
        <v>0</v>
      </c>
      <c r="L1114" s="169">
        <f>IFERROR(MATCH(J1114,'Final List'!$D$4:$D$252,0),0)</f>
        <v>0</v>
      </c>
      <c r="M1114" s="169">
        <f>IFERROR(MATCH(J1114,'Final List'!$F$4:$F$251,0),0)</f>
        <v>0</v>
      </c>
      <c r="N1114" s="169">
        <f>IFERROR(MATCH(J1114,'Final List'!$H$4:$H$252,0),0)</f>
        <v>0</v>
      </c>
      <c r="O1114" s="169">
        <f>IFERROR(MATCH(J1114,'Final List'!$J$4:$J$252,0),0)</f>
        <v>0</v>
      </c>
      <c r="P1114" s="169">
        <f>IFERROR(MATCH(J1114,'Final List'!$L$4:$L$252,0),0)</f>
        <v>0</v>
      </c>
      <c r="Q1114" s="169">
        <f>IFERROR(MATCH(J1114,'Final List'!$N$4:$N$252,0),0)</f>
        <v>0</v>
      </c>
      <c r="R1114" s="169">
        <f>IFERROR(MATCH(J1114,'Final List'!$P$4:$P$252,0),0)</f>
        <v>0</v>
      </c>
      <c r="S1114" s="169">
        <f t="shared" si="71"/>
        <v>0</v>
      </c>
      <c r="V1114" s="169" t="str">
        <f t="shared" si="69"/>
        <v>BABOR 1</v>
      </c>
      <c r="W1114" s="169" t="s">
        <v>8896</v>
      </c>
    </row>
    <row r="1115" spans="2:23" x14ac:dyDescent="0.25">
      <c r="B1115" s="169" t="s">
        <v>92</v>
      </c>
      <c r="C1115" s="169" t="s">
        <v>42</v>
      </c>
      <c r="D1115" s="169" t="s">
        <v>130</v>
      </c>
      <c r="E1115" s="169" t="s">
        <v>62</v>
      </c>
      <c r="F1115" s="245" t="str">
        <f t="shared" si="70"/>
        <v>RobC 80</v>
      </c>
      <c r="G1115" s="169" t="s">
        <v>3955</v>
      </c>
      <c r="I1115" s="169" t="str">
        <f t="shared" si="68"/>
        <v>L05_JV_036E_ROBBING</v>
      </c>
      <c r="J1115" s="169" t="s">
        <v>7837</v>
      </c>
      <c r="K1115" s="169">
        <f>IFERROR(MATCH(J1115,'Final List'!$B$4:$B$252,0),0)</f>
        <v>0</v>
      </c>
      <c r="L1115" s="169">
        <f>IFERROR(MATCH(J1115,'Final List'!$D$4:$D$252,0),0)</f>
        <v>0</v>
      </c>
      <c r="M1115" s="169">
        <f>IFERROR(MATCH(J1115,'Final List'!$F$4:$F$251,0),0)</f>
        <v>0</v>
      </c>
      <c r="N1115" s="169">
        <f>IFERROR(MATCH(J1115,'Final List'!$H$4:$H$252,0),0)</f>
        <v>0</v>
      </c>
      <c r="O1115" s="169">
        <f>IFERROR(MATCH(J1115,'Final List'!$J$4:$J$252,0),0)</f>
        <v>0</v>
      </c>
      <c r="P1115" s="169">
        <f>IFERROR(MATCH(J1115,'Final List'!$L$4:$L$252,0),0)</f>
        <v>0</v>
      </c>
      <c r="Q1115" s="169">
        <f>IFERROR(MATCH(J1115,'Final List'!$N$4:$N$252,0),0)</f>
        <v>0</v>
      </c>
      <c r="R1115" s="169">
        <f>IFERROR(MATCH(J1115,'Final List'!$P$4:$P$252,0),0)</f>
        <v>0</v>
      </c>
      <c r="S1115" s="169">
        <f t="shared" si="71"/>
        <v>0</v>
      </c>
      <c r="T1115" s="169" t="s">
        <v>48</v>
      </c>
      <c r="V1115" s="169" t="str">
        <f t="shared" si="69"/>
        <v>SAMBERE</v>
      </c>
      <c r="W1115" s="169" t="s">
        <v>236</v>
      </c>
    </row>
    <row r="1116" spans="2:23" x14ac:dyDescent="0.25">
      <c r="B1116" s="169" t="s">
        <v>94</v>
      </c>
      <c r="C1116" s="169" t="s">
        <v>45</v>
      </c>
      <c r="D1116" s="169" t="s">
        <v>141</v>
      </c>
      <c r="E1116" s="169" t="s">
        <v>62</v>
      </c>
      <c r="F1116" s="245" t="str">
        <f t="shared" si="70"/>
        <v>RobS 79</v>
      </c>
      <c r="G1116" s="169" t="s">
        <v>5980</v>
      </c>
      <c r="I1116" s="169" t="str">
        <f t="shared" si="68"/>
        <v>L07_DPVE_029E_ROBBING</v>
      </c>
      <c r="J1116" s="169" t="s">
        <v>7841</v>
      </c>
      <c r="K1116" s="169">
        <f>IFERROR(MATCH(J1116,'Final List'!$B$4:$B$252,0),0)</f>
        <v>0</v>
      </c>
      <c r="L1116" s="169">
        <f>IFERROR(MATCH(J1116,'Final List'!$D$4:$D$252,0),0)</f>
        <v>0</v>
      </c>
      <c r="M1116" s="169">
        <f>IFERROR(MATCH(J1116,'Final List'!$F$4:$F$251,0),0)</f>
        <v>0</v>
      </c>
      <c r="N1116" s="169">
        <f>IFERROR(MATCH(J1116,'Final List'!$H$4:$H$252,0),0)</f>
        <v>0</v>
      </c>
      <c r="O1116" s="169">
        <f>IFERROR(MATCH(J1116,'Final List'!$J$4:$J$252,0),0)</f>
        <v>0</v>
      </c>
      <c r="P1116" s="169">
        <f>IFERROR(MATCH(J1116,'Final List'!$L$4:$L$252,0),0)</f>
        <v>0</v>
      </c>
      <c r="Q1116" s="169">
        <f>IFERROR(MATCH(J1116,'Final List'!$N$4:$N$252,0),0)</f>
        <v>0</v>
      </c>
      <c r="R1116" s="169">
        <f>IFERROR(MATCH(J1116,'Final List'!$P$4:$P$252,0),0)</f>
        <v>0</v>
      </c>
      <c r="S1116" s="169">
        <f t="shared" si="71"/>
        <v>0</v>
      </c>
      <c r="T1116" s="169" t="s">
        <v>68</v>
      </c>
      <c r="V1116" s="169" t="str">
        <f t="shared" si="69"/>
        <v xml:space="preserve">CARIKITAN 2 </v>
      </c>
      <c r="W1116" s="169" t="s">
        <v>2707</v>
      </c>
    </row>
    <row r="1117" spans="2:23" x14ac:dyDescent="0.25">
      <c r="B1117" s="169" t="s">
        <v>258</v>
      </c>
      <c r="C1117" s="169" t="s">
        <v>45</v>
      </c>
      <c r="D1117" s="169" t="s">
        <v>142</v>
      </c>
      <c r="E1117" s="169" t="s">
        <v>19</v>
      </c>
      <c r="F1117" s="245" t="str">
        <f t="shared" si="70"/>
        <v>DVR 72</v>
      </c>
      <c r="G1117" s="169" t="s">
        <v>374</v>
      </c>
      <c r="I1117" s="169" t="str">
        <f t="shared" ref="I1117:I1180" si="72">CONCATENATE(B1117,"_",C1117,"_",D1117,"_",E1117)</f>
        <v>L10_DPVE_038E_RAISE</v>
      </c>
      <c r="J1117" s="169" t="s">
        <v>7826</v>
      </c>
      <c r="K1117" s="169">
        <f>IFERROR(MATCH(J1117,'Final List'!$B$4:$B$252,0),0)</f>
        <v>0</v>
      </c>
      <c r="L1117" s="169">
        <f>IFERROR(MATCH(J1117,'Final List'!$D$4:$D$252,0),0)</f>
        <v>0</v>
      </c>
      <c r="M1117" s="169">
        <f>IFERROR(MATCH(J1117,'Final List'!$F$4:$F$251,0),0)</f>
        <v>0</v>
      </c>
      <c r="N1117" s="169">
        <f>IFERROR(MATCH(J1117,'Final List'!$H$4:$H$252,0),0)</f>
        <v>0</v>
      </c>
      <c r="O1117" s="169">
        <f>IFERROR(MATCH(J1117,'Final List'!$J$4:$J$252,0),0)</f>
        <v>0</v>
      </c>
      <c r="P1117" s="169">
        <f>IFERROR(MATCH(J1117,'Final List'!$L$4:$L$252,0),0)</f>
        <v>0</v>
      </c>
      <c r="Q1117" s="169">
        <f>IFERROR(MATCH(J1117,'Final List'!$N$4:$N$252,0),0)</f>
        <v>0</v>
      </c>
      <c r="R1117" s="169">
        <f>IFERROR(MATCH(J1117,'Final List'!$P$4:$P$252,0),0)</f>
        <v>0</v>
      </c>
      <c r="S1117" s="169">
        <f t="shared" si="71"/>
        <v>0</v>
      </c>
      <c r="V1117" s="169" t="str">
        <f t="shared" si="69"/>
        <v>TAÑEZA 6</v>
      </c>
      <c r="W1117" s="169" t="s">
        <v>2715</v>
      </c>
    </row>
    <row r="1118" spans="2:23" x14ac:dyDescent="0.25">
      <c r="B1118" s="169" t="s">
        <v>1166</v>
      </c>
      <c r="C1118" s="169" t="s">
        <v>38</v>
      </c>
      <c r="D1118" s="169" t="s">
        <v>5604</v>
      </c>
      <c r="E1118" s="169" t="s">
        <v>36</v>
      </c>
      <c r="F1118" s="245" t="str">
        <f t="shared" si="70"/>
        <v>StpS 77</v>
      </c>
      <c r="G1118" s="169" t="s">
        <v>655</v>
      </c>
      <c r="H1118" s="169" t="s">
        <v>341</v>
      </c>
      <c r="I1118" s="169" t="str">
        <f t="shared" si="72"/>
        <v>L11_GHV_063E_STOPE</v>
      </c>
      <c r="J1118" s="169" t="s">
        <v>8306</v>
      </c>
      <c r="K1118" s="169">
        <f>IFERROR(MATCH(J1118,'Final List'!$B$4:$B$252,0),0)</f>
        <v>0</v>
      </c>
      <c r="L1118" s="169">
        <f>IFERROR(MATCH(J1118,'Final List'!$D$4:$D$252,0),0)</f>
        <v>0</v>
      </c>
      <c r="M1118" s="169">
        <f>IFERROR(MATCH(J1118,'Final List'!$F$4:$F$251,0),0)</f>
        <v>0</v>
      </c>
      <c r="N1118" s="169">
        <f>IFERROR(MATCH(J1118,'Final List'!$H$4:$H$252,0),0)</f>
        <v>0</v>
      </c>
      <c r="O1118" s="169">
        <f>IFERROR(MATCH(J1118,'Final List'!$J$4:$J$252,0),0)</f>
        <v>0</v>
      </c>
      <c r="P1118" s="169">
        <f>IFERROR(MATCH(J1118,'Final List'!$L$4:$L$252,0),0)</f>
        <v>0</v>
      </c>
      <c r="Q1118" s="169">
        <f>IFERROR(MATCH(J1118,'Final List'!$N$4:$N$252,0),0)</f>
        <v>0</v>
      </c>
      <c r="R1118" s="169">
        <f>IFERROR(MATCH(J1118,'Final List'!$P$4:$P$252,0),0)</f>
        <v>0</v>
      </c>
      <c r="S1118" s="169">
        <f t="shared" si="71"/>
        <v>0</v>
      </c>
      <c r="T1118" s="169" t="s">
        <v>68</v>
      </c>
      <c r="V1118" s="169" t="str">
        <f t="shared" si="69"/>
        <v>BADBADON 1</v>
      </c>
      <c r="W1118" s="169" t="s">
        <v>2713</v>
      </c>
    </row>
    <row r="1119" spans="2:23" x14ac:dyDescent="0.25">
      <c r="B1119" s="169" t="s">
        <v>258</v>
      </c>
      <c r="C1119" s="169" t="s">
        <v>55</v>
      </c>
      <c r="D1119" s="169" t="s">
        <v>5631</v>
      </c>
      <c r="E1119" s="169" t="s">
        <v>60</v>
      </c>
      <c r="F1119" s="245" t="str">
        <f t="shared" si="70"/>
        <v>Dhoz 71</v>
      </c>
      <c r="G1119" s="169" t="s">
        <v>453</v>
      </c>
      <c r="I1119" s="169" t="str">
        <f t="shared" si="72"/>
        <v>L10_JVFW_020E_DE</v>
      </c>
      <c r="J1119" s="169" t="s">
        <v>7846</v>
      </c>
      <c r="K1119" s="169">
        <f>IFERROR(MATCH(J1119,'Final List'!$B$4:$B$252,0),0)</f>
        <v>0</v>
      </c>
      <c r="L1119" s="169">
        <f>IFERROR(MATCH(J1119,'Final List'!$D$4:$D$252,0),0)</f>
        <v>0</v>
      </c>
      <c r="M1119" s="169">
        <f>IFERROR(MATCH(J1119,'Final List'!$F$4:$F$251,0),0)</f>
        <v>0</v>
      </c>
      <c r="N1119" s="169">
        <f>IFERROR(MATCH(J1119,'Final List'!$H$4:$H$252,0),0)</f>
        <v>0</v>
      </c>
      <c r="O1119" s="169">
        <f>IFERROR(MATCH(J1119,'Final List'!$J$4:$J$252,0),0)</f>
        <v>0</v>
      </c>
      <c r="P1119" s="169">
        <f>IFERROR(MATCH(J1119,'Final List'!$L$4:$L$252,0),0)</f>
        <v>0</v>
      </c>
      <c r="Q1119" s="169">
        <f>IFERROR(MATCH(J1119,'Final List'!$N$4:$N$252,0),0)</f>
        <v>0</v>
      </c>
      <c r="R1119" s="169">
        <f>IFERROR(MATCH(J1119,'Final List'!$P$4:$P$252,0),0)</f>
        <v>0</v>
      </c>
      <c r="S1119" s="169">
        <f t="shared" si="71"/>
        <v>0</v>
      </c>
      <c r="V1119" s="169" t="str">
        <f t="shared" si="69"/>
        <v>BAÑEZ 7</v>
      </c>
      <c r="W1119" s="169" t="s">
        <v>8896</v>
      </c>
    </row>
    <row r="1120" spans="2:23" x14ac:dyDescent="0.25">
      <c r="B1120" s="169" t="s">
        <v>258</v>
      </c>
      <c r="C1120" s="169" t="s">
        <v>56</v>
      </c>
      <c r="D1120" s="169" t="s">
        <v>167</v>
      </c>
      <c r="E1120" s="169" t="s">
        <v>60</v>
      </c>
      <c r="F1120" s="245" t="str">
        <f t="shared" si="70"/>
        <v>Dhoz 71</v>
      </c>
      <c r="G1120" s="169" t="s">
        <v>1905</v>
      </c>
      <c r="I1120" s="169" t="str">
        <f t="shared" si="72"/>
        <v>L10_GHVFW_058E_DE</v>
      </c>
      <c r="J1120" s="169" t="s">
        <v>7847</v>
      </c>
      <c r="K1120" s="169">
        <f>IFERROR(MATCH(J1120,'Final List'!$B$4:$B$252,0),0)</f>
        <v>0</v>
      </c>
      <c r="L1120" s="169">
        <f>IFERROR(MATCH(J1120,'Final List'!$D$4:$D$252,0),0)</f>
        <v>0</v>
      </c>
      <c r="M1120" s="169">
        <f>IFERROR(MATCH(J1120,'Final List'!$F$4:$F$251,0),0)</f>
        <v>0</v>
      </c>
      <c r="N1120" s="169">
        <f>IFERROR(MATCH(J1120,'Final List'!$H$4:$H$252,0),0)</f>
        <v>0</v>
      </c>
      <c r="O1120" s="169">
        <f>IFERROR(MATCH(J1120,'Final List'!$J$4:$J$252,0),0)</f>
        <v>0</v>
      </c>
      <c r="P1120" s="169">
        <f>IFERROR(MATCH(J1120,'Final List'!$L$4:$L$252,0),0)</f>
        <v>0</v>
      </c>
      <c r="Q1120" s="169">
        <f>IFERROR(MATCH(J1120,'Final List'!$N$4:$N$252,0),0)</f>
        <v>0</v>
      </c>
      <c r="R1120" s="169">
        <f>IFERROR(MATCH(J1120,'Final List'!$P$4:$P$252,0),0)</f>
        <v>0</v>
      </c>
      <c r="S1120" s="169">
        <f t="shared" si="71"/>
        <v>0</v>
      </c>
      <c r="V1120" s="169" t="str">
        <f t="shared" si="69"/>
        <v>MONTEBON 1</v>
      </c>
      <c r="W1120" s="169" t="s">
        <v>8896</v>
      </c>
    </row>
    <row r="1121" spans="2:23" x14ac:dyDescent="0.25">
      <c r="B1121" s="169" t="s">
        <v>93</v>
      </c>
      <c r="C1121" s="169" t="s">
        <v>42</v>
      </c>
      <c r="D1121" s="169" t="s">
        <v>5912</v>
      </c>
      <c r="E1121" s="169" t="s">
        <v>62</v>
      </c>
      <c r="F1121" s="245" t="str">
        <f t="shared" si="70"/>
        <v>RobC 80</v>
      </c>
      <c r="G1121" s="169" t="s">
        <v>3252</v>
      </c>
      <c r="I1121" s="169" t="str">
        <f t="shared" si="72"/>
        <v>L06_JV_019E_ROBBING</v>
      </c>
      <c r="J1121" s="169" t="s">
        <v>7851</v>
      </c>
      <c r="K1121" s="169">
        <f>IFERROR(MATCH(J1121,'Final List'!$B$4:$B$252,0),0)</f>
        <v>0</v>
      </c>
      <c r="L1121" s="169">
        <f>IFERROR(MATCH(J1121,'Final List'!$D$4:$D$252,0),0)</f>
        <v>0</v>
      </c>
      <c r="M1121" s="169">
        <f>IFERROR(MATCH(J1121,'Final List'!$F$4:$F$251,0),0)</f>
        <v>0</v>
      </c>
      <c r="N1121" s="169">
        <f>IFERROR(MATCH(J1121,'Final List'!$H$4:$H$252,0),0)</f>
        <v>0</v>
      </c>
      <c r="O1121" s="169">
        <f>IFERROR(MATCH(J1121,'Final List'!$J$4:$J$252,0),0)</f>
        <v>0</v>
      </c>
      <c r="P1121" s="169">
        <f>IFERROR(MATCH(J1121,'Final List'!$L$4:$L$252,0),0)</f>
        <v>0</v>
      </c>
      <c r="Q1121" s="169">
        <f>IFERROR(MATCH(J1121,'Final List'!$N$4:$N$252,0),0)</f>
        <v>0</v>
      </c>
      <c r="R1121" s="169">
        <f>IFERROR(MATCH(J1121,'Final List'!$P$4:$P$252,0),0)</f>
        <v>0</v>
      </c>
      <c r="S1121" s="169">
        <f t="shared" si="71"/>
        <v>0</v>
      </c>
      <c r="T1121" s="169" t="s">
        <v>48</v>
      </c>
      <c r="V1121" s="169" t="str">
        <f t="shared" si="69"/>
        <v>SHEPHERD AA1</v>
      </c>
      <c r="W1121" s="169" t="s">
        <v>236</v>
      </c>
    </row>
    <row r="1122" spans="2:23" x14ac:dyDescent="0.25">
      <c r="B1122" s="169" t="s">
        <v>93</v>
      </c>
      <c r="C1122" s="169" t="s">
        <v>57</v>
      </c>
      <c r="D1122" s="169" t="s">
        <v>159</v>
      </c>
      <c r="E1122" s="169" t="s">
        <v>62</v>
      </c>
      <c r="F1122" s="245" t="str">
        <f t="shared" si="70"/>
        <v>RobS 79</v>
      </c>
      <c r="G1122" s="169" t="s">
        <v>378</v>
      </c>
      <c r="I1122" s="169" t="str">
        <f t="shared" si="72"/>
        <v>L06_JVSPLIT_023E_ROBBING</v>
      </c>
      <c r="J1122" s="169" t="s">
        <v>7853</v>
      </c>
      <c r="K1122" s="169">
        <f>IFERROR(MATCH(J1122,'Final List'!$B$4:$B$252,0),0)</f>
        <v>0</v>
      </c>
      <c r="L1122" s="169">
        <f>IFERROR(MATCH(J1122,'Final List'!$D$4:$D$252,0),0)</f>
        <v>0</v>
      </c>
      <c r="M1122" s="169">
        <f>IFERROR(MATCH(J1122,'Final List'!$F$4:$F$251,0),0)</f>
        <v>0</v>
      </c>
      <c r="N1122" s="169">
        <f>IFERROR(MATCH(J1122,'Final List'!$H$4:$H$252,0),0)</f>
        <v>0</v>
      </c>
      <c r="O1122" s="169">
        <f>IFERROR(MATCH(J1122,'Final List'!$J$4:$J$252,0),0)</f>
        <v>0</v>
      </c>
      <c r="P1122" s="169">
        <f>IFERROR(MATCH(J1122,'Final List'!$L$4:$L$252,0),0)</f>
        <v>0</v>
      </c>
      <c r="Q1122" s="169">
        <f>IFERROR(MATCH(J1122,'Final List'!$N$4:$N$252,0),0)</f>
        <v>0</v>
      </c>
      <c r="R1122" s="169">
        <f>IFERROR(MATCH(J1122,'Final List'!$P$4:$P$252,0),0)</f>
        <v>0</v>
      </c>
      <c r="S1122" s="169">
        <f t="shared" si="71"/>
        <v>0</v>
      </c>
      <c r="T1122" s="169" t="s">
        <v>68</v>
      </c>
      <c r="V1122" s="169" t="str">
        <f t="shared" si="69"/>
        <v>GUNAY 1</v>
      </c>
      <c r="W1122" s="169" t="s">
        <v>2707</v>
      </c>
    </row>
    <row r="1123" spans="2:23" x14ac:dyDescent="0.25">
      <c r="B1123" s="169" t="s">
        <v>91</v>
      </c>
      <c r="C1123" s="169" t="s">
        <v>57</v>
      </c>
      <c r="D1123" s="169" t="s">
        <v>5975</v>
      </c>
      <c r="E1123" s="169" t="s">
        <v>6154</v>
      </c>
      <c r="F1123" s="245" t="str">
        <f t="shared" si="70"/>
        <v>Dhoz 71</v>
      </c>
      <c r="G1123" s="169" t="s">
        <v>311</v>
      </c>
      <c r="I1123" s="169" t="str">
        <f t="shared" si="72"/>
        <v>L04_JVSPLIT_028E_DW_ISL</v>
      </c>
      <c r="J1123" s="169" t="s">
        <v>7856</v>
      </c>
      <c r="K1123" s="169">
        <f>IFERROR(MATCH(J1123,'Final List'!$B$4:$B$252,0),0)</f>
        <v>0</v>
      </c>
      <c r="L1123" s="169">
        <f>IFERROR(MATCH(J1123,'Final List'!$D$4:$D$252,0),0)</f>
        <v>0</v>
      </c>
      <c r="M1123" s="169">
        <f>IFERROR(MATCH(J1123,'Final List'!$F$4:$F$251,0),0)</f>
        <v>0</v>
      </c>
      <c r="N1123" s="169">
        <f>IFERROR(MATCH(J1123,'Final List'!$H$4:$H$252,0),0)</f>
        <v>0</v>
      </c>
      <c r="O1123" s="169">
        <f>IFERROR(MATCH(J1123,'Final List'!$J$4:$J$252,0),0)</f>
        <v>0</v>
      </c>
      <c r="P1123" s="169">
        <f>IFERROR(MATCH(J1123,'Final List'!$L$4:$L$252,0),0)</f>
        <v>0</v>
      </c>
      <c r="Q1123" s="169">
        <f>IFERROR(MATCH(J1123,'Final List'!$N$4:$N$252,0),0)</f>
        <v>0</v>
      </c>
      <c r="R1123" s="169">
        <f>IFERROR(MATCH(J1123,'Final List'!$P$4:$P$252,0),0)</f>
        <v>0</v>
      </c>
      <c r="S1123" s="169">
        <f t="shared" si="71"/>
        <v>0</v>
      </c>
      <c r="V1123" s="169" t="str">
        <f t="shared" si="69"/>
        <v>MARTINEZ DN 2</v>
      </c>
      <c r="W1123" s="169" t="s">
        <v>2708</v>
      </c>
    </row>
    <row r="1124" spans="2:23" x14ac:dyDescent="0.25">
      <c r="B1124" s="169" t="s">
        <v>96</v>
      </c>
      <c r="C1124" s="169" t="s">
        <v>43</v>
      </c>
      <c r="D1124" s="169" t="s">
        <v>174</v>
      </c>
      <c r="E1124" s="169" t="s">
        <v>60</v>
      </c>
      <c r="F1124" s="245" t="str">
        <f t="shared" si="70"/>
        <v>Dhoz 71</v>
      </c>
      <c r="G1124" s="169" t="s">
        <v>5101</v>
      </c>
      <c r="I1124" s="169" t="str">
        <f t="shared" si="72"/>
        <v>L09_GHVSPLIT_052E_DE</v>
      </c>
      <c r="J1124" s="169" t="s">
        <v>7860</v>
      </c>
      <c r="K1124" s="169">
        <f>IFERROR(MATCH(J1124,'Final List'!$B$4:$B$252,0),0)</f>
        <v>0</v>
      </c>
      <c r="L1124" s="169">
        <f>IFERROR(MATCH(J1124,'Final List'!$D$4:$D$252,0),0)</f>
        <v>0</v>
      </c>
      <c r="M1124" s="169">
        <f>IFERROR(MATCH(J1124,'Final List'!$F$4:$F$251,0),0)</f>
        <v>0</v>
      </c>
      <c r="N1124" s="169">
        <f>IFERROR(MATCH(J1124,'Final List'!$H$4:$H$252,0),0)</f>
        <v>0</v>
      </c>
      <c r="O1124" s="169">
        <f>IFERROR(MATCH(J1124,'Final List'!$J$4:$J$252,0),0)</f>
        <v>0</v>
      </c>
      <c r="P1124" s="169">
        <f>IFERROR(MATCH(J1124,'Final List'!$L$4:$L$252,0),0)</f>
        <v>0</v>
      </c>
      <c r="Q1124" s="169">
        <f>IFERROR(MATCH(J1124,'Final List'!$N$4:$N$252,0),0)</f>
        <v>0</v>
      </c>
      <c r="R1124" s="169">
        <f>IFERROR(MATCH(J1124,'Final List'!$P$4:$P$252,0),0)</f>
        <v>0</v>
      </c>
      <c r="S1124" s="169">
        <f t="shared" si="71"/>
        <v>0</v>
      </c>
      <c r="V1124" s="169" t="str">
        <f t="shared" si="69"/>
        <v>DELOS REYES V3</v>
      </c>
      <c r="W1124" s="169" t="s">
        <v>8896</v>
      </c>
    </row>
    <row r="1125" spans="2:23" x14ac:dyDescent="0.25">
      <c r="B1125" s="169" t="s">
        <v>96</v>
      </c>
      <c r="C1125" s="169" t="s">
        <v>39</v>
      </c>
      <c r="D1125" s="169" t="s">
        <v>218</v>
      </c>
      <c r="E1125" s="169" t="s">
        <v>60</v>
      </c>
      <c r="F1125" s="245" t="str">
        <f t="shared" si="70"/>
        <v>Dhoz 71</v>
      </c>
      <c r="G1125" s="169" t="s">
        <v>377</v>
      </c>
      <c r="I1125" s="169" t="str">
        <f t="shared" si="72"/>
        <v>L09_JVHW_062E_DE</v>
      </c>
      <c r="J1125" s="169" t="s">
        <v>7858</v>
      </c>
      <c r="K1125" s="169">
        <f>IFERROR(MATCH(J1125,'Final List'!$B$4:$B$252,0),0)</f>
        <v>0</v>
      </c>
      <c r="L1125" s="169">
        <f>IFERROR(MATCH(J1125,'Final List'!$D$4:$D$252,0),0)</f>
        <v>0</v>
      </c>
      <c r="M1125" s="169">
        <f>IFERROR(MATCH(J1125,'Final List'!$F$4:$F$251,0),0)</f>
        <v>0</v>
      </c>
      <c r="N1125" s="169">
        <f>IFERROR(MATCH(J1125,'Final List'!$H$4:$H$252,0),0)</f>
        <v>0</v>
      </c>
      <c r="O1125" s="169">
        <f>IFERROR(MATCH(J1125,'Final List'!$J$4:$J$252,0),0)</f>
        <v>0</v>
      </c>
      <c r="P1125" s="169">
        <f>IFERROR(MATCH(J1125,'Final List'!$L$4:$L$252,0),0)</f>
        <v>0</v>
      </c>
      <c r="Q1125" s="169">
        <f>IFERROR(MATCH(J1125,'Final List'!$N$4:$N$252,0),0)</f>
        <v>0</v>
      </c>
      <c r="R1125" s="169">
        <f>IFERROR(MATCH(J1125,'Final List'!$P$4:$P$252,0),0)</f>
        <v>0</v>
      </c>
      <c r="S1125" s="169">
        <f t="shared" si="71"/>
        <v>0</v>
      </c>
      <c r="V1125" s="169" t="str">
        <f t="shared" si="69"/>
        <v>DELOS REYES 1</v>
      </c>
      <c r="W1125" s="169" t="s">
        <v>8896</v>
      </c>
    </row>
    <row r="1126" spans="2:23" x14ac:dyDescent="0.25">
      <c r="B1126" s="169" t="s">
        <v>96</v>
      </c>
      <c r="C1126" s="169" t="s">
        <v>45</v>
      </c>
      <c r="D1126" s="169" t="s">
        <v>4482</v>
      </c>
      <c r="E1126" s="169" t="s">
        <v>60</v>
      </c>
      <c r="F1126" s="245" t="str">
        <f t="shared" si="70"/>
        <v>Dhoz 71</v>
      </c>
      <c r="G1126" s="169" t="s">
        <v>745</v>
      </c>
      <c r="H1126" s="169" t="s">
        <v>7659</v>
      </c>
      <c r="I1126" s="169" t="str">
        <f t="shared" si="72"/>
        <v>L09_DPVE_084E_DE</v>
      </c>
      <c r="J1126" s="169" t="s">
        <v>7859</v>
      </c>
      <c r="K1126" s="169">
        <f>IFERROR(MATCH(J1126,'Final List'!$B$4:$B$252,0),0)</f>
        <v>0</v>
      </c>
      <c r="L1126" s="169">
        <f>IFERROR(MATCH(J1126,'Final List'!$D$4:$D$252,0),0)</f>
        <v>0</v>
      </c>
      <c r="M1126" s="169">
        <f>IFERROR(MATCH(J1126,'Final List'!$F$4:$F$251,0),0)</f>
        <v>0</v>
      </c>
      <c r="N1126" s="169">
        <f>IFERROR(MATCH(J1126,'Final List'!$H$4:$H$252,0),0)</f>
        <v>0</v>
      </c>
      <c r="O1126" s="169">
        <f>IFERROR(MATCH(J1126,'Final List'!$J$4:$J$252,0),0)</f>
        <v>0</v>
      </c>
      <c r="P1126" s="169">
        <f>IFERROR(MATCH(J1126,'Final List'!$L$4:$L$252,0),0)</f>
        <v>0</v>
      </c>
      <c r="Q1126" s="169">
        <f>IFERROR(MATCH(J1126,'Final List'!$N$4:$N$252,0),0)</f>
        <v>0</v>
      </c>
      <c r="R1126" s="169">
        <f>IFERROR(MATCH(J1126,'Final List'!$P$4:$P$252,0),0)</f>
        <v>0</v>
      </c>
      <c r="S1126" s="169">
        <f t="shared" si="71"/>
        <v>0</v>
      </c>
      <c r="V1126" s="169" t="str">
        <f t="shared" si="69"/>
        <v>DELOS REYES 2</v>
      </c>
      <c r="W1126" s="169" t="s">
        <v>8896</v>
      </c>
    </row>
    <row r="1127" spans="2:23" x14ac:dyDescent="0.25">
      <c r="B1127" s="169" t="s">
        <v>94</v>
      </c>
      <c r="C1127" s="169" t="s">
        <v>42</v>
      </c>
      <c r="D1127" s="169" t="s">
        <v>5844</v>
      </c>
      <c r="E1127" s="169" t="s">
        <v>36</v>
      </c>
      <c r="F1127" s="245" t="str">
        <f t="shared" si="70"/>
        <v>StpS 77</v>
      </c>
      <c r="G1127" s="169" t="s">
        <v>7631</v>
      </c>
      <c r="I1127" s="169" t="str">
        <f t="shared" si="72"/>
        <v>L07_JV_009W_STOPE</v>
      </c>
      <c r="J1127" s="169" t="s">
        <v>7862</v>
      </c>
      <c r="K1127" s="169">
        <f>IFERROR(MATCH(J1127,'Final List'!$B$4:$B$252,0),0)</f>
        <v>0</v>
      </c>
      <c r="L1127" s="169">
        <f>IFERROR(MATCH(J1127,'Final List'!$D$4:$D$252,0),0)</f>
        <v>0</v>
      </c>
      <c r="M1127" s="169">
        <f>IFERROR(MATCH(J1127,'Final List'!$F$4:$F$251,0),0)</f>
        <v>0</v>
      </c>
      <c r="N1127" s="169">
        <f>IFERROR(MATCH(J1127,'Final List'!$H$4:$H$252,0),0)</f>
        <v>0</v>
      </c>
      <c r="O1127" s="169">
        <f>IFERROR(MATCH(J1127,'Final List'!$J$4:$J$252,0),0)</f>
        <v>0</v>
      </c>
      <c r="P1127" s="169">
        <f>IFERROR(MATCH(J1127,'Final List'!$L$4:$L$252,0),0)</f>
        <v>0</v>
      </c>
      <c r="Q1127" s="169">
        <f>IFERROR(MATCH(J1127,'Final List'!$N$4:$N$252,0),0)</f>
        <v>0</v>
      </c>
      <c r="R1127" s="169">
        <f>IFERROR(MATCH(J1127,'Final List'!$P$4:$P$252,0),0)</f>
        <v>0</v>
      </c>
      <c r="S1127" s="169">
        <f t="shared" si="71"/>
        <v>0</v>
      </c>
      <c r="T1127" s="169" t="s">
        <v>68</v>
      </c>
      <c r="V1127" s="169" t="str">
        <f t="shared" si="69"/>
        <v>TURRA 3</v>
      </c>
      <c r="W1127" s="169" t="s">
        <v>2711</v>
      </c>
    </row>
    <row r="1128" spans="2:23" x14ac:dyDescent="0.25">
      <c r="B1128" s="169" t="s">
        <v>96</v>
      </c>
      <c r="C1128" s="169" t="s">
        <v>56</v>
      </c>
      <c r="D1128" s="169" t="s">
        <v>5723</v>
      </c>
      <c r="E1128" s="169" t="s">
        <v>19</v>
      </c>
      <c r="F1128" s="245" t="str">
        <f t="shared" si="70"/>
        <v>DVR 72</v>
      </c>
      <c r="G1128" s="169" t="s">
        <v>7290</v>
      </c>
      <c r="I1128" s="169" t="str">
        <f t="shared" si="72"/>
        <v>L09_GHVFW_046E_RAISE</v>
      </c>
      <c r="J1128" s="169" t="s">
        <v>7863</v>
      </c>
      <c r="K1128" s="169">
        <f>IFERROR(MATCH(J1128,'Final List'!$B$4:$B$252,0),0)</f>
        <v>0</v>
      </c>
      <c r="L1128" s="169">
        <f>IFERROR(MATCH(J1128,'Final List'!$D$4:$D$252,0),0)</f>
        <v>0</v>
      </c>
      <c r="M1128" s="169">
        <f>IFERROR(MATCH(J1128,'Final List'!$F$4:$F$251,0),0)</f>
        <v>0</v>
      </c>
      <c r="N1128" s="169">
        <f>IFERROR(MATCH(J1128,'Final List'!$H$4:$H$252,0),0)</f>
        <v>0</v>
      </c>
      <c r="O1128" s="169">
        <f>IFERROR(MATCH(J1128,'Final List'!$J$4:$J$252,0),0)</f>
        <v>0</v>
      </c>
      <c r="P1128" s="169">
        <f>IFERROR(MATCH(J1128,'Final List'!$L$4:$L$252,0),0)</f>
        <v>0</v>
      </c>
      <c r="Q1128" s="169">
        <f>IFERROR(MATCH(J1128,'Final List'!$N$4:$N$252,0),0)</f>
        <v>0</v>
      </c>
      <c r="R1128" s="169">
        <f>IFERROR(MATCH(J1128,'Final List'!$P$4:$P$252,0),0)</f>
        <v>0</v>
      </c>
      <c r="S1128" s="169">
        <f t="shared" si="71"/>
        <v>0</v>
      </c>
      <c r="V1128" s="169" t="str">
        <f t="shared" si="69"/>
        <v>PANCIT, NOEL</v>
      </c>
      <c r="W1128" s="169" t="s">
        <v>2715</v>
      </c>
    </row>
    <row r="1129" spans="2:23" x14ac:dyDescent="0.25">
      <c r="B1129" s="169" t="s">
        <v>95</v>
      </c>
      <c r="C1129" s="169" t="s">
        <v>56</v>
      </c>
      <c r="D1129" s="169" t="s">
        <v>103</v>
      </c>
      <c r="E1129" s="169" t="s">
        <v>20</v>
      </c>
      <c r="F1129" s="245" t="str">
        <f t="shared" si="70"/>
        <v>DVW 74</v>
      </c>
      <c r="G1129" s="169" t="s">
        <v>676</v>
      </c>
      <c r="I1129" s="169" t="str">
        <f t="shared" si="72"/>
        <v>L08_GHVFW_005E_WINZE</v>
      </c>
      <c r="J1129" s="169" t="s">
        <v>7865</v>
      </c>
      <c r="K1129" s="169">
        <f>IFERROR(MATCH(J1129,'Final List'!$B$4:$B$252,0),0)</f>
        <v>0</v>
      </c>
      <c r="L1129" s="169">
        <f>IFERROR(MATCH(J1129,'Final List'!$D$4:$D$252,0),0)</f>
        <v>0</v>
      </c>
      <c r="M1129" s="169">
        <f>IFERROR(MATCH(J1129,'Final List'!$F$4:$F$251,0),0)</f>
        <v>0</v>
      </c>
      <c r="N1129" s="169">
        <f>IFERROR(MATCH(J1129,'Final List'!$H$4:$H$252,0),0)</f>
        <v>0</v>
      </c>
      <c r="O1129" s="169">
        <f>IFERROR(MATCH(J1129,'Final List'!$J$4:$J$252,0),0)</f>
        <v>0</v>
      </c>
      <c r="P1129" s="169">
        <f>IFERROR(MATCH(J1129,'Final List'!$L$4:$L$252,0),0)</f>
        <v>0</v>
      </c>
      <c r="Q1129" s="169">
        <f>IFERROR(MATCH(J1129,'Final List'!$N$4:$N$252,0),0)</f>
        <v>0</v>
      </c>
      <c r="R1129" s="169">
        <f>IFERROR(MATCH(J1129,'Final List'!$P$4:$P$252,0),0)</f>
        <v>0</v>
      </c>
      <c r="S1129" s="169">
        <f t="shared" si="71"/>
        <v>0</v>
      </c>
      <c r="V1129" s="169" t="str">
        <f t="shared" si="69"/>
        <v>OY-YOY 2</v>
      </c>
      <c r="W1129" s="169" t="s">
        <v>2706</v>
      </c>
    </row>
    <row r="1130" spans="2:23" x14ac:dyDescent="0.25">
      <c r="B1130" s="169" t="s">
        <v>95</v>
      </c>
      <c r="C1130" s="169" t="s">
        <v>42</v>
      </c>
      <c r="D1130" s="169" t="s">
        <v>226</v>
      </c>
      <c r="E1130" s="169" t="s">
        <v>441</v>
      </c>
      <c r="F1130" s="245" t="str">
        <f t="shared" si="70"/>
        <v>RobC 80</v>
      </c>
      <c r="G1130" s="169" t="s">
        <v>380</v>
      </c>
      <c r="I1130" s="169" t="str">
        <f t="shared" si="72"/>
        <v>L08_JV_074E_WINZE STOPE PREP</v>
      </c>
      <c r="J1130" s="169" t="s">
        <v>7866</v>
      </c>
      <c r="K1130" s="169">
        <f>IFERROR(MATCH(J1130,'Final List'!$B$4:$B$252,0),0)</f>
        <v>0</v>
      </c>
      <c r="L1130" s="169">
        <f>IFERROR(MATCH(J1130,'Final List'!$D$4:$D$252,0),0)</f>
        <v>0</v>
      </c>
      <c r="M1130" s="169">
        <f>IFERROR(MATCH(J1130,'Final List'!$F$4:$F$251,0),0)</f>
        <v>0</v>
      </c>
      <c r="N1130" s="169">
        <f>IFERROR(MATCH(J1130,'Final List'!$H$4:$H$252,0),0)</f>
        <v>0</v>
      </c>
      <c r="O1130" s="169">
        <f>IFERROR(MATCH(J1130,'Final List'!$J$4:$J$252,0),0)</f>
        <v>0</v>
      </c>
      <c r="P1130" s="169">
        <f>IFERROR(MATCH(J1130,'Final List'!$L$4:$L$252,0),0)</f>
        <v>0</v>
      </c>
      <c r="Q1130" s="169">
        <f>IFERROR(MATCH(J1130,'Final List'!$N$4:$N$252,0),0)</f>
        <v>0</v>
      </c>
      <c r="R1130" s="169">
        <f>IFERROR(MATCH(J1130,'Final List'!$P$4:$P$252,0),0)</f>
        <v>0</v>
      </c>
      <c r="S1130" s="169">
        <f t="shared" si="71"/>
        <v>0</v>
      </c>
      <c r="T1130" s="169" t="s">
        <v>68</v>
      </c>
      <c r="V1130" s="169" t="str">
        <f t="shared" si="69"/>
        <v>AGLOLO 1</v>
      </c>
      <c r="W1130" s="169" t="s">
        <v>2716</v>
      </c>
    </row>
    <row r="1131" spans="2:23" x14ac:dyDescent="0.25">
      <c r="B1131" s="169" t="s">
        <v>1166</v>
      </c>
      <c r="C1131" s="169" t="s">
        <v>38</v>
      </c>
      <c r="D1131" s="169" t="s">
        <v>5604</v>
      </c>
      <c r="E1131" s="169" t="s">
        <v>6144</v>
      </c>
      <c r="F1131" s="245" t="str">
        <f t="shared" si="70"/>
        <v>DVR 72</v>
      </c>
      <c r="G1131" s="169" t="s">
        <v>655</v>
      </c>
      <c r="I1131" s="169" t="str">
        <f t="shared" si="72"/>
        <v>L11_GHV_063E_RAISE_ISL</v>
      </c>
      <c r="J1131" s="169" t="s">
        <v>7871</v>
      </c>
      <c r="K1131" s="169">
        <f>IFERROR(MATCH(J1131,'Final List'!$B$4:$B$252,0),0)</f>
        <v>0</v>
      </c>
      <c r="L1131" s="169">
        <f>IFERROR(MATCH(J1131,'Final List'!$D$4:$D$252,0),0)</f>
        <v>0</v>
      </c>
      <c r="M1131" s="169">
        <f>IFERROR(MATCH(J1131,'Final List'!$F$4:$F$251,0),0)</f>
        <v>0</v>
      </c>
      <c r="N1131" s="169">
        <f>IFERROR(MATCH(J1131,'Final List'!$H$4:$H$252,0),0)</f>
        <v>0</v>
      </c>
      <c r="O1131" s="169">
        <f>IFERROR(MATCH(J1131,'Final List'!$J$4:$J$252,0),0)</f>
        <v>0</v>
      </c>
      <c r="P1131" s="169">
        <f>IFERROR(MATCH(J1131,'Final List'!$L$4:$L$252,0),0)</f>
        <v>0</v>
      </c>
      <c r="Q1131" s="169">
        <f>IFERROR(MATCH(J1131,'Final List'!$N$4:$N$252,0),0)</f>
        <v>0</v>
      </c>
      <c r="R1131" s="169">
        <f>IFERROR(MATCH(J1131,'Final List'!$P$4:$P$252,0),0)</f>
        <v>0</v>
      </c>
      <c r="S1131" s="169">
        <f t="shared" si="71"/>
        <v>0</v>
      </c>
      <c r="V1131" s="169" t="str">
        <f t="shared" si="69"/>
        <v>MAPAYO 3</v>
      </c>
      <c r="W1131" s="169" t="s">
        <v>2715</v>
      </c>
    </row>
    <row r="1132" spans="2:23" x14ac:dyDescent="0.25">
      <c r="B1132" s="169" t="s">
        <v>258</v>
      </c>
      <c r="C1132" s="169" t="s">
        <v>56</v>
      </c>
      <c r="D1132" s="169" t="s">
        <v>180</v>
      </c>
      <c r="E1132" s="169" t="s">
        <v>211</v>
      </c>
      <c r="F1132" s="245" t="str">
        <f t="shared" si="70"/>
        <v>StpS 77</v>
      </c>
      <c r="G1132" s="169" t="s">
        <v>1905</v>
      </c>
      <c r="I1132" s="169" t="str">
        <f t="shared" si="72"/>
        <v>L10_GHVFW_041E_STOPE PREP</v>
      </c>
      <c r="J1132" s="169" t="s">
        <v>7872</v>
      </c>
      <c r="K1132" s="169">
        <f>IFERROR(MATCH(J1132,'Final List'!$B$4:$B$252,0),0)</f>
        <v>0</v>
      </c>
      <c r="L1132" s="169">
        <f>IFERROR(MATCH(J1132,'Final List'!$D$4:$D$252,0),0)</f>
        <v>0</v>
      </c>
      <c r="M1132" s="169">
        <f>IFERROR(MATCH(J1132,'Final List'!$F$4:$F$251,0),0)</f>
        <v>0</v>
      </c>
      <c r="N1132" s="169">
        <f>IFERROR(MATCH(J1132,'Final List'!$H$4:$H$252,0),0)</f>
        <v>0</v>
      </c>
      <c r="O1132" s="169">
        <f>IFERROR(MATCH(J1132,'Final List'!$J$4:$J$252,0),0)</f>
        <v>0</v>
      </c>
      <c r="P1132" s="169">
        <f>IFERROR(MATCH(J1132,'Final List'!$L$4:$L$252,0),0)</f>
        <v>0</v>
      </c>
      <c r="Q1132" s="169">
        <f>IFERROR(MATCH(J1132,'Final List'!$N$4:$N$252,0),0)</f>
        <v>0</v>
      </c>
      <c r="R1132" s="169">
        <f>IFERROR(MATCH(J1132,'Final List'!$P$4:$P$252,0),0)</f>
        <v>0</v>
      </c>
      <c r="S1132" s="169">
        <f t="shared" si="71"/>
        <v>0</v>
      </c>
      <c r="T1132" s="169" t="s">
        <v>68</v>
      </c>
      <c r="V1132" s="169" t="str">
        <f t="shared" si="69"/>
        <v>MONTEBON 1</v>
      </c>
      <c r="W1132" s="169" t="s">
        <v>2712</v>
      </c>
    </row>
    <row r="1133" spans="2:23" x14ac:dyDescent="0.25">
      <c r="B1133" s="169" t="s">
        <v>94</v>
      </c>
      <c r="C1133" s="169" t="s">
        <v>87</v>
      </c>
      <c r="D1133" s="169" t="s">
        <v>5601</v>
      </c>
      <c r="E1133" s="169" t="s">
        <v>70</v>
      </c>
      <c r="F1133" s="245" t="str">
        <f t="shared" si="70"/>
        <v>Dhoz 71</v>
      </c>
      <c r="G1133" s="169" t="s">
        <v>7719</v>
      </c>
      <c r="I1133" s="169" t="str">
        <f t="shared" si="72"/>
        <v>L07_NONE_026E_SUMP</v>
      </c>
      <c r="J1133" s="169" t="s">
        <v>7886</v>
      </c>
      <c r="K1133" s="169">
        <f>IFERROR(MATCH(J1133,'Final List'!$B$4:$B$252,0),0)</f>
        <v>0</v>
      </c>
      <c r="L1133" s="169">
        <f>IFERROR(MATCH(J1133,'Final List'!$D$4:$D$252,0),0)</f>
        <v>0</v>
      </c>
      <c r="M1133" s="169">
        <f>IFERROR(MATCH(J1133,'Final List'!$F$4:$F$251,0),0)</f>
        <v>0</v>
      </c>
      <c r="N1133" s="169">
        <f>IFERROR(MATCH(J1133,'Final List'!$H$4:$H$252,0),0)</f>
        <v>0</v>
      </c>
      <c r="O1133" s="169">
        <f>IFERROR(MATCH(J1133,'Final List'!$J$4:$J$252,0),0)</f>
        <v>0</v>
      </c>
      <c r="P1133" s="169">
        <f>IFERROR(MATCH(J1133,'Final List'!$L$4:$L$252,0),0)</f>
        <v>0</v>
      </c>
      <c r="Q1133" s="169">
        <f>IFERROR(MATCH(J1133,'Final List'!$N$4:$N$252,0),0)</f>
        <v>0</v>
      </c>
      <c r="R1133" s="169">
        <f>IFERROR(MATCH(J1133,'Final List'!$P$4:$P$252,0),0)</f>
        <v>0</v>
      </c>
      <c r="S1133" s="169">
        <f t="shared" si="71"/>
        <v>0</v>
      </c>
      <c r="V1133" s="169" t="str">
        <f t="shared" si="69"/>
        <v>TURRA 4</v>
      </c>
      <c r="W1133" s="169" t="s">
        <v>2714</v>
      </c>
    </row>
    <row r="1134" spans="2:23" x14ac:dyDescent="0.25">
      <c r="B1134" s="169" t="s">
        <v>258</v>
      </c>
      <c r="C1134" s="169" t="s">
        <v>87</v>
      </c>
      <c r="D1134" s="169" t="s">
        <v>174</v>
      </c>
      <c r="E1134" s="169" t="s">
        <v>70</v>
      </c>
      <c r="F1134" s="245" t="str">
        <f t="shared" si="70"/>
        <v>Dhoz 71</v>
      </c>
      <c r="G1134" s="169" t="s">
        <v>6927</v>
      </c>
      <c r="I1134" s="169" t="str">
        <f t="shared" si="72"/>
        <v>L10_NONE_052E_SUMP</v>
      </c>
      <c r="J1134" s="169" t="s">
        <v>4163</v>
      </c>
      <c r="K1134" s="169">
        <f>IFERROR(MATCH(J1134,'Final List'!$B$4:$B$252,0),0)</f>
        <v>0</v>
      </c>
      <c r="L1134" s="169">
        <f>IFERROR(MATCH(J1134,'Final List'!$D$4:$D$252,0),0)</f>
        <v>0</v>
      </c>
      <c r="M1134" s="169">
        <f>IFERROR(MATCH(J1134,'Final List'!$F$4:$F$251,0),0)</f>
        <v>0</v>
      </c>
      <c r="N1134" s="169">
        <f>IFERROR(MATCH(J1134,'Final List'!$H$4:$H$252,0),0)</f>
        <v>0</v>
      </c>
      <c r="O1134" s="169">
        <f>IFERROR(MATCH(J1134,'Final List'!$J$4:$J$252,0),0)</f>
        <v>0</v>
      </c>
      <c r="P1134" s="169">
        <f>IFERROR(MATCH(J1134,'Final List'!$L$4:$L$252,0),0)</f>
        <v>0</v>
      </c>
      <c r="Q1134" s="169">
        <f>IFERROR(MATCH(J1134,'Final List'!$N$4:$N$252,0),0)</f>
        <v>0</v>
      </c>
      <c r="R1134" s="169">
        <f>IFERROR(MATCH(J1134,'Final List'!$P$4:$P$252,0),0)</f>
        <v>0</v>
      </c>
      <c r="S1134" s="169">
        <f t="shared" si="71"/>
        <v>0</v>
      </c>
      <c r="V1134" s="169" t="str">
        <f t="shared" si="69"/>
        <v>DUHIG, R2</v>
      </c>
      <c r="W1134" s="169" t="s">
        <v>2714</v>
      </c>
    </row>
    <row r="1135" spans="2:23" x14ac:dyDescent="0.25">
      <c r="B1135" s="169" t="s">
        <v>91</v>
      </c>
      <c r="C1135" s="169" t="s">
        <v>56</v>
      </c>
      <c r="D1135" s="169" t="s">
        <v>5912</v>
      </c>
      <c r="E1135" s="169" t="s">
        <v>62</v>
      </c>
      <c r="F1135" s="245" t="str">
        <f t="shared" si="70"/>
        <v>RobC 80</v>
      </c>
      <c r="G1135" s="169" t="s">
        <v>5713</v>
      </c>
      <c r="I1135" s="169" t="str">
        <f t="shared" si="72"/>
        <v>L04_GHVFW_019E_ROBBING</v>
      </c>
      <c r="J1135" s="169" t="s">
        <v>7875</v>
      </c>
      <c r="K1135" s="169">
        <f>IFERROR(MATCH(J1135,'Final List'!$B$4:$B$252,0),0)</f>
        <v>0</v>
      </c>
      <c r="L1135" s="169">
        <f>IFERROR(MATCH(J1135,'Final List'!$D$4:$D$252,0),0)</f>
        <v>0</v>
      </c>
      <c r="M1135" s="169">
        <f>IFERROR(MATCH(J1135,'Final List'!$F$4:$F$251,0),0)</f>
        <v>0</v>
      </c>
      <c r="N1135" s="169">
        <f>IFERROR(MATCH(J1135,'Final List'!$H$4:$H$252,0),0)</f>
        <v>0</v>
      </c>
      <c r="O1135" s="169">
        <f>IFERROR(MATCH(J1135,'Final List'!$J$4:$J$252,0),0)</f>
        <v>0</v>
      </c>
      <c r="P1135" s="169">
        <f>IFERROR(MATCH(J1135,'Final List'!$L$4:$L$252,0),0)</f>
        <v>0</v>
      </c>
      <c r="Q1135" s="169">
        <f>IFERROR(MATCH(J1135,'Final List'!$N$4:$N$252,0),0)</f>
        <v>0</v>
      </c>
      <c r="R1135" s="169">
        <f>IFERROR(MATCH(J1135,'Final List'!$P$4:$P$252,0),0)</f>
        <v>0</v>
      </c>
      <c r="S1135" s="169">
        <f t="shared" si="71"/>
        <v>0</v>
      </c>
      <c r="T1135" s="169" t="s">
        <v>48</v>
      </c>
      <c r="V1135" s="169" t="str">
        <f t="shared" si="69"/>
        <v>SHEPHERD AL 1</v>
      </c>
      <c r="W1135" s="169" t="s">
        <v>236</v>
      </c>
    </row>
    <row r="1136" spans="2:23" x14ac:dyDescent="0.25">
      <c r="B1136" s="169" t="s">
        <v>95</v>
      </c>
      <c r="C1136" s="169" t="s">
        <v>42</v>
      </c>
      <c r="D1136" s="169" t="s">
        <v>5612</v>
      </c>
      <c r="E1136" s="169" t="s">
        <v>60</v>
      </c>
      <c r="F1136" s="245" t="str">
        <f t="shared" si="70"/>
        <v>Dhoz 71</v>
      </c>
      <c r="G1136" s="169" t="s">
        <v>303</v>
      </c>
      <c r="I1136" s="169" t="str">
        <f t="shared" si="72"/>
        <v>L08_JV_011W_DE</v>
      </c>
      <c r="J1136" s="169" t="s">
        <v>7879</v>
      </c>
      <c r="K1136" s="169">
        <f>IFERROR(MATCH(J1136,'Final List'!$B$4:$B$252,0),0)</f>
        <v>0</v>
      </c>
      <c r="L1136" s="169">
        <f>IFERROR(MATCH(J1136,'Final List'!$D$4:$D$252,0),0)</f>
        <v>0</v>
      </c>
      <c r="M1136" s="169">
        <f>IFERROR(MATCH(J1136,'Final List'!$F$4:$F$251,0),0)</f>
        <v>0</v>
      </c>
      <c r="N1136" s="169">
        <f>IFERROR(MATCH(J1136,'Final List'!$H$4:$H$252,0),0)</f>
        <v>0</v>
      </c>
      <c r="O1136" s="169">
        <f>IFERROR(MATCH(J1136,'Final List'!$J$4:$J$252,0),0)</f>
        <v>0</v>
      </c>
      <c r="P1136" s="169">
        <f>IFERROR(MATCH(J1136,'Final List'!$L$4:$L$252,0),0)</f>
        <v>0</v>
      </c>
      <c r="Q1136" s="169">
        <f>IFERROR(MATCH(J1136,'Final List'!$N$4:$N$252,0),0)</f>
        <v>0</v>
      </c>
      <c r="R1136" s="169">
        <f>IFERROR(MATCH(J1136,'Final List'!$P$4:$P$252,0),0)</f>
        <v>0</v>
      </c>
      <c r="S1136" s="169">
        <f t="shared" si="71"/>
        <v>0</v>
      </c>
      <c r="V1136" s="169" t="str">
        <f t="shared" si="69"/>
        <v>BELICAN 1</v>
      </c>
      <c r="W1136" s="169" t="s">
        <v>8895</v>
      </c>
    </row>
    <row r="1137" spans="2:23" x14ac:dyDescent="0.25">
      <c r="B1137" s="169" t="s">
        <v>96</v>
      </c>
      <c r="C1137" s="169" t="s">
        <v>45</v>
      </c>
      <c r="D1137" s="169" t="s">
        <v>5741</v>
      </c>
      <c r="E1137" s="169" t="s">
        <v>211</v>
      </c>
      <c r="F1137" s="245" t="str">
        <f t="shared" si="70"/>
        <v>StpS 77</v>
      </c>
      <c r="G1137" s="169" t="s">
        <v>746</v>
      </c>
      <c r="I1137" s="169" t="str">
        <f t="shared" si="72"/>
        <v>L09_DPVE_035E_STOPE PREP</v>
      </c>
      <c r="J1137" s="169" t="s">
        <v>7880</v>
      </c>
      <c r="K1137" s="169">
        <f>IFERROR(MATCH(J1137,'Final List'!$B$4:$B$252,0),0)</f>
        <v>0</v>
      </c>
      <c r="L1137" s="169">
        <f>IFERROR(MATCH(J1137,'Final List'!$D$4:$D$252,0),0)</f>
        <v>0</v>
      </c>
      <c r="M1137" s="169">
        <f>IFERROR(MATCH(J1137,'Final List'!$F$4:$F$251,0),0)</f>
        <v>0</v>
      </c>
      <c r="N1137" s="169">
        <f>IFERROR(MATCH(J1137,'Final List'!$H$4:$H$252,0),0)</f>
        <v>0</v>
      </c>
      <c r="O1137" s="169">
        <f>IFERROR(MATCH(J1137,'Final List'!$J$4:$J$252,0),0)</f>
        <v>0</v>
      </c>
      <c r="P1137" s="169">
        <f>IFERROR(MATCH(J1137,'Final List'!$L$4:$L$252,0),0)</f>
        <v>0</v>
      </c>
      <c r="Q1137" s="169">
        <f>IFERROR(MATCH(J1137,'Final List'!$N$4:$N$252,0),0)</f>
        <v>0</v>
      </c>
      <c r="R1137" s="169">
        <f>IFERROR(MATCH(J1137,'Final List'!$P$4:$P$252,0),0)</f>
        <v>0</v>
      </c>
      <c r="S1137" s="169">
        <f t="shared" si="71"/>
        <v>0</v>
      </c>
      <c r="T1137" s="169" t="s">
        <v>68</v>
      </c>
      <c r="V1137" s="169" t="str">
        <f t="shared" si="69"/>
        <v>CANOY 1</v>
      </c>
      <c r="W1137" s="169" t="s">
        <v>2712</v>
      </c>
    </row>
    <row r="1138" spans="2:23" x14ac:dyDescent="0.25">
      <c r="B1138" s="169" t="s">
        <v>95</v>
      </c>
      <c r="C1138" s="169" t="s">
        <v>45</v>
      </c>
      <c r="D1138" s="169" t="s">
        <v>6983</v>
      </c>
      <c r="E1138" s="169" t="s">
        <v>19</v>
      </c>
      <c r="F1138" s="245" t="str">
        <f t="shared" si="70"/>
        <v>DVR 72</v>
      </c>
      <c r="G1138" s="169" t="s">
        <v>583</v>
      </c>
      <c r="I1138" s="169" t="str">
        <f t="shared" si="72"/>
        <v>L08_DPVE_001E_RAISE</v>
      </c>
      <c r="J1138" s="169" t="s">
        <v>7881</v>
      </c>
      <c r="K1138" s="169">
        <f>IFERROR(MATCH(J1138,'Final List'!$B$4:$B$252,0),0)</f>
        <v>0</v>
      </c>
      <c r="L1138" s="169">
        <f>IFERROR(MATCH(J1138,'Final List'!$D$4:$D$252,0),0)</f>
        <v>0</v>
      </c>
      <c r="M1138" s="169">
        <f>IFERROR(MATCH(J1138,'Final List'!$F$4:$F$251,0),0)</f>
        <v>0</v>
      </c>
      <c r="N1138" s="169">
        <f>IFERROR(MATCH(J1138,'Final List'!$H$4:$H$252,0),0)</f>
        <v>0</v>
      </c>
      <c r="O1138" s="169">
        <f>IFERROR(MATCH(J1138,'Final List'!$J$4:$J$252,0),0)</f>
        <v>0</v>
      </c>
      <c r="P1138" s="169">
        <f>IFERROR(MATCH(J1138,'Final List'!$L$4:$L$252,0),0)</f>
        <v>0</v>
      </c>
      <c r="Q1138" s="169">
        <f>IFERROR(MATCH(J1138,'Final List'!$N$4:$N$252,0),0)</f>
        <v>0</v>
      </c>
      <c r="R1138" s="169">
        <f>IFERROR(MATCH(J1138,'Final List'!$P$4:$P$252,0),0)</f>
        <v>0</v>
      </c>
      <c r="S1138" s="169">
        <f t="shared" si="71"/>
        <v>0</v>
      </c>
      <c r="V1138" s="169" t="str">
        <f t="shared" si="69"/>
        <v>VILLARANTE 1</v>
      </c>
      <c r="W1138" s="169" t="s">
        <v>2715</v>
      </c>
    </row>
    <row r="1139" spans="2:23" x14ac:dyDescent="0.25">
      <c r="B1139" s="169" t="s">
        <v>1166</v>
      </c>
      <c r="C1139" s="169" t="s">
        <v>55</v>
      </c>
      <c r="D1139" s="169" t="s">
        <v>198</v>
      </c>
      <c r="E1139" s="169" t="s">
        <v>60</v>
      </c>
      <c r="F1139" s="245" t="str">
        <f t="shared" si="70"/>
        <v>Dhoz 71</v>
      </c>
      <c r="G1139" s="169" t="s">
        <v>481</v>
      </c>
      <c r="I1139" s="169" t="str">
        <f t="shared" si="72"/>
        <v>L11_JVFW_069E_DE</v>
      </c>
      <c r="J1139" s="169" t="s">
        <v>8076</v>
      </c>
      <c r="K1139" s="169">
        <f>IFERROR(MATCH(J1139,'Final List'!$B$4:$B$252,0),0)</f>
        <v>0</v>
      </c>
      <c r="L1139" s="169">
        <f>IFERROR(MATCH(J1139,'Final List'!$D$4:$D$252,0),0)</f>
        <v>0</v>
      </c>
      <c r="M1139" s="169">
        <f>IFERROR(MATCH(J1139,'Final List'!$F$4:$F$251,0),0)</f>
        <v>0</v>
      </c>
      <c r="N1139" s="169">
        <f>IFERROR(MATCH(J1139,'Final List'!$H$4:$H$252,0),0)</f>
        <v>0</v>
      </c>
      <c r="O1139" s="169">
        <f>IFERROR(MATCH(J1139,'Final List'!$J$4:$J$252,0),0)</f>
        <v>0</v>
      </c>
      <c r="P1139" s="169">
        <f>IFERROR(MATCH(J1139,'Final List'!$L$4:$L$252,0),0)</f>
        <v>0</v>
      </c>
      <c r="Q1139" s="169">
        <f>IFERROR(MATCH(J1139,'Final List'!$N$4:$N$252,0),0)</f>
        <v>0</v>
      </c>
      <c r="R1139" s="169">
        <f>IFERROR(MATCH(J1139,'Final List'!$P$4:$P$252,0),0)</f>
        <v>0</v>
      </c>
      <c r="S1139" s="169">
        <f t="shared" si="71"/>
        <v>0</v>
      </c>
      <c r="V1139" s="169" t="str">
        <f t="shared" si="69"/>
        <v>DUHIG 4</v>
      </c>
      <c r="W1139" s="169" t="s">
        <v>8896</v>
      </c>
    </row>
    <row r="1140" spans="2:23" x14ac:dyDescent="0.25">
      <c r="B1140" s="169" t="s">
        <v>91</v>
      </c>
      <c r="C1140" s="169" t="s">
        <v>57</v>
      </c>
      <c r="D1140" s="169" t="s">
        <v>5850</v>
      </c>
      <c r="E1140" s="169" t="s">
        <v>60</v>
      </c>
      <c r="F1140" s="245" t="str">
        <f t="shared" si="70"/>
        <v>Dhoz 71</v>
      </c>
      <c r="G1140" s="169" t="s">
        <v>7890</v>
      </c>
      <c r="I1140" s="169" t="str">
        <f t="shared" si="72"/>
        <v>L04_JVSPLIT_016E_DE</v>
      </c>
      <c r="J1140" s="169" t="s">
        <v>7908</v>
      </c>
      <c r="K1140" s="169">
        <f>IFERROR(MATCH(J1140,'Final List'!$B$4:$B$252,0),0)</f>
        <v>0</v>
      </c>
      <c r="L1140" s="169">
        <f>IFERROR(MATCH(J1140,'Final List'!$D$4:$D$252,0),0)</f>
        <v>0</v>
      </c>
      <c r="M1140" s="169">
        <f>IFERROR(MATCH(J1140,'Final List'!$F$4:$F$251,0),0)</f>
        <v>0</v>
      </c>
      <c r="N1140" s="169">
        <f>IFERROR(MATCH(J1140,'Final List'!$H$4:$H$252,0),0)</f>
        <v>0</v>
      </c>
      <c r="O1140" s="169">
        <f>IFERROR(MATCH(J1140,'Final List'!$J$4:$J$252,0),0)</f>
        <v>0</v>
      </c>
      <c r="P1140" s="169">
        <f>IFERROR(MATCH(J1140,'Final List'!$L$4:$L$252,0),0)</f>
        <v>0</v>
      </c>
      <c r="Q1140" s="169">
        <f>IFERROR(MATCH(J1140,'Final List'!$N$4:$N$252,0),0)</f>
        <v>0</v>
      </c>
      <c r="R1140" s="169">
        <f>IFERROR(MATCH(J1140,'Final List'!$P$4:$P$252,0),0)</f>
        <v>0</v>
      </c>
      <c r="S1140" s="169">
        <f t="shared" si="71"/>
        <v>0</v>
      </c>
      <c r="V1140" s="169" t="str">
        <f t="shared" si="69"/>
        <v xml:space="preserve">SHEPHERD AQ </v>
      </c>
      <c r="W1140" s="169" t="s">
        <v>8895</v>
      </c>
    </row>
    <row r="1141" spans="2:23" x14ac:dyDescent="0.25">
      <c r="B1141" s="169" t="s">
        <v>94</v>
      </c>
      <c r="C1141" s="169" t="s">
        <v>57</v>
      </c>
      <c r="D1141" s="169" t="s">
        <v>195</v>
      </c>
      <c r="E1141" s="169" t="s">
        <v>61</v>
      </c>
      <c r="F1141" s="245" t="str">
        <f t="shared" si="70"/>
        <v>Dhoz 71</v>
      </c>
      <c r="G1141" s="169" t="s">
        <v>7631</v>
      </c>
      <c r="I1141" s="169" t="str">
        <f t="shared" si="72"/>
        <v>L07_JVSPLIT_008W_DW</v>
      </c>
      <c r="J1141" s="169" t="s">
        <v>7887</v>
      </c>
      <c r="K1141" s="169">
        <f>IFERROR(MATCH(J1141,'Final List'!$B$4:$B$252,0),0)</f>
        <v>0</v>
      </c>
      <c r="L1141" s="169">
        <f>IFERROR(MATCH(J1141,'Final List'!$D$4:$D$252,0),0)</f>
        <v>0</v>
      </c>
      <c r="M1141" s="169">
        <f>IFERROR(MATCH(J1141,'Final List'!$F$4:$F$251,0),0)</f>
        <v>0</v>
      </c>
      <c r="N1141" s="169">
        <f>IFERROR(MATCH(J1141,'Final List'!$H$4:$H$252,0),0)</f>
        <v>0</v>
      </c>
      <c r="O1141" s="169">
        <f>IFERROR(MATCH(J1141,'Final List'!$J$4:$J$252,0),0)</f>
        <v>0</v>
      </c>
      <c r="P1141" s="169">
        <f>IFERROR(MATCH(J1141,'Final List'!$L$4:$L$252,0),0)</f>
        <v>0</v>
      </c>
      <c r="Q1141" s="169">
        <f>IFERROR(MATCH(J1141,'Final List'!$N$4:$N$252,0),0)</f>
        <v>0</v>
      </c>
      <c r="R1141" s="169">
        <f>IFERROR(MATCH(J1141,'Final List'!$P$4:$P$252,0),0)</f>
        <v>0</v>
      </c>
      <c r="S1141" s="169">
        <f t="shared" si="71"/>
        <v>0</v>
      </c>
      <c r="V1141" s="169" t="str">
        <f t="shared" si="69"/>
        <v>TURRA 3</v>
      </c>
      <c r="W1141" s="169" t="s">
        <v>8895</v>
      </c>
    </row>
    <row r="1142" spans="2:23" x14ac:dyDescent="0.25">
      <c r="B1142" s="169" t="s">
        <v>94</v>
      </c>
      <c r="C1142" s="169" t="s">
        <v>42</v>
      </c>
      <c r="D1142" s="169" t="s">
        <v>7301</v>
      </c>
      <c r="E1142" s="169" t="s">
        <v>20</v>
      </c>
      <c r="F1142" s="245" t="str">
        <f t="shared" si="70"/>
        <v>DVW 74</v>
      </c>
      <c r="G1142" s="169" t="s">
        <v>7892</v>
      </c>
      <c r="I1142" s="169" t="str">
        <f t="shared" si="72"/>
        <v>L07_JV_010W_WINZE</v>
      </c>
      <c r="J1142" s="169" t="s">
        <v>7896</v>
      </c>
      <c r="K1142" s="169">
        <f>IFERROR(MATCH(J1142,'Final List'!$B$4:$B$252,0),0)</f>
        <v>0</v>
      </c>
      <c r="L1142" s="169">
        <f>IFERROR(MATCH(J1142,'Final List'!$D$4:$D$252,0),0)</f>
        <v>0</v>
      </c>
      <c r="M1142" s="169">
        <f>IFERROR(MATCH(J1142,'Final List'!$F$4:$F$251,0),0)</f>
        <v>0</v>
      </c>
      <c r="N1142" s="169">
        <f>IFERROR(MATCH(J1142,'Final List'!$H$4:$H$252,0),0)</f>
        <v>0</v>
      </c>
      <c r="O1142" s="169">
        <f>IFERROR(MATCH(J1142,'Final List'!$J$4:$J$252,0),0)</f>
        <v>0</v>
      </c>
      <c r="P1142" s="169">
        <f>IFERROR(MATCH(J1142,'Final List'!$L$4:$L$252,0),0)</f>
        <v>0</v>
      </c>
      <c r="Q1142" s="169">
        <f>IFERROR(MATCH(J1142,'Final List'!$N$4:$N$252,0),0)</f>
        <v>0</v>
      </c>
      <c r="R1142" s="169">
        <f>IFERROR(MATCH(J1142,'Final List'!$P$4:$P$252,0),0)</f>
        <v>0</v>
      </c>
      <c r="S1142" s="169">
        <f t="shared" si="71"/>
        <v>0</v>
      </c>
      <c r="V1142" s="169" t="str">
        <f t="shared" si="69"/>
        <v>BORRERO 2</v>
      </c>
      <c r="W1142" s="169" t="s">
        <v>2706</v>
      </c>
    </row>
    <row r="1143" spans="2:23" x14ac:dyDescent="0.25">
      <c r="B1143" s="169" t="s">
        <v>95</v>
      </c>
      <c r="C1143" s="169" t="s">
        <v>87</v>
      </c>
      <c r="D1143" s="169" t="s">
        <v>175</v>
      </c>
      <c r="E1143" s="169" t="s">
        <v>37</v>
      </c>
      <c r="F1143" s="245" t="str">
        <f t="shared" si="70"/>
        <v>Dhoz 71</v>
      </c>
      <c r="G1143" s="169" t="s">
        <v>386</v>
      </c>
      <c r="I1143" s="169" t="str">
        <f t="shared" si="72"/>
        <v>L08_NONE_060E_XCN</v>
      </c>
      <c r="J1143" s="169" t="s">
        <v>7894</v>
      </c>
      <c r="K1143" s="169">
        <f>IFERROR(MATCH(J1143,'Final List'!$B$4:$B$252,0),0)</f>
        <v>0</v>
      </c>
      <c r="L1143" s="169">
        <f>IFERROR(MATCH(J1143,'Final List'!$D$4:$D$252,0),0)</f>
        <v>0</v>
      </c>
      <c r="M1143" s="169">
        <f>IFERROR(MATCH(J1143,'Final List'!$F$4:$F$251,0),0)</f>
        <v>0</v>
      </c>
      <c r="N1143" s="169">
        <f>IFERROR(MATCH(J1143,'Final List'!$H$4:$H$252,0),0)</f>
        <v>0</v>
      </c>
      <c r="O1143" s="169">
        <f>IFERROR(MATCH(J1143,'Final List'!$J$4:$J$252,0),0)</f>
        <v>0</v>
      </c>
      <c r="P1143" s="169">
        <f>IFERROR(MATCH(J1143,'Final List'!$L$4:$L$252,0),0)</f>
        <v>0</v>
      </c>
      <c r="Q1143" s="169">
        <f>IFERROR(MATCH(J1143,'Final List'!$N$4:$N$252,0),0)</f>
        <v>0</v>
      </c>
      <c r="R1143" s="169">
        <f>IFERROR(MATCH(J1143,'Final List'!$P$4:$P$252,0),0)</f>
        <v>0</v>
      </c>
      <c r="S1143" s="169">
        <f t="shared" si="71"/>
        <v>0</v>
      </c>
      <c r="V1143" s="169" t="str">
        <f t="shared" si="69"/>
        <v>REVITA 1</v>
      </c>
      <c r="W1143" s="169" t="s">
        <v>8897</v>
      </c>
    </row>
    <row r="1144" spans="2:23" x14ac:dyDescent="0.25">
      <c r="B1144" s="169" t="s">
        <v>1166</v>
      </c>
      <c r="C1144" s="169" t="s">
        <v>87</v>
      </c>
      <c r="D1144" s="169" t="s">
        <v>176</v>
      </c>
      <c r="E1144" s="169" t="s">
        <v>63</v>
      </c>
      <c r="F1144" s="245" t="str">
        <f t="shared" si="70"/>
        <v>Dhoz 71</v>
      </c>
      <c r="G1144" s="169" t="s">
        <v>5231</v>
      </c>
      <c r="I1144" s="169" t="str">
        <f t="shared" si="72"/>
        <v>L11_NONE_057E_XCS</v>
      </c>
      <c r="J1144" s="169" t="s">
        <v>7895</v>
      </c>
      <c r="K1144" s="169">
        <f>IFERROR(MATCH(J1144,'Final List'!$B$4:$B$252,0),0)</f>
        <v>0</v>
      </c>
      <c r="L1144" s="169">
        <f>IFERROR(MATCH(J1144,'Final List'!$D$4:$D$252,0),0)</f>
        <v>0</v>
      </c>
      <c r="M1144" s="169">
        <f>IFERROR(MATCH(J1144,'Final List'!$F$4:$F$251,0),0)</f>
        <v>0</v>
      </c>
      <c r="N1144" s="169">
        <f>IFERROR(MATCH(J1144,'Final List'!$H$4:$H$252,0),0)</f>
        <v>0</v>
      </c>
      <c r="O1144" s="169">
        <f>IFERROR(MATCH(J1144,'Final List'!$J$4:$J$252,0),0)</f>
        <v>0</v>
      </c>
      <c r="P1144" s="169">
        <f>IFERROR(MATCH(J1144,'Final List'!$L$4:$L$252,0),0)</f>
        <v>0</v>
      </c>
      <c r="Q1144" s="169">
        <f>IFERROR(MATCH(J1144,'Final List'!$N$4:$N$252,0),0)</f>
        <v>0</v>
      </c>
      <c r="R1144" s="169">
        <f>IFERROR(MATCH(J1144,'Final List'!$P$4:$P$252,0),0)</f>
        <v>0</v>
      </c>
      <c r="S1144" s="169">
        <f t="shared" si="71"/>
        <v>0</v>
      </c>
      <c r="V1144" s="169" t="str">
        <f t="shared" si="69"/>
        <v>DUHIG 5</v>
      </c>
      <c r="W1144" s="169" t="s">
        <v>8898</v>
      </c>
    </row>
    <row r="1145" spans="2:23" x14ac:dyDescent="0.25">
      <c r="B1145" s="169" t="s">
        <v>91</v>
      </c>
      <c r="C1145" s="169" t="s">
        <v>39</v>
      </c>
      <c r="D1145" s="169" t="s">
        <v>159</v>
      </c>
      <c r="E1145" s="169" t="s">
        <v>19</v>
      </c>
      <c r="F1145" s="245" t="str">
        <f t="shared" si="70"/>
        <v>DVR 72</v>
      </c>
      <c r="G1145" s="169" t="s">
        <v>7076</v>
      </c>
      <c r="I1145" s="169" t="str">
        <f t="shared" si="72"/>
        <v>L04_JVHW_023E_RAISE</v>
      </c>
      <c r="J1145" s="169" t="s">
        <v>7898</v>
      </c>
      <c r="K1145" s="169">
        <f>IFERROR(MATCH(J1145,'Final List'!$B$4:$B$252,0),0)</f>
        <v>0</v>
      </c>
      <c r="L1145" s="169">
        <f>IFERROR(MATCH(J1145,'Final List'!$D$4:$D$252,0),0)</f>
        <v>0</v>
      </c>
      <c r="M1145" s="169">
        <f>IFERROR(MATCH(J1145,'Final List'!$F$4:$F$251,0),0)</f>
        <v>0</v>
      </c>
      <c r="N1145" s="169">
        <f>IFERROR(MATCH(J1145,'Final List'!$H$4:$H$252,0),0)</f>
        <v>0</v>
      </c>
      <c r="O1145" s="169">
        <f>IFERROR(MATCH(J1145,'Final List'!$J$4:$J$252,0),0)</f>
        <v>0</v>
      </c>
      <c r="P1145" s="169">
        <f>IFERROR(MATCH(J1145,'Final List'!$L$4:$L$252,0),0)</f>
        <v>0</v>
      </c>
      <c r="Q1145" s="169">
        <f>IFERROR(MATCH(J1145,'Final List'!$N$4:$N$252,0),0)</f>
        <v>0</v>
      </c>
      <c r="R1145" s="169">
        <f>IFERROR(MATCH(J1145,'Final List'!$P$4:$P$252,0),0)</f>
        <v>0</v>
      </c>
      <c r="S1145" s="169">
        <f t="shared" si="71"/>
        <v>0</v>
      </c>
      <c r="V1145" s="169" t="str">
        <f t="shared" si="69"/>
        <v>SHEPHERD AR</v>
      </c>
      <c r="W1145" s="169" t="s">
        <v>2715</v>
      </c>
    </row>
    <row r="1146" spans="2:23" x14ac:dyDescent="0.25">
      <c r="B1146" s="169" t="s">
        <v>258</v>
      </c>
      <c r="C1146" s="169" t="s">
        <v>56</v>
      </c>
      <c r="D1146" s="169" t="s">
        <v>284</v>
      </c>
      <c r="E1146" s="169" t="s">
        <v>19</v>
      </c>
      <c r="F1146" s="245" t="str">
        <f t="shared" si="70"/>
        <v>DVR 72</v>
      </c>
      <c r="G1146" s="169" t="s">
        <v>453</v>
      </c>
      <c r="H1146" s="169" t="s">
        <v>1905</v>
      </c>
      <c r="I1146" s="169" t="str">
        <f t="shared" si="72"/>
        <v>L10_GHVFW_061E_RAISE</v>
      </c>
      <c r="J1146" s="169" t="s">
        <v>7900</v>
      </c>
      <c r="K1146" s="169">
        <f>IFERROR(MATCH(J1146,'Final List'!$B$4:$B$252,0),0)</f>
        <v>0</v>
      </c>
      <c r="L1146" s="169">
        <f>IFERROR(MATCH(J1146,'Final List'!$D$4:$D$252,0),0)</f>
        <v>0</v>
      </c>
      <c r="M1146" s="169">
        <f>IFERROR(MATCH(J1146,'Final List'!$F$4:$F$251,0),0)</f>
        <v>0</v>
      </c>
      <c r="N1146" s="169">
        <f>IFERROR(MATCH(J1146,'Final List'!$H$4:$H$252,0),0)</f>
        <v>0</v>
      </c>
      <c r="O1146" s="169">
        <f>IFERROR(MATCH(J1146,'Final List'!$J$4:$J$252,0),0)</f>
        <v>0</v>
      </c>
      <c r="P1146" s="169">
        <f>IFERROR(MATCH(J1146,'Final List'!$L$4:$L$252,0),0)</f>
        <v>0</v>
      </c>
      <c r="Q1146" s="169">
        <f>IFERROR(MATCH(J1146,'Final List'!$N$4:$N$252,0),0)</f>
        <v>0</v>
      </c>
      <c r="R1146" s="169">
        <f>IFERROR(MATCH(J1146,'Final List'!$P$4:$P$252,0),0)</f>
        <v>0</v>
      </c>
      <c r="S1146" s="169">
        <f t="shared" si="71"/>
        <v>0</v>
      </c>
      <c r="V1146" s="169" t="str">
        <f t="shared" si="69"/>
        <v>MONTEBON 1</v>
      </c>
      <c r="W1146" s="169" t="s">
        <v>2715</v>
      </c>
    </row>
    <row r="1147" spans="2:23" x14ac:dyDescent="0.25">
      <c r="B1147" s="169" t="s">
        <v>258</v>
      </c>
      <c r="C1147" s="169" t="s">
        <v>56</v>
      </c>
      <c r="D1147" s="169" t="s">
        <v>5781</v>
      </c>
      <c r="E1147" s="169" t="s">
        <v>211</v>
      </c>
      <c r="F1147" s="245" t="str">
        <f t="shared" si="70"/>
        <v>StpS 77</v>
      </c>
      <c r="G1147" s="169" t="s">
        <v>5918</v>
      </c>
      <c r="I1147" s="169" t="str">
        <f t="shared" si="72"/>
        <v>L10_GHVFW_051E_STOPE PREP</v>
      </c>
      <c r="J1147" s="169" t="s">
        <v>7904</v>
      </c>
      <c r="K1147" s="169">
        <f>IFERROR(MATCH(J1147,'Final List'!$B$4:$B$252,0),0)</f>
        <v>0</v>
      </c>
      <c r="L1147" s="169">
        <f>IFERROR(MATCH(J1147,'Final List'!$D$4:$D$252,0),0)</f>
        <v>0</v>
      </c>
      <c r="M1147" s="169">
        <f>IFERROR(MATCH(J1147,'Final List'!$F$4:$F$251,0),0)</f>
        <v>0</v>
      </c>
      <c r="N1147" s="169">
        <f>IFERROR(MATCH(J1147,'Final List'!$H$4:$H$252,0),0)</f>
        <v>0</v>
      </c>
      <c r="O1147" s="169">
        <f>IFERROR(MATCH(J1147,'Final List'!$J$4:$J$252,0),0)</f>
        <v>0</v>
      </c>
      <c r="P1147" s="169">
        <f>IFERROR(MATCH(J1147,'Final List'!$L$4:$L$252,0),0)</f>
        <v>0</v>
      </c>
      <c r="Q1147" s="169">
        <f>IFERROR(MATCH(J1147,'Final List'!$N$4:$N$252,0),0)</f>
        <v>0</v>
      </c>
      <c r="R1147" s="169">
        <f>IFERROR(MATCH(J1147,'Final List'!$P$4:$P$252,0),0)</f>
        <v>0</v>
      </c>
      <c r="S1147" s="169">
        <f t="shared" si="71"/>
        <v>0</v>
      </c>
      <c r="T1147" s="169" t="s">
        <v>68</v>
      </c>
      <c r="V1147" s="169" t="str">
        <f t="shared" si="69"/>
        <v>CAPOY  1</v>
      </c>
      <c r="W1147" s="169" t="s">
        <v>2712</v>
      </c>
    </row>
    <row r="1148" spans="2:23" x14ac:dyDescent="0.25">
      <c r="B1148" s="169" t="s">
        <v>258</v>
      </c>
      <c r="C1148" s="169" t="s">
        <v>55</v>
      </c>
      <c r="D1148" s="169" t="s">
        <v>176</v>
      </c>
      <c r="E1148" s="169" t="s">
        <v>19</v>
      </c>
      <c r="F1148" s="245" t="str">
        <f t="shared" si="70"/>
        <v>DVR 72</v>
      </c>
      <c r="G1148" s="169" t="s">
        <v>6927</v>
      </c>
      <c r="I1148" s="169" t="str">
        <f t="shared" si="72"/>
        <v>L10_JVFW_057E_RAISE</v>
      </c>
      <c r="J1148" s="169" t="s">
        <v>7906</v>
      </c>
      <c r="K1148" s="169">
        <f>IFERROR(MATCH(J1148,'Final List'!$B$4:$B$252,0),0)</f>
        <v>0</v>
      </c>
      <c r="L1148" s="169">
        <f>IFERROR(MATCH(J1148,'Final List'!$D$4:$D$252,0),0)</f>
        <v>0</v>
      </c>
      <c r="M1148" s="169">
        <f>IFERROR(MATCH(J1148,'Final List'!$F$4:$F$251,0),0)</f>
        <v>0</v>
      </c>
      <c r="N1148" s="169">
        <f>IFERROR(MATCH(J1148,'Final List'!$H$4:$H$252,0),0)</f>
        <v>0</v>
      </c>
      <c r="O1148" s="169">
        <f>IFERROR(MATCH(J1148,'Final List'!$J$4:$J$252,0),0)</f>
        <v>0</v>
      </c>
      <c r="P1148" s="169">
        <f>IFERROR(MATCH(J1148,'Final List'!$L$4:$L$252,0),0)</f>
        <v>0</v>
      </c>
      <c r="Q1148" s="169">
        <f>IFERROR(MATCH(J1148,'Final List'!$N$4:$N$252,0),0)</f>
        <v>0</v>
      </c>
      <c r="R1148" s="169">
        <f>IFERROR(MATCH(J1148,'Final List'!$P$4:$P$252,0),0)</f>
        <v>0</v>
      </c>
      <c r="S1148" s="169">
        <f t="shared" si="71"/>
        <v>0</v>
      </c>
      <c r="V1148" s="169" t="str">
        <f t="shared" si="69"/>
        <v>DUHIG, R2</v>
      </c>
      <c r="W1148" s="169" t="s">
        <v>2715</v>
      </c>
    </row>
    <row r="1149" spans="2:23" x14ac:dyDescent="0.25">
      <c r="B1149" s="169" t="s">
        <v>91</v>
      </c>
      <c r="C1149" s="169" t="s">
        <v>44</v>
      </c>
      <c r="D1149" s="169" t="s">
        <v>6864</v>
      </c>
      <c r="E1149" s="169" t="s">
        <v>60</v>
      </c>
      <c r="F1149" s="245" t="str">
        <f t="shared" si="70"/>
        <v>Dhoz 71</v>
      </c>
      <c r="G1149" s="169" t="s">
        <v>5767</v>
      </c>
      <c r="I1149" s="169" t="str">
        <f t="shared" si="72"/>
        <v>L04_CV_006E_DE</v>
      </c>
      <c r="J1149" s="169" t="s">
        <v>7910</v>
      </c>
      <c r="K1149" s="169">
        <f>IFERROR(MATCH(J1149,'Final List'!$B$4:$B$252,0),0)</f>
        <v>0</v>
      </c>
      <c r="L1149" s="169">
        <f>IFERROR(MATCH(J1149,'Final List'!$D$4:$D$252,0),0)</f>
        <v>0</v>
      </c>
      <c r="M1149" s="169">
        <f>IFERROR(MATCH(J1149,'Final List'!$F$4:$F$251,0),0)</f>
        <v>0</v>
      </c>
      <c r="N1149" s="169">
        <f>IFERROR(MATCH(J1149,'Final List'!$H$4:$H$252,0),0)</f>
        <v>0</v>
      </c>
      <c r="O1149" s="169">
        <f>IFERROR(MATCH(J1149,'Final List'!$J$4:$J$252,0),0)</f>
        <v>0</v>
      </c>
      <c r="P1149" s="169">
        <f>IFERROR(MATCH(J1149,'Final List'!$L$4:$L$252,0),0)</f>
        <v>0</v>
      </c>
      <c r="Q1149" s="169">
        <f>IFERROR(MATCH(J1149,'Final List'!$N$4:$N$252,0),0)</f>
        <v>0</v>
      </c>
      <c r="R1149" s="169">
        <f>IFERROR(MATCH(J1149,'Final List'!$P$4:$P$252,0),0)</f>
        <v>0</v>
      </c>
      <c r="S1149" s="169">
        <f t="shared" si="71"/>
        <v>0</v>
      </c>
      <c r="V1149" s="169" t="str">
        <f t="shared" si="69"/>
        <v>MARTINEZ, RON 3</v>
      </c>
      <c r="W1149" s="169" t="s">
        <v>8895</v>
      </c>
    </row>
    <row r="1150" spans="2:23" x14ac:dyDescent="0.25">
      <c r="B1150" s="169" t="s">
        <v>92</v>
      </c>
      <c r="C1150" s="169" t="s">
        <v>42</v>
      </c>
      <c r="D1150" s="169" t="s">
        <v>121</v>
      </c>
      <c r="E1150" s="169" t="s">
        <v>61</v>
      </c>
      <c r="F1150" s="245" t="str">
        <f t="shared" si="70"/>
        <v>Dhoz 71</v>
      </c>
      <c r="G1150" s="169" t="s">
        <v>7390</v>
      </c>
      <c r="I1150" s="169" t="str">
        <f t="shared" si="72"/>
        <v>L05_JV_022E_DW</v>
      </c>
      <c r="J1150" s="169" t="s">
        <v>7911</v>
      </c>
      <c r="K1150" s="169">
        <f>IFERROR(MATCH(J1150,'Final List'!$B$4:$B$252,0),0)</f>
        <v>0</v>
      </c>
      <c r="L1150" s="169">
        <f>IFERROR(MATCH(J1150,'Final List'!$D$4:$D$252,0),0)</f>
        <v>0</v>
      </c>
      <c r="M1150" s="169">
        <f>IFERROR(MATCH(J1150,'Final List'!$F$4:$F$251,0),0)</f>
        <v>0</v>
      </c>
      <c r="N1150" s="169">
        <f>IFERROR(MATCH(J1150,'Final List'!$H$4:$H$252,0),0)</f>
        <v>0</v>
      </c>
      <c r="O1150" s="169">
        <f>IFERROR(MATCH(J1150,'Final List'!$J$4:$J$252,0),0)</f>
        <v>0</v>
      </c>
      <c r="P1150" s="169">
        <f>IFERROR(MATCH(J1150,'Final List'!$L$4:$L$252,0),0)</f>
        <v>0</v>
      </c>
      <c r="Q1150" s="169">
        <f>IFERROR(MATCH(J1150,'Final List'!$N$4:$N$252,0),0)</f>
        <v>0</v>
      </c>
      <c r="R1150" s="169">
        <f>IFERROR(MATCH(J1150,'Final List'!$P$4:$P$252,0),0)</f>
        <v>0</v>
      </c>
      <c r="S1150" s="169">
        <f t="shared" si="71"/>
        <v>0</v>
      </c>
      <c r="V1150" s="169" t="str">
        <f t="shared" si="69"/>
        <v>FERNANDEZ, RG</v>
      </c>
      <c r="W1150" s="169" t="s">
        <v>8895</v>
      </c>
    </row>
    <row r="1151" spans="2:23" x14ac:dyDescent="0.25">
      <c r="B1151" s="169" t="s">
        <v>92</v>
      </c>
      <c r="C1151" s="169" t="s">
        <v>45</v>
      </c>
      <c r="D1151" s="169" t="s">
        <v>122</v>
      </c>
      <c r="E1151" s="169" t="s">
        <v>441</v>
      </c>
      <c r="F1151" s="245" t="str">
        <f t="shared" si="70"/>
        <v>RobC 80</v>
      </c>
      <c r="G1151" s="169" t="s">
        <v>5707</v>
      </c>
      <c r="I1151" s="169" t="str">
        <f t="shared" si="72"/>
        <v>L05_DPVE_025E_WINZE STOPE PREP</v>
      </c>
      <c r="J1151" s="169" t="s">
        <v>7912</v>
      </c>
      <c r="K1151" s="169">
        <f>IFERROR(MATCH(J1151,'Final List'!$B$4:$B$252,0),0)</f>
        <v>0</v>
      </c>
      <c r="L1151" s="169">
        <f>IFERROR(MATCH(J1151,'Final List'!$D$4:$D$252,0),0)</f>
        <v>0</v>
      </c>
      <c r="M1151" s="169">
        <f>IFERROR(MATCH(J1151,'Final List'!$F$4:$F$251,0),0)</f>
        <v>0</v>
      </c>
      <c r="N1151" s="169">
        <f>IFERROR(MATCH(J1151,'Final List'!$H$4:$H$252,0),0)</f>
        <v>0</v>
      </c>
      <c r="O1151" s="169">
        <f>IFERROR(MATCH(J1151,'Final List'!$J$4:$J$252,0),0)</f>
        <v>0</v>
      </c>
      <c r="P1151" s="169">
        <f>IFERROR(MATCH(J1151,'Final List'!$L$4:$L$252,0),0)</f>
        <v>0</v>
      </c>
      <c r="Q1151" s="169">
        <f>IFERROR(MATCH(J1151,'Final List'!$N$4:$N$252,0),0)</f>
        <v>0</v>
      </c>
      <c r="R1151" s="169">
        <f>IFERROR(MATCH(J1151,'Final List'!$P$4:$P$252,0),0)</f>
        <v>0</v>
      </c>
      <c r="S1151" s="169">
        <f t="shared" si="71"/>
        <v>0</v>
      </c>
      <c r="T1151" s="169" t="s">
        <v>68</v>
      </c>
      <c r="V1151" s="169" t="str">
        <f t="shared" si="69"/>
        <v>SHEPHERD AF 2</v>
      </c>
      <c r="W1151" s="169" t="s">
        <v>2716</v>
      </c>
    </row>
    <row r="1152" spans="2:23" x14ac:dyDescent="0.25">
      <c r="B1152" s="169" t="s">
        <v>93</v>
      </c>
      <c r="C1152" s="169" t="s">
        <v>57</v>
      </c>
      <c r="D1152" s="169" t="s">
        <v>6518</v>
      </c>
      <c r="E1152" s="169" t="s">
        <v>20</v>
      </c>
      <c r="F1152" s="245" t="str">
        <f t="shared" si="70"/>
        <v>DVW 74</v>
      </c>
      <c r="G1152" s="169" t="s">
        <v>1506</v>
      </c>
      <c r="I1152" s="169" t="str">
        <f t="shared" si="72"/>
        <v>L06_JVSPLIT_007E_WINZE</v>
      </c>
      <c r="J1152" s="169" t="s">
        <v>7913</v>
      </c>
      <c r="K1152" s="169">
        <f>IFERROR(MATCH(J1152,'Final List'!$B$4:$B$252,0),0)</f>
        <v>0</v>
      </c>
      <c r="L1152" s="169">
        <f>IFERROR(MATCH(J1152,'Final List'!$D$4:$D$252,0),0)</f>
        <v>0</v>
      </c>
      <c r="M1152" s="169">
        <f>IFERROR(MATCH(J1152,'Final List'!$F$4:$F$251,0),0)</f>
        <v>0</v>
      </c>
      <c r="N1152" s="169">
        <f>IFERROR(MATCH(J1152,'Final List'!$H$4:$H$252,0),0)</f>
        <v>0</v>
      </c>
      <c r="O1152" s="169">
        <f>IFERROR(MATCH(J1152,'Final List'!$J$4:$J$252,0),0)</f>
        <v>0</v>
      </c>
      <c r="P1152" s="169">
        <f>IFERROR(MATCH(J1152,'Final List'!$L$4:$L$252,0),0)</f>
        <v>0</v>
      </c>
      <c r="Q1152" s="169">
        <f>IFERROR(MATCH(J1152,'Final List'!$N$4:$N$252,0),0)</f>
        <v>0</v>
      </c>
      <c r="R1152" s="169">
        <f>IFERROR(MATCH(J1152,'Final List'!$P$4:$P$252,0),0)</f>
        <v>0</v>
      </c>
      <c r="S1152" s="169">
        <f t="shared" si="71"/>
        <v>0</v>
      </c>
      <c r="V1152" s="169" t="str">
        <f t="shared" si="69"/>
        <v>GUNAY</v>
      </c>
      <c r="W1152" s="169" t="s">
        <v>2706</v>
      </c>
    </row>
    <row r="1153" spans="2:23" x14ac:dyDescent="0.25">
      <c r="B1153" s="169" t="s">
        <v>258</v>
      </c>
      <c r="C1153" s="169" t="s">
        <v>57</v>
      </c>
      <c r="D1153" s="169" t="s">
        <v>170</v>
      </c>
      <c r="E1153" s="169" t="s">
        <v>19</v>
      </c>
      <c r="F1153" s="245" t="str">
        <f t="shared" si="70"/>
        <v>DVR 72</v>
      </c>
      <c r="G1153" s="169" t="s">
        <v>452</v>
      </c>
      <c r="I1153" s="169" t="str">
        <f t="shared" si="72"/>
        <v>L10_JVSPLIT_071E_RAISE</v>
      </c>
      <c r="J1153" s="169" t="s">
        <v>3981</v>
      </c>
      <c r="K1153" s="169">
        <f>IFERROR(MATCH(J1153,'Final List'!$B$4:$B$252,0),0)</f>
        <v>0</v>
      </c>
      <c r="L1153" s="169">
        <f>IFERROR(MATCH(J1153,'Final List'!$D$4:$D$252,0),0)</f>
        <v>0</v>
      </c>
      <c r="M1153" s="169">
        <f>IFERROR(MATCH(J1153,'Final List'!$F$4:$F$251,0),0)</f>
        <v>0</v>
      </c>
      <c r="N1153" s="169">
        <f>IFERROR(MATCH(J1153,'Final List'!$H$4:$H$252,0),0)</f>
        <v>0</v>
      </c>
      <c r="O1153" s="169">
        <f>IFERROR(MATCH(J1153,'Final List'!$J$4:$J$252,0),0)</f>
        <v>0</v>
      </c>
      <c r="P1153" s="169">
        <f>IFERROR(MATCH(J1153,'Final List'!$L$4:$L$252,0),0)</f>
        <v>0</v>
      </c>
      <c r="Q1153" s="169">
        <f>IFERROR(MATCH(J1153,'Final List'!$N$4:$N$252,0),0)</f>
        <v>0</v>
      </c>
      <c r="R1153" s="169">
        <f>IFERROR(MATCH(J1153,'Final List'!$P$4:$P$252,0),0)</f>
        <v>0</v>
      </c>
      <c r="S1153" s="169">
        <f t="shared" si="71"/>
        <v>0</v>
      </c>
      <c r="V1153" s="169" t="str">
        <f t="shared" si="69"/>
        <v>BAÑEZ 6</v>
      </c>
      <c r="W1153" s="169" t="s">
        <v>2715</v>
      </c>
    </row>
    <row r="1154" spans="2:23" x14ac:dyDescent="0.25">
      <c r="B1154" s="169" t="s">
        <v>258</v>
      </c>
      <c r="C1154" s="169" t="s">
        <v>87</v>
      </c>
      <c r="D1154" s="169" t="s">
        <v>7915</v>
      </c>
      <c r="E1154" s="169" t="s">
        <v>37</v>
      </c>
      <c r="F1154" s="245" t="str">
        <f t="shared" si="70"/>
        <v>Dhoz 71</v>
      </c>
      <c r="G1154" s="169" t="s">
        <v>453</v>
      </c>
      <c r="I1154" s="169" t="str">
        <f t="shared" si="72"/>
        <v>L10_NONE_083E_XCN</v>
      </c>
      <c r="J1154" s="169" t="s">
        <v>7914</v>
      </c>
      <c r="K1154" s="169">
        <f>IFERROR(MATCH(J1154,'Final List'!$B$4:$B$252,0),0)</f>
        <v>0</v>
      </c>
      <c r="L1154" s="169">
        <f>IFERROR(MATCH(J1154,'Final List'!$D$4:$D$252,0),0)</f>
        <v>0</v>
      </c>
      <c r="M1154" s="169">
        <f>IFERROR(MATCH(J1154,'Final List'!$F$4:$F$251,0),0)</f>
        <v>0</v>
      </c>
      <c r="N1154" s="169">
        <f>IFERROR(MATCH(J1154,'Final List'!$H$4:$H$252,0),0)</f>
        <v>0</v>
      </c>
      <c r="O1154" s="169">
        <f>IFERROR(MATCH(J1154,'Final List'!$J$4:$J$252,0),0)</f>
        <v>0</v>
      </c>
      <c r="P1154" s="169">
        <f>IFERROR(MATCH(J1154,'Final List'!$L$4:$L$252,0),0)</f>
        <v>0</v>
      </c>
      <c r="Q1154" s="169">
        <f>IFERROR(MATCH(J1154,'Final List'!$N$4:$N$252,0),0)</f>
        <v>0</v>
      </c>
      <c r="R1154" s="169">
        <f>IFERROR(MATCH(J1154,'Final List'!$P$4:$P$252,0),0)</f>
        <v>0</v>
      </c>
      <c r="S1154" s="169">
        <f t="shared" si="71"/>
        <v>0</v>
      </c>
      <c r="V1154" s="169" t="str">
        <f t="shared" ref="V1154:V1217" si="73">IF(H1154="",G1154,H1154)</f>
        <v>BAÑEZ 7</v>
      </c>
      <c r="W1154" s="169" t="s">
        <v>8898</v>
      </c>
    </row>
    <row r="1155" spans="2:23" x14ac:dyDescent="0.25">
      <c r="B1155" s="169" t="s">
        <v>95</v>
      </c>
      <c r="C1155" s="169" t="s">
        <v>87</v>
      </c>
      <c r="D1155" s="169" t="s">
        <v>173</v>
      </c>
      <c r="E1155" s="169" t="s">
        <v>63</v>
      </c>
      <c r="F1155" s="245" t="str">
        <f t="shared" ref="F1155:F1218" si="74">IF(OR(E1155="XCN",E1155="DE",E1155="DW",E1155="DN",E1155="XCS",E1155="XCE",E1155="XCW",E1155="SUMP",E1155="BYPASS",E1155="CHAMBER",E1155="DRAIN HOLE",E1155="DRILLING CHAMBER",E1155="DE_ISL",E1155="DW_ISL",E1155="REHAB"),"Dhoz 71",IF(OR(E1155="RAISE",E1155="RAISE_ISL"),"DVR 72",IF(E1155="ALIMAK","DVA 73",IF(E1155="WINZE","DVW 74",IF(E1155="SHAFT","DVS 75",IF(AND(E1155="WINZE STOPE",T1155="S"),"RobC 80",IF(AND(E1155="STOPE",T1155="S"),"StpS 77",IF(AND(E1155="WINZE STOPE",T1155="L"),"RobC 80",IF(AND(E1155="STOPE",T1155="L"),"StpL 78",IF(AND(E1155="WINZE STOPE PREP",T1155="S"),"RobC 80",IF(AND(E1155="STOPE PREP",T1155="S"),"StpS 77",IF(AND(E1155="WINZE STOPE PREP",T1155="L"),"RobC 80",IF(AND(E1155="STOPE PREP",T1155="L"),"StpL 78",IF(AND(E1155="ROBBING",T1155="L"),"RobC 80",IF(AND(E1155="ROBBING",T1155="S"),"RobS 79",0)))))))))))))))</f>
        <v>Dhoz 71</v>
      </c>
      <c r="G1155" s="169" t="s">
        <v>1376</v>
      </c>
      <c r="I1155" s="169" t="str">
        <f t="shared" si="72"/>
        <v>L08_NONE_049E_XCS</v>
      </c>
      <c r="J1155" s="169" t="s">
        <v>7920</v>
      </c>
      <c r="K1155" s="169">
        <f>IFERROR(MATCH(J1155,'Final List'!$B$4:$B$252,0),0)</f>
        <v>0</v>
      </c>
      <c r="L1155" s="169">
        <f>IFERROR(MATCH(J1155,'Final List'!$D$4:$D$252,0),0)</f>
        <v>0</v>
      </c>
      <c r="M1155" s="169">
        <f>IFERROR(MATCH(J1155,'Final List'!$F$4:$F$251,0),0)</f>
        <v>0</v>
      </c>
      <c r="N1155" s="169">
        <f>IFERROR(MATCH(J1155,'Final List'!$H$4:$H$252,0),0)</f>
        <v>0</v>
      </c>
      <c r="O1155" s="169">
        <f>IFERROR(MATCH(J1155,'Final List'!$J$4:$J$252,0),0)</f>
        <v>0</v>
      </c>
      <c r="P1155" s="169">
        <f>IFERROR(MATCH(J1155,'Final List'!$L$4:$L$252,0),0)</f>
        <v>0</v>
      </c>
      <c r="Q1155" s="169">
        <f>IFERROR(MATCH(J1155,'Final List'!$N$4:$N$252,0),0)</f>
        <v>0</v>
      </c>
      <c r="R1155" s="169">
        <f>IFERROR(MATCH(J1155,'Final List'!$P$4:$P$252,0),0)</f>
        <v>0</v>
      </c>
      <c r="S1155" s="169">
        <f t="shared" ref="S1155:S1218" si="75">SUM(K1155:R1155)</f>
        <v>0</v>
      </c>
      <c r="V1155" s="169" t="str">
        <f t="shared" si="73"/>
        <v>LERIO</v>
      </c>
      <c r="W1155" s="169" t="s">
        <v>8897</v>
      </c>
    </row>
    <row r="1156" spans="2:23" x14ac:dyDescent="0.25">
      <c r="B1156" s="169" t="s">
        <v>91</v>
      </c>
      <c r="C1156" s="169" t="s">
        <v>43</v>
      </c>
      <c r="D1156" s="169" t="s">
        <v>7108</v>
      </c>
      <c r="E1156" s="169" t="s">
        <v>62</v>
      </c>
      <c r="F1156" s="245" t="str">
        <f t="shared" si="74"/>
        <v>RobS 79</v>
      </c>
      <c r="G1156" s="169" t="s">
        <v>7132</v>
      </c>
      <c r="I1156" s="169" t="str">
        <f t="shared" si="72"/>
        <v>L04_GHVSPLIT_041W_ROBBING</v>
      </c>
      <c r="J1156" s="169" t="s">
        <v>7922</v>
      </c>
      <c r="K1156" s="169">
        <f>IFERROR(MATCH(J1156,'Final List'!$B$4:$B$252,0),0)</f>
        <v>0</v>
      </c>
      <c r="L1156" s="169">
        <f>IFERROR(MATCH(J1156,'Final List'!$D$4:$D$252,0),0)</f>
        <v>0</v>
      </c>
      <c r="M1156" s="169">
        <f>IFERROR(MATCH(J1156,'Final List'!$F$4:$F$251,0),0)</f>
        <v>0</v>
      </c>
      <c r="N1156" s="169">
        <f>IFERROR(MATCH(J1156,'Final List'!$H$4:$H$252,0),0)</f>
        <v>0</v>
      </c>
      <c r="O1156" s="169">
        <f>IFERROR(MATCH(J1156,'Final List'!$J$4:$J$252,0),0)</f>
        <v>0</v>
      </c>
      <c r="P1156" s="169">
        <f>IFERROR(MATCH(J1156,'Final List'!$L$4:$L$252,0),0)</f>
        <v>0</v>
      </c>
      <c r="Q1156" s="169">
        <f>IFERROR(MATCH(J1156,'Final List'!$N$4:$N$252,0),0)</f>
        <v>0</v>
      </c>
      <c r="R1156" s="169">
        <f>IFERROR(MATCH(J1156,'Final List'!$P$4:$P$252,0),0)</f>
        <v>0</v>
      </c>
      <c r="S1156" s="169">
        <f t="shared" si="75"/>
        <v>0</v>
      </c>
      <c r="T1156" s="169" t="s">
        <v>68</v>
      </c>
      <c r="V1156" s="169" t="str">
        <f t="shared" si="73"/>
        <v>SHEPHERD AQ</v>
      </c>
      <c r="W1156" s="169" t="s">
        <v>2707</v>
      </c>
    </row>
    <row r="1157" spans="2:23" x14ac:dyDescent="0.25">
      <c r="B1157" s="169" t="s">
        <v>94</v>
      </c>
      <c r="C1157" s="169" t="s">
        <v>87</v>
      </c>
      <c r="D1157" s="169" t="s">
        <v>5742</v>
      </c>
      <c r="E1157" s="169" t="s">
        <v>63</v>
      </c>
      <c r="F1157" s="245" t="str">
        <f t="shared" si="74"/>
        <v>Dhoz 71</v>
      </c>
      <c r="G1157" s="169" t="s">
        <v>2970</v>
      </c>
      <c r="I1157" s="169" t="str">
        <f t="shared" si="72"/>
        <v>L07_NONE_040E_XCS</v>
      </c>
      <c r="J1157" s="169" t="s">
        <v>7935</v>
      </c>
      <c r="K1157" s="169">
        <f>IFERROR(MATCH(J1157,'Final List'!$B$4:$B$252,0),0)</f>
        <v>0</v>
      </c>
      <c r="L1157" s="169">
        <f>IFERROR(MATCH(J1157,'Final List'!$D$4:$D$252,0),0)</f>
        <v>0</v>
      </c>
      <c r="M1157" s="169">
        <f>IFERROR(MATCH(J1157,'Final List'!$F$4:$F$251,0),0)</f>
        <v>0</v>
      </c>
      <c r="N1157" s="169">
        <f>IFERROR(MATCH(J1157,'Final List'!$H$4:$H$252,0),0)</f>
        <v>0</v>
      </c>
      <c r="O1157" s="169">
        <f>IFERROR(MATCH(J1157,'Final List'!$J$4:$J$252,0),0)</f>
        <v>0</v>
      </c>
      <c r="P1157" s="169">
        <f>IFERROR(MATCH(J1157,'Final List'!$L$4:$L$252,0),0)</f>
        <v>0</v>
      </c>
      <c r="Q1157" s="169">
        <f>IFERROR(MATCH(J1157,'Final List'!$N$4:$N$252,0),0)</f>
        <v>0</v>
      </c>
      <c r="R1157" s="169">
        <f>IFERROR(MATCH(J1157,'Final List'!$P$4:$P$252,0),0)</f>
        <v>0</v>
      </c>
      <c r="S1157" s="169">
        <f t="shared" si="75"/>
        <v>0</v>
      </c>
      <c r="V1157" s="169" t="str">
        <f t="shared" si="73"/>
        <v>FABROA 2</v>
      </c>
      <c r="W1157" s="169" t="s">
        <v>8897</v>
      </c>
    </row>
    <row r="1158" spans="2:23" x14ac:dyDescent="0.25">
      <c r="B1158" s="169" t="s">
        <v>93</v>
      </c>
      <c r="C1158" s="169" t="s">
        <v>87</v>
      </c>
      <c r="D1158" s="169" t="s">
        <v>140</v>
      </c>
      <c r="E1158" s="169" t="s">
        <v>63</v>
      </c>
      <c r="F1158" s="245" t="str">
        <f t="shared" si="74"/>
        <v>Dhoz 71</v>
      </c>
      <c r="G1158" s="169" t="s">
        <v>355</v>
      </c>
      <c r="I1158" s="169" t="str">
        <f t="shared" si="72"/>
        <v>L06_NONE_005W_XCS</v>
      </c>
      <c r="J1158" s="169" t="s">
        <v>7927</v>
      </c>
      <c r="K1158" s="169">
        <f>IFERROR(MATCH(J1158,'Final List'!$B$4:$B$252,0),0)</f>
        <v>0</v>
      </c>
      <c r="L1158" s="169">
        <f>IFERROR(MATCH(J1158,'Final List'!$D$4:$D$252,0),0)</f>
        <v>0</v>
      </c>
      <c r="M1158" s="169">
        <f>IFERROR(MATCH(J1158,'Final List'!$F$4:$F$251,0),0)</f>
        <v>0</v>
      </c>
      <c r="N1158" s="169">
        <f>IFERROR(MATCH(J1158,'Final List'!$H$4:$H$252,0),0)</f>
        <v>0</v>
      </c>
      <c r="O1158" s="169">
        <f>IFERROR(MATCH(J1158,'Final List'!$J$4:$J$252,0),0)</f>
        <v>0</v>
      </c>
      <c r="P1158" s="169">
        <f>IFERROR(MATCH(J1158,'Final List'!$L$4:$L$252,0),0)</f>
        <v>0</v>
      </c>
      <c r="Q1158" s="169">
        <f>IFERROR(MATCH(J1158,'Final List'!$N$4:$N$252,0),0)</f>
        <v>0</v>
      </c>
      <c r="R1158" s="169">
        <f>IFERROR(MATCH(J1158,'Final List'!$P$4:$P$252,0),0)</f>
        <v>0</v>
      </c>
      <c r="S1158" s="169">
        <f t="shared" si="75"/>
        <v>0</v>
      </c>
      <c r="V1158" s="169" t="str">
        <f t="shared" si="73"/>
        <v>BAÑEZ 2</v>
      </c>
      <c r="W1158" s="169" t="s">
        <v>8897</v>
      </c>
    </row>
    <row r="1159" spans="2:23" x14ac:dyDescent="0.25">
      <c r="B1159" s="169" t="s">
        <v>94</v>
      </c>
      <c r="C1159" s="169" t="s">
        <v>45</v>
      </c>
      <c r="D1159" s="169" t="s">
        <v>118</v>
      </c>
      <c r="E1159" s="169" t="s">
        <v>6143</v>
      </c>
      <c r="F1159" s="245" t="str">
        <f t="shared" si="74"/>
        <v>Dhoz 71</v>
      </c>
      <c r="G1159" s="169" t="s">
        <v>7719</v>
      </c>
      <c r="I1159" s="169" t="str">
        <f t="shared" si="72"/>
        <v>L07_DPVE_014E_DE_ISL</v>
      </c>
      <c r="J1159" s="169" t="s">
        <v>7924</v>
      </c>
      <c r="K1159" s="169">
        <f>IFERROR(MATCH(J1159,'Final List'!$B$4:$B$252,0),0)</f>
        <v>0</v>
      </c>
      <c r="L1159" s="169">
        <f>IFERROR(MATCH(J1159,'Final List'!$D$4:$D$252,0),0)</f>
        <v>0</v>
      </c>
      <c r="M1159" s="169">
        <f>IFERROR(MATCH(J1159,'Final List'!$F$4:$F$251,0),0)</f>
        <v>0</v>
      </c>
      <c r="N1159" s="169">
        <f>IFERROR(MATCH(J1159,'Final List'!$H$4:$H$252,0),0)</f>
        <v>0</v>
      </c>
      <c r="O1159" s="169">
        <f>IFERROR(MATCH(J1159,'Final List'!$J$4:$J$252,0),0)</f>
        <v>0</v>
      </c>
      <c r="P1159" s="169">
        <f>IFERROR(MATCH(J1159,'Final List'!$L$4:$L$252,0),0)</f>
        <v>0</v>
      </c>
      <c r="Q1159" s="169">
        <f>IFERROR(MATCH(J1159,'Final List'!$N$4:$N$252,0),0)</f>
        <v>0</v>
      </c>
      <c r="R1159" s="169">
        <f>IFERROR(MATCH(J1159,'Final List'!$P$4:$P$252,0),0)</f>
        <v>0</v>
      </c>
      <c r="S1159" s="169">
        <f t="shared" si="75"/>
        <v>0</v>
      </c>
      <c r="V1159" s="169" t="str">
        <f t="shared" si="73"/>
        <v>TURRA 4</v>
      </c>
      <c r="W1159" s="169" t="s">
        <v>2708</v>
      </c>
    </row>
    <row r="1160" spans="2:23" x14ac:dyDescent="0.25">
      <c r="B1160" s="169" t="s">
        <v>92</v>
      </c>
      <c r="C1160" s="169" t="s">
        <v>45</v>
      </c>
      <c r="D1160" s="169" t="s">
        <v>174</v>
      </c>
      <c r="E1160" s="169" t="s">
        <v>211</v>
      </c>
      <c r="F1160" s="245" t="str">
        <f t="shared" si="74"/>
        <v>StpS 77</v>
      </c>
      <c r="G1160" s="169" t="s">
        <v>7390</v>
      </c>
      <c r="I1160" s="169" t="str">
        <f t="shared" si="72"/>
        <v>L05_DPVE_052E_STOPE PREP</v>
      </c>
      <c r="J1160" s="169" t="s">
        <v>7928</v>
      </c>
      <c r="K1160" s="169">
        <f>IFERROR(MATCH(J1160,'Final List'!$B$4:$B$252,0),0)</f>
        <v>0</v>
      </c>
      <c r="L1160" s="169">
        <f>IFERROR(MATCH(J1160,'Final List'!$D$4:$D$252,0),0)</f>
        <v>0</v>
      </c>
      <c r="M1160" s="169">
        <f>IFERROR(MATCH(J1160,'Final List'!$F$4:$F$251,0),0)</f>
        <v>0</v>
      </c>
      <c r="N1160" s="169">
        <f>IFERROR(MATCH(J1160,'Final List'!$H$4:$H$252,0),0)</f>
        <v>0</v>
      </c>
      <c r="O1160" s="169">
        <f>IFERROR(MATCH(J1160,'Final List'!$J$4:$J$252,0),0)</f>
        <v>0</v>
      </c>
      <c r="P1160" s="169">
        <f>IFERROR(MATCH(J1160,'Final List'!$L$4:$L$252,0),0)</f>
        <v>0</v>
      </c>
      <c r="Q1160" s="169">
        <f>IFERROR(MATCH(J1160,'Final List'!$N$4:$N$252,0),0)</f>
        <v>0</v>
      </c>
      <c r="R1160" s="169">
        <f>IFERROR(MATCH(J1160,'Final List'!$P$4:$P$252,0),0)</f>
        <v>0</v>
      </c>
      <c r="S1160" s="169">
        <f t="shared" si="75"/>
        <v>0</v>
      </c>
      <c r="T1160" s="169" t="s">
        <v>68</v>
      </c>
      <c r="V1160" s="169" t="str">
        <f t="shared" si="73"/>
        <v>FERNANDEZ, RG</v>
      </c>
      <c r="W1160" s="169" t="s">
        <v>2712</v>
      </c>
    </row>
    <row r="1161" spans="2:23" x14ac:dyDescent="0.25">
      <c r="B1161" s="169" t="s">
        <v>258</v>
      </c>
      <c r="C1161" s="169" t="s">
        <v>45</v>
      </c>
      <c r="D1161" s="169" t="s">
        <v>119</v>
      </c>
      <c r="E1161" s="169" t="s">
        <v>19</v>
      </c>
      <c r="F1161" s="245" t="str">
        <f t="shared" si="74"/>
        <v>DVR 72</v>
      </c>
      <c r="G1161" s="169" t="s">
        <v>9959</v>
      </c>
      <c r="I1161" s="169" t="str">
        <f t="shared" si="72"/>
        <v>L10_DPVE_012E_RAISE</v>
      </c>
      <c r="J1161" s="169" t="s">
        <v>7936</v>
      </c>
      <c r="K1161" s="169">
        <f>IFERROR(MATCH(J1161,'Final List'!$B$4:$B$252,0),0)</f>
        <v>0</v>
      </c>
      <c r="L1161" s="169">
        <f>IFERROR(MATCH(J1161,'Final List'!$D$4:$D$252,0),0)</f>
        <v>0</v>
      </c>
      <c r="M1161" s="169">
        <f>IFERROR(MATCH(J1161,'Final List'!$F$4:$F$251,0),0)</f>
        <v>0</v>
      </c>
      <c r="N1161" s="169">
        <f>IFERROR(MATCH(J1161,'Final List'!$H$4:$H$252,0),0)</f>
        <v>0</v>
      </c>
      <c r="O1161" s="169">
        <f>IFERROR(MATCH(J1161,'Final List'!$J$4:$J$252,0),0)</f>
        <v>0</v>
      </c>
      <c r="P1161" s="169">
        <f>IFERROR(MATCH(J1161,'Final List'!$L$4:$L$252,0),0)</f>
        <v>0</v>
      </c>
      <c r="Q1161" s="169">
        <f>IFERROR(MATCH(J1161,'Final List'!$N$4:$N$252,0),0)</f>
        <v>0</v>
      </c>
      <c r="R1161" s="169">
        <f>IFERROR(MATCH(J1161,'Final List'!$P$4:$P$252,0),0)</f>
        <v>0</v>
      </c>
      <c r="S1161" s="169">
        <f t="shared" si="75"/>
        <v>0</v>
      </c>
      <c r="V1161" s="169" t="str">
        <f t="shared" si="73"/>
        <v>SHEPHERD BC</v>
      </c>
      <c r="W1161" s="169" t="s">
        <v>2715</v>
      </c>
    </row>
    <row r="1162" spans="2:23" x14ac:dyDescent="0.25">
      <c r="B1162" s="169" t="s">
        <v>1166</v>
      </c>
      <c r="C1162" s="169" t="s">
        <v>38</v>
      </c>
      <c r="D1162" s="169" t="s">
        <v>175</v>
      </c>
      <c r="E1162" s="169" t="s">
        <v>61</v>
      </c>
      <c r="F1162" s="245" t="str">
        <f t="shared" si="74"/>
        <v>Dhoz 71</v>
      </c>
      <c r="G1162" s="169" t="s">
        <v>5231</v>
      </c>
      <c r="H1162" s="169" t="s">
        <v>6931</v>
      </c>
      <c r="I1162" s="169" t="str">
        <f t="shared" si="72"/>
        <v>L11_GHV_060E_DW</v>
      </c>
      <c r="J1162" s="169" t="s">
        <v>7937</v>
      </c>
      <c r="K1162" s="169">
        <f>IFERROR(MATCH(J1162,'Final List'!$B$4:$B$252,0),0)</f>
        <v>0</v>
      </c>
      <c r="L1162" s="169">
        <f>IFERROR(MATCH(J1162,'Final List'!$D$4:$D$252,0),0)</f>
        <v>0</v>
      </c>
      <c r="M1162" s="169">
        <f>IFERROR(MATCH(J1162,'Final List'!$F$4:$F$251,0),0)</f>
        <v>0</v>
      </c>
      <c r="N1162" s="169">
        <f>IFERROR(MATCH(J1162,'Final List'!$H$4:$H$252,0),0)</f>
        <v>0</v>
      </c>
      <c r="O1162" s="169">
        <f>IFERROR(MATCH(J1162,'Final List'!$J$4:$J$252,0),0)</f>
        <v>0</v>
      </c>
      <c r="P1162" s="169">
        <f>IFERROR(MATCH(J1162,'Final List'!$L$4:$L$252,0),0)</f>
        <v>0</v>
      </c>
      <c r="Q1162" s="169">
        <f>IFERROR(MATCH(J1162,'Final List'!$N$4:$N$252,0),0)</f>
        <v>0</v>
      </c>
      <c r="R1162" s="169">
        <f>IFERROR(MATCH(J1162,'Final List'!$P$4:$P$252,0),0)</f>
        <v>0</v>
      </c>
      <c r="S1162" s="169">
        <f t="shared" si="75"/>
        <v>0</v>
      </c>
      <c r="V1162" s="169" t="str">
        <f t="shared" si="73"/>
        <v>DUHIG, P2</v>
      </c>
      <c r="W1162" s="169" t="s">
        <v>8896</v>
      </c>
    </row>
    <row r="1163" spans="2:23" x14ac:dyDescent="0.25">
      <c r="B1163" s="169" t="s">
        <v>258</v>
      </c>
      <c r="C1163" s="169" t="s">
        <v>45</v>
      </c>
      <c r="D1163" s="169" t="s">
        <v>122</v>
      </c>
      <c r="E1163" s="169" t="s">
        <v>36</v>
      </c>
      <c r="F1163" s="245" t="str">
        <f t="shared" si="74"/>
        <v>StpS 77</v>
      </c>
      <c r="G1163" s="169" t="s">
        <v>361</v>
      </c>
      <c r="I1163" s="169" t="str">
        <f t="shared" si="72"/>
        <v>L10_DPVE_025E_STOPE</v>
      </c>
      <c r="J1163" s="169" t="s">
        <v>7939</v>
      </c>
      <c r="K1163" s="169">
        <f>IFERROR(MATCH(J1163,'Final List'!$B$4:$B$252,0),0)</f>
        <v>0</v>
      </c>
      <c r="L1163" s="169">
        <f>IFERROR(MATCH(J1163,'Final List'!$D$4:$D$252,0),0)</f>
        <v>0</v>
      </c>
      <c r="M1163" s="169">
        <f>IFERROR(MATCH(J1163,'Final List'!$F$4:$F$251,0),0)</f>
        <v>0</v>
      </c>
      <c r="N1163" s="169">
        <f>IFERROR(MATCH(J1163,'Final List'!$H$4:$H$252,0),0)</f>
        <v>0</v>
      </c>
      <c r="O1163" s="169">
        <f>IFERROR(MATCH(J1163,'Final List'!$J$4:$J$252,0),0)</f>
        <v>0</v>
      </c>
      <c r="P1163" s="169">
        <f>IFERROR(MATCH(J1163,'Final List'!$L$4:$L$252,0),0)</f>
        <v>0</v>
      </c>
      <c r="Q1163" s="169">
        <f>IFERROR(MATCH(J1163,'Final List'!$N$4:$N$252,0),0)</f>
        <v>0</v>
      </c>
      <c r="R1163" s="169">
        <f>IFERROR(MATCH(J1163,'Final List'!$P$4:$P$252,0),0)</f>
        <v>0</v>
      </c>
      <c r="S1163" s="169">
        <f t="shared" si="75"/>
        <v>0</v>
      </c>
      <c r="T1163" s="169" t="s">
        <v>68</v>
      </c>
      <c r="V1163" s="169" t="str">
        <f t="shared" si="73"/>
        <v>ALMASA 2</v>
      </c>
      <c r="W1163" s="169" t="s">
        <v>2713</v>
      </c>
    </row>
    <row r="1164" spans="2:23" x14ac:dyDescent="0.25">
      <c r="B1164" s="169" t="s">
        <v>96</v>
      </c>
      <c r="C1164" s="169" t="s">
        <v>87</v>
      </c>
      <c r="D1164" s="169" t="s">
        <v>110</v>
      </c>
      <c r="E1164" s="169" t="s">
        <v>37</v>
      </c>
      <c r="F1164" s="245" t="str">
        <f t="shared" si="74"/>
        <v>Dhoz 71</v>
      </c>
      <c r="G1164" s="169" t="s">
        <v>362</v>
      </c>
      <c r="H1164" s="169" t="s">
        <v>336</v>
      </c>
      <c r="I1164" s="169" t="str">
        <f t="shared" si="72"/>
        <v>L09_NONE_004E_XCN</v>
      </c>
      <c r="J1164" s="169" t="s">
        <v>7941</v>
      </c>
      <c r="K1164" s="169">
        <f>IFERROR(MATCH(J1164,'Final List'!$B$4:$B$252,0),0)</f>
        <v>0</v>
      </c>
      <c r="L1164" s="169">
        <f>IFERROR(MATCH(J1164,'Final List'!$D$4:$D$252,0),0)</f>
        <v>0</v>
      </c>
      <c r="M1164" s="169">
        <f>IFERROR(MATCH(J1164,'Final List'!$F$4:$F$251,0),0)</f>
        <v>0</v>
      </c>
      <c r="N1164" s="169">
        <f>IFERROR(MATCH(J1164,'Final List'!$H$4:$H$252,0),0)</f>
        <v>0</v>
      </c>
      <c r="O1164" s="169">
        <f>IFERROR(MATCH(J1164,'Final List'!$J$4:$J$252,0),0)</f>
        <v>0</v>
      </c>
      <c r="P1164" s="169">
        <f>IFERROR(MATCH(J1164,'Final List'!$L$4:$L$252,0),0)</f>
        <v>0</v>
      </c>
      <c r="Q1164" s="169">
        <f>IFERROR(MATCH(J1164,'Final List'!$N$4:$N$252,0),0)</f>
        <v>0</v>
      </c>
      <c r="R1164" s="169">
        <f>IFERROR(MATCH(J1164,'Final List'!$P$4:$P$252,0),0)</f>
        <v>0</v>
      </c>
      <c r="S1164" s="169">
        <f t="shared" si="75"/>
        <v>0</v>
      </c>
      <c r="V1164" s="169" t="str">
        <f t="shared" si="73"/>
        <v>BALANGHIG 1</v>
      </c>
      <c r="W1164" s="169" t="s">
        <v>8898</v>
      </c>
    </row>
    <row r="1165" spans="2:23" x14ac:dyDescent="0.25">
      <c r="B1165" s="169" t="s">
        <v>94</v>
      </c>
      <c r="C1165" s="169" t="s">
        <v>45</v>
      </c>
      <c r="D1165" s="169" t="s">
        <v>5742</v>
      </c>
      <c r="E1165" s="169" t="s">
        <v>61</v>
      </c>
      <c r="F1165" s="245" t="str">
        <f t="shared" si="74"/>
        <v>Dhoz 71</v>
      </c>
      <c r="G1165" s="169" t="s">
        <v>2970</v>
      </c>
      <c r="I1165" s="169" t="str">
        <f t="shared" si="72"/>
        <v>L07_DPVE_040E_DW</v>
      </c>
      <c r="J1165" s="169" t="s">
        <v>7951</v>
      </c>
      <c r="K1165" s="169">
        <f>IFERROR(MATCH(J1165,'Final List'!$B$4:$B$252,0),0)</f>
        <v>0</v>
      </c>
      <c r="L1165" s="169">
        <f>IFERROR(MATCH(J1165,'Final List'!$D$4:$D$252,0),0)</f>
        <v>0</v>
      </c>
      <c r="M1165" s="169">
        <f>IFERROR(MATCH(J1165,'Final List'!$F$4:$F$251,0),0)</f>
        <v>0</v>
      </c>
      <c r="N1165" s="169">
        <f>IFERROR(MATCH(J1165,'Final List'!$H$4:$H$252,0),0)</f>
        <v>0</v>
      </c>
      <c r="O1165" s="169">
        <f>IFERROR(MATCH(J1165,'Final List'!$J$4:$J$252,0),0)</f>
        <v>0</v>
      </c>
      <c r="P1165" s="169">
        <f>IFERROR(MATCH(J1165,'Final List'!$L$4:$L$252,0),0)</f>
        <v>0</v>
      </c>
      <c r="Q1165" s="169">
        <f>IFERROR(MATCH(J1165,'Final List'!$N$4:$N$252,0),0)</f>
        <v>0</v>
      </c>
      <c r="R1165" s="169">
        <f>IFERROR(MATCH(J1165,'Final List'!$P$4:$P$252,0),0)</f>
        <v>0</v>
      </c>
      <c r="S1165" s="169">
        <f t="shared" si="75"/>
        <v>0</v>
      </c>
      <c r="V1165" s="169" t="str">
        <f t="shared" si="73"/>
        <v>FABROA 2</v>
      </c>
      <c r="W1165" s="169" t="s">
        <v>8895</v>
      </c>
    </row>
    <row r="1166" spans="2:23" x14ac:dyDescent="0.25">
      <c r="B1166" s="169" t="s">
        <v>258</v>
      </c>
      <c r="C1166" s="169" t="s">
        <v>38</v>
      </c>
      <c r="D1166" s="169" t="s">
        <v>108</v>
      </c>
      <c r="E1166" s="169" t="s">
        <v>19</v>
      </c>
      <c r="F1166" s="245" t="str">
        <f t="shared" si="74"/>
        <v>DVR 72</v>
      </c>
      <c r="G1166" s="169" t="s">
        <v>5697</v>
      </c>
      <c r="I1166" s="169" t="str">
        <f t="shared" si="72"/>
        <v>L10_GHV_007W_RAISE</v>
      </c>
      <c r="J1166" s="169" t="s">
        <v>3468</v>
      </c>
      <c r="K1166" s="169">
        <f>IFERROR(MATCH(J1166,'Final List'!$B$4:$B$252,0),0)</f>
        <v>0</v>
      </c>
      <c r="L1166" s="169">
        <f>IFERROR(MATCH(J1166,'Final List'!$D$4:$D$252,0),0)</f>
        <v>0</v>
      </c>
      <c r="M1166" s="169">
        <f>IFERROR(MATCH(J1166,'Final List'!$F$4:$F$251,0),0)</f>
        <v>0</v>
      </c>
      <c r="N1166" s="169">
        <f>IFERROR(MATCH(J1166,'Final List'!$H$4:$H$252,0),0)</f>
        <v>0</v>
      </c>
      <c r="O1166" s="169">
        <f>IFERROR(MATCH(J1166,'Final List'!$J$4:$J$252,0),0)</f>
        <v>0</v>
      </c>
      <c r="P1166" s="169">
        <f>IFERROR(MATCH(J1166,'Final List'!$L$4:$L$252,0),0)</f>
        <v>0</v>
      </c>
      <c r="Q1166" s="169">
        <f>IFERROR(MATCH(J1166,'Final List'!$N$4:$N$252,0),0)</f>
        <v>0</v>
      </c>
      <c r="R1166" s="169">
        <f>IFERROR(MATCH(J1166,'Final List'!$P$4:$P$252,0),0)</f>
        <v>0</v>
      </c>
      <c r="S1166" s="169">
        <f t="shared" si="75"/>
        <v>0</v>
      </c>
      <c r="V1166" s="169" t="str">
        <f t="shared" si="73"/>
        <v>OLIVEROS 1</v>
      </c>
      <c r="W1166" s="169" t="s">
        <v>2715</v>
      </c>
    </row>
    <row r="1167" spans="2:23" x14ac:dyDescent="0.25">
      <c r="B1167" s="169" t="s">
        <v>258</v>
      </c>
      <c r="C1167" s="169" t="s">
        <v>87</v>
      </c>
      <c r="D1167" s="169" t="s">
        <v>146</v>
      </c>
      <c r="E1167" s="169" t="s">
        <v>37</v>
      </c>
      <c r="F1167" s="245" t="str">
        <f t="shared" si="74"/>
        <v>Dhoz 71</v>
      </c>
      <c r="G1167" s="169" t="s">
        <v>7513</v>
      </c>
      <c r="H1167" s="169" t="s">
        <v>5701</v>
      </c>
      <c r="I1167" s="169" t="str">
        <f t="shared" si="72"/>
        <v>L10_NONE_030E_XCN</v>
      </c>
      <c r="J1167" s="169" t="s">
        <v>1330</v>
      </c>
      <c r="K1167" s="169">
        <f>IFERROR(MATCH(J1167,'Final List'!$B$4:$B$252,0),0)</f>
        <v>0</v>
      </c>
      <c r="L1167" s="169">
        <f>IFERROR(MATCH(J1167,'Final List'!$D$4:$D$252,0),0)</f>
        <v>0</v>
      </c>
      <c r="M1167" s="169">
        <f>IFERROR(MATCH(J1167,'Final List'!$F$4:$F$251,0),0)</f>
        <v>0</v>
      </c>
      <c r="N1167" s="169">
        <f>IFERROR(MATCH(J1167,'Final List'!$H$4:$H$252,0),0)</f>
        <v>0</v>
      </c>
      <c r="O1167" s="169">
        <f>IFERROR(MATCH(J1167,'Final List'!$J$4:$J$252,0),0)</f>
        <v>0</v>
      </c>
      <c r="P1167" s="169">
        <f>IFERROR(MATCH(J1167,'Final List'!$L$4:$L$252,0),0)</f>
        <v>0</v>
      </c>
      <c r="Q1167" s="169">
        <f>IFERROR(MATCH(J1167,'Final List'!$N$4:$N$252,0),0)</f>
        <v>0</v>
      </c>
      <c r="R1167" s="169">
        <f>IFERROR(MATCH(J1167,'Final List'!$P$4:$P$252,0),0)</f>
        <v>0</v>
      </c>
      <c r="S1167" s="169">
        <f t="shared" si="75"/>
        <v>0</v>
      </c>
      <c r="V1167" s="169" t="str">
        <f t="shared" si="73"/>
        <v>LARGO 2</v>
      </c>
      <c r="W1167" s="169" t="s">
        <v>8898</v>
      </c>
    </row>
    <row r="1168" spans="2:23" x14ac:dyDescent="0.25">
      <c r="B1168" s="169" t="s">
        <v>92</v>
      </c>
      <c r="C1168" s="169" t="s">
        <v>57</v>
      </c>
      <c r="D1168" s="169" t="s">
        <v>108</v>
      </c>
      <c r="E1168" s="169" t="s">
        <v>60</v>
      </c>
      <c r="F1168" s="245" t="str">
        <f t="shared" si="74"/>
        <v>Dhoz 71</v>
      </c>
      <c r="G1168" s="169" t="s">
        <v>538</v>
      </c>
      <c r="I1168" s="169" t="str">
        <f t="shared" si="72"/>
        <v>L05_JVSPLIT_007W_DE</v>
      </c>
      <c r="J1168" s="169" t="s">
        <v>7960</v>
      </c>
      <c r="K1168" s="169">
        <f>IFERROR(MATCH(J1168,'Final List'!$B$4:$B$252,0),0)</f>
        <v>0</v>
      </c>
      <c r="L1168" s="169">
        <f>IFERROR(MATCH(J1168,'Final List'!$D$4:$D$252,0),0)</f>
        <v>0</v>
      </c>
      <c r="M1168" s="169">
        <f>IFERROR(MATCH(J1168,'Final List'!$F$4:$F$251,0),0)</f>
        <v>0</v>
      </c>
      <c r="N1168" s="169">
        <f>IFERROR(MATCH(J1168,'Final List'!$H$4:$H$252,0),0)</f>
        <v>0</v>
      </c>
      <c r="O1168" s="169">
        <f>IFERROR(MATCH(J1168,'Final List'!$J$4:$J$252,0),0)</f>
        <v>0</v>
      </c>
      <c r="P1168" s="169">
        <f>IFERROR(MATCH(J1168,'Final List'!$L$4:$L$252,0),0)</f>
        <v>0</v>
      </c>
      <c r="Q1168" s="169">
        <f>IFERROR(MATCH(J1168,'Final List'!$N$4:$N$252,0),0)</f>
        <v>0</v>
      </c>
      <c r="R1168" s="169">
        <f>IFERROR(MATCH(J1168,'Final List'!$P$4:$P$252,0),0)</f>
        <v>0</v>
      </c>
      <c r="S1168" s="169">
        <f t="shared" si="75"/>
        <v>0</v>
      </c>
      <c r="V1168" s="169" t="str">
        <f t="shared" si="73"/>
        <v>PANCIT, NOEL 4</v>
      </c>
      <c r="W1168" s="169" t="s">
        <v>8895</v>
      </c>
    </row>
    <row r="1169" spans="2:23" x14ac:dyDescent="0.25">
      <c r="B1169" s="169" t="s">
        <v>92</v>
      </c>
      <c r="C1169" s="169" t="s">
        <v>57</v>
      </c>
      <c r="D1169" s="169" t="s">
        <v>5844</v>
      </c>
      <c r="E1169" s="169" t="s">
        <v>19</v>
      </c>
      <c r="F1169" s="245" t="str">
        <f t="shared" si="74"/>
        <v>DVR 72</v>
      </c>
      <c r="G1169" s="169" t="s">
        <v>3955</v>
      </c>
      <c r="I1169" s="169" t="str">
        <f t="shared" si="72"/>
        <v>L05_JVSPLIT_009W_RAISE</v>
      </c>
      <c r="J1169" s="169" t="s">
        <v>7961</v>
      </c>
      <c r="K1169" s="169">
        <f>IFERROR(MATCH(J1169,'Final List'!$B$4:$B$252,0),0)</f>
        <v>0</v>
      </c>
      <c r="L1169" s="169">
        <f>IFERROR(MATCH(J1169,'Final List'!$D$4:$D$252,0),0)</f>
        <v>0</v>
      </c>
      <c r="M1169" s="169">
        <f>IFERROR(MATCH(J1169,'Final List'!$F$4:$F$251,0),0)</f>
        <v>0</v>
      </c>
      <c r="N1169" s="169">
        <f>IFERROR(MATCH(J1169,'Final List'!$H$4:$H$252,0),0)</f>
        <v>0</v>
      </c>
      <c r="O1169" s="169">
        <f>IFERROR(MATCH(J1169,'Final List'!$J$4:$J$252,0),0)</f>
        <v>0</v>
      </c>
      <c r="P1169" s="169">
        <f>IFERROR(MATCH(J1169,'Final List'!$L$4:$L$252,0),0)</f>
        <v>0</v>
      </c>
      <c r="Q1169" s="169">
        <f>IFERROR(MATCH(J1169,'Final List'!$N$4:$N$252,0),0)</f>
        <v>0</v>
      </c>
      <c r="R1169" s="169">
        <f>IFERROR(MATCH(J1169,'Final List'!$P$4:$P$252,0),0)</f>
        <v>0</v>
      </c>
      <c r="S1169" s="169">
        <f t="shared" si="75"/>
        <v>0</v>
      </c>
      <c r="V1169" s="169" t="str">
        <f t="shared" si="73"/>
        <v>SAMBERE</v>
      </c>
      <c r="W1169" s="169" t="s">
        <v>2715</v>
      </c>
    </row>
    <row r="1170" spans="2:23" x14ac:dyDescent="0.25">
      <c r="B1170" s="169" t="s">
        <v>93</v>
      </c>
      <c r="C1170" s="169" t="s">
        <v>87</v>
      </c>
      <c r="D1170" s="169" t="s">
        <v>160</v>
      </c>
      <c r="E1170" s="169" t="s">
        <v>37</v>
      </c>
      <c r="F1170" s="245" t="str">
        <f t="shared" si="74"/>
        <v>Dhoz 71</v>
      </c>
      <c r="G1170" s="169" t="s">
        <v>352</v>
      </c>
      <c r="I1170" s="169" t="str">
        <f t="shared" si="72"/>
        <v>L06_NONE_042E_XCN</v>
      </c>
      <c r="J1170" s="169" t="s">
        <v>7963</v>
      </c>
      <c r="K1170" s="169">
        <f>IFERROR(MATCH(J1170,'Final List'!$B$4:$B$252,0),0)</f>
        <v>0</v>
      </c>
      <c r="L1170" s="169">
        <f>IFERROR(MATCH(J1170,'Final List'!$D$4:$D$252,0),0)</f>
        <v>0</v>
      </c>
      <c r="M1170" s="169">
        <f>IFERROR(MATCH(J1170,'Final List'!$F$4:$F$251,0),0)</f>
        <v>0</v>
      </c>
      <c r="N1170" s="169">
        <f>IFERROR(MATCH(J1170,'Final List'!$H$4:$H$252,0),0)</f>
        <v>0</v>
      </c>
      <c r="O1170" s="169">
        <f>IFERROR(MATCH(J1170,'Final List'!$J$4:$J$252,0),0)</f>
        <v>0</v>
      </c>
      <c r="P1170" s="169">
        <f>IFERROR(MATCH(J1170,'Final List'!$L$4:$L$252,0),0)</f>
        <v>0</v>
      </c>
      <c r="Q1170" s="169">
        <f>IFERROR(MATCH(J1170,'Final List'!$N$4:$N$252,0),0)</f>
        <v>0</v>
      </c>
      <c r="R1170" s="169">
        <f>IFERROR(MATCH(J1170,'Final List'!$P$4:$P$252,0),0)</f>
        <v>0</v>
      </c>
      <c r="S1170" s="169">
        <f t="shared" si="75"/>
        <v>0</v>
      </c>
      <c r="V1170" s="169" t="str">
        <f t="shared" si="73"/>
        <v>BAÑEZ 5</v>
      </c>
      <c r="W1170" s="169" t="s">
        <v>8897</v>
      </c>
    </row>
    <row r="1171" spans="2:23" x14ac:dyDescent="0.25">
      <c r="B1171" s="169" t="s">
        <v>92</v>
      </c>
      <c r="C1171" s="169" t="s">
        <v>42</v>
      </c>
      <c r="D1171" s="169" t="s">
        <v>147</v>
      </c>
      <c r="E1171" s="169" t="s">
        <v>6154</v>
      </c>
      <c r="F1171" s="245" t="str">
        <f t="shared" si="74"/>
        <v>Dhoz 71</v>
      </c>
      <c r="G1171" s="169" t="s">
        <v>387</v>
      </c>
      <c r="I1171" s="169" t="str">
        <f t="shared" si="72"/>
        <v>L05_JV_024E_DW_ISL</v>
      </c>
      <c r="J1171" s="169" t="s">
        <v>7964</v>
      </c>
      <c r="K1171" s="169">
        <f>IFERROR(MATCH(J1171,'Final List'!$B$4:$B$252,0),0)</f>
        <v>0</v>
      </c>
      <c r="L1171" s="169">
        <f>IFERROR(MATCH(J1171,'Final List'!$D$4:$D$252,0),0)</f>
        <v>0</v>
      </c>
      <c r="M1171" s="169">
        <f>IFERROR(MATCH(J1171,'Final List'!$F$4:$F$251,0),0)</f>
        <v>0</v>
      </c>
      <c r="N1171" s="169">
        <f>IFERROR(MATCH(J1171,'Final List'!$H$4:$H$252,0),0)</f>
        <v>0</v>
      </c>
      <c r="O1171" s="169">
        <f>IFERROR(MATCH(J1171,'Final List'!$J$4:$J$252,0),0)</f>
        <v>0</v>
      </c>
      <c r="P1171" s="169">
        <f>IFERROR(MATCH(J1171,'Final List'!$L$4:$L$252,0),0)</f>
        <v>0</v>
      </c>
      <c r="Q1171" s="169">
        <f>IFERROR(MATCH(J1171,'Final List'!$N$4:$N$252,0),0)</f>
        <v>0</v>
      </c>
      <c r="R1171" s="169">
        <f>IFERROR(MATCH(J1171,'Final List'!$P$4:$P$252,0),0)</f>
        <v>0</v>
      </c>
      <c r="S1171" s="169">
        <f t="shared" si="75"/>
        <v>0</v>
      </c>
      <c r="V1171" s="169" t="str">
        <f t="shared" si="73"/>
        <v>MAPAYO 1</v>
      </c>
      <c r="W1171" s="169" t="s">
        <v>8895</v>
      </c>
    </row>
    <row r="1172" spans="2:23" x14ac:dyDescent="0.25">
      <c r="B1172" s="169" t="s">
        <v>94</v>
      </c>
      <c r="C1172" s="169" t="s">
        <v>59</v>
      </c>
      <c r="D1172" s="169" t="s">
        <v>115</v>
      </c>
      <c r="E1172" s="169" t="s">
        <v>60</v>
      </c>
      <c r="F1172" s="245" t="str">
        <f t="shared" si="74"/>
        <v>Dhoz 71</v>
      </c>
      <c r="G1172" s="169" t="s">
        <v>6432</v>
      </c>
      <c r="I1172" s="169" t="str">
        <f t="shared" si="72"/>
        <v>L07_GHVHW_019W_DE</v>
      </c>
      <c r="J1172" s="169" t="s">
        <v>7967</v>
      </c>
      <c r="K1172" s="169">
        <f>IFERROR(MATCH(J1172,'Final List'!$B$4:$B$252,0),0)</f>
        <v>0</v>
      </c>
      <c r="L1172" s="169">
        <f>IFERROR(MATCH(J1172,'Final List'!$D$4:$D$252,0),0)</f>
        <v>0</v>
      </c>
      <c r="M1172" s="169">
        <f>IFERROR(MATCH(J1172,'Final List'!$F$4:$F$251,0),0)</f>
        <v>0</v>
      </c>
      <c r="N1172" s="169">
        <f>IFERROR(MATCH(J1172,'Final List'!$H$4:$H$252,0),0)</f>
        <v>0</v>
      </c>
      <c r="O1172" s="169">
        <f>IFERROR(MATCH(J1172,'Final List'!$J$4:$J$252,0),0)</f>
        <v>0</v>
      </c>
      <c r="P1172" s="169">
        <f>IFERROR(MATCH(J1172,'Final List'!$L$4:$L$252,0),0)</f>
        <v>0</v>
      </c>
      <c r="Q1172" s="169">
        <f>IFERROR(MATCH(J1172,'Final List'!$N$4:$N$252,0),0)</f>
        <v>0</v>
      </c>
      <c r="R1172" s="169">
        <f>IFERROR(MATCH(J1172,'Final List'!$P$4:$P$252,0),0)</f>
        <v>0</v>
      </c>
      <c r="S1172" s="169">
        <f t="shared" si="75"/>
        <v>0</v>
      </c>
      <c r="V1172" s="169" t="str">
        <f t="shared" si="73"/>
        <v>CARIKITAN</v>
      </c>
      <c r="W1172" s="169" t="s">
        <v>8895</v>
      </c>
    </row>
    <row r="1173" spans="2:23" x14ac:dyDescent="0.25">
      <c r="B1173" s="169" t="s">
        <v>95</v>
      </c>
      <c r="C1173" s="169" t="s">
        <v>42</v>
      </c>
      <c r="D1173" s="169" t="s">
        <v>143</v>
      </c>
      <c r="E1173" s="169" t="s">
        <v>6143</v>
      </c>
      <c r="F1173" s="245" t="str">
        <f t="shared" si="74"/>
        <v>Dhoz 71</v>
      </c>
      <c r="G1173" s="169" t="s">
        <v>329</v>
      </c>
      <c r="I1173" s="169" t="str">
        <f t="shared" si="72"/>
        <v>L08_JV_032E_DE_ISL</v>
      </c>
      <c r="J1173" s="169" t="s">
        <v>8521</v>
      </c>
      <c r="K1173" s="169">
        <f>IFERROR(MATCH(J1173,'Final List'!$B$4:$B$252,0),0)</f>
        <v>0</v>
      </c>
      <c r="L1173" s="169">
        <f>IFERROR(MATCH(J1173,'Final List'!$D$4:$D$252,0),0)</f>
        <v>0</v>
      </c>
      <c r="M1173" s="169">
        <f>IFERROR(MATCH(J1173,'Final List'!$F$4:$F$251,0),0)</f>
        <v>0</v>
      </c>
      <c r="N1173" s="169">
        <f>IFERROR(MATCH(J1173,'Final List'!$H$4:$H$252,0),0)</f>
        <v>0</v>
      </c>
      <c r="O1173" s="169">
        <f>IFERROR(MATCH(J1173,'Final List'!$J$4:$J$252,0),0)</f>
        <v>0</v>
      </c>
      <c r="P1173" s="169">
        <f>IFERROR(MATCH(J1173,'Final List'!$L$4:$L$252,0),0)</f>
        <v>0</v>
      </c>
      <c r="Q1173" s="169">
        <f>IFERROR(MATCH(J1173,'Final List'!$N$4:$N$252,0),0)</f>
        <v>0</v>
      </c>
      <c r="R1173" s="169">
        <f>IFERROR(MATCH(J1173,'Final List'!$P$4:$P$252,0),0)</f>
        <v>0</v>
      </c>
      <c r="S1173" s="169">
        <f t="shared" si="75"/>
        <v>0</v>
      </c>
      <c r="V1173" s="169" t="str">
        <f t="shared" si="73"/>
        <v>OY-YOY 1</v>
      </c>
      <c r="W1173" s="169" t="s">
        <v>2708</v>
      </c>
    </row>
    <row r="1174" spans="2:23" x14ac:dyDescent="0.25">
      <c r="B1174" s="169" t="s">
        <v>94</v>
      </c>
      <c r="C1174" s="169" t="s">
        <v>42</v>
      </c>
      <c r="D1174" s="169" t="s">
        <v>201</v>
      </c>
      <c r="E1174" s="169" t="s">
        <v>221</v>
      </c>
      <c r="F1174" s="245" t="str">
        <f t="shared" si="74"/>
        <v>RobC 80</v>
      </c>
      <c r="G1174" s="169" t="s">
        <v>2972</v>
      </c>
      <c r="I1174" s="169" t="str">
        <f t="shared" si="72"/>
        <v>L07_JV_067E_WINZE STOPE</v>
      </c>
      <c r="J1174" s="169" t="s">
        <v>7968</v>
      </c>
      <c r="K1174" s="169">
        <f>IFERROR(MATCH(J1174,'Final List'!$B$4:$B$252,0),0)</f>
        <v>0</v>
      </c>
      <c r="L1174" s="169">
        <f>IFERROR(MATCH(J1174,'Final List'!$D$4:$D$252,0),0)</f>
        <v>0</v>
      </c>
      <c r="M1174" s="169">
        <f>IFERROR(MATCH(J1174,'Final List'!$F$4:$F$251,0),0)</f>
        <v>0</v>
      </c>
      <c r="N1174" s="169">
        <f>IFERROR(MATCH(J1174,'Final List'!$H$4:$H$252,0),0)</f>
        <v>0</v>
      </c>
      <c r="O1174" s="169">
        <f>IFERROR(MATCH(J1174,'Final List'!$J$4:$J$252,0),0)</f>
        <v>0</v>
      </c>
      <c r="P1174" s="169">
        <f>IFERROR(MATCH(J1174,'Final List'!$L$4:$L$252,0),0)</f>
        <v>0</v>
      </c>
      <c r="Q1174" s="169">
        <f>IFERROR(MATCH(J1174,'Final List'!$N$4:$N$252,0),0)</f>
        <v>0</v>
      </c>
      <c r="R1174" s="169">
        <f>IFERROR(MATCH(J1174,'Final List'!$P$4:$P$252,0),0)</f>
        <v>0</v>
      </c>
      <c r="S1174" s="169">
        <f t="shared" si="75"/>
        <v>0</v>
      </c>
      <c r="T1174" s="169" t="s">
        <v>68</v>
      </c>
      <c r="V1174" s="169" t="str">
        <f t="shared" si="73"/>
        <v>FABROA 1</v>
      </c>
      <c r="W1174" s="169" t="s">
        <v>2719</v>
      </c>
    </row>
    <row r="1175" spans="2:23" x14ac:dyDescent="0.25">
      <c r="B1175" s="169" t="s">
        <v>95</v>
      </c>
      <c r="C1175" s="169" t="s">
        <v>42</v>
      </c>
      <c r="D1175" s="169" t="s">
        <v>5850</v>
      </c>
      <c r="E1175" s="169" t="s">
        <v>62</v>
      </c>
      <c r="F1175" s="245" t="str">
        <f t="shared" si="74"/>
        <v>RobS 79</v>
      </c>
      <c r="G1175" s="169" t="s">
        <v>5708</v>
      </c>
      <c r="I1175" s="169" t="str">
        <f t="shared" si="72"/>
        <v>L08_JV_016E_ROBBING</v>
      </c>
      <c r="J1175" s="169" t="s">
        <v>7978</v>
      </c>
      <c r="K1175" s="169">
        <f>IFERROR(MATCH(J1175,'Final List'!$B$4:$B$252,0),0)</f>
        <v>0</v>
      </c>
      <c r="L1175" s="169">
        <f>IFERROR(MATCH(J1175,'Final List'!$D$4:$D$252,0),0)</f>
        <v>0</v>
      </c>
      <c r="M1175" s="169">
        <f>IFERROR(MATCH(J1175,'Final List'!$F$4:$F$251,0),0)</f>
        <v>0</v>
      </c>
      <c r="N1175" s="169">
        <f>IFERROR(MATCH(J1175,'Final List'!$H$4:$H$252,0),0)</f>
        <v>0</v>
      </c>
      <c r="O1175" s="169">
        <f>IFERROR(MATCH(J1175,'Final List'!$J$4:$J$252,0),0)</f>
        <v>0</v>
      </c>
      <c r="P1175" s="169">
        <f>IFERROR(MATCH(J1175,'Final List'!$L$4:$L$252,0),0)</f>
        <v>0</v>
      </c>
      <c r="Q1175" s="169">
        <f>IFERROR(MATCH(J1175,'Final List'!$N$4:$N$252,0),0)</f>
        <v>0</v>
      </c>
      <c r="R1175" s="169">
        <f>IFERROR(MATCH(J1175,'Final List'!$P$4:$P$252,0),0)</f>
        <v>0</v>
      </c>
      <c r="S1175" s="169">
        <f t="shared" si="75"/>
        <v>0</v>
      </c>
      <c r="T1175" s="169" t="s">
        <v>68</v>
      </c>
      <c r="V1175" s="169" t="str">
        <f t="shared" si="73"/>
        <v>SHEPHERD AJ 1</v>
      </c>
      <c r="W1175" s="169" t="s">
        <v>2707</v>
      </c>
    </row>
    <row r="1176" spans="2:23" x14ac:dyDescent="0.25">
      <c r="B1176" s="169" t="s">
        <v>95</v>
      </c>
      <c r="C1176" s="169" t="s">
        <v>38</v>
      </c>
      <c r="D1176" s="169" t="s">
        <v>133</v>
      </c>
      <c r="E1176" s="169" t="s">
        <v>6154</v>
      </c>
      <c r="F1176" s="245" t="str">
        <f t="shared" si="74"/>
        <v>Dhoz 71</v>
      </c>
      <c r="G1176" s="169" t="s">
        <v>3042</v>
      </c>
      <c r="I1176" s="169" t="str">
        <f t="shared" si="72"/>
        <v>L08_GHV_037E_DW_ISL</v>
      </c>
      <c r="J1176" s="169" t="s">
        <v>7980</v>
      </c>
      <c r="K1176" s="169">
        <f>IFERROR(MATCH(J1176,'Final List'!$B$4:$B$252,0),0)</f>
        <v>0</v>
      </c>
      <c r="L1176" s="169">
        <f>IFERROR(MATCH(J1176,'Final List'!$D$4:$D$252,0),0)</f>
        <v>0</v>
      </c>
      <c r="M1176" s="169">
        <f>IFERROR(MATCH(J1176,'Final List'!$F$4:$F$251,0),0)</f>
        <v>0</v>
      </c>
      <c r="N1176" s="169">
        <f>IFERROR(MATCH(J1176,'Final List'!$H$4:$H$252,0),0)</f>
        <v>0</v>
      </c>
      <c r="O1176" s="169">
        <f>IFERROR(MATCH(J1176,'Final List'!$J$4:$J$252,0),0)</f>
        <v>0</v>
      </c>
      <c r="P1176" s="169">
        <f>IFERROR(MATCH(J1176,'Final List'!$L$4:$L$252,0),0)</f>
        <v>0</v>
      </c>
      <c r="Q1176" s="169">
        <f>IFERROR(MATCH(J1176,'Final List'!$N$4:$N$252,0),0)</f>
        <v>0</v>
      </c>
      <c r="R1176" s="169">
        <f>IFERROR(MATCH(J1176,'Final List'!$P$4:$P$252,0),0)</f>
        <v>0</v>
      </c>
      <c r="S1176" s="169">
        <f t="shared" si="75"/>
        <v>0</v>
      </c>
      <c r="V1176" s="169" t="str">
        <f t="shared" si="73"/>
        <v>VILLARANTE</v>
      </c>
      <c r="W1176" s="169" t="s">
        <v>2708</v>
      </c>
    </row>
    <row r="1177" spans="2:23" x14ac:dyDescent="0.25">
      <c r="B1177" s="169" t="s">
        <v>95</v>
      </c>
      <c r="C1177" s="169" t="s">
        <v>56</v>
      </c>
      <c r="D1177" s="169" t="s">
        <v>109</v>
      </c>
      <c r="E1177" s="169" t="s">
        <v>6154</v>
      </c>
      <c r="F1177" s="245" t="str">
        <f t="shared" si="74"/>
        <v>Dhoz 71</v>
      </c>
      <c r="G1177" s="169" t="s">
        <v>1369</v>
      </c>
      <c r="I1177" s="169" t="str">
        <f t="shared" si="72"/>
        <v>L08_GHVFW_002W_DW_ISL</v>
      </c>
      <c r="J1177" s="169" t="s">
        <v>7981</v>
      </c>
      <c r="K1177" s="169">
        <f>IFERROR(MATCH(J1177,'Final List'!$B$4:$B$252,0),0)</f>
        <v>0</v>
      </c>
      <c r="L1177" s="169">
        <f>IFERROR(MATCH(J1177,'Final List'!$D$4:$D$252,0),0)</f>
        <v>0</v>
      </c>
      <c r="M1177" s="169">
        <f>IFERROR(MATCH(J1177,'Final List'!$F$4:$F$251,0),0)</f>
        <v>0</v>
      </c>
      <c r="N1177" s="169">
        <f>IFERROR(MATCH(J1177,'Final List'!$H$4:$H$252,0),0)</f>
        <v>0</v>
      </c>
      <c r="O1177" s="169">
        <f>IFERROR(MATCH(J1177,'Final List'!$J$4:$J$252,0),0)</f>
        <v>0</v>
      </c>
      <c r="P1177" s="169">
        <f>IFERROR(MATCH(J1177,'Final List'!$L$4:$L$252,0),0)</f>
        <v>0</v>
      </c>
      <c r="Q1177" s="169">
        <f>IFERROR(MATCH(J1177,'Final List'!$N$4:$N$252,0),0)</f>
        <v>0</v>
      </c>
      <c r="R1177" s="169">
        <f>IFERROR(MATCH(J1177,'Final List'!$P$4:$P$252,0),0)</f>
        <v>0</v>
      </c>
      <c r="S1177" s="169">
        <f t="shared" si="75"/>
        <v>0</v>
      </c>
      <c r="V1177" s="169" t="str">
        <f t="shared" si="73"/>
        <v>TORMIS</v>
      </c>
      <c r="W1177" s="169" t="s">
        <v>2708</v>
      </c>
    </row>
    <row r="1178" spans="2:23" x14ac:dyDescent="0.25">
      <c r="B1178" s="169" t="s">
        <v>96</v>
      </c>
      <c r="C1178" s="169" t="s">
        <v>45</v>
      </c>
      <c r="D1178" s="169" t="s">
        <v>5614</v>
      </c>
      <c r="E1178" s="169" t="s">
        <v>211</v>
      </c>
      <c r="F1178" s="245" t="str">
        <f t="shared" si="74"/>
        <v>StpS 77</v>
      </c>
      <c r="G1178" s="169" t="s">
        <v>461</v>
      </c>
      <c r="I1178" s="169" t="str">
        <f t="shared" si="72"/>
        <v>L09_DPVE_055E_STOPE PREP</v>
      </c>
      <c r="J1178" s="169" t="s">
        <v>8031</v>
      </c>
      <c r="K1178" s="169">
        <f>IFERROR(MATCH(J1178,'Final List'!$B$4:$B$252,0),0)</f>
        <v>0</v>
      </c>
      <c r="L1178" s="169">
        <f>IFERROR(MATCH(J1178,'Final List'!$D$4:$D$252,0),0)</f>
        <v>0</v>
      </c>
      <c r="M1178" s="169">
        <f>IFERROR(MATCH(J1178,'Final List'!$F$4:$F$251,0),0)</f>
        <v>0</v>
      </c>
      <c r="N1178" s="169">
        <f>IFERROR(MATCH(J1178,'Final List'!$H$4:$H$252,0),0)</f>
        <v>0</v>
      </c>
      <c r="O1178" s="169">
        <f>IFERROR(MATCH(J1178,'Final List'!$J$4:$J$252,0),0)</f>
        <v>0</v>
      </c>
      <c r="P1178" s="169">
        <f>IFERROR(MATCH(J1178,'Final List'!$L$4:$L$252,0),0)</f>
        <v>0</v>
      </c>
      <c r="Q1178" s="169">
        <f>IFERROR(MATCH(J1178,'Final List'!$N$4:$N$252,0),0)</f>
        <v>0</v>
      </c>
      <c r="R1178" s="169">
        <f>IFERROR(MATCH(J1178,'Final List'!$P$4:$P$252,0),0)</f>
        <v>0</v>
      </c>
      <c r="S1178" s="169">
        <f t="shared" si="75"/>
        <v>0</v>
      </c>
      <c r="T1178" s="169" t="s">
        <v>68</v>
      </c>
      <c r="V1178" s="169" t="str">
        <f t="shared" si="73"/>
        <v>PANSIT 4</v>
      </c>
      <c r="W1178" s="169" t="s">
        <v>2712</v>
      </c>
    </row>
    <row r="1179" spans="2:23" x14ac:dyDescent="0.25">
      <c r="B1179" s="169" t="s">
        <v>96</v>
      </c>
      <c r="C1179" s="169" t="s">
        <v>45</v>
      </c>
      <c r="D1179" s="169" t="s">
        <v>5602</v>
      </c>
      <c r="E1179" s="169" t="s">
        <v>61</v>
      </c>
      <c r="F1179" s="245" t="str">
        <f t="shared" si="74"/>
        <v>Dhoz 71</v>
      </c>
      <c r="G1179" s="169" t="s">
        <v>332</v>
      </c>
      <c r="I1179" s="169" t="str">
        <f t="shared" si="72"/>
        <v>L09_DPVE_053E_DW</v>
      </c>
      <c r="J1179" s="169" t="s">
        <v>7982</v>
      </c>
      <c r="K1179" s="169">
        <f>IFERROR(MATCH(J1179,'Final List'!$B$4:$B$252,0),0)</f>
        <v>0</v>
      </c>
      <c r="L1179" s="169">
        <f>IFERROR(MATCH(J1179,'Final List'!$D$4:$D$252,0),0)</f>
        <v>0</v>
      </c>
      <c r="M1179" s="169">
        <f>IFERROR(MATCH(J1179,'Final List'!$F$4:$F$251,0),0)</f>
        <v>0</v>
      </c>
      <c r="N1179" s="169">
        <f>IFERROR(MATCH(J1179,'Final List'!$H$4:$H$252,0),0)</f>
        <v>0</v>
      </c>
      <c r="O1179" s="169">
        <f>IFERROR(MATCH(J1179,'Final List'!$J$4:$J$252,0),0)</f>
        <v>0</v>
      </c>
      <c r="P1179" s="169">
        <f>IFERROR(MATCH(J1179,'Final List'!$L$4:$L$252,0),0)</f>
        <v>0</v>
      </c>
      <c r="Q1179" s="169">
        <f>IFERROR(MATCH(J1179,'Final List'!$N$4:$N$252,0),0)</f>
        <v>0</v>
      </c>
      <c r="R1179" s="169">
        <f>IFERROR(MATCH(J1179,'Final List'!$P$4:$P$252,0),0)</f>
        <v>0</v>
      </c>
      <c r="S1179" s="169">
        <f t="shared" si="75"/>
        <v>0</v>
      </c>
      <c r="V1179" s="169" t="str">
        <f t="shared" si="73"/>
        <v>PANCIT 4</v>
      </c>
      <c r="W1179" s="169" t="s">
        <v>8896</v>
      </c>
    </row>
    <row r="1180" spans="2:23" x14ac:dyDescent="0.25">
      <c r="B1180" s="169" t="s">
        <v>92</v>
      </c>
      <c r="C1180" s="169" t="s">
        <v>39</v>
      </c>
      <c r="D1180" s="169" t="s">
        <v>108</v>
      </c>
      <c r="E1180" s="169" t="s">
        <v>60</v>
      </c>
      <c r="F1180" s="245" t="str">
        <f t="shared" si="74"/>
        <v>Dhoz 71</v>
      </c>
      <c r="G1180" s="169" t="s">
        <v>538</v>
      </c>
      <c r="I1180" s="169" t="str">
        <f t="shared" si="72"/>
        <v>L05_JVHW_007W_DE</v>
      </c>
      <c r="J1180" s="169" t="s">
        <v>7972</v>
      </c>
      <c r="K1180" s="169">
        <f>IFERROR(MATCH(J1180,'Final List'!$B$4:$B$252,0),0)</f>
        <v>0</v>
      </c>
      <c r="L1180" s="169">
        <f>IFERROR(MATCH(J1180,'Final List'!$D$4:$D$252,0),0)</f>
        <v>0</v>
      </c>
      <c r="M1180" s="169">
        <f>IFERROR(MATCH(J1180,'Final List'!$F$4:$F$251,0),0)</f>
        <v>0</v>
      </c>
      <c r="N1180" s="169">
        <f>IFERROR(MATCH(J1180,'Final List'!$H$4:$H$252,0),0)</f>
        <v>0</v>
      </c>
      <c r="O1180" s="169">
        <f>IFERROR(MATCH(J1180,'Final List'!$J$4:$J$252,0),0)</f>
        <v>0</v>
      </c>
      <c r="P1180" s="169">
        <f>IFERROR(MATCH(J1180,'Final List'!$L$4:$L$252,0),0)</f>
        <v>0</v>
      </c>
      <c r="Q1180" s="169">
        <f>IFERROR(MATCH(J1180,'Final List'!$N$4:$N$252,0),0)</f>
        <v>0</v>
      </c>
      <c r="R1180" s="169">
        <f>IFERROR(MATCH(J1180,'Final List'!$P$4:$P$252,0),0)</f>
        <v>0</v>
      </c>
      <c r="S1180" s="169">
        <f t="shared" si="75"/>
        <v>0</v>
      </c>
      <c r="V1180" s="169" t="str">
        <f t="shared" si="73"/>
        <v>PANCIT, NOEL 4</v>
      </c>
      <c r="W1180" s="169" t="s">
        <v>8895</v>
      </c>
    </row>
    <row r="1181" spans="2:23" x14ac:dyDescent="0.25">
      <c r="B1181" s="169" t="s">
        <v>95</v>
      </c>
      <c r="C1181" s="169" t="s">
        <v>45</v>
      </c>
      <c r="D1181" s="169" t="s">
        <v>6114</v>
      </c>
      <c r="E1181" s="169" t="s">
        <v>61</v>
      </c>
      <c r="F1181" s="245" t="str">
        <f t="shared" si="74"/>
        <v>Dhoz 71</v>
      </c>
      <c r="G1181" s="169" t="s">
        <v>6936</v>
      </c>
      <c r="I1181" s="169" t="str">
        <f t="shared" ref="I1181:I1244" si="76">CONCATENATE(B1181,"_",C1181,"_",D1181,"_",E1181)</f>
        <v>L08_DPVE_078E_DW</v>
      </c>
      <c r="J1181" s="169" t="s">
        <v>7974</v>
      </c>
      <c r="K1181" s="169">
        <f>IFERROR(MATCH(J1181,'Final List'!$B$4:$B$252,0),0)</f>
        <v>0</v>
      </c>
      <c r="L1181" s="169">
        <f>IFERROR(MATCH(J1181,'Final List'!$D$4:$D$252,0),0)</f>
        <v>0</v>
      </c>
      <c r="M1181" s="169">
        <f>IFERROR(MATCH(J1181,'Final List'!$F$4:$F$251,0),0)</f>
        <v>0</v>
      </c>
      <c r="N1181" s="169">
        <f>IFERROR(MATCH(J1181,'Final List'!$H$4:$H$252,0),0)</f>
        <v>0</v>
      </c>
      <c r="O1181" s="169">
        <f>IFERROR(MATCH(J1181,'Final List'!$J$4:$J$252,0),0)</f>
        <v>0</v>
      </c>
      <c r="P1181" s="169">
        <f>IFERROR(MATCH(J1181,'Final List'!$L$4:$L$252,0),0)</f>
        <v>0</v>
      </c>
      <c r="Q1181" s="169">
        <f>IFERROR(MATCH(J1181,'Final List'!$N$4:$N$252,0),0)</f>
        <v>0</v>
      </c>
      <c r="R1181" s="169">
        <f>IFERROR(MATCH(J1181,'Final List'!$P$4:$P$252,0),0)</f>
        <v>0</v>
      </c>
      <c r="S1181" s="169">
        <f t="shared" si="75"/>
        <v>0</v>
      </c>
      <c r="V1181" s="169" t="str">
        <f t="shared" si="73"/>
        <v>OSWAY 1</v>
      </c>
      <c r="W1181" s="169" t="s">
        <v>8895</v>
      </c>
    </row>
    <row r="1182" spans="2:23" x14ac:dyDescent="0.25">
      <c r="B1182" s="169" t="s">
        <v>258</v>
      </c>
      <c r="C1182" s="169" t="s">
        <v>45</v>
      </c>
      <c r="D1182" s="169" t="s">
        <v>142</v>
      </c>
      <c r="E1182" s="169" t="s">
        <v>6143</v>
      </c>
      <c r="F1182" s="245" t="str">
        <f t="shared" si="74"/>
        <v>Dhoz 71</v>
      </c>
      <c r="G1182" s="169" t="s">
        <v>374</v>
      </c>
      <c r="I1182" s="169" t="str">
        <f t="shared" si="76"/>
        <v>L10_DPVE_038E_DE_ISL</v>
      </c>
      <c r="J1182" s="169" t="s">
        <v>7965</v>
      </c>
      <c r="K1182" s="169">
        <f>IFERROR(MATCH(J1182,'Final List'!$B$4:$B$252,0),0)</f>
        <v>0</v>
      </c>
      <c r="L1182" s="169">
        <f>IFERROR(MATCH(J1182,'Final List'!$D$4:$D$252,0),0)</f>
        <v>0</v>
      </c>
      <c r="M1182" s="169">
        <f>IFERROR(MATCH(J1182,'Final List'!$F$4:$F$251,0),0)</f>
        <v>0</v>
      </c>
      <c r="N1182" s="169">
        <f>IFERROR(MATCH(J1182,'Final List'!$H$4:$H$252,0),0)</f>
        <v>0</v>
      </c>
      <c r="O1182" s="169">
        <f>IFERROR(MATCH(J1182,'Final List'!$J$4:$J$252,0),0)</f>
        <v>0</v>
      </c>
      <c r="P1182" s="169">
        <f>IFERROR(MATCH(J1182,'Final List'!$L$4:$L$252,0),0)</f>
        <v>0</v>
      </c>
      <c r="Q1182" s="169">
        <f>IFERROR(MATCH(J1182,'Final List'!$N$4:$N$252,0),0)</f>
        <v>0</v>
      </c>
      <c r="R1182" s="169">
        <f>IFERROR(MATCH(J1182,'Final List'!$P$4:$P$252,0),0)</f>
        <v>0</v>
      </c>
      <c r="S1182" s="169">
        <f t="shared" si="75"/>
        <v>0</v>
      </c>
      <c r="V1182" s="169" t="str">
        <f t="shared" si="73"/>
        <v>TAÑEZA 6</v>
      </c>
      <c r="W1182" s="169" t="s">
        <v>2708</v>
      </c>
    </row>
    <row r="1183" spans="2:23" x14ac:dyDescent="0.25">
      <c r="B1183" s="169" t="s">
        <v>92</v>
      </c>
      <c r="C1183" s="169" t="s">
        <v>39</v>
      </c>
      <c r="D1183" s="169" t="s">
        <v>5844</v>
      </c>
      <c r="E1183" s="169" t="s">
        <v>19</v>
      </c>
      <c r="F1183" s="245" t="str">
        <f t="shared" si="74"/>
        <v>DVR 72</v>
      </c>
      <c r="G1183" s="169" t="s">
        <v>3955</v>
      </c>
      <c r="I1183" s="169" t="str">
        <f t="shared" si="76"/>
        <v>L05_JVHW_009W_RAISE</v>
      </c>
      <c r="J1183" s="169" t="s">
        <v>7971</v>
      </c>
      <c r="K1183" s="169">
        <f>IFERROR(MATCH(J1183,'Final List'!$B$4:$B$252,0),0)</f>
        <v>0</v>
      </c>
      <c r="L1183" s="169">
        <f>IFERROR(MATCH(J1183,'Final List'!$D$4:$D$252,0),0)</f>
        <v>0</v>
      </c>
      <c r="M1183" s="169">
        <f>IFERROR(MATCH(J1183,'Final List'!$F$4:$F$251,0),0)</f>
        <v>0</v>
      </c>
      <c r="N1183" s="169">
        <f>IFERROR(MATCH(J1183,'Final List'!$H$4:$H$252,0),0)</f>
        <v>0</v>
      </c>
      <c r="O1183" s="169">
        <f>IFERROR(MATCH(J1183,'Final List'!$J$4:$J$252,0),0)</f>
        <v>0</v>
      </c>
      <c r="P1183" s="169">
        <f>IFERROR(MATCH(J1183,'Final List'!$L$4:$L$252,0),0)</f>
        <v>0</v>
      </c>
      <c r="Q1183" s="169">
        <f>IFERROR(MATCH(J1183,'Final List'!$N$4:$N$252,0),0)</f>
        <v>0</v>
      </c>
      <c r="R1183" s="169">
        <f>IFERROR(MATCH(J1183,'Final List'!$P$4:$P$252,0),0)</f>
        <v>0</v>
      </c>
      <c r="S1183" s="169">
        <f t="shared" si="75"/>
        <v>0</v>
      </c>
      <c r="V1183" s="169" t="str">
        <f t="shared" si="73"/>
        <v>SAMBERE</v>
      </c>
      <c r="W1183" s="169" t="s">
        <v>2715</v>
      </c>
    </row>
    <row r="1184" spans="2:23" x14ac:dyDescent="0.25">
      <c r="B1184" s="169" t="s">
        <v>93</v>
      </c>
      <c r="C1184" s="169" t="s">
        <v>55</v>
      </c>
      <c r="D1184" s="169" t="s">
        <v>111</v>
      </c>
      <c r="E1184" s="169" t="s">
        <v>19</v>
      </c>
      <c r="F1184" s="245" t="str">
        <f t="shared" si="74"/>
        <v>DVR 72</v>
      </c>
      <c r="G1184" s="169" t="s">
        <v>742</v>
      </c>
      <c r="I1184" s="169" t="str">
        <f t="shared" si="76"/>
        <v>L06_JVFW_004W_RAISE</v>
      </c>
      <c r="J1184" s="169" t="s">
        <v>7973</v>
      </c>
      <c r="K1184" s="169">
        <f>IFERROR(MATCH(J1184,'Final List'!$B$4:$B$252,0),0)</f>
        <v>0</v>
      </c>
      <c r="L1184" s="169">
        <f>IFERROR(MATCH(J1184,'Final List'!$D$4:$D$252,0),0)</f>
        <v>0</v>
      </c>
      <c r="M1184" s="169">
        <f>IFERROR(MATCH(J1184,'Final List'!$F$4:$F$251,0),0)</f>
        <v>0</v>
      </c>
      <c r="N1184" s="169">
        <f>IFERROR(MATCH(J1184,'Final List'!$H$4:$H$252,0),0)</f>
        <v>0</v>
      </c>
      <c r="O1184" s="169">
        <f>IFERROR(MATCH(J1184,'Final List'!$J$4:$J$252,0),0)</f>
        <v>0</v>
      </c>
      <c r="P1184" s="169">
        <f>IFERROR(MATCH(J1184,'Final List'!$L$4:$L$252,0),0)</f>
        <v>0</v>
      </c>
      <c r="Q1184" s="169">
        <f>IFERROR(MATCH(J1184,'Final List'!$N$4:$N$252,0),0)</f>
        <v>0</v>
      </c>
      <c r="R1184" s="169">
        <f>IFERROR(MATCH(J1184,'Final List'!$P$4:$P$252,0),0)</f>
        <v>0</v>
      </c>
      <c r="S1184" s="169">
        <f t="shared" si="75"/>
        <v>0</v>
      </c>
      <c r="V1184" s="169" t="str">
        <f t="shared" si="73"/>
        <v>REBOTE 2</v>
      </c>
      <c r="W1184" s="169" t="s">
        <v>2715</v>
      </c>
    </row>
    <row r="1185" spans="2:23" x14ac:dyDescent="0.25">
      <c r="B1185" s="169" t="s">
        <v>258</v>
      </c>
      <c r="C1185" s="169" t="s">
        <v>38</v>
      </c>
      <c r="D1185" s="169" t="s">
        <v>6518</v>
      </c>
      <c r="E1185" s="169" t="s">
        <v>19</v>
      </c>
      <c r="F1185" s="245" t="str">
        <f t="shared" si="74"/>
        <v>DVR 72</v>
      </c>
      <c r="G1185" s="169" t="s">
        <v>7984</v>
      </c>
      <c r="I1185" s="169" t="str">
        <f t="shared" si="76"/>
        <v>L10_GHV_007E_RAISE</v>
      </c>
      <c r="J1185" s="169" t="s">
        <v>771</v>
      </c>
      <c r="K1185" s="169">
        <f>IFERROR(MATCH(J1185,'Final List'!$B$4:$B$252,0),0)</f>
        <v>0</v>
      </c>
      <c r="L1185" s="169">
        <f>IFERROR(MATCH(J1185,'Final List'!$D$4:$D$252,0),0)</f>
        <v>0</v>
      </c>
      <c r="M1185" s="169">
        <f>IFERROR(MATCH(J1185,'Final List'!$F$4:$F$251,0),0)</f>
        <v>0</v>
      </c>
      <c r="N1185" s="169">
        <f>IFERROR(MATCH(J1185,'Final List'!$H$4:$H$252,0),0)</f>
        <v>0</v>
      </c>
      <c r="O1185" s="169">
        <f>IFERROR(MATCH(J1185,'Final List'!$J$4:$J$252,0),0)</f>
        <v>0</v>
      </c>
      <c r="P1185" s="169">
        <f>IFERROR(MATCH(J1185,'Final List'!$L$4:$L$252,0),0)</f>
        <v>0</v>
      </c>
      <c r="Q1185" s="169">
        <f>IFERROR(MATCH(J1185,'Final List'!$N$4:$N$252,0),0)</f>
        <v>0</v>
      </c>
      <c r="R1185" s="169">
        <f>IFERROR(MATCH(J1185,'Final List'!$P$4:$P$252,0),0)</f>
        <v>0</v>
      </c>
      <c r="S1185" s="169">
        <f t="shared" si="75"/>
        <v>0</v>
      </c>
      <c r="V1185" s="169" t="str">
        <f t="shared" si="73"/>
        <v>OLIVEROS</v>
      </c>
      <c r="W1185" s="169" t="s">
        <v>2715</v>
      </c>
    </row>
    <row r="1186" spans="2:23" x14ac:dyDescent="0.25">
      <c r="B1186" s="169" t="s">
        <v>96</v>
      </c>
      <c r="C1186" s="169" t="s">
        <v>45</v>
      </c>
      <c r="D1186" s="169" t="s">
        <v>146</v>
      </c>
      <c r="E1186" s="169" t="s">
        <v>211</v>
      </c>
      <c r="F1186" s="245" t="str">
        <f t="shared" si="74"/>
        <v>StpS 77</v>
      </c>
      <c r="G1186" s="169" t="s">
        <v>361</v>
      </c>
      <c r="I1186" s="169" t="str">
        <f t="shared" si="76"/>
        <v>L09_DPVE_030E_STOPE PREP</v>
      </c>
      <c r="J1186" s="169" t="s">
        <v>7985</v>
      </c>
      <c r="K1186" s="169">
        <f>IFERROR(MATCH(J1186,'Final List'!$B$4:$B$252,0),0)</f>
        <v>0</v>
      </c>
      <c r="L1186" s="169">
        <f>IFERROR(MATCH(J1186,'Final List'!$D$4:$D$252,0),0)</f>
        <v>0</v>
      </c>
      <c r="M1186" s="169">
        <f>IFERROR(MATCH(J1186,'Final List'!$F$4:$F$251,0),0)</f>
        <v>0</v>
      </c>
      <c r="N1186" s="169">
        <f>IFERROR(MATCH(J1186,'Final List'!$H$4:$H$252,0),0)</f>
        <v>0</v>
      </c>
      <c r="O1186" s="169">
        <f>IFERROR(MATCH(J1186,'Final List'!$J$4:$J$252,0),0)</f>
        <v>0</v>
      </c>
      <c r="P1186" s="169">
        <f>IFERROR(MATCH(J1186,'Final List'!$L$4:$L$252,0),0)</f>
        <v>0</v>
      </c>
      <c r="Q1186" s="169">
        <f>IFERROR(MATCH(J1186,'Final List'!$N$4:$N$252,0),0)</f>
        <v>0</v>
      </c>
      <c r="R1186" s="169">
        <f>IFERROR(MATCH(J1186,'Final List'!$P$4:$P$252,0),0)</f>
        <v>0</v>
      </c>
      <c r="S1186" s="169">
        <f t="shared" si="75"/>
        <v>0</v>
      </c>
      <c r="T1186" s="169" t="s">
        <v>68</v>
      </c>
      <c r="V1186" s="169" t="str">
        <f t="shared" si="73"/>
        <v>ALMASA 2</v>
      </c>
      <c r="W1186" s="169" t="s">
        <v>2712</v>
      </c>
    </row>
    <row r="1187" spans="2:23" x14ac:dyDescent="0.25">
      <c r="B1187" s="169" t="s">
        <v>96</v>
      </c>
      <c r="C1187" s="169" t="s">
        <v>59</v>
      </c>
      <c r="D1187" s="169" t="s">
        <v>113</v>
      </c>
      <c r="E1187" s="169" t="s">
        <v>19</v>
      </c>
      <c r="F1187" s="245" t="str">
        <f t="shared" si="74"/>
        <v>DVR 72</v>
      </c>
      <c r="G1187" s="169" t="s">
        <v>4655</v>
      </c>
      <c r="I1187" s="169" t="str">
        <f t="shared" si="76"/>
        <v>L09_GHVHW_001W_RAISE</v>
      </c>
      <c r="J1187" s="169" t="s">
        <v>4130</v>
      </c>
      <c r="K1187" s="169">
        <f>IFERROR(MATCH(J1187,'Final List'!$B$4:$B$252,0),0)</f>
        <v>0</v>
      </c>
      <c r="L1187" s="169">
        <f>IFERROR(MATCH(J1187,'Final List'!$D$4:$D$252,0),0)</f>
        <v>0</v>
      </c>
      <c r="M1187" s="169">
        <f>IFERROR(MATCH(J1187,'Final List'!$F$4:$F$251,0),0)</f>
        <v>0</v>
      </c>
      <c r="N1187" s="169">
        <f>IFERROR(MATCH(J1187,'Final List'!$H$4:$H$252,0),0)</f>
        <v>0</v>
      </c>
      <c r="O1187" s="169">
        <f>IFERROR(MATCH(J1187,'Final List'!$J$4:$J$252,0),0)</f>
        <v>0</v>
      </c>
      <c r="P1187" s="169">
        <f>IFERROR(MATCH(J1187,'Final List'!$L$4:$L$252,0),0)</f>
        <v>0</v>
      </c>
      <c r="Q1187" s="169">
        <f>IFERROR(MATCH(J1187,'Final List'!$N$4:$N$252,0),0)</f>
        <v>0</v>
      </c>
      <c r="R1187" s="169">
        <f>IFERROR(MATCH(J1187,'Final List'!$P$4:$P$252,0),0)</f>
        <v>0</v>
      </c>
      <c r="S1187" s="169">
        <f t="shared" si="75"/>
        <v>0</v>
      </c>
      <c r="V1187" s="169" t="str">
        <f t="shared" si="73"/>
        <v>CANOY</v>
      </c>
      <c r="W1187" s="169" t="s">
        <v>2715</v>
      </c>
    </row>
    <row r="1188" spans="2:23" x14ac:dyDescent="0.25">
      <c r="B1188" s="169" t="s">
        <v>92</v>
      </c>
      <c r="C1188" s="169" t="s">
        <v>57</v>
      </c>
      <c r="D1188" s="169" t="s">
        <v>147</v>
      </c>
      <c r="E1188" s="169" t="s">
        <v>6154</v>
      </c>
      <c r="F1188" s="245" t="str">
        <f t="shared" si="74"/>
        <v>Dhoz 71</v>
      </c>
      <c r="G1188" s="169" t="s">
        <v>387</v>
      </c>
      <c r="I1188" s="169" t="str">
        <f t="shared" si="76"/>
        <v>L05_JVSPLIT_024E_DW_ISL</v>
      </c>
      <c r="J1188" s="169" t="s">
        <v>8019</v>
      </c>
      <c r="K1188" s="169">
        <f>IFERROR(MATCH(J1188,'Final List'!$B$4:$B$252,0),0)</f>
        <v>0</v>
      </c>
      <c r="L1188" s="169">
        <f>IFERROR(MATCH(J1188,'Final List'!$D$4:$D$252,0),0)</f>
        <v>0</v>
      </c>
      <c r="M1188" s="169">
        <f>IFERROR(MATCH(J1188,'Final List'!$F$4:$F$251,0),0)</f>
        <v>0</v>
      </c>
      <c r="N1188" s="169">
        <f>IFERROR(MATCH(J1188,'Final List'!$H$4:$H$252,0),0)</f>
        <v>0</v>
      </c>
      <c r="O1188" s="169">
        <f>IFERROR(MATCH(J1188,'Final List'!$J$4:$J$252,0),0)</f>
        <v>0</v>
      </c>
      <c r="P1188" s="169">
        <f>IFERROR(MATCH(J1188,'Final List'!$L$4:$L$252,0),0)</f>
        <v>0</v>
      </c>
      <c r="Q1188" s="169">
        <f>IFERROR(MATCH(J1188,'Final List'!$N$4:$N$252,0),0)</f>
        <v>0</v>
      </c>
      <c r="R1188" s="169">
        <f>IFERROR(MATCH(J1188,'Final List'!$P$4:$P$252,0),0)</f>
        <v>0</v>
      </c>
      <c r="S1188" s="169">
        <f t="shared" si="75"/>
        <v>0</v>
      </c>
      <c r="V1188" s="169" t="str">
        <f t="shared" si="73"/>
        <v>MAPAYO 1</v>
      </c>
      <c r="W1188" s="169" t="s">
        <v>2708</v>
      </c>
    </row>
    <row r="1189" spans="2:23" x14ac:dyDescent="0.25">
      <c r="B1189" s="169" t="s">
        <v>94</v>
      </c>
      <c r="C1189" s="169" t="s">
        <v>45</v>
      </c>
      <c r="D1189" s="169" t="s">
        <v>160</v>
      </c>
      <c r="E1189" s="169" t="s">
        <v>6154</v>
      </c>
      <c r="F1189" s="245" t="str">
        <f t="shared" si="74"/>
        <v>Dhoz 71</v>
      </c>
      <c r="G1189" s="169" t="s">
        <v>358</v>
      </c>
      <c r="I1189" s="169" t="str">
        <f t="shared" si="76"/>
        <v>L07_DPVE_042E_DW_ISL</v>
      </c>
      <c r="J1189" s="169" t="s">
        <v>7996</v>
      </c>
      <c r="K1189" s="169">
        <f>IFERROR(MATCH(J1189,'Final List'!$B$4:$B$252,0),0)</f>
        <v>0</v>
      </c>
      <c r="L1189" s="169">
        <f>IFERROR(MATCH(J1189,'Final List'!$D$4:$D$252,0),0)</f>
        <v>0</v>
      </c>
      <c r="M1189" s="169">
        <f>IFERROR(MATCH(J1189,'Final List'!$F$4:$F$251,0),0)</f>
        <v>0</v>
      </c>
      <c r="N1189" s="169">
        <f>IFERROR(MATCH(J1189,'Final List'!$H$4:$H$252,0),0)</f>
        <v>0</v>
      </c>
      <c r="O1189" s="169">
        <f>IFERROR(MATCH(J1189,'Final List'!$J$4:$J$252,0),0)</f>
        <v>0</v>
      </c>
      <c r="P1189" s="169">
        <f>IFERROR(MATCH(J1189,'Final List'!$L$4:$L$252,0),0)</f>
        <v>0</v>
      </c>
      <c r="Q1189" s="169">
        <f>IFERROR(MATCH(J1189,'Final List'!$N$4:$N$252,0),0)</f>
        <v>0</v>
      </c>
      <c r="R1189" s="169">
        <f>IFERROR(MATCH(J1189,'Final List'!$P$4:$P$252,0),0)</f>
        <v>0</v>
      </c>
      <c r="S1189" s="169">
        <f t="shared" si="75"/>
        <v>0</v>
      </c>
      <c r="V1189" s="169" t="str">
        <f t="shared" si="73"/>
        <v>ALEÑAR 1</v>
      </c>
      <c r="W1189" s="169" t="s">
        <v>2708</v>
      </c>
    </row>
    <row r="1190" spans="2:23" x14ac:dyDescent="0.25">
      <c r="B1190" s="169" t="s">
        <v>92</v>
      </c>
      <c r="C1190" s="169" t="s">
        <v>45</v>
      </c>
      <c r="D1190" s="169" t="s">
        <v>122</v>
      </c>
      <c r="E1190" s="169" t="s">
        <v>6154</v>
      </c>
      <c r="F1190" s="245" t="str">
        <f t="shared" si="74"/>
        <v>Dhoz 71</v>
      </c>
      <c r="G1190" s="169" t="s">
        <v>5707</v>
      </c>
      <c r="I1190" s="169" t="str">
        <f t="shared" si="76"/>
        <v>L05_DPVE_025E_DW_ISL</v>
      </c>
      <c r="J1190" s="169" t="s">
        <v>7998</v>
      </c>
      <c r="K1190" s="169">
        <f>IFERROR(MATCH(J1190,'Final List'!$B$4:$B$252,0),0)</f>
        <v>0</v>
      </c>
      <c r="L1190" s="169">
        <f>IFERROR(MATCH(J1190,'Final List'!$D$4:$D$252,0),0)</f>
        <v>0</v>
      </c>
      <c r="M1190" s="169">
        <f>IFERROR(MATCH(J1190,'Final List'!$F$4:$F$251,0),0)</f>
        <v>0</v>
      </c>
      <c r="N1190" s="169">
        <f>IFERROR(MATCH(J1190,'Final List'!$H$4:$H$252,0),0)</f>
        <v>0</v>
      </c>
      <c r="O1190" s="169">
        <f>IFERROR(MATCH(J1190,'Final List'!$J$4:$J$252,0),0)</f>
        <v>0</v>
      </c>
      <c r="P1190" s="169">
        <f>IFERROR(MATCH(J1190,'Final List'!$L$4:$L$252,0),0)</f>
        <v>0</v>
      </c>
      <c r="Q1190" s="169">
        <f>IFERROR(MATCH(J1190,'Final List'!$N$4:$N$252,0),0)</f>
        <v>0</v>
      </c>
      <c r="R1190" s="169">
        <f>IFERROR(MATCH(J1190,'Final List'!$P$4:$P$252,0),0)</f>
        <v>0</v>
      </c>
      <c r="S1190" s="169">
        <f t="shared" si="75"/>
        <v>0</v>
      </c>
      <c r="V1190" s="169" t="str">
        <f t="shared" si="73"/>
        <v>SHEPHERD AF 2</v>
      </c>
      <c r="W1190" s="169" t="s">
        <v>2708</v>
      </c>
    </row>
    <row r="1191" spans="2:23" x14ac:dyDescent="0.25">
      <c r="B1191" s="169" t="s">
        <v>95</v>
      </c>
      <c r="C1191" s="169" t="s">
        <v>45</v>
      </c>
      <c r="D1191" s="169" t="s">
        <v>167</v>
      </c>
      <c r="E1191" s="169" t="s">
        <v>19</v>
      </c>
      <c r="F1191" s="245" t="str">
        <f t="shared" si="74"/>
        <v>DVR 72</v>
      </c>
      <c r="G1191" s="169" t="s">
        <v>3042</v>
      </c>
      <c r="I1191" s="169" t="str">
        <f t="shared" si="76"/>
        <v>L08_DPVE_058E_RAISE</v>
      </c>
      <c r="J1191" s="169" t="s">
        <v>7990</v>
      </c>
      <c r="K1191" s="169">
        <f>IFERROR(MATCH(J1191,'Final List'!$B$4:$B$252,0),0)</f>
        <v>0</v>
      </c>
      <c r="L1191" s="169">
        <f>IFERROR(MATCH(J1191,'Final List'!$D$4:$D$252,0),0)</f>
        <v>0</v>
      </c>
      <c r="M1191" s="169">
        <f>IFERROR(MATCH(J1191,'Final List'!$F$4:$F$251,0),0)</f>
        <v>0</v>
      </c>
      <c r="N1191" s="169">
        <f>IFERROR(MATCH(J1191,'Final List'!$H$4:$H$252,0),0)</f>
        <v>0</v>
      </c>
      <c r="O1191" s="169">
        <f>IFERROR(MATCH(J1191,'Final List'!$J$4:$J$252,0),0)</f>
        <v>0</v>
      </c>
      <c r="P1191" s="169">
        <f>IFERROR(MATCH(J1191,'Final List'!$L$4:$L$252,0),0)</f>
        <v>0</v>
      </c>
      <c r="Q1191" s="169">
        <f>IFERROR(MATCH(J1191,'Final List'!$N$4:$N$252,0),0)</f>
        <v>0</v>
      </c>
      <c r="R1191" s="169">
        <f>IFERROR(MATCH(J1191,'Final List'!$P$4:$P$252,0),0)</f>
        <v>0</v>
      </c>
      <c r="S1191" s="169">
        <f t="shared" si="75"/>
        <v>0</v>
      </c>
      <c r="V1191" s="169" t="str">
        <f t="shared" si="73"/>
        <v>VILLARANTE</v>
      </c>
      <c r="W1191" s="169" t="s">
        <v>2715</v>
      </c>
    </row>
    <row r="1192" spans="2:23" x14ac:dyDescent="0.25">
      <c r="B1192" s="169" t="s">
        <v>95</v>
      </c>
      <c r="C1192" s="169" t="s">
        <v>59</v>
      </c>
      <c r="D1192" s="169" t="s">
        <v>166</v>
      </c>
      <c r="E1192" s="169" t="s">
        <v>60</v>
      </c>
      <c r="F1192" s="245" t="str">
        <f t="shared" si="74"/>
        <v>Dhoz 71</v>
      </c>
      <c r="G1192" s="169" t="s">
        <v>1376</v>
      </c>
      <c r="I1192" s="169" t="str">
        <f t="shared" si="76"/>
        <v>L08_GHVHW_068E_DE</v>
      </c>
      <c r="J1192" s="169" t="s">
        <v>8001</v>
      </c>
      <c r="K1192" s="169">
        <f>IFERROR(MATCH(J1192,'Final List'!$B$4:$B$252,0),0)</f>
        <v>0</v>
      </c>
      <c r="L1192" s="169">
        <f>IFERROR(MATCH(J1192,'Final List'!$D$4:$D$252,0),0)</f>
        <v>0</v>
      </c>
      <c r="M1192" s="169">
        <f>IFERROR(MATCH(J1192,'Final List'!$F$4:$F$251,0),0)</f>
        <v>0</v>
      </c>
      <c r="N1192" s="169">
        <f>IFERROR(MATCH(J1192,'Final List'!$H$4:$H$252,0),0)</f>
        <v>0</v>
      </c>
      <c r="O1192" s="169">
        <f>IFERROR(MATCH(J1192,'Final List'!$J$4:$J$252,0),0)</f>
        <v>0</v>
      </c>
      <c r="P1192" s="169">
        <f>IFERROR(MATCH(J1192,'Final List'!$L$4:$L$252,0),0)</f>
        <v>0</v>
      </c>
      <c r="Q1192" s="169">
        <f>IFERROR(MATCH(J1192,'Final List'!$N$4:$N$252,0),0)</f>
        <v>0</v>
      </c>
      <c r="R1192" s="169">
        <f>IFERROR(MATCH(J1192,'Final List'!$P$4:$P$252,0),0)</f>
        <v>0</v>
      </c>
      <c r="S1192" s="169">
        <f t="shared" si="75"/>
        <v>0</v>
      </c>
      <c r="V1192" s="169" t="str">
        <f t="shared" si="73"/>
        <v>LERIO</v>
      </c>
      <c r="W1192" s="169" t="s">
        <v>8895</v>
      </c>
    </row>
    <row r="1193" spans="2:23" x14ac:dyDescent="0.25">
      <c r="B1193" s="169" t="s">
        <v>94</v>
      </c>
      <c r="C1193" s="169" t="s">
        <v>59</v>
      </c>
      <c r="D1193" s="169" t="s">
        <v>111</v>
      </c>
      <c r="E1193" s="169" t="s">
        <v>61</v>
      </c>
      <c r="F1193" s="245" t="str">
        <f t="shared" si="74"/>
        <v>Dhoz 71</v>
      </c>
      <c r="G1193" s="169" t="s">
        <v>7631</v>
      </c>
      <c r="I1193" s="169" t="str">
        <f t="shared" si="76"/>
        <v>L07_GHVHW_004W_DW</v>
      </c>
      <c r="J1193" s="169" t="s">
        <v>8000</v>
      </c>
      <c r="K1193" s="169">
        <f>IFERROR(MATCH(J1193,'Final List'!$B$4:$B$252,0),0)</f>
        <v>0</v>
      </c>
      <c r="L1193" s="169">
        <f>IFERROR(MATCH(J1193,'Final List'!$D$4:$D$252,0),0)</f>
        <v>0</v>
      </c>
      <c r="M1193" s="169">
        <f>IFERROR(MATCH(J1193,'Final List'!$F$4:$F$251,0),0)</f>
        <v>0</v>
      </c>
      <c r="N1193" s="169">
        <f>IFERROR(MATCH(J1193,'Final List'!$H$4:$H$252,0),0)</f>
        <v>0</v>
      </c>
      <c r="O1193" s="169">
        <f>IFERROR(MATCH(J1193,'Final List'!$J$4:$J$252,0),0)</f>
        <v>0</v>
      </c>
      <c r="P1193" s="169">
        <f>IFERROR(MATCH(J1193,'Final List'!$L$4:$L$252,0),0)</f>
        <v>0</v>
      </c>
      <c r="Q1193" s="169">
        <f>IFERROR(MATCH(J1193,'Final List'!$N$4:$N$252,0),0)</f>
        <v>0</v>
      </c>
      <c r="R1193" s="169">
        <f>IFERROR(MATCH(J1193,'Final List'!$P$4:$P$252,0),0)</f>
        <v>0</v>
      </c>
      <c r="S1193" s="169">
        <f t="shared" si="75"/>
        <v>0</v>
      </c>
      <c r="V1193" s="169" t="str">
        <f t="shared" si="73"/>
        <v>TURRA 3</v>
      </c>
      <c r="W1193" s="169" t="s">
        <v>8895</v>
      </c>
    </row>
    <row r="1194" spans="2:23" x14ac:dyDescent="0.25">
      <c r="B1194" s="169" t="s">
        <v>92</v>
      </c>
      <c r="C1194" s="169" t="s">
        <v>57</v>
      </c>
      <c r="D1194" s="169" t="s">
        <v>195</v>
      </c>
      <c r="E1194" s="169" t="s">
        <v>6154</v>
      </c>
      <c r="F1194" s="245" t="str">
        <f t="shared" si="74"/>
        <v>Dhoz 71</v>
      </c>
      <c r="G1194" s="169" t="s">
        <v>450</v>
      </c>
      <c r="I1194" s="169" t="str">
        <f t="shared" si="76"/>
        <v>L05_JVSPLIT_008W_DW_ISL</v>
      </c>
      <c r="J1194" s="169" t="s">
        <v>7997</v>
      </c>
      <c r="K1194" s="169">
        <f>IFERROR(MATCH(J1194,'Final List'!$B$4:$B$252,0),0)</f>
        <v>0</v>
      </c>
      <c r="L1194" s="169">
        <f>IFERROR(MATCH(J1194,'Final List'!$D$4:$D$252,0),0)</f>
        <v>0</v>
      </c>
      <c r="M1194" s="169">
        <f>IFERROR(MATCH(J1194,'Final List'!$F$4:$F$251,0),0)</f>
        <v>0</v>
      </c>
      <c r="N1194" s="169">
        <f>IFERROR(MATCH(J1194,'Final List'!$H$4:$H$252,0),0)</f>
        <v>0</v>
      </c>
      <c r="O1194" s="169">
        <f>IFERROR(MATCH(J1194,'Final List'!$J$4:$J$252,0),0)</f>
        <v>0</v>
      </c>
      <c r="P1194" s="169">
        <f>IFERROR(MATCH(J1194,'Final List'!$L$4:$L$252,0),0)</f>
        <v>0</v>
      </c>
      <c r="Q1194" s="169">
        <f>IFERROR(MATCH(J1194,'Final List'!$N$4:$N$252,0),0)</f>
        <v>0</v>
      </c>
      <c r="R1194" s="169">
        <f>IFERROR(MATCH(J1194,'Final List'!$P$4:$P$252,0),0)</f>
        <v>0</v>
      </c>
      <c r="S1194" s="169">
        <f t="shared" si="75"/>
        <v>0</v>
      </c>
      <c r="V1194" s="169" t="str">
        <f t="shared" si="73"/>
        <v>BAYOBAY 1</v>
      </c>
      <c r="W1194" s="169" t="s">
        <v>2708</v>
      </c>
    </row>
    <row r="1195" spans="2:23" x14ac:dyDescent="0.25">
      <c r="B1195" s="169" t="s">
        <v>91</v>
      </c>
      <c r="C1195" s="169" t="s">
        <v>41</v>
      </c>
      <c r="D1195" s="169" t="s">
        <v>101</v>
      </c>
      <c r="E1195" s="169" t="s">
        <v>60</v>
      </c>
      <c r="F1195" s="245" t="str">
        <f t="shared" si="74"/>
        <v>Dhoz 71</v>
      </c>
      <c r="G1195" s="169" t="s">
        <v>7132</v>
      </c>
      <c r="I1195" s="169" t="str">
        <f t="shared" si="76"/>
        <v>L04_CTV_023W_DE</v>
      </c>
      <c r="J1195" s="169" t="s">
        <v>8004</v>
      </c>
      <c r="K1195" s="169">
        <f>IFERROR(MATCH(J1195,'Final List'!$B$4:$B$252,0),0)</f>
        <v>0</v>
      </c>
      <c r="L1195" s="169">
        <f>IFERROR(MATCH(J1195,'Final List'!$D$4:$D$252,0),0)</f>
        <v>0</v>
      </c>
      <c r="M1195" s="169">
        <f>IFERROR(MATCH(J1195,'Final List'!$F$4:$F$251,0),0)</f>
        <v>0</v>
      </c>
      <c r="N1195" s="169">
        <f>IFERROR(MATCH(J1195,'Final List'!$H$4:$H$252,0),0)</f>
        <v>0</v>
      </c>
      <c r="O1195" s="169">
        <f>IFERROR(MATCH(J1195,'Final List'!$J$4:$J$252,0),0)</f>
        <v>0</v>
      </c>
      <c r="P1195" s="169">
        <f>IFERROR(MATCH(J1195,'Final List'!$L$4:$L$252,0),0)</f>
        <v>0</v>
      </c>
      <c r="Q1195" s="169">
        <f>IFERROR(MATCH(J1195,'Final List'!$N$4:$N$252,0),0)</f>
        <v>0</v>
      </c>
      <c r="R1195" s="169">
        <f>IFERROR(MATCH(J1195,'Final List'!$P$4:$P$252,0),0)</f>
        <v>0</v>
      </c>
      <c r="S1195" s="169">
        <f t="shared" si="75"/>
        <v>0</v>
      </c>
      <c r="V1195" s="169" t="str">
        <f t="shared" si="73"/>
        <v>SHEPHERD AQ</v>
      </c>
      <c r="W1195" s="169" t="s">
        <v>8895</v>
      </c>
    </row>
    <row r="1196" spans="2:23" x14ac:dyDescent="0.25">
      <c r="B1196" s="169" t="s">
        <v>95</v>
      </c>
      <c r="C1196" s="169" t="s">
        <v>38</v>
      </c>
      <c r="D1196" s="169" t="s">
        <v>112</v>
      </c>
      <c r="E1196" s="169" t="s">
        <v>19</v>
      </c>
      <c r="F1196" s="245" t="str">
        <f t="shared" si="74"/>
        <v>DVR 72</v>
      </c>
      <c r="G1196" s="169" t="s">
        <v>942</v>
      </c>
      <c r="I1196" s="169" t="str">
        <f t="shared" si="76"/>
        <v>L08_GHV_018E_RAISE</v>
      </c>
      <c r="J1196" s="169" t="s">
        <v>8002</v>
      </c>
      <c r="K1196" s="169">
        <f>IFERROR(MATCH(J1196,'Final List'!$B$4:$B$252,0),0)</f>
        <v>0</v>
      </c>
      <c r="L1196" s="169">
        <f>IFERROR(MATCH(J1196,'Final List'!$D$4:$D$252,0),0)</f>
        <v>0</v>
      </c>
      <c r="M1196" s="169">
        <f>IFERROR(MATCH(J1196,'Final List'!$F$4:$F$251,0),0)</f>
        <v>0</v>
      </c>
      <c r="N1196" s="169">
        <f>IFERROR(MATCH(J1196,'Final List'!$H$4:$H$252,0),0)</f>
        <v>0</v>
      </c>
      <c r="O1196" s="169">
        <f>IFERROR(MATCH(J1196,'Final List'!$J$4:$J$252,0),0)</f>
        <v>0</v>
      </c>
      <c r="P1196" s="169">
        <f>IFERROR(MATCH(J1196,'Final List'!$L$4:$L$252,0),0)</f>
        <v>0</v>
      </c>
      <c r="Q1196" s="169">
        <f>IFERROR(MATCH(J1196,'Final List'!$N$4:$N$252,0),0)</f>
        <v>0</v>
      </c>
      <c r="R1196" s="169">
        <f>IFERROR(MATCH(J1196,'Final List'!$P$4:$P$252,0),0)</f>
        <v>0</v>
      </c>
      <c r="S1196" s="169">
        <f t="shared" si="75"/>
        <v>0</v>
      </c>
      <c r="V1196" s="169" t="str">
        <f t="shared" si="73"/>
        <v>AGLOLO 3</v>
      </c>
      <c r="W1196" s="169" t="s">
        <v>2715</v>
      </c>
    </row>
    <row r="1197" spans="2:23" x14ac:dyDescent="0.25">
      <c r="B1197" s="169" t="s">
        <v>91</v>
      </c>
      <c r="C1197" s="169" t="s">
        <v>56</v>
      </c>
      <c r="D1197" s="169" t="s">
        <v>103</v>
      </c>
      <c r="E1197" s="169" t="s">
        <v>20</v>
      </c>
      <c r="F1197" s="245" t="str">
        <f t="shared" si="74"/>
        <v>DVW 74</v>
      </c>
      <c r="G1197" s="169" t="s">
        <v>7876</v>
      </c>
      <c r="I1197" s="169" t="str">
        <f t="shared" si="76"/>
        <v>L04_GHVFW_005E_WINZE</v>
      </c>
      <c r="J1197" s="169" t="s">
        <v>8003</v>
      </c>
      <c r="K1197" s="169">
        <f>IFERROR(MATCH(J1197,'Final List'!$B$4:$B$252,0),0)</f>
        <v>0</v>
      </c>
      <c r="L1197" s="169">
        <f>IFERROR(MATCH(J1197,'Final List'!$D$4:$D$252,0),0)</f>
        <v>0</v>
      </c>
      <c r="M1197" s="169">
        <f>IFERROR(MATCH(J1197,'Final List'!$F$4:$F$251,0),0)</f>
        <v>0</v>
      </c>
      <c r="N1197" s="169">
        <f>IFERROR(MATCH(J1197,'Final List'!$H$4:$H$252,0),0)</f>
        <v>0</v>
      </c>
      <c r="O1197" s="169">
        <f>IFERROR(MATCH(J1197,'Final List'!$J$4:$J$252,0),0)</f>
        <v>0</v>
      </c>
      <c r="P1197" s="169">
        <f>IFERROR(MATCH(J1197,'Final List'!$L$4:$L$252,0),0)</f>
        <v>0</v>
      </c>
      <c r="Q1197" s="169">
        <f>IFERROR(MATCH(J1197,'Final List'!$N$4:$N$252,0),0)</f>
        <v>0</v>
      </c>
      <c r="R1197" s="169">
        <f>IFERROR(MATCH(J1197,'Final List'!$P$4:$P$252,0),0)</f>
        <v>0</v>
      </c>
      <c r="S1197" s="169">
        <f t="shared" si="75"/>
        <v>0</v>
      </c>
      <c r="V1197" s="169" t="str">
        <f t="shared" si="73"/>
        <v>SHEPHERD AL 2</v>
      </c>
      <c r="W1197" s="169" t="s">
        <v>2706</v>
      </c>
    </row>
    <row r="1198" spans="2:23" x14ac:dyDescent="0.25">
      <c r="B1198" s="169" t="s">
        <v>91</v>
      </c>
      <c r="C1198" s="169" t="s">
        <v>41</v>
      </c>
      <c r="D1198" s="169" t="s">
        <v>5940</v>
      </c>
      <c r="E1198" s="169" t="s">
        <v>6144</v>
      </c>
      <c r="F1198" s="245" t="str">
        <f t="shared" si="74"/>
        <v>DVR 72</v>
      </c>
      <c r="G1198" s="169" t="s">
        <v>340</v>
      </c>
      <c r="I1198" s="169" t="str">
        <f t="shared" si="76"/>
        <v>L04_CTV_022W_RAISE_ISL</v>
      </c>
      <c r="J1198" s="169" t="s">
        <v>8009</v>
      </c>
      <c r="K1198" s="169">
        <f>IFERROR(MATCH(J1198,'Final List'!$B$4:$B$252,0),0)</f>
        <v>0</v>
      </c>
      <c r="L1198" s="169">
        <f>IFERROR(MATCH(J1198,'Final List'!$D$4:$D$252,0),0)</f>
        <v>0</v>
      </c>
      <c r="M1198" s="169">
        <f>IFERROR(MATCH(J1198,'Final List'!$F$4:$F$251,0),0)</f>
        <v>0</v>
      </c>
      <c r="N1198" s="169">
        <f>IFERROR(MATCH(J1198,'Final List'!$H$4:$H$252,0),0)</f>
        <v>0</v>
      </c>
      <c r="O1198" s="169">
        <f>IFERROR(MATCH(J1198,'Final List'!$J$4:$J$252,0),0)</f>
        <v>0</v>
      </c>
      <c r="P1198" s="169">
        <f>IFERROR(MATCH(J1198,'Final List'!$L$4:$L$252,0),0)</f>
        <v>0</v>
      </c>
      <c r="Q1198" s="169">
        <f>IFERROR(MATCH(J1198,'Final List'!$N$4:$N$252,0),0)</f>
        <v>0</v>
      </c>
      <c r="R1198" s="169">
        <f>IFERROR(MATCH(J1198,'Final List'!$P$4:$P$252,0),0)</f>
        <v>0</v>
      </c>
      <c r="S1198" s="169">
        <f t="shared" si="75"/>
        <v>0</v>
      </c>
      <c r="V1198" s="169" t="str">
        <f t="shared" si="73"/>
        <v>COMAINGKING</v>
      </c>
      <c r="W1198" s="169" t="s">
        <v>2715</v>
      </c>
    </row>
    <row r="1199" spans="2:23" x14ac:dyDescent="0.25">
      <c r="B1199" s="169" t="s">
        <v>93</v>
      </c>
      <c r="C1199" s="169" t="s">
        <v>39</v>
      </c>
      <c r="D1199" s="169" t="s">
        <v>120</v>
      </c>
      <c r="E1199" s="169" t="s">
        <v>20</v>
      </c>
      <c r="F1199" s="245" t="str">
        <f t="shared" si="74"/>
        <v>DVW 74</v>
      </c>
      <c r="G1199" s="169" t="s">
        <v>3303</v>
      </c>
      <c r="I1199" s="169" t="str">
        <f t="shared" si="76"/>
        <v>L06_JVHW_015E_WINZE</v>
      </c>
      <c r="J1199" s="169" t="s">
        <v>8012</v>
      </c>
      <c r="K1199" s="169">
        <f>IFERROR(MATCH(J1199,'Final List'!$B$4:$B$252,0),0)</f>
        <v>0</v>
      </c>
      <c r="L1199" s="169">
        <f>IFERROR(MATCH(J1199,'Final List'!$D$4:$D$252,0),0)</f>
        <v>0</v>
      </c>
      <c r="M1199" s="169">
        <f>IFERROR(MATCH(J1199,'Final List'!$F$4:$F$251,0),0)</f>
        <v>0</v>
      </c>
      <c r="N1199" s="169">
        <f>IFERROR(MATCH(J1199,'Final List'!$H$4:$H$252,0),0)</f>
        <v>0</v>
      </c>
      <c r="O1199" s="169">
        <f>IFERROR(MATCH(J1199,'Final List'!$J$4:$J$252,0),0)</f>
        <v>0</v>
      </c>
      <c r="P1199" s="169">
        <f>IFERROR(MATCH(J1199,'Final List'!$L$4:$L$252,0),0)</f>
        <v>0</v>
      </c>
      <c r="Q1199" s="169">
        <f>IFERROR(MATCH(J1199,'Final List'!$N$4:$N$252,0),0)</f>
        <v>0</v>
      </c>
      <c r="R1199" s="169">
        <f>IFERROR(MATCH(J1199,'Final List'!$P$4:$P$252,0),0)</f>
        <v>0</v>
      </c>
      <c r="S1199" s="169">
        <f t="shared" si="75"/>
        <v>0</v>
      </c>
      <c r="V1199" s="169" t="str">
        <f t="shared" si="73"/>
        <v>SHEPHERD AC</v>
      </c>
      <c r="W1199" s="169" t="s">
        <v>2706</v>
      </c>
    </row>
    <row r="1200" spans="2:23" x14ac:dyDescent="0.25">
      <c r="B1200" s="169" t="s">
        <v>91</v>
      </c>
      <c r="C1200" s="169" t="s">
        <v>58</v>
      </c>
      <c r="D1200" s="169" t="s">
        <v>6710</v>
      </c>
      <c r="E1200" s="169" t="s">
        <v>6143</v>
      </c>
      <c r="F1200" s="245" t="str">
        <f t="shared" si="74"/>
        <v>Dhoz 71</v>
      </c>
      <c r="G1200" s="169" t="s">
        <v>8193</v>
      </c>
      <c r="I1200" s="169" t="str">
        <f t="shared" si="76"/>
        <v>L04_EDV_018W_DE_ISL</v>
      </c>
      <c r="J1200" s="169" t="s">
        <v>8014</v>
      </c>
      <c r="K1200" s="169">
        <f>IFERROR(MATCH(J1200,'Final List'!$B$4:$B$252,0),0)</f>
        <v>0</v>
      </c>
      <c r="L1200" s="169">
        <f>IFERROR(MATCH(J1200,'Final List'!$D$4:$D$252,0),0)</f>
        <v>0</v>
      </c>
      <c r="M1200" s="169">
        <f>IFERROR(MATCH(J1200,'Final List'!$F$4:$F$251,0),0)</f>
        <v>0</v>
      </c>
      <c r="N1200" s="169">
        <f>IFERROR(MATCH(J1200,'Final List'!$H$4:$H$252,0),0)</f>
        <v>0</v>
      </c>
      <c r="O1200" s="169">
        <f>IFERROR(MATCH(J1200,'Final List'!$J$4:$J$252,0),0)</f>
        <v>0</v>
      </c>
      <c r="P1200" s="169">
        <f>IFERROR(MATCH(J1200,'Final List'!$L$4:$L$252,0),0)</f>
        <v>0</v>
      </c>
      <c r="Q1200" s="169">
        <f>IFERROR(MATCH(J1200,'Final List'!$N$4:$N$252,0),0)</f>
        <v>0</v>
      </c>
      <c r="R1200" s="169">
        <f>IFERROR(MATCH(J1200,'Final List'!$P$4:$P$252,0),0)</f>
        <v>0</v>
      </c>
      <c r="S1200" s="169">
        <f t="shared" si="75"/>
        <v>0</v>
      </c>
      <c r="V1200" s="169" t="str">
        <f t="shared" si="73"/>
        <v>SHEPHERD AR 1</v>
      </c>
      <c r="W1200" s="169" t="s">
        <v>2708</v>
      </c>
    </row>
    <row r="1201" spans="2:41" x14ac:dyDescent="0.25">
      <c r="B1201" s="169" t="s">
        <v>91</v>
      </c>
      <c r="C1201" s="169" t="s">
        <v>57</v>
      </c>
      <c r="D1201" s="169" t="s">
        <v>5975</v>
      </c>
      <c r="E1201" s="169" t="s">
        <v>6143</v>
      </c>
      <c r="F1201" s="245" t="str">
        <f t="shared" si="74"/>
        <v>Dhoz 71</v>
      </c>
      <c r="G1201" s="169" t="s">
        <v>311</v>
      </c>
      <c r="I1201" s="169" t="str">
        <f t="shared" si="76"/>
        <v>L04_JVSPLIT_028E_DE_ISL</v>
      </c>
      <c r="J1201" s="169" t="s">
        <v>8016</v>
      </c>
      <c r="K1201" s="169">
        <f>IFERROR(MATCH(J1201,'Final List'!$B$4:$B$252,0),0)</f>
        <v>0</v>
      </c>
      <c r="L1201" s="169">
        <f>IFERROR(MATCH(J1201,'Final List'!$D$4:$D$252,0),0)</f>
        <v>0</v>
      </c>
      <c r="M1201" s="169">
        <f>IFERROR(MATCH(J1201,'Final List'!$F$4:$F$251,0),0)</f>
        <v>0</v>
      </c>
      <c r="N1201" s="169">
        <f>IFERROR(MATCH(J1201,'Final List'!$H$4:$H$252,0),0)</f>
        <v>0</v>
      </c>
      <c r="O1201" s="169">
        <f>IFERROR(MATCH(J1201,'Final List'!$J$4:$J$252,0),0)</f>
        <v>0</v>
      </c>
      <c r="P1201" s="169">
        <f>IFERROR(MATCH(J1201,'Final List'!$L$4:$L$252,0),0)</f>
        <v>0</v>
      </c>
      <c r="Q1201" s="169">
        <f>IFERROR(MATCH(J1201,'Final List'!$N$4:$N$252,0),0)</f>
        <v>0</v>
      </c>
      <c r="R1201" s="169">
        <f>IFERROR(MATCH(J1201,'Final List'!$P$4:$P$252,0),0)</f>
        <v>0</v>
      </c>
      <c r="S1201" s="169">
        <f t="shared" si="75"/>
        <v>0</v>
      </c>
      <c r="V1201" s="169" t="str">
        <f t="shared" si="73"/>
        <v>MARTINEZ DN 2</v>
      </c>
      <c r="W1201" s="169" t="s">
        <v>2708</v>
      </c>
    </row>
    <row r="1202" spans="2:41" x14ac:dyDescent="0.25">
      <c r="B1202" s="169" t="s">
        <v>94</v>
      </c>
      <c r="C1202" s="169" t="s">
        <v>59</v>
      </c>
      <c r="D1202" s="169" t="s">
        <v>111</v>
      </c>
      <c r="E1202" s="169" t="s">
        <v>60</v>
      </c>
      <c r="F1202" s="245" t="str">
        <f t="shared" si="74"/>
        <v>Dhoz 71</v>
      </c>
      <c r="G1202" s="169" t="s">
        <v>7631</v>
      </c>
      <c r="I1202" s="169" t="str">
        <f t="shared" si="76"/>
        <v>L07_GHVHW_004W_DE</v>
      </c>
      <c r="J1202" s="169" t="s">
        <v>8030</v>
      </c>
      <c r="K1202" s="169">
        <f>IFERROR(MATCH(J1202,'Final List'!$B$4:$B$252,0),0)</f>
        <v>0</v>
      </c>
      <c r="L1202" s="169">
        <f>IFERROR(MATCH(J1202,'Final List'!$D$4:$D$252,0),0)</f>
        <v>0</v>
      </c>
      <c r="M1202" s="169">
        <f>IFERROR(MATCH(J1202,'Final List'!$F$4:$F$251,0),0)</f>
        <v>0</v>
      </c>
      <c r="N1202" s="169">
        <f>IFERROR(MATCH(J1202,'Final List'!$H$4:$H$252,0),0)</f>
        <v>0</v>
      </c>
      <c r="O1202" s="169">
        <f>IFERROR(MATCH(J1202,'Final List'!$J$4:$J$252,0),0)</f>
        <v>0</v>
      </c>
      <c r="P1202" s="169">
        <f>IFERROR(MATCH(J1202,'Final List'!$L$4:$L$252,0),0)</f>
        <v>0</v>
      </c>
      <c r="Q1202" s="169">
        <f>IFERROR(MATCH(J1202,'Final List'!$N$4:$N$252,0),0)</f>
        <v>0</v>
      </c>
      <c r="R1202" s="169">
        <f>IFERROR(MATCH(J1202,'Final List'!$P$4:$P$252,0),0)</f>
        <v>0</v>
      </c>
      <c r="S1202" s="169">
        <f t="shared" si="75"/>
        <v>0</v>
      </c>
      <c r="V1202" s="169" t="str">
        <f t="shared" si="73"/>
        <v>TURRA 3</v>
      </c>
      <c r="W1202" s="169" t="s">
        <v>8895</v>
      </c>
    </row>
    <row r="1203" spans="2:41" x14ac:dyDescent="0.25">
      <c r="B1203" s="169" t="s">
        <v>96</v>
      </c>
      <c r="C1203" s="169" t="s">
        <v>56</v>
      </c>
      <c r="D1203" s="169" t="s">
        <v>168</v>
      </c>
      <c r="E1203" s="169" t="s">
        <v>61</v>
      </c>
      <c r="F1203" s="245" t="str">
        <f t="shared" si="74"/>
        <v>Dhoz 71</v>
      </c>
      <c r="G1203" s="169" t="s">
        <v>554</v>
      </c>
      <c r="I1203" s="169" t="str">
        <f t="shared" si="76"/>
        <v>L09_GHVFW_047E_DW</v>
      </c>
      <c r="J1203" s="169" t="s">
        <v>8033</v>
      </c>
      <c r="K1203" s="169">
        <f>IFERROR(MATCH(J1203,'Final List'!$B$4:$B$252,0),0)</f>
        <v>0</v>
      </c>
      <c r="L1203" s="169">
        <f>IFERROR(MATCH(J1203,'Final List'!$D$4:$D$252,0),0)</f>
        <v>0</v>
      </c>
      <c r="M1203" s="169">
        <f>IFERROR(MATCH(J1203,'Final List'!$F$4:$F$251,0),0)</f>
        <v>0</v>
      </c>
      <c r="N1203" s="169">
        <f>IFERROR(MATCH(J1203,'Final List'!$H$4:$H$252,0),0)</f>
        <v>0</v>
      </c>
      <c r="O1203" s="169">
        <f>IFERROR(MATCH(J1203,'Final List'!$J$4:$J$252,0),0)</f>
        <v>0</v>
      </c>
      <c r="P1203" s="169">
        <f>IFERROR(MATCH(J1203,'Final List'!$L$4:$L$252,0),0)</f>
        <v>0</v>
      </c>
      <c r="Q1203" s="169">
        <f>IFERROR(MATCH(J1203,'Final List'!$N$4:$N$252,0),0)</f>
        <v>0</v>
      </c>
      <c r="R1203" s="169">
        <f>IFERROR(MATCH(J1203,'Final List'!$P$4:$P$252,0),0)</f>
        <v>0</v>
      </c>
      <c r="S1203" s="169">
        <f t="shared" si="75"/>
        <v>0</v>
      </c>
      <c r="V1203" s="169" t="str">
        <f t="shared" si="73"/>
        <v>PANCIT, NOEL 1</v>
      </c>
      <c r="W1203" s="169" t="s">
        <v>8896</v>
      </c>
    </row>
    <row r="1204" spans="2:41" x14ac:dyDescent="0.25">
      <c r="B1204" s="169" t="s">
        <v>96</v>
      </c>
      <c r="C1204" s="169" t="s">
        <v>45</v>
      </c>
      <c r="D1204" s="169" t="s">
        <v>5741</v>
      </c>
      <c r="E1204" s="169" t="s">
        <v>36</v>
      </c>
      <c r="F1204" s="245" t="str">
        <f t="shared" si="74"/>
        <v>StpS 77</v>
      </c>
      <c r="G1204" s="169" t="s">
        <v>746</v>
      </c>
      <c r="I1204" s="169" t="str">
        <f t="shared" si="76"/>
        <v>L09_DPVE_035E_STOPE</v>
      </c>
      <c r="J1204" s="169" t="s">
        <v>8034</v>
      </c>
      <c r="K1204" s="169">
        <f>IFERROR(MATCH(J1204,'Final List'!$B$4:$B$252,0),0)</f>
        <v>0</v>
      </c>
      <c r="L1204" s="169">
        <f>IFERROR(MATCH(J1204,'Final List'!$D$4:$D$252,0),0)</f>
        <v>0</v>
      </c>
      <c r="M1204" s="169">
        <f>IFERROR(MATCH(J1204,'Final List'!$F$4:$F$251,0),0)</f>
        <v>0</v>
      </c>
      <c r="N1204" s="169">
        <f>IFERROR(MATCH(J1204,'Final List'!$H$4:$H$252,0),0)</f>
        <v>0</v>
      </c>
      <c r="O1204" s="169">
        <f>IFERROR(MATCH(J1204,'Final List'!$J$4:$J$252,0),0)</f>
        <v>0</v>
      </c>
      <c r="P1204" s="169">
        <f>IFERROR(MATCH(J1204,'Final List'!$L$4:$L$252,0),0)</f>
        <v>0</v>
      </c>
      <c r="Q1204" s="169">
        <f>IFERROR(MATCH(J1204,'Final List'!$N$4:$N$252,0),0)</f>
        <v>0</v>
      </c>
      <c r="R1204" s="169">
        <f>IFERROR(MATCH(J1204,'Final List'!$P$4:$P$252,0),0)</f>
        <v>0</v>
      </c>
      <c r="S1204" s="169">
        <f t="shared" si="75"/>
        <v>0</v>
      </c>
      <c r="T1204" s="169" t="s">
        <v>68</v>
      </c>
      <c r="V1204" s="169" t="str">
        <f t="shared" si="73"/>
        <v>CANOY 1</v>
      </c>
      <c r="W1204" s="169" t="s">
        <v>2713</v>
      </c>
    </row>
    <row r="1205" spans="2:41" x14ac:dyDescent="0.25">
      <c r="B1205" s="169" t="s">
        <v>95</v>
      </c>
      <c r="C1205" s="169" t="s">
        <v>45</v>
      </c>
      <c r="D1205" s="169" t="s">
        <v>170</v>
      </c>
      <c r="E1205" s="169" t="s">
        <v>221</v>
      </c>
      <c r="F1205" s="245" t="str">
        <f t="shared" si="74"/>
        <v>RobC 80</v>
      </c>
      <c r="G1205" s="169" t="s">
        <v>305</v>
      </c>
      <c r="I1205" s="169" t="str">
        <f t="shared" si="76"/>
        <v>L08_DPVE_071E_WINZE STOPE</v>
      </c>
      <c r="J1205" s="169" t="s">
        <v>8022</v>
      </c>
      <c r="K1205" s="169">
        <f>IFERROR(MATCH(J1205,'Final List'!$B$4:$B$252,0),0)</f>
        <v>0</v>
      </c>
      <c r="L1205" s="169">
        <f>IFERROR(MATCH(J1205,'Final List'!$D$4:$D$252,0),0)</f>
        <v>0</v>
      </c>
      <c r="M1205" s="169">
        <f>IFERROR(MATCH(J1205,'Final List'!$F$4:$F$251,0),0)</f>
        <v>0</v>
      </c>
      <c r="N1205" s="169">
        <f>IFERROR(MATCH(J1205,'Final List'!$H$4:$H$252,0),0)</f>
        <v>0</v>
      </c>
      <c r="O1205" s="169">
        <f>IFERROR(MATCH(J1205,'Final List'!$J$4:$J$252,0),0)</f>
        <v>0</v>
      </c>
      <c r="P1205" s="169">
        <f>IFERROR(MATCH(J1205,'Final List'!$L$4:$L$252,0),0)</f>
        <v>0</v>
      </c>
      <c r="Q1205" s="169">
        <f>IFERROR(MATCH(J1205,'Final List'!$N$4:$N$252,0),0)</f>
        <v>0</v>
      </c>
      <c r="R1205" s="169">
        <f>IFERROR(MATCH(J1205,'Final List'!$P$4:$P$252,0),0)</f>
        <v>0</v>
      </c>
      <c r="S1205" s="169">
        <f t="shared" si="75"/>
        <v>0</v>
      </c>
      <c r="T1205" s="169" t="s">
        <v>68</v>
      </c>
      <c r="V1205" s="169" t="str">
        <f t="shared" si="73"/>
        <v>CABONITA 1</v>
      </c>
      <c r="W1205" s="169" t="s">
        <v>2719</v>
      </c>
    </row>
    <row r="1206" spans="2:41" x14ac:dyDescent="0.25">
      <c r="B1206" s="169" t="s">
        <v>1166</v>
      </c>
      <c r="C1206" s="169" t="s">
        <v>56</v>
      </c>
      <c r="D1206" s="169" t="s">
        <v>144</v>
      </c>
      <c r="E1206" s="169" t="s">
        <v>61</v>
      </c>
      <c r="F1206" s="245" t="str">
        <f t="shared" si="74"/>
        <v>Dhoz 71</v>
      </c>
      <c r="G1206" s="169" t="s">
        <v>5231</v>
      </c>
      <c r="H1206" s="169" t="s">
        <v>454</v>
      </c>
      <c r="I1206" s="169" t="str">
        <f t="shared" si="76"/>
        <v>L11_GHVFW_043E_DW</v>
      </c>
      <c r="J1206" s="169" t="s">
        <v>10614</v>
      </c>
      <c r="K1206" s="169">
        <f>IFERROR(MATCH(J1206,'Final List'!$B$4:$B$252,0),0)</f>
        <v>0</v>
      </c>
      <c r="L1206" s="169">
        <f>IFERROR(MATCH(J1206,'Final List'!$D$4:$D$252,0),0)</f>
        <v>0</v>
      </c>
      <c r="M1206" s="169">
        <f>IFERROR(MATCH(J1206,'Final List'!$F$4:$F$251,0),0)</f>
        <v>0</v>
      </c>
      <c r="N1206" s="169">
        <f>IFERROR(MATCH(J1206,'Final List'!$H$4:$H$252,0),0)</f>
        <v>0</v>
      </c>
      <c r="O1206" s="169">
        <f>IFERROR(MATCH(J1206,'Final List'!$J$4:$J$252,0),0)</f>
        <v>0</v>
      </c>
      <c r="P1206" s="169">
        <f>IFERROR(MATCH(J1206,'Final List'!$L$4:$L$252,0),0)</f>
        <v>0</v>
      </c>
      <c r="Q1206" s="169">
        <f>IFERROR(MATCH(J1206,'Final List'!$N$4:$N$252,0),0)</f>
        <v>0</v>
      </c>
      <c r="R1206" s="169">
        <f>IFERROR(MATCH(J1206,'Final List'!$P$4:$P$252,0),0)</f>
        <v>0</v>
      </c>
      <c r="S1206" s="169">
        <f t="shared" si="75"/>
        <v>0</v>
      </c>
      <c r="V1206" s="169" t="str">
        <f t="shared" si="73"/>
        <v>BAÑEZ 8</v>
      </c>
      <c r="W1206" s="169" t="s">
        <v>8896</v>
      </c>
    </row>
    <row r="1207" spans="2:41" x14ac:dyDescent="0.25">
      <c r="B1207" s="169" t="s">
        <v>96</v>
      </c>
      <c r="C1207" s="169" t="s">
        <v>59</v>
      </c>
      <c r="D1207" s="169" t="s">
        <v>109</v>
      </c>
      <c r="E1207" s="169" t="s">
        <v>60</v>
      </c>
      <c r="F1207" s="245" t="str">
        <f t="shared" si="74"/>
        <v>Dhoz 71</v>
      </c>
      <c r="G1207" s="169" t="s">
        <v>75</v>
      </c>
      <c r="I1207" s="169" t="str">
        <f t="shared" si="76"/>
        <v>L09_GHVHW_002W_DE</v>
      </c>
      <c r="J1207" s="169" t="s">
        <v>8041</v>
      </c>
      <c r="K1207" s="169">
        <f>IFERROR(MATCH(J1207,'Final List'!$B$4:$B$252,0),0)</f>
        <v>0</v>
      </c>
      <c r="L1207" s="169">
        <f>IFERROR(MATCH(J1207,'Final List'!$D$4:$D$252,0),0)</f>
        <v>0</v>
      </c>
      <c r="M1207" s="169">
        <f>IFERROR(MATCH(J1207,'Final List'!$F$4:$F$251,0),0)</f>
        <v>0</v>
      </c>
      <c r="N1207" s="169">
        <f>IFERROR(MATCH(J1207,'Final List'!$H$4:$H$252,0),0)</f>
        <v>0</v>
      </c>
      <c r="O1207" s="169">
        <f>IFERROR(MATCH(J1207,'Final List'!$J$4:$J$252,0),0)</f>
        <v>0</v>
      </c>
      <c r="P1207" s="169">
        <f>IFERROR(MATCH(J1207,'Final List'!$L$4:$L$252,0),0)</f>
        <v>0</v>
      </c>
      <c r="Q1207" s="169">
        <f>IFERROR(MATCH(J1207,'Final List'!$N$4:$N$252,0),0)</f>
        <v>0</v>
      </c>
      <c r="R1207" s="169">
        <f>IFERROR(MATCH(J1207,'Final List'!$P$4:$P$252,0),0)</f>
        <v>0</v>
      </c>
      <c r="S1207" s="169">
        <f t="shared" si="75"/>
        <v>0</v>
      </c>
      <c r="V1207" s="169" t="str">
        <f t="shared" si="73"/>
        <v>BABOR</v>
      </c>
      <c r="W1207" s="169" t="s">
        <v>8896</v>
      </c>
      <c r="AO1207" s="169"/>
    </row>
    <row r="1208" spans="2:41" x14ac:dyDescent="0.25">
      <c r="B1208" s="169" t="s">
        <v>95</v>
      </c>
      <c r="C1208" s="169" t="s">
        <v>45</v>
      </c>
      <c r="D1208" s="169" t="s">
        <v>595</v>
      </c>
      <c r="E1208" s="169" t="s">
        <v>221</v>
      </c>
      <c r="F1208" s="245" t="str">
        <f t="shared" si="74"/>
        <v>RobC 80</v>
      </c>
      <c r="G1208" s="169" t="s">
        <v>8045</v>
      </c>
      <c r="I1208" s="169" t="str">
        <f t="shared" si="76"/>
        <v>L08_DPVE_072E_WINZE STOPE</v>
      </c>
      <c r="J1208" s="169" t="s">
        <v>8043</v>
      </c>
      <c r="K1208" s="169">
        <f>IFERROR(MATCH(J1208,'Final List'!$B$4:$B$252,0),0)</f>
        <v>0</v>
      </c>
      <c r="L1208" s="169">
        <f>IFERROR(MATCH(J1208,'Final List'!$D$4:$D$252,0),0)</f>
        <v>0</v>
      </c>
      <c r="M1208" s="169">
        <f>IFERROR(MATCH(J1208,'Final List'!$F$4:$F$251,0),0)</f>
        <v>0</v>
      </c>
      <c r="N1208" s="169">
        <f>IFERROR(MATCH(J1208,'Final List'!$H$4:$H$252,0),0)</f>
        <v>0</v>
      </c>
      <c r="O1208" s="169">
        <f>IFERROR(MATCH(J1208,'Final List'!$J$4:$J$252,0),0)</f>
        <v>0</v>
      </c>
      <c r="P1208" s="169">
        <f>IFERROR(MATCH(J1208,'Final List'!$L$4:$L$252,0),0)</f>
        <v>0</v>
      </c>
      <c r="Q1208" s="169">
        <f>IFERROR(MATCH(J1208,'Final List'!$N$4:$N$252,0),0)</f>
        <v>0</v>
      </c>
      <c r="R1208" s="169">
        <f>IFERROR(MATCH(J1208,'Final List'!$P$4:$P$252,0),0)</f>
        <v>0</v>
      </c>
      <c r="S1208" s="169">
        <f t="shared" si="75"/>
        <v>0</v>
      </c>
      <c r="T1208" s="169" t="s">
        <v>68</v>
      </c>
      <c r="V1208" s="169" t="str">
        <f t="shared" si="73"/>
        <v>CAPUYAN</v>
      </c>
      <c r="W1208" s="169" t="s">
        <v>2705</v>
      </c>
    </row>
    <row r="1209" spans="2:41" x14ac:dyDescent="0.25">
      <c r="B1209" s="169" t="s">
        <v>95</v>
      </c>
      <c r="C1209" s="169" t="s">
        <v>42</v>
      </c>
      <c r="D1209" s="169" t="s">
        <v>226</v>
      </c>
      <c r="E1209" s="169" t="s">
        <v>221</v>
      </c>
      <c r="F1209" s="245" t="str">
        <f t="shared" si="74"/>
        <v>RobC 80</v>
      </c>
      <c r="G1209" s="169" t="s">
        <v>1533</v>
      </c>
      <c r="I1209" s="169" t="str">
        <f t="shared" si="76"/>
        <v>L08_JV_074E_WINZE STOPE</v>
      </c>
      <c r="J1209" s="169" t="s">
        <v>8047</v>
      </c>
      <c r="K1209" s="169">
        <f>IFERROR(MATCH(J1209,'Final List'!$B$4:$B$252,0),0)</f>
        <v>0</v>
      </c>
      <c r="L1209" s="169">
        <f>IFERROR(MATCH(J1209,'Final List'!$D$4:$D$252,0),0)</f>
        <v>0</v>
      </c>
      <c r="M1209" s="169">
        <f>IFERROR(MATCH(J1209,'Final List'!$F$4:$F$251,0),0)</f>
        <v>0</v>
      </c>
      <c r="N1209" s="169">
        <f>IFERROR(MATCH(J1209,'Final List'!$H$4:$H$252,0),0)</f>
        <v>0</v>
      </c>
      <c r="O1209" s="169">
        <f>IFERROR(MATCH(J1209,'Final List'!$J$4:$J$252,0),0)</f>
        <v>0</v>
      </c>
      <c r="P1209" s="169">
        <f>IFERROR(MATCH(J1209,'Final List'!$L$4:$L$252,0),0)</f>
        <v>0</v>
      </c>
      <c r="Q1209" s="169">
        <f>IFERROR(MATCH(J1209,'Final List'!$N$4:$N$252,0),0)</f>
        <v>0</v>
      </c>
      <c r="R1209" s="169">
        <f>IFERROR(MATCH(J1209,'Final List'!$P$4:$P$252,0),0)</f>
        <v>0</v>
      </c>
      <c r="S1209" s="169">
        <f t="shared" si="75"/>
        <v>0</v>
      </c>
      <c r="T1209" s="169" t="s">
        <v>68</v>
      </c>
      <c r="V1209" s="169" t="str">
        <f t="shared" si="73"/>
        <v>AGLOLO</v>
      </c>
      <c r="W1209" s="169" t="s">
        <v>2719</v>
      </c>
    </row>
    <row r="1210" spans="2:41" x14ac:dyDescent="0.25">
      <c r="B1210" s="169" t="s">
        <v>95</v>
      </c>
      <c r="C1210" s="169" t="s">
        <v>42</v>
      </c>
      <c r="D1210" s="169" t="s">
        <v>5612</v>
      </c>
      <c r="E1210" s="169" t="s">
        <v>61</v>
      </c>
      <c r="F1210" s="245" t="str">
        <f t="shared" si="74"/>
        <v>Dhoz 71</v>
      </c>
      <c r="G1210" s="169" t="s">
        <v>303</v>
      </c>
      <c r="I1210" s="169" t="str">
        <f t="shared" si="76"/>
        <v>L08_JV_011W_DW</v>
      </c>
      <c r="J1210" s="169" t="s">
        <v>8048</v>
      </c>
      <c r="K1210" s="169">
        <f>IFERROR(MATCH(J1210,'Final List'!$B$4:$B$252,0),0)</f>
        <v>0</v>
      </c>
      <c r="L1210" s="169">
        <f>IFERROR(MATCH(J1210,'Final List'!$D$4:$D$252,0),0)</f>
        <v>0</v>
      </c>
      <c r="M1210" s="169">
        <f>IFERROR(MATCH(J1210,'Final List'!$F$4:$F$251,0),0)</f>
        <v>0</v>
      </c>
      <c r="N1210" s="169">
        <f>IFERROR(MATCH(J1210,'Final List'!$H$4:$H$252,0),0)</f>
        <v>0</v>
      </c>
      <c r="O1210" s="169">
        <f>IFERROR(MATCH(J1210,'Final List'!$J$4:$J$252,0),0)</f>
        <v>0</v>
      </c>
      <c r="P1210" s="169">
        <f>IFERROR(MATCH(J1210,'Final List'!$L$4:$L$252,0),0)</f>
        <v>0</v>
      </c>
      <c r="Q1210" s="169">
        <f>IFERROR(MATCH(J1210,'Final List'!$N$4:$N$252,0),0)</f>
        <v>0</v>
      </c>
      <c r="R1210" s="169">
        <f>IFERROR(MATCH(J1210,'Final List'!$P$4:$P$252,0),0)</f>
        <v>0</v>
      </c>
      <c r="S1210" s="169">
        <f t="shared" si="75"/>
        <v>0</v>
      </c>
      <c r="V1210" s="169" t="str">
        <f t="shared" si="73"/>
        <v>BELICAN 1</v>
      </c>
      <c r="W1210" s="169" t="s">
        <v>8895</v>
      </c>
    </row>
    <row r="1211" spans="2:41" x14ac:dyDescent="0.25">
      <c r="B1211" s="169" t="s">
        <v>92</v>
      </c>
      <c r="C1211" s="169" t="s">
        <v>41</v>
      </c>
      <c r="D1211" s="169" t="s">
        <v>128</v>
      </c>
      <c r="E1211" s="169" t="s">
        <v>221</v>
      </c>
      <c r="F1211" s="245" t="str">
        <f t="shared" si="74"/>
        <v>RobC 80</v>
      </c>
      <c r="G1211" s="169" t="s">
        <v>5698</v>
      </c>
      <c r="I1211" s="169" t="str">
        <f t="shared" si="76"/>
        <v>L05_CTV_027E_WINZE STOPE</v>
      </c>
      <c r="J1211" s="169" t="s">
        <v>8280</v>
      </c>
      <c r="K1211" s="169">
        <f>IFERROR(MATCH(J1211,'Final List'!$B$4:$B$252,0),0)</f>
        <v>0</v>
      </c>
      <c r="L1211" s="169">
        <f>IFERROR(MATCH(J1211,'Final List'!$D$4:$D$252,0),0)</f>
        <v>0</v>
      </c>
      <c r="M1211" s="169">
        <f>IFERROR(MATCH(J1211,'Final List'!$F$4:$F$251,0),0)</f>
        <v>0</v>
      </c>
      <c r="N1211" s="169">
        <f>IFERROR(MATCH(J1211,'Final List'!$H$4:$H$252,0),0)</f>
        <v>0</v>
      </c>
      <c r="O1211" s="169">
        <f>IFERROR(MATCH(J1211,'Final List'!$J$4:$J$252,0),0)</f>
        <v>0</v>
      </c>
      <c r="P1211" s="169">
        <f>IFERROR(MATCH(J1211,'Final List'!$L$4:$L$252,0),0)</f>
        <v>0</v>
      </c>
      <c r="Q1211" s="169">
        <f>IFERROR(MATCH(J1211,'Final List'!$N$4:$N$252,0),0)</f>
        <v>0</v>
      </c>
      <c r="R1211" s="169">
        <f>IFERROR(MATCH(J1211,'Final List'!$P$4:$P$252,0),0)</f>
        <v>0</v>
      </c>
      <c r="S1211" s="169">
        <f t="shared" si="75"/>
        <v>0</v>
      </c>
      <c r="T1211" s="169" t="s">
        <v>48</v>
      </c>
      <c r="V1211" s="169" t="str">
        <f t="shared" si="73"/>
        <v>PARAN 1</v>
      </c>
      <c r="W1211" s="169" t="s">
        <v>2705</v>
      </c>
    </row>
    <row r="1212" spans="2:41" x14ac:dyDescent="0.25">
      <c r="B1212" s="169" t="s">
        <v>92</v>
      </c>
      <c r="C1212" s="169" t="s">
        <v>45</v>
      </c>
      <c r="D1212" s="169" t="s">
        <v>122</v>
      </c>
      <c r="E1212" s="169" t="s">
        <v>221</v>
      </c>
      <c r="F1212" s="245" t="str">
        <f t="shared" si="74"/>
        <v>RobC 80</v>
      </c>
      <c r="G1212" s="169" t="s">
        <v>5707</v>
      </c>
      <c r="I1212" s="169" t="str">
        <f t="shared" si="76"/>
        <v>L05_DPVE_025E_WINZE STOPE</v>
      </c>
      <c r="J1212" s="169" t="s">
        <v>8053</v>
      </c>
      <c r="K1212" s="169">
        <f>IFERROR(MATCH(J1212,'Final List'!$B$4:$B$252,0),0)</f>
        <v>0</v>
      </c>
      <c r="L1212" s="169">
        <f>IFERROR(MATCH(J1212,'Final List'!$D$4:$D$252,0),0)</f>
        <v>0</v>
      </c>
      <c r="M1212" s="169">
        <f>IFERROR(MATCH(J1212,'Final List'!$F$4:$F$251,0),0)</f>
        <v>0</v>
      </c>
      <c r="N1212" s="169">
        <f>IFERROR(MATCH(J1212,'Final List'!$H$4:$H$252,0),0)</f>
        <v>0</v>
      </c>
      <c r="O1212" s="169">
        <f>IFERROR(MATCH(J1212,'Final List'!$J$4:$J$252,0),0)</f>
        <v>0</v>
      </c>
      <c r="P1212" s="169">
        <f>IFERROR(MATCH(J1212,'Final List'!$L$4:$L$252,0),0)</f>
        <v>0</v>
      </c>
      <c r="Q1212" s="169">
        <f>IFERROR(MATCH(J1212,'Final List'!$N$4:$N$252,0),0)</f>
        <v>0</v>
      </c>
      <c r="R1212" s="169">
        <f>IFERROR(MATCH(J1212,'Final List'!$P$4:$P$252,0),0)</f>
        <v>0</v>
      </c>
      <c r="S1212" s="169">
        <f t="shared" si="75"/>
        <v>0</v>
      </c>
      <c r="T1212" s="169" t="s">
        <v>68</v>
      </c>
      <c r="V1212" s="169" t="str">
        <f t="shared" si="73"/>
        <v>SHEPHERD AF 2</v>
      </c>
      <c r="W1212" s="169" t="s">
        <v>2705</v>
      </c>
    </row>
    <row r="1213" spans="2:41" x14ac:dyDescent="0.25">
      <c r="B1213" s="169" t="s">
        <v>92</v>
      </c>
      <c r="C1213" s="169" t="s">
        <v>45</v>
      </c>
      <c r="D1213" s="169" t="s">
        <v>174</v>
      </c>
      <c r="E1213" s="169" t="s">
        <v>36</v>
      </c>
      <c r="F1213" s="245" t="str">
        <f t="shared" si="74"/>
        <v>StpS 77</v>
      </c>
      <c r="G1213" s="169" t="s">
        <v>7390</v>
      </c>
      <c r="I1213" s="169" t="str">
        <f t="shared" si="76"/>
        <v>L05_DPVE_052E_STOPE</v>
      </c>
      <c r="J1213" s="169" t="s">
        <v>8058</v>
      </c>
      <c r="K1213" s="169">
        <f>IFERROR(MATCH(J1213,'Final List'!$B$4:$B$252,0),0)</f>
        <v>0</v>
      </c>
      <c r="L1213" s="169">
        <f>IFERROR(MATCH(J1213,'Final List'!$D$4:$D$252,0),0)</f>
        <v>0</v>
      </c>
      <c r="M1213" s="169">
        <f>IFERROR(MATCH(J1213,'Final List'!$F$4:$F$251,0),0)</f>
        <v>0</v>
      </c>
      <c r="N1213" s="169">
        <f>IFERROR(MATCH(J1213,'Final List'!$H$4:$H$252,0),0)</f>
        <v>0</v>
      </c>
      <c r="O1213" s="169">
        <f>IFERROR(MATCH(J1213,'Final List'!$J$4:$J$252,0),0)</f>
        <v>0</v>
      </c>
      <c r="P1213" s="169">
        <f>IFERROR(MATCH(J1213,'Final List'!$L$4:$L$252,0),0)</f>
        <v>0</v>
      </c>
      <c r="Q1213" s="169">
        <f>IFERROR(MATCH(J1213,'Final List'!$N$4:$N$252,0),0)</f>
        <v>0</v>
      </c>
      <c r="R1213" s="169">
        <f>IFERROR(MATCH(J1213,'Final List'!$P$4:$P$252,0),0)</f>
        <v>0</v>
      </c>
      <c r="S1213" s="169">
        <f t="shared" si="75"/>
        <v>0</v>
      </c>
      <c r="T1213" s="169" t="s">
        <v>68</v>
      </c>
      <c r="V1213" s="169" t="str">
        <f t="shared" si="73"/>
        <v>FERNANDEZ, RG</v>
      </c>
      <c r="W1213" s="169" t="s">
        <v>2713</v>
      </c>
    </row>
    <row r="1214" spans="2:41" x14ac:dyDescent="0.25">
      <c r="B1214" s="169" t="s">
        <v>95</v>
      </c>
      <c r="C1214" s="169" t="s">
        <v>45</v>
      </c>
      <c r="D1214" s="169" t="s">
        <v>135</v>
      </c>
      <c r="E1214" s="169" t="s">
        <v>60</v>
      </c>
      <c r="F1214" s="245" t="str">
        <f t="shared" si="74"/>
        <v>Dhoz 71</v>
      </c>
      <c r="G1214" s="169" t="s">
        <v>368</v>
      </c>
      <c r="I1214" s="169" t="str">
        <f t="shared" si="76"/>
        <v>L08_DPVE_034E_DE</v>
      </c>
      <c r="J1214" s="169" t="s">
        <v>8059</v>
      </c>
      <c r="K1214" s="169">
        <f>IFERROR(MATCH(J1214,'Final List'!$B$4:$B$252,0),0)</f>
        <v>0</v>
      </c>
      <c r="L1214" s="169">
        <f>IFERROR(MATCH(J1214,'Final List'!$D$4:$D$252,0),0)</f>
        <v>0</v>
      </c>
      <c r="M1214" s="169">
        <f>IFERROR(MATCH(J1214,'Final List'!$F$4:$F$251,0),0)</f>
        <v>0</v>
      </c>
      <c r="N1214" s="169">
        <f>IFERROR(MATCH(J1214,'Final List'!$H$4:$H$252,0),0)</f>
        <v>0</v>
      </c>
      <c r="O1214" s="169">
        <f>IFERROR(MATCH(J1214,'Final List'!$J$4:$J$252,0),0)</f>
        <v>0</v>
      </c>
      <c r="P1214" s="169">
        <f>IFERROR(MATCH(J1214,'Final List'!$L$4:$L$252,0),0)</f>
        <v>0</v>
      </c>
      <c r="Q1214" s="169">
        <f>IFERROR(MATCH(J1214,'Final List'!$N$4:$N$252,0),0)</f>
        <v>0</v>
      </c>
      <c r="R1214" s="169">
        <f>IFERROR(MATCH(J1214,'Final List'!$P$4:$P$252,0),0)</f>
        <v>0</v>
      </c>
      <c r="S1214" s="169">
        <f t="shared" si="75"/>
        <v>0</v>
      </c>
      <c r="V1214" s="169" t="str">
        <f t="shared" si="73"/>
        <v>LERIO 2</v>
      </c>
      <c r="W1214" s="169" t="s">
        <v>8895</v>
      </c>
    </row>
    <row r="1215" spans="2:41" x14ac:dyDescent="0.25">
      <c r="B1215" s="169" t="s">
        <v>91</v>
      </c>
      <c r="C1215" s="169" t="s">
        <v>44</v>
      </c>
      <c r="D1215" s="169" t="s">
        <v>5689</v>
      </c>
      <c r="E1215" s="169" t="s">
        <v>60</v>
      </c>
      <c r="F1215" s="245" t="str">
        <f t="shared" si="74"/>
        <v>Dhoz 71</v>
      </c>
      <c r="G1215" s="169" t="s">
        <v>394</v>
      </c>
      <c r="I1215" s="169" t="str">
        <f t="shared" si="76"/>
        <v>L04_CV_003E_DE</v>
      </c>
      <c r="J1215" s="169" t="s">
        <v>8060</v>
      </c>
      <c r="K1215" s="169">
        <f>IFERROR(MATCH(J1215,'Final List'!$B$4:$B$252,0),0)</f>
        <v>0</v>
      </c>
      <c r="L1215" s="169">
        <f>IFERROR(MATCH(J1215,'Final List'!$D$4:$D$252,0),0)</f>
        <v>0</v>
      </c>
      <c r="M1215" s="169">
        <f>IFERROR(MATCH(J1215,'Final List'!$F$4:$F$251,0),0)</f>
        <v>0</v>
      </c>
      <c r="N1215" s="169">
        <f>IFERROR(MATCH(J1215,'Final List'!$H$4:$H$252,0),0)</f>
        <v>0</v>
      </c>
      <c r="O1215" s="169">
        <f>IFERROR(MATCH(J1215,'Final List'!$J$4:$J$252,0),0)</f>
        <v>0</v>
      </c>
      <c r="P1215" s="169">
        <f>IFERROR(MATCH(J1215,'Final List'!$L$4:$L$252,0),0)</f>
        <v>0</v>
      </c>
      <c r="Q1215" s="169">
        <f>IFERROR(MATCH(J1215,'Final List'!$N$4:$N$252,0),0)</f>
        <v>0</v>
      </c>
      <c r="R1215" s="169">
        <f>IFERROR(MATCH(J1215,'Final List'!$P$4:$P$252,0),0)</f>
        <v>0</v>
      </c>
      <c r="S1215" s="169">
        <f t="shared" si="75"/>
        <v>0</v>
      </c>
      <c r="V1215" s="169" t="str">
        <f t="shared" si="73"/>
        <v>ANDILAB 1</v>
      </c>
      <c r="W1215" s="169" t="s">
        <v>8895</v>
      </c>
    </row>
    <row r="1216" spans="2:41" x14ac:dyDescent="0.25">
      <c r="B1216" s="169" t="s">
        <v>1167</v>
      </c>
      <c r="C1216" s="169" t="s">
        <v>87</v>
      </c>
      <c r="D1216" s="169" t="s">
        <v>5742</v>
      </c>
      <c r="E1216" s="169" t="s">
        <v>37</v>
      </c>
      <c r="F1216" s="245" t="str">
        <f t="shared" si="74"/>
        <v>Dhoz 71</v>
      </c>
      <c r="G1216" s="169" t="s">
        <v>9441</v>
      </c>
      <c r="H1216" s="169" t="s">
        <v>6931</v>
      </c>
      <c r="I1216" s="169" t="str">
        <f t="shared" si="76"/>
        <v>L12_NONE_040E_XCN</v>
      </c>
      <c r="J1216" s="169" t="s">
        <v>10724</v>
      </c>
      <c r="K1216" s="169">
        <f>IFERROR(MATCH(J1216,'Final List'!$B$4:$B$252,0),0)</f>
        <v>0</v>
      </c>
      <c r="L1216" s="169">
        <f>IFERROR(MATCH(J1216,'Final List'!$D$4:$D$252,0),0)</f>
        <v>0</v>
      </c>
      <c r="M1216" s="169">
        <f>IFERROR(MATCH(J1216,'Final List'!$F$4:$F$251,0),0)</f>
        <v>0</v>
      </c>
      <c r="N1216" s="169">
        <f>IFERROR(MATCH(J1216,'Final List'!$H$4:$H$252,0),0)</f>
        <v>0</v>
      </c>
      <c r="O1216" s="169">
        <f>IFERROR(MATCH(J1216,'Final List'!$J$4:$J$252,0),0)</f>
        <v>0</v>
      </c>
      <c r="P1216" s="169">
        <f>IFERROR(MATCH(J1216,'Final List'!$L$4:$L$252,0),0)</f>
        <v>0</v>
      </c>
      <c r="Q1216" s="169">
        <f>IFERROR(MATCH(J1216,'Final List'!$N$4:$N$252,0),0)</f>
        <v>0</v>
      </c>
      <c r="R1216" s="169">
        <f>IFERROR(MATCH(J1216,'Final List'!$P$4:$P$252,0),0)</f>
        <v>0</v>
      </c>
      <c r="S1216" s="169">
        <f t="shared" si="75"/>
        <v>0</v>
      </c>
      <c r="V1216" s="169" t="str">
        <f t="shared" si="73"/>
        <v>DUHIG, P2</v>
      </c>
      <c r="W1216" s="169" t="s">
        <v>8898</v>
      </c>
    </row>
    <row r="1217" spans="2:23" x14ac:dyDescent="0.25">
      <c r="B1217" s="169" t="s">
        <v>93</v>
      </c>
      <c r="C1217" s="169" t="s">
        <v>38</v>
      </c>
      <c r="D1217" s="169" t="s">
        <v>123</v>
      </c>
      <c r="E1217" s="169" t="s">
        <v>62</v>
      </c>
      <c r="F1217" s="245" t="str">
        <f t="shared" si="74"/>
        <v>RobS 79</v>
      </c>
      <c r="G1217" s="169" t="s">
        <v>378</v>
      </c>
      <c r="I1217" s="169" t="str">
        <f t="shared" si="76"/>
        <v>L06_GHV_031E_ROBBING</v>
      </c>
      <c r="J1217" s="169" t="s">
        <v>8062</v>
      </c>
      <c r="K1217" s="169">
        <f>IFERROR(MATCH(J1217,'Final List'!$B$4:$B$252,0),0)</f>
        <v>0</v>
      </c>
      <c r="L1217" s="169">
        <f>IFERROR(MATCH(J1217,'Final List'!$D$4:$D$252,0),0)</f>
        <v>0</v>
      </c>
      <c r="M1217" s="169">
        <f>IFERROR(MATCH(J1217,'Final List'!$F$4:$F$251,0),0)</f>
        <v>0</v>
      </c>
      <c r="N1217" s="169">
        <f>IFERROR(MATCH(J1217,'Final List'!$H$4:$H$252,0),0)</f>
        <v>0</v>
      </c>
      <c r="O1217" s="169">
        <f>IFERROR(MATCH(J1217,'Final List'!$J$4:$J$252,0),0)</f>
        <v>0</v>
      </c>
      <c r="P1217" s="169">
        <f>IFERROR(MATCH(J1217,'Final List'!$L$4:$L$252,0),0)</f>
        <v>0</v>
      </c>
      <c r="Q1217" s="169">
        <f>IFERROR(MATCH(J1217,'Final List'!$N$4:$N$252,0),0)</f>
        <v>0</v>
      </c>
      <c r="R1217" s="169">
        <f>IFERROR(MATCH(J1217,'Final List'!$P$4:$P$252,0),0)</f>
        <v>0</v>
      </c>
      <c r="S1217" s="169">
        <f t="shared" si="75"/>
        <v>0</v>
      </c>
      <c r="T1217" s="169" t="s">
        <v>68</v>
      </c>
      <c r="V1217" s="169" t="str">
        <f t="shared" si="73"/>
        <v>GUNAY 1</v>
      </c>
      <c r="W1217" s="169" t="s">
        <v>2707</v>
      </c>
    </row>
    <row r="1218" spans="2:23" x14ac:dyDescent="0.25">
      <c r="B1218" s="169" t="s">
        <v>96</v>
      </c>
      <c r="C1218" s="169" t="s">
        <v>38</v>
      </c>
      <c r="D1218" s="169" t="s">
        <v>5604</v>
      </c>
      <c r="E1218" s="169" t="s">
        <v>62</v>
      </c>
      <c r="F1218" s="245" t="str">
        <f t="shared" si="74"/>
        <v>RobS 79</v>
      </c>
      <c r="G1218" s="169" t="s">
        <v>747</v>
      </c>
      <c r="I1218" s="169" t="str">
        <f t="shared" si="76"/>
        <v>L09_GHV_063E_ROBBING</v>
      </c>
      <c r="J1218" s="169" t="s">
        <v>8066</v>
      </c>
      <c r="K1218" s="169">
        <f>IFERROR(MATCH(J1218,'Final List'!$B$4:$B$252,0),0)</f>
        <v>0</v>
      </c>
      <c r="L1218" s="169">
        <f>IFERROR(MATCH(J1218,'Final List'!$D$4:$D$252,0),0)</f>
        <v>0</v>
      </c>
      <c r="M1218" s="169">
        <f>IFERROR(MATCH(J1218,'Final List'!$F$4:$F$251,0),0)</f>
        <v>0</v>
      </c>
      <c r="N1218" s="169">
        <f>IFERROR(MATCH(J1218,'Final List'!$H$4:$H$252,0),0)</f>
        <v>0</v>
      </c>
      <c r="O1218" s="169">
        <f>IFERROR(MATCH(J1218,'Final List'!$J$4:$J$252,0),0)</f>
        <v>0</v>
      </c>
      <c r="P1218" s="169">
        <f>IFERROR(MATCH(J1218,'Final List'!$L$4:$L$252,0),0)</f>
        <v>0</v>
      </c>
      <c r="Q1218" s="169">
        <f>IFERROR(MATCH(J1218,'Final List'!$N$4:$N$252,0),0)</f>
        <v>0</v>
      </c>
      <c r="R1218" s="169">
        <f>IFERROR(MATCH(J1218,'Final List'!$P$4:$P$252,0),0)</f>
        <v>0</v>
      </c>
      <c r="S1218" s="169">
        <f t="shared" si="75"/>
        <v>0</v>
      </c>
      <c r="T1218" s="169" t="s">
        <v>68</v>
      </c>
      <c r="V1218" s="169" t="str">
        <f t="shared" ref="V1218:V1281" si="77">IF(H1218="",G1218,H1218)</f>
        <v>REBOTE</v>
      </c>
      <c r="W1218" s="169" t="s">
        <v>2707</v>
      </c>
    </row>
    <row r="1219" spans="2:23" x14ac:dyDescent="0.25">
      <c r="B1219" s="169" t="s">
        <v>1167</v>
      </c>
      <c r="C1219" s="169" t="s">
        <v>59</v>
      </c>
      <c r="D1219" s="169" t="s">
        <v>5602</v>
      </c>
      <c r="E1219" s="169" t="s">
        <v>60</v>
      </c>
      <c r="F1219" s="245" t="str">
        <f t="shared" ref="F1219:F1282" si="78">IF(OR(E1219="XCN",E1219="DE",E1219="DW",E1219="DN",E1219="XCS",E1219="XCE",E1219="XCW",E1219="SUMP",E1219="BYPASS",E1219="CHAMBER",E1219="DRAIN HOLE",E1219="DRILLING CHAMBER",E1219="DE_ISL",E1219="DW_ISL",E1219="REHAB"),"Dhoz 71",IF(OR(E1219="RAISE",E1219="RAISE_ISL"),"DVR 72",IF(E1219="ALIMAK","DVA 73",IF(E1219="WINZE","DVW 74",IF(E1219="SHAFT","DVS 75",IF(AND(E1219="WINZE STOPE",T1219="S"),"RobC 80",IF(AND(E1219="STOPE",T1219="S"),"StpS 77",IF(AND(E1219="WINZE STOPE",T1219="L"),"RobC 80",IF(AND(E1219="STOPE",T1219="L"),"StpL 78",IF(AND(E1219="WINZE STOPE PREP",T1219="S"),"RobC 80",IF(AND(E1219="STOPE PREP",T1219="S"),"StpS 77",IF(AND(E1219="WINZE STOPE PREP",T1219="L"),"RobC 80",IF(AND(E1219="STOPE PREP",T1219="L"),"StpL 78",IF(AND(E1219="ROBBING",T1219="L"),"RobC 80",IF(AND(E1219="ROBBING",T1219="S"),"RobS 79",0)))))))))))))))</f>
        <v>Dhoz 71</v>
      </c>
      <c r="G1219" s="169" t="s">
        <v>9354</v>
      </c>
      <c r="I1219" s="169" t="str">
        <f t="shared" si="76"/>
        <v>L12_GHVHW_053E_DE</v>
      </c>
      <c r="J1219" s="169" t="s">
        <v>8075</v>
      </c>
      <c r="K1219" s="169">
        <f>IFERROR(MATCH(J1219,'Final List'!$B$4:$B$252,0),0)</f>
        <v>0</v>
      </c>
      <c r="L1219" s="169">
        <f>IFERROR(MATCH(J1219,'Final List'!$D$4:$D$252,0),0)</f>
        <v>0</v>
      </c>
      <c r="M1219" s="169">
        <f>IFERROR(MATCH(J1219,'Final List'!$F$4:$F$251,0),0)</f>
        <v>0</v>
      </c>
      <c r="N1219" s="169">
        <f>IFERROR(MATCH(J1219,'Final List'!$H$4:$H$252,0),0)</f>
        <v>0</v>
      </c>
      <c r="O1219" s="169">
        <f>IFERROR(MATCH(J1219,'Final List'!$J$4:$J$252,0),0)</f>
        <v>0</v>
      </c>
      <c r="P1219" s="169">
        <f>IFERROR(MATCH(J1219,'Final List'!$L$4:$L$252,0),0)</f>
        <v>0</v>
      </c>
      <c r="Q1219" s="169">
        <f>IFERROR(MATCH(J1219,'Final List'!$N$4:$N$252,0),0)</f>
        <v>0</v>
      </c>
      <c r="R1219" s="169">
        <f>IFERROR(MATCH(J1219,'Final List'!$P$4:$P$252,0),0)</f>
        <v>0</v>
      </c>
      <c r="S1219" s="169">
        <f t="shared" ref="S1219:S1282" si="79">SUM(K1219:R1219)</f>
        <v>0</v>
      </c>
      <c r="V1219" s="169" t="str">
        <f t="shared" si="77"/>
        <v>DUHIG, P8</v>
      </c>
      <c r="W1219" s="169" t="s">
        <v>8896</v>
      </c>
    </row>
    <row r="1220" spans="2:23" x14ac:dyDescent="0.25">
      <c r="B1220" s="169" t="s">
        <v>258</v>
      </c>
      <c r="C1220" s="169" t="s">
        <v>56</v>
      </c>
      <c r="D1220" s="169" t="s">
        <v>5781</v>
      </c>
      <c r="E1220" s="169" t="s">
        <v>36</v>
      </c>
      <c r="F1220" s="245" t="str">
        <f t="shared" si="78"/>
        <v>StpS 77</v>
      </c>
      <c r="G1220" s="169" t="s">
        <v>560</v>
      </c>
      <c r="I1220" s="169" t="str">
        <f t="shared" si="76"/>
        <v>L10_GHVFW_051E_STOPE</v>
      </c>
      <c r="J1220" s="169" t="s">
        <v>8077</v>
      </c>
      <c r="K1220" s="169">
        <f>IFERROR(MATCH(J1220,'Final List'!$B$4:$B$252,0),0)</f>
        <v>0</v>
      </c>
      <c r="L1220" s="169">
        <f>IFERROR(MATCH(J1220,'Final List'!$D$4:$D$252,0),0)</f>
        <v>0</v>
      </c>
      <c r="M1220" s="169">
        <f>IFERROR(MATCH(J1220,'Final List'!$F$4:$F$251,0),0)</f>
        <v>0</v>
      </c>
      <c r="N1220" s="169">
        <f>IFERROR(MATCH(J1220,'Final List'!$H$4:$H$252,0),0)</f>
        <v>0</v>
      </c>
      <c r="O1220" s="169">
        <f>IFERROR(MATCH(J1220,'Final List'!$J$4:$J$252,0),0)</f>
        <v>0</v>
      </c>
      <c r="P1220" s="169">
        <f>IFERROR(MATCH(J1220,'Final List'!$L$4:$L$252,0),0)</f>
        <v>0</v>
      </c>
      <c r="Q1220" s="169">
        <f>IFERROR(MATCH(J1220,'Final List'!$N$4:$N$252,0),0)</f>
        <v>0</v>
      </c>
      <c r="R1220" s="169">
        <f>IFERROR(MATCH(J1220,'Final List'!$P$4:$P$252,0),0)</f>
        <v>0</v>
      </c>
      <c r="S1220" s="169">
        <f t="shared" si="79"/>
        <v>0</v>
      </c>
      <c r="T1220" s="169" t="s">
        <v>68</v>
      </c>
      <c r="V1220" s="169" t="str">
        <f t="shared" si="77"/>
        <v>CAPOY 1</v>
      </c>
      <c r="W1220" s="169" t="s">
        <v>2713</v>
      </c>
    </row>
    <row r="1221" spans="2:23" x14ac:dyDescent="0.25">
      <c r="B1221" s="169" t="s">
        <v>258</v>
      </c>
      <c r="C1221" s="169" t="s">
        <v>39</v>
      </c>
      <c r="D1221" s="169" t="s">
        <v>5723</v>
      </c>
      <c r="E1221" s="169" t="s">
        <v>60</v>
      </c>
      <c r="F1221" s="245" t="str">
        <f t="shared" si="78"/>
        <v>Dhoz 71</v>
      </c>
      <c r="G1221" s="169" t="s">
        <v>7984</v>
      </c>
      <c r="I1221" s="169" t="str">
        <f t="shared" si="76"/>
        <v>L10_JVHW_046E_DE</v>
      </c>
      <c r="J1221" s="169" t="s">
        <v>8082</v>
      </c>
      <c r="K1221" s="169">
        <f>IFERROR(MATCH(J1221,'Final List'!$B$4:$B$252,0),0)</f>
        <v>0</v>
      </c>
      <c r="L1221" s="169">
        <f>IFERROR(MATCH(J1221,'Final List'!$D$4:$D$252,0),0)</f>
        <v>0</v>
      </c>
      <c r="M1221" s="169">
        <f>IFERROR(MATCH(J1221,'Final List'!$F$4:$F$251,0),0)</f>
        <v>0</v>
      </c>
      <c r="N1221" s="169">
        <f>IFERROR(MATCH(J1221,'Final List'!$H$4:$H$252,0),0)</f>
        <v>0</v>
      </c>
      <c r="O1221" s="169">
        <f>IFERROR(MATCH(J1221,'Final List'!$J$4:$J$252,0),0)</f>
        <v>0</v>
      </c>
      <c r="P1221" s="169">
        <f>IFERROR(MATCH(J1221,'Final List'!$L$4:$L$252,0),0)</f>
        <v>0</v>
      </c>
      <c r="Q1221" s="169">
        <f>IFERROR(MATCH(J1221,'Final List'!$N$4:$N$252,0),0)</f>
        <v>0</v>
      </c>
      <c r="R1221" s="169">
        <f>IFERROR(MATCH(J1221,'Final List'!$P$4:$P$252,0),0)</f>
        <v>0</v>
      </c>
      <c r="S1221" s="169">
        <f t="shared" si="79"/>
        <v>0</v>
      </c>
      <c r="V1221" s="169" t="str">
        <f t="shared" si="77"/>
        <v>OLIVEROS</v>
      </c>
      <c r="W1221" s="169" t="s">
        <v>8896</v>
      </c>
    </row>
    <row r="1222" spans="2:23" x14ac:dyDescent="0.25">
      <c r="B1222" s="169" t="s">
        <v>95</v>
      </c>
      <c r="C1222" s="169" t="s">
        <v>45</v>
      </c>
      <c r="D1222" s="169" t="s">
        <v>143</v>
      </c>
      <c r="E1222" s="169" t="s">
        <v>61</v>
      </c>
      <c r="F1222" s="245" t="str">
        <f t="shared" si="78"/>
        <v>Dhoz 71</v>
      </c>
      <c r="G1222" s="169" t="s">
        <v>367</v>
      </c>
      <c r="I1222" s="169" t="str">
        <f t="shared" si="76"/>
        <v>L08_DPVE_032E_DW</v>
      </c>
      <c r="J1222" s="169" t="s">
        <v>8084</v>
      </c>
      <c r="K1222" s="169">
        <f>IFERROR(MATCH(J1222,'Final List'!$B$4:$B$252,0),0)</f>
        <v>0</v>
      </c>
      <c r="L1222" s="169">
        <f>IFERROR(MATCH(J1222,'Final List'!$D$4:$D$252,0),0)</f>
        <v>0</v>
      </c>
      <c r="M1222" s="169">
        <f>IFERROR(MATCH(J1222,'Final List'!$F$4:$F$251,0),0)</f>
        <v>0</v>
      </c>
      <c r="N1222" s="169">
        <f>IFERROR(MATCH(J1222,'Final List'!$H$4:$H$252,0),0)</f>
        <v>0</v>
      </c>
      <c r="O1222" s="169">
        <f>IFERROR(MATCH(J1222,'Final List'!$J$4:$J$252,0),0)</f>
        <v>0</v>
      </c>
      <c r="P1222" s="169">
        <f>IFERROR(MATCH(J1222,'Final List'!$L$4:$L$252,0),0)</f>
        <v>0</v>
      </c>
      <c r="Q1222" s="169">
        <f>IFERROR(MATCH(J1222,'Final List'!$N$4:$N$252,0),0)</f>
        <v>0</v>
      </c>
      <c r="R1222" s="169">
        <f>IFERROR(MATCH(J1222,'Final List'!$P$4:$P$252,0),0)</f>
        <v>0</v>
      </c>
      <c r="S1222" s="169">
        <f t="shared" si="79"/>
        <v>0</v>
      </c>
      <c r="V1222" s="169" t="str">
        <f t="shared" si="77"/>
        <v>LERIO 1</v>
      </c>
      <c r="W1222" s="169" t="s">
        <v>8895</v>
      </c>
    </row>
    <row r="1223" spans="2:23" x14ac:dyDescent="0.25">
      <c r="B1223" s="169" t="s">
        <v>91</v>
      </c>
      <c r="C1223" s="169" t="s">
        <v>56</v>
      </c>
      <c r="D1223" s="169" t="s">
        <v>103</v>
      </c>
      <c r="E1223" s="169" t="s">
        <v>6143</v>
      </c>
      <c r="F1223" s="245" t="str">
        <f t="shared" si="78"/>
        <v>Dhoz 71</v>
      </c>
      <c r="G1223" s="169" t="s">
        <v>7876</v>
      </c>
      <c r="I1223" s="169" t="str">
        <f t="shared" si="76"/>
        <v>L04_GHVFW_005E_DE_ISL</v>
      </c>
      <c r="J1223" s="169" t="s">
        <v>8131</v>
      </c>
      <c r="K1223" s="169">
        <f>IFERROR(MATCH(J1223,'Final List'!$B$4:$B$252,0),0)</f>
        <v>0</v>
      </c>
      <c r="L1223" s="169">
        <f>IFERROR(MATCH(J1223,'Final List'!$D$4:$D$252,0),0)</f>
        <v>0</v>
      </c>
      <c r="M1223" s="169">
        <f>IFERROR(MATCH(J1223,'Final List'!$F$4:$F$251,0),0)</f>
        <v>0</v>
      </c>
      <c r="N1223" s="169">
        <f>IFERROR(MATCH(J1223,'Final List'!$H$4:$H$252,0),0)</f>
        <v>0</v>
      </c>
      <c r="O1223" s="169">
        <f>IFERROR(MATCH(J1223,'Final List'!$J$4:$J$252,0),0)</f>
        <v>0</v>
      </c>
      <c r="P1223" s="169">
        <f>IFERROR(MATCH(J1223,'Final List'!$L$4:$L$252,0),0)</f>
        <v>0</v>
      </c>
      <c r="Q1223" s="169">
        <f>IFERROR(MATCH(J1223,'Final List'!$N$4:$N$252,0),0)</f>
        <v>0</v>
      </c>
      <c r="R1223" s="169">
        <f>IFERROR(MATCH(J1223,'Final List'!$P$4:$P$252,0),0)</f>
        <v>0</v>
      </c>
      <c r="S1223" s="169">
        <f t="shared" si="79"/>
        <v>0</v>
      </c>
      <c r="V1223" s="169" t="str">
        <f t="shared" si="77"/>
        <v>SHEPHERD AL 2</v>
      </c>
      <c r="W1223" s="169" t="s">
        <v>2708</v>
      </c>
    </row>
    <row r="1224" spans="2:23" x14ac:dyDescent="0.25">
      <c r="B1224" s="169" t="s">
        <v>96</v>
      </c>
      <c r="C1224" s="169" t="s">
        <v>43</v>
      </c>
      <c r="D1224" s="169" t="s">
        <v>176</v>
      </c>
      <c r="E1224" s="169" t="s">
        <v>19</v>
      </c>
      <c r="F1224" s="245" t="str">
        <f t="shared" si="78"/>
        <v>DVR 72</v>
      </c>
      <c r="G1224" s="169" t="s">
        <v>8086</v>
      </c>
      <c r="I1224" s="169" t="str">
        <f t="shared" si="76"/>
        <v>L09_GHVSPLIT_057E_RAISE</v>
      </c>
      <c r="J1224" s="169" t="s">
        <v>8088</v>
      </c>
      <c r="K1224" s="169">
        <f>IFERROR(MATCH(J1224,'Final List'!$B$4:$B$252,0),0)</f>
        <v>0</v>
      </c>
      <c r="L1224" s="169">
        <f>IFERROR(MATCH(J1224,'Final List'!$D$4:$D$252,0),0)</f>
        <v>0</v>
      </c>
      <c r="M1224" s="169">
        <f>IFERROR(MATCH(J1224,'Final List'!$F$4:$F$251,0),0)</f>
        <v>0</v>
      </c>
      <c r="N1224" s="169">
        <f>IFERROR(MATCH(J1224,'Final List'!$H$4:$H$252,0),0)</f>
        <v>0</v>
      </c>
      <c r="O1224" s="169">
        <f>IFERROR(MATCH(J1224,'Final List'!$J$4:$J$252,0),0)</f>
        <v>0</v>
      </c>
      <c r="P1224" s="169">
        <f>IFERROR(MATCH(J1224,'Final List'!$L$4:$L$252,0),0)</f>
        <v>0</v>
      </c>
      <c r="Q1224" s="169">
        <f>IFERROR(MATCH(J1224,'Final List'!$N$4:$N$252,0),0)</f>
        <v>0</v>
      </c>
      <c r="R1224" s="169">
        <f>IFERROR(MATCH(J1224,'Final List'!$P$4:$P$252,0),0)</f>
        <v>0</v>
      </c>
      <c r="S1224" s="169">
        <f t="shared" si="79"/>
        <v>0</v>
      </c>
      <c r="V1224" s="169" t="str">
        <f t="shared" si="77"/>
        <v>DELOS</v>
      </c>
      <c r="W1224" s="169" t="s">
        <v>2715</v>
      </c>
    </row>
    <row r="1225" spans="2:23" x14ac:dyDescent="0.25">
      <c r="B1225" s="169" t="s">
        <v>96</v>
      </c>
      <c r="C1225" s="169" t="s">
        <v>56</v>
      </c>
      <c r="D1225" s="169" t="s">
        <v>5604</v>
      </c>
      <c r="E1225" s="169" t="s">
        <v>62</v>
      </c>
      <c r="F1225" s="245" t="str">
        <f t="shared" si="78"/>
        <v>RobS 79</v>
      </c>
      <c r="G1225" s="169" t="s">
        <v>485</v>
      </c>
      <c r="I1225" s="169" t="str">
        <f t="shared" si="76"/>
        <v>L09_GHVFW_063E_ROBBING</v>
      </c>
      <c r="J1225" s="169" t="s">
        <v>11020</v>
      </c>
      <c r="K1225" s="169">
        <f>IFERROR(MATCH(J1225,'Final List'!$B$4:$B$252,0),0)</f>
        <v>0</v>
      </c>
      <c r="L1225" s="169">
        <f>IFERROR(MATCH(J1225,'Final List'!$D$4:$D$252,0),0)</f>
        <v>0</v>
      </c>
      <c r="M1225" s="169">
        <f>IFERROR(MATCH(J1225,'Final List'!$F$4:$F$251,0),0)</f>
        <v>0</v>
      </c>
      <c r="N1225" s="169">
        <f>IFERROR(MATCH(J1225,'Final List'!$H$4:$H$252,0),0)</f>
        <v>0</v>
      </c>
      <c r="O1225" s="169">
        <f>IFERROR(MATCH(J1225,'Final List'!$J$4:$J$252,0),0)</f>
        <v>0</v>
      </c>
      <c r="P1225" s="169">
        <f>IFERROR(MATCH(J1225,'Final List'!$L$4:$L$252,0),0)</f>
        <v>0</v>
      </c>
      <c r="Q1225" s="169">
        <f>IFERROR(MATCH(J1225,'Final List'!$N$4:$N$252,0),0)</f>
        <v>0</v>
      </c>
      <c r="R1225" s="169">
        <f>IFERROR(MATCH(J1225,'Final List'!$P$4:$P$252,0),0)</f>
        <v>0</v>
      </c>
      <c r="S1225" s="169">
        <f t="shared" si="79"/>
        <v>0</v>
      </c>
      <c r="T1225" s="169" t="s">
        <v>68</v>
      </c>
      <c r="V1225" s="169" t="str">
        <f t="shared" si="77"/>
        <v>BALANGHIG 3</v>
      </c>
      <c r="W1225" s="169" t="s">
        <v>2707</v>
      </c>
    </row>
    <row r="1226" spans="2:23" x14ac:dyDescent="0.25">
      <c r="B1226" s="169" t="s">
        <v>258</v>
      </c>
      <c r="C1226" s="169" t="s">
        <v>45</v>
      </c>
      <c r="D1226" s="169" t="s">
        <v>142</v>
      </c>
      <c r="E1226" s="169" t="s">
        <v>211</v>
      </c>
      <c r="F1226" s="245" t="str">
        <f t="shared" si="78"/>
        <v>StpS 77</v>
      </c>
      <c r="G1226" s="169" t="s">
        <v>374</v>
      </c>
      <c r="I1226" s="169" t="str">
        <f t="shared" si="76"/>
        <v>L10_DPVE_038E_STOPE PREP</v>
      </c>
      <c r="J1226" s="169" t="s">
        <v>8073</v>
      </c>
      <c r="K1226" s="169">
        <f>IFERROR(MATCH(J1226,'Final List'!$B$4:$B$252,0),0)</f>
        <v>0</v>
      </c>
      <c r="L1226" s="169">
        <f>IFERROR(MATCH(J1226,'Final List'!$D$4:$D$252,0),0)</f>
        <v>0</v>
      </c>
      <c r="M1226" s="169">
        <f>IFERROR(MATCH(J1226,'Final List'!$F$4:$F$251,0),0)</f>
        <v>0</v>
      </c>
      <c r="N1226" s="169">
        <f>IFERROR(MATCH(J1226,'Final List'!$H$4:$H$252,0),0)</f>
        <v>0</v>
      </c>
      <c r="O1226" s="169">
        <f>IFERROR(MATCH(J1226,'Final List'!$J$4:$J$252,0),0)</f>
        <v>0</v>
      </c>
      <c r="P1226" s="169">
        <f>IFERROR(MATCH(J1226,'Final List'!$L$4:$L$252,0),0)</f>
        <v>0</v>
      </c>
      <c r="Q1226" s="169">
        <f>IFERROR(MATCH(J1226,'Final List'!$N$4:$N$252,0),0)</f>
        <v>0</v>
      </c>
      <c r="R1226" s="169">
        <f>IFERROR(MATCH(J1226,'Final List'!$P$4:$P$252,0),0)</f>
        <v>0</v>
      </c>
      <c r="S1226" s="169">
        <f t="shared" si="79"/>
        <v>0</v>
      </c>
      <c r="T1226" s="169" t="s">
        <v>68</v>
      </c>
      <c r="V1226" s="169" t="str">
        <f t="shared" si="77"/>
        <v>TAÑEZA 6</v>
      </c>
      <c r="W1226" s="169" t="s">
        <v>2712</v>
      </c>
    </row>
    <row r="1227" spans="2:23" x14ac:dyDescent="0.25">
      <c r="B1227" s="169" t="s">
        <v>92</v>
      </c>
      <c r="C1227" s="169" t="s">
        <v>42</v>
      </c>
      <c r="D1227" s="169" t="s">
        <v>5912</v>
      </c>
      <c r="E1227" s="169" t="s">
        <v>60</v>
      </c>
      <c r="F1227" s="245" t="str">
        <f t="shared" si="78"/>
        <v>Dhoz 71</v>
      </c>
      <c r="G1227" s="169" t="s">
        <v>7517</v>
      </c>
      <c r="I1227" s="169" t="str">
        <f t="shared" si="76"/>
        <v>L05_JV_019E_DE</v>
      </c>
      <c r="J1227" s="169" t="s">
        <v>8071</v>
      </c>
      <c r="K1227" s="169">
        <f>IFERROR(MATCH(J1227,'Final List'!$B$4:$B$252,0),0)</f>
        <v>0</v>
      </c>
      <c r="L1227" s="169">
        <f>IFERROR(MATCH(J1227,'Final List'!$D$4:$D$252,0),0)</f>
        <v>0</v>
      </c>
      <c r="M1227" s="169">
        <f>IFERROR(MATCH(J1227,'Final List'!$F$4:$F$251,0),0)</f>
        <v>0</v>
      </c>
      <c r="N1227" s="169">
        <f>IFERROR(MATCH(J1227,'Final List'!$H$4:$H$252,0),0)</f>
        <v>0</v>
      </c>
      <c r="O1227" s="169">
        <f>IFERROR(MATCH(J1227,'Final List'!$J$4:$J$252,0),0)</f>
        <v>0</v>
      </c>
      <c r="P1227" s="169">
        <f>IFERROR(MATCH(J1227,'Final List'!$L$4:$L$252,0),0)</f>
        <v>0</v>
      </c>
      <c r="Q1227" s="169">
        <f>IFERROR(MATCH(J1227,'Final List'!$N$4:$N$252,0),0)</f>
        <v>0</v>
      </c>
      <c r="R1227" s="169">
        <f>IFERROR(MATCH(J1227,'Final List'!$P$4:$P$252,0),0)</f>
        <v>0</v>
      </c>
      <c r="S1227" s="169">
        <f t="shared" si="79"/>
        <v>0</v>
      </c>
      <c r="V1227" s="169" t="str">
        <f t="shared" si="77"/>
        <v>FERNANDEZ RG</v>
      </c>
      <c r="W1227" s="169" t="s">
        <v>8895</v>
      </c>
    </row>
    <row r="1228" spans="2:23" x14ac:dyDescent="0.25">
      <c r="B1228" s="169" t="s">
        <v>92</v>
      </c>
      <c r="C1228" s="169" t="s">
        <v>57</v>
      </c>
      <c r="D1228" s="169" t="s">
        <v>5689</v>
      </c>
      <c r="E1228" s="169" t="s">
        <v>60</v>
      </c>
      <c r="F1228" s="245" t="str">
        <f t="shared" si="78"/>
        <v>Dhoz 71</v>
      </c>
      <c r="G1228" s="169" t="s">
        <v>3955</v>
      </c>
      <c r="I1228" s="169" t="str">
        <f t="shared" si="76"/>
        <v>L05_JVSPLIT_003E_DE</v>
      </c>
      <c r="J1228" s="169" t="s">
        <v>8277</v>
      </c>
      <c r="K1228" s="169">
        <f>IFERROR(MATCH(J1228,'Final List'!$B$4:$B$252,0),0)</f>
        <v>0</v>
      </c>
      <c r="L1228" s="169">
        <f>IFERROR(MATCH(J1228,'Final List'!$D$4:$D$252,0),0)</f>
        <v>0</v>
      </c>
      <c r="M1228" s="169">
        <f>IFERROR(MATCH(J1228,'Final List'!$F$4:$F$251,0),0)</f>
        <v>0</v>
      </c>
      <c r="N1228" s="169">
        <f>IFERROR(MATCH(J1228,'Final List'!$H$4:$H$252,0),0)</f>
        <v>0</v>
      </c>
      <c r="O1228" s="169">
        <f>IFERROR(MATCH(J1228,'Final List'!$J$4:$J$252,0),0)</f>
        <v>0</v>
      </c>
      <c r="P1228" s="169">
        <f>IFERROR(MATCH(J1228,'Final List'!$L$4:$L$252,0),0)</f>
        <v>0</v>
      </c>
      <c r="Q1228" s="169">
        <f>IFERROR(MATCH(J1228,'Final List'!$N$4:$N$252,0),0)</f>
        <v>0</v>
      </c>
      <c r="R1228" s="169">
        <f>IFERROR(MATCH(J1228,'Final List'!$P$4:$P$252,0),0)</f>
        <v>0</v>
      </c>
      <c r="S1228" s="169">
        <f t="shared" si="79"/>
        <v>0</v>
      </c>
      <c r="V1228" s="169" t="str">
        <f t="shared" si="77"/>
        <v>SAMBERE</v>
      </c>
      <c r="W1228" s="169" t="s">
        <v>8895</v>
      </c>
    </row>
    <row r="1229" spans="2:23" x14ac:dyDescent="0.25">
      <c r="B1229" s="169" t="s">
        <v>95</v>
      </c>
      <c r="C1229" s="169" t="s">
        <v>57</v>
      </c>
      <c r="D1229" s="169" t="s">
        <v>197</v>
      </c>
      <c r="E1229" s="169" t="s">
        <v>61</v>
      </c>
      <c r="F1229" s="245" t="str">
        <f t="shared" si="78"/>
        <v>Dhoz 71</v>
      </c>
      <c r="G1229" s="169" t="s">
        <v>386</v>
      </c>
      <c r="I1229" s="169" t="str">
        <f t="shared" si="76"/>
        <v>L08_JVSPLIT_070E_DW</v>
      </c>
      <c r="J1229" s="169" t="s">
        <v>8069</v>
      </c>
      <c r="K1229" s="169">
        <f>IFERROR(MATCH(J1229,'Final List'!$B$4:$B$252,0),0)</f>
        <v>0</v>
      </c>
      <c r="L1229" s="169">
        <f>IFERROR(MATCH(J1229,'Final List'!$D$4:$D$252,0),0)</f>
        <v>0</v>
      </c>
      <c r="M1229" s="169">
        <f>IFERROR(MATCH(J1229,'Final List'!$F$4:$F$251,0),0)</f>
        <v>0</v>
      </c>
      <c r="N1229" s="169">
        <f>IFERROR(MATCH(J1229,'Final List'!$H$4:$H$252,0),0)</f>
        <v>0</v>
      </c>
      <c r="O1229" s="169">
        <f>IFERROR(MATCH(J1229,'Final List'!$J$4:$J$252,0),0)</f>
        <v>0</v>
      </c>
      <c r="P1229" s="169">
        <f>IFERROR(MATCH(J1229,'Final List'!$L$4:$L$252,0),0)</f>
        <v>0</v>
      </c>
      <c r="Q1229" s="169">
        <f>IFERROR(MATCH(J1229,'Final List'!$N$4:$N$252,0),0)</f>
        <v>0</v>
      </c>
      <c r="R1229" s="169">
        <f>IFERROR(MATCH(J1229,'Final List'!$P$4:$P$252,0),0)</f>
        <v>0</v>
      </c>
      <c r="S1229" s="169">
        <f t="shared" si="79"/>
        <v>0</v>
      </c>
      <c r="V1229" s="169" t="str">
        <f t="shared" si="77"/>
        <v>REVITA 1</v>
      </c>
      <c r="W1229" s="169" t="s">
        <v>8895</v>
      </c>
    </row>
    <row r="1230" spans="2:23" x14ac:dyDescent="0.25">
      <c r="B1230" s="169" t="s">
        <v>93</v>
      </c>
      <c r="C1230" s="169" t="s">
        <v>87</v>
      </c>
      <c r="D1230" s="169" t="s">
        <v>167</v>
      </c>
      <c r="E1230" s="169" t="s">
        <v>37</v>
      </c>
      <c r="F1230" s="245" t="str">
        <f t="shared" si="78"/>
        <v>Dhoz 71</v>
      </c>
      <c r="G1230" s="169" t="s">
        <v>352</v>
      </c>
      <c r="I1230" s="169" t="str">
        <f t="shared" si="76"/>
        <v>L06_NONE_058E_XCN</v>
      </c>
      <c r="J1230" s="169" t="s">
        <v>1299</v>
      </c>
      <c r="K1230" s="169">
        <f>IFERROR(MATCH(J1230,'Final List'!$B$4:$B$252,0),0)</f>
        <v>0</v>
      </c>
      <c r="L1230" s="169">
        <f>IFERROR(MATCH(J1230,'Final List'!$D$4:$D$252,0),0)</f>
        <v>0</v>
      </c>
      <c r="M1230" s="169">
        <f>IFERROR(MATCH(J1230,'Final List'!$F$4:$F$251,0),0)</f>
        <v>0</v>
      </c>
      <c r="N1230" s="169">
        <f>IFERROR(MATCH(J1230,'Final List'!$H$4:$H$252,0),0)</f>
        <v>0</v>
      </c>
      <c r="O1230" s="169">
        <f>IFERROR(MATCH(J1230,'Final List'!$J$4:$J$252,0),0)</f>
        <v>0</v>
      </c>
      <c r="P1230" s="169">
        <f>IFERROR(MATCH(J1230,'Final List'!$L$4:$L$252,0),0)</f>
        <v>0</v>
      </c>
      <c r="Q1230" s="169">
        <f>IFERROR(MATCH(J1230,'Final List'!$N$4:$N$252,0),0)</f>
        <v>0</v>
      </c>
      <c r="R1230" s="169">
        <f>IFERROR(MATCH(J1230,'Final List'!$P$4:$P$252,0),0)</f>
        <v>0</v>
      </c>
      <c r="S1230" s="169">
        <f t="shared" si="79"/>
        <v>0</v>
      </c>
      <c r="V1230" s="169" t="str">
        <f t="shared" si="77"/>
        <v>BAÑEZ 5</v>
      </c>
      <c r="W1230" s="169" t="s">
        <v>8897</v>
      </c>
    </row>
    <row r="1231" spans="2:23" x14ac:dyDescent="0.25">
      <c r="B1231" s="169" t="s">
        <v>91</v>
      </c>
      <c r="C1231" s="169" t="s">
        <v>41</v>
      </c>
      <c r="D1231" s="169" t="s">
        <v>100</v>
      </c>
      <c r="E1231" s="169" t="s">
        <v>36</v>
      </c>
      <c r="F1231" s="245" t="str">
        <f t="shared" si="78"/>
        <v>StpS 77</v>
      </c>
      <c r="G1231" s="169" t="s">
        <v>298</v>
      </c>
      <c r="I1231" s="169" t="str">
        <f t="shared" si="76"/>
        <v>L04_CTV_020W_STOPE</v>
      </c>
      <c r="J1231" s="169" t="s">
        <v>8089</v>
      </c>
      <c r="K1231" s="169">
        <f>IFERROR(MATCH(J1231,'Final List'!$B$4:$B$252,0),0)</f>
        <v>0</v>
      </c>
      <c r="L1231" s="169">
        <f>IFERROR(MATCH(J1231,'Final List'!$D$4:$D$252,0),0)</f>
        <v>0</v>
      </c>
      <c r="M1231" s="169">
        <f>IFERROR(MATCH(J1231,'Final List'!$F$4:$F$251,0),0)</f>
        <v>0</v>
      </c>
      <c r="N1231" s="169">
        <f>IFERROR(MATCH(J1231,'Final List'!$H$4:$H$252,0),0)</f>
        <v>0</v>
      </c>
      <c r="O1231" s="169">
        <f>IFERROR(MATCH(J1231,'Final List'!$J$4:$J$252,0),0)</f>
        <v>0</v>
      </c>
      <c r="P1231" s="169">
        <f>IFERROR(MATCH(J1231,'Final List'!$L$4:$L$252,0),0)</f>
        <v>0</v>
      </c>
      <c r="Q1231" s="169">
        <f>IFERROR(MATCH(J1231,'Final List'!$N$4:$N$252,0),0)</f>
        <v>0</v>
      </c>
      <c r="R1231" s="169">
        <f>IFERROR(MATCH(J1231,'Final List'!$P$4:$P$252,0),0)</f>
        <v>0</v>
      </c>
      <c r="S1231" s="169">
        <f t="shared" si="79"/>
        <v>0</v>
      </c>
      <c r="T1231" s="169" t="s">
        <v>68</v>
      </c>
      <c r="V1231" s="169" t="str">
        <f t="shared" si="77"/>
        <v>NOCOS 1</v>
      </c>
      <c r="W1231" s="169" t="s">
        <v>2711</v>
      </c>
    </row>
    <row r="1232" spans="2:23" x14ac:dyDescent="0.25">
      <c r="B1232" s="169" t="s">
        <v>95</v>
      </c>
      <c r="C1232" s="169" t="s">
        <v>45</v>
      </c>
      <c r="D1232" s="169" t="s">
        <v>6387</v>
      </c>
      <c r="E1232" s="169" t="s">
        <v>61</v>
      </c>
      <c r="F1232" s="245" t="str">
        <f t="shared" si="78"/>
        <v>Dhoz 71</v>
      </c>
      <c r="G1232" s="169" t="s">
        <v>6936</v>
      </c>
      <c r="I1232" s="169" t="str">
        <f t="shared" si="76"/>
        <v>L08_DPVE_079E_DW</v>
      </c>
      <c r="J1232" s="169" t="s">
        <v>8091</v>
      </c>
      <c r="K1232" s="169">
        <f>IFERROR(MATCH(J1232,'Final List'!$B$4:$B$252,0),0)</f>
        <v>0</v>
      </c>
      <c r="L1232" s="169">
        <f>IFERROR(MATCH(J1232,'Final List'!$D$4:$D$252,0),0)</f>
        <v>0</v>
      </c>
      <c r="M1232" s="169">
        <f>IFERROR(MATCH(J1232,'Final List'!$F$4:$F$251,0),0)</f>
        <v>0</v>
      </c>
      <c r="N1232" s="169">
        <f>IFERROR(MATCH(J1232,'Final List'!$H$4:$H$252,0),0)</f>
        <v>0</v>
      </c>
      <c r="O1232" s="169">
        <f>IFERROR(MATCH(J1232,'Final List'!$J$4:$J$252,0),0)</f>
        <v>0</v>
      </c>
      <c r="P1232" s="169">
        <f>IFERROR(MATCH(J1232,'Final List'!$L$4:$L$252,0),0)</f>
        <v>0</v>
      </c>
      <c r="Q1232" s="169">
        <f>IFERROR(MATCH(J1232,'Final List'!$N$4:$N$252,0),0)</f>
        <v>0</v>
      </c>
      <c r="R1232" s="169">
        <f>IFERROR(MATCH(J1232,'Final List'!$P$4:$P$252,0),0)</f>
        <v>0</v>
      </c>
      <c r="S1232" s="169">
        <f t="shared" si="79"/>
        <v>0</v>
      </c>
      <c r="V1232" s="169" t="str">
        <f t="shared" si="77"/>
        <v>OSWAY 1</v>
      </c>
      <c r="W1232" s="169" t="s">
        <v>8895</v>
      </c>
    </row>
    <row r="1233" spans="2:23" x14ac:dyDescent="0.25">
      <c r="B1233" s="169" t="s">
        <v>258</v>
      </c>
      <c r="C1233" s="169" t="s">
        <v>87</v>
      </c>
      <c r="D1233" s="169" t="s">
        <v>133</v>
      </c>
      <c r="E1233" s="169" t="s">
        <v>20</v>
      </c>
      <c r="F1233" s="245" t="str">
        <f t="shared" si="78"/>
        <v>DVW 74</v>
      </c>
      <c r="G1233" s="169" t="s">
        <v>8093</v>
      </c>
      <c r="I1233" s="169" t="str">
        <f t="shared" si="76"/>
        <v>L10_NONE_037E_WINZE</v>
      </c>
      <c r="J1233" s="169" t="s">
        <v>8092</v>
      </c>
      <c r="K1233" s="169">
        <f>IFERROR(MATCH(J1233,'Final List'!$B$4:$B$252,0),0)</f>
        <v>0</v>
      </c>
      <c r="L1233" s="169">
        <f>IFERROR(MATCH(J1233,'Final List'!$D$4:$D$252,0),0)</f>
        <v>0</v>
      </c>
      <c r="M1233" s="169">
        <f>IFERROR(MATCH(J1233,'Final List'!$F$4:$F$251,0),0)</f>
        <v>0</v>
      </c>
      <c r="N1233" s="169">
        <f>IFERROR(MATCH(J1233,'Final List'!$H$4:$H$252,0),0)</f>
        <v>0</v>
      </c>
      <c r="O1233" s="169">
        <f>IFERROR(MATCH(J1233,'Final List'!$J$4:$J$252,0),0)</f>
        <v>0</v>
      </c>
      <c r="P1233" s="169">
        <f>IFERROR(MATCH(J1233,'Final List'!$L$4:$L$252,0),0)</f>
        <v>0</v>
      </c>
      <c r="Q1233" s="169">
        <f>IFERROR(MATCH(J1233,'Final List'!$N$4:$N$252,0),0)</f>
        <v>0</v>
      </c>
      <c r="R1233" s="169">
        <f>IFERROR(MATCH(J1233,'Final List'!$P$4:$P$252,0),0)</f>
        <v>0</v>
      </c>
      <c r="S1233" s="169">
        <f t="shared" si="79"/>
        <v>0</v>
      </c>
      <c r="V1233" s="169" t="str">
        <f t="shared" si="77"/>
        <v>DUHIG R2</v>
      </c>
      <c r="W1233" s="169" t="s">
        <v>2706</v>
      </c>
    </row>
    <row r="1234" spans="2:23" x14ac:dyDescent="0.25">
      <c r="B1234" s="169" t="s">
        <v>258</v>
      </c>
      <c r="C1234" s="169" t="s">
        <v>87</v>
      </c>
      <c r="D1234" s="169" t="s">
        <v>5602</v>
      </c>
      <c r="E1234" s="169" t="s">
        <v>20</v>
      </c>
      <c r="F1234" s="245" t="str">
        <f t="shared" si="78"/>
        <v>DVW 74</v>
      </c>
      <c r="G1234" s="169" t="s">
        <v>452</v>
      </c>
      <c r="I1234" s="169" t="str">
        <f t="shared" si="76"/>
        <v>L10_NONE_053E_WINZE</v>
      </c>
      <c r="J1234" s="169" t="s">
        <v>2815</v>
      </c>
      <c r="K1234" s="169">
        <f>IFERROR(MATCH(J1234,'Final List'!$B$4:$B$252,0),0)</f>
        <v>0</v>
      </c>
      <c r="L1234" s="169">
        <f>IFERROR(MATCH(J1234,'Final List'!$D$4:$D$252,0),0)</f>
        <v>0</v>
      </c>
      <c r="M1234" s="169">
        <f>IFERROR(MATCH(J1234,'Final List'!$F$4:$F$251,0),0)</f>
        <v>0</v>
      </c>
      <c r="N1234" s="169">
        <f>IFERROR(MATCH(J1234,'Final List'!$H$4:$H$252,0),0)</f>
        <v>0</v>
      </c>
      <c r="O1234" s="169">
        <f>IFERROR(MATCH(J1234,'Final List'!$J$4:$J$252,0),0)</f>
        <v>0</v>
      </c>
      <c r="P1234" s="169">
        <f>IFERROR(MATCH(J1234,'Final List'!$L$4:$L$252,0),0)</f>
        <v>0</v>
      </c>
      <c r="Q1234" s="169">
        <f>IFERROR(MATCH(J1234,'Final List'!$N$4:$N$252,0),0)</f>
        <v>0</v>
      </c>
      <c r="R1234" s="169">
        <f>IFERROR(MATCH(J1234,'Final List'!$P$4:$P$252,0),0)</f>
        <v>0</v>
      </c>
      <c r="S1234" s="169">
        <f t="shared" si="79"/>
        <v>0</v>
      </c>
      <c r="V1234" s="169" t="str">
        <f t="shared" si="77"/>
        <v>BAÑEZ 6</v>
      </c>
      <c r="W1234" s="169" t="s">
        <v>2706</v>
      </c>
    </row>
    <row r="1235" spans="2:23" x14ac:dyDescent="0.25">
      <c r="B1235" s="169" t="s">
        <v>95</v>
      </c>
      <c r="C1235" s="169" t="s">
        <v>45</v>
      </c>
      <c r="D1235" s="169" t="s">
        <v>132</v>
      </c>
      <c r="E1235" s="169" t="s">
        <v>61</v>
      </c>
      <c r="F1235" s="245" t="str">
        <f t="shared" si="78"/>
        <v>Dhoz 71</v>
      </c>
      <c r="G1235" s="169" t="s">
        <v>368</v>
      </c>
      <c r="I1235" s="169" t="str">
        <f t="shared" si="76"/>
        <v>L08_DPVE_033E_DW</v>
      </c>
      <c r="J1235" s="169" t="s">
        <v>8094</v>
      </c>
      <c r="K1235" s="169">
        <f>IFERROR(MATCH(J1235,'Final List'!$B$4:$B$252,0),0)</f>
        <v>0</v>
      </c>
      <c r="L1235" s="169">
        <f>IFERROR(MATCH(J1235,'Final List'!$D$4:$D$252,0),0)</f>
        <v>0</v>
      </c>
      <c r="M1235" s="169">
        <f>IFERROR(MATCH(J1235,'Final List'!$F$4:$F$251,0),0)</f>
        <v>0</v>
      </c>
      <c r="N1235" s="169">
        <f>IFERROR(MATCH(J1235,'Final List'!$H$4:$H$252,0),0)</f>
        <v>0</v>
      </c>
      <c r="O1235" s="169">
        <f>IFERROR(MATCH(J1235,'Final List'!$J$4:$J$252,0),0)</f>
        <v>0</v>
      </c>
      <c r="P1235" s="169">
        <f>IFERROR(MATCH(J1235,'Final List'!$L$4:$L$252,0),0)</f>
        <v>0</v>
      </c>
      <c r="Q1235" s="169">
        <f>IFERROR(MATCH(J1235,'Final List'!$N$4:$N$252,0),0)</f>
        <v>0</v>
      </c>
      <c r="R1235" s="169">
        <f>IFERROR(MATCH(J1235,'Final List'!$P$4:$P$252,0),0)</f>
        <v>0</v>
      </c>
      <c r="S1235" s="169">
        <f t="shared" si="79"/>
        <v>0</v>
      </c>
      <c r="V1235" s="169" t="str">
        <f t="shared" si="77"/>
        <v>LERIO 2</v>
      </c>
      <c r="W1235" s="169" t="s">
        <v>8895</v>
      </c>
    </row>
    <row r="1236" spans="2:23" x14ac:dyDescent="0.25">
      <c r="B1236" s="169" t="s">
        <v>95</v>
      </c>
      <c r="C1236" s="169" t="s">
        <v>45</v>
      </c>
      <c r="D1236" s="169" t="s">
        <v>113</v>
      </c>
      <c r="E1236" s="169" t="s">
        <v>19</v>
      </c>
      <c r="F1236" s="245" t="str">
        <f t="shared" si="78"/>
        <v>DVR 72</v>
      </c>
      <c r="G1236" s="169" t="s">
        <v>368</v>
      </c>
      <c r="I1236" s="169" t="str">
        <f t="shared" si="76"/>
        <v>L08_DPVE_001W_RAISE</v>
      </c>
      <c r="J1236" s="169" t="s">
        <v>8095</v>
      </c>
      <c r="K1236" s="169">
        <f>IFERROR(MATCH(J1236,'Final List'!$B$4:$B$252,0),0)</f>
        <v>0</v>
      </c>
      <c r="L1236" s="169">
        <f>IFERROR(MATCH(J1236,'Final List'!$D$4:$D$252,0),0)</f>
        <v>0</v>
      </c>
      <c r="M1236" s="169">
        <f>IFERROR(MATCH(J1236,'Final List'!$F$4:$F$251,0),0)</f>
        <v>0</v>
      </c>
      <c r="N1236" s="169">
        <f>IFERROR(MATCH(J1236,'Final List'!$H$4:$H$252,0),0)</f>
        <v>0</v>
      </c>
      <c r="O1236" s="169">
        <f>IFERROR(MATCH(J1236,'Final List'!$J$4:$J$252,0),0)</f>
        <v>0</v>
      </c>
      <c r="P1236" s="169">
        <f>IFERROR(MATCH(J1236,'Final List'!$L$4:$L$252,0),0)</f>
        <v>0</v>
      </c>
      <c r="Q1236" s="169">
        <f>IFERROR(MATCH(J1236,'Final List'!$N$4:$N$252,0),0)</f>
        <v>0</v>
      </c>
      <c r="R1236" s="169">
        <f>IFERROR(MATCH(J1236,'Final List'!$P$4:$P$252,0),0)</f>
        <v>0</v>
      </c>
      <c r="S1236" s="169">
        <f t="shared" si="79"/>
        <v>0</v>
      </c>
      <c r="V1236" s="169" t="str">
        <f t="shared" si="77"/>
        <v>LERIO 2</v>
      </c>
      <c r="W1236" s="169" t="s">
        <v>2715</v>
      </c>
    </row>
    <row r="1237" spans="2:23" x14ac:dyDescent="0.25">
      <c r="B1237" s="169" t="s">
        <v>95</v>
      </c>
      <c r="C1237" s="169" t="s">
        <v>42</v>
      </c>
      <c r="D1237" s="169" t="s">
        <v>7301</v>
      </c>
      <c r="E1237" s="169" t="s">
        <v>19</v>
      </c>
      <c r="F1237" s="245" t="str">
        <f t="shared" si="78"/>
        <v>DVR 72</v>
      </c>
      <c r="G1237" s="169" t="s">
        <v>303</v>
      </c>
      <c r="H1237" s="169" t="s">
        <v>14137</v>
      </c>
      <c r="I1237" s="169" t="str">
        <f t="shared" si="76"/>
        <v>L08_JV_010W_RAISE</v>
      </c>
      <c r="J1237" s="169" t="s">
        <v>8098</v>
      </c>
      <c r="K1237" s="169">
        <f>IFERROR(MATCH(J1237,'Final List'!$B$4:$B$252,0),0)</f>
        <v>0</v>
      </c>
      <c r="L1237" s="169">
        <f>IFERROR(MATCH(J1237,'Final List'!$D$4:$D$252,0),0)</f>
        <v>0</v>
      </c>
      <c r="M1237" s="169">
        <f>IFERROR(MATCH(J1237,'Final List'!$F$4:$F$251,0),0)</f>
        <v>0</v>
      </c>
      <c r="N1237" s="169">
        <f>IFERROR(MATCH(J1237,'Final List'!$H$4:$H$252,0),0)</f>
        <v>0</v>
      </c>
      <c r="O1237" s="169">
        <f>IFERROR(MATCH(J1237,'Final List'!$J$4:$J$252,0),0)</f>
        <v>0</v>
      </c>
      <c r="P1237" s="169">
        <f>IFERROR(MATCH(J1237,'Final List'!$L$4:$L$252,0),0)</f>
        <v>0</v>
      </c>
      <c r="Q1237" s="169">
        <f>IFERROR(MATCH(J1237,'Final List'!$N$4:$N$252,0),0)</f>
        <v>0</v>
      </c>
      <c r="R1237" s="169">
        <f>IFERROR(MATCH(J1237,'Final List'!$P$4:$P$252,0),0)</f>
        <v>0</v>
      </c>
      <c r="S1237" s="169">
        <f t="shared" si="79"/>
        <v>0</v>
      </c>
      <c r="V1237" s="169" t="str">
        <f t="shared" si="77"/>
        <v>CANTAGO 1</v>
      </c>
      <c r="W1237" s="169" t="s">
        <v>2715</v>
      </c>
    </row>
    <row r="1238" spans="2:23" x14ac:dyDescent="0.25">
      <c r="B1238" s="169" t="s">
        <v>258</v>
      </c>
      <c r="C1238" s="169" t="s">
        <v>56</v>
      </c>
      <c r="D1238" s="169" t="s">
        <v>180</v>
      </c>
      <c r="E1238" s="169" t="s">
        <v>36</v>
      </c>
      <c r="F1238" s="245" t="str">
        <f t="shared" si="78"/>
        <v>StpS 77</v>
      </c>
      <c r="G1238" s="169" t="s">
        <v>4</v>
      </c>
      <c r="I1238" s="169" t="str">
        <f t="shared" si="76"/>
        <v>L10_GHVFW_041E_STOPE</v>
      </c>
      <c r="J1238" s="169" t="s">
        <v>8100</v>
      </c>
      <c r="K1238" s="169">
        <f>IFERROR(MATCH(J1238,'Final List'!$B$4:$B$252,0),0)</f>
        <v>0</v>
      </c>
      <c r="L1238" s="169">
        <f>IFERROR(MATCH(J1238,'Final List'!$D$4:$D$252,0),0)</f>
        <v>0</v>
      </c>
      <c r="M1238" s="169">
        <f>IFERROR(MATCH(J1238,'Final List'!$F$4:$F$251,0),0)</f>
        <v>0</v>
      </c>
      <c r="N1238" s="169">
        <f>IFERROR(MATCH(J1238,'Final List'!$H$4:$H$252,0),0)</f>
        <v>0</v>
      </c>
      <c r="O1238" s="169">
        <f>IFERROR(MATCH(J1238,'Final List'!$J$4:$J$252,0),0)</f>
        <v>0</v>
      </c>
      <c r="P1238" s="169">
        <f>IFERROR(MATCH(J1238,'Final List'!$L$4:$L$252,0),0)</f>
        <v>0</v>
      </c>
      <c r="Q1238" s="169">
        <f>IFERROR(MATCH(J1238,'Final List'!$N$4:$N$252,0),0)</f>
        <v>0</v>
      </c>
      <c r="R1238" s="169">
        <f>IFERROR(MATCH(J1238,'Final List'!$P$4:$P$252,0),0)</f>
        <v>0</v>
      </c>
      <c r="S1238" s="169">
        <f t="shared" si="79"/>
        <v>0</v>
      </c>
      <c r="T1238" s="169" t="s">
        <v>68</v>
      </c>
      <c r="V1238" s="169" t="str">
        <f t="shared" si="77"/>
        <v>MONTEBON</v>
      </c>
      <c r="W1238" s="169" t="s">
        <v>2713</v>
      </c>
    </row>
    <row r="1239" spans="2:23" x14ac:dyDescent="0.25">
      <c r="B1239" s="169" t="s">
        <v>93</v>
      </c>
      <c r="C1239" s="169" t="s">
        <v>38</v>
      </c>
      <c r="D1239" s="169" t="s">
        <v>144</v>
      </c>
      <c r="E1239" s="169" t="s">
        <v>19</v>
      </c>
      <c r="F1239" s="245" t="str">
        <f t="shared" si="78"/>
        <v>DVR 72</v>
      </c>
      <c r="G1239" s="169" t="s">
        <v>6954</v>
      </c>
      <c r="I1239" s="169" t="str">
        <f t="shared" si="76"/>
        <v>L06_GHV_043E_RAISE</v>
      </c>
      <c r="J1239" s="169" t="s">
        <v>8105</v>
      </c>
      <c r="K1239" s="169">
        <f>IFERROR(MATCH(J1239,'Final List'!$B$4:$B$252,0),0)</f>
        <v>0</v>
      </c>
      <c r="L1239" s="169">
        <f>IFERROR(MATCH(J1239,'Final List'!$D$4:$D$252,0),0)</f>
        <v>0</v>
      </c>
      <c r="M1239" s="169">
        <f>IFERROR(MATCH(J1239,'Final List'!$F$4:$F$251,0),0)</f>
        <v>0</v>
      </c>
      <c r="N1239" s="169">
        <f>IFERROR(MATCH(J1239,'Final List'!$H$4:$H$252,0),0)</f>
        <v>0</v>
      </c>
      <c r="O1239" s="169">
        <f>IFERROR(MATCH(J1239,'Final List'!$J$4:$J$252,0),0)</f>
        <v>0</v>
      </c>
      <c r="P1239" s="169">
        <f>IFERROR(MATCH(J1239,'Final List'!$L$4:$L$252,0),0)</f>
        <v>0</v>
      </c>
      <c r="Q1239" s="169">
        <f>IFERROR(MATCH(J1239,'Final List'!$N$4:$N$252,0),0)</f>
        <v>0</v>
      </c>
      <c r="R1239" s="169">
        <f>IFERROR(MATCH(J1239,'Final List'!$P$4:$P$252,0),0)</f>
        <v>0</v>
      </c>
      <c r="S1239" s="169">
        <f t="shared" si="79"/>
        <v>0</v>
      </c>
      <c r="V1239" s="169" t="str">
        <f t="shared" si="77"/>
        <v>BADBADON</v>
      </c>
      <c r="W1239" s="169" t="s">
        <v>2715</v>
      </c>
    </row>
    <row r="1240" spans="2:23" x14ac:dyDescent="0.25">
      <c r="B1240" s="169" t="s">
        <v>94</v>
      </c>
      <c r="C1240" s="169" t="s">
        <v>43</v>
      </c>
      <c r="D1240" s="169" t="s">
        <v>6139</v>
      </c>
      <c r="E1240" s="169" t="s">
        <v>61</v>
      </c>
      <c r="F1240" s="245" t="str">
        <f t="shared" si="78"/>
        <v>Dhoz 71</v>
      </c>
      <c r="G1240" s="169" t="s">
        <v>7631</v>
      </c>
      <c r="I1240" s="169" t="str">
        <f t="shared" si="76"/>
        <v>L07_GHVSPLIT_030W_DW</v>
      </c>
      <c r="J1240" s="169" t="s">
        <v>8107</v>
      </c>
      <c r="K1240" s="169">
        <f>IFERROR(MATCH(J1240,'Final List'!$B$4:$B$252,0),0)</f>
        <v>0</v>
      </c>
      <c r="L1240" s="169">
        <f>IFERROR(MATCH(J1240,'Final List'!$D$4:$D$252,0),0)</f>
        <v>0</v>
      </c>
      <c r="M1240" s="169">
        <f>IFERROR(MATCH(J1240,'Final List'!$F$4:$F$251,0),0)</f>
        <v>0</v>
      </c>
      <c r="N1240" s="169">
        <f>IFERROR(MATCH(J1240,'Final List'!$H$4:$H$252,0),0)</f>
        <v>0</v>
      </c>
      <c r="O1240" s="169">
        <f>IFERROR(MATCH(J1240,'Final List'!$J$4:$J$252,0),0)</f>
        <v>0</v>
      </c>
      <c r="P1240" s="169">
        <f>IFERROR(MATCH(J1240,'Final List'!$L$4:$L$252,0),0)</f>
        <v>0</v>
      </c>
      <c r="Q1240" s="169">
        <f>IFERROR(MATCH(J1240,'Final List'!$N$4:$N$252,0),0)</f>
        <v>0</v>
      </c>
      <c r="R1240" s="169">
        <f>IFERROR(MATCH(J1240,'Final List'!$P$4:$P$252,0),0)</f>
        <v>0</v>
      </c>
      <c r="S1240" s="169">
        <f t="shared" si="79"/>
        <v>0</v>
      </c>
      <c r="V1240" s="169" t="str">
        <f t="shared" si="77"/>
        <v>TURRA 3</v>
      </c>
      <c r="W1240" s="169" t="s">
        <v>8895</v>
      </c>
    </row>
    <row r="1241" spans="2:23" x14ac:dyDescent="0.25">
      <c r="B1241" s="169" t="s">
        <v>92</v>
      </c>
      <c r="C1241" s="169" t="s">
        <v>57</v>
      </c>
      <c r="D1241" s="169" t="s">
        <v>195</v>
      </c>
      <c r="E1241" s="169" t="s">
        <v>62</v>
      </c>
      <c r="F1241" s="245" t="str">
        <f t="shared" si="78"/>
        <v>RobC 80</v>
      </c>
      <c r="G1241" s="169" t="s">
        <v>450</v>
      </c>
      <c r="I1241" s="169" t="str">
        <f t="shared" si="76"/>
        <v>L05_JVSPLIT_008W_ROBBING</v>
      </c>
      <c r="J1241" s="169" t="s">
        <v>8109</v>
      </c>
      <c r="K1241" s="169">
        <f>IFERROR(MATCH(J1241,'Final List'!$B$4:$B$252,0),0)</f>
        <v>0</v>
      </c>
      <c r="L1241" s="169">
        <f>IFERROR(MATCH(J1241,'Final List'!$D$4:$D$252,0),0)</f>
        <v>0</v>
      </c>
      <c r="M1241" s="169">
        <f>IFERROR(MATCH(J1241,'Final List'!$F$4:$F$251,0),0)</f>
        <v>0</v>
      </c>
      <c r="N1241" s="169">
        <f>IFERROR(MATCH(J1241,'Final List'!$H$4:$H$252,0),0)</f>
        <v>0</v>
      </c>
      <c r="O1241" s="169">
        <f>IFERROR(MATCH(J1241,'Final List'!$J$4:$J$252,0),0)</f>
        <v>0</v>
      </c>
      <c r="P1241" s="169">
        <f>IFERROR(MATCH(J1241,'Final List'!$L$4:$L$252,0),0)</f>
        <v>0</v>
      </c>
      <c r="Q1241" s="169">
        <f>IFERROR(MATCH(J1241,'Final List'!$N$4:$N$252,0),0)</f>
        <v>0</v>
      </c>
      <c r="R1241" s="169">
        <f>IFERROR(MATCH(J1241,'Final List'!$P$4:$P$252,0),0)</f>
        <v>0</v>
      </c>
      <c r="S1241" s="169">
        <f t="shared" si="79"/>
        <v>0</v>
      </c>
      <c r="T1241" s="169" t="s">
        <v>48</v>
      </c>
      <c r="V1241" s="169" t="str">
        <f t="shared" si="77"/>
        <v>BAYOBAY 1</v>
      </c>
      <c r="W1241" s="169" t="s">
        <v>236</v>
      </c>
    </row>
    <row r="1242" spans="2:23" x14ac:dyDescent="0.25">
      <c r="B1242" s="169" t="s">
        <v>258</v>
      </c>
      <c r="C1242" s="169" t="s">
        <v>45</v>
      </c>
      <c r="D1242" s="169" t="s">
        <v>5604</v>
      </c>
      <c r="E1242" s="169" t="s">
        <v>61</v>
      </c>
      <c r="F1242" s="245" t="str">
        <f t="shared" si="78"/>
        <v>Dhoz 71</v>
      </c>
      <c r="G1242" s="169" t="s">
        <v>5700</v>
      </c>
      <c r="I1242" s="169" t="str">
        <f t="shared" si="76"/>
        <v>L10_DPVE_063E_DW</v>
      </c>
      <c r="J1242" s="169" t="s">
        <v>8110</v>
      </c>
      <c r="K1242" s="169">
        <f>IFERROR(MATCH(J1242,'Final List'!$B$4:$B$252,0),0)</f>
        <v>0</v>
      </c>
      <c r="L1242" s="169">
        <f>IFERROR(MATCH(J1242,'Final List'!$D$4:$D$252,0),0)</f>
        <v>0</v>
      </c>
      <c r="M1242" s="169">
        <f>IFERROR(MATCH(J1242,'Final List'!$F$4:$F$251,0),0)</f>
        <v>0</v>
      </c>
      <c r="N1242" s="169">
        <f>IFERROR(MATCH(J1242,'Final List'!$H$4:$H$252,0),0)</f>
        <v>0</v>
      </c>
      <c r="O1242" s="169">
        <f>IFERROR(MATCH(J1242,'Final List'!$J$4:$J$252,0),0)</f>
        <v>0</v>
      </c>
      <c r="P1242" s="169">
        <f>IFERROR(MATCH(J1242,'Final List'!$L$4:$L$252,0),0)</f>
        <v>0</v>
      </c>
      <c r="Q1242" s="169">
        <f>IFERROR(MATCH(J1242,'Final List'!$N$4:$N$252,0),0)</f>
        <v>0</v>
      </c>
      <c r="R1242" s="169">
        <f>IFERROR(MATCH(J1242,'Final List'!$P$4:$P$252,0),0)</f>
        <v>0</v>
      </c>
      <c r="S1242" s="169">
        <f t="shared" si="79"/>
        <v>0</v>
      </c>
      <c r="V1242" s="169" t="str">
        <f t="shared" si="77"/>
        <v>LARGO 1</v>
      </c>
      <c r="W1242" s="169" t="s">
        <v>8896</v>
      </c>
    </row>
    <row r="1243" spans="2:23" x14ac:dyDescent="0.25">
      <c r="B1243" s="169" t="s">
        <v>91</v>
      </c>
      <c r="C1243" s="169" t="s">
        <v>43</v>
      </c>
      <c r="D1243" s="169" t="s">
        <v>5669</v>
      </c>
      <c r="E1243" s="169" t="s">
        <v>62</v>
      </c>
      <c r="F1243" s="245" t="str">
        <f t="shared" si="78"/>
        <v>RobS 79</v>
      </c>
      <c r="G1243" s="169" t="s">
        <v>8112</v>
      </c>
      <c r="H1243" s="169" t="s">
        <v>5714</v>
      </c>
      <c r="I1243" s="169" t="str">
        <f t="shared" si="76"/>
        <v>L04_GHVSPLIT_027W_ROBBING</v>
      </c>
      <c r="J1243" s="169" t="s">
        <v>8111</v>
      </c>
      <c r="K1243" s="169">
        <f>IFERROR(MATCH(J1243,'Final List'!$B$4:$B$252,0),0)</f>
        <v>0</v>
      </c>
      <c r="L1243" s="169">
        <f>IFERROR(MATCH(J1243,'Final List'!$D$4:$D$252,0),0)</f>
        <v>0</v>
      </c>
      <c r="M1243" s="169">
        <f>IFERROR(MATCH(J1243,'Final List'!$F$4:$F$251,0),0)</f>
        <v>0</v>
      </c>
      <c r="N1243" s="169">
        <f>IFERROR(MATCH(J1243,'Final List'!$H$4:$H$252,0),0)</f>
        <v>0</v>
      </c>
      <c r="O1243" s="169">
        <f>IFERROR(MATCH(J1243,'Final List'!$J$4:$J$252,0),0)</f>
        <v>0</v>
      </c>
      <c r="P1243" s="169">
        <f>IFERROR(MATCH(J1243,'Final List'!$L$4:$L$252,0),0)</f>
        <v>0</v>
      </c>
      <c r="Q1243" s="169">
        <f>IFERROR(MATCH(J1243,'Final List'!$N$4:$N$252,0),0)</f>
        <v>0</v>
      </c>
      <c r="R1243" s="169">
        <f>IFERROR(MATCH(J1243,'Final List'!$P$4:$P$252,0),0)</f>
        <v>0</v>
      </c>
      <c r="S1243" s="169">
        <f t="shared" si="79"/>
        <v>0</v>
      </c>
      <c r="T1243" s="169" t="s">
        <v>68</v>
      </c>
      <c r="V1243" s="169" t="str">
        <f t="shared" si="77"/>
        <v>MARTINEZ, RON 2</v>
      </c>
      <c r="W1243" s="169" t="s">
        <v>2707</v>
      </c>
    </row>
    <row r="1244" spans="2:23" x14ac:dyDescent="0.25">
      <c r="B1244" s="169" t="s">
        <v>93</v>
      </c>
      <c r="C1244" s="169" t="s">
        <v>38</v>
      </c>
      <c r="D1244" s="169" t="s">
        <v>122</v>
      </c>
      <c r="E1244" s="169" t="s">
        <v>6154</v>
      </c>
      <c r="F1244" s="245" t="str">
        <f t="shared" si="78"/>
        <v>Dhoz 71</v>
      </c>
      <c r="G1244" s="169" t="s">
        <v>354</v>
      </c>
      <c r="I1244" s="169" t="str">
        <f t="shared" si="76"/>
        <v>L06_GHV_025E_DW_ISL</v>
      </c>
      <c r="J1244" s="169" t="s">
        <v>8118</v>
      </c>
      <c r="K1244" s="169">
        <f>IFERROR(MATCH(J1244,'Final List'!$B$4:$B$252,0),0)</f>
        <v>0</v>
      </c>
      <c r="L1244" s="169">
        <f>IFERROR(MATCH(J1244,'Final List'!$D$4:$D$252,0),0)</f>
        <v>0</v>
      </c>
      <c r="M1244" s="169">
        <f>IFERROR(MATCH(J1244,'Final List'!$F$4:$F$251,0),0)</f>
        <v>0</v>
      </c>
      <c r="N1244" s="169">
        <f>IFERROR(MATCH(J1244,'Final List'!$H$4:$H$252,0),0)</f>
        <v>0</v>
      </c>
      <c r="O1244" s="169">
        <f>IFERROR(MATCH(J1244,'Final List'!$J$4:$J$252,0),0)</f>
        <v>0</v>
      </c>
      <c r="P1244" s="169">
        <f>IFERROR(MATCH(J1244,'Final List'!$L$4:$L$252,0),0)</f>
        <v>0</v>
      </c>
      <c r="Q1244" s="169">
        <f>IFERROR(MATCH(J1244,'Final List'!$N$4:$N$252,0),0)</f>
        <v>0</v>
      </c>
      <c r="R1244" s="169">
        <f>IFERROR(MATCH(J1244,'Final List'!$P$4:$P$252,0),0)</f>
        <v>0</v>
      </c>
      <c r="S1244" s="169">
        <f t="shared" si="79"/>
        <v>0</v>
      </c>
      <c r="V1244" s="169" t="str">
        <f t="shared" si="77"/>
        <v>BAÑEZ 3</v>
      </c>
      <c r="W1244" s="169" t="s">
        <v>2708</v>
      </c>
    </row>
    <row r="1245" spans="2:23" x14ac:dyDescent="0.25">
      <c r="B1245" s="169" t="s">
        <v>258</v>
      </c>
      <c r="C1245" s="169" t="s">
        <v>45</v>
      </c>
      <c r="D1245" s="169" t="s">
        <v>135</v>
      </c>
      <c r="E1245" s="169" t="s">
        <v>60</v>
      </c>
      <c r="F1245" s="245" t="str">
        <f t="shared" si="78"/>
        <v>Dhoz 71</v>
      </c>
      <c r="G1245" s="169" t="s">
        <v>7513</v>
      </c>
      <c r="I1245" s="169" t="str">
        <f t="shared" ref="I1245:I1308" si="80">CONCATENATE(B1245,"_",C1245,"_",D1245,"_",E1245)</f>
        <v>L10_DPVE_034E_DE</v>
      </c>
      <c r="J1245" s="169" t="s">
        <v>4316</v>
      </c>
      <c r="K1245" s="169">
        <f>IFERROR(MATCH(J1245,'Final List'!$B$4:$B$252,0),0)</f>
        <v>0</v>
      </c>
      <c r="L1245" s="169">
        <f>IFERROR(MATCH(J1245,'Final List'!$D$4:$D$252,0),0)</f>
        <v>0</v>
      </c>
      <c r="M1245" s="169">
        <f>IFERROR(MATCH(J1245,'Final List'!$F$4:$F$251,0),0)</f>
        <v>0</v>
      </c>
      <c r="N1245" s="169">
        <f>IFERROR(MATCH(J1245,'Final List'!$H$4:$H$252,0),0)</f>
        <v>0</v>
      </c>
      <c r="O1245" s="169">
        <f>IFERROR(MATCH(J1245,'Final List'!$J$4:$J$252,0),0)</f>
        <v>0</v>
      </c>
      <c r="P1245" s="169">
        <f>IFERROR(MATCH(J1245,'Final List'!$L$4:$L$252,0),0)</f>
        <v>0</v>
      </c>
      <c r="Q1245" s="169">
        <f>IFERROR(MATCH(J1245,'Final List'!$N$4:$N$252,0),0)</f>
        <v>0</v>
      </c>
      <c r="R1245" s="169">
        <f>IFERROR(MATCH(J1245,'Final List'!$P$4:$P$252,0),0)</f>
        <v>0</v>
      </c>
      <c r="S1245" s="169">
        <f t="shared" si="79"/>
        <v>0</v>
      </c>
      <c r="V1245" s="169" t="str">
        <f t="shared" si="77"/>
        <v>DUHIG R1</v>
      </c>
      <c r="W1245" s="169" t="s">
        <v>8896</v>
      </c>
    </row>
    <row r="1246" spans="2:23" x14ac:dyDescent="0.25">
      <c r="B1246" s="169" t="s">
        <v>96</v>
      </c>
      <c r="C1246" s="169" t="s">
        <v>56</v>
      </c>
      <c r="D1246" s="169" t="s">
        <v>5723</v>
      </c>
      <c r="E1246" s="169" t="s">
        <v>211</v>
      </c>
      <c r="F1246" s="245" t="str">
        <f t="shared" si="78"/>
        <v>StpS 77</v>
      </c>
      <c r="G1246" s="169" t="s">
        <v>8127</v>
      </c>
      <c r="I1246" s="169" t="str">
        <f t="shared" si="80"/>
        <v>L09_GHVFW_046E_STOPE PREP</v>
      </c>
      <c r="J1246" s="169" t="s">
        <v>8132</v>
      </c>
      <c r="K1246" s="169">
        <f>IFERROR(MATCH(J1246,'Final List'!$B$4:$B$252,0),0)</f>
        <v>0</v>
      </c>
      <c r="L1246" s="169">
        <f>IFERROR(MATCH(J1246,'Final List'!$D$4:$D$252,0),0)</f>
        <v>0</v>
      </c>
      <c r="M1246" s="169">
        <f>IFERROR(MATCH(J1246,'Final List'!$F$4:$F$251,0),0)</f>
        <v>0</v>
      </c>
      <c r="N1246" s="169">
        <f>IFERROR(MATCH(J1246,'Final List'!$H$4:$H$252,0),0)</f>
        <v>0</v>
      </c>
      <c r="O1246" s="169">
        <f>IFERROR(MATCH(J1246,'Final List'!$J$4:$J$252,0),0)</f>
        <v>0</v>
      </c>
      <c r="P1246" s="169">
        <f>IFERROR(MATCH(J1246,'Final List'!$L$4:$L$252,0),0)</f>
        <v>0</v>
      </c>
      <c r="Q1246" s="169">
        <f>IFERROR(MATCH(J1246,'Final List'!$N$4:$N$252,0),0)</f>
        <v>0</v>
      </c>
      <c r="R1246" s="169">
        <f>IFERROR(MATCH(J1246,'Final List'!$P$4:$P$252,0),0)</f>
        <v>0</v>
      </c>
      <c r="S1246" s="169">
        <f t="shared" si="79"/>
        <v>0</v>
      </c>
      <c r="T1246" s="169" t="s">
        <v>68</v>
      </c>
      <c r="V1246" s="169" t="str">
        <f t="shared" si="77"/>
        <v>NOEL 1</v>
      </c>
      <c r="W1246" s="169" t="s">
        <v>2712</v>
      </c>
    </row>
    <row r="1247" spans="2:23" x14ac:dyDescent="0.25">
      <c r="B1247" s="169" t="s">
        <v>93</v>
      </c>
      <c r="C1247" s="169" t="s">
        <v>38</v>
      </c>
      <c r="D1247" s="169" t="s">
        <v>122</v>
      </c>
      <c r="E1247" s="169" t="s">
        <v>62</v>
      </c>
      <c r="F1247" s="245" t="str">
        <f t="shared" si="78"/>
        <v>RobC 80</v>
      </c>
      <c r="G1247" s="169" t="s">
        <v>4155</v>
      </c>
      <c r="I1247" s="169" t="str">
        <f t="shared" si="80"/>
        <v>L06_GHV_025E_ROBBING</v>
      </c>
      <c r="J1247" s="169" t="s">
        <v>8128</v>
      </c>
      <c r="K1247" s="169">
        <f>IFERROR(MATCH(J1247,'Final List'!$B$4:$B$252,0),0)</f>
        <v>0</v>
      </c>
      <c r="L1247" s="169">
        <f>IFERROR(MATCH(J1247,'Final List'!$D$4:$D$252,0),0)</f>
        <v>0</v>
      </c>
      <c r="M1247" s="169">
        <f>IFERROR(MATCH(J1247,'Final List'!$F$4:$F$251,0),0)</f>
        <v>0</v>
      </c>
      <c r="N1247" s="169">
        <f>IFERROR(MATCH(J1247,'Final List'!$H$4:$H$252,0),0)</f>
        <v>0</v>
      </c>
      <c r="O1247" s="169">
        <f>IFERROR(MATCH(J1247,'Final List'!$J$4:$J$252,0),0)</f>
        <v>0</v>
      </c>
      <c r="P1247" s="169">
        <f>IFERROR(MATCH(J1247,'Final List'!$L$4:$L$252,0),0)</f>
        <v>0</v>
      </c>
      <c r="Q1247" s="169">
        <f>IFERROR(MATCH(J1247,'Final List'!$N$4:$N$252,0),0)</f>
        <v>0</v>
      </c>
      <c r="R1247" s="169">
        <f>IFERROR(MATCH(J1247,'Final List'!$P$4:$P$252,0),0)</f>
        <v>0</v>
      </c>
      <c r="S1247" s="169">
        <f t="shared" si="79"/>
        <v>0</v>
      </c>
      <c r="T1247" s="169" t="s">
        <v>48</v>
      </c>
      <c r="V1247" s="169" t="str">
        <f t="shared" si="77"/>
        <v>BAÑEZ</v>
      </c>
      <c r="W1247" s="169" t="s">
        <v>236</v>
      </c>
    </row>
    <row r="1248" spans="2:23" x14ac:dyDescent="0.25">
      <c r="B1248" s="169" t="s">
        <v>91</v>
      </c>
      <c r="C1248" s="169" t="s">
        <v>44</v>
      </c>
      <c r="D1248" s="169" t="s">
        <v>111</v>
      </c>
      <c r="E1248" s="169" t="s">
        <v>62</v>
      </c>
      <c r="F1248" s="245" t="str">
        <f t="shared" si="78"/>
        <v>RobS 79</v>
      </c>
      <c r="G1248" s="169" t="s">
        <v>5714</v>
      </c>
      <c r="I1248" s="169" t="str">
        <f t="shared" si="80"/>
        <v>L04_CV_004W_ROBBING</v>
      </c>
      <c r="J1248" s="169" t="s">
        <v>8129</v>
      </c>
      <c r="K1248" s="169">
        <f>IFERROR(MATCH(J1248,'Final List'!$B$4:$B$252,0),0)</f>
        <v>0</v>
      </c>
      <c r="L1248" s="169">
        <f>IFERROR(MATCH(J1248,'Final List'!$D$4:$D$252,0),0)</f>
        <v>0</v>
      </c>
      <c r="M1248" s="169">
        <f>IFERROR(MATCH(J1248,'Final List'!$F$4:$F$251,0),0)</f>
        <v>0</v>
      </c>
      <c r="N1248" s="169">
        <f>IFERROR(MATCH(J1248,'Final List'!$H$4:$H$252,0),0)</f>
        <v>0</v>
      </c>
      <c r="O1248" s="169">
        <f>IFERROR(MATCH(J1248,'Final List'!$J$4:$J$252,0),0)</f>
        <v>0</v>
      </c>
      <c r="P1248" s="169">
        <f>IFERROR(MATCH(J1248,'Final List'!$L$4:$L$252,0),0)</f>
        <v>0</v>
      </c>
      <c r="Q1248" s="169">
        <f>IFERROR(MATCH(J1248,'Final List'!$N$4:$N$252,0),0)</f>
        <v>0</v>
      </c>
      <c r="R1248" s="169">
        <f>IFERROR(MATCH(J1248,'Final List'!$P$4:$P$252,0),0)</f>
        <v>0</v>
      </c>
      <c r="S1248" s="169">
        <f t="shared" si="79"/>
        <v>0</v>
      </c>
      <c r="T1248" s="169" t="s">
        <v>68</v>
      </c>
      <c r="V1248" s="169" t="str">
        <f t="shared" si="77"/>
        <v>MARTINEZ, RON 2</v>
      </c>
      <c r="W1248" s="169" t="s">
        <v>2707</v>
      </c>
    </row>
    <row r="1249" spans="2:23" x14ac:dyDescent="0.25">
      <c r="B1249" s="169" t="s">
        <v>1167</v>
      </c>
      <c r="C1249" s="169" t="s">
        <v>59</v>
      </c>
      <c r="D1249" s="169" t="s">
        <v>205</v>
      </c>
      <c r="E1249" s="169" t="s">
        <v>60</v>
      </c>
      <c r="F1249" s="245" t="str">
        <f t="shared" si="78"/>
        <v>Dhoz 71</v>
      </c>
      <c r="G1249" s="169" t="s">
        <v>6933</v>
      </c>
      <c r="H1249" s="169" t="s">
        <v>676</v>
      </c>
      <c r="I1249" s="169" t="str">
        <f t="shared" si="80"/>
        <v>L12_GHVHW_066E_DE</v>
      </c>
      <c r="J1249" s="169" t="s">
        <v>9938</v>
      </c>
      <c r="K1249" s="169">
        <f>IFERROR(MATCH(J1249,'Final List'!$B$4:$B$252,0),0)</f>
        <v>0</v>
      </c>
      <c r="L1249" s="169">
        <f>IFERROR(MATCH(J1249,'Final List'!$D$4:$D$252,0),0)</f>
        <v>0</v>
      </c>
      <c r="M1249" s="169">
        <f>IFERROR(MATCH(J1249,'Final List'!$F$4:$F$251,0),0)</f>
        <v>0</v>
      </c>
      <c r="N1249" s="169">
        <f>IFERROR(MATCH(J1249,'Final List'!$H$4:$H$252,0),0)</f>
        <v>0</v>
      </c>
      <c r="O1249" s="169">
        <f>IFERROR(MATCH(J1249,'Final List'!$J$4:$J$252,0),0)</f>
        <v>0</v>
      </c>
      <c r="P1249" s="169">
        <f>IFERROR(MATCH(J1249,'Final List'!$L$4:$L$252,0),0)</f>
        <v>0</v>
      </c>
      <c r="Q1249" s="169">
        <f>IFERROR(MATCH(J1249,'Final List'!$N$4:$N$252,0),0)</f>
        <v>0</v>
      </c>
      <c r="R1249" s="169">
        <f>IFERROR(MATCH(J1249,'Final List'!$P$4:$P$252,0),0)</f>
        <v>0</v>
      </c>
      <c r="S1249" s="169">
        <f t="shared" si="79"/>
        <v>0</v>
      </c>
      <c r="V1249" s="169" t="str">
        <f t="shared" si="77"/>
        <v>OY-YOY 2</v>
      </c>
      <c r="W1249" s="169" t="s">
        <v>8896</v>
      </c>
    </row>
    <row r="1250" spans="2:23" x14ac:dyDescent="0.25">
      <c r="B1250" s="169" t="s">
        <v>1166</v>
      </c>
      <c r="C1250" s="169" t="s">
        <v>59</v>
      </c>
      <c r="D1250" s="169" t="s">
        <v>5781</v>
      </c>
      <c r="E1250" s="169" t="s">
        <v>61</v>
      </c>
      <c r="F1250" s="245" t="str">
        <f t="shared" si="78"/>
        <v>Dhoz 71</v>
      </c>
      <c r="G1250" s="169" t="s">
        <v>6931</v>
      </c>
      <c r="I1250" s="169" t="str">
        <f t="shared" si="80"/>
        <v>L11_GHVHW_051E_DW</v>
      </c>
      <c r="J1250" s="169" t="s">
        <v>8115</v>
      </c>
      <c r="K1250" s="169">
        <f>IFERROR(MATCH(J1250,'Final List'!$B$4:$B$252,0),0)</f>
        <v>0</v>
      </c>
      <c r="L1250" s="169">
        <f>IFERROR(MATCH(J1250,'Final List'!$D$4:$D$252,0),0)</f>
        <v>0</v>
      </c>
      <c r="M1250" s="169">
        <f>IFERROR(MATCH(J1250,'Final List'!$F$4:$F$251,0),0)</f>
        <v>0</v>
      </c>
      <c r="N1250" s="169">
        <f>IFERROR(MATCH(J1250,'Final List'!$H$4:$H$252,0),0)</f>
        <v>0</v>
      </c>
      <c r="O1250" s="169">
        <f>IFERROR(MATCH(J1250,'Final List'!$J$4:$J$252,0),0)</f>
        <v>0</v>
      </c>
      <c r="P1250" s="169">
        <f>IFERROR(MATCH(J1250,'Final List'!$L$4:$L$252,0),0)</f>
        <v>0</v>
      </c>
      <c r="Q1250" s="169">
        <f>IFERROR(MATCH(J1250,'Final List'!$N$4:$N$252,0),0)</f>
        <v>0</v>
      </c>
      <c r="R1250" s="169">
        <f>IFERROR(MATCH(J1250,'Final List'!$P$4:$P$252,0),0)</f>
        <v>0</v>
      </c>
      <c r="S1250" s="169">
        <f t="shared" si="79"/>
        <v>0</v>
      </c>
      <c r="V1250" s="169" t="str">
        <f t="shared" si="77"/>
        <v>DUHIG, P2</v>
      </c>
      <c r="W1250" s="169" t="s">
        <v>8896</v>
      </c>
    </row>
    <row r="1251" spans="2:23" x14ac:dyDescent="0.25">
      <c r="B1251" s="169" t="s">
        <v>91</v>
      </c>
      <c r="C1251" s="169" t="s">
        <v>56</v>
      </c>
      <c r="D1251" s="169" t="s">
        <v>5669</v>
      </c>
      <c r="E1251" s="169" t="s">
        <v>62</v>
      </c>
      <c r="F1251" s="245" t="str">
        <f t="shared" si="78"/>
        <v>RobC 80</v>
      </c>
      <c r="G1251" s="169" t="s">
        <v>8112</v>
      </c>
      <c r="I1251" s="169" t="str">
        <f t="shared" si="80"/>
        <v>L04_GHVFW_027W_ROBBING</v>
      </c>
      <c r="J1251" s="169" t="s">
        <v>8125</v>
      </c>
      <c r="K1251" s="169">
        <f>IFERROR(MATCH(J1251,'Final List'!$B$4:$B$252,0),0)</f>
        <v>0</v>
      </c>
      <c r="L1251" s="169">
        <f>IFERROR(MATCH(J1251,'Final List'!$D$4:$D$252,0),0)</f>
        <v>0</v>
      </c>
      <c r="M1251" s="169">
        <f>IFERROR(MATCH(J1251,'Final List'!$F$4:$F$251,0),0)</f>
        <v>0</v>
      </c>
      <c r="N1251" s="169">
        <f>IFERROR(MATCH(J1251,'Final List'!$H$4:$H$252,0),0)</f>
        <v>0</v>
      </c>
      <c r="O1251" s="169">
        <f>IFERROR(MATCH(J1251,'Final List'!$J$4:$J$252,0),0)</f>
        <v>0</v>
      </c>
      <c r="P1251" s="169">
        <f>IFERROR(MATCH(J1251,'Final List'!$L$4:$L$252,0),0)</f>
        <v>0</v>
      </c>
      <c r="Q1251" s="169">
        <f>IFERROR(MATCH(J1251,'Final List'!$N$4:$N$252,0),0)</f>
        <v>0</v>
      </c>
      <c r="R1251" s="169">
        <f>IFERROR(MATCH(J1251,'Final List'!$P$4:$P$252,0),0)</f>
        <v>0</v>
      </c>
      <c r="S1251" s="169">
        <f t="shared" si="79"/>
        <v>0</v>
      </c>
      <c r="T1251" s="169" t="s">
        <v>48</v>
      </c>
      <c r="V1251" s="169" t="str">
        <f t="shared" si="77"/>
        <v>SHEPHERD AQ 3</v>
      </c>
      <c r="W1251" s="169" t="s">
        <v>236</v>
      </c>
    </row>
    <row r="1252" spans="2:23" x14ac:dyDescent="0.25">
      <c r="B1252" s="169" t="s">
        <v>93</v>
      </c>
      <c r="C1252" s="169" t="s">
        <v>39</v>
      </c>
      <c r="D1252" s="169" t="s">
        <v>176</v>
      </c>
      <c r="E1252" s="169" t="s">
        <v>20</v>
      </c>
      <c r="F1252" s="245" t="str">
        <f t="shared" si="78"/>
        <v>DVW 74</v>
      </c>
      <c r="G1252" s="169" t="s">
        <v>342</v>
      </c>
      <c r="I1252" s="169" t="str">
        <f t="shared" si="80"/>
        <v>L06_JVHW_057E_WINZE</v>
      </c>
      <c r="J1252" s="169" t="s">
        <v>8135</v>
      </c>
      <c r="K1252" s="169">
        <f>IFERROR(MATCH(J1252,'Final List'!$B$4:$B$252,0),0)</f>
        <v>0</v>
      </c>
      <c r="L1252" s="169">
        <f>IFERROR(MATCH(J1252,'Final List'!$D$4:$D$252,0),0)</f>
        <v>0</v>
      </c>
      <c r="M1252" s="169">
        <f>IFERROR(MATCH(J1252,'Final List'!$F$4:$F$251,0),0)</f>
        <v>0</v>
      </c>
      <c r="N1252" s="169">
        <f>IFERROR(MATCH(J1252,'Final List'!$H$4:$H$252,0),0)</f>
        <v>0</v>
      </c>
      <c r="O1252" s="169">
        <f>IFERROR(MATCH(J1252,'Final List'!$J$4:$J$252,0),0)</f>
        <v>0</v>
      </c>
      <c r="P1252" s="169">
        <f>IFERROR(MATCH(J1252,'Final List'!$L$4:$L$252,0),0)</f>
        <v>0</v>
      </c>
      <c r="Q1252" s="169">
        <f>IFERROR(MATCH(J1252,'Final List'!$N$4:$N$252,0),0)</f>
        <v>0</v>
      </c>
      <c r="R1252" s="169">
        <f>IFERROR(MATCH(J1252,'Final List'!$P$4:$P$252,0),0)</f>
        <v>0</v>
      </c>
      <c r="S1252" s="169">
        <f t="shared" si="79"/>
        <v>0</v>
      </c>
      <c r="V1252" s="169" t="str">
        <f t="shared" si="77"/>
        <v>BADBADON 2</v>
      </c>
      <c r="W1252" s="169" t="s">
        <v>2706</v>
      </c>
    </row>
    <row r="1253" spans="2:23" x14ac:dyDescent="0.25">
      <c r="B1253" s="169" t="s">
        <v>96</v>
      </c>
      <c r="C1253" s="169" t="s">
        <v>38</v>
      </c>
      <c r="D1253" s="169" t="s">
        <v>173</v>
      </c>
      <c r="E1253" s="169" t="s">
        <v>211</v>
      </c>
      <c r="F1253" s="245" t="str">
        <f t="shared" si="78"/>
        <v>StpS 77</v>
      </c>
      <c r="G1253" s="169" t="s">
        <v>5699</v>
      </c>
      <c r="I1253" s="169" t="str">
        <f t="shared" si="80"/>
        <v>L09_GHV_049E_STOPE PREP</v>
      </c>
      <c r="J1253" s="169" t="s">
        <v>8136</v>
      </c>
      <c r="K1253" s="169">
        <f>IFERROR(MATCH(J1253,'Final List'!$B$4:$B$252,0),0)</f>
        <v>0</v>
      </c>
      <c r="L1253" s="169">
        <f>IFERROR(MATCH(J1253,'Final List'!$D$4:$D$252,0),0)</f>
        <v>0</v>
      </c>
      <c r="M1253" s="169">
        <f>IFERROR(MATCH(J1253,'Final List'!$F$4:$F$251,0),0)</f>
        <v>0</v>
      </c>
      <c r="N1253" s="169">
        <f>IFERROR(MATCH(J1253,'Final List'!$H$4:$H$252,0),0)</f>
        <v>0</v>
      </c>
      <c r="O1253" s="169">
        <f>IFERROR(MATCH(J1253,'Final List'!$J$4:$J$252,0),0)</f>
        <v>0</v>
      </c>
      <c r="P1253" s="169">
        <f>IFERROR(MATCH(J1253,'Final List'!$L$4:$L$252,0),0)</f>
        <v>0</v>
      </c>
      <c r="Q1253" s="169">
        <f>IFERROR(MATCH(J1253,'Final List'!$N$4:$N$252,0),0)</f>
        <v>0</v>
      </c>
      <c r="R1253" s="169">
        <f>IFERROR(MATCH(J1253,'Final List'!$P$4:$P$252,0),0)</f>
        <v>0</v>
      </c>
      <c r="S1253" s="169">
        <f t="shared" si="79"/>
        <v>0</v>
      </c>
      <c r="T1253" s="169" t="s">
        <v>68</v>
      </c>
      <c r="V1253" s="169" t="str">
        <f t="shared" si="77"/>
        <v>PARAN 2</v>
      </c>
      <c r="W1253" s="169" t="s">
        <v>2712</v>
      </c>
    </row>
    <row r="1254" spans="2:23" x14ac:dyDescent="0.25">
      <c r="B1254" s="169" t="s">
        <v>1166</v>
      </c>
      <c r="C1254" s="169" t="s">
        <v>87</v>
      </c>
      <c r="D1254" s="169" t="s">
        <v>166</v>
      </c>
      <c r="E1254" s="169" t="s">
        <v>37</v>
      </c>
      <c r="F1254" s="245" t="str">
        <f t="shared" si="78"/>
        <v>Dhoz 71</v>
      </c>
      <c r="G1254" s="169" t="s">
        <v>9884</v>
      </c>
      <c r="H1254" s="169" t="s">
        <v>597</v>
      </c>
      <c r="I1254" s="169" t="str">
        <f t="shared" si="80"/>
        <v>L11_NONE_068E_XCN</v>
      </c>
      <c r="J1254" s="169" t="s">
        <v>8137</v>
      </c>
      <c r="K1254" s="169">
        <f>IFERROR(MATCH(J1254,'Final List'!$B$4:$B$252,0),0)</f>
        <v>0</v>
      </c>
      <c r="L1254" s="169">
        <f>IFERROR(MATCH(J1254,'Final List'!$D$4:$D$252,0),0)</f>
        <v>0</v>
      </c>
      <c r="M1254" s="169">
        <f>IFERROR(MATCH(J1254,'Final List'!$F$4:$F$251,0),0)</f>
        <v>0</v>
      </c>
      <c r="N1254" s="169">
        <f>IFERROR(MATCH(J1254,'Final List'!$H$4:$H$252,0),0)</f>
        <v>0</v>
      </c>
      <c r="O1254" s="169">
        <f>IFERROR(MATCH(J1254,'Final List'!$J$4:$J$252,0),0)</f>
        <v>0</v>
      </c>
      <c r="P1254" s="169">
        <f>IFERROR(MATCH(J1254,'Final List'!$L$4:$L$252,0),0)</f>
        <v>0</v>
      </c>
      <c r="Q1254" s="169">
        <f>IFERROR(MATCH(J1254,'Final List'!$N$4:$N$252,0),0)</f>
        <v>0</v>
      </c>
      <c r="R1254" s="169">
        <f>IFERROR(MATCH(J1254,'Final List'!$P$4:$P$252,0),0)</f>
        <v>0</v>
      </c>
      <c r="S1254" s="169">
        <f t="shared" si="79"/>
        <v>0</v>
      </c>
      <c r="V1254" s="169" t="str">
        <f t="shared" si="77"/>
        <v>PANCIT, NOEL 6</v>
      </c>
      <c r="W1254" s="169" t="s">
        <v>8898</v>
      </c>
    </row>
    <row r="1255" spans="2:23" x14ac:dyDescent="0.25">
      <c r="B1255" s="169" t="s">
        <v>258</v>
      </c>
      <c r="C1255" s="169" t="s">
        <v>39</v>
      </c>
      <c r="D1255" s="169" t="s">
        <v>178</v>
      </c>
      <c r="E1255" s="169" t="s">
        <v>19</v>
      </c>
      <c r="F1255" s="245" t="str">
        <f t="shared" si="78"/>
        <v>DVR 72</v>
      </c>
      <c r="G1255" s="169" t="s">
        <v>5705</v>
      </c>
      <c r="I1255" s="169" t="str">
        <f t="shared" si="80"/>
        <v>L10_JVHW_048E_RAISE</v>
      </c>
      <c r="J1255" s="169" t="s">
        <v>8138</v>
      </c>
      <c r="K1255" s="169">
        <f>IFERROR(MATCH(J1255,'Final List'!$B$4:$B$252,0),0)</f>
        <v>0</v>
      </c>
      <c r="L1255" s="169">
        <f>IFERROR(MATCH(J1255,'Final List'!$D$4:$D$252,0),0)</f>
        <v>0</v>
      </c>
      <c r="M1255" s="169">
        <f>IFERROR(MATCH(J1255,'Final List'!$F$4:$F$251,0),0)</f>
        <v>0</v>
      </c>
      <c r="N1255" s="169">
        <f>IFERROR(MATCH(J1255,'Final List'!$H$4:$H$252,0),0)</f>
        <v>0</v>
      </c>
      <c r="O1255" s="169">
        <f>IFERROR(MATCH(J1255,'Final List'!$J$4:$J$252,0),0)</f>
        <v>0</v>
      </c>
      <c r="P1255" s="169">
        <f>IFERROR(MATCH(J1255,'Final List'!$L$4:$L$252,0),0)</f>
        <v>0</v>
      </c>
      <c r="Q1255" s="169">
        <f>IFERROR(MATCH(J1255,'Final List'!$N$4:$N$252,0),0)</f>
        <v>0</v>
      </c>
      <c r="R1255" s="169">
        <f>IFERROR(MATCH(J1255,'Final List'!$P$4:$P$252,0),0)</f>
        <v>0</v>
      </c>
      <c r="S1255" s="169">
        <f t="shared" si="79"/>
        <v>0</v>
      </c>
      <c r="V1255" s="169" t="str">
        <f t="shared" si="77"/>
        <v>OLIVEROS 4</v>
      </c>
      <c r="W1255" s="169" t="s">
        <v>2715</v>
      </c>
    </row>
    <row r="1256" spans="2:23" x14ac:dyDescent="0.25">
      <c r="B1256" s="169" t="s">
        <v>91</v>
      </c>
      <c r="C1256" s="169" t="s">
        <v>59</v>
      </c>
      <c r="D1256" s="169" t="s">
        <v>8141</v>
      </c>
      <c r="E1256" s="169" t="s">
        <v>20</v>
      </c>
      <c r="F1256" s="245" t="str">
        <f t="shared" si="78"/>
        <v>DVW 74</v>
      </c>
      <c r="G1256" s="169" t="s">
        <v>1354</v>
      </c>
      <c r="I1256" s="169" t="str">
        <f t="shared" si="80"/>
        <v>L04_GHVHW_052W_WINZE</v>
      </c>
      <c r="J1256" s="169" t="s">
        <v>8140</v>
      </c>
      <c r="K1256" s="169">
        <f>IFERROR(MATCH(J1256,'Final List'!$B$4:$B$252,0),0)</f>
        <v>0</v>
      </c>
      <c r="L1256" s="169">
        <f>IFERROR(MATCH(J1256,'Final List'!$D$4:$D$252,0),0)</f>
        <v>0</v>
      </c>
      <c r="M1256" s="169">
        <f>IFERROR(MATCH(J1256,'Final List'!$F$4:$F$251,0),0)</f>
        <v>0</v>
      </c>
      <c r="N1256" s="169">
        <f>IFERROR(MATCH(J1256,'Final List'!$H$4:$H$252,0),0)</f>
        <v>0</v>
      </c>
      <c r="O1256" s="169">
        <f>IFERROR(MATCH(J1256,'Final List'!$J$4:$J$252,0),0)</f>
        <v>0</v>
      </c>
      <c r="P1256" s="169">
        <f>IFERROR(MATCH(J1256,'Final List'!$L$4:$L$252,0),0)</f>
        <v>0</v>
      </c>
      <c r="Q1256" s="169">
        <f>IFERROR(MATCH(J1256,'Final List'!$N$4:$N$252,0),0)</f>
        <v>0</v>
      </c>
      <c r="R1256" s="169">
        <f>IFERROR(MATCH(J1256,'Final List'!$P$4:$P$252,0),0)</f>
        <v>0</v>
      </c>
      <c r="S1256" s="169">
        <f t="shared" si="79"/>
        <v>0</v>
      </c>
      <c r="V1256" s="169" t="str">
        <f t="shared" si="77"/>
        <v>NOCOS</v>
      </c>
      <c r="W1256" s="169" t="s">
        <v>2706</v>
      </c>
    </row>
    <row r="1257" spans="2:23" x14ac:dyDescent="0.25">
      <c r="B1257" s="169" t="s">
        <v>92</v>
      </c>
      <c r="C1257" s="169" t="s">
        <v>45</v>
      </c>
      <c r="D1257" s="169" t="s">
        <v>135</v>
      </c>
      <c r="E1257" s="169" t="s">
        <v>441</v>
      </c>
      <c r="F1257" s="245" t="str">
        <f t="shared" si="78"/>
        <v>RobC 80</v>
      </c>
      <c r="G1257" s="169" t="s">
        <v>1577</v>
      </c>
      <c r="I1257" s="169" t="str">
        <f t="shared" si="80"/>
        <v>L05_DPVE_034E_WINZE STOPE PREP</v>
      </c>
      <c r="J1257" s="169" t="s">
        <v>8144</v>
      </c>
      <c r="K1257" s="169">
        <f>IFERROR(MATCH(J1257,'Final List'!$B$4:$B$252,0),0)</f>
        <v>0</v>
      </c>
      <c r="L1257" s="169">
        <f>IFERROR(MATCH(J1257,'Final List'!$D$4:$D$252,0),0)</f>
        <v>0</v>
      </c>
      <c r="M1257" s="169">
        <f>IFERROR(MATCH(J1257,'Final List'!$F$4:$F$251,0),0)</f>
        <v>0</v>
      </c>
      <c r="N1257" s="169">
        <f>IFERROR(MATCH(J1257,'Final List'!$H$4:$H$252,0),0)</f>
        <v>0</v>
      </c>
      <c r="O1257" s="169">
        <f>IFERROR(MATCH(J1257,'Final List'!$J$4:$J$252,0),0)</f>
        <v>0</v>
      </c>
      <c r="P1257" s="169">
        <f>IFERROR(MATCH(J1257,'Final List'!$L$4:$L$252,0),0)</f>
        <v>0</v>
      </c>
      <c r="Q1257" s="169">
        <f>IFERROR(MATCH(J1257,'Final List'!$N$4:$N$252,0),0)</f>
        <v>0</v>
      </c>
      <c r="R1257" s="169">
        <f>IFERROR(MATCH(J1257,'Final List'!$P$4:$P$252,0),0)</f>
        <v>0</v>
      </c>
      <c r="S1257" s="169">
        <f t="shared" si="79"/>
        <v>0</v>
      </c>
      <c r="T1257" s="169" t="s">
        <v>68</v>
      </c>
      <c r="V1257" s="169" t="str">
        <f t="shared" si="77"/>
        <v>PANCIT, NOEL 2</v>
      </c>
      <c r="W1257" s="169" t="s">
        <v>2716</v>
      </c>
    </row>
    <row r="1258" spans="2:23" x14ac:dyDescent="0.25">
      <c r="B1258" s="169" t="s">
        <v>93</v>
      </c>
      <c r="C1258" s="169" t="s">
        <v>45</v>
      </c>
      <c r="D1258" s="169" t="s">
        <v>289</v>
      </c>
      <c r="E1258" s="169" t="s">
        <v>61</v>
      </c>
      <c r="F1258" s="245" t="str">
        <f t="shared" si="78"/>
        <v>Dhoz 71</v>
      </c>
      <c r="G1258" s="169" t="s">
        <v>4155</v>
      </c>
      <c r="I1258" s="169" t="str">
        <f t="shared" si="80"/>
        <v>L06_DPVE_059E_DW</v>
      </c>
      <c r="J1258" s="169" t="s">
        <v>8146</v>
      </c>
      <c r="K1258" s="169">
        <f>IFERROR(MATCH(J1258,'Final List'!$B$4:$B$252,0),0)</f>
        <v>0</v>
      </c>
      <c r="L1258" s="169">
        <f>IFERROR(MATCH(J1258,'Final List'!$D$4:$D$252,0),0)</f>
        <v>0</v>
      </c>
      <c r="M1258" s="169">
        <f>IFERROR(MATCH(J1258,'Final List'!$F$4:$F$251,0),0)</f>
        <v>0</v>
      </c>
      <c r="N1258" s="169">
        <f>IFERROR(MATCH(J1258,'Final List'!$H$4:$H$252,0),0)</f>
        <v>0</v>
      </c>
      <c r="O1258" s="169">
        <f>IFERROR(MATCH(J1258,'Final List'!$J$4:$J$252,0),0)</f>
        <v>0</v>
      </c>
      <c r="P1258" s="169">
        <f>IFERROR(MATCH(J1258,'Final List'!$L$4:$L$252,0),0)</f>
        <v>0</v>
      </c>
      <c r="Q1258" s="169">
        <f>IFERROR(MATCH(J1258,'Final List'!$N$4:$N$252,0),0)</f>
        <v>0</v>
      </c>
      <c r="R1258" s="169">
        <f>IFERROR(MATCH(J1258,'Final List'!$P$4:$P$252,0),0)</f>
        <v>0</v>
      </c>
      <c r="S1258" s="169">
        <f t="shared" si="79"/>
        <v>0</v>
      </c>
      <c r="V1258" s="169" t="str">
        <f t="shared" si="77"/>
        <v>BAÑEZ</v>
      </c>
      <c r="W1258" s="169" t="s">
        <v>8895</v>
      </c>
    </row>
    <row r="1259" spans="2:23" x14ac:dyDescent="0.25">
      <c r="B1259" s="169" t="s">
        <v>93</v>
      </c>
      <c r="C1259" s="169" t="s">
        <v>55</v>
      </c>
      <c r="D1259" s="169" t="s">
        <v>117</v>
      </c>
      <c r="E1259" s="169" t="s">
        <v>19</v>
      </c>
      <c r="F1259" s="245" t="str">
        <f t="shared" si="78"/>
        <v>DVR 72</v>
      </c>
      <c r="G1259" s="169" t="s">
        <v>747</v>
      </c>
      <c r="I1259" s="169" t="str">
        <f t="shared" si="80"/>
        <v>L06_JVFW_006W_RAISE</v>
      </c>
      <c r="J1259" s="169" t="s">
        <v>8147</v>
      </c>
      <c r="K1259" s="169">
        <f>IFERROR(MATCH(J1259,'Final List'!$B$4:$B$252,0),0)</f>
        <v>0</v>
      </c>
      <c r="L1259" s="169">
        <f>IFERROR(MATCH(J1259,'Final List'!$D$4:$D$252,0),0)</f>
        <v>0</v>
      </c>
      <c r="M1259" s="169">
        <f>IFERROR(MATCH(J1259,'Final List'!$F$4:$F$251,0),0)</f>
        <v>0</v>
      </c>
      <c r="N1259" s="169">
        <f>IFERROR(MATCH(J1259,'Final List'!$H$4:$H$252,0),0)</f>
        <v>0</v>
      </c>
      <c r="O1259" s="169">
        <f>IFERROR(MATCH(J1259,'Final List'!$J$4:$J$252,0),0)</f>
        <v>0</v>
      </c>
      <c r="P1259" s="169">
        <f>IFERROR(MATCH(J1259,'Final List'!$L$4:$L$252,0),0)</f>
        <v>0</v>
      </c>
      <c r="Q1259" s="169">
        <f>IFERROR(MATCH(J1259,'Final List'!$N$4:$N$252,0),0)</f>
        <v>0</v>
      </c>
      <c r="R1259" s="169">
        <f>IFERROR(MATCH(J1259,'Final List'!$P$4:$P$252,0),0)</f>
        <v>0</v>
      </c>
      <c r="S1259" s="169">
        <f t="shared" si="79"/>
        <v>0</v>
      </c>
      <c r="V1259" s="169" t="str">
        <f t="shared" si="77"/>
        <v>REBOTE</v>
      </c>
      <c r="W1259" s="169" t="s">
        <v>2715</v>
      </c>
    </row>
    <row r="1260" spans="2:23" x14ac:dyDescent="0.25">
      <c r="B1260" s="169" t="s">
        <v>96</v>
      </c>
      <c r="C1260" s="169" t="s">
        <v>56</v>
      </c>
      <c r="D1260" s="169" t="s">
        <v>142</v>
      </c>
      <c r="E1260" s="169" t="s">
        <v>62</v>
      </c>
      <c r="F1260" s="245" t="str">
        <f t="shared" si="78"/>
        <v>RobS 79</v>
      </c>
      <c r="G1260" s="169" t="s">
        <v>350</v>
      </c>
      <c r="I1260" s="169" t="str">
        <f t="shared" si="80"/>
        <v>L09_GHVFW_038E_ROBBING</v>
      </c>
      <c r="J1260" s="169" t="s">
        <v>8150</v>
      </c>
      <c r="K1260" s="169">
        <f>IFERROR(MATCH(J1260,'Final List'!$B$4:$B$252,0),0)</f>
        <v>0</v>
      </c>
      <c r="L1260" s="169">
        <f>IFERROR(MATCH(J1260,'Final List'!$D$4:$D$252,0),0)</f>
        <v>0</v>
      </c>
      <c r="M1260" s="169">
        <f>IFERROR(MATCH(J1260,'Final List'!$F$4:$F$251,0),0)</f>
        <v>0</v>
      </c>
      <c r="N1260" s="169">
        <f>IFERROR(MATCH(J1260,'Final List'!$H$4:$H$252,0),0)</f>
        <v>0</v>
      </c>
      <c r="O1260" s="169">
        <f>IFERROR(MATCH(J1260,'Final List'!$J$4:$J$252,0),0)</f>
        <v>0</v>
      </c>
      <c r="P1260" s="169">
        <f>IFERROR(MATCH(J1260,'Final List'!$L$4:$L$252,0),0)</f>
        <v>0</v>
      </c>
      <c r="Q1260" s="169">
        <f>IFERROR(MATCH(J1260,'Final List'!$N$4:$N$252,0),0)</f>
        <v>0</v>
      </c>
      <c r="R1260" s="169">
        <f>IFERROR(MATCH(J1260,'Final List'!$P$4:$P$252,0),0)</f>
        <v>0</v>
      </c>
      <c r="S1260" s="169">
        <f t="shared" si="79"/>
        <v>0</v>
      </c>
      <c r="T1260" s="169" t="s">
        <v>68</v>
      </c>
      <c r="V1260" s="169" t="str">
        <f t="shared" si="77"/>
        <v>QUIJANO 1</v>
      </c>
      <c r="W1260" s="169" t="s">
        <v>2707</v>
      </c>
    </row>
    <row r="1261" spans="2:23" x14ac:dyDescent="0.25">
      <c r="B1261" s="169" t="s">
        <v>95</v>
      </c>
      <c r="C1261" s="169" t="s">
        <v>42</v>
      </c>
      <c r="D1261" s="169" t="s">
        <v>118</v>
      </c>
      <c r="E1261" s="169" t="s">
        <v>62</v>
      </c>
      <c r="F1261" s="245" t="str">
        <f t="shared" si="78"/>
        <v>RobS 79</v>
      </c>
      <c r="G1261" s="169" t="s">
        <v>5108</v>
      </c>
      <c r="I1261" s="169" t="str">
        <f t="shared" si="80"/>
        <v>L08_JV_014E_ROBBING</v>
      </c>
      <c r="J1261" s="169" t="s">
        <v>8151</v>
      </c>
      <c r="K1261" s="169">
        <f>IFERROR(MATCH(J1261,'Final List'!$B$4:$B$252,0),0)</f>
        <v>0</v>
      </c>
      <c r="L1261" s="169">
        <f>IFERROR(MATCH(J1261,'Final List'!$D$4:$D$252,0),0)</f>
        <v>0</v>
      </c>
      <c r="M1261" s="169">
        <f>IFERROR(MATCH(J1261,'Final List'!$F$4:$F$251,0),0)</f>
        <v>0</v>
      </c>
      <c r="N1261" s="169">
        <f>IFERROR(MATCH(J1261,'Final List'!$H$4:$H$252,0),0)</f>
        <v>0</v>
      </c>
      <c r="O1261" s="169">
        <f>IFERROR(MATCH(J1261,'Final List'!$J$4:$J$252,0),0)</f>
        <v>0</v>
      </c>
      <c r="P1261" s="169">
        <f>IFERROR(MATCH(J1261,'Final List'!$L$4:$L$252,0),0)</f>
        <v>0</v>
      </c>
      <c r="Q1261" s="169">
        <f>IFERROR(MATCH(J1261,'Final List'!$N$4:$N$252,0),0)</f>
        <v>0</v>
      </c>
      <c r="R1261" s="169">
        <f>IFERROR(MATCH(J1261,'Final List'!$P$4:$P$252,0),0)</f>
        <v>0</v>
      </c>
      <c r="S1261" s="169">
        <f t="shared" si="79"/>
        <v>0</v>
      </c>
      <c r="T1261" s="169" t="s">
        <v>68</v>
      </c>
      <c r="V1261" s="169" t="str">
        <f t="shared" si="77"/>
        <v>SHEPHERD AJ</v>
      </c>
      <c r="W1261" s="169" t="s">
        <v>2707</v>
      </c>
    </row>
    <row r="1262" spans="2:23" x14ac:dyDescent="0.25">
      <c r="B1262" s="169" t="s">
        <v>95</v>
      </c>
      <c r="C1262" s="169" t="s">
        <v>59</v>
      </c>
      <c r="D1262" s="169" t="s">
        <v>5602</v>
      </c>
      <c r="E1262" s="169" t="s">
        <v>62</v>
      </c>
      <c r="F1262" s="245" t="str">
        <f t="shared" si="78"/>
        <v>RobS 79</v>
      </c>
      <c r="G1262" s="169" t="s">
        <v>1376</v>
      </c>
      <c r="I1262" s="169" t="str">
        <f t="shared" si="80"/>
        <v>L08_GHVHW_053E_ROBBING</v>
      </c>
      <c r="J1262" s="169" t="s">
        <v>8152</v>
      </c>
      <c r="K1262" s="169">
        <f>IFERROR(MATCH(J1262,'Final List'!$B$4:$B$252,0),0)</f>
        <v>0</v>
      </c>
      <c r="L1262" s="169">
        <f>IFERROR(MATCH(J1262,'Final List'!$D$4:$D$252,0),0)</f>
        <v>0</v>
      </c>
      <c r="M1262" s="169">
        <f>IFERROR(MATCH(J1262,'Final List'!$F$4:$F$251,0),0)</f>
        <v>0</v>
      </c>
      <c r="N1262" s="169">
        <f>IFERROR(MATCH(J1262,'Final List'!$H$4:$H$252,0),0)</f>
        <v>0</v>
      </c>
      <c r="O1262" s="169">
        <f>IFERROR(MATCH(J1262,'Final List'!$J$4:$J$252,0),0)</f>
        <v>0</v>
      </c>
      <c r="P1262" s="169">
        <f>IFERROR(MATCH(J1262,'Final List'!$L$4:$L$252,0),0)</f>
        <v>0</v>
      </c>
      <c r="Q1262" s="169">
        <f>IFERROR(MATCH(J1262,'Final List'!$N$4:$N$252,0),0)</f>
        <v>0</v>
      </c>
      <c r="R1262" s="169">
        <f>IFERROR(MATCH(J1262,'Final List'!$P$4:$P$252,0),0)</f>
        <v>0</v>
      </c>
      <c r="S1262" s="169">
        <f t="shared" si="79"/>
        <v>0</v>
      </c>
      <c r="T1262" s="169" t="s">
        <v>68</v>
      </c>
      <c r="V1262" s="169" t="str">
        <f t="shared" si="77"/>
        <v>LERIO</v>
      </c>
      <c r="W1262" s="169" t="s">
        <v>2707</v>
      </c>
    </row>
    <row r="1263" spans="2:23" x14ac:dyDescent="0.25">
      <c r="B1263" s="169" t="s">
        <v>95</v>
      </c>
      <c r="C1263" s="169" t="s">
        <v>45</v>
      </c>
      <c r="D1263" s="169" t="s">
        <v>165</v>
      </c>
      <c r="E1263" s="169" t="s">
        <v>62</v>
      </c>
      <c r="F1263" s="245" t="str">
        <f t="shared" si="78"/>
        <v>RobS 79</v>
      </c>
      <c r="G1263" s="169" t="s">
        <v>386</v>
      </c>
      <c r="I1263" s="169" t="str">
        <f t="shared" si="80"/>
        <v>L08_DPVE_056E_ROBBING</v>
      </c>
      <c r="J1263" s="169" t="s">
        <v>8153</v>
      </c>
      <c r="K1263" s="169">
        <f>IFERROR(MATCH(J1263,'Final List'!$B$4:$B$252,0),0)</f>
        <v>0</v>
      </c>
      <c r="L1263" s="169">
        <f>IFERROR(MATCH(J1263,'Final List'!$D$4:$D$252,0),0)</f>
        <v>0</v>
      </c>
      <c r="M1263" s="169">
        <f>IFERROR(MATCH(J1263,'Final List'!$F$4:$F$251,0),0)</f>
        <v>0</v>
      </c>
      <c r="N1263" s="169">
        <f>IFERROR(MATCH(J1263,'Final List'!$H$4:$H$252,0),0)</f>
        <v>0</v>
      </c>
      <c r="O1263" s="169">
        <f>IFERROR(MATCH(J1263,'Final List'!$J$4:$J$252,0),0)</f>
        <v>0</v>
      </c>
      <c r="P1263" s="169">
        <f>IFERROR(MATCH(J1263,'Final List'!$L$4:$L$252,0),0)</f>
        <v>0</v>
      </c>
      <c r="Q1263" s="169">
        <f>IFERROR(MATCH(J1263,'Final List'!$N$4:$N$252,0),0)</f>
        <v>0</v>
      </c>
      <c r="R1263" s="169">
        <f>IFERROR(MATCH(J1263,'Final List'!$P$4:$P$252,0),0)</f>
        <v>0</v>
      </c>
      <c r="S1263" s="169">
        <f t="shared" si="79"/>
        <v>0</v>
      </c>
      <c r="T1263" s="169" t="s">
        <v>68</v>
      </c>
      <c r="V1263" s="169" t="str">
        <f t="shared" si="77"/>
        <v>REVITA 1</v>
      </c>
      <c r="W1263" s="169" t="s">
        <v>2707</v>
      </c>
    </row>
    <row r="1264" spans="2:23" x14ac:dyDescent="0.25">
      <c r="B1264" s="169" t="s">
        <v>94</v>
      </c>
      <c r="C1264" s="169" t="s">
        <v>45</v>
      </c>
      <c r="D1264" s="169" t="s">
        <v>5631</v>
      </c>
      <c r="E1264" s="169" t="s">
        <v>211</v>
      </c>
      <c r="F1264" s="245" t="str">
        <f t="shared" si="78"/>
        <v>StpS 77</v>
      </c>
      <c r="G1264" s="169" t="s">
        <v>7631</v>
      </c>
      <c r="I1264" s="169" t="str">
        <f t="shared" si="80"/>
        <v>L07_DPVE_020E_STOPE PREP</v>
      </c>
      <c r="J1264" s="169" t="s">
        <v>8156</v>
      </c>
      <c r="K1264" s="169">
        <f>IFERROR(MATCH(J1264,'Final List'!$B$4:$B$252,0),0)</f>
        <v>0</v>
      </c>
      <c r="L1264" s="169">
        <f>IFERROR(MATCH(J1264,'Final List'!$D$4:$D$252,0),0)</f>
        <v>0</v>
      </c>
      <c r="M1264" s="169">
        <f>IFERROR(MATCH(J1264,'Final List'!$F$4:$F$251,0),0)</f>
        <v>0</v>
      </c>
      <c r="N1264" s="169">
        <f>IFERROR(MATCH(J1264,'Final List'!$H$4:$H$252,0),0)</f>
        <v>0</v>
      </c>
      <c r="O1264" s="169">
        <f>IFERROR(MATCH(J1264,'Final List'!$J$4:$J$252,0),0)</f>
        <v>0</v>
      </c>
      <c r="P1264" s="169">
        <f>IFERROR(MATCH(J1264,'Final List'!$L$4:$L$252,0),0)</f>
        <v>0</v>
      </c>
      <c r="Q1264" s="169">
        <f>IFERROR(MATCH(J1264,'Final List'!$N$4:$N$252,0),0)</f>
        <v>0</v>
      </c>
      <c r="R1264" s="169">
        <f>IFERROR(MATCH(J1264,'Final List'!$P$4:$P$252,0),0)</f>
        <v>0</v>
      </c>
      <c r="S1264" s="169">
        <f t="shared" si="79"/>
        <v>0</v>
      </c>
      <c r="T1264" s="169" t="s">
        <v>68</v>
      </c>
      <c r="V1264" s="169" t="str">
        <f t="shared" si="77"/>
        <v>TURRA 3</v>
      </c>
      <c r="W1264" s="169" t="s">
        <v>2712</v>
      </c>
    </row>
    <row r="1265" spans="2:23" x14ac:dyDescent="0.25">
      <c r="B1265" s="169" t="s">
        <v>1166</v>
      </c>
      <c r="C1265" s="169" t="s">
        <v>38</v>
      </c>
      <c r="D1265" s="169" t="s">
        <v>167</v>
      </c>
      <c r="E1265" s="169" t="s">
        <v>211</v>
      </c>
      <c r="F1265" s="245" t="str">
        <f t="shared" si="78"/>
        <v>StpS 77</v>
      </c>
      <c r="G1265" s="169" t="s">
        <v>965</v>
      </c>
      <c r="I1265" s="169" t="str">
        <f t="shared" si="80"/>
        <v>L11_GHV_058E_STOPE PREP</v>
      </c>
      <c r="J1265" s="169" t="s">
        <v>8148</v>
      </c>
      <c r="K1265" s="169">
        <f>IFERROR(MATCH(J1265,'Final List'!$B$4:$B$252,0),0)</f>
        <v>0</v>
      </c>
      <c r="L1265" s="169">
        <f>IFERROR(MATCH(J1265,'Final List'!$D$4:$D$252,0),0)</f>
        <v>0</v>
      </c>
      <c r="M1265" s="169">
        <f>IFERROR(MATCH(J1265,'Final List'!$F$4:$F$251,0),0)</f>
        <v>0</v>
      </c>
      <c r="N1265" s="169">
        <f>IFERROR(MATCH(J1265,'Final List'!$H$4:$H$252,0),0)</f>
        <v>0</v>
      </c>
      <c r="O1265" s="169">
        <f>IFERROR(MATCH(J1265,'Final List'!$J$4:$J$252,0),0)</f>
        <v>0</v>
      </c>
      <c r="P1265" s="169">
        <f>IFERROR(MATCH(J1265,'Final List'!$L$4:$L$252,0),0)</f>
        <v>0</v>
      </c>
      <c r="Q1265" s="169">
        <f>IFERROR(MATCH(J1265,'Final List'!$N$4:$N$252,0),0)</f>
        <v>0</v>
      </c>
      <c r="R1265" s="169">
        <f>IFERROR(MATCH(J1265,'Final List'!$P$4:$P$252,0),0)</f>
        <v>0</v>
      </c>
      <c r="S1265" s="169">
        <f t="shared" si="79"/>
        <v>0</v>
      </c>
      <c r="T1265" s="169" t="s">
        <v>68</v>
      </c>
      <c r="V1265" s="169" t="str">
        <f t="shared" si="77"/>
        <v>DUHIG</v>
      </c>
      <c r="W1265" s="169" t="s">
        <v>2712</v>
      </c>
    </row>
    <row r="1266" spans="2:23" x14ac:dyDescent="0.25">
      <c r="B1266" s="169" t="s">
        <v>258</v>
      </c>
      <c r="C1266" s="169" t="s">
        <v>45</v>
      </c>
      <c r="D1266" s="169" t="s">
        <v>149</v>
      </c>
      <c r="E1266" s="169" t="s">
        <v>61</v>
      </c>
      <c r="F1266" s="245" t="str">
        <f t="shared" si="78"/>
        <v>Dhoz 71</v>
      </c>
      <c r="G1266" s="169" t="s">
        <v>5700</v>
      </c>
      <c r="I1266" s="169" t="str">
        <f t="shared" si="80"/>
        <v>L10_DPVE_021E_DW</v>
      </c>
      <c r="J1266" s="169" t="s">
        <v>8875</v>
      </c>
      <c r="K1266" s="169">
        <f>IFERROR(MATCH(J1266,'Final List'!$B$4:$B$252,0),0)</f>
        <v>0</v>
      </c>
      <c r="L1266" s="169">
        <f>IFERROR(MATCH(J1266,'Final List'!$D$4:$D$252,0),0)</f>
        <v>0</v>
      </c>
      <c r="M1266" s="169">
        <f>IFERROR(MATCH(J1266,'Final List'!$F$4:$F$251,0),0)</f>
        <v>0</v>
      </c>
      <c r="N1266" s="169">
        <f>IFERROR(MATCH(J1266,'Final List'!$H$4:$H$252,0),0)</f>
        <v>0</v>
      </c>
      <c r="O1266" s="169">
        <f>IFERROR(MATCH(J1266,'Final List'!$J$4:$J$252,0),0)</f>
        <v>0</v>
      </c>
      <c r="P1266" s="169">
        <f>IFERROR(MATCH(J1266,'Final List'!$L$4:$L$252,0),0)</f>
        <v>0</v>
      </c>
      <c r="Q1266" s="169">
        <f>IFERROR(MATCH(J1266,'Final List'!$N$4:$N$252,0),0)</f>
        <v>0</v>
      </c>
      <c r="R1266" s="169">
        <f>IFERROR(MATCH(J1266,'Final List'!$P$4:$P$252,0),0)</f>
        <v>0</v>
      </c>
      <c r="S1266" s="169">
        <f t="shared" si="79"/>
        <v>0</v>
      </c>
      <c r="V1266" s="169" t="str">
        <f t="shared" si="77"/>
        <v>LARGO 1</v>
      </c>
      <c r="W1266" s="169" t="s">
        <v>8896</v>
      </c>
    </row>
    <row r="1267" spans="2:23" x14ac:dyDescent="0.25">
      <c r="B1267" s="169" t="s">
        <v>1167</v>
      </c>
      <c r="C1267" s="169" t="s">
        <v>87</v>
      </c>
      <c r="D1267" s="169" t="s">
        <v>176</v>
      </c>
      <c r="E1267" s="169" t="s">
        <v>72</v>
      </c>
      <c r="F1267" s="245" t="str">
        <f t="shared" si="78"/>
        <v>Dhoz 71</v>
      </c>
      <c r="G1267" s="169" t="s">
        <v>965</v>
      </c>
      <c r="H1267" s="169" t="s">
        <v>12236</v>
      </c>
      <c r="I1267" s="169" t="str">
        <f t="shared" si="80"/>
        <v>L12_NONE_057E_CHAMBER</v>
      </c>
      <c r="J1267" s="169" t="s">
        <v>8158</v>
      </c>
      <c r="K1267" s="169">
        <f>IFERROR(MATCH(J1267,'Final List'!$B$4:$B$252,0),0)</f>
        <v>0</v>
      </c>
      <c r="L1267" s="169">
        <f>IFERROR(MATCH(J1267,'Final List'!$D$4:$D$252,0),0)</f>
        <v>0</v>
      </c>
      <c r="M1267" s="169">
        <f>IFERROR(MATCH(J1267,'Final List'!$F$4:$F$251,0),0)</f>
        <v>0</v>
      </c>
      <c r="N1267" s="169">
        <f>IFERROR(MATCH(J1267,'Final List'!$H$4:$H$252,0),0)</f>
        <v>0</v>
      </c>
      <c r="O1267" s="169">
        <f>IFERROR(MATCH(J1267,'Final List'!$J$4:$J$252,0),0)</f>
        <v>0</v>
      </c>
      <c r="P1267" s="169">
        <f>IFERROR(MATCH(J1267,'Final List'!$L$4:$L$252,0),0)</f>
        <v>0</v>
      </c>
      <c r="Q1267" s="169">
        <f>IFERROR(MATCH(J1267,'Final List'!$N$4:$N$252,0),0)</f>
        <v>0</v>
      </c>
      <c r="R1267" s="169">
        <f>IFERROR(MATCH(J1267,'Final List'!$P$4:$P$252,0),0)</f>
        <v>0</v>
      </c>
      <c r="S1267" s="169">
        <f t="shared" si="79"/>
        <v>0</v>
      </c>
      <c r="V1267" s="169" t="str">
        <f t="shared" si="77"/>
        <v>NITRO BA 2</v>
      </c>
      <c r="W1267" s="169" t="s">
        <v>2714</v>
      </c>
    </row>
    <row r="1268" spans="2:23" x14ac:dyDescent="0.25">
      <c r="B1268" s="169" t="s">
        <v>93</v>
      </c>
      <c r="C1268" s="169" t="s">
        <v>55</v>
      </c>
      <c r="D1268" s="169" t="s">
        <v>109</v>
      </c>
      <c r="E1268" s="169" t="s">
        <v>20</v>
      </c>
      <c r="F1268" s="245" t="str">
        <f t="shared" si="78"/>
        <v>DVW 74</v>
      </c>
      <c r="G1268" s="169" t="s">
        <v>3303</v>
      </c>
      <c r="I1268" s="169" t="str">
        <f t="shared" si="80"/>
        <v>L06_JVFW_002W_WINZE</v>
      </c>
      <c r="J1268" s="169" t="s">
        <v>8159</v>
      </c>
      <c r="K1268" s="169">
        <f>IFERROR(MATCH(J1268,'Final List'!$B$4:$B$252,0),0)</f>
        <v>0</v>
      </c>
      <c r="L1268" s="169">
        <f>IFERROR(MATCH(J1268,'Final List'!$D$4:$D$252,0),0)</f>
        <v>0</v>
      </c>
      <c r="M1268" s="169">
        <f>IFERROR(MATCH(J1268,'Final List'!$F$4:$F$251,0),0)</f>
        <v>0</v>
      </c>
      <c r="N1268" s="169">
        <f>IFERROR(MATCH(J1268,'Final List'!$H$4:$H$252,0),0)</f>
        <v>0</v>
      </c>
      <c r="O1268" s="169">
        <f>IFERROR(MATCH(J1268,'Final List'!$J$4:$J$252,0),0)</f>
        <v>0</v>
      </c>
      <c r="P1268" s="169">
        <f>IFERROR(MATCH(J1268,'Final List'!$L$4:$L$252,0),0)</f>
        <v>0</v>
      </c>
      <c r="Q1268" s="169">
        <f>IFERROR(MATCH(J1268,'Final List'!$N$4:$N$252,0),0)</f>
        <v>0</v>
      </c>
      <c r="R1268" s="169">
        <f>IFERROR(MATCH(J1268,'Final List'!$P$4:$P$252,0),0)</f>
        <v>0</v>
      </c>
      <c r="S1268" s="169">
        <f t="shared" si="79"/>
        <v>0</v>
      </c>
      <c r="V1268" s="169" t="str">
        <f t="shared" si="77"/>
        <v>SHEPHERD AC</v>
      </c>
      <c r="W1268" s="169" t="s">
        <v>2706</v>
      </c>
    </row>
    <row r="1269" spans="2:23" x14ac:dyDescent="0.25">
      <c r="B1269" s="169" t="s">
        <v>96</v>
      </c>
      <c r="C1269" s="169" t="s">
        <v>38</v>
      </c>
      <c r="D1269" s="169" t="s">
        <v>110</v>
      </c>
      <c r="E1269" s="169" t="s">
        <v>20</v>
      </c>
      <c r="F1269" s="245" t="str">
        <f t="shared" si="78"/>
        <v>DVW 74</v>
      </c>
      <c r="G1269" s="169" t="s">
        <v>336</v>
      </c>
      <c r="I1269" s="169" t="str">
        <f t="shared" si="80"/>
        <v>L09_GHV_004E_WINZE</v>
      </c>
      <c r="J1269" s="169" t="s">
        <v>8162</v>
      </c>
      <c r="K1269" s="169">
        <f>IFERROR(MATCH(J1269,'Final List'!$B$4:$B$252,0),0)</f>
        <v>0</v>
      </c>
      <c r="L1269" s="169">
        <f>IFERROR(MATCH(J1269,'Final List'!$D$4:$D$252,0),0)</f>
        <v>0</v>
      </c>
      <c r="M1269" s="169">
        <f>IFERROR(MATCH(J1269,'Final List'!$F$4:$F$251,0),0)</f>
        <v>0</v>
      </c>
      <c r="N1269" s="169">
        <f>IFERROR(MATCH(J1269,'Final List'!$H$4:$H$252,0),0)</f>
        <v>0</v>
      </c>
      <c r="O1269" s="169">
        <f>IFERROR(MATCH(J1269,'Final List'!$J$4:$J$252,0),0)</f>
        <v>0</v>
      </c>
      <c r="P1269" s="169">
        <f>IFERROR(MATCH(J1269,'Final List'!$L$4:$L$252,0),0)</f>
        <v>0</v>
      </c>
      <c r="Q1269" s="169">
        <f>IFERROR(MATCH(J1269,'Final List'!$N$4:$N$252,0),0)</f>
        <v>0</v>
      </c>
      <c r="R1269" s="169">
        <f>IFERROR(MATCH(J1269,'Final List'!$P$4:$P$252,0),0)</f>
        <v>0</v>
      </c>
      <c r="S1269" s="169">
        <f t="shared" si="79"/>
        <v>0</v>
      </c>
      <c r="V1269" s="169" t="str">
        <f t="shared" si="77"/>
        <v>BALANGHIG 1</v>
      </c>
      <c r="W1269" s="169" t="s">
        <v>2706</v>
      </c>
    </row>
    <row r="1270" spans="2:23" x14ac:dyDescent="0.25">
      <c r="B1270" s="169" t="s">
        <v>93</v>
      </c>
      <c r="C1270" s="169" t="s">
        <v>39</v>
      </c>
      <c r="D1270" s="169" t="s">
        <v>195</v>
      </c>
      <c r="E1270" s="169" t="s">
        <v>19</v>
      </c>
      <c r="F1270" s="245" t="str">
        <f t="shared" si="78"/>
        <v>DVR 72</v>
      </c>
      <c r="G1270" s="169" t="s">
        <v>355</v>
      </c>
      <c r="I1270" s="169" t="str">
        <f t="shared" si="80"/>
        <v>L06_JVHW_008W_RAISE</v>
      </c>
      <c r="J1270" s="169" t="s">
        <v>8165</v>
      </c>
      <c r="K1270" s="169">
        <f>IFERROR(MATCH(J1270,'Final List'!$B$4:$B$252,0),0)</f>
        <v>0</v>
      </c>
      <c r="L1270" s="169">
        <f>IFERROR(MATCH(J1270,'Final List'!$D$4:$D$252,0),0)</f>
        <v>0</v>
      </c>
      <c r="M1270" s="169">
        <f>IFERROR(MATCH(J1270,'Final List'!$F$4:$F$251,0),0)</f>
        <v>0</v>
      </c>
      <c r="N1270" s="169">
        <f>IFERROR(MATCH(J1270,'Final List'!$H$4:$H$252,0),0)</f>
        <v>0</v>
      </c>
      <c r="O1270" s="169">
        <f>IFERROR(MATCH(J1270,'Final List'!$J$4:$J$252,0),0)</f>
        <v>0</v>
      </c>
      <c r="P1270" s="169">
        <f>IFERROR(MATCH(J1270,'Final List'!$L$4:$L$252,0),0)</f>
        <v>0</v>
      </c>
      <c r="Q1270" s="169">
        <f>IFERROR(MATCH(J1270,'Final List'!$N$4:$N$252,0),0)</f>
        <v>0</v>
      </c>
      <c r="R1270" s="169">
        <f>IFERROR(MATCH(J1270,'Final List'!$P$4:$P$252,0),0)</f>
        <v>0</v>
      </c>
      <c r="S1270" s="169">
        <f t="shared" si="79"/>
        <v>0</v>
      </c>
      <c r="V1270" s="169" t="str">
        <f t="shared" si="77"/>
        <v>BAÑEZ 2</v>
      </c>
      <c r="W1270" s="169" t="s">
        <v>2715</v>
      </c>
    </row>
    <row r="1271" spans="2:23" x14ac:dyDescent="0.25">
      <c r="B1271" s="169" t="s">
        <v>93</v>
      </c>
      <c r="C1271" s="169" t="s">
        <v>41</v>
      </c>
      <c r="D1271" s="169" t="s">
        <v>5844</v>
      </c>
      <c r="E1271" s="169" t="s">
        <v>62</v>
      </c>
      <c r="F1271" s="245" t="str">
        <f t="shared" si="78"/>
        <v>RobC 80</v>
      </c>
      <c r="G1271" s="169" t="s">
        <v>6954</v>
      </c>
      <c r="I1271" s="169" t="str">
        <f t="shared" si="80"/>
        <v>L06_CTV_009W_ROBBING</v>
      </c>
      <c r="J1271" s="169" t="s">
        <v>8166</v>
      </c>
      <c r="K1271" s="169">
        <f>IFERROR(MATCH(J1271,'Final List'!$B$4:$B$252,0),0)</f>
        <v>0</v>
      </c>
      <c r="L1271" s="169">
        <f>IFERROR(MATCH(J1271,'Final List'!$D$4:$D$252,0),0)</f>
        <v>0</v>
      </c>
      <c r="M1271" s="169">
        <f>IFERROR(MATCH(J1271,'Final List'!$F$4:$F$251,0),0)</f>
        <v>0</v>
      </c>
      <c r="N1271" s="169">
        <f>IFERROR(MATCH(J1271,'Final List'!$H$4:$H$252,0),0)</f>
        <v>0</v>
      </c>
      <c r="O1271" s="169">
        <f>IFERROR(MATCH(J1271,'Final List'!$J$4:$J$252,0),0)</f>
        <v>0</v>
      </c>
      <c r="P1271" s="169">
        <f>IFERROR(MATCH(J1271,'Final List'!$L$4:$L$252,0),0)</f>
        <v>0</v>
      </c>
      <c r="Q1271" s="169">
        <f>IFERROR(MATCH(J1271,'Final List'!$N$4:$N$252,0),0)</f>
        <v>0</v>
      </c>
      <c r="R1271" s="169">
        <f>IFERROR(MATCH(J1271,'Final List'!$P$4:$P$252,0),0)</f>
        <v>0</v>
      </c>
      <c r="S1271" s="169">
        <f t="shared" si="79"/>
        <v>0</v>
      </c>
      <c r="T1271" s="169" t="s">
        <v>48</v>
      </c>
      <c r="V1271" s="169" t="str">
        <f t="shared" si="77"/>
        <v>BADBADON</v>
      </c>
      <c r="W1271" s="169" t="s">
        <v>236</v>
      </c>
    </row>
    <row r="1272" spans="2:23" x14ac:dyDescent="0.25">
      <c r="B1272" s="169" t="s">
        <v>91</v>
      </c>
      <c r="C1272" s="169" t="s">
        <v>56</v>
      </c>
      <c r="D1272" s="169" t="s">
        <v>103</v>
      </c>
      <c r="E1272" s="169" t="s">
        <v>61</v>
      </c>
      <c r="F1272" s="245" t="str">
        <f t="shared" si="78"/>
        <v>Dhoz 71</v>
      </c>
      <c r="G1272" s="169" t="s">
        <v>5683</v>
      </c>
      <c r="I1272" s="169" t="str">
        <f t="shared" si="80"/>
        <v>L04_GHVFW_005E_DW</v>
      </c>
      <c r="J1272" s="169" t="s">
        <v>8170</v>
      </c>
      <c r="K1272" s="169">
        <f>IFERROR(MATCH(J1272,'Final List'!$B$4:$B$252,0),0)</f>
        <v>0</v>
      </c>
      <c r="L1272" s="169">
        <f>IFERROR(MATCH(J1272,'Final List'!$D$4:$D$252,0),0)</f>
        <v>0</v>
      </c>
      <c r="M1272" s="169">
        <f>IFERROR(MATCH(J1272,'Final List'!$F$4:$F$251,0),0)</f>
        <v>0</v>
      </c>
      <c r="N1272" s="169">
        <f>IFERROR(MATCH(J1272,'Final List'!$H$4:$H$252,0),0)</f>
        <v>0</v>
      </c>
      <c r="O1272" s="169">
        <f>IFERROR(MATCH(J1272,'Final List'!$J$4:$J$252,0),0)</f>
        <v>0</v>
      </c>
      <c r="P1272" s="169">
        <f>IFERROR(MATCH(J1272,'Final List'!$L$4:$L$252,0),0)</f>
        <v>0</v>
      </c>
      <c r="Q1272" s="169">
        <f>IFERROR(MATCH(J1272,'Final List'!$N$4:$N$252,0),0)</f>
        <v>0</v>
      </c>
      <c r="R1272" s="169">
        <f>IFERROR(MATCH(J1272,'Final List'!$P$4:$P$252,0),0)</f>
        <v>0</v>
      </c>
      <c r="S1272" s="169">
        <f t="shared" si="79"/>
        <v>0</v>
      </c>
      <c r="V1272" s="169" t="str">
        <f t="shared" si="77"/>
        <v>SHEPHERD AL</v>
      </c>
      <c r="W1272" s="169" t="s">
        <v>8895</v>
      </c>
    </row>
    <row r="1273" spans="2:23" x14ac:dyDescent="0.25">
      <c r="B1273" s="169" t="s">
        <v>96</v>
      </c>
      <c r="C1273" s="169" t="s">
        <v>38</v>
      </c>
      <c r="D1273" s="169" t="s">
        <v>132</v>
      </c>
      <c r="E1273" s="169" t="s">
        <v>6143</v>
      </c>
      <c r="F1273" s="245" t="str">
        <f t="shared" si="78"/>
        <v>Dhoz 71</v>
      </c>
      <c r="G1273" s="169" t="s">
        <v>363</v>
      </c>
      <c r="I1273" s="169" t="str">
        <f t="shared" si="80"/>
        <v>L09_GHV_033E_DE_ISL</v>
      </c>
      <c r="J1273" s="169" t="s">
        <v>8174</v>
      </c>
      <c r="K1273" s="169">
        <f>IFERROR(MATCH(J1273,'Final List'!$B$4:$B$252,0),0)</f>
        <v>0</v>
      </c>
      <c r="L1273" s="169">
        <f>IFERROR(MATCH(J1273,'Final List'!$D$4:$D$252,0),0)</f>
        <v>0</v>
      </c>
      <c r="M1273" s="169">
        <f>IFERROR(MATCH(J1273,'Final List'!$F$4:$F$251,0),0)</f>
        <v>0</v>
      </c>
      <c r="N1273" s="169">
        <f>IFERROR(MATCH(J1273,'Final List'!$H$4:$H$252,0),0)</f>
        <v>0</v>
      </c>
      <c r="O1273" s="169">
        <f>IFERROR(MATCH(J1273,'Final List'!$J$4:$J$252,0),0)</f>
        <v>0</v>
      </c>
      <c r="P1273" s="169">
        <f>IFERROR(MATCH(J1273,'Final List'!$L$4:$L$252,0),0)</f>
        <v>0</v>
      </c>
      <c r="Q1273" s="169">
        <f>IFERROR(MATCH(J1273,'Final List'!$N$4:$N$252,0),0)</f>
        <v>0</v>
      </c>
      <c r="R1273" s="169">
        <f>IFERROR(MATCH(J1273,'Final List'!$P$4:$P$252,0),0)</f>
        <v>0</v>
      </c>
      <c r="S1273" s="169">
        <f t="shared" si="79"/>
        <v>0</v>
      </c>
      <c r="V1273" s="169" t="str">
        <f t="shared" si="77"/>
        <v>BABOR 2</v>
      </c>
      <c r="W1273" s="169" t="s">
        <v>2708</v>
      </c>
    </row>
    <row r="1274" spans="2:23" x14ac:dyDescent="0.25">
      <c r="B1274" s="169" t="s">
        <v>92</v>
      </c>
      <c r="C1274" s="169" t="s">
        <v>42</v>
      </c>
      <c r="D1274" s="169" t="s">
        <v>5601</v>
      </c>
      <c r="E1274" s="169" t="s">
        <v>221</v>
      </c>
      <c r="F1274" s="245" t="str">
        <f t="shared" si="78"/>
        <v>RobC 80</v>
      </c>
      <c r="G1274" s="169" t="s">
        <v>387</v>
      </c>
      <c r="I1274" s="169" t="str">
        <f t="shared" si="80"/>
        <v>L05_JV_026E_WINZE STOPE</v>
      </c>
      <c r="J1274" s="169" t="s">
        <v>8312</v>
      </c>
      <c r="K1274" s="169">
        <f>IFERROR(MATCH(J1274,'Final List'!$B$4:$B$252,0),0)</f>
        <v>0</v>
      </c>
      <c r="L1274" s="169">
        <f>IFERROR(MATCH(J1274,'Final List'!$D$4:$D$252,0),0)</f>
        <v>0</v>
      </c>
      <c r="M1274" s="169">
        <f>IFERROR(MATCH(J1274,'Final List'!$F$4:$F$251,0),0)</f>
        <v>0</v>
      </c>
      <c r="N1274" s="169">
        <f>IFERROR(MATCH(J1274,'Final List'!$H$4:$H$252,0),0)</f>
        <v>0</v>
      </c>
      <c r="O1274" s="169">
        <f>IFERROR(MATCH(J1274,'Final List'!$J$4:$J$252,0),0)</f>
        <v>0</v>
      </c>
      <c r="P1274" s="169">
        <f>IFERROR(MATCH(J1274,'Final List'!$L$4:$L$252,0),0)</f>
        <v>0</v>
      </c>
      <c r="Q1274" s="169">
        <f>IFERROR(MATCH(J1274,'Final List'!$N$4:$N$252,0),0)</f>
        <v>0</v>
      </c>
      <c r="R1274" s="169">
        <f>IFERROR(MATCH(J1274,'Final List'!$P$4:$P$252,0),0)</f>
        <v>0</v>
      </c>
      <c r="S1274" s="169">
        <f t="shared" si="79"/>
        <v>0</v>
      </c>
      <c r="T1274" s="169" t="s">
        <v>68</v>
      </c>
      <c r="V1274" s="169" t="str">
        <f t="shared" si="77"/>
        <v>MAPAYO 1</v>
      </c>
      <c r="W1274" s="169" t="s">
        <v>2719</v>
      </c>
    </row>
    <row r="1275" spans="2:23" x14ac:dyDescent="0.25">
      <c r="B1275" s="169" t="s">
        <v>258</v>
      </c>
      <c r="C1275" s="169" t="s">
        <v>87</v>
      </c>
      <c r="D1275" s="169" t="s">
        <v>595</v>
      </c>
      <c r="E1275" s="169" t="s">
        <v>72</v>
      </c>
      <c r="F1275" s="245" t="str">
        <f t="shared" si="78"/>
        <v>Dhoz 71</v>
      </c>
      <c r="G1275" s="169" t="s">
        <v>1606</v>
      </c>
      <c r="I1275" s="169" t="str">
        <f t="shared" si="80"/>
        <v>L10_NONE_072E_CHAMBER</v>
      </c>
      <c r="J1275" s="169" t="s">
        <v>8181</v>
      </c>
      <c r="K1275" s="169">
        <f>IFERROR(MATCH(J1275,'Final List'!$B$4:$B$252,0),0)</f>
        <v>0</v>
      </c>
      <c r="L1275" s="169">
        <f>IFERROR(MATCH(J1275,'Final List'!$D$4:$D$252,0),0)</f>
        <v>0</v>
      </c>
      <c r="M1275" s="169">
        <f>IFERROR(MATCH(J1275,'Final List'!$F$4:$F$251,0),0)</f>
        <v>0</v>
      </c>
      <c r="N1275" s="169">
        <f>IFERROR(MATCH(J1275,'Final List'!$H$4:$H$252,0),0)</f>
        <v>0</v>
      </c>
      <c r="O1275" s="169">
        <f>IFERROR(MATCH(J1275,'Final List'!$J$4:$J$252,0),0)</f>
        <v>0</v>
      </c>
      <c r="P1275" s="169">
        <f>IFERROR(MATCH(J1275,'Final List'!$L$4:$L$252,0),0)</f>
        <v>0</v>
      </c>
      <c r="Q1275" s="169">
        <f>IFERROR(MATCH(J1275,'Final List'!$N$4:$N$252,0),0)</f>
        <v>0</v>
      </c>
      <c r="R1275" s="169">
        <f>IFERROR(MATCH(J1275,'Final List'!$P$4:$P$252,0),0)</f>
        <v>0</v>
      </c>
      <c r="S1275" s="169">
        <f t="shared" si="79"/>
        <v>0</v>
      </c>
      <c r="V1275" s="169" t="str">
        <f t="shared" si="77"/>
        <v>PMC MINERS</v>
      </c>
      <c r="W1275" s="169" t="s">
        <v>2714</v>
      </c>
    </row>
    <row r="1276" spans="2:23" x14ac:dyDescent="0.25">
      <c r="B1276" s="169" t="s">
        <v>93</v>
      </c>
      <c r="C1276" s="169" t="s">
        <v>45</v>
      </c>
      <c r="D1276" s="169" t="s">
        <v>132</v>
      </c>
      <c r="E1276" s="169" t="s">
        <v>6154</v>
      </c>
      <c r="F1276" s="245" t="str">
        <f t="shared" si="78"/>
        <v>Dhoz 71</v>
      </c>
      <c r="G1276" s="169" t="s">
        <v>350</v>
      </c>
      <c r="I1276" s="169" t="str">
        <f t="shared" si="80"/>
        <v>L06_DPVE_033E_DW_ISL</v>
      </c>
      <c r="J1276" s="169" t="s">
        <v>8182</v>
      </c>
      <c r="K1276" s="169">
        <f>IFERROR(MATCH(J1276,'Final List'!$B$4:$B$252,0),0)</f>
        <v>0</v>
      </c>
      <c r="L1276" s="169">
        <f>IFERROR(MATCH(J1276,'Final List'!$D$4:$D$252,0),0)</f>
        <v>0</v>
      </c>
      <c r="M1276" s="169">
        <f>IFERROR(MATCH(J1276,'Final List'!$F$4:$F$251,0),0)</f>
        <v>0</v>
      </c>
      <c r="N1276" s="169">
        <f>IFERROR(MATCH(J1276,'Final List'!$H$4:$H$252,0),0)</f>
        <v>0</v>
      </c>
      <c r="O1276" s="169">
        <f>IFERROR(MATCH(J1276,'Final List'!$J$4:$J$252,0),0)</f>
        <v>0</v>
      </c>
      <c r="P1276" s="169">
        <f>IFERROR(MATCH(J1276,'Final List'!$L$4:$L$252,0),0)</f>
        <v>0</v>
      </c>
      <c r="Q1276" s="169">
        <f>IFERROR(MATCH(J1276,'Final List'!$N$4:$N$252,0),0)</f>
        <v>0</v>
      </c>
      <c r="R1276" s="169">
        <f>IFERROR(MATCH(J1276,'Final List'!$P$4:$P$252,0),0)</f>
        <v>0</v>
      </c>
      <c r="S1276" s="169">
        <f t="shared" si="79"/>
        <v>0</v>
      </c>
      <c r="V1276" s="169" t="str">
        <f t="shared" si="77"/>
        <v>QUIJANO 1</v>
      </c>
      <c r="W1276" s="169" t="s">
        <v>2708</v>
      </c>
    </row>
    <row r="1277" spans="2:23" x14ac:dyDescent="0.25">
      <c r="B1277" s="169" t="s">
        <v>96</v>
      </c>
      <c r="C1277" s="169" t="s">
        <v>45</v>
      </c>
      <c r="D1277" s="169" t="s">
        <v>5078</v>
      </c>
      <c r="E1277" s="169" t="s">
        <v>61</v>
      </c>
      <c r="F1277" s="245" t="str">
        <f t="shared" si="78"/>
        <v>Dhoz 71</v>
      </c>
      <c r="G1277" s="169" t="s">
        <v>7659</v>
      </c>
      <c r="I1277" s="169" t="str">
        <f t="shared" si="80"/>
        <v>L09_DPVE_086E_DW</v>
      </c>
      <c r="J1277" s="169" t="s">
        <v>8183</v>
      </c>
      <c r="K1277" s="169">
        <f>IFERROR(MATCH(J1277,'Final List'!$B$4:$B$252,0),0)</f>
        <v>0</v>
      </c>
      <c r="L1277" s="169">
        <f>IFERROR(MATCH(J1277,'Final List'!$D$4:$D$252,0),0)</f>
        <v>0</v>
      </c>
      <c r="M1277" s="169">
        <f>IFERROR(MATCH(J1277,'Final List'!$F$4:$F$251,0),0)</f>
        <v>0</v>
      </c>
      <c r="N1277" s="169">
        <f>IFERROR(MATCH(J1277,'Final List'!$H$4:$H$252,0),0)</f>
        <v>0</v>
      </c>
      <c r="O1277" s="169">
        <f>IFERROR(MATCH(J1277,'Final List'!$J$4:$J$252,0),0)</f>
        <v>0</v>
      </c>
      <c r="P1277" s="169">
        <f>IFERROR(MATCH(J1277,'Final List'!$L$4:$L$252,0),0)</f>
        <v>0</v>
      </c>
      <c r="Q1277" s="169">
        <f>IFERROR(MATCH(J1277,'Final List'!$N$4:$N$252,0),0)</f>
        <v>0</v>
      </c>
      <c r="R1277" s="169">
        <f>IFERROR(MATCH(J1277,'Final List'!$P$4:$P$252,0),0)</f>
        <v>0</v>
      </c>
      <c r="S1277" s="169">
        <f t="shared" si="79"/>
        <v>0</v>
      </c>
      <c r="V1277" s="169" t="str">
        <f t="shared" si="77"/>
        <v>DELOS REYES 2</v>
      </c>
      <c r="W1277" s="169" t="s">
        <v>8896</v>
      </c>
    </row>
    <row r="1278" spans="2:23" x14ac:dyDescent="0.25">
      <c r="B1278" s="169" t="s">
        <v>95</v>
      </c>
      <c r="C1278" s="169" t="s">
        <v>43</v>
      </c>
      <c r="D1278" s="169" t="s">
        <v>133</v>
      </c>
      <c r="E1278" s="169" t="s">
        <v>441</v>
      </c>
      <c r="F1278" s="245" t="str">
        <f t="shared" si="78"/>
        <v>RobC 80</v>
      </c>
      <c r="G1278" s="169" t="s">
        <v>583</v>
      </c>
      <c r="I1278" s="169" t="str">
        <f t="shared" si="80"/>
        <v>L08_GHVSPLIT_037E_WINZE STOPE PREP</v>
      </c>
      <c r="J1278" s="169" t="s">
        <v>8185</v>
      </c>
      <c r="K1278" s="169">
        <f>IFERROR(MATCH(J1278,'Final List'!$B$4:$B$252,0),0)</f>
        <v>0</v>
      </c>
      <c r="L1278" s="169">
        <f>IFERROR(MATCH(J1278,'Final List'!$D$4:$D$252,0),0)</f>
        <v>0</v>
      </c>
      <c r="M1278" s="169">
        <f>IFERROR(MATCH(J1278,'Final List'!$F$4:$F$251,0),0)</f>
        <v>0</v>
      </c>
      <c r="N1278" s="169">
        <f>IFERROR(MATCH(J1278,'Final List'!$H$4:$H$252,0),0)</f>
        <v>0</v>
      </c>
      <c r="O1278" s="169">
        <f>IFERROR(MATCH(J1278,'Final List'!$J$4:$J$252,0),0)</f>
        <v>0</v>
      </c>
      <c r="P1278" s="169">
        <f>IFERROR(MATCH(J1278,'Final List'!$L$4:$L$252,0),0)</f>
        <v>0</v>
      </c>
      <c r="Q1278" s="169">
        <f>IFERROR(MATCH(J1278,'Final List'!$N$4:$N$252,0),0)</f>
        <v>0</v>
      </c>
      <c r="R1278" s="169">
        <f>IFERROR(MATCH(J1278,'Final List'!$P$4:$P$252,0),0)</f>
        <v>0</v>
      </c>
      <c r="S1278" s="169">
        <f t="shared" si="79"/>
        <v>0</v>
      </c>
      <c r="T1278" s="169" t="s">
        <v>68</v>
      </c>
      <c r="V1278" s="169" t="str">
        <f t="shared" si="77"/>
        <v>VILLARANTE 1</v>
      </c>
      <c r="W1278" s="169" t="s">
        <v>2716</v>
      </c>
    </row>
    <row r="1279" spans="2:23" x14ac:dyDescent="0.25">
      <c r="B1279" s="169" t="s">
        <v>258</v>
      </c>
      <c r="C1279" s="169" t="s">
        <v>87</v>
      </c>
      <c r="D1279" s="169" t="s">
        <v>197</v>
      </c>
      <c r="E1279" s="169" t="s">
        <v>63</v>
      </c>
      <c r="F1279" s="245" t="str">
        <f t="shared" si="78"/>
        <v>Dhoz 71</v>
      </c>
      <c r="G1279" s="169" t="s">
        <v>318</v>
      </c>
      <c r="I1279" s="169" t="str">
        <f t="shared" si="80"/>
        <v>L10_NONE_070E_XCS</v>
      </c>
      <c r="J1279" s="169" t="s">
        <v>8186</v>
      </c>
      <c r="K1279" s="169">
        <f>IFERROR(MATCH(J1279,'Final List'!$B$4:$B$252,0),0)</f>
        <v>0</v>
      </c>
      <c r="L1279" s="169">
        <f>IFERROR(MATCH(J1279,'Final List'!$D$4:$D$252,0),0)</f>
        <v>0</v>
      </c>
      <c r="M1279" s="169">
        <f>IFERROR(MATCH(J1279,'Final List'!$F$4:$F$251,0),0)</f>
        <v>0</v>
      </c>
      <c r="N1279" s="169">
        <f>IFERROR(MATCH(J1279,'Final List'!$H$4:$H$252,0),0)</f>
        <v>0</v>
      </c>
      <c r="O1279" s="169">
        <f>IFERROR(MATCH(J1279,'Final List'!$J$4:$J$252,0),0)</f>
        <v>0</v>
      </c>
      <c r="P1279" s="169">
        <f>IFERROR(MATCH(J1279,'Final List'!$L$4:$L$252,0),0)</f>
        <v>0</v>
      </c>
      <c r="Q1279" s="169">
        <f>IFERROR(MATCH(J1279,'Final List'!$N$4:$N$252,0),0)</f>
        <v>0</v>
      </c>
      <c r="R1279" s="169">
        <f>IFERROR(MATCH(J1279,'Final List'!$P$4:$P$252,0),0)</f>
        <v>0</v>
      </c>
      <c r="S1279" s="169">
        <f t="shared" si="79"/>
        <v>0</v>
      </c>
      <c r="V1279" s="169" t="str">
        <f t="shared" si="77"/>
        <v>PARAGUYA 3</v>
      </c>
      <c r="W1279" s="169" t="s">
        <v>8898</v>
      </c>
    </row>
    <row r="1280" spans="2:23" x14ac:dyDescent="0.25">
      <c r="B1280" s="169" t="s">
        <v>92</v>
      </c>
      <c r="C1280" s="169" t="s">
        <v>39</v>
      </c>
      <c r="D1280" s="169" t="s">
        <v>110</v>
      </c>
      <c r="E1280" s="169" t="s">
        <v>19</v>
      </c>
      <c r="F1280" s="245" t="str">
        <f t="shared" si="78"/>
        <v>DVR 72</v>
      </c>
      <c r="G1280" s="169" t="s">
        <v>2969</v>
      </c>
      <c r="H1280" s="169" t="s">
        <v>450</v>
      </c>
      <c r="I1280" s="169" t="str">
        <f t="shared" si="80"/>
        <v>L05_JVHW_004E_RAISE</v>
      </c>
      <c r="J1280" s="169" t="s">
        <v>8258</v>
      </c>
      <c r="K1280" s="169">
        <f>IFERROR(MATCH(J1280,'Final List'!$B$4:$B$252,0),0)</f>
        <v>0</v>
      </c>
      <c r="L1280" s="169">
        <f>IFERROR(MATCH(J1280,'Final List'!$D$4:$D$252,0),0)</f>
        <v>0</v>
      </c>
      <c r="M1280" s="169">
        <f>IFERROR(MATCH(J1280,'Final List'!$F$4:$F$251,0),0)</f>
        <v>0</v>
      </c>
      <c r="N1280" s="169">
        <f>IFERROR(MATCH(J1280,'Final List'!$H$4:$H$252,0),0)</f>
        <v>0</v>
      </c>
      <c r="O1280" s="169">
        <f>IFERROR(MATCH(J1280,'Final List'!$J$4:$J$252,0),0)</f>
        <v>0</v>
      </c>
      <c r="P1280" s="169">
        <f>IFERROR(MATCH(J1280,'Final List'!$L$4:$L$252,0),0)</f>
        <v>0</v>
      </c>
      <c r="Q1280" s="169">
        <f>IFERROR(MATCH(J1280,'Final List'!$N$4:$N$252,0),0)</f>
        <v>0</v>
      </c>
      <c r="R1280" s="169">
        <f>IFERROR(MATCH(J1280,'Final List'!$P$4:$P$252,0),0)</f>
        <v>0</v>
      </c>
      <c r="S1280" s="169">
        <f t="shared" si="79"/>
        <v>0</v>
      </c>
      <c r="V1280" s="169" t="str">
        <f t="shared" si="77"/>
        <v>BAYOBAY 1</v>
      </c>
      <c r="W1280" s="169" t="s">
        <v>2715</v>
      </c>
    </row>
    <row r="1281" spans="2:23" x14ac:dyDescent="0.25">
      <c r="B1281" s="169" t="s">
        <v>91</v>
      </c>
      <c r="C1281" s="169" t="s">
        <v>44</v>
      </c>
      <c r="D1281" s="169" t="s">
        <v>6864</v>
      </c>
      <c r="E1281" s="169" t="s">
        <v>19</v>
      </c>
      <c r="F1281" s="245" t="str">
        <f t="shared" si="78"/>
        <v>DVR 72</v>
      </c>
      <c r="G1281" s="169" t="s">
        <v>5767</v>
      </c>
      <c r="I1281" s="169" t="str">
        <f t="shared" si="80"/>
        <v>L04_CV_006E_RAISE</v>
      </c>
      <c r="J1281" s="169" t="s">
        <v>8187</v>
      </c>
      <c r="K1281" s="169">
        <f>IFERROR(MATCH(J1281,'Final List'!$B$4:$B$252,0),0)</f>
        <v>0</v>
      </c>
      <c r="L1281" s="169">
        <f>IFERROR(MATCH(J1281,'Final List'!$D$4:$D$252,0),0)</f>
        <v>0</v>
      </c>
      <c r="M1281" s="169">
        <f>IFERROR(MATCH(J1281,'Final List'!$F$4:$F$251,0),0)</f>
        <v>0</v>
      </c>
      <c r="N1281" s="169">
        <f>IFERROR(MATCH(J1281,'Final List'!$H$4:$H$252,0),0)</f>
        <v>0</v>
      </c>
      <c r="O1281" s="169">
        <f>IFERROR(MATCH(J1281,'Final List'!$J$4:$J$252,0),0)</f>
        <v>0</v>
      </c>
      <c r="P1281" s="169">
        <f>IFERROR(MATCH(J1281,'Final List'!$L$4:$L$252,0),0)</f>
        <v>0</v>
      </c>
      <c r="Q1281" s="169">
        <f>IFERROR(MATCH(J1281,'Final List'!$N$4:$N$252,0),0)</f>
        <v>0</v>
      </c>
      <c r="R1281" s="169">
        <f>IFERROR(MATCH(J1281,'Final List'!$P$4:$P$252,0),0)</f>
        <v>0</v>
      </c>
      <c r="S1281" s="169">
        <f t="shared" si="79"/>
        <v>0</v>
      </c>
      <c r="V1281" s="169" t="str">
        <f t="shared" si="77"/>
        <v>MARTINEZ, RON 3</v>
      </c>
      <c r="W1281" s="169" t="s">
        <v>2715</v>
      </c>
    </row>
    <row r="1282" spans="2:23" x14ac:dyDescent="0.25">
      <c r="B1282" s="169" t="s">
        <v>91</v>
      </c>
      <c r="C1282" s="169" t="s">
        <v>56</v>
      </c>
      <c r="D1282" s="169" t="s">
        <v>129</v>
      </c>
      <c r="E1282" s="169" t="s">
        <v>20</v>
      </c>
      <c r="F1282" s="245" t="str">
        <f t="shared" si="78"/>
        <v>DVW 74</v>
      </c>
      <c r="G1282" s="169" t="s">
        <v>298</v>
      </c>
      <c r="I1282" s="169" t="str">
        <f t="shared" si="80"/>
        <v>L04_GHVFW_010E_WINZE</v>
      </c>
      <c r="J1282" s="169" t="s">
        <v>8205</v>
      </c>
      <c r="K1282" s="169">
        <f>IFERROR(MATCH(J1282,'Final List'!$B$4:$B$252,0),0)</f>
        <v>0</v>
      </c>
      <c r="L1282" s="169">
        <f>IFERROR(MATCH(J1282,'Final List'!$D$4:$D$252,0),0)</f>
        <v>0</v>
      </c>
      <c r="M1282" s="169">
        <f>IFERROR(MATCH(J1282,'Final List'!$F$4:$F$251,0),0)</f>
        <v>0</v>
      </c>
      <c r="N1282" s="169">
        <f>IFERROR(MATCH(J1282,'Final List'!$H$4:$H$252,0),0)</f>
        <v>0</v>
      </c>
      <c r="O1282" s="169">
        <f>IFERROR(MATCH(J1282,'Final List'!$J$4:$J$252,0),0)</f>
        <v>0</v>
      </c>
      <c r="P1282" s="169">
        <f>IFERROR(MATCH(J1282,'Final List'!$L$4:$L$252,0),0)</f>
        <v>0</v>
      </c>
      <c r="Q1282" s="169">
        <f>IFERROR(MATCH(J1282,'Final List'!$N$4:$N$252,0),0)</f>
        <v>0</v>
      </c>
      <c r="R1282" s="169">
        <f>IFERROR(MATCH(J1282,'Final List'!$P$4:$P$252,0),0)</f>
        <v>0</v>
      </c>
      <c r="S1282" s="169">
        <f t="shared" si="79"/>
        <v>0</v>
      </c>
      <c r="V1282" s="169" t="str">
        <f t="shared" ref="V1282:V1345" si="81">IF(H1282="",G1282,H1282)</f>
        <v>NOCOS 1</v>
      </c>
      <c r="W1282" s="169" t="s">
        <v>2706</v>
      </c>
    </row>
    <row r="1283" spans="2:23" x14ac:dyDescent="0.25">
      <c r="B1283" s="169" t="s">
        <v>96</v>
      </c>
      <c r="C1283" s="169" t="s">
        <v>45</v>
      </c>
      <c r="D1283" s="169" t="s">
        <v>146</v>
      </c>
      <c r="E1283" s="169" t="s">
        <v>36</v>
      </c>
      <c r="F1283" s="245" t="str">
        <f t="shared" ref="F1283:F1346" si="82">IF(OR(E1283="XCN",E1283="DE",E1283="DW",E1283="DN",E1283="XCS",E1283="XCE",E1283="XCW",E1283="SUMP",E1283="BYPASS",E1283="CHAMBER",E1283="DRAIN HOLE",E1283="DRILLING CHAMBER",E1283="DE_ISL",E1283="DW_ISL",E1283="REHAB"),"Dhoz 71",IF(OR(E1283="RAISE",E1283="RAISE_ISL"),"DVR 72",IF(E1283="ALIMAK","DVA 73",IF(E1283="WINZE","DVW 74",IF(E1283="SHAFT","DVS 75",IF(AND(E1283="WINZE STOPE",T1283="S"),"RobC 80",IF(AND(E1283="STOPE",T1283="S"),"StpS 77",IF(AND(E1283="WINZE STOPE",T1283="L"),"RobC 80",IF(AND(E1283="STOPE",T1283="L"),"StpL 78",IF(AND(E1283="WINZE STOPE PREP",T1283="S"),"RobC 80",IF(AND(E1283="STOPE PREP",T1283="S"),"StpS 77",IF(AND(E1283="WINZE STOPE PREP",T1283="L"),"RobC 80",IF(AND(E1283="STOPE PREP",T1283="L"),"StpL 78",IF(AND(E1283="ROBBING",T1283="L"),"RobC 80",IF(AND(E1283="ROBBING",T1283="S"),"RobS 79",0)))))))))))))))</f>
        <v>StpS 77</v>
      </c>
      <c r="G1283" s="169" t="s">
        <v>360</v>
      </c>
      <c r="I1283" s="169" t="str">
        <f t="shared" si="80"/>
        <v>L09_DPVE_030E_STOPE</v>
      </c>
      <c r="J1283" s="169" t="s">
        <v>8207</v>
      </c>
      <c r="K1283" s="169">
        <f>IFERROR(MATCH(J1283,'Final List'!$B$4:$B$252,0),0)</f>
        <v>0</v>
      </c>
      <c r="L1283" s="169">
        <f>IFERROR(MATCH(J1283,'Final List'!$D$4:$D$252,0),0)</f>
        <v>0</v>
      </c>
      <c r="M1283" s="169">
        <f>IFERROR(MATCH(J1283,'Final List'!$F$4:$F$251,0),0)</f>
        <v>0</v>
      </c>
      <c r="N1283" s="169">
        <f>IFERROR(MATCH(J1283,'Final List'!$H$4:$H$252,0),0)</f>
        <v>0</v>
      </c>
      <c r="O1283" s="169">
        <f>IFERROR(MATCH(J1283,'Final List'!$J$4:$J$252,0),0)</f>
        <v>0</v>
      </c>
      <c r="P1283" s="169">
        <f>IFERROR(MATCH(J1283,'Final List'!$L$4:$L$252,0),0)</f>
        <v>0</v>
      </c>
      <c r="Q1283" s="169">
        <f>IFERROR(MATCH(J1283,'Final List'!$N$4:$N$252,0),0)</f>
        <v>0</v>
      </c>
      <c r="R1283" s="169">
        <f>IFERROR(MATCH(J1283,'Final List'!$P$4:$P$252,0),0)</f>
        <v>0</v>
      </c>
      <c r="S1283" s="169">
        <f t="shared" ref="S1283:S1346" si="83">SUM(K1283:R1283)</f>
        <v>0</v>
      </c>
      <c r="T1283" s="169" t="s">
        <v>68</v>
      </c>
      <c r="V1283" s="169" t="str">
        <f t="shared" si="81"/>
        <v>ALMASA 1</v>
      </c>
      <c r="W1283" s="169" t="s">
        <v>2713</v>
      </c>
    </row>
    <row r="1284" spans="2:23" x14ac:dyDescent="0.25">
      <c r="B1284" s="169" t="s">
        <v>96</v>
      </c>
      <c r="C1284" s="169" t="s">
        <v>39</v>
      </c>
      <c r="D1284" s="169" t="s">
        <v>169</v>
      </c>
      <c r="E1284" s="169" t="s">
        <v>19</v>
      </c>
      <c r="F1284" s="245" t="str">
        <f t="shared" si="82"/>
        <v>DVR 72</v>
      </c>
      <c r="G1284" s="169" t="s">
        <v>362</v>
      </c>
      <c r="I1284" s="169" t="str">
        <f t="shared" si="80"/>
        <v>L09_JVHW_065E_RAISE</v>
      </c>
      <c r="J1284" s="169" t="s">
        <v>890</v>
      </c>
      <c r="K1284" s="169">
        <f>IFERROR(MATCH(J1284,'Final List'!$B$4:$B$252,0),0)</f>
        <v>0</v>
      </c>
      <c r="L1284" s="169">
        <f>IFERROR(MATCH(J1284,'Final List'!$D$4:$D$252,0),0)</f>
        <v>0</v>
      </c>
      <c r="M1284" s="169">
        <f>IFERROR(MATCH(J1284,'Final List'!$F$4:$F$251,0),0)</f>
        <v>0</v>
      </c>
      <c r="N1284" s="169">
        <f>IFERROR(MATCH(J1284,'Final List'!$H$4:$H$252,0),0)</f>
        <v>0</v>
      </c>
      <c r="O1284" s="169">
        <f>IFERROR(MATCH(J1284,'Final List'!$J$4:$J$252,0),0)</f>
        <v>0</v>
      </c>
      <c r="P1284" s="169">
        <f>IFERROR(MATCH(J1284,'Final List'!$L$4:$L$252,0),0)</f>
        <v>0</v>
      </c>
      <c r="Q1284" s="169">
        <f>IFERROR(MATCH(J1284,'Final List'!$N$4:$N$252,0),0)</f>
        <v>0</v>
      </c>
      <c r="R1284" s="169">
        <f>IFERROR(MATCH(J1284,'Final List'!$P$4:$P$252,0),0)</f>
        <v>0</v>
      </c>
      <c r="S1284" s="169">
        <f t="shared" si="83"/>
        <v>0</v>
      </c>
      <c r="V1284" s="169" t="str">
        <f t="shared" si="81"/>
        <v>BABOR 1</v>
      </c>
      <c r="W1284" s="169" t="s">
        <v>2715</v>
      </c>
    </row>
    <row r="1285" spans="2:23" x14ac:dyDescent="0.25">
      <c r="B1285" s="169" t="s">
        <v>93</v>
      </c>
      <c r="C1285" s="169" t="s">
        <v>42</v>
      </c>
      <c r="D1285" s="169" t="s">
        <v>5835</v>
      </c>
      <c r="E1285" s="169" t="s">
        <v>60</v>
      </c>
      <c r="F1285" s="245" t="str">
        <f t="shared" si="82"/>
        <v>Dhoz 71</v>
      </c>
      <c r="G1285" s="169" t="s">
        <v>862</v>
      </c>
      <c r="I1285" s="169" t="str">
        <f t="shared" si="80"/>
        <v>L06_JV_003W_DE</v>
      </c>
      <c r="J1285" s="169" t="s">
        <v>8212</v>
      </c>
      <c r="K1285" s="169">
        <f>IFERROR(MATCH(J1285,'Final List'!$B$4:$B$252,0),0)</f>
        <v>0</v>
      </c>
      <c r="L1285" s="169">
        <f>IFERROR(MATCH(J1285,'Final List'!$D$4:$D$252,0),0)</f>
        <v>0</v>
      </c>
      <c r="M1285" s="169">
        <f>IFERROR(MATCH(J1285,'Final List'!$F$4:$F$251,0),0)</f>
        <v>0</v>
      </c>
      <c r="N1285" s="169">
        <f>IFERROR(MATCH(J1285,'Final List'!$H$4:$H$252,0),0)</f>
        <v>0</v>
      </c>
      <c r="O1285" s="169">
        <f>IFERROR(MATCH(J1285,'Final List'!$J$4:$J$252,0),0)</f>
        <v>0</v>
      </c>
      <c r="P1285" s="169">
        <f>IFERROR(MATCH(J1285,'Final List'!$L$4:$L$252,0),0)</f>
        <v>0</v>
      </c>
      <c r="Q1285" s="169">
        <f>IFERROR(MATCH(J1285,'Final List'!$N$4:$N$252,0),0)</f>
        <v>0</v>
      </c>
      <c r="R1285" s="169">
        <f>IFERROR(MATCH(J1285,'Final List'!$P$4:$P$252,0),0)</f>
        <v>0</v>
      </c>
      <c r="S1285" s="169">
        <f t="shared" si="83"/>
        <v>0</v>
      </c>
      <c r="V1285" s="169" t="str">
        <f t="shared" si="81"/>
        <v>REBOTE 1</v>
      </c>
      <c r="W1285" s="169" t="s">
        <v>8895</v>
      </c>
    </row>
    <row r="1286" spans="2:23" x14ac:dyDescent="0.25">
      <c r="B1286" s="169" t="s">
        <v>93</v>
      </c>
      <c r="C1286" s="169" t="s">
        <v>55</v>
      </c>
      <c r="D1286" s="169" t="s">
        <v>111</v>
      </c>
      <c r="E1286" s="169" t="s">
        <v>211</v>
      </c>
      <c r="F1286" s="245" t="str">
        <f t="shared" si="82"/>
        <v>StpS 77</v>
      </c>
      <c r="G1286" s="169" t="s">
        <v>742</v>
      </c>
      <c r="I1286" s="169" t="str">
        <f t="shared" si="80"/>
        <v>L06_JVFW_004W_STOPE PREP</v>
      </c>
      <c r="J1286" s="169" t="s">
        <v>8215</v>
      </c>
      <c r="K1286" s="169">
        <f>IFERROR(MATCH(J1286,'Final List'!$B$4:$B$252,0),0)</f>
        <v>0</v>
      </c>
      <c r="L1286" s="169">
        <f>IFERROR(MATCH(J1286,'Final List'!$D$4:$D$252,0),0)</f>
        <v>0</v>
      </c>
      <c r="M1286" s="169">
        <f>IFERROR(MATCH(J1286,'Final List'!$F$4:$F$251,0),0)</f>
        <v>0</v>
      </c>
      <c r="N1286" s="169">
        <f>IFERROR(MATCH(J1286,'Final List'!$H$4:$H$252,0),0)</f>
        <v>0</v>
      </c>
      <c r="O1286" s="169">
        <f>IFERROR(MATCH(J1286,'Final List'!$J$4:$J$252,0),0)</f>
        <v>0</v>
      </c>
      <c r="P1286" s="169">
        <f>IFERROR(MATCH(J1286,'Final List'!$L$4:$L$252,0),0)</f>
        <v>0</v>
      </c>
      <c r="Q1286" s="169">
        <f>IFERROR(MATCH(J1286,'Final List'!$N$4:$N$252,0),0)</f>
        <v>0</v>
      </c>
      <c r="R1286" s="169">
        <f>IFERROR(MATCH(J1286,'Final List'!$P$4:$P$252,0),0)</f>
        <v>0</v>
      </c>
      <c r="S1286" s="169">
        <f t="shared" si="83"/>
        <v>0</v>
      </c>
      <c r="T1286" s="169" t="s">
        <v>68</v>
      </c>
      <c r="V1286" s="169" t="str">
        <f t="shared" si="81"/>
        <v>REBOTE 2</v>
      </c>
      <c r="W1286" s="169" t="s">
        <v>2712</v>
      </c>
    </row>
    <row r="1287" spans="2:23" x14ac:dyDescent="0.25">
      <c r="B1287" s="169" t="s">
        <v>93</v>
      </c>
      <c r="C1287" s="169" t="s">
        <v>38</v>
      </c>
      <c r="D1287" s="169" t="s">
        <v>144</v>
      </c>
      <c r="E1287" s="169" t="s">
        <v>62</v>
      </c>
      <c r="F1287" s="245" t="str">
        <f t="shared" si="82"/>
        <v>RobC 80</v>
      </c>
      <c r="G1287" s="169" t="s">
        <v>341</v>
      </c>
      <c r="I1287" s="169" t="str">
        <f t="shared" si="80"/>
        <v>L06_GHV_043E_ROBBING</v>
      </c>
      <c r="J1287" s="169" t="s">
        <v>8220</v>
      </c>
      <c r="K1287" s="169">
        <f>IFERROR(MATCH(J1287,'Final List'!$B$4:$B$252,0),0)</f>
        <v>0</v>
      </c>
      <c r="L1287" s="169">
        <f>IFERROR(MATCH(J1287,'Final List'!$D$4:$D$252,0),0)</f>
        <v>0</v>
      </c>
      <c r="M1287" s="169">
        <f>IFERROR(MATCH(J1287,'Final List'!$F$4:$F$251,0),0)</f>
        <v>0</v>
      </c>
      <c r="N1287" s="169">
        <f>IFERROR(MATCH(J1287,'Final List'!$H$4:$H$252,0),0)</f>
        <v>0</v>
      </c>
      <c r="O1287" s="169">
        <f>IFERROR(MATCH(J1287,'Final List'!$J$4:$J$252,0),0)</f>
        <v>0</v>
      </c>
      <c r="P1287" s="169">
        <f>IFERROR(MATCH(J1287,'Final List'!$L$4:$L$252,0),0)</f>
        <v>0</v>
      </c>
      <c r="Q1287" s="169">
        <f>IFERROR(MATCH(J1287,'Final List'!$N$4:$N$252,0),0)</f>
        <v>0</v>
      </c>
      <c r="R1287" s="169">
        <f>IFERROR(MATCH(J1287,'Final List'!$P$4:$P$252,0),0)</f>
        <v>0</v>
      </c>
      <c r="S1287" s="169">
        <f t="shared" si="83"/>
        <v>0</v>
      </c>
      <c r="T1287" s="169" t="s">
        <v>48</v>
      </c>
      <c r="V1287" s="169" t="str">
        <f t="shared" si="81"/>
        <v>BADBADON 1</v>
      </c>
      <c r="W1287" s="169" t="s">
        <v>236</v>
      </c>
    </row>
    <row r="1288" spans="2:23" x14ac:dyDescent="0.25">
      <c r="B1288" s="169" t="s">
        <v>91</v>
      </c>
      <c r="C1288" s="169" t="s">
        <v>44</v>
      </c>
      <c r="D1288" s="169" t="s">
        <v>5689</v>
      </c>
      <c r="E1288" s="169" t="s">
        <v>19</v>
      </c>
      <c r="F1288" s="245" t="str">
        <f t="shared" si="82"/>
        <v>DVR 72</v>
      </c>
      <c r="G1288" s="169" t="s">
        <v>394</v>
      </c>
      <c r="I1288" s="169" t="str">
        <f t="shared" si="80"/>
        <v>L04_CV_003E_RAISE</v>
      </c>
      <c r="J1288" s="169" t="s">
        <v>8223</v>
      </c>
      <c r="K1288" s="169">
        <f>IFERROR(MATCH(J1288,'Final List'!$B$4:$B$252,0),0)</f>
        <v>0</v>
      </c>
      <c r="L1288" s="169">
        <f>IFERROR(MATCH(J1288,'Final List'!$D$4:$D$252,0),0)</f>
        <v>0</v>
      </c>
      <c r="M1288" s="169">
        <f>IFERROR(MATCH(J1288,'Final List'!$F$4:$F$251,0),0)</f>
        <v>0</v>
      </c>
      <c r="N1288" s="169">
        <f>IFERROR(MATCH(J1288,'Final List'!$H$4:$H$252,0),0)</f>
        <v>0</v>
      </c>
      <c r="O1288" s="169">
        <f>IFERROR(MATCH(J1288,'Final List'!$J$4:$J$252,0),0)</f>
        <v>0</v>
      </c>
      <c r="P1288" s="169">
        <f>IFERROR(MATCH(J1288,'Final List'!$L$4:$L$252,0),0)</f>
        <v>0</v>
      </c>
      <c r="Q1288" s="169">
        <f>IFERROR(MATCH(J1288,'Final List'!$N$4:$N$252,0),0)</f>
        <v>0</v>
      </c>
      <c r="R1288" s="169">
        <f>IFERROR(MATCH(J1288,'Final List'!$P$4:$P$252,0),0)</f>
        <v>0</v>
      </c>
      <c r="S1288" s="169">
        <f t="shared" si="83"/>
        <v>0</v>
      </c>
      <c r="V1288" s="169" t="str">
        <f t="shared" si="81"/>
        <v>ANDILAB 1</v>
      </c>
      <c r="W1288" s="169" t="s">
        <v>2715</v>
      </c>
    </row>
    <row r="1289" spans="2:23" x14ac:dyDescent="0.25">
      <c r="B1289" s="169" t="s">
        <v>92</v>
      </c>
      <c r="C1289" s="169" t="s">
        <v>45</v>
      </c>
      <c r="D1289" s="169" t="s">
        <v>161</v>
      </c>
      <c r="E1289" s="169" t="s">
        <v>6154</v>
      </c>
      <c r="F1289" s="245" t="str">
        <f t="shared" si="82"/>
        <v>Dhoz 71</v>
      </c>
      <c r="G1289" s="169" t="s">
        <v>554</v>
      </c>
      <c r="I1289" s="169" t="str">
        <f t="shared" si="80"/>
        <v>L05_DPVE_044E_DW_ISL</v>
      </c>
      <c r="J1289" s="169" t="s">
        <v>8226</v>
      </c>
      <c r="K1289" s="169">
        <f>IFERROR(MATCH(J1289,'Final List'!$B$4:$B$252,0),0)</f>
        <v>0</v>
      </c>
      <c r="L1289" s="169">
        <f>IFERROR(MATCH(J1289,'Final List'!$D$4:$D$252,0),0)</f>
        <v>0</v>
      </c>
      <c r="M1289" s="169">
        <f>IFERROR(MATCH(J1289,'Final List'!$F$4:$F$251,0),0)</f>
        <v>0</v>
      </c>
      <c r="N1289" s="169">
        <f>IFERROR(MATCH(J1289,'Final List'!$H$4:$H$252,0),0)</f>
        <v>0</v>
      </c>
      <c r="O1289" s="169">
        <f>IFERROR(MATCH(J1289,'Final List'!$J$4:$J$252,0),0)</f>
        <v>0</v>
      </c>
      <c r="P1289" s="169">
        <f>IFERROR(MATCH(J1289,'Final List'!$L$4:$L$252,0),0)</f>
        <v>0</v>
      </c>
      <c r="Q1289" s="169">
        <f>IFERROR(MATCH(J1289,'Final List'!$N$4:$N$252,0),0)</f>
        <v>0</v>
      </c>
      <c r="R1289" s="169">
        <f>IFERROR(MATCH(J1289,'Final List'!$P$4:$P$252,0),0)</f>
        <v>0</v>
      </c>
      <c r="S1289" s="169">
        <f t="shared" si="83"/>
        <v>0</v>
      </c>
      <c r="V1289" s="169" t="str">
        <f t="shared" si="81"/>
        <v>PANCIT, NOEL 1</v>
      </c>
      <c r="W1289" s="169" t="s">
        <v>2708</v>
      </c>
    </row>
    <row r="1290" spans="2:23" x14ac:dyDescent="0.25">
      <c r="B1290" s="169" t="s">
        <v>92</v>
      </c>
      <c r="C1290" s="169" t="s">
        <v>87</v>
      </c>
      <c r="D1290" s="169" t="s">
        <v>120</v>
      </c>
      <c r="E1290" s="169" t="s">
        <v>70</v>
      </c>
      <c r="F1290" s="245" t="str">
        <f t="shared" si="82"/>
        <v>Dhoz 71</v>
      </c>
      <c r="G1290" s="169" t="s">
        <v>4009</v>
      </c>
      <c r="I1290" s="169" t="str">
        <f t="shared" si="80"/>
        <v>L05_NONE_015E_SUMP</v>
      </c>
      <c r="J1290" s="169" t="s">
        <v>8227</v>
      </c>
      <c r="K1290" s="169">
        <f>IFERROR(MATCH(J1290,'Final List'!$B$4:$B$252,0),0)</f>
        <v>0</v>
      </c>
      <c r="L1290" s="169">
        <f>IFERROR(MATCH(J1290,'Final List'!$D$4:$D$252,0),0)</f>
        <v>0</v>
      </c>
      <c r="M1290" s="169">
        <f>IFERROR(MATCH(J1290,'Final List'!$F$4:$F$251,0),0)</f>
        <v>0</v>
      </c>
      <c r="N1290" s="169">
        <f>IFERROR(MATCH(J1290,'Final List'!$H$4:$H$252,0),0)</f>
        <v>0</v>
      </c>
      <c r="O1290" s="169">
        <f>IFERROR(MATCH(J1290,'Final List'!$J$4:$J$252,0),0)</f>
        <v>0</v>
      </c>
      <c r="P1290" s="169">
        <f>IFERROR(MATCH(J1290,'Final List'!$L$4:$L$252,0),0)</f>
        <v>0</v>
      </c>
      <c r="Q1290" s="169">
        <f>IFERROR(MATCH(J1290,'Final List'!$N$4:$N$252,0),0)</f>
        <v>0</v>
      </c>
      <c r="R1290" s="169">
        <f>IFERROR(MATCH(J1290,'Final List'!$P$4:$P$252,0),0)</f>
        <v>0</v>
      </c>
      <c r="S1290" s="169">
        <f t="shared" si="83"/>
        <v>0</v>
      </c>
      <c r="V1290" s="169" t="str">
        <f t="shared" si="81"/>
        <v>SHEPHERD AF</v>
      </c>
      <c r="W1290" s="169" t="s">
        <v>2714</v>
      </c>
    </row>
    <row r="1291" spans="2:23" x14ac:dyDescent="0.25">
      <c r="B1291" s="169" t="s">
        <v>93</v>
      </c>
      <c r="C1291" s="169" t="s">
        <v>45</v>
      </c>
      <c r="D1291" s="169" t="s">
        <v>175</v>
      </c>
      <c r="E1291" s="169" t="s">
        <v>60</v>
      </c>
      <c r="F1291" s="245" t="str">
        <f t="shared" si="82"/>
        <v>Dhoz 71</v>
      </c>
      <c r="G1291" s="169" t="s">
        <v>354</v>
      </c>
      <c r="I1291" s="169" t="str">
        <f t="shared" si="80"/>
        <v>L06_DPVE_060E_DE</v>
      </c>
      <c r="J1291" s="169" t="s">
        <v>8228</v>
      </c>
      <c r="K1291" s="169">
        <f>IFERROR(MATCH(J1291,'Final List'!$B$4:$B$252,0),0)</f>
        <v>0</v>
      </c>
      <c r="L1291" s="169">
        <f>IFERROR(MATCH(J1291,'Final List'!$D$4:$D$252,0),0)</f>
        <v>0</v>
      </c>
      <c r="M1291" s="169">
        <f>IFERROR(MATCH(J1291,'Final List'!$F$4:$F$251,0),0)</f>
        <v>0</v>
      </c>
      <c r="N1291" s="169">
        <f>IFERROR(MATCH(J1291,'Final List'!$H$4:$H$252,0),0)</f>
        <v>0</v>
      </c>
      <c r="O1291" s="169">
        <f>IFERROR(MATCH(J1291,'Final List'!$J$4:$J$252,0),0)</f>
        <v>0</v>
      </c>
      <c r="P1291" s="169">
        <f>IFERROR(MATCH(J1291,'Final List'!$L$4:$L$252,0),0)</f>
        <v>0</v>
      </c>
      <c r="Q1291" s="169">
        <f>IFERROR(MATCH(J1291,'Final List'!$N$4:$N$252,0),0)</f>
        <v>0</v>
      </c>
      <c r="R1291" s="169">
        <f>IFERROR(MATCH(J1291,'Final List'!$P$4:$P$252,0),0)</f>
        <v>0</v>
      </c>
      <c r="S1291" s="169">
        <f t="shared" si="83"/>
        <v>0</v>
      </c>
      <c r="V1291" s="169" t="str">
        <f t="shared" si="81"/>
        <v>BAÑEZ 3</v>
      </c>
      <c r="W1291" s="169" t="s">
        <v>8895</v>
      </c>
    </row>
    <row r="1292" spans="2:23" x14ac:dyDescent="0.25">
      <c r="B1292" s="169" t="s">
        <v>96</v>
      </c>
      <c r="C1292" s="169" t="s">
        <v>45</v>
      </c>
      <c r="D1292" s="169" t="s">
        <v>5614</v>
      </c>
      <c r="E1292" s="169" t="s">
        <v>36</v>
      </c>
      <c r="F1292" s="245" t="str">
        <f t="shared" si="82"/>
        <v>StpS 77</v>
      </c>
      <c r="G1292" s="169" t="s">
        <v>8234</v>
      </c>
      <c r="I1292" s="169" t="str">
        <f t="shared" si="80"/>
        <v>L09_DPVE_055E_STOPE</v>
      </c>
      <c r="J1292" s="169" t="s">
        <v>8233</v>
      </c>
      <c r="K1292" s="169">
        <f>IFERROR(MATCH(J1292,'Final List'!$B$4:$B$252,0),0)</f>
        <v>0</v>
      </c>
      <c r="L1292" s="169">
        <f>IFERROR(MATCH(J1292,'Final List'!$D$4:$D$252,0),0)</f>
        <v>0</v>
      </c>
      <c r="M1292" s="169">
        <f>IFERROR(MATCH(J1292,'Final List'!$F$4:$F$251,0),0)</f>
        <v>0</v>
      </c>
      <c r="N1292" s="169">
        <f>IFERROR(MATCH(J1292,'Final List'!$H$4:$H$252,0),0)</f>
        <v>0</v>
      </c>
      <c r="O1292" s="169">
        <f>IFERROR(MATCH(J1292,'Final List'!$J$4:$J$252,0),0)</f>
        <v>0</v>
      </c>
      <c r="P1292" s="169">
        <f>IFERROR(MATCH(J1292,'Final List'!$L$4:$L$252,0),0)</f>
        <v>0</v>
      </c>
      <c r="Q1292" s="169">
        <f>IFERROR(MATCH(J1292,'Final List'!$N$4:$N$252,0),0)</f>
        <v>0</v>
      </c>
      <c r="R1292" s="169">
        <f>IFERROR(MATCH(J1292,'Final List'!$P$4:$P$252,0),0)</f>
        <v>0</v>
      </c>
      <c r="S1292" s="169">
        <f t="shared" si="83"/>
        <v>0</v>
      </c>
      <c r="T1292" s="169" t="s">
        <v>68</v>
      </c>
      <c r="V1292" s="169" t="str">
        <f t="shared" si="81"/>
        <v>NORMAN PANSIT 4</v>
      </c>
      <c r="W1292" s="169" t="s">
        <v>2713</v>
      </c>
    </row>
    <row r="1293" spans="2:23" x14ac:dyDescent="0.25">
      <c r="B1293" s="169" t="s">
        <v>258</v>
      </c>
      <c r="C1293" s="169" t="s">
        <v>87</v>
      </c>
      <c r="D1293" s="169" t="s">
        <v>179</v>
      </c>
      <c r="E1293" s="169" t="s">
        <v>72</v>
      </c>
      <c r="F1293" s="245" t="str">
        <f t="shared" si="82"/>
        <v>Dhoz 71</v>
      </c>
      <c r="G1293" s="169" t="s">
        <v>5697</v>
      </c>
      <c r="H1293" s="169" t="s">
        <v>10502</v>
      </c>
      <c r="I1293" s="169" t="str">
        <f t="shared" si="80"/>
        <v>L10_NONE_050E_CHAMBER</v>
      </c>
      <c r="J1293" s="169" t="s">
        <v>675</v>
      </c>
      <c r="K1293" s="169">
        <f>IFERROR(MATCH(J1293,'Final List'!$B$4:$B$252,0),0)</f>
        <v>0</v>
      </c>
      <c r="L1293" s="169">
        <f>IFERROR(MATCH(J1293,'Final List'!$D$4:$D$252,0),0)</f>
        <v>0</v>
      </c>
      <c r="M1293" s="169">
        <f>IFERROR(MATCH(J1293,'Final List'!$F$4:$F$251,0),0)</f>
        <v>0</v>
      </c>
      <c r="N1293" s="169">
        <f>IFERROR(MATCH(J1293,'Final List'!$H$4:$H$252,0),0)</f>
        <v>0</v>
      </c>
      <c r="O1293" s="169">
        <f>IFERROR(MATCH(J1293,'Final List'!$J$4:$J$252,0),0)</f>
        <v>0</v>
      </c>
      <c r="P1293" s="169">
        <f>IFERROR(MATCH(J1293,'Final List'!$L$4:$L$252,0),0)</f>
        <v>0</v>
      </c>
      <c r="Q1293" s="169">
        <f>IFERROR(MATCH(J1293,'Final List'!$N$4:$N$252,0),0)</f>
        <v>0</v>
      </c>
      <c r="R1293" s="169">
        <f>IFERROR(MATCH(J1293,'Final List'!$P$4:$P$252,0),0)</f>
        <v>0</v>
      </c>
      <c r="S1293" s="169">
        <f t="shared" si="83"/>
        <v>0</v>
      </c>
      <c r="V1293" s="169" t="str">
        <f t="shared" si="81"/>
        <v>SHEPHERD AX</v>
      </c>
      <c r="W1293" s="169" t="s">
        <v>2714</v>
      </c>
    </row>
    <row r="1294" spans="2:23" x14ac:dyDescent="0.25">
      <c r="B1294" s="169" t="s">
        <v>94</v>
      </c>
      <c r="C1294" s="169" t="s">
        <v>38</v>
      </c>
      <c r="D1294" s="169" t="s">
        <v>6068</v>
      </c>
      <c r="E1294" s="169" t="s">
        <v>62</v>
      </c>
      <c r="F1294" s="245" t="str">
        <f t="shared" si="82"/>
        <v>RobS 79</v>
      </c>
      <c r="G1294" s="169" t="s">
        <v>7631</v>
      </c>
      <c r="I1294" s="169" t="str">
        <f t="shared" si="80"/>
        <v>L07_GHV_035W_ROBBING</v>
      </c>
      <c r="J1294" s="169" t="s">
        <v>8235</v>
      </c>
      <c r="K1294" s="169">
        <f>IFERROR(MATCH(J1294,'Final List'!$B$4:$B$252,0),0)</f>
        <v>0</v>
      </c>
      <c r="L1294" s="169">
        <f>IFERROR(MATCH(J1294,'Final List'!$D$4:$D$252,0),0)</f>
        <v>0</v>
      </c>
      <c r="M1294" s="169">
        <f>IFERROR(MATCH(J1294,'Final List'!$F$4:$F$251,0),0)</f>
        <v>0</v>
      </c>
      <c r="N1294" s="169">
        <f>IFERROR(MATCH(J1294,'Final List'!$H$4:$H$252,0),0)</f>
        <v>0</v>
      </c>
      <c r="O1294" s="169">
        <f>IFERROR(MATCH(J1294,'Final List'!$J$4:$J$252,0),0)</f>
        <v>0</v>
      </c>
      <c r="P1294" s="169">
        <f>IFERROR(MATCH(J1294,'Final List'!$L$4:$L$252,0),0)</f>
        <v>0</v>
      </c>
      <c r="Q1294" s="169">
        <f>IFERROR(MATCH(J1294,'Final List'!$N$4:$N$252,0),0)</f>
        <v>0</v>
      </c>
      <c r="R1294" s="169">
        <f>IFERROR(MATCH(J1294,'Final List'!$P$4:$P$252,0),0)</f>
        <v>0</v>
      </c>
      <c r="S1294" s="169">
        <f t="shared" si="83"/>
        <v>0</v>
      </c>
      <c r="T1294" s="169" t="s">
        <v>68</v>
      </c>
      <c r="V1294" s="169" t="str">
        <f t="shared" si="81"/>
        <v>TURRA 3</v>
      </c>
      <c r="W1294" s="169" t="s">
        <v>2707</v>
      </c>
    </row>
    <row r="1295" spans="2:23" x14ac:dyDescent="0.25">
      <c r="B1295" s="169" t="s">
        <v>96</v>
      </c>
      <c r="C1295" s="169" t="s">
        <v>38</v>
      </c>
      <c r="D1295" s="169" t="s">
        <v>284</v>
      </c>
      <c r="E1295" s="169" t="s">
        <v>20</v>
      </c>
      <c r="F1295" s="245" t="str">
        <f t="shared" si="82"/>
        <v>DVW 74</v>
      </c>
      <c r="G1295" s="169" t="s">
        <v>485</v>
      </c>
      <c r="I1295" s="169" t="str">
        <f t="shared" si="80"/>
        <v>L09_GHV_061E_WINZE</v>
      </c>
      <c r="J1295" s="169" t="s">
        <v>8240</v>
      </c>
      <c r="K1295" s="169">
        <f>IFERROR(MATCH(J1295,'Final List'!$B$4:$B$252,0),0)</f>
        <v>0</v>
      </c>
      <c r="L1295" s="169">
        <f>IFERROR(MATCH(J1295,'Final List'!$D$4:$D$252,0),0)</f>
        <v>0</v>
      </c>
      <c r="M1295" s="169">
        <f>IFERROR(MATCH(J1295,'Final List'!$F$4:$F$251,0),0)</f>
        <v>0</v>
      </c>
      <c r="N1295" s="169">
        <f>IFERROR(MATCH(J1295,'Final List'!$H$4:$H$252,0),0)</f>
        <v>0</v>
      </c>
      <c r="O1295" s="169">
        <f>IFERROR(MATCH(J1295,'Final List'!$J$4:$J$252,0),0)</f>
        <v>0</v>
      </c>
      <c r="P1295" s="169">
        <f>IFERROR(MATCH(J1295,'Final List'!$L$4:$L$252,0),0)</f>
        <v>0</v>
      </c>
      <c r="Q1295" s="169">
        <f>IFERROR(MATCH(J1295,'Final List'!$N$4:$N$252,0),0)</f>
        <v>0</v>
      </c>
      <c r="R1295" s="169">
        <f>IFERROR(MATCH(J1295,'Final List'!$P$4:$P$252,0),0)</f>
        <v>0</v>
      </c>
      <c r="S1295" s="169">
        <f t="shared" si="83"/>
        <v>0</v>
      </c>
      <c r="V1295" s="169" t="str">
        <f t="shared" si="81"/>
        <v>BALANGHIG 3</v>
      </c>
      <c r="W1295" s="169" t="s">
        <v>2706</v>
      </c>
    </row>
    <row r="1296" spans="2:23" x14ac:dyDescent="0.25">
      <c r="B1296" s="169" t="s">
        <v>258</v>
      </c>
      <c r="C1296" s="169" t="s">
        <v>45</v>
      </c>
      <c r="D1296" s="169" t="s">
        <v>7025</v>
      </c>
      <c r="E1296" s="169" t="s">
        <v>61</v>
      </c>
      <c r="F1296" s="245" t="str">
        <f t="shared" si="82"/>
        <v>Dhoz 71</v>
      </c>
      <c r="G1296" s="169" t="s">
        <v>5700</v>
      </c>
      <c r="I1296" s="169" t="str">
        <f t="shared" si="80"/>
        <v>L10_DPVE_082E_DW</v>
      </c>
      <c r="J1296" s="169" t="s">
        <v>8243</v>
      </c>
      <c r="K1296" s="169">
        <f>IFERROR(MATCH(J1296,'Final List'!$B$4:$B$252,0),0)</f>
        <v>0</v>
      </c>
      <c r="L1296" s="169">
        <f>IFERROR(MATCH(J1296,'Final List'!$D$4:$D$252,0),0)</f>
        <v>0</v>
      </c>
      <c r="M1296" s="169">
        <f>IFERROR(MATCH(J1296,'Final List'!$F$4:$F$251,0),0)</f>
        <v>0</v>
      </c>
      <c r="N1296" s="169">
        <f>IFERROR(MATCH(J1296,'Final List'!$H$4:$H$252,0),0)</f>
        <v>0</v>
      </c>
      <c r="O1296" s="169">
        <f>IFERROR(MATCH(J1296,'Final List'!$J$4:$J$252,0),0)</f>
        <v>0</v>
      </c>
      <c r="P1296" s="169">
        <f>IFERROR(MATCH(J1296,'Final List'!$L$4:$L$252,0),0)</f>
        <v>0</v>
      </c>
      <c r="Q1296" s="169">
        <f>IFERROR(MATCH(J1296,'Final List'!$N$4:$N$252,0),0)</f>
        <v>0</v>
      </c>
      <c r="R1296" s="169">
        <f>IFERROR(MATCH(J1296,'Final List'!$P$4:$P$252,0),0)</f>
        <v>0</v>
      </c>
      <c r="S1296" s="169">
        <f t="shared" si="83"/>
        <v>0</v>
      </c>
      <c r="V1296" s="169" t="str">
        <f t="shared" si="81"/>
        <v>LARGO 1</v>
      </c>
      <c r="W1296" s="169" t="s">
        <v>8896</v>
      </c>
    </row>
    <row r="1297" spans="2:23" x14ac:dyDescent="0.25">
      <c r="B1297" s="169" t="s">
        <v>93</v>
      </c>
      <c r="C1297" s="169" t="s">
        <v>55</v>
      </c>
      <c r="D1297" s="169" t="s">
        <v>5835</v>
      </c>
      <c r="E1297" s="169" t="s">
        <v>60</v>
      </c>
      <c r="F1297" s="245" t="str">
        <f t="shared" si="82"/>
        <v>Dhoz 71</v>
      </c>
      <c r="G1297" s="169" t="s">
        <v>2459</v>
      </c>
      <c r="I1297" s="169" t="str">
        <f t="shared" si="80"/>
        <v>L06_JVFW_003W_DE</v>
      </c>
      <c r="J1297" s="169" t="s">
        <v>8237</v>
      </c>
      <c r="K1297" s="169">
        <f>IFERROR(MATCH(J1297,'Final List'!$B$4:$B$252,0),0)</f>
        <v>0</v>
      </c>
      <c r="L1297" s="169">
        <f>IFERROR(MATCH(J1297,'Final List'!$D$4:$D$252,0),0)</f>
        <v>0</v>
      </c>
      <c r="M1297" s="169">
        <f>IFERROR(MATCH(J1297,'Final List'!$F$4:$F$251,0),0)</f>
        <v>0</v>
      </c>
      <c r="N1297" s="169">
        <f>IFERROR(MATCH(J1297,'Final List'!$H$4:$H$252,0),0)</f>
        <v>0</v>
      </c>
      <c r="O1297" s="169">
        <f>IFERROR(MATCH(J1297,'Final List'!$J$4:$J$252,0),0)</f>
        <v>0</v>
      </c>
      <c r="P1297" s="169">
        <f>IFERROR(MATCH(J1297,'Final List'!$L$4:$L$252,0),0)</f>
        <v>0</v>
      </c>
      <c r="Q1297" s="169">
        <f>IFERROR(MATCH(J1297,'Final List'!$N$4:$N$252,0),0)</f>
        <v>0</v>
      </c>
      <c r="R1297" s="169">
        <f>IFERROR(MATCH(J1297,'Final List'!$P$4:$P$252,0),0)</f>
        <v>0</v>
      </c>
      <c r="S1297" s="169">
        <f t="shared" si="83"/>
        <v>0</v>
      </c>
      <c r="V1297" s="169" t="str">
        <f t="shared" si="81"/>
        <v>REBOTE 3</v>
      </c>
      <c r="W1297" s="169" t="s">
        <v>8895</v>
      </c>
    </row>
    <row r="1298" spans="2:23" x14ac:dyDescent="0.25">
      <c r="B1298" s="169" t="s">
        <v>95</v>
      </c>
      <c r="C1298" s="169" t="s">
        <v>45</v>
      </c>
      <c r="D1298" s="169" t="s">
        <v>6387</v>
      </c>
      <c r="E1298" s="169" t="s">
        <v>60</v>
      </c>
      <c r="F1298" s="245" t="str">
        <f t="shared" si="82"/>
        <v>Dhoz 71</v>
      </c>
      <c r="G1298" s="169" t="s">
        <v>6936</v>
      </c>
      <c r="I1298" s="169" t="str">
        <f t="shared" si="80"/>
        <v>L08_DPVE_079E_DE</v>
      </c>
      <c r="J1298" s="169" t="s">
        <v>8238</v>
      </c>
      <c r="K1298" s="169">
        <f>IFERROR(MATCH(J1298,'Final List'!$B$4:$B$252,0),0)</f>
        <v>0</v>
      </c>
      <c r="L1298" s="169">
        <f>IFERROR(MATCH(J1298,'Final List'!$D$4:$D$252,0),0)</f>
        <v>0</v>
      </c>
      <c r="M1298" s="169">
        <f>IFERROR(MATCH(J1298,'Final List'!$F$4:$F$251,0),0)</f>
        <v>0</v>
      </c>
      <c r="N1298" s="169">
        <f>IFERROR(MATCH(J1298,'Final List'!$H$4:$H$252,0),0)</f>
        <v>0</v>
      </c>
      <c r="O1298" s="169">
        <f>IFERROR(MATCH(J1298,'Final List'!$J$4:$J$252,0),0)</f>
        <v>0</v>
      </c>
      <c r="P1298" s="169">
        <f>IFERROR(MATCH(J1298,'Final List'!$L$4:$L$252,0),0)</f>
        <v>0</v>
      </c>
      <c r="Q1298" s="169">
        <f>IFERROR(MATCH(J1298,'Final List'!$N$4:$N$252,0),0)</f>
        <v>0</v>
      </c>
      <c r="R1298" s="169">
        <f>IFERROR(MATCH(J1298,'Final List'!$P$4:$P$252,0),0)</f>
        <v>0</v>
      </c>
      <c r="S1298" s="169">
        <f t="shared" si="83"/>
        <v>0</v>
      </c>
      <c r="V1298" s="169" t="str">
        <f t="shared" si="81"/>
        <v>OSWAY 1</v>
      </c>
      <c r="W1298" s="169" t="s">
        <v>8895</v>
      </c>
    </row>
    <row r="1299" spans="2:23" x14ac:dyDescent="0.25">
      <c r="B1299" s="169" t="s">
        <v>93</v>
      </c>
      <c r="C1299" s="169" t="s">
        <v>39</v>
      </c>
      <c r="D1299" s="169" t="s">
        <v>195</v>
      </c>
      <c r="E1299" s="169" t="s">
        <v>211</v>
      </c>
      <c r="F1299" s="245" t="str">
        <f t="shared" si="82"/>
        <v>StpS 77</v>
      </c>
      <c r="G1299" s="169" t="s">
        <v>355</v>
      </c>
      <c r="I1299" s="169" t="str">
        <f t="shared" si="80"/>
        <v>L06_JVHW_008W_STOPE PREP</v>
      </c>
      <c r="J1299" s="169" t="s">
        <v>8245</v>
      </c>
      <c r="K1299" s="169">
        <f>IFERROR(MATCH(J1299,'Final List'!$B$4:$B$252,0),0)</f>
        <v>0</v>
      </c>
      <c r="L1299" s="169">
        <f>IFERROR(MATCH(J1299,'Final List'!$D$4:$D$252,0),0)</f>
        <v>0</v>
      </c>
      <c r="M1299" s="169">
        <f>IFERROR(MATCH(J1299,'Final List'!$F$4:$F$251,0),0)</f>
        <v>0</v>
      </c>
      <c r="N1299" s="169">
        <f>IFERROR(MATCH(J1299,'Final List'!$H$4:$H$252,0),0)</f>
        <v>0</v>
      </c>
      <c r="O1299" s="169">
        <f>IFERROR(MATCH(J1299,'Final List'!$J$4:$J$252,0),0)</f>
        <v>0</v>
      </c>
      <c r="P1299" s="169">
        <f>IFERROR(MATCH(J1299,'Final List'!$L$4:$L$252,0),0)</f>
        <v>0</v>
      </c>
      <c r="Q1299" s="169">
        <f>IFERROR(MATCH(J1299,'Final List'!$N$4:$N$252,0),0)</f>
        <v>0</v>
      </c>
      <c r="R1299" s="169">
        <f>IFERROR(MATCH(J1299,'Final List'!$P$4:$P$252,0),0)</f>
        <v>0</v>
      </c>
      <c r="S1299" s="169">
        <f t="shared" si="83"/>
        <v>0</v>
      </c>
      <c r="T1299" s="169" t="s">
        <v>68</v>
      </c>
      <c r="V1299" s="169" t="str">
        <f t="shared" si="81"/>
        <v>BAÑEZ 2</v>
      </c>
      <c r="W1299" s="169" t="s">
        <v>2712</v>
      </c>
    </row>
    <row r="1300" spans="2:23" x14ac:dyDescent="0.25">
      <c r="B1300" s="169" t="s">
        <v>93</v>
      </c>
      <c r="C1300" s="169" t="s">
        <v>45</v>
      </c>
      <c r="D1300" s="169" t="s">
        <v>160</v>
      </c>
      <c r="E1300" s="169" t="s">
        <v>61</v>
      </c>
      <c r="F1300" s="245" t="str">
        <f t="shared" si="82"/>
        <v>Dhoz 71</v>
      </c>
      <c r="G1300" s="169" t="s">
        <v>354</v>
      </c>
      <c r="I1300" s="169" t="str">
        <f t="shared" si="80"/>
        <v>L06_DPVE_042E_DW</v>
      </c>
      <c r="J1300" s="169" t="s">
        <v>8246</v>
      </c>
      <c r="K1300" s="169">
        <f>IFERROR(MATCH(J1300,'Final List'!$B$4:$B$252,0),0)</f>
        <v>0</v>
      </c>
      <c r="L1300" s="169">
        <f>IFERROR(MATCH(J1300,'Final List'!$D$4:$D$252,0),0)</f>
        <v>0</v>
      </c>
      <c r="M1300" s="169">
        <f>IFERROR(MATCH(J1300,'Final List'!$F$4:$F$251,0),0)</f>
        <v>0</v>
      </c>
      <c r="N1300" s="169">
        <f>IFERROR(MATCH(J1300,'Final List'!$H$4:$H$252,0),0)</f>
        <v>0</v>
      </c>
      <c r="O1300" s="169">
        <f>IFERROR(MATCH(J1300,'Final List'!$J$4:$J$252,0),0)</f>
        <v>0</v>
      </c>
      <c r="P1300" s="169">
        <f>IFERROR(MATCH(J1300,'Final List'!$L$4:$L$252,0),0)</f>
        <v>0</v>
      </c>
      <c r="Q1300" s="169">
        <f>IFERROR(MATCH(J1300,'Final List'!$N$4:$N$252,0),0)</f>
        <v>0</v>
      </c>
      <c r="R1300" s="169">
        <f>IFERROR(MATCH(J1300,'Final List'!$P$4:$P$252,0),0)</f>
        <v>0</v>
      </c>
      <c r="S1300" s="169">
        <f t="shared" si="83"/>
        <v>0</v>
      </c>
      <c r="V1300" s="169" t="str">
        <f t="shared" si="81"/>
        <v>BAÑEZ 3</v>
      </c>
      <c r="W1300" s="169" t="s">
        <v>8895</v>
      </c>
    </row>
    <row r="1301" spans="2:23" x14ac:dyDescent="0.25">
      <c r="B1301" s="169" t="s">
        <v>94</v>
      </c>
      <c r="C1301" s="169" t="s">
        <v>42</v>
      </c>
      <c r="D1301" s="169" t="s">
        <v>144</v>
      </c>
      <c r="E1301" s="169" t="s">
        <v>62</v>
      </c>
      <c r="F1301" s="245" t="str">
        <f t="shared" si="82"/>
        <v>RobS 79</v>
      </c>
      <c r="G1301" s="169" t="s">
        <v>5921</v>
      </c>
      <c r="I1301" s="169" t="str">
        <f t="shared" si="80"/>
        <v>L07_JV_043E_ROBBING</v>
      </c>
      <c r="J1301" s="169" t="s">
        <v>8249</v>
      </c>
      <c r="K1301" s="169">
        <f>IFERROR(MATCH(J1301,'Final List'!$B$4:$B$252,0),0)</f>
        <v>0</v>
      </c>
      <c r="L1301" s="169">
        <f>IFERROR(MATCH(J1301,'Final List'!$D$4:$D$252,0),0)</f>
        <v>0</v>
      </c>
      <c r="M1301" s="169">
        <f>IFERROR(MATCH(J1301,'Final List'!$F$4:$F$251,0),0)</f>
        <v>0</v>
      </c>
      <c r="N1301" s="169">
        <f>IFERROR(MATCH(J1301,'Final List'!$H$4:$H$252,0),0)</f>
        <v>0</v>
      </c>
      <c r="O1301" s="169">
        <f>IFERROR(MATCH(J1301,'Final List'!$J$4:$J$252,0),0)</f>
        <v>0</v>
      </c>
      <c r="P1301" s="169">
        <f>IFERROR(MATCH(J1301,'Final List'!$L$4:$L$252,0),0)</f>
        <v>0</v>
      </c>
      <c r="Q1301" s="169">
        <f>IFERROR(MATCH(J1301,'Final List'!$N$4:$N$252,0),0)</f>
        <v>0</v>
      </c>
      <c r="R1301" s="169">
        <f>IFERROR(MATCH(J1301,'Final List'!$P$4:$P$252,0),0)</f>
        <v>0</v>
      </c>
      <c r="S1301" s="169">
        <f t="shared" si="83"/>
        <v>0</v>
      </c>
      <c r="T1301" s="169" t="s">
        <v>68</v>
      </c>
      <c r="V1301" s="169" t="str">
        <f t="shared" si="81"/>
        <v>TURRA 2</v>
      </c>
      <c r="W1301" s="169" t="s">
        <v>2707</v>
      </c>
    </row>
    <row r="1302" spans="2:23" x14ac:dyDescent="0.25">
      <c r="B1302" s="169" t="s">
        <v>95</v>
      </c>
      <c r="C1302" s="169" t="s">
        <v>42</v>
      </c>
      <c r="D1302" s="169" t="s">
        <v>5612</v>
      </c>
      <c r="E1302" s="169" t="s">
        <v>19</v>
      </c>
      <c r="F1302" s="245" t="str">
        <f t="shared" si="82"/>
        <v>DVR 72</v>
      </c>
      <c r="G1302" s="169" t="s">
        <v>14137</v>
      </c>
      <c r="I1302" s="169" t="str">
        <f t="shared" si="80"/>
        <v>L08_JV_011W_RAISE</v>
      </c>
      <c r="J1302" s="169" t="s">
        <v>8251</v>
      </c>
      <c r="K1302" s="169">
        <f>IFERROR(MATCH(J1302,'Final List'!$B$4:$B$252,0),0)</f>
        <v>0</v>
      </c>
      <c r="L1302" s="169">
        <f>IFERROR(MATCH(J1302,'Final List'!$D$4:$D$252,0),0)</f>
        <v>0</v>
      </c>
      <c r="M1302" s="169">
        <f>IFERROR(MATCH(J1302,'Final List'!$F$4:$F$251,0),0)</f>
        <v>0</v>
      </c>
      <c r="N1302" s="169">
        <f>IFERROR(MATCH(J1302,'Final List'!$H$4:$H$252,0),0)</f>
        <v>0</v>
      </c>
      <c r="O1302" s="169">
        <f>IFERROR(MATCH(J1302,'Final List'!$J$4:$J$252,0),0)</f>
        <v>0</v>
      </c>
      <c r="P1302" s="169">
        <f>IFERROR(MATCH(J1302,'Final List'!$L$4:$L$252,0),0)</f>
        <v>0</v>
      </c>
      <c r="Q1302" s="169">
        <f>IFERROR(MATCH(J1302,'Final List'!$N$4:$N$252,0),0)</f>
        <v>0</v>
      </c>
      <c r="R1302" s="169">
        <f>IFERROR(MATCH(J1302,'Final List'!$P$4:$P$252,0),0)</f>
        <v>0</v>
      </c>
      <c r="S1302" s="169">
        <f t="shared" si="83"/>
        <v>0</v>
      </c>
      <c r="V1302" s="169" t="str">
        <f t="shared" si="81"/>
        <v>CANTAGO 1</v>
      </c>
      <c r="W1302" s="169" t="s">
        <v>2715</v>
      </c>
    </row>
    <row r="1303" spans="2:23" x14ac:dyDescent="0.25">
      <c r="B1303" s="169" t="s">
        <v>95</v>
      </c>
      <c r="C1303" s="169" t="s">
        <v>55</v>
      </c>
      <c r="D1303" s="169" t="s">
        <v>6518</v>
      </c>
      <c r="E1303" s="169" t="s">
        <v>62</v>
      </c>
      <c r="F1303" s="245" t="str">
        <f t="shared" si="82"/>
        <v>RobS 79</v>
      </c>
      <c r="G1303" s="169" t="s">
        <v>386</v>
      </c>
      <c r="I1303" s="169" t="str">
        <f t="shared" si="80"/>
        <v>L08_JVFW_007E_ROBBING</v>
      </c>
      <c r="J1303" s="169" t="s">
        <v>8252</v>
      </c>
      <c r="K1303" s="169">
        <f>IFERROR(MATCH(J1303,'Final List'!$B$4:$B$252,0),0)</f>
        <v>0</v>
      </c>
      <c r="L1303" s="169">
        <f>IFERROR(MATCH(J1303,'Final List'!$D$4:$D$252,0),0)</f>
        <v>0</v>
      </c>
      <c r="M1303" s="169">
        <f>IFERROR(MATCH(J1303,'Final List'!$F$4:$F$251,0),0)</f>
        <v>0</v>
      </c>
      <c r="N1303" s="169">
        <f>IFERROR(MATCH(J1303,'Final List'!$H$4:$H$252,0),0)</f>
        <v>0</v>
      </c>
      <c r="O1303" s="169">
        <f>IFERROR(MATCH(J1303,'Final List'!$J$4:$J$252,0),0)</f>
        <v>0</v>
      </c>
      <c r="P1303" s="169">
        <f>IFERROR(MATCH(J1303,'Final List'!$L$4:$L$252,0),0)</f>
        <v>0</v>
      </c>
      <c r="Q1303" s="169">
        <f>IFERROR(MATCH(J1303,'Final List'!$N$4:$N$252,0),0)</f>
        <v>0</v>
      </c>
      <c r="R1303" s="169">
        <f>IFERROR(MATCH(J1303,'Final List'!$P$4:$P$252,0),0)</f>
        <v>0</v>
      </c>
      <c r="S1303" s="169">
        <f t="shared" si="83"/>
        <v>0</v>
      </c>
      <c r="T1303" s="169" t="s">
        <v>68</v>
      </c>
      <c r="V1303" s="169" t="str">
        <f t="shared" si="81"/>
        <v>REVITA 1</v>
      </c>
      <c r="W1303" s="169" t="s">
        <v>2707</v>
      </c>
    </row>
    <row r="1304" spans="2:23" x14ac:dyDescent="0.25">
      <c r="B1304" s="169" t="s">
        <v>91</v>
      </c>
      <c r="C1304" s="169" t="s">
        <v>56</v>
      </c>
      <c r="D1304" s="169" t="s">
        <v>195</v>
      </c>
      <c r="E1304" s="169" t="s">
        <v>20</v>
      </c>
      <c r="F1304" s="245" t="str">
        <f t="shared" si="82"/>
        <v>DVW 74</v>
      </c>
      <c r="G1304" s="169" t="s">
        <v>7076</v>
      </c>
      <c r="I1304" s="169" t="str">
        <f t="shared" si="80"/>
        <v>L04_GHVFW_008W_WINZE</v>
      </c>
      <c r="J1304" s="169" t="s">
        <v>8255</v>
      </c>
      <c r="K1304" s="169">
        <f>IFERROR(MATCH(J1304,'Final List'!$B$4:$B$252,0),0)</f>
        <v>0</v>
      </c>
      <c r="L1304" s="169">
        <f>IFERROR(MATCH(J1304,'Final List'!$D$4:$D$252,0),0)</f>
        <v>0</v>
      </c>
      <c r="M1304" s="169">
        <f>IFERROR(MATCH(J1304,'Final List'!$F$4:$F$251,0),0)</f>
        <v>0</v>
      </c>
      <c r="N1304" s="169">
        <f>IFERROR(MATCH(J1304,'Final List'!$H$4:$H$252,0),0)</f>
        <v>0</v>
      </c>
      <c r="O1304" s="169">
        <f>IFERROR(MATCH(J1304,'Final List'!$J$4:$J$252,0),0)</f>
        <v>0</v>
      </c>
      <c r="P1304" s="169">
        <f>IFERROR(MATCH(J1304,'Final List'!$L$4:$L$252,0),0)</f>
        <v>0</v>
      </c>
      <c r="Q1304" s="169">
        <f>IFERROR(MATCH(J1304,'Final List'!$N$4:$N$252,0),0)</f>
        <v>0</v>
      </c>
      <c r="R1304" s="169">
        <f>IFERROR(MATCH(J1304,'Final List'!$P$4:$P$252,0),0)</f>
        <v>0</v>
      </c>
      <c r="S1304" s="169">
        <f t="shared" si="83"/>
        <v>0</v>
      </c>
      <c r="V1304" s="169" t="str">
        <f t="shared" si="81"/>
        <v>SHEPHERD AR</v>
      </c>
      <c r="W1304" s="169" t="s">
        <v>2706</v>
      </c>
    </row>
    <row r="1305" spans="2:23" x14ac:dyDescent="0.25">
      <c r="B1305" s="169" t="s">
        <v>93</v>
      </c>
      <c r="C1305" s="169" t="s">
        <v>55</v>
      </c>
      <c r="D1305" s="169" t="s">
        <v>109</v>
      </c>
      <c r="E1305" s="169" t="s">
        <v>62</v>
      </c>
      <c r="F1305" s="245" t="str">
        <f t="shared" si="82"/>
        <v>RobC 80</v>
      </c>
      <c r="G1305" s="169" t="s">
        <v>5717</v>
      </c>
      <c r="I1305" s="169" t="str">
        <f t="shared" si="80"/>
        <v>L06_JVFW_002W_ROBBING</v>
      </c>
      <c r="J1305" s="169" t="s">
        <v>8263</v>
      </c>
      <c r="K1305" s="169">
        <f>IFERROR(MATCH(J1305,'Final List'!$B$4:$B$252,0),0)</f>
        <v>0</v>
      </c>
      <c r="L1305" s="169">
        <f>IFERROR(MATCH(J1305,'Final List'!$D$4:$D$252,0),0)</f>
        <v>0</v>
      </c>
      <c r="M1305" s="169">
        <f>IFERROR(MATCH(J1305,'Final List'!$F$4:$F$251,0),0)</f>
        <v>0</v>
      </c>
      <c r="N1305" s="169">
        <f>IFERROR(MATCH(J1305,'Final List'!$H$4:$H$252,0),0)</f>
        <v>0</v>
      </c>
      <c r="O1305" s="169">
        <f>IFERROR(MATCH(J1305,'Final List'!$J$4:$J$252,0),0)</f>
        <v>0</v>
      </c>
      <c r="P1305" s="169">
        <f>IFERROR(MATCH(J1305,'Final List'!$L$4:$L$252,0),0)</f>
        <v>0</v>
      </c>
      <c r="Q1305" s="169">
        <f>IFERROR(MATCH(J1305,'Final List'!$N$4:$N$252,0),0)</f>
        <v>0</v>
      </c>
      <c r="R1305" s="169">
        <f>IFERROR(MATCH(J1305,'Final List'!$P$4:$P$252,0),0)</f>
        <v>0</v>
      </c>
      <c r="S1305" s="169">
        <f t="shared" si="83"/>
        <v>0</v>
      </c>
      <c r="T1305" s="169" t="s">
        <v>48</v>
      </c>
      <c r="V1305" s="169" t="str">
        <f t="shared" si="81"/>
        <v>SHEPHERD AC 1</v>
      </c>
      <c r="W1305" s="169" t="s">
        <v>236</v>
      </c>
    </row>
    <row r="1306" spans="2:23" x14ac:dyDescent="0.25">
      <c r="B1306" s="169" t="s">
        <v>94</v>
      </c>
      <c r="C1306" s="169" t="s">
        <v>42</v>
      </c>
      <c r="D1306" s="169" t="s">
        <v>161</v>
      </c>
      <c r="E1306" s="169" t="s">
        <v>6144</v>
      </c>
      <c r="F1306" s="245" t="str">
        <f t="shared" si="82"/>
        <v>DVR 72</v>
      </c>
      <c r="G1306" s="169" t="s">
        <v>5719</v>
      </c>
      <c r="I1306" s="169" t="str">
        <f t="shared" si="80"/>
        <v>L07_JV_044E_RAISE_ISL</v>
      </c>
      <c r="J1306" s="169" t="s">
        <v>8309</v>
      </c>
      <c r="K1306" s="169">
        <f>IFERROR(MATCH(J1306,'Final List'!$B$4:$B$252,0),0)</f>
        <v>0</v>
      </c>
      <c r="L1306" s="169">
        <f>IFERROR(MATCH(J1306,'Final List'!$D$4:$D$252,0),0)</f>
        <v>0</v>
      </c>
      <c r="M1306" s="169">
        <f>IFERROR(MATCH(J1306,'Final List'!$F$4:$F$251,0),0)</f>
        <v>0</v>
      </c>
      <c r="N1306" s="169">
        <f>IFERROR(MATCH(J1306,'Final List'!$H$4:$H$252,0),0)</f>
        <v>0</v>
      </c>
      <c r="O1306" s="169">
        <f>IFERROR(MATCH(J1306,'Final List'!$J$4:$J$252,0),0)</f>
        <v>0</v>
      </c>
      <c r="P1306" s="169">
        <f>IFERROR(MATCH(J1306,'Final List'!$L$4:$L$252,0),0)</f>
        <v>0</v>
      </c>
      <c r="Q1306" s="169">
        <f>IFERROR(MATCH(J1306,'Final List'!$N$4:$N$252,0),0)</f>
        <v>0</v>
      </c>
      <c r="R1306" s="169">
        <f>IFERROR(MATCH(J1306,'Final List'!$P$4:$P$252,0),0)</f>
        <v>0</v>
      </c>
      <c r="S1306" s="169">
        <f t="shared" si="83"/>
        <v>0</v>
      </c>
      <c r="V1306" s="169" t="str">
        <f t="shared" si="81"/>
        <v>DAVOCOL 1</v>
      </c>
      <c r="W1306" s="169" t="s">
        <v>2715</v>
      </c>
    </row>
    <row r="1307" spans="2:23" x14ac:dyDescent="0.25">
      <c r="B1307" s="169" t="s">
        <v>92</v>
      </c>
      <c r="C1307" s="169" t="s">
        <v>41</v>
      </c>
      <c r="D1307" s="169" t="s">
        <v>128</v>
      </c>
      <c r="E1307" s="169" t="s">
        <v>20</v>
      </c>
      <c r="F1307" s="245" t="str">
        <f t="shared" si="82"/>
        <v>DVW 74</v>
      </c>
      <c r="G1307" s="169" t="s">
        <v>5698</v>
      </c>
      <c r="I1307" s="169" t="str">
        <f t="shared" si="80"/>
        <v>L05_CTV_027E_WINZE</v>
      </c>
      <c r="J1307" s="169" t="s">
        <v>8268</v>
      </c>
      <c r="K1307" s="169">
        <f>IFERROR(MATCH(J1307,'Final List'!$B$4:$B$252,0),0)</f>
        <v>0</v>
      </c>
      <c r="L1307" s="169">
        <f>IFERROR(MATCH(J1307,'Final List'!$D$4:$D$252,0),0)</f>
        <v>0</v>
      </c>
      <c r="M1307" s="169">
        <f>IFERROR(MATCH(J1307,'Final List'!$F$4:$F$251,0),0)</f>
        <v>0</v>
      </c>
      <c r="N1307" s="169">
        <f>IFERROR(MATCH(J1307,'Final List'!$H$4:$H$252,0),0)</f>
        <v>0</v>
      </c>
      <c r="O1307" s="169">
        <f>IFERROR(MATCH(J1307,'Final List'!$J$4:$J$252,0),0)</f>
        <v>0</v>
      </c>
      <c r="P1307" s="169">
        <f>IFERROR(MATCH(J1307,'Final List'!$L$4:$L$252,0),0)</f>
        <v>0</v>
      </c>
      <c r="Q1307" s="169">
        <f>IFERROR(MATCH(J1307,'Final List'!$N$4:$N$252,0),0)</f>
        <v>0</v>
      </c>
      <c r="R1307" s="169">
        <f>IFERROR(MATCH(J1307,'Final List'!$P$4:$P$252,0),0)</f>
        <v>0</v>
      </c>
      <c r="S1307" s="169">
        <f t="shared" si="83"/>
        <v>0</v>
      </c>
      <c r="V1307" s="169" t="str">
        <f t="shared" si="81"/>
        <v>PARAN 1</v>
      </c>
      <c r="W1307" s="169" t="s">
        <v>2706</v>
      </c>
    </row>
    <row r="1308" spans="2:23" x14ac:dyDescent="0.25">
      <c r="B1308" s="169" t="s">
        <v>94</v>
      </c>
      <c r="C1308" s="169" t="s">
        <v>42</v>
      </c>
      <c r="D1308" s="169" t="s">
        <v>5844</v>
      </c>
      <c r="E1308" s="169" t="s">
        <v>62</v>
      </c>
      <c r="F1308" s="245" t="str">
        <f t="shared" si="82"/>
        <v>RobS 79</v>
      </c>
      <c r="G1308" s="169" t="s">
        <v>5721</v>
      </c>
      <c r="I1308" s="169" t="str">
        <f t="shared" si="80"/>
        <v>L07_JV_009W_ROBBING</v>
      </c>
      <c r="J1308" s="169" t="s">
        <v>8271</v>
      </c>
      <c r="K1308" s="169">
        <f>IFERROR(MATCH(J1308,'Final List'!$B$4:$B$252,0),0)</f>
        <v>0</v>
      </c>
      <c r="L1308" s="169">
        <f>IFERROR(MATCH(J1308,'Final List'!$D$4:$D$252,0),0)</f>
        <v>0</v>
      </c>
      <c r="M1308" s="169">
        <f>IFERROR(MATCH(J1308,'Final List'!$F$4:$F$251,0),0)</f>
        <v>0</v>
      </c>
      <c r="N1308" s="169">
        <f>IFERROR(MATCH(J1308,'Final List'!$H$4:$H$252,0),0)</f>
        <v>0</v>
      </c>
      <c r="O1308" s="169">
        <f>IFERROR(MATCH(J1308,'Final List'!$J$4:$J$252,0),0)</f>
        <v>0</v>
      </c>
      <c r="P1308" s="169">
        <f>IFERROR(MATCH(J1308,'Final List'!$L$4:$L$252,0),0)</f>
        <v>0</v>
      </c>
      <c r="Q1308" s="169">
        <f>IFERROR(MATCH(J1308,'Final List'!$N$4:$N$252,0),0)</f>
        <v>0</v>
      </c>
      <c r="R1308" s="169">
        <f>IFERROR(MATCH(J1308,'Final List'!$P$4:$P$252,0),0)</f>
        <v>0</v>
      </c>
      <c r="S1308" s="169">
        <f t="shared" si="83"/>
        <v>0</v>
      </c>
      <c r="T1308" s="169" t="s">
        <v>68</v>
      </c>
      <c r="V1308" s="169" t="str">
        <f t="shared" si="81"/>
        <v>SHEPHERD AK 1</v>
      </c>
      <c r="W1308" s="169" t="s">
        <v>2707</v>
      </c>
    </row>
    <row r="1309" spans="2:23" x14ac:dyDescent="0.25">
      <c r="B1309" s="169" t="s">
        <v>92</v>
      </c>
      <c r="C1309" s="169" t="s">
        <v>57</v>
      </c>
      <c r="D1309" s="169" t="s">
        <v>171</v>
      </c>
      <c r="E1309" s="169" t="s">
        <v>6154</v>
      </c>
      <c r="F1309" s="245" t="str">
        <f t="shared" si="82"/>
        <v>Dhoz 71</v>
      </c>
      <c r="G1309" s="169" t="s">
        <v>484</v>
      </c>
      <c r="I1309" s="169" t="str">
        <f t="shared" ref="I1309:I1372" si="84">CONCATENATE(B1309,"_",C1309,"_",D1309,"_",E1309)</f>
        <v>L05_JVSPLIT_015W_DW_ISL</v>
      </c>
      <c r="J1309" s="169" t="s">
        <v>8278</v>
      </c>
      <c r="K1309" s="169">
        <f>IFERROR(MATCH(J1309,'Final List'!$B$4:$B$252,0),0)</f>
        <v>0</v>
      </c>
      <c r="L1309" s="169">
        <f>IFERROR(MATCH(J1309,'Final List'!$D$4:$D$252,0),0)</f>
        <v>0</v>
      </c>
      <c r="M1309" s="169">
        <f>IFERROR(MATCH(J1309,'Final List'!$F$4:$F$251,0),0)</f>
        <v>0</v>
      </c>
      <c r="N1309" s="169">
        <f>IFERROR(MATCH(J1309,'Final List'!$H$4:$H$252,0),0)</f>
        <v>0</v>
      </c>
      <c r="O1309" s="169">
        <f>IFERROR(MATCH(J1309,'Final List'!$J$4:$J$252,0),0)</f>
        <v>0</v>
      </c>
      <c r="P1309" s="169">
        <f>IFERROR(MATCH(J1309,'Final List'!$L$4:$L$252,0),0)</f>
        <v>0</v>
      </c>
      <c r="Q1309" s="169">
        <f>IFERROR(MATCH(J1309,'Final List'!$N$4:$N$252,0),0)</f>
        <v>0</v>
      </c>
      <c r="R1309" s="169">
        <f>IFERROR(MATCH(J1309,'Final List'!$P$4:$P$252,0),0)</f>
        <v>0</v>
      </c>
      <c r="S1309" s="169">
        <f t="shared" si="83"/>
        <v>0</v>
      </c>
      <c r="V1309" s="169" t="str">
        <f t="shared" si="81"/>
        <v>COMAINGKING 4</v>
      </c>
      <c r="W1309" s="169" t="s">
        <v>2708</v>
      </c>
    </row>
    <row r="1310" spans="2:23" x14ac:dyDescent="0.25">
      <c r="B1310" s="169" t="s">
        <v>258</v>
      </c>
      <c r="C1310" s="169" t="s">
        <v>45</v>
      </c>
      <c r="D1310" s="169" t="s">
        <v>172</v>
      </c>
      <c r="E1310" s="169" t="s">
        <v>36</v>
      </c>
      <c r="F1310" s="245" t="str">
        <f t="shared" si="82"/>
        <v>StpS 77</v>
      </c>
      <c r="G1310" s="169" t="s">
        <v>374</v>
      </c>
      <c r="I1310" s="169" t="str">
        <f t="shared" si="84"/>
        <v>L10_DPVE_045E_STOPE</v>
      </c>
      <c r="J1310" s="169" t="s">
        <v>8273</v>
      </c>
      <c r="K1310" s="169">
        <f>IFERROR(MATCH(J1310,'Final List'!$B$4:$B$252,0),0)</f>
        <v>0</v>
      </c>
      <c r="L1310" s="169">
        <f>IFERROR(MATCH(J1310,'Final List'!$D$4:$D$252,0),0)</f>
        <v>0</v>
      </c>
      <c r="M1310" s="169">
        <f>IFERROR(MATCH(J1310,'Final List'!$F$4:$F$251,0),0)</f>
        <v>0</v>
      </c>
      <c r="N1310" s="169">
        <f>IFERROR(MATCH(J1310,'Final List'!$H$4:$H$252,0),0)</f>
        <v>0</v>
      </c>
      <c r="O1310" s="169">
        <f>IFERROR(MATCH(J1310,'Final List'!$J$4:$J$252,0),0)</f>
        <v>0</v>
      </c>
      <c r="P1310" s="169">
        <f>IFERROR(MATCH(J1310,'Final List'!$L$4:$L$252,0),0)</f>
        <v>0</v>
      </c>
      <c r="Q1310" s="169">
        <f>IFERROR(MATCH(J1310,'Final List'!$N$4:$N$252,0),0)</f>
        <v>0</v>
      </c>
      <c r="R1310" s="169">
        <f>IFERROR(MATCH(J1310,'Final List'!$P$4:$P$252,0),0)</f>
        <v>0</v>
      </c>
      <c r="S1310" s="169">
        <f t="shared" si="83"/>
        <v>0</v>
      </c>
      <c r="T1310" s="169" t="s">
        <v>68</v>
      </c>
      <c r="V1310" s="169" t="str">
        <f t="shared" si="81"/>
        <v>TAÑEZA 6</v>
      </c>
      <c r="W1310" s="169" t="s">
        <v>2713</v>
      </c>
    </row>
    <row r="1311" spans="2:23" x14ac:dyDescent="0.25">
      <c r="B1311" s="169" t="s">
        <v>258</v>
      </c>
      <c r="C1311" s="169" t="s">
        <v>45</v>
      </c>
      <c r="D1311" s="169" t="s">
        <v>142</v>
      </c>
      <c r="E1311" s="169" t="s">
        <v>36</v>
      </c>
      <c r="F1311" s="245" t="str">
        <f t="shared" si="82"/>
        <v>StpS 77</v>
      </c>
      <c r="G1311" s="169" t="s">
        <v>374</v>
      </c>
      <c r="I1311" s="169" t="str">
        <f t="shared" si="84"/>
        <v>L10_DPVE_038E_STOPE</v>
      </c>
      <c r="J1311" s="169" t="s">
        <v>8274</v>
      </c>
      <c r="K1311" s="169">
        <f>IFERROR(MATCH(J1311,'Final List'!$B$4:$B$252,0),0)</f>
        <v>0</v>
      </c>
      <c r="L1311" s="169">
        <f>IFERROR(MATCH(J1311,'Final List'!$D$4:$D$252,0),0)</f>
        <v>0</v>
      </c>
      <c r="M1311" s="169">
        <f>IFERROR(MATCH(J1311,'Final List'!$F$4:$F$251,0),0)</f>
        <v>0</v>
      </c>
      <c r="N1311" s="169">
        <f>IFERROR(MATCH(J1311,'Final List'!$H$4:$H$252,0),0)</f>
        <v>0</v>
      </c>
      <c r="O1311" s="169">
        <f>IFERROR(MATCH(J1311,'Final List'!$J$4:$J$252,0),0)</f>
        <v>0</v>
      </c>
      <c r="P1311" s="169">
        <f>IFERROR(MATCH(J1311,'Final List'!$L$4:$L$252,0),0)</f>
        <v>0</v>
      </c>
      <c r="Q1311" s="169">
        <f>IFERROR(MATCH(J1311,'Final List'!$N$4:$N$252,0),0)</f>
        <v>0</v>
      </c>
      <c r="R1311" s="169">
        <f>IFERROR(MATCH(J1311,'Final List'!$P$4:$P$252,0),0)</f>
        <v>0</v>
      </c>
      <c r="S1311" s="169">
        <f t="shared" si="83"/>
        <v>0</v>
      </c>
      <c r="T1311" s="169" t="s">
        <v>68</v>
      </c>
      <c r="V1311" s="169" t="str">
        <f t="shared" si="81"/>
        <v>TAÑEZA 6</v>
      </c>
      <c r="W1311" s="169" t="s">
        <v>2713</v>
      </c>
    </row>
    <row r="1312" spans="2:23" x14ac:dyDescent="0.25">
      <c r="B1312" s="169" t="s">
        <v>258</v>
      </c>
      <c r="C1312" s="169" t="s">
        <v>45</v>
      </c>
      <c r="D1312" s="169" t="s">
        <v>8279</v>
      </c>
      <c r="E1312" s="169" t="s">
        <v>19</v>
      </c>
      <c r="F1312" s="245" t="str">
        <f t="shared" si="82"/>
        <v>DVR 72</v>
      </c>
      <c r="G1312" s="169" t="s">
        <v>5703</v>
      </c>
      <c r="H1312" s="169" t="s">
        <v>9884</v>
      </c>
      <c r="I1312" s="169" t="str">
        <f t="shared" si="84"/>
        <v>L10_DPVE_090E_RAISE</v>
      </c>
      <c r="J1312" s="169" t="s">
        <v>8260</v>
      </c>
      <c r="K1312" s="169">
        <f>IFERROR(MATCH(J1312,'Final List'!$B$4:$B$252,0),0)</f>
        <v>0</v>
      </c>
      <c r="L1312" s="169">
        <f>IFERROR(MATCH(J1312,'Final List'!$D$4:$D$252,0),0)</f>
        <v>0</v>
      </c>
      <c r="M1312" s="169">
        <f>IFERROR(MATCH(J1312,'Final List'!$F$4:$F$251,0),0)</f>
        <v>0</v>
      </c>
      <c r="N1312" s="169">
        <f>IFERROR(MATCH(J1312,'Final List'!$H$4:$H$252,0),0)</f>
        <v>0</v>
      </c>
      <c r="O1312" s="169">
        <f>IFERROR(MATCH(J1312,'Final List'!$J$4:$J$252,0),0)</f>
        <v>0</v>
      </c>
      <c r="P1312" s="169">
        <f>IFERROR(MATCH(J1312,'Final List'!$L$4:$L$252,0),0)</f>
        <v>0</v>
      </c>
      <c r="Q1312" s="169">
        <f>IFERROR(MATCH(J1312,'Final List'!$N$4:$N$252,0),0)</f>
        <v>0</v>
      </c>
      <c r="R1312" s="169">
        <f>IFERROR(MATCH(J1312,'Final List'!$P$4:$P$252,0),0)</f>
        <v>0</v>
      </c>
      <c r="S1312" s="169">
        <f t="shared" si="83"/>
        <v>0</v>
      </c>
      <c r="V1312" s="169" t="str">
        <f t="shared" si="81"/>
        <v>APA 1</v>
      </c>
      <c r="W1312" s="169" t="s">
        <v>2715</v>
      </c>
    </row>
    <row r="1313" spans="2:23" x14ac:dyDescent="0.25">
      <c r="B1313" s="169" t="s">
        <v>93</v>
      </c>
      <c r="C1313" s="169" t="s">
        <v>42</v>
      </c>
      <c r="D1313" s="169" t="s">
        <v>6518</v>
      </c>
      <c r="E1313" s="169" t="s">
        <v>62</v>
      </c>
      <c r="F1313" s="245" t="str">
        <f t="shared" si="82"/>
        <v>RobC 80</v>
      </c>
      <c r="G1313" s="169" t="s">
        <v>936</v>
      </c>
      <c r="I1313" s="169" t="str">
        <f t="shared" si="84"/>
        <v>L06_JV_007E_ROBBING</v>
      </c>
      <c r="J1313" s="169" t="s">
        <v>8285</v>
      </c>
      <c r="K1313" s="169">
        <f>IFERROR(MATCH(J1313,'Final List'!$B$4:$B$252,0),0)</f>
        <v>0</v>
      </c>
      <c r="L1313" s="169">
        <f>IFERROR(MATCH(J1313,'Final List'!$D$4:$D$252,0),0)</f>
        <v>0</v>
      </c>
      <c r="M1313" s="169">
        <f>IFERROR(MATCH(J1313,'Final List'!$F$4:$F$251,0),0)</f>
        <v>0</v>
      </c>
      <c r="N1313" s="169">
        <f>IFERROR(MATCH(J1313,'Final List'!$H$4:$H$252,0),0)</f>
        <v>0</v>
      </c>
      <c r="O1313" s="169">
        <f>IFERROR(MATCH(J1313,'Final List'!$J$4:$J$252,0),0)</f>
        <v>0</v>
      </c>
      <c r="P1313" s="169">
        <f>IFERROR(MATCH(J1313,'Final List'!$L$4:$L$252,0),0)</f>
        <v>0</v>
      </c>
      <c r="Q1313" s="169">
        <f>IFERROR(MATCH(J1313,'Final List'!$N$4:$N$252,0),0)</f>
        <v>0</v>
      </c>
      <c r="R1313" s="169">
        <f>IFERROR(MATCH(J1313,'Final List'!$P$4:$P$252,0),0)</f>
        <v>0</v>
      </c>
      <c r="S1313" s="169">
        <f t="shared" si="83"/>
        <v>0</v>
      </c>
      <c r="T1313" s="169" t="s">
        <v>48</v>
      </c>
      <c r="V1313" s="169" t="str">
        <f t="shared" si="81"/>
        <v>GUNAY 2</v>
      </c>
      <c r="W1313" s="169" t="s">
        <v>236</v>
      </c>
    </row>
    <row r="1314" spans="2:23" x14ac:dyDescent="0.25">
      <c r="B1314" s="169" t="s">
        <v>96</v>
      </c>
      <c r="C1314" s="169" t="s">
        <v>45</v>
      </c>
      <c r="D1314" s="169" t="s">
        <v>5631</v>
      </c>
      <c r="E1314" s="169" t="s">
        <v>19</v>
      </c>
      <c r="F1314" s="245" t="str">
        <f t="shared" si="82"/>
        <v>DVR 72</v>
      </c>
      <c r="G1314" s="169" t="s">
        <v>8202</v>
      </c>
      <c r="I1314" s="169" t="str">
        <f t="shared" si="84"/>
        <v>L09_DPVE_020E_RAISE</v>
      </c>
      <c r="J1314" s="169" t="s">
        <v>5326</v>
      </c>
      <c r="K1314" s="169">
        <f>IFERROR(MATCH(J1314,'Final List'!$B$4:$B$252,0),0)</f>
        <v>0</v>
      </c>
      <c r="L1314" s="169">
        <f>IFERROR(MATCH(J1314,'Final List'!$D$4:$D$252,0),0)</f>
        <v>0</v>
      </c>
      <c r="M1314" s="169">
        <f>IFERROR(MATCH(J1314,'Final List'!$F$4:$F$251,0),0)</f>
        <v>0</v>
      </c>
      <c r="N1314" s="169">
        <f>IFERROR(MATCH(J1314,'Final List'!$H$4:$H$252,0),0)</f>
        <v>0</v>
      </c>
      <c r="O1314" s="169">
        <f>IFERROR(MATCH(J1314,'Final List'!$J$4:$J$252,0),0)</f>
        <v>0</v>
      </c>
      <c r="P1314" s="169">
        <f>IFERROR(MATCH(J1314,'Final List'!$L$4:$L$252,0),0)</f>
        <v>0</v>
      </c>
      <c r="Q1314" s="169">
        <f>IFERROR(MATCH(J1314,'Final List'!$N$4:$N$252,0),0)</f>
        <v>0</v>
      </c>
      <c r="R1314" s="169">
        <f>IFERROR(MATCH(J1314,'Final List'!$P$4:$P$252,0),0)</f>
        <v>0</v>
      </c>
      <c r="S1314" s="169">
        <f t="shared" si="83"/>
        <v>0</v>
      </c>
      <c r="V1314" s="169" t="str">
        <f t="shared" si="81"/>
        <v>PANSIT, NORMAN 2</v>
      </c>
      <c r="W1314" s="169" t="s">
        <v>2715</v>
      </c>
    </row>
    <row r="1315" spans="2:23" x14ac:dyDescent="0.25">
      <c r="B1315" s="169" t="s">
        <v>91</v>
      </c>
      <c r="C1315" s="169" t="s">
        <v>44</v>
      </c>
      <c r="D1315" s="169" t="s">
        <v>7223</v>
      </c>
      <c r="E1315" s="169" t="s">
        <v>60</v>
      </c>
      <c r="F1315" s="245" t="str">
        <f t="shared" si="82"/>
        <v>Dhoz 71</v>
      </c>
      <c r="G1315" s="169" t="s">
        <v>418</v>
      </c>
      <c r="I1315" s="169" t="str">
        <f t="shared" si="84"/>
        <v>L04_CV_002E_DE</v>
      </c>
      <c r="J1315" s="169" t="s">
        <v>8286</v>
      </c>
      <c r="K1315" s="169">
        <f>IFERROR(MATCH(J1315,'Final List'!$B$4:$B$252,0),0)</f>
        <v>0</v>
      </c>
      <c r="L1315" s="169">
        <f>IFERROR(MATCH(J1315,'Final List'!$D$4:$D$252,0),0)</f>
        <v>0</v>
      </c>
      <c r="M1315" s="169">
        <f>IFERROR(MATCH(J1315,'Final List'!$F$4:$F$251,0),0)</f>
        <v>0</v>
      </c>
      <c r="N1315" s="169">
        <f>IFERROR(MATCH(J1315,'Final List'!$H$4:$H$252,0),0)</f>
        <v>0</v>
      </c>
      <c r="O1315" s="169">
        <f>IFERROR(MATCH(J1315,'Final List'!$J$4:$J$252,0),0)</f>
        <v>0</v>
      </c>
      <c r="P1315" s="169">
        <f>IFERROR(MATCH(J1315,'Final List'!$L$4:$L$252,0),0)</f>
        <v>0</v>
      </c>
      <c r="Q1315" s="169">
        <f>IFERROR(MATCH(J1315,'Final List'!$N$4:$N$252,0),0)</f>
        <v>0</v>
      </c>
      <c r="R1315" s="169">
        <f>IFERROR(MATCH(J1315,'Final List'!$P$4:$P$252,0),0)</f>
        <v>0</v>
      </c>
      <c r="S1315" s="169">
        <f t="shared" si="83"/>
        <v>0</v>
      </c>
      <c r="V1315" s="169" t="str">
        <f t="shared" si="81"/>
        <v>ANDILAB 2</v>
      </c>
      <c r="W1315" s="169" t="s">
        <v>8895</v>
      </c>
    </row>
    <row r="1316" spans="2:23" x14ac:dyDescent="0.25">
      <c r="B1316" s="169" t="s">
        <v>94</v>
      </c>
      <c r="C1316" s="169" t="s">
        <v>45</v>
      </c>
      <c r="D1316" s="169" t="s">
        <v>5631</v>
      </c>
      <c r="E1316" s="169" t="s">
        <v>62</v>
      </c>
      <c r="F1316" s="245" t="str">
        <f t="shared" si="82"/>
        <v>RobS 79</v>
      </c>
      <c r="G1316" s="169" t="s">
        <v>2972</v>
      </c>
      <c r="H1316" s="169" t="s">
        <v>8199</v>
      </c>
      <c r="I1316" s="169" t="str">
        <f t="shared" si="84"/>
        <v>L07_DPVE_020E_ROBBING</v>
      </c>
      <c r="J1316" s="169" t="s">
        <v>8289</v>
      </c>
      <c r="K1316" s="169">
        <f>IFERROR(MATCH(J1316,'Final List'!$B$4:$B$252,0),0)</f>
        <v>0</v>
      </c>
      <c r="L1316" s="169">
        <f>IFERROR(MATCH(J1316,'Final List'!$D$4:$D$252,0),0)</f>
        <v>0</v>
      </c>
      <c r="M1316" s="169">
        <f>IFERROR(MATCH(J1316,'Final List'!$F$4:$F$251,0),0)</f>
        <v>0</v>
      </c>
      <c r="N1316" s="169">
        <f>IFERROR(MATCH(J1316,'Final List'!$H$4:$H$252,0),0)</f>
        <v>0</v>
      </c>
      <c r="O1316" s="169">
        <f>IFERROR(MATCH(J1316,'Final List'!$J$4:$J$252,0),0)</f>
        <v>0</v>
      </c>
      <c r="P1316" s="169">
        <f>IFERROR(MATCH(J1316,'Final List'!$L$4:$L$252,0),0)</f>
        <v>0</v>
      </c>
      <c r="Q1316" s="169">
        <f>IFERROR(MATCH(J1316,'Final List'!$N$4:$N$252,0),0)</f>
        <v>0</v>
      </c>
      <c r="R1316" s="169">
        <f>IFERROR(MATCH(J1316,'Final List'!$P$4:$P$252,0),0)</f>
        <v>0</v>
      </c>
      <c r="S1316" s="169">
        <f t="shared" si="83"/>
        <v>0</v>
      </c>
      <c r="T1316" s="169" t="s">
        <v>68</v>
      </c>
      <c r="V1316" s="169" t="str">
        <f t="shared" si="81"/>
        <v>SHEPHERD AT 1</v>
      </c>
      <c r="W1316" s="169" t="s">
        <v>2707</v>
      </c>
    </row>
    <row r="1317" spans="2:23" x14ac:dyDescent="0.25">
      <c r="B1317" s="169" t="s">
        <v>93</v>
      </c>
      <c r="C1317" s="169" t="s">
        <v>57</v>
      </c>
      <c r="D1317" s="169" t="s">
        <v>140</v>
      </c>
      <c r="E1317" s="169" t="s">
        <v>61</v>
      </c>
      <c r="F1317" s="245" t="str">
        <f t="shared" si="82"/>
        <v>Dhoz 71</v>
      </c>
      <c r="G1317" s="169" t="s">
        <v>2459</v>
      </c>
      <c r="I1317" s="169" t="str">
        <f t="shared" si="84"/>
        <v>L06_JVSPLIT_005W_DW</v>
      </c>
      <c r="J1317" s="169" t="s">
        <v>8291</v>
      </c>
      <c r="K1317" s="169">
        <f>IFERROR(MATCH(J1317,'Final List'!$B$4:$B$252,0),0)</f>
        <v>0</v>
      </c>
      <c r="L1317" s="169">
        <f>IFERROR(MATCH(J1317,'Final List'!$D$4:$D$252,0),0)</f>
        <v>0</v>
      </c>
      <c r="M1317" s="169">
        <f>IFERROR(MATCH(J1317,'Final List'!$F$4:$F$251,0),0)</f>
        <v>0</v>
      </c>
      <c r="N1317" s="169">
        <f>IFERROR(MATCH(J1317,'Final List'!$H$4:$H$252,0),0)</f>
        <v>0</v>
      </c>
      <c r="O1317" s="169">
        <f>IFERROR(MATCH(J1317,'Final List'!$J$4:$J$252,0),0)</f>
        <v>0</v>
      </c>
      <c r="P1317" s="169">
        <f>IFERROR(MATCH(J1317,'Final List'!$L$4:$L$252,0),0)</f>
        <v>0</v>
      </c>
      <c r="Q1317" s="169">
        <f>IFERROR(MATCH(J1317,'Final List'!$N$4:$N$252,0),0)</f>
        <v>0</v>
      </c>
      <c r="R1317" s="169">
        <f>IFERROR(MATCH(J1317,'Final List'!$P$4:$P$252,0),0)</f>
        <v>0</v>
      </c>
      <c r="S1317" s="169">
        <f t="shared" si="83"/>
        <v>0</v>
      </c>
      <c r="V1317" s="169" t="str">
        <f t="shared" si="81"/>
        <v>REBOTE 3</v>
      </c>
      <c r="W1317" s="169" t="s">
        <v>8895</v>
      </c>
    </row>
    <row r="1318" spans="2:23" x14ac:dyDescent="0.25">
      <c r="B1318" s="169" t="s">
        <v>258</v>
      </c>
      <c r="C1318" s="169" t="s">
        <v>45</v>
      </c>
      <c r="D1318" s="169" t="s">
        <v>147</v>
      </c>
      <c r="E1318" s="169" t="s">
        <v>211</v>
      </c>
      <c r="F1318" s="245" t="str">
        <f t="shared" si="82"/>
        <v>StpS 77</v>
      </c>
      <c r="G1318" s="169" t="s">
        <v>360</v>
      </c>
      <c r="I1318" s="169" t="str">
        <f t="shared" si="84"/>
        <v>L10_DPVE_024E_STOPE PREP</v>
      </c>
      <c r="J1318" s="169" t="s">
        <v>8295</v>
      </c>
      <c r="K1318" s="169">
        <f>IFERROR(MATCH(J1318,'Final List'!$B$4:$B$252,0),0)</f>
        <v>0</v>
      </c>
      <c r="L1318" s="169">
        <f>IFERROR(MATCH(J1318,'Final List'!$D$4:$D$252,0),0)</f>
        <v>0</v>
      </c>
      <c r="M1318" s="169">
        <f>IFERROR(MATCH(J1318,'Final List'!$F$4:$F$251,0),0)</f>
        <v>0</v>
      </c>
      <c r="N1318" s="169">
        <f>IFERROR(MATCH(J1318,'Final List'!$H$4:$H$252,0),0)</f>
        <v>0</v>
      </c>
      <c r="O1318" s="169">
        <f>IFERROR(MATCH(J1318,'Final List'!$J$4:$J$252,0),0)</f>
        <v>0</v>
      </c>
      <c r="P1318" s="169">
        <f>IFERROR(MATCH(J1318,'Final List'!$L$4:$L$252,0),0)</f>
        <v>0</v>
      </c>
      <c r="Q1318" s="169">
        <f>IFERROR(MATCH(J1318,'Final List'!$N$4:$N$252,0),0)</f>
        <v>0</v>
      </c>
      <c r="R1318" s="169">
        <f>IFERROR(MATCH(J1318,'Final List'!$P$4:$P$252,0),0)</f>
        <v>0</v>
      </c>
      <c r="S1318" s="169">
        <f t="shared" si="83"/>
        <v>0</v>
      </c>
      <c r="T1318" s="169" t="s">
        <v>68</v>
      </c>
      <c r="V1318" s="169" t="str">
        <f t="shared" si="81"/>
        <v>ALMASA 1</v>
      </c>
      <c r="W1318" s="169" t="s">
        <v>2712</v>
      </c>
    </row>
    <row r="1319" spans="2:23" x14ac:dyDescent="0.25">
      <c r="B1319" s="169" t="s">
        <v>258</v>
      </c>
      <c r="C1319" s="169" t="s">
        <v>59</v>
      </c>
      <c r="D1319" s="169" t="s">
        <v>165</v>
      </c>
      <c r="E1319" s="169" t="s">
        <v>211</v>
      </c>
      <c r="F1319" s="245" t="str">
        <f t="shared" si="82"/>
        <v>StpS 77</v>
      </c>
      <c r="G1319" s="169" t="s">
        <v>4155</v>
      </c>
      <c r="I1319" s="169" t="str">
        <f t="shared" si="84"/>
        <v>L10_GHVHW_056E_STOPE PREP</v>
      </c>
      <c r="J1319" s="169" t="s">
        <v>8329</v>
      </c>
      <c r="K1319" s="169">
        <f>IFERROR(MATCH(J1319,'Final List'!$B$4:$B$252,0),0)</f>
        <v>0</v>
      </c>
      <c r="L1319" s="169">
        <f>IFERROR(MATCH(J1319,'Final List'!$D$4:$D$252,0),0)</f>
        <v>0</v>
      </c>
      <c r="M1319" s="169">
        <f>IFERROR(MATCH(J1319,'Final List'!$F$4:$F$251,0),0)</f>
        <v>0</v>
      </c>
      <c r="N1319" s="169">
        <f>IFERROR(MATCH(J1319,'Final List'!$H$4:$H$252,0),0)</f>
        <v>0</v>
      </c>
      <c r="O1319" s="169">
        <f>IFERROR(MATCH(J1319,'Final List'!$J$4:$J$252,0),0)</f>
        <v>0</v>
      </c>
      <c r="P1319" s="169">
        <f>IFERROR(MATCH(J1319,'Final List'!$L$4:$L$252,0),0)</f>
        <v>0</v>
      </c>
      <c r="Q1319" s="169">
        <f>IFERROR(MATCH(J1319,'Final List'!$N$4:$N$252,0),0)</f>
        <v>0</v>
      </c>
      <c r="R1319" s="169">
        <f>IFERROR(MATCH(J1319,'Final List'!$P$4:$P$252,0),0)</f>
        <v>0</v>
      </c>
      <c r="S1319" s="169">
        <f t="shared" si="83"/>
        <v>0</v>
      </c>
      <c r="T1319" s="169" t="s">
        <v>68</v>
      </c>
      <c r="V1319" s="169" t="str">
        <f t="shared" si="81"/>
        <v>BAÑEZ</v>
      </c>
      <c r="W1319" s="169" t="s">
        <v>2712</v>
      </c>
    </row>
    <row r="1320" spans="2:23" x14ac:dyDescent="0.25">
      <c r="B1320" s="169" t="s">
        <v>96</v>
      </c>
      <c r="C1320" s="169" t="s">
        <v>45</v>
      </c>
      <c r="D1320" s="169" t="s">
        <v>177</v>
      </c>
      <c r="E1320" s="169" t="s">
        <v>19</v>
      </c>
      <c r="F1320" s="245" t="str">
        <f t="shared" si="82"/>
        <v>DVR 72</v>
      </c>
      <c r="G1320" s="169" t="s">
        <v>332</v>
      </c>
      <c r="H1320" s="169" t="s">
        <v>350</v>
      </c>
      <c r="I1320" s="169" t="str">
        <f t="shared" si="84"/>
        <v>L09_DPVE_054E_RAISE</v>
      </c>
      <c r="J1320" s="169" t="s">
        <v>8296</v>
      </c>
      <c r="K1320" s="169">
        <f>IFERROR(MATCH(J1320,'Final List'!$B$4:$B$252,0),0)</f>
        <v>0</v>
      </c>
      <c r="L1320" s="169">
        <f>IFERROR(MATCH(J1320,'Final List'!$D$4:$D$252,0),0)</f>
        <v>0</v>
      </c>
      <c r="M1320" s="169">
        <f>IFERROR(MATCH(J1320,'Final List'!$F$4:$F$251,0),0)</f>
        <v>0</v>
      </c>
      <c r="N1320" s="169">
        <f>IFERROR(MATCH(J1320,'Final List'!$H$4:$H$252,0),0)</f>
        <v>0</v>
      </c>
      <c r="O1320" s="169">
        <f>IFERROR(MATCH(J1320,'Final List'!$J$4:$J$252,0),0)</f>
        <v>0</v>
      </c>
      <c r="P1320" s="169">
        <f>IFERROR(MATCH(J1320,'Final List'!$L$4:$L$252,0),0)</f>
        <v>0</v>
      </c>
      <c r="Q1320" s="169">
        <f>IFERROR(MATCH(J1320,'Final List'!$N$4:$N$252,0),0)</f>
        <v>0</v>
      </c>
      <c r="R1320" s="169">
        <f>IFERROR(MATCH(J1320,'Final List'!$P$4:$P$252,0),0)</f>
        <v>0</v>
      </c>
      <c r="S1320" s="169">
        <f t="shared" si="83"/>
        <v>0</v>
      </c>
      <c r="V1320" s="169" t="str">
        <f t="shared" si="81"/>
        <v>QUIJANO 1</v>
      </c>
      <c r="W1320" s="169" t="s">
        <v>2715</v>
      </c>
    </row>
    <row r="1321" spans="2:23" x14ac:dyDescent="0.25">
      <c r="B1321" s="169" t="s">
        <v>91</v>
      </c>
      <c r="C1321" s="169" t="s">
        <v>41</v>
      </c>
      <c r="D1321" s="169" t="s">
        <v>5940</v>
      </c>
      <c r="E1321" s="169" t="s">
        <v>441</v>
      </c>
      <c r="F1321" s="245" t="str">
        <f t="shared" si="82"/>
        <v>RobC 80</v>
      </c>
      <c r="G1321" s="169" t="s">
        <v>447</v>
      </c>
      <c r="I1321" s="169" t="str">
        <f t="shared" si="84"/>
        <v>L04_CTV_022W_WINZE STOPE PREP</v>
      </c>
      <c r="J1321" s="169" t="s">
        <v>8301</v>
      </c>
      <c r="K1321" s="169">
        <f>IFERROR(MATCH(J1321,'Final List'!$B$4:$B$252,0),0)</f>
        <v>0</v>
      </c>
      <c r="L1321" s="169">
        <f>IFERROR(MATCH(J1321,'Final List'!$D$4:$D$252,0),0)</f>
        <v>0</v>
      </c>
      <c r="M1321" s="169">
        <f>IFERROR(MATCH(J1321,'Final List'!$F$4:$F$251,0),0)</f>
        <v>0</v>
      </c>
      <c r="N1321" s="169">
        <f>IFERROR(MATCH(J1321,'Final List'!$H$4:$H$252,0),0)</f>
        <v>0</v>
      </c>
      <c r="O1321" s="169">
        <f>IFERROR(MATCH(J1321,'Final List'!$J$4:$J$252,0),0)</f>
        <v>0</v>
      </c>
      <c r="P1321" s="169">
        <f>IFERROR(MATCH(J1321,'Final List'!$L$4:$L$252,0),0)</f>
        <v>0</v>
      </c>
      <c r="Q1321" s="169">
        <f>IFERROR(MATCH(J1321,'Final List'!$N$4:$N$252,0),0)</f>
        <v>0</v>
      </c>
      <c r="R1321" s="169">
        <f>IFERROR(MATCH(J1321,'Final List'!$P$4:$P$252,0),0)</f>
        <v>0</v>
      </c>
      <c r="S1321" s="169">
        <f t="shared" si="83"/>
        <v>0</v>
      </c>
      <c r="T1321" s="169" t="s">
        <v>68</v>
      </c>
      <c r="V1321" s="169" t="str">
        <f t="shared" si="81"/>
        <v>COMAINGKING 1</v>
      </c>
      <c r="W1321" s="169" t="s">
        <v>2716</v>
      </c>
    </row>
    <row r="1322" spans="2:23" x14ac:dyDescent="0.25">
      <c r="B1322" s="169" t="s">
        <v>95</v>
      </c>
      <c r="C1322" s="169" t="s">
        <v>45</v>
      </c>
      <c r="D1322" s="169" t="s">
        <v>165</v>
      </c>
      <c r="E1322" s="169" t="s">
        <v>19</v>
      </c>
      <c r="F1322" s="245" t="str">
        <f t="shared" si="82"/>
        <v>DVR 72</v>
      </c>
      <c r="G1322" s="169" t="s">
        <v>584</v>
      </c>
      <c r="I1322" s="169" t="str">
        <f t="shared" si="84"/>
        <v>L08_DPVE_056E_RAISE</v>
      </c>
      <c r="J1322" s="169" t="s">
        <v>8311</v>
      </c>
      <c r="K1322" s="169">
        <f>IFERROR(MATCH(J1322,'Final List'!$B$4:$B$252,0),0)</f>
        <v>0</v>
      </c>
      <c r="L1322" s="169">
        <f>IFERROR(MATCH(J1322,'Final List'!$D$4:$D$252,0),0)</f>
        <v>0</v>
      </c>
      <c r="M1322" s="169">
        <f>IFERROR(MATCH(J1322,'Final List'!$F$4:$F$251,0),0)</f>
        <v>0</v>
      </c>
      <c r="N1322" s="169">
        <f>IFERROR(MATCH(J1322,'Final List'!$H$4:$H$252,0),0)</f>
        <v>0</v>
      </c>
      <c r="O1322" s="169">
        <f>IFERROR(MATCH(J1322,'Final List'!$J$4:$J$252,0),0)</f>
        <v>0</v>
      </c>
      <c r="P1322" s="169">
        <f>IFERROR(MATCH(J1322,'Final List'!$L$4:$L$252,0),0)</f>
        <v>0</v>
      </c>
      <c r="Q1322" s="169">
        <f>IFERROR(MATCH(J1322,'Final List'!$N$4:$N$252,0),0)</f>
        <v>0</v>
      </c>
      <c r="R1322" s="169">
        <f>IFERROR(MATCH(J1322,'Final List'!$P$4:$P$252,0),0)</f>
        <v>0</v>
      </c>
      <c r="S1322" s="169">
        <f t="shared" si="83"/>
        <v>0</v>
      </c>
      <c r="V1322" s="169" t="str">
        <f t="shared" si="81"/>
        <v>VILLARANTE 2</v>
      </c>
      <c r="W1322" s="169" t="s">
        <v>2715</v>
      </c>
    </row>
    <row r="1323" spans="2:23" x14ac:dyDescent="0.25">
      <c r="B1323" s="169" t="s">
        <v>1167</v>
      </c>
      <c r="C1323" s="169" t="s">
        <v>87</v>
      </c>
      <c r="D1323" s="169" t="s">
        <v>176</v>
      </c>
      <c r="E1323" s="169" t="s">
        <v>19</v>
      </c>
      <c r="F1323" s="245" t="str">
        <f t="shared" si="82"/>
        <v>DVR 72</v>
      </c>
      <c r="G1323" s="169" t="s">
        <v>274</v>
      </c>
      <c r="I1323" s="169" t="str">
        <f t="shared" si="84"/>
        <v>L12_NONE_057E_RAISE</v>
      </c>
      <c r="J1323" s="169" t="s">
        <v>8315</v>
      </c>
      <c r="K1323" s="169">
        <f>IFERROR(MATCH(J1323,'Final List'!$B$4:$B$252,0),0)</f>
        <v>0</v>
      </c>
      <c r="L1323" s="169">
        <f>IFERROR(MATCH(J1323,'Final List'!$D$4:$D$252,0),0)</f>
        <v>0</v>
      </c>
      <c r="M1323" s="169">
        <f>IFERROR(MATCH(J1323,'Final List'!$F$4:$F$251,0),0)</f>
        <v>0</v>
      </c>
      <c r="N1323" s="169">
        <f>IFERROR(MATCH(J1323,'Final List'!$H$4:$H$252,0),0)</f>
        <v>0</v>
      </c>
      <c r="O1323" s="169">
        <f>IFERROR(MATCH(J1323,'Final List'!$J$4:$J$252,0),0)</f>
        <v>0</v>
      </c>
      <c r="P1323" s="169">
        <f>IFERROR(MATCH(J1323,'Final List'!$L$4:$L$252,0),0)</f>
        <v>0</v>
      </c>
      <c r="Q1323" s="169">
        <f>IFERROR(MATCH(J1323,'Final List'!$N$4:$N$252,0),0)</f>
        <v>0</v>
      </c>
      <c r="R1323" s="169">
        <f>IFERROR(MATCH(J1323,'Final List'!$P$4:$P$252,0),0)</f>
        <v>0</v>
      </c>
      <c r="S1323" s="169">
        <f t="shared" si="83"/>
        <v>0</v>
      </c>
      <c r="V1323" s="169" t="str">
        <f t="shared" si="81"/>
        <v>PMC MINERS 2</v>
      </c>
      <c r="W1323" s="169" t="s">
        <v>2714</v>
      </c>
    </row>
    <row r="1324" spans="2:23" x14ac:dyDescent="0.25">
      <c r="B1324" s="169" t="s">
        <v>95</v>
      </c>
      <c r="C1324" s="169" t="s">
        <v>87</v>
      </c>
      <c r="D1324" s="169" t="s">
        <v>144</v>
      </c>
      <c r="E1324" s="169" t="s">
        <v>72</v>
      </c>
      <c r="F1324" s="245" t="str">
        <f t="shared" si="82"/>
        <v>Dhoz 71</v>
      </c>
      <c r="G1324" s="169" t="s">
        <v>382</v>
      </c>
      <c r="I1324" s="169" t="str">
        <f t="shared" si="84"/>
        <v>L08_NONE_043E_CHAMBER</v>
      </c>
      <c r="J1324" s="169" t="s">
        <v>8318</v>
      </c>
      <c r="K1324" s="169">
        <f>IFERROR(MATCH(J1324,'Final List'!$B$4:$B$252,0),0)</f>
        <v>0</v>
      </c>
      <c r="L1324" s="169">
        <f>IFERROR(MATCH(J1324,'Final List'!$D$4:$D$252,0),0)</f>
        <v>0</v>
      </c>
      <c r="M1324" s="169">
        <f>IFERROR(MATCH(J1324,'Final List'!$F$4:$F$251,0),0)</f>
        <v>0</v>
      </c>
      <c r="N1324" s="169">
        <f>IFERROR(MATCH(J1324,'Final List'!$H$4:$H$252,0),0)</f>
        <v>0</v>
      </c>
      <c r="O1324" s="169">
        <f>IFERROR(MATCH(J1324,'Final List'!$J$4:$J$252,0),0)</f>
        <v>0</v>
      </c>
      <c r="P1324" s="169">
        <f>IFERROR(MATCH(J1324,'Final List'!$L$4:$L$252,0),0)</f>
        <v>0</v>
      </c>
      <c r="Q1324" s="169">
        <f>IFERROR(MATCH(J1324,'Final List'!$N$4:$N$252,0),0)</f>
        <v>0</v>
      </c>
      <c r="R1324" s="169">
        <f>IFERROR(MATCH(J1324,'Final List'!$P$4:$P$252,0),0)</f>
        <v>0</v>
      </c>
      <c r="S1324" s="169">
        <f t="shared" si="83"/>
        <v>0</v>
      </c>
      <c r="V1324" s="169" t="str">
        <f t="shared" si="81"/>
        <v>HANGDAAN 1</v>
      </c>
      <c r="W1324" s="169" t="s">
        <v>2714</v>
      </c>
    </row>
    <row r="1325" spans="2:23" x14ac:dyDescent="0.25">
      <c r="B1325" s="169" t="s">
        <v>258</v>
      </c>
      <c r="C1325" s="169" t="s">
        <v>45</v>
      </c>
      <c r="D1325" s="169" t="s">
        <v>5850</v>
      </c>
      <c r="E1325" s="169" t="s">
        <v>61</v>
      </c>
      <c r="F1325" s="245" t="str">
        <f t="shared" si="82"/>
        <v>Dhoz 71</v>
      </c>
      <c r="G1325" s="169" t="s">
        <v>375</v>
      </c>
      <c r="H1325" s="169" t="s">
        <v>12409</v>
      </c>
      <c r="I1325" s="169" t="str">
        <f t="shared" si="84"/>
        <v>L10_DPVE_016E_DW</v>
      </c>
      <c r="J1325" s="169" t="s">
        <v>8319</v>
      </c>
      <c r="K1325" s="169">
        <f>IFERROR(MATCH(J1325,'Final List'!$B$4:$B$252,0),0)</f>
        <v>0</v>
      </c>
      <c r="L1325" s="169">
        <f>IFERROR(MATCH(J1325,'Final List'!$D$4:$D$252,0),0)</f>
        <v>0</v>
      </c>
      <c r="M1325" s="169">
        <f>IFERROR(MATCH(J1325,'Final List'!$F$4:$F$251,0),0)</f>
        <v>0</v>
      </c>
      <c r="N1325" s="169">
        <f>IFERROR(MATCH(J1325,'Final List'!$H$4:$H$252,0),0)</f>
        <v>0</v>
      </c>
      <c r="O1325" s="169">
        <f>IFERROR(MATCH(J1325,'Final List'!$J$4:$J$252,0),0)</f>
        <v>0</v>
      </c>
      <c r="P1325" s="169">
        <f>IFERROR(MATCH(J1325,'Final List'!$L$4:$L$252,0),0)</f>
        <v>0</v>
      </c>
      <c r="Q1325" s="169">
        <f>IFERROR(MATCH(J1325,'Final List'!$N$4:$N$252,0),0)</f>
        <v>0</v>
      </c>
      <c r="R1325" s="169">
        <f>IFERROR(MATCH(J1325,'Final List'!$P$4:$P$252,0),0)</f>
        <v>0</v>
      </c>
      <c r="S1325" s="169">
        <f t="shared" si="83"/>
        <v>0</v>
      </c>
      <c r="V1325" s="169" t="str">
        <f t="shared" si="81"/>
        <v>LARGO</v>
      </c>
      <c r="W1325" s="169" t="s">
        <v>8896</v>
      </c>
    </row>
    <row r="1326" spans="2:23" x14ac:dyDescent="0.25">
      <c r="B1326" s="169" t="s">
        <v>258</v>
      </c>
      <c r="C1326" s="169" t="s">
        <v>43</v>
      </c>
      <c r="D1326" s="169" t="s">
        <v>170</v>
      </c>
      <c r="E1326" s="169" t="s">
        <v>60</v>
      </c>
      <c r="F1326" s="245" t="str">
        <f t="shared" si="82"/>
        <v>Dhoz 71</v>
      </c>
      <c r="G1326" s="169" t="s">
        <v>5704</v>
      </c>
      <c r="I1326" s="169" t="str">
        <f t="shared" si="84"/>
        <v>L10_GHVSPLIT_071E_DE</v>
      </c>
      <c r="J1326" s="169" t="s">
        <v>3908</v>
      </c>
      <c r="K1326" s="169">
        <f>IFERROR(MATCH(J1326,'Final List'!$B$4:$B$252,0),0)</f>
        <v>0</v>
      </c>
      <c r="L1326" s="169">
        <f>IFERROR(MATCH(J1326,'Final List'!$D$4:$D$252,0),0)</f>
        <v>0</v>
      </c>
      <c r="M1326" s="169">
        <f>IFERROR(MATCH(J1326,'Final List'!$F$4:$F$251,0),0)</f>
        <v>0</v>
      </c>
      <c r="N1326" s="169">
        <f>IFERROR(MATCH(J1326,'Final List'!$H$4:$H$252,0),0)</f>
        <v>0</v>
      </c>
      <c r="O1326" s="169">
        <f>IFERROR(MATCH(J1326,'Final List'!$J$4:$J$252,0),0)</f>
        <v>0</v>
      </c>
      <c r="P1326" s="169">
        <f>IFERROR(MATCH(J1326,'Final List'!$L$4:$L$252,0),0)</f>
        <v>0</v>
      </c>
      <c r="Q1326" s="169">
        <f>IFERROR(MATCH(J1326,'Final List'!$N$4:$N$252,0),0)</f>
        <v>0</v>
      </c>
      <c r="R1326" s="169">
        <f>IFERROR(MATCH(J1326,'Final List'!$P$4:$P$252,0),0)</f>
        <v>0</v>
      </c>
      <c r="S1326" s="169">
        <f t="shared" si="83"/>
        <v>0</v>
      </c>
      <c r="V1326" s="169" t="str">
        <f t="shared" si="81"/>
        <v>OLIVEROS 3</v>
      </c>
      <c r="W1326" s="169" t="s">
        <v>8896</v>
      </c>
    </row>
    <row r="1327" spans="2:23" x14ac:dyDescent="0.25">
      <c r="B1327" s="169" t="s">
        <v>258</v>
      </c>
      <c r="C1327" s="169" t="s">
        <v>56</v>
      </c>
      <c r="D1327" s="169" t="s">
        <v>167</v>
      </c>
      <c r="E1327" s="169" t="s">
        <v>211</v>
      </c>
      <c r="F1327" s="245" t="str">
        <f t="shared" si="82"/>
        <v>StpS 77</v>
      </c>
      <c r="G1327" s="169" t="s">
        <v>297</v>
      </c>
      <c r="I1327" s="169" t="str">
        <f t="shared" si="84"/>
        <v>L10_GHVFW_058E_STOPE PREP</v>
      </c>
      <c r="J1327" s="169" t="s">
        <v>8321</v>
      </c>
      <c r="K1327" s="169">
        <f>IFERROR(MATCH(J1327,'Final List'!$B$4:$B$252,0),0)</f>
        <v>0</v>
      </c>
      <c r="L1327" s="169">
        <f>IFERROR(MATCH(J1327,'Final List'!$D$4:$D$252,0),0)</f>
        <v>0</v>
      </c>
      <c r="M1327" s="169">
        <f>IFERROR(MATCH(J1327,'Final List'!$F$4:$F$251,0),0)</f>
        <v>0</v>
      </c>
      <c r="N1327" s="169">
        <f>IFERROR(MATCH(J1327,'Final List'!$H$4:$H$252,0),0)</f>
        <v>0</v>
      </c>
      <c r="O1327" s="169">
        <f>IFERROR(MATCH(J1327,'Final List'!$J$4:$J$252,0),0)</f>
        <v>0</v>
      </c>
      <c r="P1327" s="169">
        <f>IFERROR(MATCH(J1327,'Final List'!$L$4:$L$252,0),0)</f>
        <v>0</v>
      </c>
      <c r="Q1327" s="169">
        <f>IFERROR(MATCH(J1327,'Final List'!$N$4:$N$252,0),0)</f>
        <v>0</v>
      </c>
      <c r="R1327" s="169">
        <f>IFERROR(MATCH(J1327,'Final List'!$P$4:$P$252,0),0)</f>
        <v>0</v>
      </c>
      <c r="S1327" s="169">
        <f t="shared" si="83"/>
        <v>0</v>
      </c>
      <c r="T1327" s="169" t="s">
        <v>68</v>
      </c>
      <c r="V1327" s="169" t="str">
        <f t="shared" si="81"/>
        <v>MONTEBON 3</v>
      </c>
      <c r="W1327" s="169" t="s">
        <v>2712</v>
      </c>
    </row>
    <row r="1328" spans="2:23" x14ac:dyDescent="0.25">
      <c r="B1328" s="169" t="s">
        <v>95</v>
      </c>
      <c r="C1328" s="169" t="s">
        <v>87</v>
      </c>
      <c r="D1328" s="169" t="s">
        <v>159</v>
      </c>
      <c r="E1328" s="169" t="s">
        <v>37</v>
      </c>
      <c r="F1328" s="245" t="str">
        <f t="shared" si="82"/>
        <v>Dhoz 71</v>
      </c>
      <c r="G1328" s="169" t="s">
        <v>942</v>
      </c>
      <c r="H1328" s="169" t="s">
        <v>9753</v>
      </c>
      <c r="I1328" s="169" t="str">
        <f t="shared" si="84"/>
        <v>L08_NONE_023E_XCN</v>
      </c>
      <c r="J1328" s="169" t="s">
        <v>8322</v>
      </c>
      <c r="K1328" s="169">
        <f>IFERROR(MATCH(J1328,'Final List'!$B$4:$B$252,0),0)</f>
        <v>0</v>
      </c>
      <c r="L1328" s="169">
        <f>IFERROR(MATCH(J1328,'Final List'!$D$4:$D$252,0),0)</f>
        <v>0</v>
      </c>
      <c r="M1328" s="169">
        <f>IFERROR(MATCH(J1328,'Final List'!$F$4:$F$251,0),0)</f>
        <v>0</v>
      </c>
      <c r="N1328" s="169">
        <f>IFERROR(MATCH(J1328,'Final List'!$H$4:$H$252,0),0)</f>
        <v>0</v>
      </c>
      <c r="O1328" s="169">
        <f>IFERROR(MATCH(J1328,'Final List'!$J$4:$J$252,0),0)</f>
        <v>0</v>
      </c>
      <c r="P1328" s="169">
        <f>IFERROR(MATCH(J1328,'Final List'!$L$4:$L$252,0),0)</f>
        <v>0</v>
      </c>
      <c r="Q1328" s="169">
        <f>IFERROR(MATCH(J1328,'Final List'!$N$4:$N$252,0),0)</f>
        <v>0</v>
      </c>
      <c r="R1328" s="169">
        <f>IFERROR(MATCH(J1328,'Final List'!$P$4:$P$252,0),0)</f>
        <v>0</v>
      </c>
      <c r="S1328" s="169">
        <f t="shared" si="83"/>
        <v>0</v>
      </c>
      <c r="V1328" s="169" t="str">
        <f t="shared" si="81"/>
        <v>CAPUYAN 2</v>
      </c>
      <c r="W1328" s="169" t="s">
        <v>8897</v>
      </c>
    </row>
    <row r="1329" spans="2:23" x14ac:dyDescent="0.25">
      <c r="B1329" s="169" t="s">
        <v>93</v>
      </c>
      <c r="C1329" s="169" t="s">
        <v>39</v>
      </c>
      <c r="D1329" s="169" t="s">
        <v>176</v>
      </c>
      <c r="E1329" s="169" t="s">
        <v>62</v>
      </c>
      <c r="F1329" s="245" t="str">
        <f t="shared" si="82"/>
        <v>RobC 80</v>
      </c>
      <c r="G1329" s="169" t="s">
        <v>342</v>
      </c>
      <c r="I1329" s="169" t="str">
        <f t="shared" si="84"/>
        <v>L06_JVHW_057E_ROBBING</v>
      </c>
      <c r="J1329" s="169" t="s">
        <v>8323</v>
      </c>
      <c r="K1329" s="169">
        <f>IFERROR(MATCH(J1329,'Final List'!$B$4:$B$252,0),0)</f>
        <v>0</v>
      </c>
      <c r="L1329" s="169">
        <f>IFERROR(MATCH(J1329,'Final List'!$D$4:$D$252,0),0)</f>
        <v>0</v>
      </c>
      <c r="M1329" s="169">
        <f>IFERROR(MATCH(J1329,'Final List'!$F$4:$F$251,0),0)</f>
        <v>0</v>
      </c>
      <c r="N1329" s="169">
        <f>IFERROR(MATCH(J1329,'Final List'!$H$4:$H$252,0),0)</f>
        <v>0</v>
      </c>
      <c r="O1329" s="169">
        <f>IFERROR(MATCH(J1329,'Final List'!$J$4:$J$252,0),0)</f>
        <v>0</v>
      </c>
      <c r="P1329" s="169">
        <f>IFERROR(MATCH(J1329,'Final List'!$L$4:$L$252,0),0)</f>
        <v>0</v>
      </c>
      <c r="Q1329" s="169">
        <f>IFERROR(MATCH(J1329,'Final List'!$N$4:$N$252,0),0)</f>
        <v>0</v>
      </c>
      <c r="R1329" s="169">
        <f>IFERROR(MATCH(J1329,'Final List'!$P$4:$P$252,0),0)</f>
        <v>0</v>
      </c>
      <c r="S1329" s="169">
        <f t="shared" si="83"/>
        <v>0</v>
      </c>
      <c r="T1329" s="169" t="s">
        <v>48</v>
      </c>
      <c r="V1329" s="169" t="str">
        <f t="shared" si="81"/>
        <v>BADBADON 2</v>
      </c>
      <c r="W1329" s="169" t="s">
        <v>236</v>
      </c>
    </row>
    <row r="1330" spans="2:23" x14ac:dyDescent="0.25">
      <c r="B1330" s="169" t="s">
        <v>93</v>
      </c>
      <c r="C1330" s="169" t="s">
        <v>42</v>
      </c>
      <c r="D1330" s="169" t="s">
        <v>101</v>
      </c>
      <c r="E1330" s="169" t="s">
        <v>62</v>
      </c>
      <c r="F1330" s="245" t="str">
        <f t="shared" si="82"/>
        <v>RobC 80</v>
      </c>
      <c r="G1330" s="169" t="s">
        <v>1506</v>
      </c>
      <c r="I1330" s="169" t="str">
        <f t="shared" si="84"/>
        <v>L06_JV_023W_ROBBING</v>
      </c>
      <c r="J1330" s="169" t="s">
        <v>8325</v>
      </c>
      <c r="K1330" s="169">
        <f>IFERROR(MATCH(J1330,'Final List'!$B$4:$B$252,0),0)</f>
        <v>0</v>
      </c>
      <c r="L1330" s="169">
        <f>IFERROR(MATCH(J1330,'Final List'!$D$4:$D$252,0),0)</f>
        <v>0</v>
      </c>
      <c r="M1330" s="169">
        <f>IFERROR(MATCH(J1330,'Final List'!$F$4:$F$251,0),0)</f>
        <v>0</v>
      </c>
      <c r="N1330" s="169">
        <f>IFERROR(MATCH(J1330,'Final List'!$H$4:$H$252,0),0)</f>
        <v>0</v>
      </c>
      <c r="O1330" s="169">
        <f>IFERROR(MATCH(J1330,'Final List'!$J$4:$J$252,0),0)</f>
        <v>0</v>
      </c>
      <c r="P1330" s="169">
        <f>IFERROR(MATCH(J1330,'Final List'!$L$4:$L$252,0),0)</f>
        <v>0</v>
      </c>
      <c r="Q1330" s="169">
        <f>IFERROR(MATCH(J1330,'Final List'!$N$4:$N$252,0),0)</f>
        <v>0</v>
      </c>
      <c r="R1330" s="169">
        <f>IFERROR(MATCH(J1330,'Final List'!$P$4:$P$252,0),0)</f>
        <v>0</v>
      </c>
      <c r="S1330" s="169">
        <f t="shared" si="83"/>
        <v>0</v>
      </c>
      <c r="T1330" s="169" t="s">
        <v>48</v>
      </c>
      <c r="V1330" s="169" t="str">
        <f t="shared" si="81"/>
        <v>GUNAY</v>
      </c>
      <c r="W1330" s="169" t="s">
        <v>236</v>
      </c>
    </row>
    <row r="1331" spans="2:23" x14ac:dyDescent="0.25">
      <c r="B1331" s="169" t="s">
        <v>92</v>
      </c>
      <c r="C1331" s="169" t="s">
        <v>39</v>
      </c>
      <c r="D1331" s="169" t="s">
        <v>195</v>
      </c>
      <c r="E1331" s="169" t="s">
        <v>61</v>
      </c>
      <c r="F1331" s="245" t="str">
        <f t="shared" si="82"/>
        <v>Dhoz 71</v>
      </c>
      <c r="G1331" s="169" t="s">
        <v>538</v>
      </c>
      <c r="I1331" s="169" t="str">
        <f t="shared" si="84"/>
        <v>L05_JVHW_008W_DW</v>
      </c>
      <c r="J1331" s="169" t="s">
        <v>8324</v>
      </c>
      <c r="K1331" s="169">
        <f>IFERROR(MATCH(J1331,'Final List'!$B$4:$B$252,0),0)</f>
        <v>0</v>
      </c>
      <c r="L1331" s="169">
        <f>IFERROR(MATCH(J1331,'Final List'!$D$4:$D$252,0),0)</f>
        <v>0</v>
      </c>
      <c r="M1331" s="169">
        <f>IFERROR(MATCH(J1331,'Final List'!$F$4:$F$251,0),0)</f>
        <v>0</v>
      </c>
      <c r="N1331" s="169">
        <f>IFERROR(MATCH(J1331,'Final List'!$H$4:$H$252,0),0)</f>
        <v>0</v>
      </c>
      <c r="O1331" s="169">
        <f>IFERROR(MATCH(J1331,'Final List'!$J$4:$J$252,0),0)</f>
        <v>0</v>
      </c>
      <c r="P1331" s="169">
        <f>IFERROR(MATCH(J1331,'Final List'!$L$4:$L$252,0),0)</f>
        <v>0</v>
      </c>
      <c r="Q1331" s="169">
        <f>IFERROR(MATCH(J1331,'Final List'!$N$4:$N$252,0),0)</f>
        <v>0</v>
      </c>
      <c r="R1331" s="169">
        <f>IFERROR(MATCH(J1331,'Final List'!$P$4:$P$252,0),0)</f>
        <v>0</v>
      </c>
      <c r="S1331" s="169">
        <f t="shared" si="83"/>
        <v>0</v>
      </c>
      <c r="V1331" s="169" t="str">
        <f t="shared" si="81"/>
        <v>PANCIT, NOEL 4</v>
      </c>
      <c r="W1331" s="169" t="s">
        <v>8895</v>
      </c>
    </row>
    <row r="1332" spans="2:23" x14ac:dyDescent="0.25">
      <c r="B1332" s="169" t="s">
        <v>95</v>
      </c>
      <c r="C1332" s="169" t="s">
        <v>56</v>
      </c>
      <c r="D1332" s="169" t="s">
        <v>5835</v>
      </c>
      <c r="E1332" s="169" t="s">
        <v>221</v>
      </c>
      <c r="F1332" s="245" t="str">
        <f t="shared" si="82"/>
        <v>RobC 80</v>
      </c>
      <c r="G1332" s="169" t="s">
        <v>474</v>
      </c>
      <c r="I1332" s="169" t="str">
        <f t="shared" si="84"/>
        <v>L08_GHVFW_003W_WINZE STOPE</v>
      </c>
      <c r="J1332" s="169" t="s">
        <v>8326</v>
      </c>
      <c r="K1332" s="169">
        <f>IFERROR(MATCH(J1332,'Final List'!$B$4:$B$252,0),0)</f>
        <v>0</v>
      </c>
      <c r="L1332" s="169">
        <f>IFERROR(MATCH(J1332,'Final List'!$D$4:$D$252,0),0)</f>
        <v>0</v>
      </c>
      <c r="M1332" s="169">
        <f>IFERROR(MATCH(J1332,'Final List'!$F$4:$F$251,0),0)</f>
        <v>0</v>
      </c>
      <c r="N1332" s="169">
        <f>IFERROR(MATCH(J1332,'Final List'!$H$4:$H$252,0),0)</f>
        <v>0</v>
      </c>
      <c r="O1332" s="169">
        <f>IFERROR(MATCH(J1332,'Final List'!$J$4:$J$252,0),0)</f>
        <v>0</v>
      </c>
      <c r="P1332" s="169">
        <f>IFERROR(MATCH(J1332,'Final List'!$L$4:$L$252,0),0)</f>
        <v>0</v>
      </c>
      <c r="Q1332" s="169">
        <f>IFERROR(MATCH(J1332,'Final List'!$N$4:$N$252,0),0)</f>
        <v>0</v>
      </c>
      <c r="R1332" s="169">
        <f>IFERROR(MATCH(J1332,'Final List'!$P$4:$P$252,0),0)</f>
        <v>0</v>
      </c>
      <c r="S1332" s="169">
        <f t="shared" si="83"/>
        <v>0</v>
      </c>
      <c r="T1332" s="169" t="s">
        <v>68</v>
      </c>
      <c r="V1332" s="169" t="str">
        <f t="shared" si="81"/>
        <v>TORMIS 1</v>
      </c>
      <c r="W1332" s="169" t="s">
        <v>2719</v>
      </c>
    </row>
    <row r="1333" spans="2:23" x14ac:dyDescent="0.25">
      <c r="B1333" s="169" t="s">
        <v>95</v>
      </c>
      <c r="C1333" s="169" t="s">
        <v>42</v>
      </c>
      <c r="D1333" s="169" t="s">
        <v>143</v>
      </c>
      <c r="E1333" s="169" t="s">
        <v>6144</v>
      </c>
      <c r="F1333" s="245" t="str">
        <f t="shared" si="82"/>
        <v>DVR 72</v>
      </c>
      <c r="G1333" s="169" t="s">
        <v>329</v>
      </c>
      <c r="I1333" s="169" t="str">
        <f t="shared" si="84"/>
        <v>L08_JV_032E_RAISE_ISL</v>
      </c>
      <c r="J1333" s="169" t="s">
        <v>8345</v>
      </c>
      <c r="K1333" s="169">
        <f>IFERROR(MATCH(J1333,'Final List'!$B$4:$B$252,0),0)</f>
        <v>0</v>
      </c>
      <c r="L1333" s="169">
        <f>IFERROR(MATCH(J1333,'Final List'!$D$4:$D$252,0),0)</f>
        <v>0</v>
      </c>
      <c r="M1333" s="169">
        <f>IFERROR(MATCH(J1333,'Final List'!$F$4:$F$251,0),0)</f>
        <v>0</v>
      </c>
      <c r="N1333" s="169">
        <f>IFERROR(MATCH(J1333,'Final List'!$H$4:$H$252,0),0)</f>
        <v>0</v>
      </c>
      <c r="O1333" s="169">
        <f>IFERROR(MATCH(J1333,'Final List'!$J$4:$J$252,0),0)</f>
        <v>0</v>
      </c>
      <c r="P1333" s="169">
        <f>IFERROR(MATCH(J1333,'Final List'!$L$4:$L$252,0),0)</f>
        <v>0</v>
      </c>
      <c r="Q1333" s="169">
        <f>IFERROR(MATCH(J1333,'Final List'!$N$4:$N$252,0),0)</f>
        <v>0</v>
      </c>
      <c r="R1333" s="169">
        <f>IFERROR(MATCH(J1333,'Final List'!$P$4:$P$252,0),0)</f>
        <v>0</v>
      </c>
      <c r="S1333" s="169">
        <f t="shared" si="83"/>
        <v>0</v>
      </c>
      <c r="V1333" s="169" t="str">
        <f t="shared" si="81"/>
        <v>OY-YOY 1</v>
      </c>
      <c r="W1333" s="169" t="s">
        <v>2715</v>
      </c>
    </row>
    <row r="1334" spans="2:23" x14ac:dyDescent="0.25">
      <c r="B1334" s="169" t="s">
        <v>258</v>
      </c>
      <c r="C1334" s="169" t="s">
        <v>38</v>
      </c>
      <c r="D1334" s="169" t="s">
        <v>5604</v>
      </c>
      <c r="E1334" s="169" t="s">
        <v>20</v>
      </c>
      <c r="F1334" s="245" t="str">
        <f t="shared" si="82"/>
        <v>DVW 74</v>
      </c>
      <c r="G1334" s="169" t="s">
        <v>447</v>
      </c>
      <c r="I1334" s="169" t="str">
        <f t="shared" si="84"/>
        <v>L10_GHV_063E_WINZE</v>
      </c>
      <c r="J1334" s="169" t="s">
        <v>2868</v>
      </c>
      <c r="K1334" s="169">
        <f>IFERROR(MATCH(J1334,'Final List'!$B$4:$B$252,0),0)</f>
        <v>0</v>
      </c>
      <c r="L1334" s="169">
        <f>IFERROR(MATCH(J1334,'Final List'!$D$4:$D$252,0),0)</f>
        <v>0</v>
      </c>
      <c r="M1334" s="169">
        <f>IFERROR(MATCH(J1334,'Final List'!$F$4:$F$251,0),0)</f>
        <v>0</v>
      </c>
      <c r="N1334" s="169">
        <f>IFERROR(MATCH(J1334,'Final List'!$H$4:$H$252,0),0)</f>
        <v>0</v>
      </c>
      <c r="O1334" s="169">
        <f>IFERROR(MATCH(J1334,'Final List'!$J$4:$J$252,0),0)</f>
        <v>0</v>
      </c>
      <c r="P1334" s="169">
        <f>IFERROR(MATCH(J1334,'Final List'!$L$4:$L$252,0),0)</f>
        <v>0</v>
      </c>
      <c r="Q1334" s="169">
        <f>IFERROR(MATCH(J1334,'Final List'!$N$4:$N$252,0),0)</f>
        <v>0</v>
      </c>
      <c r="R1334" s="169">
        <f>IFERROR(MATCH(J1334,'Final List'!$P$4:$P$252,0),0)</f>
        <v>0</v>
      </c>
      <c r="S1334" s="169">
        <f t="shared" si="83"/>
        <v>0</v>
      </c>
      <c r="V1334" s="169" t="str">
        <f t="shared" si="81"/>
        <v>COMAINGKING 1</v>
      </c>
      <c r="W1334" s="169" t="s">
        <v>2706</v>
      </c>
    </row>
    <row r="1335" spans="2:23" x14ac:dyDescent="0.25">
      <c r="B1335" s="169" t="s">
        <v>96</v>
      </c>
      <c r="C1335" s="169" t="s">
        <v>87</v>
      </c>
      <c r="D1335" s="169" t="s">
        <v>7025</v>
      </c>
      <c r="E1335" s="169" t="s">
        <v>63</v>
      </c>
      <c r="F1335" s="245" t="str">
        <f t="shared" si="82"/>
        <v>Dhoz 71</v>
      </c>
      <c r="G1335" s="169" t="s">
        <v>745</v>
      </c>
      <c r="I1335" s="169" t="str">
        <f t="shared" si="84"/>
        <v>L09_NONE_082E_XCS</v>
      </c>
      <c r="J1335" s="169" t="s">
        <v>8328</v>
      </c>
      <c r="K1335" s="169">
        <f>IFERROR(MATCH(J1335,'Final List'!$B$4:$B$252,0),0)</f>
        <v>0</v>
      </c>
      <c r="L1335" s="169">
        <f>IFERROR(MATCH(J1335,'Final List'!$D$4:$D$252,0),0)</f>
        <v>0</v>
      </c>
      <c r="M1335" s="169">
        <f>IFERROR(MATCH(J1335,'Final List'!$F$4:$F$251,0),0)</f>
        <v>0</v>
      </c>
      <c r="N1335" s="169">
        <f>IFERROR(MATCH(J1335,'Final List'!$H$4:$H$252,0),0)</f>
        <v>0</v>
      </c>
      <c r="O1335" s="169">
        <f>IFERROR(MATCH(J1335,'Final List'!$J$4:$J$252,0),0)</f>
        <v>0</v>
      </c>
      <c r="P1335" s="169">
        <f>IFERROR(MATCH(J1335,'Final List'!$L$4:$L$252,0),0)</f>
        <v>0</v>
      </c>
      <c r="Q1335" s="169">
        <f>IFERROR(MATCH(J1335,'Final List'!$N$4:$N$252,0),0)</f>
        <v>0</v>
      </c>
      <c r="R1335" s="169">
        <f>IFERROR(MATCH(J1335,'Final List'!$P$4:$P$252,0),0)</f>
        <v>0</v>
      </c>
      <c r="S1335" s="169">
        <f t="shared" si="83"/>
        <v>0</v>
      </c>
      <c r="V1335" s="169" t="str">
        <f t="shared" si="81"/>
        <v>CANOY 2</v>
      </c>
      <c r="W1335" s="169" t="s">
        <v>8898</v>
      </c>
    </row>
    <row r="1336" spans="2:23" x14ac:dyDescent="0.25">
      <c r="B1336" s="169" t="s">
        <v>96</v>
      </c>
      <c r="C1336" s="169" t="s">
        <v>56</v>
      </c>
      <c r="D1336" s="169" t="s">
        <v>5723</v>
      </c>
      <c r="E1336" s="169" t="s">
        <v>36</v>
      </c>
      <c r="F1336" s="245" t="str">
        <f t="shared" si="82"/>
        <v>StpS 77</v>
      </c>
      <c r="G1336" s="169" t="s">
        <v>8203</v>
      </c>
      <c r="I1336" s="169" t="str">
        <f t="shared" si="84"/>
        <v>L09_GHVFW_046E_STOPE</v>
      </c>
      <c r="J1336" s="169" t="s">
        <v>8330</v>
      </c>
      <c r="K1336" s="169">
        <f>IFERROR(MATCH(J1336,'Final List'!$B$4:$B$252,0),0)</f>
        <v>0</v>
      </c>
      <c r="L1336" s="169">
        <f>IFERROR(MATCH(J1336,'Final List'!$D$4:$D$252,0),0)</f>
        <v>0</v>
      </c>
      <c r="M1336" s="169">
        <f>IFERROR(MATCH(J1336,'Final List'!$F$4:$F$251,0),0)</f>
        <v>0</v>
      </c>
      <c r="N1336" s="169">
        <f>IFERROR(MATCH(J1336,'Final List'!$H$4:$H$252,0),0)</f>
        <v>0</v>
      </c>
      <c r="O1336" s="169">
        <f>IFERROR(MATCH(J1336,'Final List'!$J$4:$J$252,0),0)</f>
        <v>0</v>
      </c>
      <c r="P1336" s="169">
        <f>IFERROR(MATCH(J1336,'Final List'!$L$4:$L$252,0),0)</f>
        <v>0</v>
      </c>
      <c r="Q1336" s="169">
        <f>IFERROR(MATCH(J1336,'Final List'!$N$4:$N$252,0),0)</f>
        <v>0</v>
      </c>
      <c r="R1336" s="169">
        <f>IFERROR(MATCH(J1336,'Final List'!$P$4:$P$252,0),0)</f>
        <v>0</v>
      </c>
      <c r="S1336" s="169">
        <f t="shared" si="83"/>
        <v>0</v>
      </c>
      <c r="T1336" s="169" t="s">
        <v>68</v>
      </c>
      <c r="V1336" s="169" t="str">
        <f t="shared" si="81"/>
        <v>PANSIT, NORMAN 3</v>
      </c>
      <c r="W1336" s="169" t="s">
        <v>2713</v>
      </c>
    </row>
    <row r="1337" spans="2:23" x14ac:dyDescent="0.25">
      <c r="B1337" s="169" t="s">
        <v>258</v>
      </c>
      <c r="C1337" s="169" t="s">
        <v>87</v>
      </c>
      <c r="D1337" s="169" t="s">
        <v>247</v>
      </c>
      <c r="E1337" s="169" t="s">
        <v>37</v>
      </c>
      <c r="F1337" s="245" t="str">
        <f t="shared" si="82"/>
        <v>Dhoz 71</v>
      </c>
      <c r="G1337" s="169" t="s">
        <v>5705</v>
      </c>
      <c r="I1337" s="169" t="str">
        <f t="shared" si="84"/>
        <v>L10_NONE_080E_XCN</v>
      </c>
      <c r="J1337" s="169" t="s">
        <v>8558</v>
      </c>
      <c r="K1337" s="169">
        <f>IFERROR(MATCH(J1337,'Final List'!$B$4:$B$252,0),0)</f>
        <v>0</v>
      </c>
      <c r="L1337" s="169">
        <f>IFERROR(MATCH(J1337,'Final List'!$D$4:$D$252,0),0)</f>
        <v>0</v>
      </c>
      <c r="M1337" s="169">
        <f>IFERROR(MATCH(J1337,'Final List'!$F$4:$F$251,0),0)</f>
        <v>0</v>
      </c>
      <c r="N1337" s="169">
        <f>IFERROR(MATCH(J1337,'Final List'!$H$4:$H$252,0),0)</f>
        <v>0</v>
      </c>
      <c r="O1337" s="169">
        <f>IFERROR(MATCH(J1337,'Final List'!$J$4:$J$252,0),0)</f>
        <v>0</v>
      </c>
      <c r="P1337" s="169">
        <f>IFERROR(MATCH(J1337,'Final List'!$L$4:$L$252,0),0)</f>
        <v>0</v>
      </c>
      <c r="Q1337" s="169">
        <f>IFERROR(MATCH(J1337,'Final List'!$N$4:$N$252,0),0)</f>
        <v>0</v>
      </c>
      <c r="R1337" s="169">
        <f>IFERROR(MATCH(J1337,'Final List'!$P$4:$P$252,0),0)</f>
        <v>0</v>
      </c>
      <c r="S1337" s="169">
        <f t="shared" si="83"/>
        <v>0</v>
      </c>
      <c r="V1337" s="169" t="str">
        <f t="shared" si="81"/>
        <v>OLIVEROS 4</v>
      </c>
      <c r="W1337" s="169" t="s">
        <v>8898</v>
      </c>
    </row>
    <row r="1338" spans="2:23" x14ac:dyDescent="0.25">
      <c r="B1338" s="169" t="s">
        <v>92</v>
      </c>
      <c r="C1338" s="169" t="s">
        <v>41</v>
      </c>
      <c r="D1338" s="169" t="s">
        <v>128</v>
      </c>
      <c r="E1338" s="169" t="s">
        <v>221</v>
      </c>
      <c r="F1338" s="245" t="str">
        <f t="shared" si="82"/>
        <v>RobC 80</v>
      </c>
      <c r="G1338" s="169" t="s">
        <v>5698</v>
      </c>
      <c r="I1338" s="169" t="str">
        <f t="shared" si="84"/>
        <v>L05_CTV_027E_WINZE STOPE</v>
      </c>
      <c r="J1338" s="169" t="s">
        <v>8267</v>
      </c>
      <c r="K1338" s="169">
        <f>IFERROR(MATCH(J1338,'Final List'!$B$4:$B$252,0),0)</f>
        <v>0</v>
      </c>
      <c r="L1338" s="169">
        <f>IFERROR(MATCH(J1338,'Final List'!$D$4:$D$252,0),0)</f>
        <v>0</v>
      </c>
      <c r="M1338" s="169">
        <f>IFERROR(MATCH(J1338,'Final List'!$F$4:$F$251,0),0)</f>
        <v>0</v>
      </c>
      <c r="N1338" s="169">
        <f>IFERROR(MATCH(J1338,'Final List'!$H$4:$H$252,0),0)</f>
        <v>0</v>
      </c>
      <c r="O1338" s="169">
        <f>IFERROR(MATCH(J1338,'Final List'!$J$4:$J$252,0),0)</f>
        <v>0</v>
      </c>
      <c r="P1338" s="169">
        <f>IFERROR(MATCH(J1338,'Final List'!$L$4:$L$252,0),0)</f>
        <v>0</v>
      </c>
      <c r="Q1338" s="169">
        <f>IFERROR(MATCH(J1338,'Final List'!$N$4:$N$252,0),0)</f>
        <v>0</v>
      </c>
      <c r="R1338" s="169">
        <f>IFERROR(MATCH(J1338,'Final List'!$P$4:$P$252,0),0)</f>
        <v>0</v>
      </c>
      <c r="S1338" s="169">
        <f t="shared" si="83"/>
        <v>0</v>
      </c>
      <c r="T1338" s="169" t="s">
        <v>68</v>
      </c>
      <c r="V1338" s="169" t="str">
        <f t="shared" si="81"/>
        <v>PARAN 1</v>
      </c>
      <c r="W1338" s="169" t="s">
        <v>2705</v>
      </c>
    </row>
    <row r="1339" spans="2:23" x14ac:dyDescent="0.25">
      <c r="B1339" s="169" t="s">
        <v>1166</v>
      </c>
      <c r="C1339" s="169" t="s">
        <v>59</v>
      </c>
      <c r="D1339" s="169" t="s">
        <v>167</v>
      </c>
      <c r="E1339" s="169" t="s">
        <v>19</v>
      </c>
      <c r="F1339" s="245" t="str">
        <f t="shared" si="82"/>
        <v>DVR 72</v>
      </c>
      <c r="G1339" s="169" t="s">
        <v>340</v>
      </c>
      <c r="H1339" s="169" t="s">
        <v>526</v>
      </c>
      <c r="I1339" s="169" t="str">
        <f t="shared" si="84"/>
        <v>L11_GHVHW_058E_RAISE</v>
      </c>
      <c r="J1339" s="169" t="s">
        <v>8334</v>
      </c>
      <c r="K1339" s="169">
        <f>IFERROR(MATCH(J1339,'Final List'!$B$4:$B$252,0),0)</f>
        <v>0</v>
      </c>
      <c r="L1339" s="169">
        <f>IFERROR(MATCH(J1339,'Final List'!$D$4:$D$252,0),0)</f>
        <v>0</v>
      </c>
      <c r="M1339" s="169">
        <f>IFERROR(MATCH(J1339,'Final List'!$F$4:$F$251,0),0)</f>
        <v>0</v>
      </c>
      <c r="N1339" s="169">
        <f>IFERROR(MATCH(J1339,'Final List'!$H$4:$H$252,0),0)</f>
        <v>0</v>
      </c>
      <c r="O1339" s="169">
        <f>IFERROR(MATCH(J1339,'Final List'!$J$4:$J$252,0),0)</f>
        <v>0</v>
      </c>
      <c r="P1339" s="169">
        <f>IFERROR(MATCH(J1339,'Final List'!$L$4:$L$252,0),0)</f>
        <v>0</v>
      </c>
      <c r="Q1339" s="169">
        <f>IFERROR(MATCH(J1339,'Final List'!$N$4:$N$252,0),0)</f>
        <v>0</v>
      </c>
      <c r="R1339" s="169">
        <f>IFERROR(MATCH(J1339,'Final List'!$P$4:$P$252,0),0)</f>
        <v>0</v>
      </c>
      <c r="S1339" s="169">
        <f t="shared" si="83"/>
        <v>0</v>
      </c>
      <c r="V1339" s="169" t="str">
        <f t="shared" si="81"/>
        <v>CARIKITAN 2</v>
      </c>
      <c r="W1339" s="169" t="s">
        <v>2715</v>
      </c>
    </row>
    <row r="1340" spans="2:23" x14ac:dyDescent="0.25">
      <c r="B1340" s="169" t="s">
        <v>91</v>
      </c>
      <c r="C1340" s="169" t="s">
        <v>59</v>
      </c>
      <c r="D1340" s="169" t="s">
        <v>8141</v>
      </c>
      <c r="E1340" s="169" t="s">
        <v>62</v>
      </c>
      <c r="F1340" s="245" t="str">
        <f t="shared" si="82"/>
        <v>RobS 79</v>
      </c>
      <c r="G1340" s="169" t="s">
        <v>298</v>
      </c>
      <c r="H1340" s="169" t="s">
        <v>8112</v>
      </c>
      <c r="I1340" s="169" t="str">
        <f t="shared" si="84"/>
        <v>L04_GHVHW_052W_ROBBING</v>
      </c>
      <c r="J1340" s="169" t="s">
        <v>8336</v>
      </c>
      <c r="K1340" s="169">
        <f>IFERROR(MATCH(J1340,'Final List'!$B$4:$B$252,0),0)</f>
        <v>0</v>
      </c>
      <c r="L1340" s="169">
        <f>IFERROR(MATCH(J1340,'Final List'!$D$4:$D$252,0),0)</f>
        <v>0</v>
      </c>
      <c r="M1340" s="169">
        <f>IFERROR(MATCH(J1340,'Final List'!$F$4:$F$251,0),0)</f>
        <v>0</v>
      </c>
      <c r="N1340" s="169">
        <f>IFERROR(MATCH(J1340,'Final List'!$H$4:$H$252,0),0)</f>
        <v>0</v>
      </c>
      <c r="O1340" s="169">
        <f>IFERROR(MATCH(J1340,'Final List'!$J$4:$J$252,0),0)</f>
        <v>0</v>
      </c>
      <c r="P1340" s="169">
        <f>IFERROR(MATCH(J1340,'Final List'!$L$4:$L$252,0),0)</f>
        <v>0</v>
      </c>
      <c r="Q1340" s="169">
        <f>IFERROR(MATCH(J1340,'Final List'!$N$4:$N$252,0),0)</f>
        <v>0</v>
      </c>
      <c r="R1340" s="169">
        <f>IFERROR(MATCH(J1340,'Final List'!$P$4:$P$252,0),0)</f>
        <v>0</v>
      </c>
      <c r="S1340" s="169">
        <f t="shared" si="83"/>
        <v>0</v>
      </c>
      <c r="T1340" s="169" t="s">
        <v>68</v>
      </c>
      <c r="V1340" s="169" t="str">
        <f t="shared" si="81"/>
        <v>SHEPHERD AQ 3</v>
      </c>
      <c r="W1340" s="169" t="s">
        <v>2707</v>
      </c>
    </row>
    <row r="1341" spans="2:23" x14ac:dyDescent="0.25">
      <c r="B1341" s="169" t="s">
        <v>92</v>
      </c>
      <c r="C1341" s="169" t="s">
        <v>45</v>
      </c>
      <c r="D1341" s="169" t="s">
        <v>135</v>
      </c>
      <c r="E1341" s="169" t="s">
        <v>221</v>
      </c>
      <c r="F1341" s="245" t="str">
        <f t="shared" si="82"/>
        <v>RobC 80</v>
      </c>
      <c r="G1341" s="169" t="s">
        <v>1577</v>
      </c>
      <c r="I1341" s="169" t="str">
        <f t="shared" si="84"/>
        <v>L05_DPVE_034E_WINZE STOPE</v>
      </c>
      <c r="J1341" s="169" t="s">
        <v>8337</v>
      </c>
      <c r="K1341" s="169">
        <f>IFERROR(MATCH(J1341,'Final List'!$B$4:$B$252,0),0)</f>
        <v>0</v>
      </c>
      <c r="L1341" s="169">
        <f>IFERROR(MATCH(J1341,'Final List'!$D$4:$D$252,0),0)</f>
        <v>0</v>
      </c>
      <c r="M1341" s="169">
        <f>IFERROR(MATCH(J1341,'Final List'!$F$4:$F$251,0),0)</f>
        <v>0</v>
      </c>
      <c r="N1341" s="169">
        <f>IFERROR(MATCH(J1341,'Final List'!$H$4:$H$252,0),0)</f>
        <v>0</v>
      </c>
      <c r="O1341" s="169">
        <f>IFERROR(MATCH(J1341,'Final List'!$J$4:$J$252,0),0)</f>
        <v>0</v>
      </c>
      <c r="P1341" s="169">
        <f>IFERROR(MATCH(J1341,'Final List'!$L$4:$L$252,0),0)</f>
        <v>0</v>
      </c>
      <c r="Q1341" s="169">
        <f>IFERROR(MATCH(J1341,'Final List'!$N$4:$N$252,0),0)</f>
        <v>0</v>
      </c>
      <c r="R1341" s="169">
        <f>IFERROR(MATCH(J1341,'Final List'!$P$4:$P$252,0),0)</f>
        <v>0</v>
      </c>
      <c r="S1341" s="169">
        <f t="shared" si="83"/>
        <v>0</v>
      </c>
      <c r="T1341" s="169" t="s">
        <v>48</v>
      </c>
      <c r="V1341" s="169" t="str">
        <f t="shared" si="81"/>
        <v>PANCIT, NOEL 2</v>
      </c>
      <c r="W1341" s="169" t="s">
        <v>2719</v>
      </c>
    </row>
    <row r="1342" spans="2:23" x14ac:dyDescent="0.25">
      <c r="B1342" s="169" t="s">
        <v>92</v>
      </c>
      <c r="C1342" s="169" t="s">
        <v>42</v>
      </c>
      <c r="D1342" s="169" t="s">
        <v>5631</v>
      </c>
      <c r="E1342" s="169" t="s">
        <v>19</v>
      </c>
      <c r="F1342" s="245" t="str">
        <f t="shared" si="82"/>
        <v>DVR 72</v>
      </c>
      <c r="G1342" s="169" t="s">
        <v>8195</v>
      </c>
      <c r="I1342" s="169" t="str">
        <f t="shared" si="84"/>
        <v>L05_JV_020E_RAISE</v>
      </c>
      <c r="J1342" s="169" t="s">
        <v>8341</v>
      </c>
      <c r="K1342" s="169">
        <f>IFERROR(MATCH(J1342,'Final List'!$B$4:$B$252,0),0)</f>
        <v>0</v>
      </c>
      <c r="L1342" s="169">
        <f>IFERROR(MATCH(J1342,'Final List'!$D$4:$D$252,0),0)</f>
        <v>0</v>
      </c>
      <c r="M1342" s="169">
        <f>IFERROR(MATCH(J1342,'Final List'!$F$4:$F$251,0),0)</f>
        <v>0</v>
      </c>
      <c r="N1342" s="169">
        <f>IFERROR(MATCH(J1342,'Final List'!$H$4:$H$252,0),0)</f>
        <v>0</v>
      </c>
      <c r="O1342" s="169">
        <f>IFERROR(MATCH(J1342,'Final List'!$J$4:$J$252,0),0)</f>
        <v>0</v>
      </c>
      <c r="P1342" s="169">
        <f>IFERROR(MATCH(J1342,'Final List'!$L$4:$L$252,0),0)</f>
        <v>0</v>
      </c>
      <c r="Q1342" s="169">
        <f>IFERROR(MATCH(J1342,'Final List'!$N$4:$N$252,0),0)</f>
        <v>0</v>
      </c>
      <c r="R1342" s="169">
        <f>IFERROR(MATCH(J1342,'Final List'!$P$4:$P$252,0),0)</f>
        <v>0</v>
      </c>
      <c r="S1342" s="169">
        <f t="shared" si="83"/>
        <v>0</v>
      </c>
      <c r="V1342" s="169" t="str">
        <f t="shared" si="81"/>
        <v>FERNANDEZ, RG 2</v>
      </c>
      <c r="W1342" s="169" t="s">
        <v>2715</v>
      </c>
    </row>
    <row r="1343" spans="2:23" x14ac:dyDescent="0.25">
      <c r="B1343" s="169" t="s">
        <v>93</v>
      </c>
      <c r="C1343" s="169" t="s">
        <v>39</v>
      </c>
      <c r="D1343" s="169" t="s">
        <v>195</v>
      </c>
      <c r="E1343" s="169" t="s">
        <v>36</v>
      </c>
      <c r="F1343" s="245" t="str">
        <f t="shared" si="82"/>
        <v>StpS 77</v>
      </c>
      <c r="G1343" s="169" t="s">
        <v>355</v>
      </c>
      <c r="I1343" s="169" t="str">
        <f t="shared" si="84"/>
        <v>L06_JVHW_008W_STOPE</v>
      </c>
      <c r="J1343" s="169" t="s">
        <v>8384</v>
      </c>
      <c r="K1343" s="169">
        <f>IFERROR(MATCH(J1343,'Final List'!$B$4:$B$252,0),0)</f>
        <v>0</v>
      </c>
      <c r="L1343" s="169">
        <f>IFERROR(MATCH(J1343,'Final List'!$D$4:$D$252,0),0)</f>
        <v>0</v>
      </c>
      <c r="M1343" s="169">
        <f>IFERROR(MATCH(J1343,'Final List'!$F$4:$F$251,0),0)</f>
        <v>0</v>
      </c>
      <c r="N1343" s="169">
        <f>IFERROR(MATCH(J1343,'Final List'!$H$4:$H$252,0),0)</f>
        <v>0</v>
      </c>
      <c r="O1343" s="169">
        <f>IFERROR(MATCH(J1343,'Final List'!$J$4:$J$252,0),0)</f>
        <v>0</v>
      </c>
      <c r="P1343" s="169">
        <f>IFERROR(MATCH(J1343,'Final List'!$L$4:$L$252,0),0)</f>
        <v>0</v>
      </c>
      <c r="Q1343" s="169">
        <f>IFERROR(MATCH(J1343,'Final List'!$N$4:$N$252,0),0)</f>
        <v>0</v>
      </c>
      <c r="R1343" s="169">
        <f>IFERROR(MATCH(J1343,'Final List'!$P$4:$P$252,0),0)</f>
        <v>0</v>
      </c>
      <c r="S1343" s="169">
        <f t="shared" si="83"/>
        <v>0</v>
      </c>
      <c r="T1343" s="169" t="s">
        <v>68</v>
      </c>
      <c r="V1343" s="169" t="str">
        <f t="shared" si="81"/>
        <v>BAÑEZ 2</v>
      </c>
      <c r="W1343" s="169" t="s">
        <v>2711</v>
      </c>
    </row>
    <row r="1344" spans="2:23" x14ac:dyDescent="0.25">
      <c r="B1344" s="169" t="s">
        <v>1166</v>
      </c>
      <c r="C1344" s="169" t="s">
        <v>38</v>
      </c>
      <c r="D1344" s="169" t="s">
        <v>5604</v>
      </c>
      <c r="E1344" s="169" t="s">
        <v>20</v>
      </c>
      <c r="F1344" s="245" t="str">
        <f t="shared" si="82"/>
        <v>DVW 74</v>
      </c>
      <c r="G1344" s="169" t="s">
        <v>447</v>
      </c>
      <c r="H1344" s="169" t="s">
        <v>401</v>
      </c>
      <c r="I1344" s="169" t="str">
        <f t="shared" si="84"/>
        <v>L11_GHV_063E_WINZE</v>
      </c>
      <c r="J1344" s="169" t="s">
        <v>8348</v>
      </c>
      <c r="K1344" s="169">
        <f>IFERROR(MATCH(J1344,'Final List'!$B$4:$B$252,0),0)</f>
        <v>0</v>
      </c>
      <c r="L1344" s="169">
        <f>IFERROR(MATCH(J1344,'Final List'!$D$4:$D$252,0),0)</f>
        <v>0</v>
      </c>
      <c r="M1344" s="169">
        <f>IFERROR(MATCH(J1344,'Final List'!$F$4:$F$251,0),0)</f>
        <v>0</v>
      </c>
      <c r="N1344" s="169">
        <f>IFERROR(MATCH(J1344,'Final List'!$H$4:$H$252,0),0)</f>
        <v>0</v>
      </c>
      <c r="O1344" s="169">
        <f>IFERROR(MATCH(J1344,'Final List'!$J$4:$J$252,0),0)</f>
        <v>0</v>
      </c>
      <c r="P1344" s="169">
        <f>IFERROR(MATCH(J1344,'Final List'!$L$4:$L$252,0),0)</f>
        <v>0</v>
      </c>
      <c r="Q1344" s="169">
        <f>IFERROR(MATCH(J1344,'Final List'!$N$4:$N$252,0),0)</f>
        <v>0</v>
      </c>
      <c r="R1344" s="169">
        <f>IFERROR(MATCH(J1344,'Final List'!$P$4:$P$252,0),0)</f>
        <v>0</v>
      </c>
      <c r="S1344" s="169">
        <f t="shared" si="83"/>
        <v>0</v>
      </c>
      <c r="V1344" s="169" t="str">
        <f t="shared" si="81"/>
        <v>MAPAYO 2</v>
      </c>
      <c r="W1344" s="169" t="s">
        <v>2706</v>
      </c>
    </row>
    <row r="1345" spans="2:23" x14ac:dyDescent="0.25">
      <c r="B1345" s="169" t="s">
        <v>92</v>
      </c>
      <c r="C1345" s="169" t="s">
        <v>39</v>
      </c>
      <c r="D1345" s="169" t="s">
        <v>113</v>
      </c>
      <c r="E1345" s="169" t="s">
        <v>19</v>
      </c>
      <c r="F1345" s="245" t="str">
        <f t="shared" si="82"/>
        <v>DVR 72</v>
      </c>
      <c r="G1345" s="169" t="s">
        <v>1808</v>
      </c>
      <c r="I1345" s="169" t="str">
        <f t="shared" si="84"/>
        <v>L05_JVHW_001W_RAISE</v>
      </c>
      <c r="J1345" s="169" t="s">
        <v>8352</v>
      </c>
      <c r="K1345" s="169">
        <f>IFERROR(MATCH(J1345,'Final List'!$B$4:$B$252,0),0)</f>
        <v>0</v>
      </c>
      <c r="L1345" s="169">
        <f>IFERROR(MATCH(J1345,'Final List'!$D$4:$D$252,0),0)</f>
        <v>0</v>
      </c>
      <c r="M1345" s="169">
        <f>IFERROR(MATCH(J1345,'Final List'!$F$4:$F$251,0),0)</f>
        <v>0</v>
      </c>
      <c r="N1345" s="169">
        <f>IFERROR(MATCH(J1345,'Final List'!$H$4:$H$252,0),0)</f>
        <v>0</v>
      </c>
      <c r="O1345" s="169">
        <f>IFERROR(MATCH(J1345,'Final List'!$J$4:$J$252,0),0)</f>
        <v>0</v>
      </c>
      <c r="P1345" s="169">
        <f>IFERROR(MATCH(J1345,'Final List'!$L$4:$L$252,0),0)</f>
        <v>0</v>
      </c>
      <c r="Q1345" s="169">
        <f>IFERROR(MATCH(J1345,'Final List'!$N$4:$N$252,0),0)</f>
        <v>0</v>
      </c>
      <c r="R1345" s="169">
        <f>IFERROR(MATCH(J1345,'Final List'!$P$4:$P$252,0),0)</f>
        <v>0</v>
      </c>
      <c r="S1345" s="169">
        <f t="shared" si="83"/>
        <v>0</v>
      </c>
      <c r="V1345" s="169" t="str">
        <f t="shared" si="81"/>
        <v>PANCIT NOEL 4</v>
      </c>
      <c r="W1345" s="169" t="s">
        <v>2715</v>
      </c>
    </row>
    <row r="1346" spans="2:23" x14ac:dyDescent="0.25">
      <c r="B1346" s="169" t="s">
        <v>92</v>
      </c>
      <c r="C1346" s="169" t="s">
        <v>39</v>
      </c>
      <c r="D1346" s="169" t="s">
        <v>7223</v>
      </c>
      <c r="E1346" s="169" t="s">
        <v>19</v>
      </c>
      <c r="F1346" s="245" t="str">
        <f t="shared" si="82"/>
        <v>DVR 72</v>
      </c>
      <c r="G1346" s="169" t="s">
        <v>450</v>
      </c>
      <c r="I1346" s="169" t="str">
        <f t="shared" si="84"/>
        <v>L05_JVHW_002E_RAISE</v>
      </c>
      <c r="J1346" s="169" t="s">
        <v>8376</v>
      </c>
      <c r="K1346" s="169">
        <f>IFERROR(MATCH(J1346,'Final List'!$B$4:$B$252,0),0)</f>
        <v>0</v>
      </c>
      <c r="L1346" s="169">
        <f>IFERROR(MATCH(J1346,'Final List'!$D$4:$D$252,0),0)</f>
        <v>0</v>
      </c>
      <c r="M1346" s="169">
        <f>IFERROR(MATCH(J1346,'Final List'!$F$4:$F$251,0),0)</f>
        <v>0</v>
      </c>
      <c r="N1346" s="169">
        <f>IFERROR(MATCH(J1346,'Final List'!$H$4:$H$252,0),0)</f>
        <v>0</v>
      </c>
      <c r="O1346" s="169">
        <f>IFERROR(MATCH(J1346,'Final List'!$J$4:$J$252,0),0)</f>
        <v>0</v>
      </c>
      <c r="P1346" s="169">
        <f>IFERROR(MATCH(J1346,'Final List'!$L$4:$L$252,0),0)</f>
        <v>0</v>
      </c>
      <c r="Q1346" s="169">
        <f>IFERROR(MATCH(J1346,'Final List'!$N$4:$N$252,0),0)</f>
        <v>0</v>
      </c>
      <c r="R1346" s="169">
        <f>IFERROR(MATCH(J1346,'Final List'!$P$4:$P$252,0),0)</f>
        <v>0</v>
      </c>
      <c r="S1346" s="169">
        <f t="shared" si="83"/>
        <v>0</v>
      </c>
      <c r="V1346" s="169" t="str">
        <f t="shared" ref="V1346:V1409" si="85">IF(H1346="",G1346,H1346)</f>
        <v>BAYOBAY 1</v>
      </c>
      <c r="W1346" s="169" t="s">
        <v>2715</v>
      </c>
    </row>
    <row r="1347" spans="2:23" x14ac:dyDescent="0.25">
      <c r="B1347" s="169" t="s">
        <v>91</v>
      </c>
      <c r="C1347" s="169" t="s">
        <v>42</v>
      </c>
      <c r="D1347" s="169" t="s">
        <v>5888</v>
      </c>
      <c r="E1347" s="169" t="s">
        <v>62</v>
      </c>
      <c r="F1347" s="245" t="str">
        <f t="shared" ref="F1347:F1410" si="86">IF(OR(E1347="XCN",E1347="DE",E1347="DW",E1347="DN",E1347="XCS",E1347="XCE",E1347="XCW",E1347="SUMP",E1347="BYPASS",E1347="CHAMBER",E1347="DRAIN HOLE",E1347="DRILLING CHAMBER",E1347="DE_ISL",E1347="DW_ISL",E1347="REHAB"),"Dhoz 71",IF(OR(E1347="RAISE",E1347="RAISE_ISL"),"DVR 72",IF(E1347="ALIMAK","DVA 73",IF(E1347="WINZE","DVW 74",IF(E1347="SHAFT","DVS 75",IF(AND(E1347="WINZE STOPE",T1347="S"),"RobC 80",IF(AND(E1347="STOPE",T1347="S"),"StpS 77",IF(AND(E1347="WINZE STOPE",T1347="L"),"RobC 80",IF(AND(E1347="STOPE",T1347="L"),"StpL 78",IF(AND(E1347="WINZE STOPE PREP",T1347="S"),"RobC 80",IF(AND(E1347="STOPE PREP",T1347="S"),"StpS 77",IF(AND(E1347="WINZE STOPE PREP",T1347="L"),"RobC 80",IF(AND(E1347="STOPE PREP",T1347="L"),"StpL 78",IF(AND(E1347="ROBBING",T1347="L"),"RobC 80",IF(AND(E1347="ROBBING",T1347="S"),"RobS 79",0)))))))))))))))</f>
        <v>RobS 79</v>
      </c>
      <c r="G1347" s="169" t="s">
        <v>5683</v>
      </c>
      <c r="H1347" s="169" t="s">
        <v>3159</v>
      </c>
      <c r="I1347" s="169" t="str">
        <f t="shared" si="84"/>
        <v>L04_JV_024W_ROBBING</v>
      </c>
      <c r="J1347" s="169" t="s">
        <v>8355</v>
      </c>
      <c r="K1347" s="169">
        <f>IFERROR(MATCH(J1347,'Final List'!$B$4:$B$252,0),0)</f>
        <v>0</v>
      </c>
      <c r="L1347" s="169">
        <f>IFERROR(MATCH(J1347,'Final List'!$D$4:$D$252,0),0)</f>
        <v>0</v>
      </c>
      <c r="M1347" s="169">
        <f>IFERROR(MATCH(J1347,'Final List'!$F$4:$F$251,0),0)</f>
        <v>0</v>
      </c>
      <c r="N1347" s="169">
        <f>IFERROR(MATCH(J1347,'Final List'!$H$4:$H$252,0),0)</f>
        <v>0</v>
      </c>
      <c r="O1347" s="169">
        <f>IFERROR(MATCH(J1347,'Final List'!$J$4:$J$252,0),0)</f>
        <v>0</v>
      </c>
      <c r="P1347" s="169">
        <f>IFERROR(MATCH(J1347,'Final List'!$L$4:$L$252,0),0)</f>
        <v>0</v>
      </c>
      <c r="Q1347" s="169">
        <f>IFERROR(MATCH(J1347,'Final List'!$N$4:$N$252,0),0)</f>
        <v>0</v>
      </c>
      <c r="R1347" s="169">
        <f>IFERROR(MATCH(J1347,'Final List'!$P$4:$P$252,0),0)</f>
        <v>0</v>
      </c>
      <c r="S1347" s="169">
        <f t="shared" ref="S1347:S1410" si="87">SUM(K1347:R1347)</f>
        <v>0</v>
      </c>
      <c r="T1347" s="169" t="s">
        <v>68</v>
      </c>
      <c r="V1347" s="169" t="str">
        <f t="shared" si="85"/>
        <v>MARTINEZ DN 4</v>
      </c>
      <c r="W1347" s="169" t="s">
        <v>2707</v>
      </c>
    </row>
    <row r="1348" spans="2:23" x14ac:dyDescent="0.25">
      <c r="B1348" s="169" t="s">
        <v>95</v>
      </c>
      <c r="C1348" s="169" t="s">
        <v>43</v>
      </c>
      <c r="D1348" s="169" t="s">
        <v>133</v>
      </c>
      <c r="E1348" s="169" t="s">
        <v>221</v>
      </c>
      <c r="F1348" s="245" t="str">
        <f t="shared" si="86"/>
        <v>RobC 80</v>
      </c>
      <c r="G1348" s="169" t="s">
        <v>583</v>
      </c>
      <c r="I1348" s="169" t="str">
        <f t="shared" si="84"/>
        <v>L08_GHVSPLIT_037E_WINZE STOPE</v>
      </c>
      <c r="J1348" s="169" t="s">
        <v>8358</v>
      </c>
      <c r="K1348" s="169">
        <f>IFERROR(MATCH(J1348,'Final List'!$B$4:$B$252,0),0)</f>
        <v>0</v>
      </c>
      <c r="L1348" s="169">
        <f>IFERROR(MATCH(J1348,'Final List'!$D$4:$D$252,0),0)</f>
        <v>0</v>
      </c>
      <c r="M1348" s="169">
        <f>IFERROR(MATCH(J1348,'Final List'!$F$4:$F$251,0),0)</f>
        <v>0</v>
      </c>
      <c r="N1348" s="169">
        <f>IFERROR(MATCH(J1348,'Final List'!$H$4:$H$252,0),0)</f>
        <v>0</v>
      </c>
      <c r="O1348" s="169">
        <f>IFERROR(MATCH(J1348,'Final List'!$J$4:$J$252,0),0)</f>
        <v>0</v>
      </c>
      <c r="P1348" s="169">
        <f>IFERROR(MATCH(J1348,'Final List'!$L$4:$L$252,0),0)</f>
        <v>0</v>
      </c>
      <c r="Q1348" s="169">
        <f>IFERROR(MATCH(J1348,'Final List'!$N$4:$N$252,0),0)</f>
        <v>0</v>
      </c>
      <c r="R1348" s="169">
        <f>IFERROR(MATCH(J1348,'Final List'!$P$4:$P$252,0),0)</f>
        <v>0</v>
      </c>
      <c r="S1348" s="169">
        <f t="shared" si="87"/>
        <v>0</v>
      </c>
      <c r="T1348" s="169" t="s">
        <v>68</v>
      </c>
      <c r="V1348" s="169" t="str">
        <f t="shared" si="85"/>
        <v>VILLARANTE 1</v>
      </c>
      <c r="W1348" s="169" t="s">
        <v>2719</v>
      </c>
    </row>
    <row r="1349" spans="2:23" x14ac:dyDescent="0.25">
      <c r="B1349" s="169" t="s">
        <v>94</v>
      </c>
      <c r="C1349" s="169" t="s">
        <v>45</v>
      </c>
      <c r="D1349" s="169" t="s">
        <v>5742</v>
      </c>
      <c r="E1349" s="169" t="s">
        <v>19</v>
      </c>
      <c r="F1349" s="245" t="str">
        <f t="shared" si="86"/>
        <v>DVR 72</v>
      </c>
      <c r="G1349" s="169" t="s">
        <v>2970</v>
      </c>
      <c r="I1349" s="169" t="str">
        <f t="shared" si="84"/>
        <v>L07_DPVE_040E_RAISE</v>
      </c>
      <c r="J1349" s="169" t="s">
        <v>8359</v>
      </c>
      <c r="K1349" s="169">
        <f>IFERROR(MATCH(J1349,'Final List'!$B$4:$B$252,0),0)</f>
        <v>0</v>
      </c>
      <c r="L1349" s="169">
        <f>IFERROR(MATCH(J1349,'Final List'!$D$4:$D$252,0),0)</f>
        <v>0</v>
      </c>
      <c r="M1349" s="169">
        <f>IFERROR(MATCH(J1349,'Final List'!$F$4:$F$251,0),0)</f>
        <v>0</v>
      </c>
      <c r="N1349" s="169">
        <f>IFERROR(MATCH(J1349,'Final List'!$H$4:$H$252,0),0)</f>
        <v>0</v>
      </c>
      <c r="O1349" s="169">
        <f>IFERROR(MATCH(J1349,'Final List'!$J$4:$J$252,0),0)</f>
        <v>0</v>
      </c>
      <c r="P1349" s="169">
        <f>IFERROR(MATCH(J1349,'Final List'!$L$4:$L$252,0),0)</f>
        <v>0</v>
      </c>
      <c r="Q1349" s="169">
        <f>IFERROR(MATCH(J1349,'Final List'!$N$4:$N$252,0),0)</f>
        <v>0</v>
      </c>
      <c r="R1349" s="169">
        <f>IFERROR(MATCH(J1349,'Final List'!$P$4:$P$252,0),0)</f>
        <v>0</v>
      </c>
      <c r="S1349" s="169">
        <f t="shared" si="87"/>
        <v>0</v>
      </c>
      <c r="V1349" s="169" t="str">
        <f t="shared" si="85"/>
        <v>FABROA 2</v>
      </c>
      <c r="W1349" s="169" t="s">
        <v>2715</v>
      </c>
    </row>
    <row r="1350" spans="2:23" x14ac:dyDescent="0.25">
      <c r="B1350" s="169" t="s">
        <v>94</v>
      </c>
      <c r="C1350" s="169" t="s">
        <v>45</v>
      </c>
      <c r="D1350" s="169" t="s">
        <v>160</v>
      </c>
      <c r="E1350" s="169" t="s">
        <v>441</v>
      </c>
      <c r="F1350" s="245" t="str">
        <f t="shared" si="86"/>
        <v>RobC 80</v>
      </c>
      <c r="G1350" s="169" t="s">
        <v>358</v>
      </c>
      <c r="I1350" s="169" t="str">
        <f t="shared" si="84"/>
        <v>L07_DPVE_042E_WINZE STOPE PREP</v>
      </c>
      <c r="J1350" s="169" t="s">
        <v>8360</v>
      </c>
      <c r="K1350" s="169">
        <f>IFERROR(MATCH(J1350,'Final List'!$B$4:$B$252,0),0)</f>
        <v>0</v>
      </c>
      <c r="L1350" s="169">
        <f>IFERROR(MATCH(J1350,'Final List'!$D$4:$D$252,0),0)</f>
        <v>0</v>
      </c>
      <c r="M1350" s="169">
        <f>IFERROR(MATCH(J1350,'Final List'!$F$4:$F$251,0),0)</f>
        <v>0</v>
      </c>
      <c r="N1350" s="169">
        <f>IFERROR(MATCH(J1350,'Final List'!$H$4:$H$252,0),0)</f>
        <v>0</v>
      </c>
      <c r="O1350" s="169">
        <f>IFERROR(MATCH(J1350,'Final List'!$J$4:$J$252,0),0)</f>
        <v>0</v>
      </c>
      <c r="P1350" s="169">
        <f>IFERROR(MATCH(J1350,'Final List'!$L$4:$L$252,0),0)</f>
        <v>0</v>
      </c>
      <c r="Q1350" s="169">
        <f>IFERROR(MATCH(J1350,'Final List'!$N$4:$N$252,0),0)</f>
        <v>0</v>
      </c>
      <c r="R1350" s="169">
        <f>IFERROR(MATCH(J1350,'Final List'!$P$4:$P$252,0),0)</f>
        <v>0</v>
      </c>
      <c r="S1350" s="169">
        <f t="shared" si="87"/>
        <v>0</v>
      </c>
      <c r="T1350" s="169" t="s">
        <v>68</v>
      </c>
      <c r="V1350" s="169" t="str">
        <f t="shared" si="85"/>
        <v>ALEÑAR 1</v>
      </c>
      <c r="W1350" s="169" t="s">
        <v>2716</v>
      </c>
    </row>
    <row r="1351" spans="2:23" x14ac:dyDescent="0.25">
      <c r="B1351" s="169" t="s">
        <v>93</v>
      </c>
      <c r="C1351" s="169" t="s">
        <v>57</v>
      </c>
      <c r="D1351" s="169" t="s">
        <v>111</v>
      </c>
      <c r="E1351" s="169" t="s">
        <v>61</v>
      </c>
      <c r="F1351" s="245" t="str">
        <f t="shared" si="86"/>
        <v>Dhoz 71</v>
      </c>
      <c r="G1351" s="169" t="s">
        <v>2459</v>
      </c>
      <c r="I1351" s="169" t="str">
        <f t="shared" si="84"/>
        <v>L06_JVSPLIT_004W_DW</v>
      </c>
      <c r="J1351" s="169" t="s">
        <v>8362</v>
      </c>
      <c r="K1351" s="169">
        <f>IFERROR(MATCH(J1351,'Final List'!$B$4:$B$252,0),0)</f>
        <v>0</v>
      </c>
      <c r="L1351" s="169">
        <f>IFERROR(MATCH(J1351,'Final List'!$D$4:$D$252,0),0)</f>
        <v>0</v>
      </c>
      <c r="M1351" s="169">
        <f>IFERROR(MATCH(J1351,'Final List'!$F$4:$F$251,0),0)</f>
        <v>0</v>
      </c>
      <c r="N1351" s="169">
        <f>IFERROR(MATCH(J1351,'Final List'!$H$4:$H$252,0),0)</f>
        <v>0</v>
      </c>
      <c r="O1351" s="169">
        <f>IFERROR(MATCH(J1351,'Final List'!$J$4:$J$252,0),0)</f>
        <v>0</v>
      </c>
      <c r="P1351" s="169">
        <f>IFERROR(MATCH(J1351,'Final List'!$L$4:$L$252,0),0)</f>
        <v>0</v>
      </c>
      <c r="Q1351" s="169">
        <f>IFERROR(MATCH(J1351,'Final List'!$N$4:$N$252,0),0)</f>
        <v>0</v>
      </c>
      <c r="R1351" s="169">
        <f>IFERROR(MATCH(J1351,'Final List'!$P$4:$P$252,0),0)</f>
        <v>0</v>
      </c>
      <c r="S1351" s="169">
        <f t="shared" si="87"/>
        <v>0</v>
      </c>
      <c r="V1351" s="169" t="str">
        <f t="shared" si="85"/>
        <v>REBOTE 3</v>
      </c>
      <c r="W1351" s="169" t="s">
        <v>8895</v>
      </c>
    </row>
    <row r="1352" spans="2:23" x14ac:dyDescent="0.25">
      <c r="B1352" s="169" t="s">
        <v>1166</v>
      </c>
      <c r="C1352" s="169" t="s">
        <v>59</v>
      </c>
      <c r="D1352" s="169" t="s">
        <v>284</v>
      </c>
      <c r="E1352" s="169" t="s">
        <v>60</v>
      </c>
      <c r="F1352" s="245" t="str">
        <f t="shared" si="86"/>
        <v>Dhoz 71</v>
      </c>
      <c r="G1352" s="169" t="s">
        <v>5980</v>
      </c>
      <c r="I1352" s="169" t="str">
        <f t="shared" si="84"/>
        <v>L11_GHVHW_061E_DE</v>
      </c>
      <c r="J1352" s="169" t="s">
        <v>8364</v>
      </c>
      <c r="K1352" s="169">
        <f>IFERROR(MATCH(J1352,'Final List'!$B$4:$B$252,0),0)</f>
        <v>0</v>
      </c>
      <c r="L1352" s="169">
        <f>IFERROR(MATCH(J1352,'Final List'!$D$4:$D$252,0),0)</f>
        <v>0</v>
      </c>
      <c r="M1352" s="169">
        <f>IFERROR(MATCH(J1352,'Final List'!$F$4:$F$251,0),0)</f>
        <v>0</v>
      </c>
      <c r="N1352" s="169">
        <f>IFERROR(MATCH(J1352,'Final List'!$H$4:$H$252,0),0)</f>
        <v>0</v>
      </c>
      <c r="O1352" s="169">
        <f>IFERROR(MATCH(J1352,'Final List'!$J$4:$J$252,0),0)</f>
        <v>0</v>
      </c>
      <c r="P1352" s="169">
        <f>IFERROR(MATCH(J1352,'Final List'!$L$4:$L$252,0),0)</f>
        <v>0</v>
      </c>
      <c r="Q1352" s="169">
        <f>IFERROR(MATCH(J1352,'Final List'!$N$4:$N$252,0),0)</f>
        <v>0</v>
      </c>
      <c r="R1352" s="169">
        <f>IFERROR(MATCH(J1352,'Final List'!$P$4:$P$252,0),0)</f>
        <v>0</v>
      </c>
      <c r="S1352" s="169">
        <f t="shared" si="87"/>
        <v>0</v>
      </c>
      <c r="V1352" s="169" t="str">
        <f t="shared" si="85"/>
        <v xml:space="preserve">CARIKITAN 2 </v>
      </c>
      <c r="W1352" s="169" t="s">
        <v>8896</v>
      </c>
    </row>
    <row r="1353" spans="2:23" x14ac:dyDescent="0.25">
      <c r="B1353" s="169" t="s">
        <v>96</v>
      </c>
      <c r="C1353" s="169" t="s">
        <v>59</v>
      </c>
      <c r="D1353" s="169" t="s">
        <v>113</v>
      </c>
      <c r="E1353" s="169" t="s">
        <v>211</v>
      </c>
      <c r="F1353" s="245" t="str">
        <f t="shared" si="86"/>
        <v>StpS 77</v>
      </c>
      <c r="G1353" s="169" t="s">
        <v>394</v>
      </c>
      <c r="I1353" s="169" t="str">
        <f t="shared" si="84"/>
        <v>L09_GHVHW_001W_STOPE PREP</v>
      </c>
      <c r="J1353" s="169" t="s">
        <v>8365</v>
      </c>
      <c r="K1353" s="169">
        <f>IFERROR(MATCH(J1353,'Final List'!$B$4:$B$252,0),0)</f>
        <v>0</v>
      </c>
      <c r="L1353" s="169">
        <f>IFERROR(MATCH(J1353,'Final List'!$D$4:$D$252,0),0)</f>
        <v>0</v>
      </c>
      <c r="M1353" s="169">
        <f>IFERROR(MATCH(J1353,'Final List'!$F$4:$F$251,0),0)</f>
        <v>0</v>
      </c>
      <c r="N1353" s="169">
        <f>IFERROR(MATCH(J1353,'Final List'!$H$4:$H$252,0),0)</f>
        <v>0</v>
      </c>
      <c r="O1353" s="169">
        <f>IFERROR(MATCH(J1353,'Final List'!$J$4:$J$252,0),0)</f>
        <v>0</v>
      </c>
      <c r="P1353" s="169">
        <f>IFERROR(MATCH(J1353,'Final List'!$L$4:$L$252,0),0)</f>
        <v>0</v>
      </c>
      <c r="Q1353" s="169">
        <f>IFERROR(MATCH(J1353,'Final List'!$N$4:$N$252,0),0)</f>
        <v>0</v>
      </c>
      <c r="R1353" s="169">
        <f>IFERROR(MATCH(J1353,'Final List'!$P$4:$P$252,0),0)</f>
        <v>0</v>
      </c>
      <c r="S1353" s="169">
        <f t="shared" si="87"/>
        <v>0</v>
      </c>
      <c r="T1353" s="169" t="s">
        <v>68</v>
      </c>
      <c r="V1353" s="169" t="str">
        <f t="shared" si="85"/>
        <v>ANDILAB 1</v>
      </c>
      <c r="W1353" s="169" t="s">
        <v>2712</v>
      </c>
    </row>
    <row r="1354" spans="2:23" x14ac:dyDescent="0.25">
      <c r="B1354" s="169" t="s">
        <v>92</v>
      </c>
      <c r="C1354" s="169" t="s">
        <v>57</v>
      </c>
      <c r="D1354" s="169" t="s">
        <v>6983</v>
      </c>
      <c r="E1354" s="169" t="s">
        <v>19</v>
      </c>
      <c r="F1354" s="245" t="str">
        <f t="shared" si="86"/>
        <v>DVR 72</v>
      </c>
      <c r="G1354" s="169" t="s">
        <v>3955</v>
      </c>
      <c r="I1354" s="169" t="str">
        <f t="shared" si="84"/>
        <v>L05_JVSPLIT_001E_RAISE</v>
      </c>
      <c r="J1354" s="169" t="s">
        <v>8367</v>
      </c>
      <c r="K1354" s="169">
        <f>IFERROR(MATCH(J1354,'Final List'!$B$4:$B$252,0),0)</f>
        <v>0</v>
      </c>
      <c r="L1354" s="169">
        <f>IFERROR(MATCH(J1354,'Final List'!$D$4:$D$252,0),0)</f>
        <v>0</v>
      </c>
      <c r="M1354" s="169">
        <f>IFERROR(MATCH(J1354,'Final List'!$F$4:$F$251,0),0)</f>
        <v>0</v>
      </c>
      <c r="N1354" s="169">
        <f>IFERROR(MATCH(J1354,'Final List'!$H$4:$H$252,0),0)</f>
        <v>0</v>
      </c>
      <c r="O1354" s="169">
        <f>IFERROR(MATCH(J1354,'Final List'!$J$4:$J$252,0),0)</f>
        <v>0</v>
      </c>
      <c r="P1354" s="169">
        <f>IFERROR(MATCH(J1354,'Final List'!$L$4:$L$252,0),0)</f>
        <v>0</v>
      </c>
      <c r="Q1354" s="169">
        <f>IFERROR(MATCH(J1354,'Final List'!$N$4:$N$252,0),0)</f>
        <v>0</v>
      </c>
      <c r="R1354" s="169">
        <f>IFERROR(MATCH(J1354,'Final List'!$P$4:$P$252,0),0)</f>
        <v>0</v>
      </c>
      <c r="S1354" s="169">
        <f t="shared" si="87"/>
        <v>0</v>
      </c>
      <c r="V1354" s="169" t="str">
        <f t="shared" si="85"/>
        <v>SAMBERE</v>
      </c>
      <c r="W1354" s="169" t="s">
        <v>2715</v>
      </c>
    </row>
    <row r="1355" spans="2:23" x14ac:dyDescent="0.25">
      <c r="B1355" s="169" t="s">
        <v>92</v>
      </c>
      <c r="C1355" s="169" t="s">
        <v>42</v>
      </c>
      <c r="D1355" s="169" t="s">
        <v>149</v>
      </c>
      <c r="E1355" s="169" t="s">
        <v>19</v>
      </c>
      <c r="F1355" s="245" t="str">
        <f t="shared" si="86"/>
        <v>DVR 72</v>
      </c>
      <c r="G1355" s="169" t="s">
        <v>8196</v>
      </c>
      <c r="I1355" s="169" t="str">
        <f t="shared" si="84"/>
        <v>L05_JV_021E_RAISE</v>
      </c>
      <c r="J1355" s="169" t="s">
        <v>3745</v>
      </c>
      <c r="K1355" s="169">
        <f>IFERROR(MATCH(J1355,'Final List'!$B$4:$B$252,0),0)</f>
        <v>0</v>
      </c>
      <c r="L1355" s="169">
        <f>IFERROR(MATCH(J1355,'Final List'!$D$4:$D$252,0),0)</f>
        <v>0</v>
      </c>
      <c r="M1355" s="169">
        <f>IFERROR(MATCH(J1355,'Final List'!$F$4:$F$251,0),0)</f>
        <v>0</v>
      </c>
      <c r="N1355" s="169">
        <f>IFERROR(MATCH(J1355,'Final List'!$H$4:$H$252,0),0)</f>
        <v>0</v>
      </c>
      <c r="O1355" s="169">
        <f>IFERROR(MATCH(J1355,'Final List'!$J$4:$J$252,0),0)</f>
        <v>0</v>
      </c>
      <c r="P1355" s="169">
        <f>IFERROR(MATCH(J1355,'Final List'!$L$4:$L$252,0),0)</f>
        <v>0</v>
      </c>
      <c r="Q1355" s="169">
        <f>IFERROR(MATCH(J1355,'Final List'!$N$4:$N$252,0),0)</f>
        <v>0</v>
      </c>
      <c r="R1355" s="169">
        <f>IFERROR(MATCH(J1355,'Final List'!$P$4:$P$252,0),0)</f>
        <v>0</v>
      </c>
      <c r="S1355" s="169">
        <f t="shared" si="87"/>
        <v>0</v>
      </c>
      <c r="V1355" s="169" t="str">
        <f t="shared" si="85"/>
        <v>FERNANDEZ, RG 3</v>
      </c>
      <c r="W1355" s="169" t="s">
        <v>2715</v>
      </c>
    </row>
    <row r="1356" spans="2:23" x14ac:dyDescent="0.25">
      <c r="B1356" s="169" t="s">
        <v>92</v>
      </c>
      <c r="C1356" s="169" t="s">
        <v>55</v>
      </c>
      <c r="D1356" s="169" t="s">
        <v>146</v>
      </c>
      <c r="E1356" s="169" t="s">
        <v>61</v>
      </c>
      <c r="F1356" s="245" t="str">
        <f t="shared" si="86"/>
        <v>Dhoz 71</v>
      </c>
      <c r="G1356" s="169" t="s">
        <v>8197</v>
      </c>
      <c r="I1356" s="169" t="str">
        <f t="shared" si="84"/>
        <v>L05_JVFW_030E_DW</v>
      </c>
      <c r="J1356" s="169" t="s">
        <v>8368</v>
      </c>
      <c r="K1356" s="169">
        <f>IFERROR(MATCH(J1356,'Final List'!$B$4:$B$252,0),0)</f>
        <v>0</v>
      </c>
      <c r="L1356" s="169">
        <f>IFERROR(MATCH(J1356,'Final List'!$D$4:$D$252,0),0)</f>
        <v>0</v>
      </c>
      <c r="M1356" s="169">
        <f>IFERROR(MATCH(J1356,'Final List'!$F$4:$F$251,0),0)</f>
        <v>0</v>
      </c>
      <c r="N1356" s="169">
        <f>IFERROR(MATCH(J1356,'Final List'!$H$4:$H$252,0),0)</f>
        <v>0</v>
      </c>
      <c r="O1356" s="169">
        <f>IFERROR(MATCH(J1356,'Final List'!$J$4:$J$252,0),0)</f>
        <v>0</v>
      </c>
      <c r="P1356" s="169">
        <f>IFERROR(MATCH(J1356,'Final List'!$L$4:$L$252,0),0)</f>
        <v>0</v>
      </c>
      <c r="Q1356" s="169">
        <f>IFERROR(MATCH(J1356,'Final List'!$N$4:$N$252,0),0)</f>
        <v>0</v>
      </c>
      <c r="R1356" s="169">
        <f>IFERROR(MATCH(J1356,'Final List'!$P$4:$P$252,0),0)</f>
        <v>0</v>
      </c>
      <c r="S1356" s="169">
        <f t="shared" si="87"/>
        <v>0</v>
      </c>
      <c r="V1356" s="169" t="str">
        <f t="shared" si="85"/>
        <v>PANCIT, NOEL  1</v>
      </c>
      <c r="W1356" s="169" t="s">
        <v>8895</v>
      </c>
    </row>
    <row r="1357" spans="2:23" x14ac:dyDescent="0.25">
      <c r="B1357" s="169" t="s">
        <v>92</v>
      </c>
      <c r="C1357" s="169" t="s">
        <v>39</v>
      </c>
      <c r="D1357" s="169" t="s">
        <v>117</v>
      </c>
      <c r="E1357" s="169" t="s">
        <v>61</v>
      </c>
      <c r="F1357" s="245" t="str">
        <f t="shared" si="86"/>
        <v>Dhoz 71</v>
      </c>
      <c r="G1357" s="169" t="s">
        <v>8370</v>
      </c>
      <c r="I1357" s="169" t="str">
        <f t="shared" si="84"/>
        <v>L05_JVHW_006W_DW</v>
      </c>
      <c r="J1357" s="169" t="s">
        <v>8369</v>
      </c>
      <c r="K1357" s="169">
        <f>IFERROR(MATCH(J1357,'Final List'!$B$4:$B$252,0),0)</f>
        <v>0</v>
      </c>
      <c r="L1357" s="169">
        <f>IFERROR(MATCH(J1357,'Final List'!$D$4:$D$252,0),0)</f>
        <v>0</v>
      </c>
      <c r="M1357" s="169">
        <f>IFERROR(MATCH(J1357,'Final List'!$F$4:$F$251,0),0)</f>
        <v>0</v>
      </c>
      <c r="N1357" s="169">
        <f>IFERROR(MATCH(J1357,'Final List'!$H$4:$H$252,0),0)</f>
        <v>0</v>
      </c>
      <c r="O1357" s="169">
        <f>IFERROR(MATCH(J1357,'Final List'!$J$4:$J$252,0),0)</f>
        <v>0</v>
      </c>
      <c r="P1357" s="169">
        <f>IFERROR(MATCH(J1357,'Final List'!$L$4:$L$252,0),0)</f>
        <v>0</v>
      </c>
      <c r="Q1357" s="169">
        <f>IFERROR(MATCH(J1357,'Final List'!$N$4:$N$252,0),0)</f>
        <v>0</v>
      </c>
      <c r="R1357" s="169">
        <f>IFERROR(MATCH(J1357,'Final List'!$P$4:$P$252,0),0)</f>
        <v>0</v>
      </c>
      <c r="S1357" s="169">
        <f t="shared" si="87"/>
        <v>0</v>
      </c>
      <c r="V1357" s="169" t="str">
        <f t="shared" si="85"/>
        <v>PANCIT, NOEL  3</v>
      </c>
      <c r="W1357" s="169" t="s">
        <v>8895</v>
      </c>
    </row>
    <row r="1358" spans="2:23" x14ac:dyDescent="0.25">
      <c r="B1358" s="169" t="s">
        <v>96</v>
      </c>
      <c r="C1358" s="169" t="s">
        <v>38</v>
      </c>
      <c r="D1358" s="169" t="s">
        <v>173</v>
      </c>
      <c r="E1358" s="169" t="s">
        <v>36</v>
      </c>
      <c r="F1358" s="245" t="str">
        <f t="shared" si="86"/>
        <v>StpS 77</v>
      </c>
      <c r="G1358" s="169" t="s">
        <v>5699</v>
      </c>
      <c r="I1358" s="169" t="str">
        <f t="shared" si="84"/>
        <v>L09_GHV_049E_STOPE</v>
      </c>
      <c r="J1358" s="169" t="s">
        <v>8372</v>
      </c>
      <c r="K1358" s="169">
        <f>IFERROR(MATCH(J1358,'Final List'!$B$4:$B$252,0),0)</f>
        <v>0</v>
      </c>
      <c r="L1358" s="169">
        <f>IFERROR(MATCH(J1358,'Final List'!$D$4:$D$252,0),0)</f>
        <v>0</v>
      </c>
      <c r="M1358" s="169">
        <f>IFERROR(MATCH(J1358,'Final List'!$F$4:$F$251,0),0)</f>
        <v>0</v>
      </c>
      <c r="N1358" s="169">
        <f>IFERROR(MATCH(J1358,'Final List'!$H$4:$H$252,0),0)</f>
        <v>0</v>
      </c>
      <c r="O1358" s="169">
        <f>IFERROR(MATCH(J1358,'Final List'!$J$4:$J$252,0),0)</f>
        <v>0</v>
      </c>
      <c r="P1358" s="169">
        <f>IFERROR(MATCH(J1358,'Final List'!$L$4:$L$252,0),0)</f>
        <v>0</v>
      </c>
      <c r="Q1358" s="169">
        <f>IFERROR(MATCH(J1358,'Final List'!$N$4:$N$252,0),0)</f>
        <v>0</v>
      </c>
      <c r="R1358" s="169">
        <f>IFERROR(MATCH(J1358,'Final List'!$P$4:$P$252,0),0)</f>
        <v>0</v>
      </c>
      <c r="S1358" s="169">
        <f t="shared" si="87"/>
        <v>0</v>
      </c>
      <c r="T1358" s="169" t="s">
        <v>68</v>
      </c>
      <c r="V1358" s="169" t="str">
        <f t="shared" si="85"/>
        <v>PARAN 2</v>
      </c>
      <c r="W1358" s="169" t="s">
        <v>2711</v>
      </c>
    </row>
    <row r="1359" spans="2:23" x14ac:dyDescent="0.25">
      <c r="B1359" s="169" t="s">
        <v>95</v>
      </c>
      <c r="C1359" s="169" t="s">
        <v>56</v>
      </c>
      <c r="D1359" s="169" t="s">
        <v>103</v>
      </c>
      <c r="E1359" s="169" t="s">
        <v>6143</v>
      </c>
      <c r="F1359" s="245" t="str">
        <f t="shared" si="86"/>
        <v>Dhoz 71</v>
      </c>
      <c r="G1359" s="169" t="s">
        <v>676</v>
      </c>
      <c r="I1359" s="169" t="str">
        <f t="shared" si="84"/>
        <v>L08_GHVFW_005E_DE_ISL</v>
      </c>
      <c r="J1359" s="169" t="s">
        <v>8380</v>
      </c>
      <c r="K1359" s="169">
        <f>IFERROR(MATCH(J1359,'Final List'!$B$4:$B$252,0),0)</f>
        <v>0</v>
      </c>
      <c r="L1359" s="169">
        <f>IFERROR(MATCH(J1359,'Final List'!$D$4:$D$252,0),0)</f>
        <v>0</v>
      </c>
      <c r="M1359" s="169">
        <f>IFERROR(MATCH(J1359,'Final List'!$F$4:$F$251,0),0)</f>
        <v>0</v>
      </c>
      <c r="N1359" s="169">
        <f>IFERROR(MATCH(J1359,'Final List'!$H$4:$H$252,0),0)</f>
        <v>0</v>
      </c>
      <c r="O1359" s="169">
        <f>IFERROR(MATCH(J1359,'Final List'!$J$4:$J$252,0),0)</f>
        <v>0</v>
      </c>
      <c r="P1359" s="169">
        <f>IFERROR(MATCH(J1359,'Final List'!$L$4:$L$252,0),0)</f>
        <v>0</v>
      </c>
      <c r="Q1359" s="169">
        <f>IFERROR(MATCH(J1359,'Final List'!$N$4:$N$252,0),0)</f>
        <v>0</v>
      </c>
      <c r="R1359" s="169">
        <f>IFERROR(MATCH(J1359,'Final List'!$P$4:$P$252,0),0)</f>
        <v>0</v>
      </c>
      <c r="S1359" s="169">
        <f t="shared" si="87"/>
        <v>0</v>
      </c>
      <c r="V1359" s="169" t="str">
        <f t="shared" si="85"/>
        <v>OY-YOY 2</v>
      </c>
      <c r="W1359" s="169" t="s">
        <v>2708</v>
      </c>
    </row>
    <row r="1360" spans="2:23" x14ac:dyDescent="0.25">
      <c r="B1360" s="169" t="s">
        <v>93</v>
      </c>
      <c r="C1360" s="169" t="s">
        <v>45</v>
      </c>
      <c r="D1360" s="169" t="s">
        <v>132</v>
      </c>
      <c r="E1360" s="169" t="s">
        <v>62</v>
      </c>
      <c r="F1360" s="245" t="str">
        <f t="shared" si="86"/>
        <v>RobC 80</v>
      </c>
      <c r="G1360" s="169" t="s">
        <v>11</v>
      </c>
      <c r="I1360" s="169" t="str">
        <f t="shared" si="84"/>
        <v>L06_DPVE_033E_ROBBING</v>
      </c>
      <c r="J1360" s="169" t="s">
        <v>8381</v>
      </c>
      <c r="K1360" s="169">
        <f>IFERROR(MATCH(J1360,'Final List'!$B$4:$B$252,0),0)</f>
        <v>0</v>
      </c>
      <c r="L1360" s="169">
        <f>IFERROR(MATCH(J1360,'Final List'!$D$4:$D$252,0),0)</f>
        <v>0</v>
      </c>
      <c r="M1360" s="169">
        <f>IFERROR(MATCH(J1360,'Final List'!$F$4:$F$251,0),0)</f>
        <v>0</v>
      </c>
      <c r="N1360" s="169">
        <f>IFERROR(MATCH(J1360,'Final List'!$H$4:$H$252,0),0)</f>
        <v>0</v>
      </c>
      <c r="O1360" s="169">
        <f>IFERROR(MATCH(J1360,'Final List'!$J$4:$J$252,0),0)</f>
        <v>0</v>
      </c>
      <c r="P1360" s="169">
        <f>IFERROR(MATCH(J1360,'Final List'!$L$4:$L$252,0),0)</f>
        <v>0</v>
      </c>
      <c r="Q1360" s="169">
        <f>IFERROR(MATCH(J1360,'Final List'!$N$4:$N$252,0),0)</f>
        <v>0</v>
      </c>
      <c r="R1360" s="169">
        <f>IFERROR(MATCH(J1360,'Final List'!$P$4:$P$252,0),0)</f>
        <v>0</v>
      </c>
      <c r="S1360" s="169">
        <f t="shared" si="87"/>
        <v>0</v>
      </c>
      <c r="T1360" s="169" t="s">
        <v>48</v>
      </c>
      <c r="V1360" s="169" t="str">
        <f t="shared" si="85"/>
        <v>QUIJANO</v>
      </c>
      <c r="W1360" s="169" t="s">
        <v>236</v>
      </c>
    </row>
    <row r="1361" spans="2:23" x14ac:dyDescent="0.25">
      <c r="B1361" s="169" t="s">
        <v>258</v>
      </c>
      <c r="C1361" s="169" t="s">
        <v>39</v>
      </c>
      <c r="D1361" s="169" t="s">
        <v>179</v>
      </c>
      <c r="E1361" s="169" t="s">
        <v>19</v>
      </c>
      <c r="F1361" s="245" t="str">
        <f t="shared" si="86"/>
        <v>DVR 72</v>
      </c>
      <c r="G1361" s="169" t="s">
        <v>5697</v>
      </c>
      <c r="I1361" s="169" t="str">
        <f t="shared" si="84"/>
        <v>L10_JVHW_050E_RAISE</v>
      </c>
      <c r="J1361" s="169" t="s">
        <v>8382</v>
      </c>
      <c r="K1361" s="169">
        <f>IFERROR(MATCH(J1361,'Final List'!$B$4:$B$252,0),0)</f>
        <v>0</v>
      </c>
      <c r="L1361" s="169">
        <f>IFERROR(MATCH(J1361,'Final List'!$D$4:$D$252,0),0)</f>
        <v>0</v>
      </c>
      <c r="M1361" s="169">
        <f>IFERROR(MATCH(J1361,'Final List'!$F$4:$F$251,0),0)</f>
        <v>0</v>
      </c>
      <c r="N1361" s="169">
        <f>IFERROR(MATCH(J1361,'Final List'!$H$4:$H$252,0),0)</f>
        <v>0</v>
      </c>
      <c r="O1361" s="169">
        <f>IFERROR(MATCH(J1361,'Final List'!$J$4:$J$252,0),0)</f>
        <v>0</v>
      </c>
      <c r="P1361" s="169">
        <f>IFERROR(MATCH(J1361,'Final List'!$L$4:$L$252,0),0)</f>
        <v>0</v>
      </c>
      <c r="Q1361" s="169">
        <f>IFERROR(MATCH(J1361,'Final List'!$N$4:$N$252,0),0)</f>
        <v>0</v>
      </c>
      <c r="R1361" s="169">
        <f>IFERROR(MATCH(J1361,'Final List'!$P$4:$P$252,0),0)</f>
        <v>0</v>
      </c>
      <c r="S1361" s="169">
        <f t="shared" si="87"/>
        <v>0</v>
      </c>
      <c r="V1361" s="169" t="str">
        <f t="shared" si="85"/>
        <v>OLIVEROS 1</v>
      </c>
      <c r="W1361" s="169" t="s">
        <v>2715</v>
      </c>
    </row>
    <row r="1362" spans="2:23" x14ac:dyDescent="0.25">
      <c r="B1362" s="169" t="s">
        <v>96</v>
      </c>
      <c r="C1362" s="169" t="s">
        <v>45</v>
      </c>
      <c r="D1362" s="169" t="s">
        <v>5872</v>
      </c>
      <c r="E1362" s="169" t="s">
        <v>61</v>
      </c>
      <c r="F1362" s="245" t="str">
        <f t="shared" si="86"/>
        <v>Dhoz 71</v>
      </c>
      <c r="G1362" s="169" t="s">
        <v>485</v>
      </c>
      <c r="H1362" s="169" t="s">
        <v>5699</v>
      </c>
      <c r="I1362" s="169" t="str">
        <f t="shared" si="84"/>
        <v>L09_DPVE_076E_DW</v>
      </c>
      <c r="J1362" s="169" t="s">
        <v>8386</v>
      </c>
      <c r="K1362" s="169">
        <f>IFERROR(MATCH(J1362,'Final List'!$B$4:$B$252,0),0)</f>
        <v>0</v>
      </c>
      <c r="L1362" s="169">
        <f>IFERROR(MATCH(J1362,'Final List'!$D$4:$D$252,0),0)</f>
        <v>0</v>
      </c>
      <c r="M1362" s="169">
        <f>IFERROR(MATCH(J1362,'Final List'!$F$4:$F$251,0),0)</f>
        <v>0</v>
      </c>
      <c r="N1362" s="169">
        <f>IFERROR(MATCH(J1362,'Final List'!$H$4:$H$252,0),0)</f>
        <v>0</v>
      </c>
      <c r="O1362" s="169">
        <f>IFERROR(MATCH(J1362,'Final List'!$J$4:$J$252,0),0)</f>
        <v>0</v>
      </c>
      <c r="P1362" s="169">
        <f>IFERROR(MATCH(J1362,'Final List'!$L$4:$L$252,0),0)</f>
        <v>0</v>
      </c>
      <c r="Q1362" s="169">
        <f>IFERROR(MATCH(J1362,'Final List'!$N$4:$N$252,0),0)</f>
        <v>0</v>
      </c>
      <c r="R1362" s="169">
        <f>IFERROR(MATCH(J1362,'Final List'!$P$4:$P$252,0),0)</f>
        <v>0</v>
      </c>
      <c r="S1362" s="169">
        <f t="shared" si="87"/>
        <v>0</v>
      </c>
      <c r="V1362" s="169" t="str">
        <f t="shared" si="85"/>
        <v>PARAN 2</v>
      </c>
      <c r="W1362" s="169" t="s">
        <v>8896</v>
      </c>
    </row>
    <row r="1363" spans="2:23" x14ac:dyDescent="0.25">
      <c r="B1363" s="169" t="s">
        <v>93</v>
      </c>
      <c r="C1363" s="169" t="s">
        <v>45</v>
      </c>
      <c r="D1363" s="169" t="s">
        <v>132</v>
      </c>
      <c r="E1363" s="169" t="s">
        <v>6144</v>
      </c>
      <c r="F1363" s="245" t="str">
        <f t="shared" si="86"/>
        <v>DVR 72</v>
      </c>
      <c r="G1363" s="169" t="s">
        <v>350</v>
      </c>
      <c r="I1363" s="169" t="str">
        <f t="shared" si="84"/>
        <v>L06_DPVE_033E_RAISE_ISL</v>
      </c>
      <c r="J1363" s="169" t="s">
        <v>8394</v>
      </c>
      <c r="K1363" s="169">
        <f>IFERROR(MATCH(J1363,'Final List'!$B$4:$B$252,0),0)</f>
        <v>0</v>
      </c>
      <c r="L1363" s="169">
        <f>IFERROR(MATCH(J1363,'Final List'!$D$4:$D$252,0),0)</f>
        <v>0</v>
      </c>
      <c r="M1363" s="169">
        <f>IFERROR(MATCH(J1363,'Final List'!$F$4:$F$251,0),0)</f>
        <v>0</v>
      </c>
      <c r="N1363" s="169">
        <f>IFERROR(MATCH(J1363,'Final List'!$H$4:$H$252,0),0)</f>
        <v>0</v>
      </c>
      <c r="O1363" s="169">
        <f>IFERROR(MATCH(J1363,'Final List'!$J$4:$J$252,0),0)</f>
        <v>0</v>
      </c>
      <c r="P1363" s="169">
        <f>IFERROR(MATCH(J1363,'Final List'!$L$4:$L$252,0),0)</f>
        <v>0</v>
      </c>
      <c r="Q1363" s="169">
        <f>IFERROR(MATCH(J1363,'Final List'!$N$4:$N$252,0),0)</f>
        <v>0</v>
      </c>
      <c r="R1363" s="169">
        <f>IFERROR(MATCH(J1363,'Final List'!$P$4:$P$252,0),0)</f>
        <v>0</v>
      </c>
      <c r="S1363" s="169">
        <f t="shared" si="87"/>
        <v>0</v>
      </c>
      <c r="V1363" s="169" t="str">
        <f t="shared" si="85"/>
        <v>QUIJANO 1</v>
      </c>
      <c r="W1363" s="169" t="s">
        <v>2715</v>
      </c>
    </row>
    <row r="1364" spans="2:23" x14ac:dyDescent="0.25">
      <c r="B1364" s="169" t="s">
        <v>91</v>
      </c>
      <c r="C1364" s="169" t="s">
        <v>56</v>
      </c>
      <c r="D1364" s="169" t="s">
        <v>6941</v>
      </c>
      <c r="E1364" s="169" t="s">
        <v>62</v>
      </c>
      <c r="F1364" s="245" t="str">
        <f t="shared" si="86"/>
        <v>RobS 79</v>
      </c>
      <c r="G1364" s="169" t="s">
        <v>8397</v>
      </c>
      <c r="H1364" s="169" t="s">
        <v>7250</v>
      </c>
      <c r="I1364" s="169" t="str">
        <f t="shared" si="84"/>
        <v>L04_GHVFW_031W_ROBBING</v>
      </c>
      <c r="J1364" s="169" t="s">
        <v>8396</v>
      </c>
      <c r="K1364" s="169">
        <f>IFERROR(MATCH(J1364,'Final List'!$B$4:$B$252,0),0)</f>
        <v>0</v>
      </c>
      <c r="L1364" s="169">
        <f>IFERROR(MATCH(J1364,'Final List'!$D$4:$D$252,0),0)</f>
        <v>0</v>
      </c>
      <c r="M1364" s="169">
        <f>IFERROR(MATCH(J1364,'Final List'!$F$4:$F$251,0),0)</f>
        <v>0</v>
      </c>
      <c r="N1364" s="169">
        <f>IFERROR(MATCH(J1364,'Final List'!$H$4:$H$252,0),0)</f>
        <v>0</v>
      </c>
      <c r="O1364" s="169">
        <f>IFERROR(MATCH(J1364,'Final List'!$J$4:$J$252,0),0)</f>
        <v>0</v>
      </c>
      <c r="P1364" s="169">
        <f>IFERROR(MATCH(J1364,'Final List'!$L$4:$L$252,0),0)</f>
        <v>0</v>
      </c>
      <c r="Q1364" s="169">
        <f>IFERROR(MATCH(J1364,'Final List'!$N$4:$N$252,0),0)</f>
        <v>0</v>
      </c>
      <c r="R1364" s="169">
        <f>IFERROR(MATCH(J1364,'Final List'!$P$4:$P$252,0),0)</f>
        <v>0</v>
      </c>
      <c r="S1364" s="169">
        <f t="shared" si="87"/>
        <v>0</v>
      </c>
      <c r="T1364" s="169" t="s">
        <v>68</v>
      </c>
      <c r="V1364" s="169" t="str">
        <f t="shared" si="85"/>
        <v>SHEPHERD AQ 2</v>
      </c>
      <c r="W1364" s="169" t="s">
        <v>2707</v>
      </c>
    </row>
    <row r="1365" spans="2:23" x14ac:dyDescent="0.25">
      <c r="B1365" s="169" t="s">
        <v>93</v>
      </c>
      <c r="C1365" s="169" t="s">
        <v>45</v>
      </c>
      <c r="D1365" s="169" t="s">
        <v>180</v>
      </c>
      <c r="E1365" s="169" t="s">
        <v>60</v>
      </c>
      <c r="F1365" s="245" t="str">
        <f t="shared" si="86"/>
        <v>Dhoz 71</v>
      </c>
      <c r="G1365" s="169" t="s">
        <v>356</v>
      </c>
      <c r="I1365" s="169" t="str">
        <f t="shared" si="84"/>
        <v>L06_DPVE_041E_DE</v>
      </c>
      <c r="J1365" s="169" t="s">
        <v>8432</v>
      </c>
      <c r="K1365" s="169">
        <f>IFERROR(MATCH(J1365,'Final List'!$B$4:$B$252,0),0)</f>
        <v>0</v>
      </c>
      <c r="L1365" s="169">
        <f>IFERROR(MATCH(J1365,'Final List'!$D$4:$D$252,0),0)</f>
        <v>0</v>
      </c>
      <c r="M1365" s="169">
        <f>IFERROR(MATCH(J1365,'Final List'!$F$4:$F$251,0),0)</f>
        <v>0</v>
      </c>
      <c r="N1365" s="169">
        <f>IFERROR(MATCH(J1365,'Final List'!$H$4:$H$252,0),0)</f>
        <v>0</v>
      </c>
      <c r="O1365" s="169">
        <f>IFERROR(MATCH(J1365,'Final List'!$J$4:$J$252,0),0)</f>
        <v>0</v>
      </c>
      <c r="P1365" s="169">
        <f>IFERROR(MATCH(J1365,'Final List'!$L$4:$L$252,0),0)</f>
        <v>0</v>
      </c>
      <c r="Q1365" s="169">
        <f>IFERROR(MATCH(J1365,'Final List'!$N$4:$N$252,0),0)</f>
        <v>0</v>
      </c>
      <c r="R1365" s="169">
        <f>IFERROR(MATCH(J1365,'Final List'!$P$4:$P$252,0),0)</f>
        <v>0</v>
      </c>
      <c r="S1365" s="169">
        <f t="shared" si="87"/>
        <v>0</v>
      </c>
      <c r="V1365" s="169" t="str">
        <f t="shared" si="85"/>
        <v>BAÑEZ 1</v>
      </c>
      <c r="W1365" s="169" t="s">
        <v>8895</v>
      </c>
    </row>
    <row r="1366" spans="2:23" x14ac:dyDescent="0.25">
      <c r="B1366" s="169" t="s">
        <v>96</v>
      </c>
      <c r="C1366" s="169" t="s">
        <v>45</v>
      </c>
      <c r="D1366" s="169" t="s">
        <v>121</v>
      </c>
      <c r="E1366" s="169" t="s">
        <v>60</v>
      </c>
      <c r="F1366" s="245" t="str">
        <f t="shared" si="86"/>
        <v>Dhoz 71</v>
      </c>
      <c r="G1366" s="169" t="s">
        <v>1661</v>
      </c>
      <c r="I1366" s="169" t="str">
        <f t="shared" si="84"/>
        <v>L09_DPVE_022E_DE</v>
      </c>
      <c r="J1366" s="169" t="s">
        <v>8400</v>
      </c>
      <c r="K1366" s="169">
        <f>IFERROR(MATCH(J1366,'Final List'!$B$4:$B$252,0),0)</f>
        <v>0</v>
      </c>
      <c r="L1366" s="169">
        <f>IFERROR(MATCH(J1366,'Final List'!$D$4:$D$252,0),0)</f>
        <v>0</v>
      </c>
      <c r="M1366" s="169">
        <f>IFERROR(MATCH(J1366,'Final List'!$F$4:$F$251,0),0)</f>
        <v>0</v>
      </c>
      <c r="N1366" s="169">
        <f>IFERROR(MATCH(J1366,'Final List'!$H$4:$H$252,0),0)</f>
        <v>0</v>
      </c>
      <c r="O1366" s="169">
        <f>IFERROR(MATCH(J1366,'Final List'!$J$4:$J$252,0),0)</f>
        <v>0</v>
      </c>
      <c r="P1366" s="169">
        <f>IFERROR(MATCH(J1366,'Final List'!$L$4:$L$252,0),0)</f>
        <v>0</v>
      </c>
      <c r="Q1366" s="169">
        <f>IFERROR(MATCH(J1366,'Final List'!$N$4:$N$252,0),0)</f>
        <v>0</v>
      </c>
      <c r="R1366" s="169">
        <f>IFERROR(MATCH(J1366,'Final List'!$P$4:$P$252,0),0)</f>
        <v>0</v>
      </c>
      <c r="S1366" s="169">
        <f t="shared" si="87"/>
        <v>0</v>
      </c>
      <c r="V1366" s="169" t="str">
        <f t="shared" si="85"/>
        <v>DELOS REYES V2</v>
      </c>
      <c r="W1366" s="169" t="s">
        <v>8896</v>
      </c>
    </row>
    <row r="1367" spans="2:23" x14ac:dyDescent="0.25">
      <c r="B1367" s="169" t="s">
        <v>93</v>
      </c>
      <c r="C1367" s="169" t="s">
        <v>41</v>
      </c>
      <c r="D1367" s="169" t="s">
        <v>7301</v>
      </c>
      <c r="E1367" s="169" t="s">
        <v>62</v>
      </c>
      <c r="F1367" s="245" t="str">
        <f t="shared" si="86"/>
        <v>RobS 79</v>
      </c>
      <c r="G1367" s="169" t="s">
        <v>6954</v>
      </c>
      <c r="I1367" s="169" t="str">
        <f t="shared" si="84"/>
        <v>L06_CTV_010W_ROBBING</v>
      </c>
      <c r="J1367" s="169" t="s">
        <v>8402</v>
      </c>
      <c r="K1367" s="169">
        <f>IFERROR(MATCH(J1367,'Final List'!$B$4:$B$252,0),0)</f>
        <v>0</v>
      </c>
      <c r="L1367" s="169">
        <f>IFERROR(MATCH(J1367,'Final List'!$D$4:$D$252,0),0)</f>
        <v>0</v>
      </c>
      <c r="M1367" s="169">
        <f>IFERROR(MATCH(J1367,'Final List'!$F$4:$F$251,0),0)</f>
        <v>0</v>
      </c>
      <c r="N1367" s="169">
        <f>IFERROR(MATCH(J1367,'Final List'!$H$4:$H$252,0),0)</f>
        <v>0</v>
      </c>
      <c r="O1367" s="169">
        <f>IFERROR(MATCH(J1367,'Final List'!$J$4:$J$252,0),0)</f>
        <v>0</v>
      </c>
      <c r="P1367" s="169">
        <f>IFERROR(MATCH(J1367,'Final List'!$L$4:$L$252,0),0)</f>
        <v>0</v>
      </c>
      <c r="Q1367" s="169">
        <f>IFERROR(MATCH(J1367,'Final List'!$N$4:$N$252,0),0)</f>
        <v>0</v>
      </c>
      <c r="R1367" s="169">
        <f>IFERROR(MATCH(J1367,'Final List'!$P$4:$P$252,0),0)</f>
        <v>0</v>
      </c>
      <c r="S1367" s="169">
        <f t="shared" si="87"/>
        <v>0</v>
      </c>
      <c r="T1367" s="169" t="s">
        <v>68</v>
      </c>
      <c r="V1367" s="169" t="str">
        <f t="shared" si="85"/>
        <v>BADBADON</v>
      </c>
      <c r="W1367" s="169" t="s">
        <v>2707</v>
      </c>
    </row>
    <row r="1368" spans="2:23" x14ac:dyDescent="0.25">
      <c r="B1368" s="169" t="s">
        <v>95</v>
      </c>
      <c r="C1368" s="169" t="s">
        <v>55</v>
      </c>
      <c r="D1368" s="169" t="s">
        <v>159</v>
      </c>
      <c r="E1368" s="169" t="s">
        <v>60</v>
      </c>
      <c r="F1368" s="245" t="str">
        <f t="shared" si="86"/>
        <v>Dhoz 71</v>
      </c>
      <c r="G1368" s="169" t="s">
        <v>1533</v>
      </c>
      <c r="I1368" s="169" t="str">
        <f t="shared" si="84"/>
        <v>L08_JVFW_023E_DE</v>
      </c>
      <c r="J1368" s="169" t="s">
        <v>8404</v>
      </c>
      <c r="K1368" s="169">
        <f>IFERROR(MATCH(J1368,'Final List'!$B$4:$B$252,0),0)</f>
        <v>0</v>
      </c>
      <c r="L1368" s="169">
        <f>IFERROR(MATCH(J1368,'Final List'!$D$4:$D$252,0),0)</f>
        <v>0</v>
      </c>
      <c r="M1368" s="169">
        <f>IFERROR(MATCH(J1368,'Final List'!$F$4:$F$251,0),0)</f>
        <v>0</v>
      </c>
      <c r="N1368" s="169">
        <f>IFERROR(MATCH(J1368,'Final List'!$H$4:$H$252,0),0)</f>
        <v>0</v>
      </c>
      <c r="O1368" s="169">
        <f>IFERROR(MATCH(J1368,'Final List'!$J$4:$J$252,0),0)</f>
        <v>0</v>
      </c>
      <c r="P1368" s="169">
        <f>IFERROR(MATCH(J1368,'Final List'!$L$4:$L$252,0),0)</f>
        <v>0</v>
      </c>
      <c r="Q1368" s="169">
        <f>IFERROR(MATCH(J1368,'Final List'!$N$4:$N$252,0),0)</f>
        <v>0</v>
      </c>
      <c r="R1368" s="169">
        <f>IFERROR(MATCH(J1368,'Final List'!$P$4:$P$252,0),0)</f>
        <v>0</v>
      </c>
      <c r="S1368" s="169">
        <f t="shared" si="87"/>
        <v>0</v>
      </c>
      <c r="V1368" s="169" t="str">
        <f t="shared" si="85"/>
        <v>AGLOLO</v>
      </c>
      <c r="W1368" s="169" t="s">
        <v>8895</v>
      </c>
    </row>
    <row r="1369" spans="2:23" x14ac:dyDescent="0.25">
      <c r="B1369" s="169" t="s">
        <v>96</v>
      </c>
      <c r="C1369" s="169" t="s">
        <v>45</v>
      </c>
      <c r="D1369" s="169" t="s">
        <v>5887</v>
      </c>
      <c r="E1369" s="169" t="s">
        <v>60</v>
      </c>
      <c r="F1369" s="245" t="str">
        <f t="shared" si="86"/>
        <v>Dhoz 71</v>
      </c>
      <c r="G1369" s="169" t="s">
        <v>745</v>
      </c>
      <c r="I1369" s="169" t="str">
        <f t="shared" si="84"/>
        <v>L09_DPVE_085E_DE</v>
      </c>
      <c r="J1369" s="169" t="s">
        <v>8405</v>
      </c>
      <c r="K1369" s="169">
        <f>IFERROR(MATCH(J1369,'Final List'!$B$4:$B$252,0),0)</f>
        <v>0</v>
      </c>
      <c r="L1369" s="169">
        <f>IFERROR(MATCH(J1369,'Final List'!$D$4:$D$252,0),0)</f>
        <v>0</v>
      </c>
      <c r="M1369" s="169">
        <f>IFERROR(MATCH(J1369,'Final List'!$F$4:$F$251,0),0)</f>
        <v>0</v>
      </c>
      <c r="N1369" s="169">
        <f>IFERROR(MATCH(J1369,'Final List'!$H$4:$H$252,0),0)</f>
        <v>0</v>
      </c>
      <c r="O1369" s="169">
        <f>IFERROR(MATCH(J1369,'Final List'!$J$4:$J$252,0),0)</f>
        <v>0</v>
      </c>
      <c r="P1369" s="169">
        <f>IFERROR(MATCH(J1369,'Final List'!$L$4:$L$252,0),0)</f>
        <v>0</v>
      </c>
      <c r="Q1369" s="169">
        <f>IFERROR(MATCH(J1369,'Final List'!$N$4:$N$252,0),0)</f>
        <v>0</v>
      </c>
      <c r="R1369" s="169">
        <f>IFERROR(MATCH(J1369,'Final List'!$P$4:$P$252,0),0)</f>
        <v>0</v>
      </c>
      <c r="S1369" s="169">
        <f t="shared" si="87"/>
        <v>0</v>
      </c>
      <c r="V1369" s="169" t="str">
        <f t="shared" si="85"/>
        <v>CANOY 2</v>
      </c>
      <c r="W1369" s="169" t="s">
        <v>8896</v>
      </c>
    </row>
    <row r="1370" spans="2:23" x14ac:dyDescent="0.25">
      <c r="B1370" s="169" t="s">
        <v>93</v>
      </c>
      <c r="C1370" s="169" t="s">
        <v>39</v>
      </c>
      <c r="D1370" s="169" t="s">
        <v>5604</v>
      </c>
      <c r="E1370" s="169" t="s">
        <v>62</v>
      </c>
      <c r="F1370" s="245" t="str">
        <f t="shared" si="86"/>
        <v>RobS 79</v>
      </c>
      <c r="G1370" s="169" t="s">
        <v>349</v>
      </c>
      <c r="I1370" s="169" t="str">
        <f t="shared" si="84"/>
        <v>L06_JVHW_063E_ROBBING</v>
      </c>
      <c r="J1370" s="169" t="s">
        <v>8408</v>
      </c>
      <c r="K1370" s="169">
        <f>IFERROR(MATCH(J1370,'Final List'!$B$4:$B$252,0),0)</f>
        <v>0</v>
      </c>
      <c r="L1370" s="169">
        <f>IFERROR(MATCH(J1370,'Final List'!$D$4:$D$252,0),0)</f>
        <v>0</v>
      </c>
      <c r="M1370" s="169">
        <f>IFERROR(MATCH(J1370,'Final List'!$F$4:$F$251,0),0)</f>
        <v>0</v>
      </c>
      <c r="N1370" s="169">
        <f>IFERROR(MATCH(J1370,'Final List'!$H$4:$H$252,0),0)</f>
        <v>0</v>
      </c>
      <c r="O1370" s="169">
        <f>IFERROR(MATCH(J1370,'Final List'!$J$4:$J$252,0),0)</f>
        <v>0</v>
      </c>
      <c r="P1370" s="169">
        <f>IFERROR(MATCH(J1370,'Final List'!$L$4:$L$252,0),0)</f>
        <v>0</v>
      </c>
      <c r="Q1370" s="169">
        <f>IFERROR(MATCH(J1370,'Final List'!$N$4:$N$252,0),0)</f>
        <v>0</v>
      </c>
      <c r="R1370" s="169">
        <f>IFERROR(MATCH(J1370,'Final List'!$P$4:$P$252,0),0)</f>
        <v>0</v>
      </c>
      <c r="S1370" s="169">
        <f t="shared" si="87"/>
        <v>0</v>
      </c>
      <c r="T1370" s="169" t="s">
        <v>68</v>
      </c>
      <c r="V1370" s="169" t="str">
        <f t="shared" si="85"/>
        <v>QUIJANO 2</v>
      </c>
      <c r="W1370" s="169" t="s">
        <v>2707</v>
      </c>
    </row>
    <row r="1371" spans="2:23" x14ac:dyDescent="0.25">
      <c r="B1371" s="169" t="s">
        <v>95</v>
      </c>
      <c r="C1371" s="169" t="s">
        <v>45</v>
      </c>
      <c r="D1371" s="169" t="s">
        <v>5741</v>
      </c>
      <c r="E1371" s="169" t="s">
        <v>19</v>
      </c>
      <c r="F1371" s="245" t="str">
        <f t="shared" si="86"/>
        <v>DVR 72</v>
      </c>
      <c r="G1371" s="169" t="s">
        <v>368</v>
      </c>
      <c r="I1371" s="169" t="str">
        <f t="shared" si="84"/>
        <v>L08_DPVE_035E_RAISE</v>
      </c>
      <c r="J1371" s="169" t="s">
        <v>8410</v>
      </c>
      <c r="K1371" s="169">
        <f>IFERROR(MATCH(J1371,'Final List'!$B$4:$B$252,0),0)</f>
        <v>0</v>
      </c>
      <c r="L1371" s="169">
        <f>IFERROR(MATCH(J1371,'Final List'!$D$4:$D$252,0),0)</f>
        <v>0</v>
      </c>
      <c r="M1371" s="169">
        <f>IFERROR(MATCH(J1371,'Final List'!$F$4:$F$251,0),0)</f>
        <v>0</v>
      </c>
      <c r="N1371" s="169">
        <f>IFERROR(MATCH(J1371,'Final List'!$H$4:$H$252,0),0)</f>
        <v>0</v>
      </c>
      <c r="O1371" s="169">
        <f>IFERROR(MATCH(J1371,'Final List'!$J$4:$J$252,0),0)</f>
        <v>0</v>
      </c>
      <c r="P1371" s="169">
        <f>IFERROR(MATCH(J1371,'Final List'!$L$4:$L$252,0),0)</f>
        <v>0</v>
      </c>
      <c r="Q1371" s="169">
        <f>IFERROR(MATCH(J1371,'Final List'!$N$4:$N$252,0),0)</f>
        <v>0</v>
      </c>
      <c r="R1371" s="169">
        <f>IFERROR(MATCH(J1371,'Final List'!$P$4:$P$252,0),0)</f>
        <v>0</v>
      </c>
      <c r="S1371" s="169">
        <f t="shared" si="87"/>
        <v>0</v>
      </c>
      <c r="V1371" s="169" t="str">
        <f t="shared" si="85"/>
        <v>LERIO 2</v>
      </c>
      <c r="W1371" s="169" t="s">
        <v>2715</v>
      </c>
    </row>
    <row r="1372" spans="2:23" x14ac:dyDescent="0.25">
      <c r="B1372" s="169" t="s">
        <v>95</v>
      </c>
      <c r="C1372" s="169" t="s">
        <v>55</v>
      </c>
      <c r="D1372" s="169" t="s">
        <v>166</v>
      </c>
      <c r="E1372" s="169" t="s">
        <v>62</v>
      </c>
      <c r="F1372" s="245" t="str">
        <f t="shared" si="86"/>
        <v>RobC 80</v>
      </c>
      <c r="G1372" s="169" t="s">
        <v>5108</v>
      </c>
      <c r="I1372" s="169" t="str">
        <f t="shared" si="84"/>
        <v>L08_JVFW_068E_ROBBING</v>
      </c>
      <c r="J1372" s="169" t="s">
        <v>8411</v>
      </c>
      <c r="K1372" s="169">
        <f>IFERROR(MATCH(J1372,'Final List'!$B$4:$B$252,0),0)</f>
        <v>0</v>
      </c>
      <c r="L1372" s="169">
        <f>IFERROR(MATCH(J1372,'Final List'!$D$4:$D$252,0),0)</f>
        <v>0</v>
      </c>
      <c r="M1372" s="169">
        <f>IFERROR(MATCH(J1372,'Final List'!$F$4:$F$251,0),0)</f>
        <v>0</v>
      </c>
      <c r="N1372" s="169">
        <f>IFERROR(MATCH(J1372,'Final List'!$H$4:$H$252,0),0)</f>
        <v>0</v>
      </c>
      <c r="O1372" s="169">
        <f>IFERROR(MATCH(J1372,'Final List'!$J$4:$J$252,0),0)</f>
        <v>0</v>
      </c>
      <c r="P1372" s="169">
        <f>IFERROR(MATCH(J1372,'Final List'!$L$4:$L$252,0),0)</f>
        <v>0</v>
      </c>
      <c r="Q1372" s="169">
        <f>IFERROR(MATCH(J1372,'Final List'!$N$4:$N$252,0),0)</f>
        <v>0</v>
      </c>
      <c r="R1372" s="169">
        <f>IFERROR(MATCH(J1372,'Final List'!$P$4:$P$252,0),0)</f>
        <v>0</v>
      </c>
      <c r="S1372" s="169">
        <f t="shared" si="87"/>
        <v>0</v>
      </c>
      <c r="T1372" s="169" t="s">
        <v>48</v>
      </c>
      <c r="V1372" s="169" t="str">
        <f t="shared" si="85"/>
        <v>SHEPHERD AJ</v>
      </c>
      <c r="W1372" s="169" t="s">
        <v>236</v>
      </c>
    </row>
    <row r="1373" spans="2:23" x14ac:dyDescent="0.25">
      <c r="B1373" s="169" t="s">
        <v>91</v>
      </c>
      <c r="C1373" s="169" t="s">
        <v>44</v>
      </c>
      <c r="D1373" s="169" t="s">
        <v>114</v>
      </c>
      <c r="E1373" s="169" t="s">
        <v>6143</v>
      </c>
      <c r="F1373" s="245" t="str">
        <f t="shared" si="86"/>
        <v>Dhoz 71</v>
      </c>
      <c r="G1373" s="169" t="s">
        <v>299</v>
      </c>
      <c r="I1373" s="169" t="str">
        <f t="shared" ref="I1373:I1436" si="88">CONCATENATE(B1373,"_",C1373,"_",D1373,"_",E1373)</f>
        <v>L04_CV_025W_DE_ISL</v>
      </c>
      <c r="J1373" s="169" t="s">
        <v>8413</v>
      </c>
      <c r="K1373" s="169">
        <f>IFERROR(MATCH(J1373,'Final List'!$B$4:$B$252,0),0)</f>
        <v>0</v>
      </c>
      <c r="L1373" s="169">
        <f>IFERROR(MATCH(J1373,'Final List'!$D$4:$D$252,0),0)</f>
        <v>0</v>
      </c>
      <c r="M1373" s="169">
        <f>IFERROR(MATCH(J1373,'Final List'!$F$4:$F$251,0),0)</f>
        <v>0</v>
      </c>
      <c r="N1373" s="169">
        <f>IFERROR(MATCH(J1373,'Final List'!$H$4:$H$252,0),0)</f>
        <v>0</v>
      </c>
      <c r="O1373" s="169">
        <f>IFERROR(MATCH(J1373,'Final List'!$J$4:$J$252,0),0)</f>
        <v>0</v>
      </c>
      <c r="P1373" s="169">
        <f>IFERROR(MATCH(J1373,'Final List'!$L$4:$L$252,0),0)</f>
        <v>0</v>
      </c>
      <c r="Q1373" s="169">
        <f>IFERROR(MATCH(J1373,'Final List'!$N$4:$N$252,0),0)</f>
        <v>0</v>
      </c>
      <c r="R1373" s="169">
        <f>IFERROR(MATCH(J1373,'Final List'!$P$4:$P$252,0),0)</f>
        <v>0</v>
      </c>
      <c r="S1373" s="169">
        <f t="shared" si="87"/>
        <v>0</v>
      </c>
      <c r="V1373" s="169" t="str">
        <f t="shared" si="85"/>
        <v>NOCOS 2</v>
      </c>
      <c r="W1373" s="169" t="s">
        <v>2708</v>
      </c>
    </row>
    <row r="1374" spans="2:23" x14ac:dyDescent="0.25">
      <c r="B1374" s="169" t="s">
        <v>95</v>
      </c>
      <c r="C1374" s="169" t="s">
        <v>45</v>
      </c>
      <c r="D1374" s="169" t="s">
        <v>5631</v>
      </c>
      <c r="E1374" s="169" t="s">
        <v>60</v>
      </c>
      <c r="F1374" s="245" t="str">
        <f t="shared" si="86"/>
        <v>Dhoz 71</v>
      </c>
      <c r="G1374" s="169" t="s">
        <v>386</v>
      </c>
      <c r="I1374" s="169" t="str">
        <f t="shared" si="88"/>
        <v>L08_DPVE_020E_DE</v>
      </c>
      <c r="J1374" s="169" t="s">
        <v>8414</v>
      </c>
      <c r="K1374" s="169">
        <f>IFERROR(MATCH(J1374,'Final List'!$B$4:$B$252,0),0)</f>
        <v>0</v>
      </c>
      <c r="L1374" s="169">
        <f>IFERROR(MATCH(J1374,'Final List'!$D$4:$D$252,0),0)</f>
        <v>0</v>
      </c>
      <c r="M1374" s="169">
        <f>IFERROR(MATCH(J1374,'Final List'!$F$4:$F$251,0),0)</f>
        <v>0</v>
      </c>
      <c r="N1374" s="169">
        <f>IFERROR(MATCH(J1374,'Final List'!$H$4:$H$252,0),0)</f>
        <v>0</v>
      </c>
      <c r="O1374" s="169">
        <f>IFERROR(MATCH(J1374,'Final List'!$J$4:$J$252,0),0)</f>
        <v>0</v>
      </c>
      <c r="P1374" s="169">
        <f>IFERROR(MATCH(J1374,'Final List'!$L$4:$L$252,0),0)</f>
        <v>0</v>
      </c>
      <c r="Q1374" s="169">
        <f>IFERROR(MATCH(J1374,'Final List'!$N$4:$N$252,0),0)</f>
        <v>0</v>
      </c>
      <c r="R1374" s="169">
        <f>IFERROR(MATCH(J1374,'Final List'!$P$4:$P$252,0),0)</f>
        <v>0</v>
      </c>
      <c r="S1374" s="169">
        <f t="shared" si="87"/>
        <v>0</v>
      </c>
      <c r="V1374" s="169" t="str">
        <f t="shared" si="85"/>
        <v>REVITA 1</v>
      </c>
      <c r="W1374" s="169" t="s">
        <v>8895</v>
      </c>
    </row>
    <row r="1375" spans="2:23" x14ac:dyDescent="0.25">
      <c r="B1375" s="169" t="s">
        <v>96</v>
      </c>
      <c r="C1375" s="169" t="s">
        <v>45</v>
      </c>
      <c r="D1375" s="169" t="s">
        <v>4482</v>
      </c>
      <c r="E1375" s="169" t="s">
        <v>19</v>
      </c>
      <c r="F1375" s="245" t="str">
        <f t="shared" si="86"/>
        <v>DVR 72</v>
      </c>
      <c r="G1375" s="169" t="s">
        <v>1661</v>
      </c>
      <c r="I1375" s="169" t="str">
        <f t="shared" si="88"/>
        <v>L09_DPVE_084E_RAISE</v>
      </c>
      <c r="J1375" s="169" t="s">
        <v>8415</v>
      </c>
      <c r="K1375" s="169">
        <f>IFERROR(MATCH(J1375,'Final List'!$B$4:$B$252,0),0)</f>
        <v>0</v>
      </c>
      <c r="L1375" s="169">
        <f>IFERROR(MATCH(J1375,'Final List'!$D$4:$D$252,0),0)</f>
        <v>0</v>
      </c>
      <c r="M1375" s="169">
        <f>IFERROR(MATCH(J1375,'Final List'!$F$4:$F$251,0),0)</f>
        <v>0</v>
      </c>
      <c r="N1375" s="169">
        <f>IFERROR(MATCH(J1375,'Final List'!$H$4:$H$252,0),0)</f>
        <v>0</v>
      </c>
      <c r="O1375" s="169">
        <f>IFERROR(MATCH(J1375,'Final List'!$J$4:$J$252,0),0)</f>
        <v>0</v>
      </c>
      <c r="P1375" s="169">
        <f>IFERROR(MATCH(J1375,'Final List'!$L$4:$L$252,0),0)</f>
        <v>0</v>
      </c>
      <c r="Q1375" s="169">
        <f>IFERROR(MATCH(J1375,'Final List'!$N$4:$N$252,0),0)</f>
        <v>0</v>
      </c>
      <c r="R1375" s="169">
        <f>IFERROR(MATCH(J1375,'Final List'!$P$4:$P$252,0),0)</f>
        <v>0</v>
      </c>
      <c r="S1375" s="169">
        <f t="shared" si="87"/>
        <v>0</v>
      </c>
      <c r="V1375" s="169" t="str">
        <f t="shared" si="85"/>
        <v>DELOS REYES V2</v>
      </c>
      <c r="W1375" s="169" t="s">
        <v>2715</v>
      </c>
    </row>
    <row r="1376" spans="2:23" x14ac:dyDescent="0.25">
      <c r="B1376" s="169" t="s">
        <v>91</v>
      </c>
      <c r="C1376" s="169" t="s">
        <v>57</v>
      </c>
      <c r="D1376" s="169" t="s">
        <v>5975</v>
      </c>
      <c r="E1376" s="169" t="s">
        <v>441</v>
      </c>
      <c r="F1376" s="245" t="str">
        <f t="shared" si="86"/>
        <v>RobC 80</v>
      </c>
      <c r="G1376" s="169" t="s">
        <v>311</v>
      </c>
      <c r="I1376" s="169" t="str">
        <f t="shared" si="88"/>
        <v>L04_JVSPLIT_028E_WINZE STOPE PREP</v>
      </c>
      <c r="J1376" s="169" t="s">
        <v>8416</v>
      </c>
      <c r="K1376" s="169">
        <f>IFERROR(MATCH(J1376,'Final List'!$B$4:$B$252,0),0)</f>
        <v>0</v>
      </c>
      <c r="L1376" s="169">
        <f>IFERROR(MATCH(J1376,'Final List'!$D$4:$D$252,0),0)</f>
        <v>0</v>
      </c>
      <c r="M1376" s="169">
        <f>IFERROR(MATCH(J1376,'Final List'!$F$4:$F$251,0),0)</f>
        <v>0</v>
      </c>
      <c r="N1376" s="169">
        <f>IFERROR(MATCH(J1376,'Final List'!$H$4:$H$252,0),0)</f>
        <v>0</v>
      </c>
      <c r="O1376" s="169">
        <f>IFERROR(MATCH(J1376,'Final List'!$J$4:$J$252,0),0)</f>
        <v>0</v>
      </c>
      <c r="P1376" s="169">
        <f>IFERROR(MATCH(J1376,'Final List'!$L$4:$L$252,0),0)</f>
        <v>0</v>
      </c>
      <c r="Q1376" s="169">
        <f>IFERROR(MATCH(J1376,'Final List'!$N$4:$N$252,0),0)</f>
        <v>0</v>
      </c>
      <c r="R1376" s="169">
        <f>IFERROR(MATCH(J1376,'Final List'!$P$4:$P$252,0),0)</f>
        <v>0</v>
      </c>
      <c r="S1376" s="169">
        <f t="shared" si="87"/>
        <v>0</v>
      </c>
      <c r="T1376" s="169" t="s">
        <v>68</v>
      </c>
      <c r="V1376" s="169" t="str">
        <f t="shared" si="85"/>
        <v>MARTINEZ DN 2</v>
      </c>
      <c r="W1376" s="169" t="s">
        <v>2716</v>
      </c>
    </row>
    <row r="1377" spans="2:23" x14ac:dyDescent="0.25">
      <c r="B1377" s="169" t="s">
        <v>93</v>
      </c>
      <c r="C1377" s="169" t="s">
        <v>38</v>
      </c>
      <c r="D1377" s="169" t="s">
        <v>143</v>
      </c>
      <c r="E1377" s="169" t="s">
        <v>62</v>
      </c>
      <c r="F1377" s="245" t="str">
        <f t="shared" si="86"/>
        <v>RobS 79</v>
      </c>
      <c r="G1377" s="169" t="s">
        <v>341</v>
      </c>
      <c r="I1377" s="169" t="str">
        <f t="shared" si="88"/>
        <v>L06_GHV_032E_ROBBING</v>
      </c>
      <c r="J1377" s="169" t="s">
        <v>8445</v>
      </c>
      <c r="K1377" s="169">
        <f>IFERROR(MATCH(J1377,'Final List'!$B$4:$B$252,0),0)</f>
        <v>0</v>
      </c>
      <c r="L1377" s="169">
        <f>IFERROR(MATCH(J1377,'Final List'!$D$4:$D$252,0),0)</f>
        <v>0</v>
      </c>
      <c r="M1377" s="169">
        <f>IFERROR(MATCH(J1377,'Final List'!$F$4:$F$251,0),0)</f>
        <v>0</v>
      </c>
      <c r="N1377" s="169">
        <f>IFERROR(MATCH(J1377,'Final List'!$H$4:$H$252,0),0)</f>
        <v>0</v>
      </c>
      <c r="O1377" s="169">
        <f>IFERROR(MATCH(J1377,'Final List'!$J$4:$J$252,0),0)</f>
        <v>0</v>
      </c>
      <c r="P1377" s="169">
        <f>IFERROR(MATCH(J1377,'Final List'!$L$4:$L$252,0),0)</f>
        <v>0</v>
      </c>
      <c r="Q1377" s="169">
        <f>IFERROR(MATCH(J1377,'Final List'!$N$4:$N$252,0),0)</f>
        <v>0</v>
      </c>
      <c r="R1377" s="169">
        <f>IFERROR(MATCH(J1377,'Final List'!$P$4:$P$252,0),0)</f>
        <v>0</v>
      </c>
      <c r="S1377" s="169">
        <f t="shared" si="87"/>
        <v>0</v>
      </c>
      <c r="T1377" s="169" t="s">
        <v>68</v>
      </c>
      <c r="V1377" s="169" t="str">
        <f t="shared" si="85"/>
        <v>BADBADON 1</v>
      </c>
      <c r="W1377" s="169" t="s">
        <v>2707</v>
      </c>
    </row>
    <row r="1378" spans="2:23" x14ac:dyDescent="0.25">
      <c r="B1378" s="169" t="s">
        <v>91</v>
      </c>
      <c r="C1378" s="169" t="s">
        <v>59</v>
      </c>
      <c r="D1378" s="169" t="s">
        <v>8422</v>
      </c>
      <c r="E1378" s="169" t="s">
        <v>62</v>
      </c>
      <c r="F1378" s="245" t="str">
        <f t="shared" si="86"/>
        <v>RobS 79</v>
      </c>
      <c r="G1378" s="169" t="s">
        <v>298</v>
      </c>
      <c r="I1378" s="169" t="str">
        <f t="shared" si="88"/>
        <v>L04_GHVHW_053W_ROBBING</v>
      </c>
      <c r="J1378" s="169" t="s">
        <v>8421</v>
      </c>
      <c r="K1378" s="169">
        <f>IFERROR(MATCH(J1378,'Final List'!$B$4:$B$252,0),0)</f>
        <v>0</v>
      </c>
      <c r="L1378" s="169">
        <f>IFERROR(MATCH(J1378,'Final List'!$D$4:$D$252,0),0)</f>
        <v>0</v>
      </c>
      <c r="M1378" s="169">
        <f>IFERROR(MATCH(J1378,'Final List'!$F$4:$F$251,0),0)</f>
        <v>0</v>
      </c>
      <c r="N1378" s="169">
        <f>IFERROR(MATCH(J1378,'Final List'!$H$4:$H$252,0),0)</f>
        <v>0</v>
      </c>
      <c r="O1378" s="169">
        <f>IFERROR(MATCH(J1378,'Final List'!$J$4:$J$252,0),0)</f>
        <v>0</v>
      </c>
      <c r="P1378" s="169">
        <f>IFERROR(MATCH(J1378,'Final List'!$L$4:$L$252,0),0)</f>
        <v>0</v>
      </c>
      <c r="Q1378" s="169">
        <f>IFERROR(MATCH(J1378,'Final List'!$N$4:$N$252,0),0)</f>
        <v>0</v>
      </c>
      <c r="R1378" s="169">
        <f>IFERROR(MATCH(J1378,'Final List'!$P$4:$P$252,0),0)</f>
        <v>0</v>
      </c>
      <c r="S1378" s="169">
        <f t="shared" si="87"/>
        <v>0</v>
      </c>
      <c r="T1378" s="169" t="s">
        <v>68</v>
      </c>
      <c r="V1378" s="169" t="str">
        <f t="shared" si="85"/>
        <v>NOCOS 1</v>
      </c>
      <c r="W1378" s="169" t="s">
        <v>2707</v>
      </c>
    </row>
    <row r="1379" spans="2:23" x14ac:dyDescent="0.25">
      <c r="B1379" s="169" t="s">
        <v>94</v>
      </c>
      <c r="C1379" s="169" t="s">
        <v>42</v>
      </c>
      <c r="D1379" s="169" t="s">
        <v>180</v>
      </c>
      <c r="E1379" s="169" t="s">
        <v>20</v>
      </c>
      <c r="F1379" s="245" t="str">
        <f t="shared" si="86"/>
        <v>DVW 74</v>
      </c>
      <c r="G1379" s="169" t="s">
        <v>2972</v>
      </c>
      <c r="I1379" s="169" t="str">
        <f t="shared" si="88"/>
        <v>L07_JV_041E_WINZE</v>
      </c>
      <c r="J1379" s="169" t="s">
        <v>8423</v>
      </c>
      <c r="K1379" s="169">
        <f>IFERROR(MATCH(J1379,'Final List'!$B$4:$B$252,0),0)</f>
        <v>0</v>
      </c>
      <c r="L1379" s="169">
        <f>IFERROR(MATCH(J1379,'Final List'!$D$4:$D$252,0),0)</f>
        <v>0</v>
      </c>
      <c r="M1379" s="169">
        <f>IFERROR(MATCH(J1379,'Final List'!$F$4:$F$251,0),0)</f>
        <v>0</v>
      </c>
      <c r="N1379" s="169">
        <f>IFERROR(MATCH(J1379,'Final List'!$H$4:$H$252,0),0)</f>
        <v>0</v>
      </c>
      <c r="O1379" s="169">
        <f>IFERROR(MATCH(J1379,'Final List'!$J$4:$J$252,0),0)</f>
        <v>0</v>
      </c>
      <c r="P1379" s="169">
        <f>IFERROR(MATCH(J1379,'Final List'!$L$4:$L$252,0),0)</f>
        <v>0</v>
      </c>
      <c r="Q1379" s="169">
        <f>IFERROR(MATCH(J1379,'Final List'!$N$4:$N$252,0),0)</f>
        <v>0</v>
      </c>
      <c r="R1379" s="169">
        <f>IFERROR(MATCH(J1379,'Final List'!$P$4:$P$252,0),0)</f>
        <v>0</v>
      </c>
      <c r="S1379" s="169">
        <f t="shared" si="87"/>
        <v>0</v>
      </c>
      <c r="V1379" s="169" t="str">
        <f t="shared" si="85"/>
        <v>FABROA 1</v>
      </c>
      <c r="W1379" s="169" t="s">
        <v>2706</v>
      </c>
    </row>
    <row r="1380" spans="2:23" x14ac:dyDescent="0.25">
      <c r="B1380" s="169" t="s">
        <v>91</v>
      </c>
      <c r="C1380" s="169" t="s">
        <v>44</v>
      </c>
      <c r="D1380" s="169" t="s">
        <v>162</v>
      </c>
      <c r="E1380" s="169" t="s">
        <v>61</v>
      </c>
      <c r="F1380" s="245" t="str">
        <f t="shared" si="86"/>
        <v>Dhoz 71</v>
      </c>
      <c r="G1380" s="169" t="s">
        <v>10890</v>
      </c>
      <c r="I1380" s="169" t="str">
        <f t="shared" si="88"/>
        <v>L04_CV_008E_DW</v>
      </c>
      <c r="J1380" s="169" t="s">
        <v>11543</v>
      </c>
      <c r="K1380" s="169">
        <f>IFERROR(MATCH(J1380,'Final List'!$B$4:$B$252,0),0)</f>
        <v>0</v>
      </c>
      <c r="L1380" s="169">
        <f>IFERROR(MATCH(J1380,'Final List'!$D$4:$D$252,0),0)</f>
        <v>0</v>
      </c>
      <c r="M1380" s="169">
        <f>IFERROR(MATCH(J1380,'Final List'!$F$4:$F$251,0),0)</f>
        <v>0</v>
      </c>
      <c r="N1380" s="169">
        <f>IFERROR(MATCH(J1380,'Final List'!$H$4:$H$252,0),0)</f>
        <v>0</v>
      </c>
      <c r="O1380" s="169">
        <f>IFERROR(MATCH(J1380,'Final List'!$J$4:$J$252,0),0)</f>
        <v>0</v>
      </c>
      <c r="P1380" s="169">
        <f>IFERROR(MATCH(J1380,'Final List'!$L$4:$L$252,0),0)</f>
        <v>0</v>
      </c>
      <c r="Q1380" s="169">
        <f>IFERROR(MATCH(J1380,'Final List'!$N$4:$N$252,0),0)</f>
        <v>0</v>
      </c>
      <c r="R1380" s="169">
        <f>IFERROR(MATCH(J1380,'Final List'!$P$4:$P$252,0),0)</f>
        <v>0</v>
      </c>
      <c r="S1380" s="169">
        <f t="shared" si="87"/>
        <v>0</v>
      </c>
      <c r="V1380" s="169" t="str">
        <f t="shared" si="85"/>
        <v>MARTINEZ, DN 1</v>
      </c>
      <c r="W1380" s="169" t="s">
        <v>8895</v>
      </c>
    </row>
    <row r="1381" spans="2:23" x14ac:dyDescent="0.25">
      <c r="B1381" s="169" t="s">
        <v>258</v>
      </c>
      <c r="C1381" s="169" t="s">
        <v>39</v>
      </c>
      <c r="D1381" s="169" t="s">
        <v>173</v>
      </c>
      <c r="E1381" s="169" t="s">
        <v>61</v>
      </c>
      <c r="F1381" s="245" t="str">
        <f t="shared" si="86"/>
        <v>Dhoz 71</v>
      </c>
      <c r="G1381" s="169" t="s">
        <v>5703</v>
      </c>
      <c r="I1381" s="169" t="str">
        <f t="shared" si="88"/>
        <v>L10_JVHW_049E_DW</v>
      </c>
      <c r="J1381" s="169" t="s">
        <v>8431</v>
      </c>
      <c r="K1381" s="169">
        <f>IFERROR(MATCH(J1381,'Final List'!$B$4:$B$252,0),0)</f>
        <v>0</v>
      </c>
      <c r="L1381" s="169">
        <f>IFERROR(MATCH(J1381,'Final List'!$D$4:$D$252,0),0)</f>
        <v>0</v>
      </c>
      <c r="M1381" s="169">
        <f>IFERROR(MATCH(J1381,'Final List'!$F$4:$F$251,0),0)</f>
        <v>0</v>
      </c>
      <c r="N1381" s="169">
        <f>IFERROR(MATCH(J1381,'Final List'!$H$4:$H$252,0),0)</f>
        <v>0</v>
      </c>
      <c r="O1381" s="169">
        <f>IFERROR(MATCH(J1381,'Final List'!$J$4:$J$252,0),0)</f>
        <v>0</v>
      </c>
      <c r="P1381" s="169">
        <f>IFERROR(MATCH(J1381,'Final List'!$L$4:$L$252,0),0)</f>
        <v>0</v>
      </c>
      <c r="Q1381" s="169">
        <f>IFERROR(MATCH(J1381,'Final List'!$N$4:$N$252,0),0)</f>
        <v>0</v>
      </c>
      <c r="R1381" s="169">
        <f>IFERROR(MATCH(J1381,'Final List'!$P$4:$P$252,0),0)</f>
        <v>0</v>
      </c>
      <c r="S1381" s="169">
        <f t="shared" si="87"/>
        <v>0</v>
      </c>
      <c r="V1381" s="169" t="str">
        <f t="shared" si="85"/>
        <v>OLIVEROS 2</v>
      </c>
      <c r="W1381" s="169" t="s">
        <v>8896</v>
      </c>
    </row>
    <row r="1382" spans="2:23" x14ac:dyDescent="0.25">
      <c r="B1382" s="169" t="s">
        <v>93</v>
      </c>
      <c r="C1382" s="169" t="s">
        <v>55</v>
      </c>
      <c r="D1382" s="169" t="s">
        <v>5835</v>
      </c>
      <c r="E1382" s="169" t="s">
        <v>62</v>
      </c>
      <c r="F1382" s="245" t="str">
        <f t="shared" si="86"/>
        <v>RobS 79</v>
      </c>
      <c r="G1382" s="169" t="s">
        <v>5717</v>
      </c>
      <c r="I1382" s="169" t="str">
        <f t="shared" si="88"/>
        <v>L06_JVFW_003W_ROBBING</v>
      </c>
      <c r="J1382" s="169" t="s">
        <v>8435</v>
      </c>
      <c r="K1382" s="169">
        <f>IFERROR(MATCH(J1382,'Final List'!$B$4:$B$252,0),0)</f>
        <v>0</v>
      </c>
      <c r="L1382" s="169">
        <f>IFERROR(MATCH(J1382,'Final List'!$D$4:$D$252,0),0)</f>
        <v>0</v>
      </c>
      <c r="M1382" s="169">
        <f>IFERROR(MATCH(J1382,'Final List'!$F$4:$F$251,0),0)</f>
        <v>0</v>
      </c>
      <c r="N1382" s="169">
        <f>IFERROR(MATCH(J1382,'Final List'!$H$4:$H$252,0),0)</f>
        <v>0</v>
      </c>
      <c r="O1382" s="169">
        <f>IFERROR(MATCH(J1382,'Final List'!$J$4:$J$252,0),0)</f>
        <v>0</v>
      </c>
      <c r="P1382" s="169">
        <f>IFERROR(MATCH(J1382,'Final List'!$L$4:$L$252,0),0)</f>
        <v>0</v>
      </c>
      <c r="Q1382" s="169">
        <f>IFERROR(MATCH(J1382,'Final List'!$N$4:$N$252,0),0)</f>
        <v>0</v>
      </c>
      <c r="R1382" s="169">
        <f>IFERROR(MATCH(J1382,'Final List'!$P$4:$P$252,0),0)</f>
        <v>0</v>
      </c>
      <c r="S1382" s="169">
        <f t="shared" si="87"/>
        <v>0</v>
      </c>
      <c r="T1382" s="169" t="s">
        <v>68</v>
      </c>
      <c r="V1382" s="169" t="str">
        <f t="shared" si="85"/>
        <v>SHEPHERD AC 1</v>
      </c>
      <c r="W1382" s="169" t="s">
        <v>2707</v>
      </c>
    </row>
    <row r="1383" spans="2:23" x14ac:dyDescent="0.25">
      <c r="B1383" s="169" t="s">
        <v>258</v>
      </c>
      <c r="C1383" s="169" t="s">
        <v>38</v>
      </c>
      <c r="D1383" s="169" t="s">
        <v>169</v>
      </c>
      <c r="E1383" s="169" t="s">
        <v>61</v>
      </c>
      <c r="F1383" s="245" t="str">
        <f t="shared" si="86"/>
        <v>Dhoz 71</v>
      </c>
      <c r="G1383" s="169" t="s">
        <v>318</v>
      </c>
      <c r="I1383" s="169" t="str">
        <f t="shared" si="88"/>
        <v>L10_GHV_065E_DW</v>
      </c>
      <c r="J1383" s="169" t="s">
        <v>8437</v>
      </c>
      <c r="K1383" s="169">
        <f>IFERROR(MATCH(J1383,'Final List'!$B$4:$B$252,0),0)</f>
        <v>0</v>
      </c>
      <c r="L1383" s="169">
        <f>IFERROR(MATCH(J1383,'Final List'!$D$4:$D$252,0),0)</f>
        <v>0</v>
      </c>
      <c r="M1383" s="169">
        <f>IFERROR(MATCH(J1383,'Final List'!$F$4:$F$251,0),0)</f>
        <v>0</v>
      </c>
      <c r="N1383" s="169">
        <f>IFERROR(MATCH(J1383,'Final List'!$H$4:$H$252,0),0)</f>
        <v>0</v>
      </c>
      <c r="O1383" s="169">
        <f>IFERROR(MATCH(J1383,'Final List'!$J$4:$J$252,0),0)</f>
        <v>0</v>
      </c>
      <c r="P1383" s="169">
        <f>IFERROR(MATCH(J1383,'Final List'!$L$4:$L$252,0),0)</f>
        <v>0</v>
      </c>
      <c r="Q1383" s="169">
        <f>IFERROR(MATCH(J1383,'Final List'!$N$4:$N$252,0),0)</f>
        <v>0</v>
      </c>
      <c r="R1383" s="169">
        <f>IFERROR(MATCH(J1383,'Final List'!$P$4:$P$252,0),0)</f>
        <v>0</v>
      </c>
      <c r="S1383" s="169">
        <f t="shared" si="87"/>
        <v>0</v>
      </c>
      <c r="V1383" s="169" t="str">
        <f t="shared" si="85"/>
        <v>PARAGUYA 3</v>
      </c>
      <c r="W1383" s="169" t="s">
        <v>8896</v>
      </c>
    </row>
    <row r="1384" spans="2:23" x14ac:dyDescent="0.25">
      <c r="B1384" s="169" t="s">
        <v>8904</v>
      </c>
      <c r="C1384" s="169" t="s">
        <v>57</v>
      </c>
      <c r="D1384" s="169" t="s">
        <v>6139</v>
      </c>
      <c r="E1384" s="169" t="s">
        <v>62</v>
      </c>
      <c r="F1384" s="245" t="str">
        <f t="shared" si="86"/>
        <v>RobS 79</v>
      </c>
      <c r="G1384" s="169" t="s">
        <v>9348</v>
      </c>
      <c r="I1384" s="169" t="str">
        <f t="shared" si="88"/>
        <v>L03_JVSPLIT_030W_ROBBING</v>
      </c>
      <c r="J1384" s="169" t="s">
        <v>8438</v>
      </c>
      <c r="K1384" s="169">
        <f>IFERROR(MATCH(J1384,'Final List'!$B$4:$B$252,0),0)</f>
        <v>0</v>
      </c>
      <c r="L1384" s="169">
        <f>IFERROR(MATCH(J1384,'Final List'!$D$4:$D$252,0),0)</f>
        <v>0</v>
      </c>
      <c r="M1384" s="169">
        <f>IFERROR(MATCH(J1384,'Final List'!$F$4:$F$251,0),0)</f>
        <v>0</v>
      </c>
      <c r="N1384" s="169">
        <f>IFERROR(MATCH(J1384,'Final List'!$H$4:$H$252,0),0)</f>
        <v>0</v>
      </c>
      <c r="O1384" s="169">
        <f>IFERROR(MATCH(J1384,'Final List'!$J$4:$J$252,0),0)</f>
        <v>0</v>
      </c>
      <c r="P1384" s="169">
        <f>IFERROR(MATCH(J1384,'Final List'!$L$4:$L$252,0),0)</f>
        <v>0</v>
      </c>
      <c r="Q1384" s="169">
        <f>IFERROR(MATCH(J1384,'Final List'!$N$4:$N$252,0),0)</f>
        <v>0</v>
      </c>
      <c r="R1384" s="169">
        <f>IFERROR(MATCH(J1384,'Final List'!$P$4:$P$252,0),0)</f>
        <v>0</v>
      </c>
      <c r="S1384" s="169">
        <f t="shared" si="87"/>
        <v>0</v>
      </c>
      <c r="T1384" s="169" t="s">
        <v>68</v>
      </c>
      <c r="V1384" s="169" t="str">
        <f t="shared" si="85"/>
        <v>FERNANDEZ, RM 1</v>
      </c>
      <c r="W1384" s="169" t="s">
        <v>2707</v>
      </c>
    </row>
    <row r="1385" spans="2:23" x14ac:dyDescent="0.25">
      <c r="B1385" s="169" t="s">
        <v>258</v>
      </c>
      <c r="C1385" s="169" t="s">
        <v>45</v>
      </c>
      <c r="D1385" s="169" t="s">
        <v>4482</v>
      </c>
      <c r="E1385" s="169" t="s">
        <v>19</v>
      </c>
      <c r="F1385" s="245" t="str">
        <f t="shared" si="86"/>
        <v>DVR 72</v>
      </c>
      <c r="G1385" s="169" t="s">
        <v>352</v>
      </c>
      <c r="I1385" s="169" t="str">
        <f t="shared" si="88"/>
        <v>L10_DPVE_084E_RAISE</v>
      </c>
      <c r="J1385" s="169" t="s">
        <v>8439</v>
      </c>
      <c r="K1385" s="169">
        <f>IFERROR(MATCH(J1385,'Final List'!$B$4:$B$252,0),0)</f>
        <v>0</v>
      </c>
      <c r="L1385" s="169">
        <f>IFERROR(MATCH(J1385,'Final List'!$D$4:$D$252,0),0)</f>
        <v>0</v>
      </c>
      <c r="M1385" s="169">
        <f>IFERROR(MATCH(J1385,'Final List'!$F$4:$F$251,0),0)</f>
        <v>0</v>
      </c>
      <c r="N1385" s="169">
        <f>IFERROR(MATCH(J1385,'Final List'!$H$4:$H$252,0),0)</f>
        <v>0</v>
      </c>
      <c r="O1385" s="169">
        <f>IFERROR(MATCH(J1385,'Final List'!$J$4:$J$252,0),0)</f>
        <v>0</v>
      </c>
      <c r="P1385" s="169">
        <f>IFERROR(MATCH(J1385,'Final List'!$L$4:$L$252,0),0)</f>
        <v>0</v>
      </c>
      <c r="Q1385" s="169">
        <f>IFERROR(MATCH(J1385,'Final List'!$N$4:$N$252,0),0)</f>
        <v>0</v>
      </c>
      <c r="R1385" s="169">
        <f>IFERROR(MATCH(J1385,'Final List'!$P$4:$P$252,0),0)</f>
        <v>0</v>
      </c>
      <c r="S1385" s="169">
        <f t="shared" si="87"/>
        <v>0</v>
      </c>
      <c r="V1385" s="169" t="str">
        <f t="shared" si="85"/>
        <v>BAÑEZ 5</v>
      </c>
      <c r="W1385" s="169" t="s">
        <v>2715</v>
      </c>
    </row>
    <row r="1386" spans="2:23" x14ac:dyDescent="0.25">
      <c r="B1386" s="169" t="s">
        <v>94</v>
      </c>
      <c r="C1386" s="169" t="s">
        <v>57</v>
      </c>
      <c r="D1386" s="169" t="s">
        <v>171</v>
      </c>
      <c r="E1386" s="169" t="s">
        <v>6143</v>
      </c>
      <c r="F1386" s="245" t="str">
        <f t="shared" si="86"/>
        <v>Dhoz 71</v>
      </c>
      <c r="G1386" s="169" t="s">
        <v>344</v>
      </c>
      <c r="I1386" s="169" t="str">
        <f t="shared" si="88"/>
        <v>L07_JVSPLIT_015W_DE_ISL</v>
      </c>
      <c r="J1386" s="169" t="s">
        <v>8442</v>
      </c>
      <c r="K1386" s="169">
        <f>IFERROR(MATCH(J1386,'Final List'!$B$4:$B$252,0),0)</f>
        <v>0</v>
      </c>
      <c r="L1386" s="169">
        <f>IFERROR(MATCH(J1386,'Final List'!$D$4:$D$252,0),0)</f>
        <v>0</v>
      </c>
      <c r="M1386" s="169">
        <f>IFERROR(MATCH(J1386,'Final List'!$F$4:$F$251,0),0)</f>
        <v>0</v>
      </c>
      <c r="N1386" s="169">
        <f>IFERROR(MATCH(J1386,'Final List'!$H$4:$H$252,0),0)</f>
        <v>0</v>
      </c>
      <c r="O1386" s="169">
        <f>IFERROR(MATCH(J1386,'Final List'!$J$4:$J$252,0),0)</f>
        <v>0</v>
      </c>
      <c r="P1386" s="169">
        <f>IFERROR(MATCH(J1386,'Final List'!$L$4:$L$252,0),0)</f>
        <v>0</v>
      </c>
      <c r="Q1386" s="169">
        <f>IFERROR(MATCH(J1386,'Final List'!$N$4:$N$252,0),0)</f>
        <v>0</v>
      </c>
      <c r="R1386" s="169">
        <f>IFERROR(MATCH(J1386,'Final List'!$P$4:$P$252,0),0)</f>
        <v>0</v>
      </c>
      <c r="S1386" s="169">
        <f t="shared" si="87"/>
        <v>0</v>
      </c>
      <c r="V1386" s="169" t="str">
        <f t="shared" si="85"/>
        <v>UDLOS 1</v>
      </c>
      <c r="W1386" s="169" t="s">
        <v>2708</v>
      </c>
    </row>
    <row r="1387" spans="2:23" x14ac:dyDescent="0.25">
      <c r="B1387" s="169" t="s">
        <v>94</v>
      </c>
      <c r="C1387" s="169" t="s">
        <v>42</v>
      </c>
      <c r="D1387" s="169" t="s">
        <v>7301</v>
      </c>
      <c r="E1387" s="169" t="s">
        <v>6143</v>
      </c>
      <c r="F1387" s="245" t="str">
        <f t="shared" si="86"/>
        <v>Dhoz 71</v>
      </c>
      <c r="G1387" s="169" t="s">
        <v>8199</v>
      </c>
      <c r="I1387" s="169" t="str">
        <f t="shared" si="88"/>
        <v>L07_JV_010W_DE_ISL</v>
      </c>
      <c r="J1387" s="169" t="s">
        <v>8443</v>
      </c>
      <c r="K1387" s="169">
        <f>IFERROR(MATCH(J1387,'Final List'!$B$4:$B$252,0),0)</f>
        <v>0</v>
      </c>
      <c r="L1387" s="169">
        <f>IFERROR(MATCH(J1387,'Final List'!$D$4:$D$252,0),0)</f>
        <v>0</v>
      </c>
      <c r="M1387" s="169">
        <f>IFERROR(MATCH(J1387,'Final List'!$F$4:$F$251,0),0)</f>
        <v>0</v>
      </c>
      <c r="N1387" s="169">
        <f>IFERROR(MATCH(J1387,'Final List'!$H$4:$H$252,0),0)</f>
        <v>0</v>
      </c>
      <c r="O1387" s="169">
        <f>IFERROR(MATCH(J1387,'Final List'!$J$4:$J$252,0),0)</f>
        <v>0</v>
      </c>
      <c r="P1387" s="169">
        <f>IFERROR(MATCH(J1387,'Final List'!$L$4:$L$252,0),0)</f>
        <v>0</v>
      </c>
      <c r="Q1387" s="169">
        <f>IFERROR(MATCH(J1387,'Final List'!$N$4:$N$252,0),0)</f>
        <v>0</v>
      </c>
      <c r="R1387" s="169">
        <f>IFERROR(MATCH(J1387,'Final List'!$P$4:$P$252,0),0)</f>
        <v>0</v>
      </c>
      <c r="S1387" s="169">
        <f t="shared" si="87"/>
        <v>0</v>
      </c>
      <c r="V1387" s="169" t="str">
        <f t="shared" si="85"/>
        <v>SHEPHERD AT 1</v>
      </c>
      <c r="W1387" s="169" t="s">
        <v>2708</v>
      </c>
    </row>
    <row r="1388" spans="2:23" x14ac:dyDescent="0.25">
      <c r="B1388" s="169" t="s">
        <v>92</v>
      </c>
      <c r="C1388" s="169" t="s">
        <v>39</v>
      </c>
      <c r="D1388" s="169" t="s">
        <v>110</v>
      </c>
      <c r="E1388" s="169" t="s">
        <v>211</v>
      </c>
      <c r="F1388" s="245" t="str">
        <f t="shared" si="86"/>
        <v>StpS 77</v>
      </c>
      <c r="G1388" s="169" t="s">
        <v>1003</v>
      </c>
      <c r="I1388" s="169" t="str">
        <f t="shared" si="88"/>
        <v>L05_JVHW_004E_STOPE PREP</v>
      </c>
      <c r="J1388" s="169" t="s">
        <v>8446</v>
      </c>
      <c r="K1388" s="169">
        <f>IFERROR(MATCH(J1388,'Final List'!$B$4:$B$252,0),0)</f>
        <v>0</v>
      </c>
      <c r="L1388" s="169">
        <f>IFERROR(MATCH(J1388,'Final List'!$D$4:$D$252,0),0)</f>
        <v>0</v>
      </c>
      <c r="M1388" s="169">
        <f>IFERROR(MATCH(J1388,'Final List'!$F$4:$F$251,0),0)</f>
        <v>0</v>
      </c>
      <c r="N1388" s="169">
        <f>IFERROR(MATCH(J1388,'Final List'!$H$4:$H$252,0),0)</f>
        <v>0</v>
      </c>
      <c r="O1388" s="169">
        <f>IFERROR(MATCH(J1388,'Final List'!$J$4:$J$252,0),0)</f>
        <v>0</v>
      </c>
      <c r="P1388" s="169">
        <f>IFERROR(MATCH(J1388,'Final List'!$L$4:$L$252,0),0)</f>
        <v>0</v>
      </c>
      <c r="Q1388" s="169">
        <f>IFERROR(MATCH(J1388,'Final List'!$N$4:$N$252,0),0)</f>
        <v>0</v>
      </c>
      <c r="R1388" s="169">
        <f>IFERROR(MATCH(J1388,'Final List'!$P$4:$P$252,0),0)</f>
        <v>0</v>
      </c>
      <c r="S1388" s="169">
        <f t="shared" si="87"/>
        <v>0</v>
      </c>
      <c r="T1388" s="169" t="s">
        <v>68</v>
      </c>
      <c r="V1388" s="169" t="str">
        <f t="shared" si="85"/>
        <v>BAYOBAY 2</v>
      </c>
      <c r="W1388" s="169" t="s">
        <v>2712</v>
      </c>
    </row>
    <row r="1389" spans="2:23" x14ac:dyDescent="0.25">
      <c r="B1389" s="169" t="s">
        <v>94</v>
      </c>
      <c r="C1389" s="169" t="s">
        <v>56</v>
      </c>
      <c r="D1389" s="169" t="s">
        <v>115</v>
      </c>
      <c r="E1389" s="169" t="s">
        <v>62</v>
      </c>
      <c r="F1389" s="245" t="str">
        <f t="shared" si="86"/>
        <v>RobC 80</v>
      </c>
      <c r="G1389" s="169" t="s">
        <v>5921</v>
      </c>
      <c r="I1389" s="169" t="str">
        <f t="shared" si="88"/>
        <v>L07_GHVFW_019W_ROBBING</v>
      </c>
      <c r="J1389" s="169" t="s">
        <v>8448</v>
      </c>
      <c r="K1389" s="169">
        <f>IFERROR(MATCH(J1389,'Final List'!$B$4:$B$252,0),0)</f>
        <v>0</v>
      </c>
      <c r="L1389" s="169">
        <f>IFERROR(MATCH(J1389,'Final List'!$D$4:$D$252,0),0)</f>
        <v>0</v>
      </c>
      <c r="M1389" s="169">
        <f>IFERROR(MATCH(J1389,'Final List'!$F$4:$F$251,0),0)</f>
        <v>0</v>
      </c>
      <c r="N1389" s="169">
        <f>IFERROR(MATCH(J1389,'Final List'!$H$4:$H$252,0),0)</f>
        <v>0</v>
      </c>
      <c r="O1389" s="169">
        <f>IFERROR(MATCH(J1389,'Final List'!$J$4:$J$252,0),0)</f>
        <v>0</v>
      </c>
      <c r="P1389" s="169">
        <f>IFERROR(MATCH(J1389,'Final List'!$L$4:$L$252,0),0)</f>
        <v>0</v>
      </c>
      <c r="Q1389" s="169">
        <f>IFERROR(MATCH(J1389,'Final List'!$N$4:$N$252,0),0)</f>
        <v>0</v>
      </c>
      <c r="R1389" s="169">
        <f>IFERROR(MATCH(J1389,'Final List'!$P$4:$P$252,0),0)</f>
        <v>0</v>
      </c>
      <c r="S1389" s="169">
        <f t="shared" si="87"/>
        <v>0</v>
      </c>
      <c r="T1389" s="169" t="s">
        <v>48</v>
      </c>
      <c r="V1389" s="169" t="str">
        <f t="shared" si="85"/>
        <v>TURRA 2</v>
      </c>
      <c r="W1389" s="169" t="s">
        <v>236</v>
      </c>
    </row>
    <row r="1390" spans="2:23" x14ac:dyDescent="0.25">
      <c r="B1390" s="169" t="s">
        <v>94</v>
      </c>
      <c r="C1390" s="169" t="s">
        <v>45</v>
      </c>
      <c r="D1390" s="169" t="s">
        <v>6033</v>
      </c>
      <c r="E1390" s="169" t="s">
        <v>6143</v>
      </c>
      <c r="F1390" s="245" t="str">
        <f t="shared" si="86"/>
        <v>Dhoz 71</v>
      </c>
      <c r="G1390" s="169" t="s">
        <v>7719</v>
      </c>
      <c r="I1390" s="169" t="str">
        <f t="shared" si="88"/>
        <v>L07_DPVE_013E_DE_ISL</v>
      </c>
      <c r="J1390" s="169" t="s">
        <v>8450</v>
      </c>
      <c r="K1390" s="169">
        <f>IFERROR(MATCH(J1390,'Final List'!$B$4:$B$252,0),0)</f>
        <v>0</v>
      </c>
      <c r="L1390" s="169">
        <f>IFERROR(MATCH(J1390,'Final List'!$D$4:$D$252,0),0)</f>
        <v>0</v>
      </c>
      <c r="M1390" s="169">
        <f>IFERROR(MATCH(J1390,'Final List'!$F$4:$F$251,0),0)</f>
        <v>0</v>
      </c>
      <c r="N1390" s="169">
        <f>IFERROR(MATCH(J1390,'Final List'!$H$4:$H$252,0),0)</f>
        <v>0</v>
      </c>
      <c r="O1390" s="169">
        <f>IFERROR(MATCH(J1390,'Final List'!$J$4:$J$252,0),0)</f>
        <v>0</v>
      </c>
      <c r="P1390" s="169">
        <f>IFERROR(MATCH(J1390,'Final List'!$L$4:$L$252,0),0)</f>
        <v>0</v>
      </c>
      <c r="Q1390" s="169">
        <f>IFERROR(MATCH(J1390,'Final List'!$N$4:$N$252,0),0)</f>
        <v>0</v>
      </c>
      <c r="R1390" s="169">
        <f>IFERROR(MATCH(J1390,'Final List'!$P$4:$P$252,0),0)</f>
        <v>0</v>
      </c>
      <c r="S1390" s="169">
        <f t="shared" si="87"/>
        <v>0</v>
      </c>
      <c r="V1390" s="169" t="str">
        <f t="shared" si="85"/>
        <v>TURRA 4</v>
      </c>
      <c r="W1390" s="169" t="s">
        <v>2708</v>
      </c>
    </row>
    <row r="1391" spans="2:23" x14ac:dyDescent="0.25">
      <c r="B1391" s="169" t="s">
        <v>1166</v>
      </c>
      <c r="C1391" s="169" t="s">
        <v>55</v>
      </c>
      <c r="D1391" s="169" t="s">
        <v>218</v>
      </c>
      <c r="E1391" s="169" t="s">
        <v>60</v>
      </c>
      <c r="F1391" s="245" t="str">
        <f t="shared" si="86"/>
        <v>Dhoz 71</v>
      </c>
      <c r="G1391" s="169" t="s">
        <v>6926</v>
      </c>
      <c r="H1391" s="169" t="s">
        <v>452</v>
      </c>
      <c r="I1391" s="169" t="str">
        <f t="shared" si="88"/>
        <v>L11_JVFW_062E_DE</v>
      </c>
      <c r="J1391" s="169" t="s">
        <v>8452</v>
      </c>
      <c r="K1391" s="169">
        <f>IFERROR(MATCH(J1391,'Final List'!$B$4:$B$252,0),0)</f>
        <v>0</v>
      </c>
      <c r="L1391" s="169">
        <f>IFERROR(MATCH(J1391,'Final List'!$D$4:$D$252,0),0)</f>
        <v>0</v>
      </c>
      <c r="M1391" s="169">
        <f>IFERROR(MATCH(J1391,'Final List'!$F$4:$F$251,0),0)</f>
        <v>0</v>
      </c>
      <c r="N1391" s="169">
        <f>IFERROR(MATCH(J1391,'Final List'!$H$4:$H$252,0),0)</f>
        <v>0</v>
      </c>
      <c r="O1391" s="169">
        <f>IFERROR(MATCH(J1391,'Final List'!$J$4:$J$252,0),0)</f>
        <v>0</v>
      </c>
      <c r="P1391" s="169">
        <f>IFERROR(MATCH(J1391,'Final List'!$L$4:$L$252,0),0)</f>
        <v>0</v>
      </c>
      <c r="Q1391" s="169">
        <f>IFERROR(MATCH(J1391,'Final List'!$N$4:$N$252,0),0)</f>
        <v>0</v>
      </c>
      <c r="R1391" s="169">
        <f>IFERROR(MATCH(J1391,'Final List'!$P$4:$P$252,0),0)</f>
        <v>0</v>
      </c>
      <c r="S1391" s="169">
        <f t="shared" si="87"/>
        <v>0</v>
      </c>
      <c r="V1391" s="169" t="str">
        <f t="shared" si="85"/>
        <v>BAÑEZ 6</v>
      </c>
      <c r="W1391" s="169" t="s">
        <v>8896</v>
      </c>
    </row>
    <row r="1392" spans="2:23" x14ac:dyDescent="0.25">
      <c r="B1392" s="169" t="s">
        <v>1166</v>
      </c>
      <c r="C1392" s="169" t="s">
        <v>59</v>
      </c>
      <c r="D1392" s="169" t="s">
        <v>169</v>
      </c>
      <c r="E1392" s="169" t="s">
        <v>211</v>
      </c>
      <c r="F1392" s="245" t="str">
        <f t="shared" si="86"/>
        <v>StpS 77</v>
      </c>
      <c r="G1392" s="169" t="s">
        <v>447</v>
      </c>
      <c r="I1392" s="169" t="str">
        <f t="shared" si="88"/>
        <v>L11_GHVHW_065E_STOPE PREP</v>
      </c>
      <c r="J1392" s="169" t="s">
        <v>8454</v>
      </c>
      <c r="K1392" s="169">
        <f>IFERROR(MATCH(J1392,'Final List'!$B$4:$B$252,0),0)</f>
        <v>0</v>
      </c>
      <c r="L1392" s="169">
        <f>IFERROR(MATCH(J1392,'Final List'!$D$4:$D$252,0),0)</f>
        <v>0</v>
      </c>
      <c r="M1392" s="169">
        <f>IFERROR(MATCH(J1392,'Final List'!$F$4:$F$251,0),0)</f>
        <v>0</v>
      </c>
      <c r="N1392" s="169">
        <f>IFERROR(MATCH(J1392,'Final List'!$H$4:$H$252,0),0)</f>
        <v>0</v>
      </c>
      <c r="O1392" s="169">
        <f>IFERROR(MATCH(J1392,'Final List'!$J$4:$J$252,0),0)</f>
        <v>0</v>
      </c>
      <c r="P1392" s="169">
        <f>IFERROR(MATCH(J1392,'Final List'!$L$4:$L$252,0),0)</f>
        <v>0</v>
      </c>
      <c r="Q1392" s="169">
        <f>IFERROR(MATCH(J1392,'Final List'!$N$4:$N$252,0),0)</f>
        <v>0</v>
      </c>
      <c r="R1392" s="169">
        <f>IFERROR(MATCH(J1392,'Final List'!$P$4:$P$252,0),0)</f>
        <v>0</v>
      </c>
      <c r="S1392" s="169">
        <f t="shared" si="87"/>
        <v>0</v>
      </c>
      <c r="T1392" s="169" t="s">
        <v>68</v>
      </c>
      <c r="V1392" s="169" t="str">
        <f t="shared" si="85"/>
        <v>COMAINGKING 1</v>
      </c>
      <c r="W1392" s="169" t="s">
        <v>2712</v>
      </c>
    </row>
    <row r="1393" spans="2:23" x14ac:dyDescent="0.25">
      <c r="B1393" s="169" t="s">
        <v>93</v>
      </c>
      <c r="C1393" s="169" t="s">
        <v>45</v>
      </c>
      <c r="D1393" s="169" t="s">
        <v>5742</v>
      </c>
      <c r="E1393" s="169" t="s">
        <v>19</v>
      </c>
      <c r="F1393" s="245" t="str">
        <f t="shared" si="86"/>
        <v>DVR 72</v>
      </c>
      <c r="G1393" s="169" t="s">
        <v>356</v>
      </c>
      <c r="I1393" s="169" t="str">
        <f t="shared" si="88"/>
        <v>L06_DPVE_040E_RAISE</v>
      </c>
      <c r="J1393" s="169" t="s">
        <v>8455</v>
      </c>
      <c r="K1393" s="169">
        <f>IFERROR(MATCH(J1393,'Final List'!$B$4:$B$252,0),0)</f>
        <v>0</v>
      </c>
      <c r="L1393" s="169">
        <f>IFERROR(MATCH(J1393,'Final List'!$D$4:$D$252,0),0)</f>
        <v>0</v>
      </c>
      <c r="M1393" s="169">
        <f>IFERROR(MATCH(J1393,'Final List'!$F$4:$F$251,0),0)</f>
        <v>0</v>
      </c>
      <c r="N1393" s="169">
        <f>IFERROR(MATCH(J1393,'Final List'!$H$4:$H$252,0),0)</f>
        <v>0</v>
      </c>
      <c r="O1393" s="169">
        <f>IFERROR(MATCH(J1393,'Final List'!$J$4:$J$252,0),0)</f>
        <v>0</v>
      </c>
      <c r="P1393" s="169">
        <f>IFERROR(MATCH(J1393,'Final List'!$L$4:$L$252,0),0)</f>
        <v>0</v>
      </c>
      <c r="Q1393" s="169">
        <f>IFERROR(MATCH(J1393,'Final List'!$N$4:$N$252,0),0)</f>
        <v>0</v>
      </c>
      <c r="R1393" s="169">
        <f>IFERROR(MATCH(J1393,'Final List'!$P$4:$P$252,0),0)</f>
        <v>0</v>
      </c>
      <c r="S1393" s="169">
        <f t="shared" si="87"/>
        <v>0</v>
      </c>
      <c r="V1393" s="169" t="str">
        <f t="shared" si="85"/>
        <v>BAÑEZ 1</v>
      </c>
      <c r="W1393" s="169" t="s">
        <v>2715</v>
      </c>
    </row>
    <row r="1394" spans="2:23" x14ac:dyDescent="0.25">
      <c r="B1394" s="169" t="s">
        <v>93</v>
      </c>
      <c r="C1394" s="169" t="s">
        <v>42</v>
      </c>
      <c r="D1394" s="169" t="s">
        <v>101</v>
      </c>
      <c r="E1394" s="169" t="s">
        <v>20</v>
      </c>
      <c r="F1394" s="245" t="str">
        <f t="shared" si="86"/>
        <v>DVW 74</v>
      </c>
      <c r="G1394" s="169" t="s">
        <v>1506</v>
      </c>
      <c r="I1394" s="169" t="str">
        <f t="shared" si="88"/>
        <v>L06_JV_023W_WINZE</v>
      </c>
      <c r="J1394" s="169" t="s">
        <v>8457</v>
      </c>
      <c r="K1394" s="169">
        <f>IFERROR(MATCH(J1394,'Final List'!$B$4:$B$252,0),0)</f>
        <v>0</v>
      </c>
      <c r="L1394" s="169">
        <f>IFERROR(MATCH(J1394,'Final List'!$D$4:$D$252,0),0)</f>
        <v>0</v>
      </c>
      <c r="M1394" s="169">
        <f>IFERROR(MATCH(J1394,'Final List'!$F$4:$F$251,0),0)</f>
        <v>0</v>
      </c>
      <c r="N1394" s="169">
        <f>IFERROR(MATCH(J1394,'Final List'!$H$4:$H$252,0),0)</f>
        <v>0</v>
      </c>
      <c r="O1394" s="169">
        <f>IFERROR(MATCH(J1394,'Final List'!$J$4:$J$252,0),0)</f>
        <v>0</v>
      </c>
      <c r="P1394" s="169">
        <f>IFERROR(MATCH(J1394,'Final List'!$L$4:$L$252,0),0)</f>
        <v>0</v>
      </c>
      <c r="Q1394" s="169">
        <f>IFERROR(MATCH(J1394,'Final List'!$N$4:$N$252,0),0)</f>
        <v>0</v>
      </c>
      <c r="R1394" s="169">
        <f>IFERROR(MATCH(J1394,'Final List'!$P$4:$P$252,0),0)</f>
        <v>0</v>
      </c>
      <c r="S1394" s="169">
        <f t="shared" si="87"/>
        <v>0</v>
      </c>
      <c r="V1394" s="169" t="str">
        <f t="shared" si="85"/>
        <v>GUNAY</v>
      </c>
      <c r="W1394" s="169" t="s">
        <v>2706</v>
      </c>
    </row>
    <row r="1395" spans="2:23" x14ac:dyDescent="0.25">
      <c r="B1395" s="169" t="s">
        <v>258</v>
      </c>
      <c r="C1395" s="169" t="s">
        <v>45</v>
      </c>
      <c r="D1395" s="169" t="s">
        <v>284</v>
      </c>
      <c r="E1395" s="169" t="s">
        <v>19</v>
      </c>
      <c r="F1395" s="245" t="str">
        <f t="shared" si="86"/>
        <v>DVR 72</v>
      </c>
      <c r="G1395" s="169" t="s">
        <v>5701</v>
      </c>
      <c r="I1395" s="169" t="str">
        <f t="shared" si="88"/>
        <v>L10_DPVE_061E_RAISE</v>
      </c>
      <c r="J1395" s="169" t="s">
        <v>3918</v>
      </c>
      <c r="K1395" s="169">
        <f>IFERROR(MATCH(J1395,'Final List'!$B$4:$B$252,0),0)</f>
        <v>0</v>
      </c>
      <c r="L1395" s="169">
        <f>IFERROR(MATCH(J1395,'Final List'!$D$4:$D$252,0),0)</f>
        <v>0</v>
      </c>
      <c r="M1395" s="169">
        <f>IFERROR(MATCH(J1395,'Final List'!$F$4:$F$251,0),0)</f>
        <v>0</v>
      </c>
      <c r="N1395" s="169">
        <f>IFERROR(MATCH(J1395,'Final List'!$H$4:$H$252,0),0)</f>
        <v>0</v>
      </c>
      <c r="O1395" s="169">
        <f>IFERROR(MATCH(J1395,'Final List'!$J$4:$J$252,0),0)</f>
        <v>0</v>
      </c>
      <c r="P1395" s="169">
        <f>IFERROR(MATCH(J1395,'Final List'!$L$4:$L$252,0),0)</f>
        <v>0</v>
      </c>
      <c r="Q1395" s="169">
        <f>IFERROR(MATCH(J1395,'Final List'!$N$4:$N$252,0),0)</f>
        <v>0</v>
      </c>
      <c r="R1395" s="169">
        <f>IFERROR(MATCH(J1395,'Final List'!$P$4:$P$252,0),0)</f>
        <v>0</v>
      </c>
      <c r="S1395" s="169">
        <f t="shared" si="87"/>
        <v>0</v>
      </c>
      <c r="V1395" s="169" t="str">
        <f t="shared" si="85"/>
        <v>LARGO 2</v>
      </c>
      <c r="W1395" s="169" t="s">
        <v>2715</v>
      </c>
    </row>
    <row r="1396" spans="2:23" x14ac:dyDescent="0.25">
      <c r="B1396" s="169" t="s">
        <v>92</v>
      </c>
      <c r="C1396" s="169" t="s">
        <v>57</v>
      </c>
      <c r="D1396" s="169" t="s">
        <v>171</v>
      </c>
      <c r="E1396" s="169" t="s">
        <v>6144</v>
      </c>
      <c r="F1396" s="245" t="str">
        <f t="shared" si="86"/>
        <v>DVR 72</v>
      </c>
      <c r="G1396" s="169" t="s">
        <v>1577</v>
      </c>
      <c r="I1396" s="169" t="str">
        <f t="shared" si="88"/>
        <v>L05_JVSPLIT_015W_RAISE_ISL</v>
      </c>
      <c r="J1396" s="169" t="s">
        <v>8544</v>
      </c>
      <c r="K1396" s="169">
        <f>IFERROR(MATCH(J1396,'Final List'!$B$4:$B$252,0),0)</f>
        <v>0</v>
      </c>
      <c r="L1396" s="169">
        <f>IFERROR(MATCH(J1396,'Final List'!$D$4:$D$252,0),0)</f>
        <v>0</v>
      </c>
      <c r="M1396" s="169">
        <f>IFERROR(MATCH(J1396,'Final List'!$F$4:$F$251,0),0)</f>
        <v>0</v>
      </c>
      <c r="N1396" s="169">
        <f>IFERROR(MATCH(J1396,'Final List'!$H$4:$H$252,0),0)</f>
        <v>0</v>
      </c>
      <c r="O1396" s="169">
        <f>IFERROR(MATCH(J1396,'Final List'!$J$4:$J$252,0),0)</f>
        <v>0</v>
      </c>
      <c r="P1396" s="169">
        <f>IFERROR(MATCH(J1396,'Final List'!$L$4:$L$252,0),0)</f>
        <v>0</v>
      </c>
      <c r="Q1396" s="169">
        <f>IFERROR(MATCH(J1396,'Final List'!$N$4:$N$252,0),0)</f>
        <v>0</v>
      </c>
      <c r="R1396" s="169">
        <f>IFERROR(MATCH(J1396,'Final List'!$P$4:$P$252,0),0)</f>
        <v>0</v>
      </c>
      <c r="S1396" s="169">
        <f t="shared" si="87"/>
        <v>0</v>
      </c>
      <c r="V1396" s="169" t="str">
        <f t="shared" si="85"/>
        <v>PANCIT, NOEL 2</v>
      </c>
      <c r="W1396" s="169" t="s">
        <v>2715</v>
      </c>
    </row>
    <row r="1397" spans="2:23" x14ac:dyDescent="0.25">
      <c r="B1397" s="169" t="s">
        <v>92</v>
      </c>
      <c r="C1397" s="169" t="s">
        <v>39</v>
      </c>
      <c r="D1397" s="169" t="s">
        <v>103</v>
      </c>
      <c r="E1397" s="169" t="s">
        <v>60</v>
      </c>
      <c r="F1397" s="245" t="str">
        <f t="shared" si="86"/>
        <v>Dhoz 71</v>
      </c>
      <c r="G1397" s="169" t="s">
        <v>3955</v>
      </c>
      <c r="I1397" s="169" t="str">
        <f t="shared" si="88"/>
        <v>L05_JVHW_005E_DE</v>
      </c>
      <c r="J1397" s="169" t="s">
        <v>8460</v>
      </c>
      <c r="K1397" s="169">
        <f>IFERROR(MATCH(J1397,'Final List'!$B$4:$B$252,0),0)</f>
        <v>0</v>
      </c>
      <c r="L1397" s="169">
        <f>IFERROR(MATCH(J1397,'Final List'!$D$4:$D$252,0),0)</f>
        <v>0</v>
      </c>
      <c r="M1397" s="169">
        <f>IFERROR(MATCH(J1397,'Final List'!$F$4:$F$251,0),0)</f>
        <v>0</v>
      </c>
      <c r="N1397" s="169">
        <f>IFERROR(MATCH(J1397,'Final List'!$H$4:$H$252,0),0)</f>
        <v>0</v>
      </c>
      <c r="O1397" s="169">
        <f>IFERROR(MATCH(J1397,'Final List'!$J$4:$J$252,0),0)</f>
        <v>0</v>
      </c>
      <c r="P1397" s="169">
        <f>IFERROR(MATCH(J1397,'Final List'!$L$4:$L$252,0),0)</f>
        <v>0</v>
      </c>
      <c r="Q1397" s="169">
        <f>IFERROR(MATCH(J1397,'Final List'!$N$4:$N$252,0),0)</f>
        <v>0</v>
      </c>
      <c r="R1397" s="169">
        <f>IFERROR(MATCH(J1397,'Final List'!$P$4:$P$252,0),0)</f>
        <v>0</v>
      </c>
      <c r="S1397" s="169">
        <f t="shared" si="87"/>
        <v>0</v>
      </c>
      <c r="V1397" s="169" t="str">
        <f t="shared" si="85"/>
        <v>SAMBERE</v>
      </c>
      <c r="W1397" s="169" t="s">
        <v>8895</v>
      </c>
    </row>
    <row r="1398" spans="2:23" x14ac:dyDescent="0.25">
      <c r="B1398" s="169" t="s">
        <v>91</v>
      </c>
      <c r="C1398" s="169" t="s">
        <v>44</v>
      </c>
      <c r="D1398" s="169" t="s">
        <v>6139</v>
      </c>
      <c r="E1398" s="169" t="s">
        <v>6154</v>
      </c>
      <c r="F1398" s="245" t="str">
        <f t="shared" si="86"/>
        <v>Dhoz 71</v>
      </c>
      <c r="G1398" s="169" t="s">
        <v>299</v>
      </c>
      <c r="I1398" s="169" t="str">
        <f t="shared" si="88"/>
        <v>L04_CV_030W_DW_ISL</v>
      </c>
      <c r="J1398" s="169" t="s">
        <v>8496</v>
      </c>
      <c r="K1398" s="169">
        <f>IFERROR(MATCH(J1398,'Final List'!$B$4:$B$252,0),0)</f>
        <v>0</v>
      </c>
      <c r="L1398" s="169">
        <f>IFERROR(MATCH(J1398,'Final List'!$D$4:$D$252,0),0)</f>
        <v>0</v>
      </c>
      <c r="M1398" s="169">
        <f>IFERROR(MATCH(J1398,'Final List'!$F$4:$F$251,0),0)</f>
        <v>0</v>
      </c>
      <c r="N1398" s="169">
        <f>IFERROR(MATCH(J1398,'Final List'!$H$4:$H$252,0),0)</f>
        <v>0</v>
      </c>
      <c r="O1398" s="169">
        <f>IFERROR(MATCH(J1398,'Final List'!$J$4:$J$252,0),0)</f>
        <v>0</v>
      </c>
      <c r="P1398" s="169">
        <f>IFERROR(MATCH(J1398,'Final List'!$L$4:$L$252,0),0)</f>
        <v>0</v>
      </c>
      <c r="Q1398" s="169">
        <f>IFERROR(MATCH(J1398,'Final List'!$N$4:$N$252,0),0)</f>
        <v>0</v>
      </c>
      <c r="R1398" s="169">
        <f>IFERROR(MATCH(J1398,'Final List'!$P$4:$P$252,0),0)</f>
        <v>0</v>
      </c>
      <c r="S1398" s="169">
        <f t="shared" si="87"/>
        <v>0</v>
      </c>
      <c r="V1398" s="169" t="str">
        <f t="shared" si="85"/>
        <v>NOCOS 2</v>
      </c>
      <c r="W1398" s="169" t="s">
        <v>2708</v>
      </c>
    </row>
    <row r="1399" spans="2:23" x14ac:dyDescent="0.25">
      <c r="B1399" s="169" t="s">
        <v>95</v>
      </c>
      <c r="C1399" s="169" t="s">
        <v>43</v>
      </c>
      <c r="D1399" s="169" t="s">
        <v>5601</v>
      </c>
      <c r="E1399" s="169" t="s">
        <v>19</v>
      </c>
      <c r="F1399" s="245" t="str">
        <f t="shared" si="86"/>
        <v>DVR 72</v>
      </c>
      <c r="G1399" s="169" t="s">
        <v>5108</v>
      </c>
      <c r="I1399" s="169" t="str">
        <f t="shared" si="88"/>
        <v>L08_GHVSPLIT_026E_RAISE</v>
      </c>
      <c r="J1399" s="169" t="s">
        <v>8466</v>
      </c>
      <c r="K1399" s="169">
        <f>IFERROR(MATCH(J1399,'Final List'!$B$4:$B$252,0),0)</f>
        <v>0</v>
      </c>
      <c r="L1399" s="169">
        <f>IFERROR(MATCH(J1399,'Final List'!$D$4:$D$252,0),0)</f>
        <v>0</v>
      </c>
      <c r="M1399" s="169">
        <f>IFERROR(MATCH(J1399,'Final List'!$F$4:$F$251,0),0)</f>
        <v>0</v>
      </c>
      <c r="N1399" s="169">
        <f>IFERROR(MATCH(J1399,'Final List'!$H$4:$H$252,0),0)</f>
        <v>0</v>
      </c>
      <c r="O1399" s="169">
        <f>IFERROR(MATCH(J1399,'Final List'!$J$4:$J$252,0),0)</f>
        <v>0</v>
      </c>
      <c r="P1399" s="169">
        <f>IFERROR(MATCH(J1399,'Final List'!$L$4:$L$252,0),0)</f>
        <v>0</v>
      </c>
      <c r="Q1399" s="169">
        <f>IFERROR(MATCH(J1399,'Final List'!$N$4:$N$252,0),0)</f>
        <v>0</v>
      </c>
      <c r="R1399" s="169">
        <f>IFERROR(MATCH(J1399,'Final List'!$P$4:$P$252,0),0)</f>
        <v>0</v>
      </c>
      <c r="S1399" s="169">
        <f t="shared" si="87"/>
        <v>0</v>
      </c>
      <c r="V1399" s="169" t="str">
        <f t="shared" si="85"/>
        <v>SHEPHERD AJ</v>
      </c>
      <c r="W1399" s="169" t="s">
        <v>2715</v>
      </c>
    </row>
    <row r="1400" spans="2:23" x14ac:dyDescent="0.25">
      <c r="B1400" s="169" t="s">
        <v>91</v>
      </c>
      <c r="C1400" s="169" t="s">
        <v>44</v>
      </c>
      <c r="D1400" s="169" t="s">
        <v>7223</v>
      </c>
      <c r="E1400" s="169" t="s">
        <v>19</v>
      </c>
      <c r="F1400" s="245" t="str">
        <f t="shared" si="86"/>
        <v>DVR 72</v>
      </c>
      <c r="G1400" s="169" t="s">
        <v>418</v>
      </c>
      <c r="H1400" s="169" t="s">
        <v>5683</v>
      </c>
      <c r="I1400" s="169" t="str">
        <f t="shared" si="88"/>
        <v>L04_CV_002E_RAISE</v>
      </c>
      <c r="J1400" s="169" t="s">
        <v>8471</v>
      </c>
      <c r="K1400" s="169">
        <f>IFERROR(MATCH(J1400,'Final List'!$B$4:$B$252,0),0)</f>
        <v>0</v>
      </c>
      <c r="L1400" s="169">
        <f>IFERROR(MATCH(J1400,'Final List'!$D$4:$D$252,0),0)</f>
        <v>0</v>
      </c>
      <c r="M1400" s="169">
        <f>IFERROR(MATCH(J1400,'Final List'!$F$4:$F$251,0),0)</f>
        <v>0</v>
      </c>
      <c r="N1400" s="169">
        <f>IFERROR(MATCH(J1400,'Final List'!$H$4:$H$252,0),0)</f>
        <v>0</v>
      </c>
      <c r="O1400" s="169">
        <f>IFERROR(MATCH(J1400,'Final List'!$J$4:$J$252,0),0)</f>
        <v>0</v>
      </c>
      <c r="P1400" s="169">
        <f>IFERROR(MATCH(J1400,'Final List'!$L$4:$L$252,0),0)</f>
        <v>0</v>
      </c>
      <c r="Q1400" s="169">
        <f>IFERROR(MATCH(J1400,'Final List'!$N$4:$N$252,0),0)</f>
        <v>0</v>
      </c>
      <c r="R1400" s="169">
        <f>IFERROR(MATCH(J1400,'Final List'!$P$4:$P$252,0),0)</f>
        <v>0</v>
      </c>
      <c r="S1400" s="169">
        <f t="shared" si="87"/>
        <v>0</v>
      </c>
      <c r="V1400" s="169" t="str">
        <f t="shared" si="85"/>
        <v>SHEPHERD AL</v>
      </c>
      <c r="W1400" s="169" t="s">
        <v>2715</v>
      </c>
    </row>
    <row r="1401" spans="2:23" x14ac:dyDescent="0.25">
      <c r="B1401" s="169" t="s">
        <v>93</v>
      </c>
      <c r="C1401" s="169" t="s">
        <v>45</v>
      </c>
      <c r="D1401" s="169" t="s">
        <v>135</v>
      </c>
      <c r="E1401" s="169" t="s">
        <v>62</v>
      </c>
      <c r="F1401" s="245" t="str">
        <f t="shared" si="86"/>
        <v>RobS 79</v>
      </c>
      <c r="G1401" s="169" t="s">
        <v>350</v>
      </c>
      <c r="I1401" s="169" t="str">
        <f t="shared" si="88"/>
        <v>L06_DPVE_034E_ROBBING</v>
      </c>
      <c r="J1401" s="169" t="s">
        <v>8474</v>
      </c>
      <c r="K1401" s="169">
        <f>IFERROR(MATCH(J1401,'Final List'!$B$4:$B$252,0),0)</f>
        <v>0</v>
      </c>
      <c r="L1401" s="169">
        <f>IFERROR(MATCH(J1401,'Final List'!$D$4:$D$252,0),0)</f>
        <v>0</v>
      </c>
      <c r="M1401" s="169">
        <f>IFERROR(MATCH(J1401,'Final List'!$F$4:$F$251,0),0)</f>
        <v>0</v>
      </c>
      <c r="N1401" s="169">
        <f>IFERROR(MATCH(J1401,'Final List'!$H$4:$H$252,0),0)</f>
        <v>0</v>
      </c>
      <c r="O1401" s="169">
        <f>IFERROR(MATCH(J1401,'Final List'!$J$4:$J$252,0),0)</f>
        <v>0</v>
      </c>
      <c r="P1401" s="169">
        <f>IFERROR(MATCH(J1401,'Final List'!$L$4:$L$252,0),0)</f>
        <v>0</v>
      </c>
      <c r="Q1401" s="169">
        <f>IFERROR(MATCH(J1401,'Final List'!$N$4:$N$252,0),0)</f>
        <v>0</v>
      </c>
      <c r="R1401" s="169">
        <f>IFERROR(MATCH(J1401,'Final List'!$P$4:$P$252,0),0)</f>
        <v>0</v>
      </c>
      <c r="S1401" s="169">
        <f t="shared" si="87"/>
        <v>0</v>
      </c>
      <c r="T1401" s="169" t="s">
        <v>68</v>
      </c>
      <c r="V1401" s="169" t="str">
        <f t="shared" si="85"/>
        <v>QUIJANO 1</v>
      </c>
      <c r="W1401" s="169" t="s">
        <v>2707</v>
      </c>
    </row>
    <row r="1402" spans="2:23" x14ac:dyDescent="0.25">
      <c r="B1402" s="169" t="s">
        <v>94</v>
      </c>
      <c r="C1402" s="169" t="s">
        <v>45</v>
      </c>
      <c r="D1402" s="169" t="s">
        <v>160</v>
      </c>
      <c r="E1402" s="169" t="s">
        <v>221</v>
      </c>
      <c r="F1402" s="245" t="str">
        <f t="shared" si="86"/>
        <v>RobC 80</v>
      </c>
      <c r="G1402" s="169" t="s">
        <v>358</v>
      </c>
      <c r="I1402" s="169" t="str">
        <f t="shared" si="88"/>
        <v>L07_DPVE_042E_WINZE STOPE</v>
      </c>
      <c r="J1402" s="169" t="s">
        <v>8476</v>
      </c>
      <c r="K1402" s="169">
        <f>IFERROR(MATCH(J1402,'Final List'!$B$4:$B$252,0),0)</f>
        <v>0</v>
      </c>
      <c r="L1402" s="169">
        <f>IFERROR(MATCH(J1402,'Final List'!$D$4:$D$252,0),0)</f>
        <v>0</v>
      </c>
      <c r="M1402" s="169">
        <f>IFERROR(MATCH(J1402,'Final List'!$F$4:$F$251,0),0)</f>
        <v>0</v>
      </c>
      <c r="N1402" s="169">
        <f>IFERROR(MATCH(J1402,'Final List'!$H$4:$H$252,0),0)</f>
        <v>0</v>
      </c>
      <c r="O1402" s="169">
        <f>IFERROR(MATCH(J1402,'Final List'!$J$4:$J$252,0),0)</f>
        <v>0</v>
      </c>
      <c r="P1402" s="169">
        <f>IFERROR(MATCH(J1402,'Final List'!$L$4:$L$252,0),0)</f>
        <v>0</v>
      </c>
      <c r="Q1402" s="169">
        <f>IFERROR(MATCH(J1402,'Final List'!$N$4:$N$252,0),0)</f>
        <v>0</v>
      </c>
      <c r="R1402" s="169">
        <f>IFERROR(MATCH(J1402,'Final List'!$P$4:$P$252,0),0)</f>
        <v>0</v>
      </c>
      <c r="S1402" s="169">
        <f t="shared" si="87"/>
        <v>0</v>
      </c>
      <c r="T1402" s="169" t="s">
        <v>68</v>
      </c>
      <c r="V1402" s="169" t="str">
        <f t="shared" si="85"/>
        <v>ALEÑAR 1</v>
      </c>
      <c r="W1402" s="169" t="s">
        <v>2719</v>
      </c>
    </row>
    <row r="1403" spans="2:23" x14ac:dyDescent="0.25">
      <c r="B1403" s="169" t="s">
        <v>92</v>
      </c>
      <c r="C1403" s="169" t="s">
        <v>39</v>
      </c>
      <c r="D1403" s="169" t="s">
        <v>6710</v>
      </c>
      <c r="E1403" s="169" t="s">
        <v>62</v>
      </c>
      <c r="F1403" s="245" t="str">
        <f t="shared" si="86"/>
        <v>RobS 79</v>
      </c>
      <c r="G1403" s="169" t="s">
        <v>6216</v>
      </c>
      <c r="I1403" s="169" t="str">
        <f t="shared" si="88"/>
        <v>L05_JVHW_018W_ROBBING</v>
      </c>
      <c r="J1403" s="169" t="s">
        <v>8472</v>
      </c>
      <c r="K1403" s="169">
        <f>IFERROR(MATCH(J1403,'Final List'!$B$4:$B$252,0),0)</f>
        <v>0</v>
      </c>
      <c r="L1403" s="169">
        <f>IFERROR(MATCH(J1403,'Final List'!$D$4:$D$252,0),0)</f>
        <v>0</v>
      </c>
      <c r="M1403" s="169">
        <f>IFERROR(MATCH(J1403,'Final List'!$F$4:$F$251,0),0)</f>
        <v>0</v>
      </c>
      <c r="N1403" s="169">
        <f>IFERROR(MATCH(J1403,'Final List'!$H$4:$H$252,0),0)</f>
        <v>0</v>
      </c>
      <c r="O1403" s="169">
        <f>IFERROR(MATCH(J1403,'Final List'!$J$4:$J$252,0),0)</f>
        <v>0</v>
      </c>
      <c r="P1403" s="169">
        <f>IFERROR(MATCH(J1403,'Final List'!$L$4:$L$252,0),0)</f>
        <v>0</v>
      </c>
      <c r="Q1403" s="169">
        <f>IFERROR(MATCH(J1403,'Final List'!$N$4:$N$252,0),0)</f>
        <v>0</v>
      </c>
      <c r="R1403" s="169">
        <f>IFERROR(MATCH(J1403,'Final List'!$P$4:$P$252,0),0)</f>
        <v>0</v>
      </c>
      <c r="S1403" s="169">
        <f t="shared" si="87"/>
        <v>0</v>
      </c>
      <c r="T1403" s="169" t="s">
        <v>68</v>
      </c>
      <c r="V1403" s="169" t="str">
        <f t="shared" si="85"/>
        <v>FERNANDEZ</v>
      </c>
      <c r="W1403" s="169" t="s">
        <v>2707</v>
      </c>
    </row>
    <row r="1404" spans="2:23" x14ac:dyDescent="0.25">
      <c r="B1404" s="169" t="s">
        <v>93</v>
      </c>
      <c r="C1404" s="169" t="s">
        <v>57</v>
      </c>
      <c r="D1404" s="169" t="s">
        <v>117</v>
      </c>
      <c r="E1404" s="169" t="s">
        <v>19</v>
      </c>
      <c r="F1404" s="245" t="str">
        <f t="shared" si="86"/>
        <v>DVR 72</v>
      </c>
      <c r="G1404" s="169" t="s">
        <v>2459</v>
      </c>
      <c r="I1404" s="169" t="str">
        <f t="shared" si="88"/>
        <v>L06_JVSPLIT_006W_RAISE</v>
      </c>
      <c r="J1404" s="169" t="s">
        <v>8874</v>
      </c>
      <c r="K1404" s="169">
        <f>IFERROR(MATCH(J1404,'Final List'!$B$4:$B$252,0),0)</f>
        <v>0</v>
      </c>
      <c r="L1404" s="169">
        <f>IFERROR(MATCH(J1404,'Final List'!$D$4:$D$252,0),0)</f>
        <v>0</v>
      </c>
      <c r="M1404" s="169">
        <f>IFERROR(MATCH(J1404,'Final List'!$F$4:$F$251,0),0)</f>
        <v>0</v>
      </c>
      <c r="N1404" s="169">
        <f>IFERROR(MATCH(J1404,'Final List'!$H$4:$H$252,0),0)</f>
        <v>0</v>
      </c>
      <c r="O1404" s="169">
        <f>IFERROR(MATCH(J1404,'Final List'!$J$4:$J$252,0),0)</f>
        <v>0</v>
      </c>
      <c r="P1404" s="169">
        <f>IFERROR(MATCH(J1404,'Final List'!$L$4:$L$252,0),0)</f>
        <v>0</v>
      </c>
      <c r="Q1404" s="169">
        <f>IFERROR(MATCH(J1404,'Final List'!$N$4:$N$252,0),0)</f>
        <v>0</v>
      </c>
      <c r="R1404" s="169">
        <f>IFERROR(MATCH(J1404,'Final List'!$P$4:$P$252,0),0)</f>
        <v>0</v>
      </c>
      <c r="S1404" s="169">
        <f t="shared" si="87"/>
        <v>0</v>
      </c>
      <c r="V1404" s="169" t="str">
        <f t="shared" si="85"/>
        <v>REBOTE 3</v>
      </c>
      <c r="W1404" s="169" t="s">
        <v>2715</v>
      </c>
    </row>
    <row r="1405" spans="2:23" x14ac:dyDescent="0.25">
      <c r="B1405" s="169" t="s">
        <v>93</v>
      </c>
      <c r="C1405" s="169" t="s">
        <v>42</v>
      </c>
      <c r="D1405" s="169" t="s">
        <v>6864</v>
      </c>
      <c r="E1405" s="169" t="s">
        <v>62</v>
      </c>
      <c r="F1405" s="245" t="str">
        <f t="shared" si="86"/>
        <v>RobS 79</v>
      </c>
      <c r="G1405" s="169" t="s">
        <v>936</v>
      </c>
      <c r="I1405" s="169" t="str">
        <f t="shared" si="88"/>
        <v>L06_JV_006E_ROBBING</v>
      </c>
      <c r="J1405" s="169" t="s">
        <v>8485</v>
      </c>
      <c r="K1405" s="169">
        <f>IFERROR(MATCH(J1405,'Final List'!$B$4:$B$252,0),0)</f>
        <v>0</v>
      </c>
      <c r="L1405" s="169">
        <f>IFERROR(MATCH(J1405,'Final List'!$D$4:$D$252,0),0)</f>
        <v>0</v>
      </c>
      <c r="M1405" s="169">
        <f>IFERROR(MATCH(J1405,'Final List'!$F$4:$F$251,0),0)</f>
        <v>0</v>
      </c>
      <c r="N1405" s="169">
        <f>IFERROR(MATCH(J1405,'Final List'!$H$4:$H$252,0),0)</f>
        <v>0</v>
      </c>
      <c r="O1405" s="169">
        <f>IFERROR(MATCH(J1405,'Final List'!$J$4:$J$252,0),0)</f>
        <v>0</v>
      </c>
      <c r="P1405" s="169">
        <f>IFERROR(MATCH(J1405,'Final List'!$L$4:$L$252,0),0)</f>
        <v>0</v>
      </c>
      <c r="Q1405" s="169">
        <f>IFERROR(MATCH(J1405,'Final List'!$N$4:$N$252,0),0)</f>
        <v>0</v>
      </c>
      <c r="R1405" s="169">
        <f>IFERROR(MATCH(J1405,'Final List'!$P$4:$P$252,0),0)</f>
        <v>0</v>
      </c>
      <c r="S1405" s="169">
        <f t="shared" si="87"/>
        <v>0</v>
      </c>
      <c r="T1405" s="169" t="s">
        <v>68</v>
      </c>
      <c r="V1405" s="169" t="str">
        <f t="shared" si="85"/>
        <v>GUNAY 2</v>
      </c>
      <c r="W1405" s="169" t="s">
        <v>2707</v>
      </c>
    </row>
    <row r="1406" spans="2:23" x14ac:dyDescent="0.25">
      <c r="B1406" s="169" t="s">
        <v>93</v>
      </c>
      <c r="C1406" s="169" t="s">
        <v>39</v>
      </c>
      <c r="D1406" s="169" t="s">
        <v>117</v>
      </c>
      <c r="E1406" s="169" t="s">
        <v>61</v>
      </c>
      <c r="F1406" s="245" t="str">
        <f t="shared" si="86"/>
        <v>Dhoz 71</v>
      </c>
      <c r="G1406" s="169" t="s">
        <v>2459</v>
      </c>
      <c r="I1406" s="169" t="str">
        <f t="shared" si="88"/>
        <v>L06_JVHW_006W_DW</v>
      </c>
      <c r="J1406" s="169" t="s">
        <v>8486</v>
      </c>
      <c r="K1406" s="169">
        <f>IFERROR(MATCH(J1406,'Final List'!$B$4:$B$252,0),0)</f>
        <v>0</v>
      </c>
      <c r="L1406" s="169">
        <f>IFERROR(MATCH(J1406,'Final List'!$D$4:$D$252,0),0)</f>
        <v>0</v>
      </c>
      <c r="M1406" s="169">
        <f>IFERROR(MATCH(J1406,'Final List'!$F$4:$F$251,0),0)</f>
        <v>0</v>
      </c>
      <c r="N1406" s="169">
        <f>IFERROR(MATCH(J1406,'Final List'!$H$4:$H$252,0),0)</f>
        <v>0</v>
      </c>
      <c r="O1406" s="169">
        <f>IFERROR(MATCH(J1406,'Final List'!$J$4:$J$252,0),0)</f>
        <v>0</v>
      </c>
      <c r="P1406" s="169">
        <f>IFERROR(MATCH(J1406,'Final List'!$L$4:$L$252,0),0)</f>
        <v>0</v>
      </c>
      <c r="Q1406" s="169">
        <f>IFERROR(MATCH(J1406,'Final List'!$N$4:$N$252,0),0)</f>
        <v>0</v>
      </c>
      <c r="R1406" s="169">
        <f>IFERROR(MATCH(J1406,'Final List'!$P$4:$P$252,0),0)</f>
        <v>0</v>
      </c>
      <c r="S1406" s="169">
        <f t="shared" si="87"/>
        <v>0</v>
      </c>
      <c r="V1406" s="169" t="str">
        <f t="shared" si="85"/>
        <v>REBOTE 3</v>
      </c>
      <c r="W1406" s="169" t="s">
        <v>8895</v>
      </c>
    </row>
    <row r="1407" spans="2:23" x14ac:dyDescent="0.25">
      <c r="B1407" s="169" t="s">
        <v>258</v>
      </c>
      <c r="C1407" s="169" t="s">
        <v>39</v>
      </c>
      <c r="D1407" s="169" t="s">
        <v>5723</v>
      </c>
      <c r="E1407" s="169" t="s">
        <v>211</v>
      </c>
      <c r="F1407" s="245" t="str">
        <f t="shared" si="86"/>
        <v>StpS 77</v>
      </c>
      <c r="G1407" s="169" t="s">
        <v>5697</v>
      </c>
      <c r="I1407" s="169" t="str">
        <f t="shared" si="88"/>
        <v>L10_JVHW_046E_STOPE PREP</v>
      </c>
      <c r="J1407" s="169" t="s">
        <v>8488</v>
      </c>
      <c r="K1407" s="169">
        <f>IFERROR(MATCH(J1407,'Final List'!$B$4:$B$252,0),0)</f>
        <v>0</v>
      </c>
      <c r="L1407" s="169">
        <f>IFERROR(MATCH(J1407,'Final List'!$D$4:$D$252,0),0)</f>
        <v>0</v>
      </c>
      <c r="M1407" s="169">
        <f>IFERROR(MATCH(J1407,'Final List'!$F$4:$F$251,0),0)</f>
        <v>0</v>
      </c>
      <c r="N1407" s="169">
        <f>IFERROR(MATCH(J1407,'Final List'!$H$4:$H$252,0),0)</f>
        <v>0</v>
      </c>
      <c r="O1407" s="169">
        <f>IFERROR(MATCH(J1407,'Final List'!$J$4:$J$252,0),0)</f>
        <v>0</v>
      </c>
      <c r="P1407" s="169">
        <f>IFERROR(MATCH(J1407,'Final List'!$L$4:$L$252,0),0)</f>
        <v>0</v>
      </c>
      <c r="Q1407" s="169">
        <f>IFERROR(MATCH(J1407,'Final List'!$N$4:$N$252,0),0)</f>
        <v>0</v>
      </c>
      <c r="R1407" s="169">
        <f>IFERROR(MATCH(J1407,'Final List'!$P$4:$P$252,0),0)</f>
        <v>0</v>
      </c>
      <c r="S1407" s="169">
        <f t="shared" si="87"/>
        <v>0</v>
      </c>
      <c r="T1407" s="169" t="s">
        <v>68</v>
      </c>
      <c r="V1407" s="169" t="str">
        <f t="shared" si="85"/>
        <v>OLIVEROS 1</v>
      </c>
      <c r="W1407" s="169" t="s">
        <v>2712</v>
      </c>
    </row>
    <row r="1408" spans="2:23" x14ac:dyDescent="0.25">
      <c r="B1408" s="169" t="s">
        <v>95</v>
      </c>
      <c r="C1408" s="169" t="s">
        <v>87</v>
      </c>
      <c r="D1408" s="169" t="s">
        <v>176</v>
      </c>
      <c r="E1408" s="169" t="s">
        <v>37</v>
      </c>
      <c r="F1408" s="245" t="str">
        <f t="shared" si="86"/>
        <v>Dhoz 71</v>
      </c>
      <c r="G1408" s="169" t="s">
        <v>584</v>
      </c>
      <c r="I1408" s="169" t="str">
        <f t="shared" si="88"/>
        <v>L08_NONE_057E_XCN</v>
      </c>
      <c r="J1408" s="169" t="s">
        <v>8492</v>
      </c>
      <c r="K1408" s="169">
        <f>IFERROR(MATCH(J1408,'Final List'!$B$4:$B$252,0),0)</f>
        <v>0</v>
      </c>
      <c r="L1408" s="169">
        <f>IFERROR(MATCH(J1408,'Final List'!$D$4:$D$252,0),0)</f>
        <v>0</v>
      </c>
      <c r="M1408" s="169">
        <f>IFERROR(MATCH(J1408,'Final List'!$F$4:$F$251,0),0)</f>
        <v>0</v>
      </c>
      <c r="N1408" s="169">
        <f>IFERROR(MATCH(J1408,'Final List'!$H$4:$H$252,0),0)</f>
        <v>0</v>
      </c>
      <c r="O1408" s="169">
        <f>IFERROR(MATCH(J1408,'Final List'!$J$4:$J$252,0),0)</f>
        <v>0</v>
      </c>
      <c r="P1408" s="169">
        <f>IFERROR(MATCH(J1408,'Final List'!$L$4:$L$252,0),0)</f>
        <v>0</v>
      </c>
      <c r="Q1408" s="169">
        <f>IFERROR(MATCH(J1408,'Final List'!$N$4:$N$252,0),0)</f>
        <v>0</v>
      </c>
      <c r="R1408" s="169">
        <f>IFERROR(MATCH(J1408,'Final List'!$P$4:$P$252,0),0)</f>
        <v>0</v>
      </c>
      <c r="S1408" s="169">
        <f t="shared" si="87"/>
        <v>0</v>
      </c>
      <c r="V1408" s="169" t="str">
        <f t="shared" si="85"/>
        <v>VILLARANTE 2</v>
      </c>
      <c r="W1408" s="169" t="s">
        <v>8897</v>
      </c>
    </row>
    <row r="1409" spans="2:23" x14ac:dyDescent="0.25">
      <c r="B1409" s="169" t="s">
        <v>95</v>
      </c>
      <c r="C1409" s="169" t="s">
        <v>45</v>
      </c>
      <c r="D1409" s="169" t="s">
        <v>7223</v>
      </c>
      <c r="E1409" s="169" t="s">
        <v>60</v>
      </c>
      <c r="F1409" s="245" t="str">
        <f t="shared" si="86"/>
        <v>Dhoz 71</v>
      </c>
      <c r="G1409" s="169" t="s">
        <v>6936</v>
      </c>
      <c r="I1409" s="169" t="str">
        <f t="shared" si="88"/>
        <v>L08_DPVE_002E_DE</v>
      </c>
      <c r="J1409" s="169" t="s">
        <v>8500</v>
      </c>
      <c r="K1409" s="169">
        <f>IFERROR(MATCH(J1409,'Final List'!$B$4:$B$252,0),0)</f>
        <v>0</v>
      </c>
      <c r="L1409" s="169">
        <f>IFERROR(MATCH(J1409,'Final List'!$D$4:$D$252,0),0)</f>
        <v>0</v>
      </c>
      <c r="M1409" s="169">
        <f>IFERROR(MATCH(J1409,'Final List'!$F$4:$F$251,0),0)</f>
        <v>0</v>
      </c>
      <c r="N1409" s="169">
        <f>IFERROR(MATCH(J1409,'Final List'!$H$4:$H$252,0),0)</f>
        <v>0</v>
      </c>
      <c r="O1409" s="169">
        <f>IFERROR(MATCH(J1409,'Final List'!$J$4:$J$252,0),0)</f>
        <v>0</v>
      </c>
      <c r="P1409" s="169">
        <f>IFERROR(MATCH(J1409,'Final List'!$L$4:$L$252,0),0)</f>
        <v>0</v>
      </c>
      <c r="Q1409" s="169">
        <f>IFERROR(MATCH(J1409,'Final List'!$N$4:$N$252,0),0)</f>
        <v>0</v>
      </c>
      <c r="R1409" s="169">
        <f>IFERROR(MATCH(J1409,'Final List'!$P$4:$P$252,0),0)</f>
        <v>0</v>
      </c>
      <c r="S1409" s="169">
        <f t="shared" si="87"/>
        <v>0</v>
      </c>
      <c r="V1409" s="169" t="str">
        <f t="shared" si="85"/>
        <v>OSWAY 1</v>
      </c>
      <c r="W1409" s="169" t="s">
        <v>8895</v>
      </c>
    </row>
    <row r="1410" spans="2:23" x14ac:dyDescent="0.25">
      <c r="B1410" s="169" t="s">
        <v>92</v>
      </c>
      <c r="C1410" s="169" t="s">
        <v>55</v>
      </c>
      <c r="D1410" s="169" t="s">
        <v>146</v>
      </c>
      <c r="E1410" s="169" t="s">
        <v>19</v>
      </c>
      <c r="F1410" s="245" t="str">
        <f t="shared" si="86"/>
        <v>DVR 72</v>
      </c>
      <c r="G1410" s="169" t="s">
        <v>554</v>
      </c>
      <c r="I1410" s="169" t="str">
        <f t="shared" si="88"/>
        <v>L05_JVFW_030E_RAISE</v>
      </c>
      <c r="J1410" s="169" t="s">
        <v>8480</v>
      </c>
      <c r="K1410" s="169">
        <f>IFERROR(MATCH(J1410,'Final List'!$B$4:$B$252,0),0)</f>
        <v>0</v>
      </c>
      <c r="L1410" s="169">
        <f>IFERROR(MATCH(J1410,'Final List'!$D$4:$D$252,0),0)</f>
        <v>0</v>
      </c>
      <c r="M1410" s="169">
        <f>IFERROR(MATCH(J1410,'Final List'!$F$4:$F$251,0),0)</f>
        <v>0</v>
      </c>
      <c r="N1410" s="169">
        <f>IFERROR(MATCH(J1410,'Final List'!$H$4:$H$252,0),0)</f>
        <v>0</v>
      </c>
      <c r="O1410" s="169">
        <f>IFERROR(MATCH(J1410,'Final List'!$J$4:$J$252,0),0)</f>
        <v>0</v>
      </c>
      <c r="P1410" s="169">
        <f>IFERROR(MATCH(J1410,'Final List'!$L$4:$L$252,0),0)</f>
        <v>0</v>
      </c>
      <c r="Q1410" s="169">
        <f>IFERROR(MATCH(J1410,'Final List'!$N$4:$N$252,0),0)</f>
        <v>0</v>
      </c>
      <c r="R1410" s="169">
        <f>IFERROR(MATCH(J1410,'Final List'!$P$4:$P$252,0),0)</f>
        <v>0</v>
      </c>
      <c r="S1410" s="169">
        <f t="shared" si="87"/>
        <v>0</v>
      </c>
      <c r="V1410" s="169" t="str">
        <f t="shared" ref="V1410:V1473" si="89">IF(H1410="",G1410,H1410)</f>
        <v>PANCIT, NOEL 1</v>
      </c>
      <c r="W1410" s="169" t="s">
        <v>2715</v>
      </c>
    </row>
    <row r="1411" spans="2:23" x14ac:dyDescent="0.25">
      <c r="B1411" s="169" t="s">
        <v>1166</v>
      </c>
      <c r="C1411" s="169" t="s">
        <v>56</v>
      </c>
      <c r="D1411" s="169" t="s">
        <v>205</v>
      </c>
      <c r="E1411" s="169" t="s">
        <v>61</v>
      </c>
      <c r="F1411" s="245" t="str">
        <f t="shared" ref="F1411:F1474" si="90">IF(OR(E1411="XCN",E1411="DE",E1411="DW",E1411="DN",E1411="XCS",E1411="XCE",E1411="XCW",E1411="SUMP",E1411="BYPASS",E1411="CHAMBER",E1411="DRAIN HOLE",E1411="DRILLING CHAMBER",E1411="DE_ISL",E1411="DW_ISL",E1411="REHAB"),"Dhoz 71",IF(OR(E1411="RAISE",E1411="RAISE_ISL"),"DVR 72",IF(E1411="ALIMAK","DVA 73",IF(E1411="WINZE","DVW 74",IF(E1411="SHAFT","DVS 75",IF(AND(E1411="WINZE STOPE",T1411="S"),"RobC 80",IF(AND(E1411="STOPE",T1411="S"),"StpS 77",IF(AND(E1411="WINZE STOPE",T1411="L"),"RobC 80",IF(AND(E1411="STOPE",T1411="L"),"StpL 78",IF(AND(E1411="WINZE STOPE PREP",T1411="S"),"RobC 80",IF(AND(E1411="STOPE PREP",T1411="S"),"StpS 77",IF(AND(E1411="WINZE STOPE PREP",T1411="L"),"RobC 80",IF(AND(E1411="STOPE PREP",T1411="L"),"StpL 78",IF(AND(E1411="ROBBING",T1411="L"),"RobC 80",IF(AND(E1411="ROBBING",T1411="S"),"RobS 79",0)))))))))))))))</f>
        <v>Dhoz 71</v>
      </c>
      <c r="G1411" s="169" t="s">
        <v>6930</v>
      </c>
      <c r="I1411" s="169" t="str">
        <f t="shared" si="88"/>
        <v>L11_GHVFW_066E_DW</v>
      </c>
      <c r="J1411" s="169" t="s">
        <v>8495</v>
      </c>
      <c r="K1411" s="169">
        <f>IFERROR(MATCH(J1411,'Final List'!$B$4:$B$252,0),0)</f>
        <v>0</v>
      </c>
      <c r="L1411" s="169">
        <f>IFERROR(MATCH(J1411,'Final List'!$D$4:$D$252,0),0)</f>
        <v>0</v>
      </c>
      <c r="M1411" s="169">
        <f>IFERROR(MATCH(J1411,'Final List'!$F$4:$F$251,0),0)</f>
        <v>0</v>
      </c>
      <c r="N1411" s="169">
        <f>IFERROR(MATCH(J1411,'Final List'!$H$4:$H$252,0),0)</f>
        <v>0</v>
      </c>
      <c r="O1411" s="169">
        <f>IFERROR(MATCH(J1411,'Final List'!$J$4:$J$252,0),0)</f>
        <v>0</v>
      </c>
      <c r="P1411" s="169">
        <f>IFERROR(MATCH(J1411,'Final List'!$L$4:$L$252,0),0)</f>
        <v>0</v>
      </c>
      <c r="Q1411" s="169">
        <f>IFERROR(MATCH(J1411,'Final List'!$N$4:$N$252,0),0)</f>
        <v>0</v>
      </c>
      <c r="R1411" s="169">
        <f>IFERROR(MATCH(J1411,'Final List'!$P$4:$P$252,0),0)</f>
        <v>0</v>
      </c>
      <c r="S1411" s="169">
        <f t="shared" ref="S1411:S1474" si="91">SUM(K1411:R1411)</f>
        <v>0</v>
      </c>
      <c r="V1411" s="169" t="str">
        <f t="shared" si="89"/>
        <v>DUHIG, P1</v>
      </c>
      <c r="W1411" s="169" t="s">
        <v>8896</v>
      </c>
    </row>
    <row r="1412" spans="2:23" x14ac:dyDescent="0.25">
      <c r="B1412" s="169" t="s">
        <v>96</v>
      </c>
      <c r="C1412" s="169" t="s">
        <v>43</v>
      </c>
      <c r="D1412" s="169" t="s">
        <v>135</v>
      </c>
      <c r="E1412" s="169" t="s">
        <v>61</v>
      </c>
      <c r="F1412" s="245" t="str">
        <f t="shared" si="90"/>
        <v>Dhoz 71</v>
      </c>
      <c r="G1412" s="169" t="s">
        <v>4558</v>
      </c>
      <c r="I1412" s="169" t="str">
        <f t="shared" si="88"/>
        <v>L09_GHVSPLIT_034E_DW</v>
      </c>
      <c r="J1412" s="169" t="s">
        <v>8501</v>
      </c>
      <c r="K1412" s="169">
        <f>IFERROR(MATCH(J1412,'Final List'!$B$4:$B$252,0),0)</f>
        <v>0</v>
      </c>
      <c r="L1412" s="169">
        <f>IFERROR(MATCH(J1412,'Final List'!$D$4:$D$252,0),0)</f>
        <v>0</v>
      </c>
      <c r="M1412" s="169">
        <f>IFERROR(MATCH(J1412,'Final List'!$F$4:$F$251,0),0)</f>
        <v>0</v>
      </c>
      <c r="N1412" s="169">
        <f>IFERROR(MATCH(J1412,'Final List'!$H$4:$H$252,0),0)</f>
        <v>0</v>
      </c>
      <c r="O1412" s="169">
        <f>IFERROR(MATCH(J1412,'Final List'!$J$4:$J$252,0),0)</f>
        <v>0</v>
      </c>
      <c r="P1412" s="169">
        <f>IFERROR(MATCH(J1412,'Final List'!$L$4:$L$252,0),0)</f>
        <v>0</v>
      </c>
      <c r="Q1412" s="169">
        <f>IFERROR(MATCH(J1412,'Final List'!$N$4:$N$252,0),0)</f>
        <v>0</v>
      </c>
      <c r="R1412" s="169">
        <f>IFERROR(MATCH(J1412,'Final List'!$P$4:$P$252,0),0)</f>
        <v>0</v>
      </c>
      <c r="S1412" s="169">
        <f t="shared" si="91"/>
        <v>0</v>
      </c>
      <c r="V1412" s="169" t="str">
        <f t="shared" si="89"/>
        <v>DELOS REYES V 3</v>
      </c>
      <c r="W1412" s="169" t="s">
        <v>8896</v>
      </c>
    </row>
    <row r="1413" spans="2:23" x14ac:dyDescent="0.25">
      <c r="B1413" s="169" t="s">
        <v>93</v>
      </c>
      <c r="C1413" s="169" t="s">
        <v>42</v>
      </c>
      <c r="D1413" s="169" t="s">
        <v>5612</v>
      </c>
      <c r="E1413" s="169" t="s">
        <v>62</v>
      </c>
      <c r="F1413" s="245" t="str">
        <f t="shared" si="90"/>
        <v>RobC 80</v>
      </c>
      <c r="G1413" s="169" t="s">
        <v>351</v>
      </c>
      <c r="I1413" s="169" t="str">
        <f t="shared" si="88"/>
        <v>L06_JV_011W_ROBBING</v>
      </c>
      <c r="J1413" s="169" t="s">
        <v>8502</v>
      </c>
      <c r="K1413" s="169">
        <f>IFERROR(MATCH(J1413,'Final List'!$B$4:$B$252,0),0)</f>
        <v>0</v>
      </c>
      <c r="L1413" s="169">
        <f>IFERROR(MATCH(J1413,'Final List'!$D$4:$D$252,0),0)</f>
        <v>0</v>
      </c>
      <c r="M1413" s="169">
        <f>IFERROR(MATCH(J1413,'Final List'!$F$4:$F$251,0),0)</f>
        <v>0</v>
      </c>
      <c r="N1413" s="169">
        <f>IFERROR(MATCH(J1413,'Final List'!$H$4:$H$252,0),0)</f>
        <v>0</v>
      </c>
      <c r="O1413" s="169">
        <f>IFERROR(MATCH(J1413,'Final List'!$J$4:$J$252,0),0)</f>
        <v>0</v>
      </c>
      <c r="P1413" s="169">
        <f>IFERROR(MATCH(J1413,'Final List'!$L$4:$L$252,0),0)</f>
        <v>0</v>
      </c>
      <c r="Q1413" s="169">
        <f>IFERROR(MATCH(J1413,'Final List'!$N$4:$N$252,0),0)</f>
        <v>0</v>
      </c>
      <c r="R1413" s="169">
        <f>IFERROR(MATCH(J1413,'Final List'!$P$4:$P$252,0),0)</f>
        <v>0</v>
      </c>
      <c r="S1413" s="169">
        <f t="shared" si="91"/>
        <v>0</v>
      </c>
      <c r="T1413" s="169" t="s">
        <v>48</v>
      </c>
      <c r="V1413" s="169" t="str">
        <f t="shared" si="89"/>
        <v>GONZALES 1</v>
      </c>
      <c r="W1413" s="169" t="s">
        <v>236</v>
      </c>
    </row>
    <row r="1414" spans="2:23" x14ac:dyDescent="0.25">
      <c r="B1414" s="169" t="s">
        <v>91</v>
      </c>
      <c r="C1414" s="169" t="s">
        <v>41</v>
      </c>
      <c r="D1414" s="169" t="s">
        <v>101</v>
      </c>
      <c r="E1414" s="169" t="s">
        <v>62</v>
      </c>
      <c r="F1414" s="245" t="str">
        <f t="shared" si="90"/>
        <v>RobC 80</v>
      </c>
      <c r="G1414" s="169" t="s">
        <v>298</v>
      </c>
      <c r="I1414" s="169" t="str">
        <f t="shared" si="88"/>
        <v>L04_CTV_023W_ROBBING</v>
      </c>
      <c r="J1414" s="169" t="s">
        <v>8597</v>
      </c>
      <c r="K1414" s="169">
        <f>IFERROR(MATCH(J1414,'Final List'!$B$4:$B$252,0),0)</f>
        <v>0</v>
      </c>
      <c r="L1414" s="169">
        <f>IFERROR(MATCH(J1414,'Final List'!$D$4:$D$252,0),0)</f>
        <v>0</v>
      </c>
      <c r="M1414" s="169">
        <f>IFERROR(MATCH(J1414,'Final List'!$F$4:$F$251,0),0)</f>
        <v>0</v>
      </c>
      <c r="N1414" s="169">
        <f>IFERROR(MATCH(J1414,'Final List'!$H$4:$H$252,0),0)</f>
        <v>0</v>
      </c>
      <c r="O1414" s="169">
        <f>IFERROR(MATCH(J1414,'Final List'!$J$4:$J$252,0),0)</f>
        <v>0</v>
      </c>
      <c r="P1414" s="169">
        <f>IFERROR(MATCH(J1414,'Final List'!$L$4:$L$252,0),0)</f>
        <v>0</v>
      </c>
      <c r="Q1414" s="169">
        <f>IFERROR(MATCH(J1414,'Final List'!$N$4:$N$252,0),0)</f>
        <v>0</v>
      </c>
      <c r="R1414" s="169">
        <f>IFERROR(MATCH(J1414,'Final List'!$P$4:$P$252,0),0)</f>
        <v>0</v>
      </c>
      <c r="S1414" s="169">
        <f t="shared" si="91"/>
        <v>0</v>
      </c>
      <c r="T1414" s="169" t="s">
        <v>48</v>
      </c>
      <c r="V1414" s="169" t="str">
        <f t="shared" si="89"/>
        <v>NOCOS 1</v>
      </c>
      <c r="W1414" s="169" t="s">
        <v>236</v>
      </c>
    </row>
    <row r="1415" spans="2:23" x14ac:dyDescent="0.25">
      <c r="B1415" s="169" t="s">
        <v>91</v>
      </c>
      <c r="C1415" s="169" t="s">
        <v>44</v>
      </c>
      <c r="D1415" s="169" t="s">
        <v>6864</v>
      </c>
      <c r="E1415" s="169" t="s">
        <v>211</v>
      </c>
      <c r="F1415" s="245" t="str">
        <f t="shared" si="90"/>
        <v>StpS 77</v>
      </c>
      <c r="G1415" s="169" t="s">
        <v>5767</v>
      </c>
      <c r="I1415" s="169" t="str">
        <f t="shared" si="88"/>
        <v>L04_CV_006E_STOPE PREP</v>
      </c>
      <c r="J1415" s="169" t="s">
        <v>8506</v>
      </c>
      <c r="K1415" s="169">
        <f>IFERROR(MATCH(J1415,'Final List'!$B$4:$B$252,0),0)</f>
        <v>0</v>
      </c>
      <c r="L1415" s="169">
        <f>IFERROR(MATCH(J1415,'Final List'!$D$4:$D$252,0),0)</f>
        <v>0</v>
      </c>
      <c r="M1415" s="169">
        <f>IFERROR(MATCH(J1415,'Final List'!$F$4:$F$251,0),0)</f>
        <v>0</v>
      </c>
      <c r="N1415" s="169">
        <f>IFERROR(MATCH(J1415,'Final List'!$H$4:$H$252,0),0)</f>
        <v>0</v>
      </c>
      <c r="O1415" s="169">
        <f>IFERROR(MATCH(J1415,'Final List'!$J$4:$J$252,0),0)</f>
        <v>0</v>
      </c>
      <c r="P1415" s="169">
        <f>IFERROR(MATCH(J1415,'Final List'!$L$4:$L$252,0),0)</f>
        <v>0</v>
      </c>
      <c r="Q1415" s="169">
        <f>IFERROR(MATCH(J1415,'Final List'!$N$4:$N$252,0),0)</f>
        <v>0</v>
      </c>
      <c r="R1415" s="169">
        <f>IFERROR(MATCH(J1415,'Final List'!$P$4:$P$252,0),0)</f>
        <v>0</v>
      </c>
      <c r="S1415" s="169">
        <f t="shared" si="91"/>
        <v>0</v>
      </c>
      <c r="T1415" s="169" t="s">
        <v>68</v>
      </c>
      <c r="V1415" s="169" t="str">
        <f t="shared" si="89"/>
        <v>MARTINEZ, RON 3</v>
      </c>
      <c r="W1415" s="169" t="s">
        <v>2712</v>
      </c>
    </row>
    <row r="1416" spans="2:23" x14ac:dyDescent="0.25">
      <c r="B1416" s="169" t="s">
        <v>258</v>
      </c>
      <c r="C1416" s="169" t="s">
        <v>45</v>
      </c>
      <c r="D1416" s="169" t="s">
        <v>147</v>
      </c>
      <c r="E1416" s="169" t="s">
        <v>36</v>
      </c>
      <c r="F1416" s="245" t="str">
        <f t="shared" si="90"/>
        <v>StpS 77</v>
      </c>
      <c r="G1416" s="169" t="s">
        <v>360</v>
      </c>
      <c r="I1416" s="169" t="str">
        <f t="shared" si="88"/>
        <v>L10_DPVE_024E_STOPE</v>
      </c>
      <c r="J1416" s="169" t="s">
        <v>8512</v>
      </c>
      <c r="K1416" s="169">
        <f>IFERROR(MATCH(J1416,'Final List'!$B$4:$B$252,0),0)</f>
        <v>0</v>
      </c>
      <c r="L1416" s="169">
        <f>IFERROR(MATCH(J1416,'Final List'!$D$4:$D$252,0),0)</f>
        <v>0</v>
      </c>
      <c r="M1416" s="169">
        <f>IFERROR(MATCH(J1416,'Final List'!$F$4:$F$251,0),0)</f>
        <v>0</v>
      </c>
      <c r="N1416" s="169">
        <f>IFERROR(MATCH(J1416,'Final List'!$H$4:$H$252,0),0)</f>
        <v>0</v>
      </c>
      <c r="O1416" s="169">
        <f>IFERROR(MATCH(J1416,'Final List'!$J$4:$J$252,0),0)</f>
        <v>0</v>
      </c>
      <c r="P1416" s="169">
        <f>IFERROR(MATCH(J1416,'Final List'!$L$4:$L$252,0),0)</f>
        <v>0</v>
      </c>
      <c r="Q1416" s="169">
        <f>IFERROR(MATCH(J1416,'Final List'!$N$4:$N$252,0),0)</f>
        <v>0</v>
      </c>
      <c r="R1416" s="169">
        <f>IFERROR(MATCH(J1416,'Final List'!$P$4:$P$252,0),0)</f>
        <v>0</v>
      </c>
      <c r="S1416" s="169">
        <f t="shared" si="91"/>
        <v>0</v>
      </c>
      <c r="T1416" s="169" t="s">
        <v>68</v>
      </c>
      <c r="V1416" s="169" t="str">
        <f t="shared" si="89"/>
        <v>ALMASA 1</v>
      </c>
      <c r="W1416" s="169" t="s">
        <v>2713</v>
      </c>
    </row>
    <row r="1417" spans="2:23" x14ac:dyDescent="0.25">
      <c r="B1417" s="169" t="s">
        <v>92</v>
      </c>
      <c r="C1417" s="169" t="s">
        <v>39</v>
      </c>
      <c r="D1417" s="169" t="s">
        <v>117</v>
      </c>
      <c r="E1417" s="169" t="s">
        <v>19</v>
      </c>
      <c r="F1417" s="245" t="str">
        <f t="shared" si="90"/>
        <v>DVR 72</v>
      </c>
      <c r="G1417" s="169" t="s">
        <v>551</v>
      </c>
      <c r="I1417" s="169" t="str">
        <f t="shared" si="88"/>
        <v>L05_JVHW_006W_RAISE</v>
      </c>
      <c r="J1417" s="169" t="s">
        <v>8514</v>
      </c>
      <c r="K1417" s="169">
        <f>IFERROR(MATCH(J1417,'Final List'!$B$4:$B$252,0),0)</f>
        <v>0</v>
      </c>
      <c r="L1417" s="169">
        <f>IFERROR(MATCH(J1417,'Final List'!$D$4:$D$252,0),0)</f>
        <v>0</v>
      </c>
      <c r="M1417" s="169">
        <f>IFERROR(MATCH(J1417,'Final List'!$F$4:$F$251,0),0)</f>
        <v>0</v>
      </c>
      <c r="N1417" s="169">
        <f>IFERROR(MATCH(J1417,'Final List'!$H$4:$H$252,0),0)</f>
        <v>0</v>
      </c>
      <c r="O1417" s="169">
        <f>IFERROR(MATCH(J1417,'Final List'!$J$4:$J$252,0),0)</f>
        <v>0</v>
      </c>
      <c r="P1417" s="169">
        <f>IFERROR(MATCH(J1417,'Final List'!$L$4:$L$252,0),0)</f>
        <v>0</v>
      </c>
      <c r="Q1417" s="169">
        <f>IFERROR(MATCH(J1417,'Final List'!$N$4:$N$252,0),0)</f>
        <v>0</v>
      </c>
      <c r="R1417" s="169">
        <f>IFERROR(MATCH(J1417,'Final List'!$P$4:$P$252,0),0)</f>
        <v>0</v>
      </c>
      <c r="S1417" s="169">
        <f t="shared" si="91"/>
        <v>0</v>
      </c>
      <c r="V1417" s="169" t="str">
        <f t="shared" si="89"/>
        <v>PANCIT, NOEL 3</v>
      </c>
      <c r="W1417" s="169" t="s">
        <v>2715</v>
      </c>
    </row>
    <row r="1418" spans="2:23" x14ac:dyDescent="0.25">
      <c r="B1418" s="169" t="s">
        <v>258</v>
      </c>
      <c r="C1418" s="169" t="s">
        <v>45</v>
      </c>
      <c r="D1418" s="169" t="s">
        <v>6864</v>
      </c>
      <c r="E1418" s="169" t="s">
        <v>60</v>
      </c>
      <c r="F1418" s="245" t="str">
        <f t="shared" si="90"/>
        <v>Dhoz 71</v>
      </c>
      <c r="G1418" s="169" t="s">
        <v>8093</v>
      </c>
      <c r="I1418" s="169" t="str">
        <f t="shared" si="88"/>
        <v>L10_DPVE_006E_DE</v>
      </c>
      <c r="J1418" s="169" t="s">
        <v>8515</v>
      </c>
      <c r="K1418" s="169">
        <f>IFERROR(MATCH(J1418,'Final List'!$B$4:$B$252,0),0)</f>
        <v>0</v>
      </c>
      <c r="L1418" s="169">
        <f>IFERROR(MATCH(J1418,'Final List'!$D$4:$D$252,0),0)</f>
        <v>0</v>
      </c>
      <c r="M1418" s="169">
        <f>IFERROR(MATCH(J1418,'Final List'!$F$4:$F$251,0),0)</f>
        <v>0</v>
      </c>
      <c r="N1418" s="169">
        <f>IFERROR(MATCH(J1418,'Final List'!$H$4:$H$252,0),0)</f>
        <v>0</v>
      </c>
      <c r="O1418" s="169">
        <f>IFERROR(MATCH(J1418,'Final List'!$J$4:$J$252,0),0)</f>
        <v>0</v>
      </c>
      <c r="P1418" s="169">
        <f>IFERROR(MATCH(J1418,'Final List'!$L$4:$L$252,0),0)</f>
        <v>0</v>
      </c>
      <c r="Q1418" s="169">
        <f>IFERROR(MATCH(J1418,'Final List'!$N$4:$N$252,0),0)</f>
        <v>0</v>
      </c>
      <c r="R1418" s="169">
        <f>IFERROR(MATCH(J1418,'Final List'!$P$4:$P$252,0),0)</f>
        <v>0</v>
      </c>
      <c r="S1418" s="169">
        <f t="shared" si="91"/>
        <v>0</v>
      </c>
      <c r="V1418" s="169" t="str">
        <f t="shared" si="89"/>
        <v>DUHIG R2</v>
      </c>
      <c r="W1418" s="169" t="s">
        <v>8896</v>
      </c>
    </row>
    <row r="1419" spans="2:23" x14ac:dyDescent="0.25">
      <c r="B1419" s="169" t="s">
        <v>95</v>
      </c>
      <c r="C1419" s="169" t="s">
        <v>55</v>
      </c>
      <c r="D1419" s="169" t="s">
        <v>159</v>
      </c>
      <c r="E1419" s="169" t="s">
        <v>61</v>
      </c>
      <c r="F1419" s="245" t="str">
        <f t="shared" si="90"/>
        <v>Dhoz 71</v>
      </c>
      <c r="G1419" s="169" t="s">
        <v>380</v>
      </c>
      <c r="I1419" s="169" t="str">
        <f t="shared" si="88"/>
        <v>L08_JVFW_023E_DW</v>
      </c>
      <c r="J1419" s="169" t="s">
        <v>8517</v>
      </c>
      <c r="K1419" s="169">
        <f>IFERROR(MATCH(J1419,'Final List'!$B$4:$B$252,0),0)</f>
        <v>0</v>
      </c>
      <c r="L1419" s="169">
        <f>IFERROR(MATCH(J1419,'Final List'!$D$4:$D$252,0),0)</f>
        <v>0</v>
      </c>
      <c r="M1419" s="169">
        <f>IFERROR(MATCH(J1419,'Final List'!$F$4:$F$251,0),0)</f>
        <v>0</v>
      </c>
      <c r="N1419" s="169">
        <f>IFERROR(MATCH(J1419,'Final List'!$H$4:$H$252,0),0)</f>
        <v>0</v>
      </c>
      <c r="O1419" s="169">
        <f>IFERROR(MATCH(J1419,'Final List'!$J$4:$J$252,0),0)</f>
        <v>0</v>
      </c>
      <c r="P1419" s="169">
        <f>IFERROR(MATCH(J1419,'Final List'!$L$4:$L$252,0),0)</f>
        <v>0</v>
      </c>
      <c r="Q1419" s="169">
        <f>IFERROR(MATCH(J1419,'Final List'!$N$4:$N$252,0),0)</f>
        <v>0</v>
      </c>
      <c r="R1419" s="169">
        <f>IFERROR(MATCH(J1419,'Final List'!$P$4:$P$252,0),0)</f>
        <v>0</v>
      </c>
      <c r="S1419" s="169">
        <f t="shared" si="91"/>
        <v>0</v>
      </c>
      <c r="V1419" s="169" t="str">
        <f t="shared" si="89"/>
        <v>AGLOLO 1</v>
      </c>
      <c r="W1419" s="169" t="s">
        <v>8895</v>
      </c>
    </row>
    <row r="1420" spans="2:23" x14ac:dyDescent="0.25">
      <c r="B1420" s="169" t="s">
        <v>95</v>
      </c>
      <c r="C1420" s="169" t="s">
        <v>45</v>
      </c>
      <c r="D1420" s="169" t="s">
        <v>123</v>
      </c>
      <c r="E1420" s="169" t="s">
        <v>19</v>
      </c>
      <c r="F1420" s="245" t="str">
        <f t="shared" si="90"/>
        <v>DVR 72</v>
      </c>
      <c r="G1420" s="169" t="s">
        <v>12545</v>
      </c>
      <c r="I1420" s="169" t="str">
        <f t="shared" si="88"/>
        <v>L08_DPVE_031E_RAISE</v>
      </c>
      <c r="J1420" s="169" t="s">
        <v>8522</v>
      </c>
      <c r="K1420" s="169">
        <f>IFERROR(MATCH(J1420,'Final List'!$B$4:$B$252,0),0)</f>
        <v>0</v>
      </c>
      <c r="L1420" s="169">
        <f>IFERROR(MATCH(J1420,'Final List'!$D$4:$D$252,0),0)</f>
        <v>0</v>
      </c>
      <c r="M1420" s="169">
        <f>IFERROR(MATCH(J1420,'Final List'!$F$4:$F$251,0),0)</f>
        <v>0</v>
      </c>
      <c r="N1420" s="169">
        <f>IFERROR(MATCH(J1420,'Final List'!$H$4:$H$252,0),0)</f>
        <v>0</v>
      </c>
      <c r="O1420" s="169">
        <f>IFERROR(MATCH(J1420,'Final List'!$J$4:$J$252,0),0)</f>
        <v>0</v>
      </c>
      <c r="P1420" s="169">
        <f>IFERROR(MATCH(J1420,'Final List'!$L$4:$L$252,0),0)</f>
        <v>0</v>
      </c>
      <c r="Q1420" s="169">
        <f>IFERROR(MATCH(J1420,'Final List'!$N$4:$N$252,0),0)</f>
        <v>0</v>
      </c>
      <c r="R1420" s="169">
        <f>IFERROR(MATCH(J1420,'Final List'!$P$4:$P$252,0),0)</f>
        <v>0</v>
      </c>
      <c r="S1420" s="169">
        <f t="shared" si="91"/>
        <v>0</v>
      </c>
      <c r="V1420" s="169" t="str">
        <f t="shared" si="89"/>
        <v>FERNANDEZ 4</v>
      </c>
      <c r="W1420" s="169" t="s">
        <v>2715</v>
      </c>
    </row>
    <row r="1421" spans="2:23" x14ac:dyDescent="0.25">
      <c r="B1421" s="169" t="s">
        <v>95</v>
      </c>
      <c r="C1421" s="169" t="s">
        <v>45</v>
      </c>
      <c r="D1421" s="169" t="s">
        <v>130</v>
      </c>
      <c r="E1421" s="169" t="s">
        <v>19</v>
      </c>
      <c r="F1421" s="245" t="str">
        <f t="shared" si="90"/>
        <v>DVR 72</v>
      </c>
      <c r="G1421" s="169" t="s">
        <v>367</v>
      </c>
      <c r="I1421" s="169" t="str">
        <f t="shared" si="88"/>
        <v>L08_DPVE_036E_RAISE</v>
      </c>
      <c r="J1421" s="169" t="s">
        <v>8525</v>
      </c>
      <c r="K1421" s="169">
        <f>IFERROR(MATCH(J1421,'Final List'!$B$4:$B$252,0),0)</f>
        <v>0</v>
      </c>
      <c r="L1421" s="169">
        <f>IFERROR(MATCH(J1421,'Final List'!$D$4:$D$252,0),0)</f>
        <v>0</v>
      </c>
      <c r="M1421" s="169">
        <f>IFERROR(MATCH(J1421,'Final List'!$F$4:$F$251,0),0)</f>
        <v>0</v>
      </c>
      <c r="N1421" s="169">
        <f>IFERROR(MATCH(J1421,'Final List'!$H$4:$H$252,0),0)</f>
        <v>0</v>
      </c>
      <c r="O1421" s="169">
        <f>IFERROR(MATCH(J1421,'Final List'!$J$4:$J$252,0),0)</f>
        <v>0</v>
      </c>
      <c r="P1421" s="169">
        <f>IFERROR(MATCH(J1421,'Final List'!$L$4:$L$252,0),0)</f>
        <v>0</v>
      </c>
      <c r="Q1421" s="169">
        <f>IFERROR(MATCH(J1421,'Final List'!$N$4:$N$252,0),0)</f>
        <v>0</v>
      </c>
      <c r="R1421" s="169">
        <f>IFERROR(MATCH(J1421,'Final List'!$P$4:$P$252,0),0)</f>
        <v>0</v>
      </c>
      <c r="S1421" s="169">
        <f t="shared" si="91"/>
        <v>0</v>
      </c>
      <c r="V1421" s="169" t="str">
        <f t="shared" si="89"/>
        <v>LERIO 1</v>
      </c>
      <c r="W1421" s="169" t="s">
        <v>2715</v>
      </c>
    </row>
    <row r="1422" spans="2:23" x14ac:dyDescent="0.25">
      <c r="B1422" s="169" t="s">
        <v>93</v>
      </c>
      <c r="C1422" s="169" t="s">
        <v>45</v>
      </c>
      <c r="D1422" s="169" t="s">
        <v>164</v>
      </c>
      <c r="E1422" s="169" t="s">
        <v>19</v>
      </c>
      <c r="F1422" s="245" t="str">
        <f t="shared" si="90"/>
        <v>DVR 72</v>
      </c>
      <c r="G1422" s="169" t="s">
        <v>354</v>
      </c>
      <c r="I1422" s="169" t="str">
        <f t="shared" si="88"/>
        <v>L06_DPVE_064E_RAISE</v>
      </c>
      <c r="J1422" s="169" t="s">
        <v>8560</v>
      </c>
      <c r="K1422" s="169">
        <f>IFERROR(MATCH(J1422,'Final List'!$B$4:$B$252,0),0)</f>
        <v>0</v>
      </c>
      <c r="L1422" s="169">
        <f>IFERROR(MATCH(J1422,'Final List'!$D$4:$D$252,0),0)</f>
        <v>0</v>
      </c>
      <c r="M1422" s="169">
        <f>IFERROR(MATCH(J1422,'Final List'!$F$4:$F$251,0),0)</f>
        <v>0</v>
      </c>
      <c r="N1422" s="169">
        <f>IFERROR(MATCH(J1422,'Final List'!$H$4:$H$252,0),0)</f>
        <v>0</v>
      </c>
      <c r="O1422" s="169">
        <f>IFERROR(MATCH(J1422,'Final List'!$J$4:$J$252,0),0)</f>
        <v>0</v>
      </c>
      <c r="P1422" s="169">
        <f>IFERROR(MATCH(J1422,'Final List'!$L$4:$L$252,0),0)</f>
        <v>0</v>
      </c>
      <c r="Q1422" s="169">
        <f>IFERROR(MATCH(J1422,'Final List'!$N$4:$N$252,0),0)</f>
        <v>0</v>
      </c>
      <c r="R1422" s="169">
        <f>IFERROR(MATCH(J1422,'Final List'!$P$4:$P$252,0),0)</f>
        <v>0</v>
      </c>
      <c r="S1422" s="169">
        <f t="shared" si="91"/>
        <v>0</v>
      </c>
      <c r="V1422" s="169" t="str">
        <f t="shared" si="89"/>
        <v>BAÑEZ 3</v>
      </c>
      <c r="W1422" s="169" t="s">
        <v>2715</v>
      </c>
    </row>
    <row r="1423" spans="2:23" x14ac:dyDescent="0.25">
      <c r="B1423" s="169" t="s">
        <v>93</v>
      </c>
      <c r="C1423" s="169" t="s">
        <v>42</v>
      </c>
      <c r="D1423" s="169" t="s">
        <v>195</v>
      </c>
      <c r="E1423" s="169" t="s">
        <v>20</v>
      </c>
      <c r="F1423" s="245" t="str">
        <f t="shared" si="90"/>
        <v>DVW 74</v>
      </c>
      <c r="G1423" s="169" t="s">
        <v>351</v>
      </c>
      <c r="I1423" s="169" t="str">
        <f t="shared" si="88"/>
        <v>L06_JV_008W_WINZE</v>
      </c>
      <c r="J1423" s="169" t="s">
        <v>8559</v>
      </c>
      <c r="K1423" s="169">
        <f>IFERROR(MATCH(J1423,'Final List'!$B$4:$B$252,0),0)</f>
        <v>0</v>
      </c>
      <c r="L1423" s="169">
        <f>IFERROR(MATCH(J1423,'Final List'!$D$4:$D$252,0),0)</f>
        <v>0</v>
      </c>
      <c r="M1423" s="169">
        <f>IFERROR(MATCH(J1423,'Final List'!$F$4:$F$251,0),0)</f>
        <v>0</v>
      </c>
      <c r="N1423" s="169">
        <f>IFERROR(MATCH(J1423,'Final List'!$H$4:$H$252,0),0)</f>
        <v>0</v>
      </c>
      <c r="O1423" s="169">
        <f>IFERROR(MATCH(J1423,'Final List'!$J$4:$J$252,0),0)</f>
        <v>0</v>
      </c>
      <c r="P1423" s="169">
        <f>IFERROR(MATCH(J1423,'Final List'!$L$4:$L$252,0),0)</f>
        <v>0</v>
      </c>
      <c r="Q1423" s="169">
        <f>IFERROR(MATCH(J1423,'Final List'!$N$4:$N$252,0),0)</f>
        <v>0</v>
      </c>
      <c r="R1423" s="169">
        <f>IFERROR(MATCH(J1423,'Final List'!$P$4:$P$252,0),0)</f>
        <v>0</v>
      </c>
      <c r="S1423" s="169">
        <f t="shared" si="91"/>
        <v>0</v>
      </c>
      <c r="V1423" s="169" t="str">
        <f t="shared" si="89"/>
        <v>GONZALES 1</v>
      </c>
      <c r="W1423" s="169" t="s">
        <v>2706</v>
      </c>
    </row>
    <row r="1424" spans="2:23" x14ac:dyDescent="0.25">
      <c r="B1424" s="169" t="s">
        <v>93</v>
      </c>
      <c r="C1424" s="169" t="s">
        <v>41</v>
      </c>
      <c r="D1424" s="169" t="s">
        <v>103</v>
      </c>
      <c r="E1424" s="169" t="s">
        <v>62</v>
      </c>
      <c r="F1424" s="245" t="str">
        <f t="shared" si="90"/>
        <v>RobS 79</v>
      </c>
      <c r="G1424" s="169" t="s">
        <v>342</v>
      </c>
      <c r="I1424" s="169" t="str">
        <f t="shared" si="88"/>
        <v>L06_CTV_005E_ROBBING</v>
      </c>
      <c r="J1424" s="169" t="s">
        <v>8531</v>
      </c>
      <c r="K1424" s="169">
        <f>IFERROR(MATCH(J1424,'Final List'!$B$4:$B$252,0),0)</f>
        <v>0</v>
      </c>
      <c r="L1424" s="169">
        <f>IFERROR(MATCH(J1424,'Final List'!$D$4:$D$252,0),0)</f>
        <v>0</v>
      </c>
      <c r="M1424" s="169">
        <f>IFERROR(MATCH(J1424,'Final List'!$F$4:$F$251,0),0)</f>
        <v>0</v>
      </c>
      <c r="N1424" s="169">
        <f>IFERROR(MATCH(J1424,'Final List'!$H$4:$H$252,0),0)</f>
        <v>0</v>
      </c>
      <c r="O1424" s="169">
        <f>IFERROR(MATCH(J1424,'Final List'!$J$4:$J$252,0),0)</f>
        <v>0</v>
      </c>
      <c r="P1424" s="169">
        <f>IFERROR(MATCH(J1424,'Final List'!$L$4:$L$252,0),0)</f>
        <v>0</v>
      </c>
      <c r="Q1424" s="169">
        <f>IFERROR(MATCH(J1424,'Final List'!$N$4:$N$252,0),0)</f>
        <v>0</v>
      </c>
      <c r="R1424" s="169">
        <f>IFERROR(MATCH(J1424,'Final List'!$P$4:$P$252,0),0)</f>
        <v>0</v>
      </c>
      <c r="S1424" s="169">
        <f t="shared" si="91"/>
        <v>0</v>
      </c>
      <c r="T1424" s="169" t="s">
        <v>68</v>
      </c>
      <c r="V1424" s="169" t="str">
        <f t="shared" si="89"/>
        <v>BADBADON 2</v>
      </c>
      <c r="W1424" s="169" t="s">
        <v>2707</v>
      </c>
    </row>
    <row r="1425" spans="2:23" x14ac:dyDescent="0.25">
      <c r="B1425" s="169" t="s">
        <v>91</v>
      </c>
      <c r="C1425" s="169" t="s">
        <v>56</v>
      </c>
      <c r="D1425" s="169" t="s">
        <v>112</v>
      </c>
      <c r="E1425" s="169" t="s">
        <v>62</v>
      </c>
      <c r="F1425" s="245" t="str">
        <f t="shared" si="90"/>
        <v>RobS 79</v>
      </c>
      <c r="G1425" s="169" t="s">
        <v>5713</v>
      </c>
      <c r="I1425" s="169" t="str">
        <f t="shared" si="88"/>
        <v>L04_GHVFW_018E_ROBBING</v>
      </c>
      <c r="J1425" s="169" t="s">
        <v>8532</v>
      </c>
      <c r="K1425" s="169">
        <f>IFERROR(MATCH(J1425,'Final List'!$B$4:$B$252,0),0)</f>
        <v>0</v>
      </c>
      <c r="L1425" s="169">
        <f>IFERROR(MATCH(J1425,'Final List'!$D$4:$D$252,0),0)</f>
        <v>0</v>
      </c>
      <c r="M1425" s="169">
        <f>IFERROR(MATCH(J1425,'Final List'!$F$4:$F$251,0),0)</f>
        <v>0</v>
      </c>
      <c r="N1425" s="169">
        <f>IFERROR(MATCH(J1425,'Final List'!$H$4:$H$252,0),0)</f>
        <v>0</v>
      </c>
      <c r="O1425" s="169">
        <f>IFERROR(MATCH(J1425,'Final List'!$J$4:$J$252,0),0)</f>
        <v>0</v>
      </c>
      <c r="P1425" s="169">
        <f>IFERROR(MATCH(J1425,'Final List'!$L$4:$L$252,0),0)</f>
        <v>0</v>
      </c>
      <c r="Q1425" s="169">
        <f>IFERROR(MATCH(J1425,'Final List'!$N$4:$N$252,0),0)</f>
        <v>0</v>
      </c>
      <c r="R1425" s="169">
        <f>IFERROR(MATCH(J1425,'Final List'!$P$4:$P$252,0),0)</f>
        <v>0</v>
      </c>
      <c r="S1425" s="169">
        <f t="shared" si="91"/>
        <v>0</v>
      </c>
      <c r="T1425" s="169" t="s">
        <v>68</v>
      </c>
      <c r="V1425" s="169" t="str">
        <f t="shared" si="89"/>
        <v>SHEPHERD AL 1</v>
      </c>
      <c r="W1425" s="169" t="s">
        <v>2707</v>
      </c>
    </row>
    <row r="1426" spans="2:23" x14ac:dyDescent="0.25">
      <c r="B1426" s="169" t="s">
        <v>95</v>
      </c>
      <c r="C1426" s="169" t="s">
        <v>56</v>
      </c>
      <c r="D1426" s="169" t="s">
        <v>5835</v>
      </c>
      <c r="E1426" s="169" t="s">
        <v>62</v>
      </c>
      <c r="F1426" s="245" t="str">
        <f t="shared" si="90"/>
        <v>RobC 80</v>
      </c>
      <c r="G1426" s="169" t="s">
        <v>474</v>
      </c>
      <c r="I1426" s="169" t="str">
        <f t="shared" si="88"/>
        <v>L08_GHVFW_003W_ROBBING</v>
      </c>
      <c r="J1426" s="169" t="s">
        <v>8533</v>
      </c>
      <c r="K1426" s="169">
        <f>IFERROR(MATCH(J1426,'Final List'!$B$4:$B$252,0),0)</f>
        <v>0</v>
      </c>
      <c r="L1426" s="169">
        <f>IFERROR(MATCH(J1426,'Final List'!$D$4:$D$252,0),0)</f>
        <v>0</v>
      </c>
      <c r="M1426" s="169">
        <f>IFERROR(MATCH(J1426,'Final List'!$F$4:$F$251,0),0)</f>
        <v>0</v>
      </c>
      <c r="N1426" s="169">
        <f>IFERROR(MATCH(J1426,'Final List'!$H$4:$H$252,0),0)</f>
        <v>0</v>
      </c>
      <c r="O1426" s="169">
        <f>IFERROR(MATCH(J1426,'Final List'!$J$4:$J$252,0),0)</f>
        <v>0</v>
      </c>
      <c r="P1426" s="169">
        <f>IFERROR(MATCH(J1426,'Final List'!$L$4:$L$252,0),0)</f>
        <v>0</v>
      </c>
      <c r="Q1426" s="169">
        <f>IFERROR(MATCH(J1426,'Final List'!$N$4:$N$252,0),0)</f>
        <v>0</v>
      </c>
      <c r="R1426" s="169">
        <f>IFERROR(MATCH(J1426,'Final List'!$P$4:$P$252,0),0)</f>
        <v>0</v>
      </c>
      <c r="S1426" s="169">
        <f t="shared" si="91"/>
        <v>0</v>
      </c>
      <c r="T1426" s="169" t="s">
        <v>48</v>
      </c>
      <c r="V1426" s="169" t="str">
        <f t="shared" si="89"/>
        <v>TORMIS 1</v>
      </c>
      <c r="W1426" s="169" t="s">
        <v>236</v>
      </c>
    </row>
    <row r="1427" spans="2:23" x14ac:dyDescent="0.25">
      <c r="B1427" s="169" t="s">
        <v>95</v>
      </c>
      <c r="C1427" s="169" t="s">
        <v>56</v>
      </c>
      <c r="D1427" s="169" t="s">
        <v>103</v>
      </c>
      <c r="E1427" s="169" t="s">
        <v>6154</v>
      </c>
      <c r="F1427" s="245" t="str">
        <f t="shared" si="90"/>
        <v>Dhoz 71</v>
      </c>
      <c r="G1427" s="169" t="s">
        <v>6154</v>
      </c>
      <c r="I1427" s="169" t="str">
        <f t="shared" si="88"/>
        <v>L08_GHVFW_005E_DW_ISL</v>
      </c>
      <c r="J1427" s="169" t="s">
        <v>8535</v>
      </c>
      <c r="K1427" s="169">
        <f>IFERROR(MATCH(J1427,'Final List'!$B$4:$B$252,0),0)</f>
        <v>0</v>
      </c>
      <c r="L1427" s="169">
        <f>IFERROR(MATCH(J1427,'Final List'!$D$4:$D$252,0),0)</f>
        <v>0</v>
      </c>
      <c r="M1427" s="169">
        <f>IFERROR(MATCH(J1427,'Final List'!$F$4:$F$251,0),0)</f>
        <v>0</v>
      </c>
      <c r="N1427" s="169">
        <f>IFERROR(MATCH(J1427,'Final List'!$H$4:$H$252,0),0)</f>
        <v>0</v>
      </c>
      <c r="O1427" s="169">
        <f>IFERROR(MATCH(J1427,'Final List'!$J$4:$J$252,0),0)</f>
        <v>0</v>
      </c>
      <c r="P1427" s="169">
        <f>IFERROR(MATCH(J1427,'Final List'!$L$4:$L$252,0),0)</f>
        <v>0</v>
      </c>
      <c r="Q1427" s="169">
        <f>IFERROR(MATCH(J1427,'Final List'!$N$4:$N$252,0),0)</f>
        <v>0</v>
      </c>
      <c r="R1427" s="169">
        <f>IFERROR(MATCH(J1427,'Final List'!$P$4:$P$252,0),0)</f>
        <v>0</v>
      </c>
      <c r="S1427" s="169">
        <f t="shared" si="91"/>
        <v>0</v>
      </c>
      <c r="V1427" s="169" t="str">
        <f t="shared" si="89"/>
        <v>DW_ISL</v>
      </c>
      <c r="W1427" s="169" t="s">
        <v>2708</v>
      </c>
    </row>
    <row r="1428" spans="2:23" x14ac:dyDescent="0.25">
      <c r="B1428" s="169" t="s">
        <v>258</v>
      </c>
      <c r="C1428" s="169" t="s">
        <v>45</v>
      </c>
      <c r="D1428" s="169" t="s">
        <v>120</v>
      </c>
      <c r="E1428" s="169" t="s">
        <v>19</v>
      </c>
      <c r="F1428" s="245" t="str">
        <f t="shared" si="90"/>
        <v>DVR 72</v>
      </c>
      <c r="G1428" t="s">
        <v>5702</v>
      </c>
      <c r="I1428" s="169" t="str">
        <f t="shared" si="88"/>
        <v>L10_DPVE_015E_RAISE</v>
      </c>
      <c r="J1428" s="169" t="s">
        <v>8536</v>
      </c>
      <c r="K1428" s="169">
        <f>IFERROR(MATCH(J1428,'Final List'!$B$4:$B$252,0),0)</f>
        <v>0</v>
      </c>
      <c r="L1428" s="169">
        <f>IFERROR(MATCH(J1428,'Final List'!$D$4:$D$252,0),0)</f>
        <v>0</v>
      </c>
      <c r="M1428" s="169">
        <f>IFERROR(MATCH(J1428,'Final List'!$F$4:$F$251,0),0)</f>
        <v>0</v>
      </c>
      <c r="N1428" s="169">
        <f>IFERROR(MATCH(J1428,'Final List'!$H$4:$H$252,0),0)</f>
        <v>0</v>
      </c>
      <c r="O1428" s="169">
        <f>IFERROR(MATCH(J1428,'Final List'!$J$4:$J$252,0),0)</f>
        <v>0</v>
      </c>
      <c r="P1428" s="169">
        <f>IFERROR(MATCH(J1428,'Final List'!$L$4:$L$252,0),0)</f>
        <v>0</v>
      </c>
      <c r="Q1428" s="169">
        <f>IFERROR(MATCH(J1428,'Final List'!$N$4:$N$252,0),0)</f>
        <v>0</v>
      </c>
      <c r="R1428" s="169">
        <f>IFERROR(MATCH(J1428,'Final List'!$P$4:$P$252,0),0)</f>
        <v>0</v>
      </c>
      <c r="S1428" s="169">
        <f t="shared" si="91"/>
        <v>0</v>
      </c>
      <c r="V1428" s="169" t="str">
        <f t="shared" si="89"/>
        <v>LARGO 3</v>
      </c>
      <c r="W1428" s="169" t="s">
        <v>2715</v>
      </c>
    </row>
    <row r="1429" spans="2:23" x14ac:dyDescent="0.25">
      <c r="B1429" s="169" t="s">
        <v>258</v>
      </c>
      <c r="C1429" s="169" t="s">
        <v>59</v>
      </c>
      <c r="D1429" s="169" t="s">
        <v>165</v>
      </c>
      <c r="E1429" s="169" t="s">
        <v>36</v>
      </c>
      <c r="F1429" s="245" t="str">
        <f t="shared" si="90"/>
        <v>StpS 77</v>
      </c>
      <c r="G1429" s="169" t="s">
        <v>4155</v>
      </c>
      <c r="I1429" s="169" t="str">
        <f t="shared" si="88"/>
        <v>L10_GHVHW_056E_STOPE</v>
      </c>
      <c r="J1429" s="169" t="s">
        <v>8539</v>
      </c>
      <c r="K1429" s="169">
        <f>IFERROR(MATCH(J1429,'Final List'!$B$4:$B$252,0),0)</f>
        <v>0</v>
      </c>
      <c r="L1429" s="169">
        <f>IFERROR(MATCH(J1429,'Final List'!$D$4:$D$252,0),0)</f>
        <v>0</v>
      </c>
      <c r="M1429" s="169">
        <f>IFERROR(MATCH(J1429,'Final List'!$F$4:$F$251,0),0)</f>
        <v>0</v>
      </c>
      <c r="N1429" s="169">
        <f>IFERROR(MATCH(J1429,'Final List'!$H$4:$H$252,0),0)</f>
        <v>0</v>
      </c>
      <c r="O1429" s="169">
        <f>IFERROR(MATCH(J1429,'Final List'!$J$4:$J$252,0),0)</f>
        <v>0</v>
      </c>
      <c r="P1429" s="169">
        <f>IFERROR(MATCH(J1429,'Final List'!$L$4:$L$252,0),0)</f>
        <v>0</v>
      </c>
      <c r="Q1429" s="169">
        <f>IFERROR(MATCH(J1429,'Final List'!$N$4:$N$252,0),0)</f>
        <v>0</v>
      </c>
      <c r="R1429" s="169">
        <f>IFERROR(MATCH(J1429,'Final List'!$P$4:$P$252,0),0)</f>
        <v>0</v>
      </c>
      <c r="S1429" s="169">
        <f t="shared" si="91"/>
        <v>0</v>
      </c>
      <c r="T1429" s="169" t="s">
        <v>68</v>
      </c>
      <c r="V1429" s="169" t="str">
        <f t="shared" si="89"/>
        <v>BAÑEZ</v>
      </c>
      <c r="W1429" s="169" t="s">
        <v>2713</v>
      </c>
    </row>
    <row r="1430" spans="2:23" x14ac:dyDescent="0.25">
      <c r="B1430" s="169" t="s">
        <v>258</v>
      </c>
      <c r="C1430" s="169" t="s">
        <v>56</v>
      </c>
      <c r="D1430" s="169" t="s">
        <v>167</v>
      </c>
      <c r="E1430" s="169" t="s">
        <v>36</v>
      </c>
      <c r="F1430" s="245" t="str">
        <f t="shared" si="90"/>
        <v>StpS 77</v>
      </c>
      <c r="G1430" s="169" t="s">
        <v>1905</v>
      </c>
      <c r="I1430" s="169" t="str">
        <f t="shared" si="88"/>
        <v>L10_GHVFW_058E_STOPE</v>
      </c>
      <c r="J1430" s="169" t="s">
        <v>8540</v>
      </c>
      <c r="K1430" s="169">
        <f>IFERROR(MATCH(J1430,'Final List'!$B$4:$B$252,0),0)</f>
        <v>0</v>
      </c>
      <c r="L1430" s="169">
        <f>IFERROR(MATCH(J1430,'Final List'!$D$4:$D$252,0),0)</f>
        <v>0</v>
      </c>
      <c r="M1430" s="169">
        <f>IFERROR(MATCH(J1430,'Final List'!$F$4:$F$251,0),0)</f>
        <v>0</v>
      </c>
      <c r="N1430" s="169">
        <f>IFERROR(MATCH(J1430,'Final List'!$H$4:$H$252,0),0)</f>
        <v>0</v>
      </c>
      <c r="O1430" s="169">
        <f>IFERROR(MATCH(J1430,'Final List'!$J$4:$J$252,0),0)</f>
        <v>0</v>
      </c>
      <c r="P1430" s="169">
        <f>IFERROR(MATCH(J1430,'Final List'!$L$4:$L$252,0),0)</f>
        <v>0</v>
      </c>
      <c r="Q1430" s="169">
        <f>IFERROR(MATCH(J1430,'Final List'!$N$4:$N$252,0),0)</f>
        <v>0</v>
      </c>
      <c r="R1430" s="169">
        <f>IFERROR(MATCH(J1430,'Final List'!$P$4:$P$252,0),0)</f>
        <v>0</v>
      </c>
      <c r="S1430" s="169">
        <f t="shared" si="91"/>
        <v>0</v>
      </c>
      <c r="T1430" s="169" t="s">
        <v>68</v>
      </c>
      <c r="V1430" s="169" t="str">
        <f t="shared" si="89"/>
        <v>MONTEBON 1</v>
      </c>
      <c r="W1430" s="169" t="s">
        <v>2713</v>
      </c>
    </row>
    <row r="1431" spans="2:23" x14ac:dyDescent="0.25">
      <c r="B1431" s="169" t="s">
        <v>96</v>
      </c>
      <c r="C1431" s="169" t="s">
        <v>59</v>
      </c>
      <c r="D1431" s="169" t="s">
        <v>113</v>
      </c>
      <c r="E1431" s="169" t="s">
        <v>36</v>
      </c>
      <c r="F1431" s="245" t="str">
        <f t="shared" si="90"/>
        <v>StpS 77</v>
      </c>
      <c r="G1431" s="169" t="s">
        <v>394</v>
      </c>
      <c r="I1431" s="169" t="str">
        <f t="shared" si="88"/>
        <v>L09_GHVHW_001W_STOPE</v>
      </c>
      <c r="J1431" s="169" t="s">
        <v>8543</v>
      </c>
      <c r="K1431" s="169">
        <f>IFERROR(MATCH(J1431,'Final List'!$B$4:$B$252,0),0)</f>
        <v>0</v>
      </c>
      <c r="L1431" s="169">
        <f>IFERROR(MATCH(J1431,'Final List'!$D$4:$D$252,0),0)</f>
        <v>0</v>
      </c>
      <c r="M1431" s="169">
        <f>IFERROR(MATCH(J1431,'Final List'!$F$4:$F$251,0),0)</f>
        <v>0</v>
      </c>
      <c r="N1431" s="169">
        <f>IFERROR(MATCH(J1431,'Final List'!$H$4:$H$252,0),0)</f>
        <v>0</v>
      </c>
      <c r="O1431" s="169">
        <f>IFERROR(MATCH(J1431,'Final List'!$J$4:$J$252,0),0)</f>
        <v>0</v>
      </c>
      <c r="P1431" s="169">
        <f>IFERROR(MATCH(J1431,'Final List'!$L$4:$L$252,0),0)</f>
        <v>0</v>
      </c>
      <c r="Q1431" s="169">
        <f>IFERROR(MATCH(J1431,'Final List'!$N$4:$N$252,0),0)</f>
        <v>0</v>
      </c>
      <c r="R1431" s="169">
        <f>IFERROR(MATCH(J1431,'Final List'!$P$4:$P$252,0),0)</f>
        <v>0</v>
      </c>
      <c r="S1431" s="169">
        <f t="shared" si="91"/>
        <v>0</v>
      </c>
      <c r="T1431" s="169" t="s">
        <v>68</v>
      </c>
      <c r="V1431" s="169" t="str">
        <f t="shared" si="89"/>
        <v>ANDILAB 1</v>
      </c>
      <c r="W1431" s="169" t="s">
        <v>2713</v>
      </c>
    </row>
    <row r="1432" spans="2:23" x14ac:dyDescent="0.25">
      <c r="B1432" s="169" t="s">
        <v>92</v>
      </c>
      <c r="C1432" s="169" t="s">
        <v>39</v>
      </c>
      <c r="D1432" s="169" t="s">
        <v>117</v>
      </c>
      <c r="E1432" s="169" t="s">
        <v>211</v>
      </c>
      <c r="F1432" s="245" t="str">
        <f t="shared" si="90"/>
        <v>StpS 77</v>
      </c>
      <c r="G1432" s="169" t="s">
        <v>551</v>
      </c>
      <c r="I1432" s="169" t="str">
        <f t="shared" si="88"/>
        <v>L05_JVHW_006W_STOPE PREP</v>
      </c>
      <c r="J1432" s="169" t="s">
        <v>8548</v>
      </c>
      <c r="K1432" s="169">
        <f>IFERROR(MATCH(J1432,'Final List'!$B$4:$B$252,0),0)</f>
        <v>0</v>
      </c>
      <c r="L1432" s="169">
        <f>IFERROR(MATCH(J1432,'Final List'!$D$4:$D$252,0),0)</f>
        <v>0</v>
      </c>
      <c r="M1432" s="169">
        <f>IFERROR(MATCH(J1432,'Final List'!$F$4:$F$251,0),0)</f>
        <v>0</v>
      </c>
      <c r="N1432" s="169">
        <f>IFERROR(MATCH(J1432,'Final List'!$H$4:$H$252,0),0)</f>
        <v>0</v>
      </c>
      <c r="O1432" s="169">
        <f>IFERROR(MATCH(J1432,'Final List'!$J$4:$J$252,0),0)</f>
        <v>0</v>
      </c>
      <c r="P1432" s="169">
        <f>IFERROR(MATCH(J1432,'Final List'!$L$4:$L$252,0),0)</f>
        <v>0</v>
      </c>
      <c r="Q1432" s="169">
        <f>IFERROR(MATCH(J1432,'Final List'!$N$4:$N$252,0),0)</f>
        <v>0</v>
      </c>
      <c r="R1432" s="169">
        <f>IFERROR(MATCH(J1432,'Final List'!$P$4:$P$252,0),0)</f>
        <v>0</v>
      </c>
      <c r="S1432" s="169">
        <f t="shared" si="91"/>
        <v>0</v>
      </c>
      <c r="T1432" s="169" t="s">
        <v>68</v>
      </c>
      <c r="V1432" s="169" t="str">
        <f t="shared" si="89"/>
        <v>PANCIT, NOEL 3</v>
      </c>
      <c r="W1432" s="169" t="s">
        <v>2712</v>
      </c>
    </row>
    <row r="1433" spans="2:23" x14ac:dyDescent="0.25">
      <c r="B1433" s="169" t="s">
        <v>93</v>
      </c>
      <c r="C1433" s="169" t="s">
        <v>55</v>
      </c>
      <c r="D1433" s="169" t="s">
        <v>108</v>
      </c>
      <c r="E1433" s="169" t="s">
        <v>211</v>
      </c>
      <c r="F1433" s="245" t="str">
        <f t="shared" si="90"/>
        <v>StpS 77</v>
      </c>
      <c r="G1433" s="169" t="s">
        <v>2459</v>
      </c>
      <c r="I1433" s="169" t="str">
        <f t="shared" si="88"/>
        <v>L06_JVFW_007W_STOPE PREP</v>
      </c>
      <c r="J1433" s="169" t="s">
        <v>8545</v>
      </c>
      <c r="K1433" s="169">
        <f>IFERROR(MATCH(J1433,'Final List'!$B$4:$B$252,0),0)</f>
        <v>0</v>
      </c>
      <c r="L1433" s="169">
        <f>IFERROR(MATCH(J1433,'Final List'!$D$4:$D$252,0),0)</f>
        <v>0</v>
      </c>
      <c r="M1433" s="169">
        <f>IFERROR(MATCH(J1433,'Final List'!$F$4:$F$251,0),0)</f>
        <v>0</v>
      </c>
      <c r="N1433" s="169">
        <f>IFERROR(MATCH(J1433,'Final List'!$H$4:$H$252,0),0)</f>
        <v>0</v>
      </c>
      <c r="O1433" s="169">
        <f>IFERROR(MATCH(J1433,'Final List'!$J$4:$J$252,0),0)</f>
        <v>0</v>
      </c>
      <c r="P1433" s="169">
        <f>IFERROR(MATCH(J1433,'Final List'!$L$4:$L$252,0),0)</f>
        <v>0</v>
      </c>
      <c r="Q1433" s="169">
        <f>IFERROR(MATCH(J1433,'Final List'!$N$4:$N$252,0),0)</f>
        <v>0</v>
      </c>
      <c r="R1433" s="169">
        <f>IFERROR(MATCH(J1433,'Final List'!$P$4:$P$252,0),0)</f>
        <v>0</v>
      </c>
      <c r="S1433" s="169">
        <f t="shared" si="91"/>
        <v>0</v>
      </c>
      <c r="T1433" s="169" t="s">
        <v>68</v>
      </c>
      <c r="V1433" s="169" t="str">
        <f t="shared" si="89"/>
        <v>REBOTE 3</v>
      </c>
      <c r="W1433" s="169" t="s">
        <v>2712</v>
      </c>
    </row>
    <row r="1434" spans="2:23" x14ac:dyDescent="0.25">
      <c r="B1434" s="169" t="s">
        <v>93</v>
      </c>
      <c r="C1434" s="169" t="s">
        <v>39</v>
      </c>
      <c r="D1434" s="169" t="s">
        <v>120</v>
      </c>
      <c r="E1434" s="169" t="s">
        <v>62</v>
      </c>
      <c r="F1434" s="245" t="str">
        <f t="shared" si="90"/>
        <v>RobC 80</v>
      </c>
      <c r="G1434" s="169" t="s">
        <v>3303</v>
      </c>
      <c r="I1434" s="169" t="str">
        <f t="shared" si="88"/>
        <v>L06_JVHW_015E_ROBBING</v>
      </c>
      <c r="J1434" s="169" t="s">
        <v>8550</v>
      </c>
      <c r="K1434" s="169">
        <f>IFERROR(MATCH(J1434,'Final List'!$B$4:$B$252,0),0)</f>
        <v>0</v>
      </c>
      <c r="L1434" s="169">
        <f>IFERROR(MATCH(J1434,'Final List'!$D$4:$D$252,0),0)</f>
        <v>0</v>
      </c>
      <c r="M1434" s="169">
        <f>IFERROR(MATCH(J1434,'Final List'!$F$4:$F$251,0),0)</f>
        <v>0</v>
      </c>
      <c r="N1434" s="169">
        <f>IFERROR(MATCH(J1434,'Final List'!$H$4:$H$252,0),0)</f>
        <v>0</v>
      </c>
      <c r="O1434" s="169">
        <f>IFERROR(MATCH(J1434,'Final List'!$J$4:$J$252,0),0)</f>
        <v>0</v>
      </c>
      <c r="P1434" s="169">
        <f>IFERROR(MATCH(J1434,'Final List'!$L$4:$L$252,0),0)</f>
        <v>0</v>
      </c>
      <c r="Q1434" s="169">
        <f>IFERROR(MATCH(J1434,'Final List'!$N$4:$N$252,0),0)</f>
        <v>0</v>
      </c>
      <c r="R1434" s="169">
        <f>IFERROR(MATCH(J1434,'Final List'!$P$4:$P$252,0),0)</f>
        <v>0</v>
      </c>
      <c r="S1434" s="169">
        <f t="shared" si="91"/>
        <v>0</v>
      </c>
      <c r="T1434" s="169" t="s">
        <v>48</v>
      </c>
      <c r="V1434" s="169" t="str">
        <f t="shared" si="89"/>
        <v>SHEPHERD AC</v>
      </c>
      <c r="W1434" s="169" t="s">
        <v>236</v>
      </c>
    </row>
    <row r="1435" spans="2:23" x14ac:dyDescent="0.25">
      <c r="B1435" s="169" t="s">
        <v>96</v>
      </c>
      <c r="C1435" s="169" t="s">
        <v>45</v>
      </c>
      <c r="D1435" s="169" t="s">
        <v>5602</v>
      </c>
      <c r="E1435" s="169" t="s">
        <v>211</v>
      </c>
      <c r="F1435" s="245" t="str">
        <f t="shared" si="90"/>
        <v>StpS 77</v>
      </c>
      <c r="G1435" s="169" t="s">
        <v>5636</v>
      </c>
      <c r="I1435" s="169" t="str">
        <f t="shared" si="88"/>
        <v>L09_DPVE_053E_STOPE PREP</v>
      </c>
      <c r="J1435" s="169" t="s">
        <v>8552</v>
      </c>
      <c r="K1435" s="169">
        <f>IFERROR(MATCH(J1435,'Final List'!$B$4:$B$252,0),0)</f>
        <v>0</v>
      </c>
      <c r="L1435" s="169">
        <f>IFERROR(MATCH(J1435,'Final List'!$D$4:$D$252,0),0)</f>
        <v>0</v>
      </c>
      <c r="M1435" s="169">
        <f>IFERROR(MATCH(J1435,'Final List'!$F$4:$F$251,0),0)</f>
        <v>0</v>
      </c>
      <c r="N1435" s="169">
        <f>IFERROR(MATCH(J1435,'Final List'!$H$4:$H$252,0),0)</f>
        <v>0</v>
      </c>
      <c r="O1435" s="169">
        <f>IFERROR(MATCH(J1435,'Final List'!$J$4:$J$252,0),0)</f>
        <v>0</v>
      </c>
      <c r="P1435" s="169">
        <f>IFERROR(MATCH(J1435,'Final List'!$L$4:$L$252,0),0)</f>
        <v>0</v>
      </c>
      <c r="Q1435" s="169">
        <f>IFERROR(MATCH(J1435,'Final List'!$N$4:$N$252,0),0)</f>
        <v>0</v>
      </c>
      <c r="R1435" s="169">
        <f>IFERROR(MATCH(J1435,'Final List'!$P$4:$P$252,0),0)</f>
        <v>0</v>
      </c>
      <c r="S1435" s="169">
        <f t="shared" si="91"/>
        <v>0</v>
      </c>
      <c r="T1435" s="169" t="s">
        <v>68</v>
      </c>
      <c r="V1435" s="169" t="str">
        <f t="shared" si="89"/>
        <v>PANSIT NORMAN</v>
      </c>
      <c r="W1435" s="169" t="s">
        <v>2712</v>
      </c>
    </row>
    <row r="1436" spans="2:23" x14ac:dyDescent="0.25">
      <c r="B1436" s="169" t="s">
        <v>96</v>
      </c>
      <c r="C1436" s="169" t="s">
        <v>42</v>
      </c>
      <c r="D1436" s="169" t="s">
        <v>172</v>
      </c>
      <c r="E1436" s="169" t="s">
        <v>211</v>
      </c>
      <c r="F1436" s="245" t="str">
        <f t="shared" si="90"/>
        <v>StpS 77</v>
      </c>
      <c r="G1436" s="169" t="s">
        <v>394</v>
      </c>
      <c r="I1436" s="169" t="str">
        <f t="shared" si="88"/>
        <v>L09_JV_045E_STOPE PREP</v>
      </c>
      <c r="J1436" s="169" t="s">
        <v>8553</v>
      </c>
      <c r="K1436" s="169">
        <f>IFERROR(MATCH(J1436,'Final List'!$B$4:$B$252,0),0)</f>
        <v>0</v>
      </c>
      <c r="L1436" s="169">
        <f>IFERROR(MATCH(J1436,'Final List'!$D$4:$D$252,0),0)</f>
        <v>0</v>
      </c>
      <c r="M1436" s="169">
        <f>IFERROR(MATCH(J1436,'Final List'!$F$4:$F$251,0),0)</f>
        <v>0</v>
      </c>
      <c r="N1436" s="169">
        <f>IFERROR(MATCH(J1436,'Final List'!$H$4:$H$252,0),0)</f>
        <v>0</v>
      </c>
      <c r="O1436" s="169">
        <f>IFERROR(MATCH(J1436,'Final List'!$J$4:$J$252,0),0)</f>
        <v>0</v>
      </c>
      <c r="P1436" s="169">
        <f>IFERROR(MATCH(J1436,'Final List'!$L$4:$L$252,0),0)</f>
        <v>0</v>
      </c>
      <c r="Q1436" s="169">
        <f>IFERROR(MATCH(J1436,'Final List'!$N$4:$N$252,0),0)</f>
        <v>0</v>
      </c>
      <c r="R1436" s="169">
        <f>IFERROR(MATCH(J1436,'Final List'!$P$4:$P$252,0),0)</f>
        <v>0</v>
      </c>
      <c r="S1436" s="169">
        <f t="shared" si="91"/>
        <v>0</v>
      </c>
      <c r="T1436" s="169" t="s">
        <v>68</v>
      </c>
      <c r="V1436" s="169" t="str">
        <f t="shared" si="89"/>
        <v>ANDILAB 1</v>
      </c>
      <c r="W1436" s="169" t="s">
        <v>2712</v>
      </c>
    </row>
    <row r="1437" spans="2:23" x14ac:dyDescent="0.25">
      <c r="B1437" s="169" t="s">
        <v>96</v>
      </c>
      <c r="C1437" s="169" t="s">
        <v>59</v>
      </c>
      <c r="D1437" s="169" t="s">
        <v>176</v>
      </c>
      <c r="E1437" s="169" t="s">
        <v>61</v>
      </c>
      <c r="F1437" s="245" t="str">
        <f t="shared" si="90"/>
        <v>Dhoz 71</v>
      </c>
      <c r="G1437" s="169" t="s">
        <v>746</v>
      </c>
      <c r="I1437" s="169" t="str">
        <f t="shared" ref="I1437:I1500" si="92">CONCATENATE(B1437,"_",C1437,"_",D1437,"_",E1437)</f>
        <v>L09_GHVHW_057E_DW</v>
      </c>
      <c r="J1437" s="169" t="s">
        <v>8555</v>
      </c>
      <c r="K1437" s="169">
        <f>IFERROR(MATCH(J1437,'Final List'!$B$4:$B$252,0),0)</f>
        <v>0</v>
      </c>
      <c r="L1437" s="169">
        <f>IFERROR(MATCH(J1437,'Final List'!$D$4:$D$252,0),0)</f>
        <v>0</v>
      </c>
      <c r="M1437" s="169">
        <f>IFERROR(MATCH(J1437,'Final List'!$F$4:$F$251,0),0)</f>
        <v>0</v>
      </c>
      <c r="N1437" s="169">
        <f>IFERROR(MATCH(J1437,'Final List'!$H$4:$H$252,0),0)</f>
        <v>0</v>
      </c>
      <c r="O1437" s="169">
        <f>IFERROR(MATCH(J1437,'Final List'!$J$4:$J$252,0),0)</f>
        <v>0</v>
      </c>
      <c r="P1437" s="169">
        <f>IFERROR(MATCH(J1437,'Final List'!$L$4:$L$252,0),0)</f>
        <v>0</v>
      </c>
      <c r="Q1437" s="169">
        <f>IFERROR(MATCH(J1437,'Final List'!$N$4:$N$252,0),0)</f>
        <v>0</v>
      </c>
      <c r="R1437" s="169">
        <f>IFERROR(MATCH(J1437,'Final List'!$P$4:$P$252,0),0)</f>
        <v>0</v>
      </c>
      <c r="S1437" s="169">
        <f t="shared" si="91"/>
        <v>0</v>
      </c>
      <c r="V1437" s="169" t="str">
        <f t="shared" si="89"/>
        <v>CANOY 1</v>
      </c>
      <c r="W1437" s="169" t="s">
        <v>8896</v>
      </c>
    </row>
    <row r="1438" spans="2:23" x14ac:dyDescent="0.25">
      <c r="B1438" s="169" t="s">
        <v>95</v>
      </c>
      <c r="C1438" s="169" t="s">
        <v>45</v>
      </c>
      <c r="D1438" s="169" t="s">
        <v>176</v>
      </c>
      <c r="E1438" s="169" t="s">
        <v>211</v>
      </c>
      <c r="F1438" s="245" t="str">
        <f t="shared" si="90"/>
        <v>StpS 77</v>
      </c>
      <c r="G1438" s="169" t="s">
        <v>584</v>
      </c>
      <c r="I1438" s="169" t="str">
        <f t="shared" si="92"/>
        <v>L08_DPVE_057E_STOPE PREP</v>
      </c>
      <c r="J1438" s="169" t="s">
        <v>8557</v>
      </c>
      <c r="K1438" s="169">
        <f>IFERROR(MATCH(J1438,'Final List'!$B$4:$B$252,0),0)</f>
        <v>0</v>
      </c>
      <c r="L1438" s="169">
        <f>IFERROR(MATCH(J1438,'Final List'!$D$4:$D$252,0),0)</f>
        <v>0</v>
      </c>
      <c r="M1438" s="169">
        <f>IFERROR(MATCH(J1438,'Final List'!$F$4:$F$251,0),0)</f>
        <v>0</v>
      </c>
      <c r="N1438" s="169">
        <f>IFERROR(MATCH(J1438,'Final List'!$H$4:$H$252,0),0)</f>
        <v>0</v>
      </c>
      <c r="O1438" s="169">
        <f>IFERROR(MATCH(J1438,'Final List'!$J$4:$J$252,0),0)</f>
        <v>0</v>
      </c>
      <c r="P1438" s="169">
        <f>IFERROR(MATCH(J1438,'Final List'!$L$4:$L$252,0),0)</f>
        <v>0</v>
      </c>
      <c r="Q1438" s="169">
        <f>IFERROR(MATCH(J1438,'Final List'!$N$4:$N$252,0),0)</f>
        <v>0</v>
      </c>
      <c r="R1438" s="169">
        <f>IFERROR(MATCH(J1438,'Final List'!$P$4:$P$252,0),0)</f>
        <v>0</v>
      </c>
      <c r="S1438" s="169">
        <f t="shared" si="91"/>
        <v>0</v>
      </c>
      <c r="T1438" s="169" t="s">
        <v>68</v>
      </c>
      <c r="V1438" s="169" t="str">
        <f t="shared" si="89"/>
        <v>VILLARANTE 2</v>
      </c>
      <c r="W1438" s="169" t="s">
        <v>2712</v>
      </c>
    </row>
    <row r="1439" spans="2:23" x14ac:dyDescent="0.25">
      <c r="B1439" s="169" t="s">
        <v>94</v>
      </c>
      <c r="C1439" s="169" t="s">
        <v>45</v>
      </c>
      <c r="D1439" s="169" t="s">
        <v>142</v>
      </c>
      <c r="E1439" s="169" t="s">
        <v>19</v>
      </c>
      <c r="F1439" s="245" t="str">
        <f t="shared" si="90"/>
        <v>DVR 72</v>
      </c>
      <c r="G1439" s="169" t="s">
        <v>2970</v>
      </c>
      <c r="I1439" s="169" t="str">
        <f t="shared" si="92"/>
        <v>L07_DPVE_038E_RAISE</v>
      </c>
      <c r="J1439" s="169" t="s">
        <v>716</v>
      </c>
      <c r="K1439" s="169">
        <f>IFERROR(MATCH(J1439,'Final List'!$B$4:$B$252,0),0)</f>
        <v>0</v>
      </c>
      <c r="L1439" s="169">
        <f>IFERROR(MATCH(J1439,'Final List'!$D$4:$D$252,0),0)</f>
        <v>0</v>
      </c>
      <c r="M1439" s="169">
        <f>IFERROR(MATCH(J1439,'Final List'!$F$4:$F$251,0),0)</f>
        <v>0</v>
      </c>
      <c r="N1439" s="169">
        <f>IFERROR(MATCH(J1439,'Final List'!$H$4:$H$252,0),0)</f>
        <v>0</v>
      </c>
      <c r="O1439" s="169">
        <f>IFERROR(MATCH(J1439,'Final List'!$J$4:$J$252,0),0)</f>
        <v>0</v>
      </c>
      <c r="P1439" s="169">
        <f>IFERROR(MATCH(J1439,'Final List'!$L$4:$L$252,0),0)</f>
        <v>0</v>
      </c>
      <c r="Q1439" s="169">
        <f>IFERROR(MATCH(J1439,'Final List'!$N$4:$N$252,0),0)</f>
        <v>0</v>
      </c>
      <c r="R1439" s="169">
        <f>IFERROR(MATCH(J1439,'Final List'!$P$4:$P$252,0),0)</f>
        <v>0</v>
      </c>
      <c r="S1439" s="169">
        <f t="shared" si="91"/>
        <v>0</v>
      </c>
      <c r="V1439" s="169" t="str">
        <f t="shared" si="89"/>
        <v>FABROA 2</v>
      </c>
      <c r="W1439" s="169" t="s">
        <v>2715</v>
      </c>
    </row>
    <row r="1440" spans="2:23" x14ac:dyDescent="0.25">
      <c r="B1440" s="169" t="s">
        <v>258</v>
      </c>
      <c r="C1440" s="169" t="s">
        <v>38</v>
      </c>
      <c r="D1440" s="169" t="s">
        <v>176</v>
      </c>
      <c r="E1440" s="169" t="s">
        <v>211</v>
      </c>
      <c r="F1440" s="245" t="str">
        <f t="shared" si="90"/>
        <v>StpS 77</v>
      </c>
      <c r="G1440" s="169" t="s">
        <v>5704</v>
      </c>
      <c r="I1440" s="169" t="str">
        <f t="shared" si="92"/>
        <v>L10_GHV_057E_STOPE PREP</v>
      </c>
      <c r="J1440" s="169" t="s">
        <v>8562</v>
      </c>
      <c r="K1440" s="169">
        <f>IFERROR(MATCH(J1440,'Final List'!$B$4:$B$252,0),0)</f>
        <v>0</v>
      </c>
      <c r="L1440" s="169">
        <f>IFERROR(MATCH(J1440,'Final List'!$D$4:$D$252,0),0)</f>
        <v>0</v>
      </c>
      <c r="M1440" s="169">
        <f>IFERROR(MATCH(J1440,'Final List'!$F$4:$F$251,0),0)</f>
        <v>0</v>
      </c>
      <c r="N1440" s="169">
        <f>IFERROR(MATCH(J1440,'Final List'!$H$4:$H$252,0),0)</f>
        <v>0</v>
      </c>
      <c r="O1440" s="169">
        <f>IFERROR(MATCH(J1440,'Final List'!$J$4:$J$252,0),0)</f>
        <v>0</v>
      </c>
      <c r="P1440" s="169">
        <f>IFERROR(MATCH(J1440,'Final List'!$L$4:$L$252,0),0)</f>
        <v>0</v>
      </c>
      <c r="Q1440" s="169">
        <f>IFERROR(MATCH(J1440,'Final List'!$N$4:$N$252,0),0)</f>
        <v>0</v>
      </c>
      <c r="R1440" s="169">
        <f>IFERROR(MATCH(J1440,'Final List'!$P$4:$P$252,0),0)</f>
        <v>0</v>
      </c>
      <c r="S1440" s="169">
        <f t="shared" si="91"/>
        <v>0</v>
      </c>
      <c r="T1440" s="169" t="s">
        <v>68</v>
      </c>
      <c r="V1440" s="169" t="str">
        <f t="shared" si="89"/>
        <v>OLIVEROS 3</v>
      </c>
      <c r="W1440" s="169" t="s">
        <v>2712</v>
      </c>
    </row>
    <row r="1441" spans="2:23" x14ac:dyDescent="0.25">
      <c r="B1441" s="169" t="s">
        <v>96</v>
      </c>
      <c r="C1441" s="169" t="s">
        <v>38</v>
      </c>
      <c r="D1441" s="169" t="s">
        <v>8660</v>
      </c>
      <c r="E1441" s="169" t="s">
        <v>6154</v>
      </c>
      <c r="F1441" s="245" t="str">
        <f t="shared" si="90"/>
        <v>Dhoz 71</v>
      </c>
      <c r="G1441" s="169" t="s">
        <v>8563</v>
      </c>
      <c r="H1441" s="169" t="s">
        <v>364</v>
      </c>
      <c r="I1441" s="169" t="str">
        <f t="shared" si="92"/>
        <v>L09_GHV_003w_DW_ISL</v>
      </c>
      <c r="J1441" s="169" t="s">
        <v>8661</v>
      </c>
      <c r="K1441" s="169">
        <f>IFERROR(MATCH(J1441,'Final List'!$B$4:$B$252,0),0)</f>
        <v>0</v>
      </c>
      <c r="L1441" s="169">
        <f>IFERROR(MATCH(J1441,'Final List'!$D$4:$D$252,0),0)</f>
        <v>0</v>
      </c>
      <c r="M1441" s="169">
        <f>IFERROR(MATCH(J1441,'Final List'!$F$4:$F$251,0),0)</f>
        <v>0</v>
      </c>
      <c r="N1441" s="169">
        <f>IFERROR(MATCH(J1441,'Final List'!$H$4:$H$252,0),0)</f>
        <v>0</v>
      </c>
      <c r="O1441" s="169">
        <f>IFERROR(MATCH(J1441,'Final List'!$J$4:$J$252,0),0)</f>
        <v>0</v>
      </c>
      <c r="P1441" s="169">
        <f>IFERROR(MATCH(J1441,'Final List'!$L$4:$L$252,0),0)</f>
        <v>0</v>
      </c>
      <c r="Q1441" s="169">
        <f>IFERROR(MATCH(J1441,'Final List'!$N$4:$N$252,0),0)</f>
        <v>0</v>
      </c>
      <c r="R1441" s="169">
        <f>IFERROR(MATCH(J1441,'Final List'!$P$4:$P$252,0),0)</f>
        <v>0</v>
      </c>
      <c r="S1441" s="169">
        <f t="shared" si="91"/>
        <v>0</v>
      </c>
      <c r="V1441" s="169" t="str">
        <f t="shared" si="89"/>
        <v>BABOR 3</v>
      </c>
      <c r="W1441" s="169" t="s">
        <v>2708</v>
      </c>
    </row>
    <row r="1442" spans="2:23" x14ac:dyDescent="0.25">
      <c r="B1442" s="169" t="s">
        <v>95</v>
      </c>
      <c r="C1442" s="169" t="s">
        <v>42</v>
      </c>
      <c r="D1442" s="169" t="s">
        <v>5844</v>
      </c>
      <c r="E1442" s="169" t="s">
        <v>19</v>
      </c>
      <c r="F1442" s="245" t="str">
        <f t="shared" si="90"/>
        <v>DVR 72</v>
      </c>
      <c r="G1442" s="169" t="s">
        <v>303</v>
      </c>
      <c r="I1442" s="169" t="str">
        <f t="shared" si="92"/>
        <v>L08_JV_009W_RAISE</v>
      </c>
      <c r="J1442" s="169" t="s">
        <v>8565</v>
      </c>
      <c r="K1442" s="169">
        <f>IFERROR(MATCH(J1442,'Final List'!$B$4:$B$252,0),0)</f>
        <v>0</v>
      </c>
      <c r="L1442" s="169">
        <f>IFERROR(MATCH(J1442,'Final List'!$D$4:$D$252,0),0)</f>
        <v>0</v>
      </c>
      <c r="M1442" s="169">
        <f>IFERROR(MATCH(J1442,'Final List'!$F$4:$F$251,0),0)</f>
        <v>0</v>
      </c>
      <c r="N1442" s="169">
        <f>IFERROR(MATCH(J1442,'Final List'!$H$4:$H$252,0),0)</f>
        <v>0</v>
      </c>
      <c r="O1442" s="169">
        <f>IFERROR(MATCH(J1442,'Final List'!$J$4:$J$252,0),0)</f>
        <v>0</v>
      </c>
      <c r="P1442" s="169">
        <f>IFERROR(MATCH(J1442,'Final List'!$L$4:$L$252,0),0)</f>
        <v>0</v>
      </c>
      <c r="Q1442" s="169">
        <f>IFERROR(MATCH(J1442,'Final List'!$N$4:$N$252,0),0)</f>
        <v>0</v>
      </c>
      <c r="R1442" s="169">
        <f>IFERROR(MATCH(J1442,'Final List'!$P$4:$P$252,0),0)</f>
        <v>0</v>
      </c>
      <c r="S1442" s="169">
        <f t="shared" si="91"/>
        <v>0</v>
      </c>
      <c r="V1442" s="169" t="str">
        <f t="shared" si="89"/>
        <v>BELICAN 1</v>
      </c>
      <c r="W1442" s="169" t="s">
        <v>2715</v>
      </c>
    </row>
    <row r="1443" spans="2:23" x14ac:dyDescent="0.25">
      <c r="B1443" s="169" t="s">
        <v>91</v>
      </c>
      <c r="C1443" s="169" t="s">
        <v>41</v>
      </c>
      <c r="D1443" s="169" t="s">
        <v>5940</v>
      </c>
      <c r="E1443" s="169" t="s">
        <v>221</v>
      </c>
      <c r="F1443" s="245" t="str">
        <f t="shared" si="90"/>
        <v>RobC 80</v>
      </c>
      <c r="G1443" s="169" t="s">
        <v>7250</v>
      </c>
      <c r="I1443" s="169" t="str">
        <f t="shared" si="92"/>
        <v>L04_CTV_022W_WINZE STOPE</v>
      </c>
      <c r="J1443" s="169" t="s">
        <v>8567</v>
      </c>
      <c r="K1443" s="169">
        <f>IFERROR(MATCH(J1443,'Final List'!$B$4:$B$252,0),0)</f>
        <v>0</v>
      </c>
      <c r="L1443" s="169">
        <f>IFERROR(MATCH(J1443,'Final List'!$D$4:$D$252,0),0)</f>
        <v>0</v>
      </c>
      <c r="M1443" s="169">
        <f>IFERROR(MATCH(J1443,'Final List'!$F$4:$F$251,0),0)</f>
        <v>0</v>
      </c>
      <c r="N1443" s="169">
        <f>IFERROR(MATCH(J1443,'Final List'!$H$4:$H$252,0),0)</f>
        <v>0</v>
      </c>
      <c r="O1443" s="169">
        <f>IFERROR(MATCH(J1443,'Final List'!$J$4:$J$252,0),0)</f>
        <v>0</v>
      </c>
      <c r="P1443" s="169">
        <f>IFERROR(MATCH(J1443,'Final List'!$L$4:$L$252,0),0)</f>
        <v>0</v>
      </c>
      <c r="Q1443" s="169">
        <f>IFERROR(MATCH(J1443,'Final List'!$N$4:$N$252,0),0)</f>
        <v>0</v>
      </c>
      <c r="R1443" s="169">
        <f>IFERROR(MATCH(J1443,'Final List'!$P$4:$P$252,0),0)</f>
        <v>0</v>
      </c>
      <c r="S1443" s="169">
        <f t="shared" si="91"/>
        <v>0</v>
      </c>
      <c r="T1443" s="169" t="s">
        <v>68</v>
      </c>
      <c r="V1443" s="169" t="str">
        <f t="shared" si="89"/>
        <v>SHEPHERD AQ 2</v>
      </c>
      <c r="W1443" s="169" t="s">
        <v>2719</v>
      </c>
    </row>
    <row r="1444" spans="2:23" x14ac:dyDescent="0.25">
      <c r="B1444" s="169" t="s">
        <v>95</v>
      </c>
      <c r="C1444" s="169" t="s">
        <v>55</v>
      </c>
      <c r="D1444" s="169" t="s">
        <v>121</v>
      </c>
      <c r="E1444" s="169" t="s">
        <v>19</v>
      </c>
      <c r="F1444" s="245" t="str">
        <f t="shared" si="90"/>
        <v>DVR 72</v>
      </c>
      <c r="G1444" s="169" t="s">
        <v>380</v>
      </c>
      <c r="I1444" s="169" t="str">
        <f t="shared" si="92"/>
        <v>L08_JVFW_022E_RAISE</v>
      </c>
      <c r="J1444" s="169" t="s">
        <v>8569</v>
      </c>
      <c r="K1444" s="169">
        <f>IFERROR(MATCH(J1444,'Final List'!$B$4:$B$252,0),0)</f>
        <v>0</v>
      </c>
      <c r="L1444" s="169">
        <f>IFERROR(MATCH(J1444,'Final List'!$D$4:$D$252,0),0)</f>
        <v>0</v>
      </c>
      <c r="M1444" s="169">
        <f>IFERROR(MATCH(J1444,'Final List'!$F$4:$F$251,0),0)</f>
        <v>0</v>
      </c>
      <c r="N1444" s="169">
        <f>IFERROR(MATCH(J1444,'Final List'!$H$4:$H$252,0),0)</f>
        <v>0</v>
      </c>
      <c r="O1444" s="169">
        <f>IFERROR(MATCH(J1444,'Final List'!$J$4:$J$252,0),0)</f>
        <v>0</v>
      </c>
      <c r="P1444" s="169">
        <f>IFERROR(MATCH(J1444,'Final List'!$L$4:$L$252,0),0)</f>
        <v>0</v>
      </c>
      <c r="Q1444" s="169">
        <f>IFERROR(MATCH(J1444,'Final List'!$N$4:$N$252,0),0)</f>
        <v>0</v>
      </c>
      <c r="R1444" s="169">
        <f>IFERROR(MATCH(J1444,'Final List'!$P$4:$P$252,0),0)</f>
        <v>0</v>
      </c>
      <c r="S1444" s="169">
        <f t="shared" si="91"/>
        <v>0</v>
      </c>
      <c r="V1444" s="169" t="str">
        <f t="shared" si="89"/>
        <v>AGLOLO 1</v>
      </c>
      <c r="W1444" s="169" t="s">
        <v>2715</v>
      </c>
    </row>
    <row r="1445" spans="2:23" x14ac:dyDescent="0.25">
      <c r="B1445" s="169" t="s">
        <v>1167</v>
      </c>
      <c r="C1445" s="169" t="s">
        <v>45</v>
      </c>
      <c r="D1445" s="169" t="s">
        <v>142</v>
      </c>
      <c r="E1445" s="169" t="s">
        <v>60</v>
      </c>
      <c r="F1445" s="245" t="str">
        <f t="shared" si="90"/>
        <v>Dhoz 71</v>
      </c>
      <c r="G1445" s="169" t="s">
        <v>8571</v>
      </c>
      <c r="I1445" s="169" t="str">
        <f t="shared" si="92"/>
        <v>L12_DPVE_038E_DE</v>
      </c>
      <c r="J1445" s="169" t="s">
        <v>8570</v>
      </c>
      <c r="K1445" s="169">
        <f>IFERROR(MATCH(J1445,'Final List'!$B$4:$B$252,0),0)</f>
        <v>0</v>
      </c>
      <c r="L1445" s="169">
        <f>IFERROR(MATCH(J1445,'Final List'!$D$4:$D$252,0),0)</f>
        <v>0</v>
      </c>
      <c r="M1445" s="169">
        <f>IFERROR(MATCH(J1445,'Final List'!$F$4:$F$251,0),0)</f>
        <v>0</v>
      </c>
      <c r="N1445" s="169">
        <f>IFERROR(MATCH(J1445,'Final List'!$H$4:$H$252,0),0)</f>
        <v>0</v>
      </c>
      <c r="O1445" s="169">
        <f>IFERROR(MATCH(J1445,'Final List'!$J$4:$J$252,0),0)</f>
        <v>0</v>
      </c>
      <c r="P1445" s="169">
        <f>IFERROR(MATCH(J1445,'Final List'!$L$4:$L$252,0),0)</f>
        <v>0</v>
      </c>
      <c r="Q1445" s="169">
        <f>IFERROR(MATCH(J1445,'Final List'!$N$4:$N$252,0),0)</f>
        <v>0</v>
      </c>
      <c r="R1445" s="169">
        <f>IFERROR(MATCH(J1445,'Final List'!$P$4:$P$252,0),0)</f>
        <v>0</v>
      </c>
      <c r="S1445" s="169">
        <f t="shared" si="91"/>
        <v>0</v>
      </c>
      <c r="V1445" s="169" t="str">
        <f t="shared" si="89"/>
        <v>DUHIG P5</v>
      </c>
      <c r="W1445" s="169" t="s">
        <v>8896</v>
      </c>
    </row>
    <row r="1446" spans="2:23" x14ac:dyDescent="0.25">
      <c r="B1446" s="169" t="s">
        <v>96</v>
      </c>
      <c r="C1446" s="169" t="s">
        <v>45</v>
      </c>
      <c r="D1446" s="169" t="s">
        <v>123</v>
      </c>
      <c r="E1446" s="169" t="s">
        <v>19</v>
      </c>
      <c r="F1446" s="245" t="str">
        <f t="shared" si="90"/>
        <v>DVR 72</v>
      </c>
      <c r="G1446" s="169" t="s">
        <v>348</v>
      </c>
      <c r="H1446" s="169" t="s">
        <v>10253</v>
      </c>
      <c r="I1446" s="169" t="str">
        <f t="shared" si="92"/>
        <v>L09_DPVE_031E_RAISE</v>
      </c>
      <c r="J1446" s="169" t="s">
        <v>8573</v>
      </c>
      <c r="K1446" s="169">
        <f>IFERROR(MATCH(J1446,'Final List'!$B$4:$B$252,0),0)</f>
        <v>0</v>
      </c>
      <c r="L1446" s="169">
        <f>IFERROR(MATCH(J1446,'Final List'!$D$4:$D$252,0),0)</f>
        <v>0</v>
      </c>
      <c r="M1446" s="169">
        <f>IFERROR(MATCH(J1446,'Final List'!$F$4:$F$251,0),0)</f>
        <v>0</v>
      </c>
      <c r="N1446" s="169">
        <f>IFERROR(MATCH(J1446,'Final List'!$H$4:$H$252,0),0)</f>
        <v>0</v>
      </c>
      <c r="O1446" s="169">
        <f>IFERROR(MATCH(J1446,'Final List'!$J$4:$J$252,0),0)</f>
        <v>0</v>
      </c>
      <c r="P1446" s="169">
        <f>IFERROR(MATCH(J1446,'Final List'!$L$4:$L$252,0),0)</f>
        <v>0</v>
      </c>
      <c r="Q1446" s="169">
        <f>IFERROR(MATCH(J1446,'Final List'!$N$4:$N$252,0),0)</f>
        <v>0</v>
      </c>
      <c r="R1446" s="169">
        <f>IFERROR(MATCH(J1446,'Final List'!$P$4:$P$252,0),0)</f>
        <v>0</v>
      </c>
      <c r="S1446" s="169">
        <f t="shared" si="91"/>
        <v>0</v>
      </c>
      <c r="V1446" s="169" t="str">
        <f t="shared" si="89"/>
        <v>PANSIT NORMAN 4</v>
      </c>
      <c r="W1446" s="169" t="s">
        <v>2715</v>
      </c>
    </row>
    <row r="1447" spans="2:23" x14ac:dyDescent="0.25">
      <c r="B1447" s="169" t="s">
        <v>92</v>
      </c>
      <c r="C1447" s="169" t="s">
        <v>39</v>
      </c>
      <c r="D1447" s="169" t="s">
        <v>110</v>
      </c>
      <c r="E1447" s="169" t="s">
        <v>36</v>
      </c>
      <c r="F1447" s="245" t="str">
        <f t="shared" si="90"/>
        <v>StpS 77</v>
      </c>
      <c r="G1447" s="169" t="s">
        <v>1003</v>
      </c>
      <c r="I1447" s="169" t="str">
        <f t="shared" si="92"/>
        <v>L05_JVHW_004E_STOPE</v>
      </c>
      <c r="J1447" s="169" t="s">
        <v>8575</v>
      </c>
      <c r="K1447" s="169">
        <f>IFERROR(MATCH(J1447,'Final List'!$B$4:$B$252,0),0)</f>
        <v>0</v>
      </c>
      <c r="L1447" s="169">
        <f>IFERROR(MATCH(J1447,'Final List'!$D$4:$D$252,0),0)</f>
        <v>0</v>
      </c>
      <c r="M1447" s="169">
        <f>IFERROR(MATCH(J1447,'Final List'!$F$4:$F$251,0),0)</f>
        <v>0</v>
      </c>
      <c r="N1447" s="169">
        <f>IFERROR(MATCH(J1447,'Final List'!$H$4:$H$252,0),0)</f>
        <v>0</v>
      </c>
      <c r="O1447" s="169">
        <f>IFERROR(MATCH(J1447,'Final List'!$J$4:$J$252,0),0)</f>
        <v>0</v>
      </c>
      <c r="P1447" s="169">
        <f>IFERROR(MATCH(J1447,'Final List'!$L$4:$L$252,0),0)</f>
        <v>0</v>
      </c>
      <c r="Q1447" s="169">
        <f>IFERROR(MATCH(J1447,'Final List'!$N$4:$N$252,0),0)</f>
        <v>0</v>
      </c>
      <c r="R1447" s="169">
        <f>IFERROR(MATCH(J1447,'Final List'!$P$4:$P$252,0),0)</f>
        <v>0</v>
      </c>
      <c r="S1447" s="169">
        <f t="shared" si="91"/>
        <v>0</v>
      </c>
      <c r="T1447" s="169" t="s">
        <v>68</v>
      </c>
      <c r="V1447" s="169" t="str">
        <f t="shared" si="89"/>
        <v>BAYOBAY 2</v>
      </c>
      <c r="W1447" s="169" t="s">
        <v>2713</v>
      </c>
    </row>
    <row r="1448" spans="2:23" x14ac:dyDescent="0.25">
      <c r="B1448" s="169" t="s">
        <v>91</v>
      </c>
      <c r="C1448" s="169" t="s">
        <v>44</v>
      </c>
      <c r="D1448" s="169" t="s">
        <v>5992</v>
      </c>
      <c r="E1448" s="169" t="s">
        <v>61</v>
      </c>
      <c r="F1448" s="245" t="str">
        <f t="shared" si="90"/>
        <v>Dhoz 71</v>
      </c>
      <c r="G1448" s="169" t="s">
        <v>299</v>
      </c>
      <c r="I1448" s="169" t="str">
        <f t="shared" si="92"/>
        <v>L04_CV_026W_DW</v>
      </c>
      <c r="J1448" s="169" t="s">
        <v>8578</v>
      </c>
      <c r="K1448" s="169">
        <f>IFERROR(MATCH(J1448,'Final List'!$B$4:$B$252,0),0)</f>
        <v>0</v>
      </c>
      <c r="L1448" s="169">
        <f>IFERROR(MATCH(J1448,'Final List'!$D$4:$D$252,0),0)</f>
        <v>0</v>
      </c>
      <c r="M1448" s="169">
        <f>IFERROR(MATCH(J1448,'Final List'!$F$4:$F$251,0),0)</f>
        <v>0</v>
      </c>
      <c r="N1448" s="169">
        <f>IFERROR(MATCH(J1448,'Final List'!$H$4:$H$252,0),0)</f>
        <v>0</v>
      </c>
      <c r="O1448" s="169">
        <f>IFERROR(MATCH(J1448,'Final List'!$J$4:$J$252,0),0)</f>
        <v>0</v>
      </c>
      <c r="P1448" s="169">
        <f>IFERROR(MATCH(J1448,'Final List'!$L$4:$L$252,0),0)</f>
        <v>0</v>
      </c>
      <c r="Q1448" s="169">
        <f>IFERROR(MATCH(J1448,'Final List'!$N$4:$N$252,0),0)</f>
        <v>0</v>
      </c>
      <c r="R1448" s="169">
        <f>IFERROR(MATCH(J1448,'Final List'!$P$4:$P$252,0),0)</f>
        <v>0</v>
      </c>
      <c r="S1448" s="169">
        <f t="shared" si="91"/>
        <v>0</v>
      </c>
      <c r="V1448" s="169" t="str">
        <f t="shared" si="89"/>
        <v>NOCOS 2</v>
      </c>
      <c r="W1448" s="169" t="s">
        <v>8895</v>
      </c>
    </row>
    <row r="1449" spans="2:23" x14ac:dyDescent="0.25">
      <c r="B1449" s="169" t="s">
        <v>258</v>
      </c>
      <c r="C1449" s="169" t="s">
        <v>45</v>
      </c>
      <c r="D1449" s="169" t="s">
        <v>123</v>
      </c>
      <c r="E1449" s="169" t="s">
        <v>20</v>
      </c>
      <c r="F1449" s="245" t="str">
        <f t="shared" si="90"/>
        <v>DVW 74</v>
      </c>
      <c r="G1449" s="169" t="s">
        <v>401</v>
      </c>
      <c r="I1449" s="169" t="str">
        <f t="shared" si="92"/>
        <v>L10_DPVE_031E_WINZE</v>
      </c>
      <c r="J1449" s="169" t="s">
        <v>8579</v>
      </c>
      <c r="K1449" s="169">
        <f>IFERROR(MATCH(J1449,'Final List'!$B$4:$B$252,0),0)</f>
        <v>0</v>
      </c>
      <c r="L1449" s="169">
        <f>IFERROR(MATCH(J1449,'Final List'!$D$4:$D$252,0),0)</f>
        <v>0</v>
      </c>
      <c r="M1449" s="169">
        <f>IFERROR(MATCH(J1449,'Final List'!$F$4:$F$251,0),0)</f>
        <v>0</v>
      </c>
      <c r="N1449" s="169">
        <f>IFERROR(MATCH(J1449,'Final List'!$H$4:$H$252,0),0)</f>
        <v>0</v>
      </c>
      <c r="O1449" s="169">
        <f>IFERROR(MATCH(J1449,'Final List'!$J$4:$J$252,0),0)</f>
        <v>0</v>
      </c>
      <c r="P1449" s="169">
        <f>IFERROR(MATCH(J1449,'Final List'!$L$4:$L$252,0),0)</f>
        <v>0</v>
      </c>
      <c r="Q1449" s="169">
        <f>IFERROR(MATCH(J1449,'Final List'!$N$4:$N$252,0),0)</f>
        <v>0</v>
      </c>
      <c r="R1449" s="169">
        <f>IFERROR(MATCH(J1449,'Final List'!$P$4:$P$252,0),0)</f>
        <v>0</v>
      </c>
      <c r="S1449" s="169">
        <f t="shared" si="91"/>
        <v>0</v>
      </c>
      <c r="V1449" s="169" t="str">
        <f t="shared" si="89"/>
        <v>MAPAYO 2</v>
      </c>
      <c r="W1449" s="169" t="s">
        <v>2706</v>
      </c>
    </row>
    <row r="1450" spans="2:23" x14ac:dyDescent="0.25">
      <c r="B1450" s="169" t="s">
        <v>93</v>
      </c>
      <c r="C1450" s="169" t="s">
        <v>45</v>
      </c>
      <c r="D1450" s="169" t="s">
        <v>165</v>
      </c>
      <c r="E1450" s="169" t="s">
        <v>61</v>
      </c>
      <c r="F1450" s="245" t="str">
        <f t="shared" si="90"/>
        <v>Dhoz 71</v>
      </c>
      <c r="G1450" s="169" t="s">
        <v>353</v>
      </c>
      <c r="I1450" s="169" t="str">
        <f t="shared" si="92"/>
        <v>L06_DPVE_056E_DW</v>
      </c>
      <c r="J1450" s="169" t="s">
        <v>8582</v>
      </c>
      <c r="K1450" s="169">
        <f>IFERROR(MATCH(J1450,'Final List'!$B$4:$B$252,0),0)</f>
        <v>0</v>
      </c>
      <c r="L1450" s="169">
        <f>IFERROR(MATCH(J1450,'Final List'!$D$4:$D$252,0),0)</f>
        <v>0</v>
      </c>
      <c r="M1450" s="169">
        <f>IFERROR(MATCH(J1450,'Final List'!$F$4:$F$251,0),0)</f>
        <v>0</v>
      </c>
      <c r="N1450" s="169">
        <f>IFERROR(MATCH(J1450,'Final List'!$H$4:$H$252,0),0)</f>
        <v>0</v>
      </c>
      <c r="O1450" s="169">
        <f>IFERROR(MATCH(J1450,'Final List'!$J$4:$J$252,0),0)</f>
        <v>0</v>
      </c>
      <c r="P1450" s="169">
        <f>IFERROR(MATCH(J1450,'Final List'!$L$4:$L$252,0),0)</f>
        <v>0</v>
      </c>
      <c r="Q1450" s="169">
        <f>IFERROR(MATCH(J1450,'Final List'!$N$4:$N$252,0),0)</f>
        <v>0</v>
      </c>
      <c r="R1450" s="169">
        <f>IFERROR(MATCH(J1450,'Final List'!$P$4:$P$252,0),0)</f>
        <v>0</v>
      </c>
      <c r="S1450" s="169">
        <f t="shared" si="91"/>
        <v>0</v>
      </c>
      <c r="V1450" s="169" t="str">
        <f t="shared" si="89"/>
        <v>BAÑEZ 4</v>
      </c>
      <c r="W1450" s="169" t="s">
        <v>8895</v>
      </c>
    </row>
    <row r="1451" spans="2:23" x14ac:dyDescent="0.25">
      <c r="B1451" s="169" t="s">
        <v>1166</v>
      </c>
      <c r="C1451" s="169" t="s">
        <v>45</v>
      </c>
      <c r="D1451" s="169" t="s">
        <v>130</v>
      </c>
      <c r="E1451" s="169" t="s">
        <v>61</v>
      </c>
      <c r="F1451" s="245" t="str">
        <f t="shared" si="90"/>
        <v>Dhoz 71</v>
      </c>
      <c r="G1451" s="169" t="s">
        <v>6929</v>
      </c>
      <c r="H1451" s="169" t="s">
        <v>353</v>
      </c>
      <c r="I1451" s="169" t="str">
        <f t="shared" si="92"/>
        <v>L11_DPVE_036E_DW</v>
      </c>
      <c r="J1451" s="169" t="s">
        <v>8584</v>
      </c>
      <c r="K1451" s="169">
        <f>IFERROR(MATCH(J1451,'Final List'!$B$4:$B$252,0),0)</f>
        <v>0</v>
      </c>
      <c r="L1451" s="169">
        <f>IFERROR(MATCH(J1451,'Final List'!$D$4:$D$252,0),0)</f>
        <v>0</v>
      </c>
      <c r="M1451" s="169">
        <f>IFERROR(MATCH(J1451,'Final List'!$F$4:$F$251,0),0)</f>
        <v>0</v>
      </c>
      <c r="N1451" s="169">
        <f>IFERROR(MATCH(J1451,'Final List'!$H$4:$H$252,0),0)</f>
        <v>0</v>
      </c>
      <c r="O1451" s="169">
        <f>IFERROR(MATCH(J1451,'Final List'!$J$4:$J$252,0),0)</f>
        <v>0</v>
      </c>
      <c r="P1451" s="169">
        <f>IFERROR(MATCH(J1451,'Final List'!$L$4:$L$252,0),0)</f>
        <v>0</v>
      </c>
      <c r="Q1451" s="169">
        <f>IFERROR(MATCH(J1451,'Final List'!$N$4:$N$252,0),0)</f>
        <v>0</v>
      </c>
      <c r="R1451" s="169">
        <f>IFERROR(MATCH(J1451,'Final List'!$P$4:$P$252,0),0)</f>
        <v>0</v>
      </c>
      <c r="S1451" s="169">
        <f t="shared" si="91"/>
        <v>0</v>
      </c>
      <c r="V1451" s="169" t="str">
        <f t="shared" si="89"/>
        <v>BAÑEZ 4</v>
      </c>
      <c r="W1451" s="169" t="s">
        <v>8896</v>
      </c>
    </row>
    <row r="1452" spans="2:23" x14ac:dyDescent="0.25">
      <c r="B1452" s="169" t="s">
        <v>1166</v>
      </c>
      <c r="C1452" s="169" t="s">
        <v>59</v>
      </c>
      <c r="D1452" s="169" t="s">
        <v>201</v>
      </c>
      <c r="E1452" s="169" t="s">
        <v>211</v>
      </c>
      <c r="F1452" s="245" t="str">
        <f t="shared" si="90"/>
        <v>StpS 77</v>
      </c>
      <c r="G1452" s="169" t="s">
        <v>448</v>
      </c>
      <c r="I1452" s="169" t="str">
        <f t="shared" si="92"/>
        <v>L11_GHVHW_067E_STOPE PREP</v>
      </c>
      <c r="J1452" s="169" t="s">
        <v>8585</v>
      </c>
      <c r="K1452" s="169">
        <f>IFERROR(MATCH(J1452,'Final List'!$B$4:$B$252,0),0)</f>
        <v>0</v>
      </c>
      <c r="L1452" s="169">
        <f>IFERROR(MATCH(J1452,'Final List'!$D$4:$D$252,0),0)</f>
        <v>0</v>
      </c>
      <c r="M1452" s="169">
        <f>IFERROR(MATCH(J1452,'Final List'!$F$4:$F$251,0),0)</f>
        <v>0</v>
      </c>
      <c r="N1452" s="169">
        <f>IFERROR(MATCH(J1452,'Final List'!$H$4:$H$252,0),0)</f>
        <v>0</v>
      </c>
      <c r="O1452" s="169">
        <f>IFERROR(MATCH(J1452,'Final List'!$J$4:$J$252,0),0)</f>
        <v>0</v>
      </c>
      <c r="P1452" s="169">
        <f>IFERROR(MATCH(J1452,'Final List'!$L$4:$L$252,0),0)</f>
        <v>0</v>
      </c>
      <c r="Q1452" s="169">
        <f>IFERROR(MATCH(J1452,'Final List'!$N$4:$N$252,0),0)</f>
        <v>0</v>
      </c>
      <c r="R1452" s="169">
        <f>IFERROR(MATCH(J1452,'Final List'!$P$4:$P$252,0),0)</f>
        <v>0</v>
      </c>
      <c r="S1452" s="169">
        <f t="shared" si="91"/>
        <v>0</v>
      </c>
      <c r="T1452" s="169" t="s">
        <v>68</v>
      </c>
      <c r="V1452" s="169" t="str">
        <f t="shared" si="89"/>
        <v>COMAINGKING 2</v>
      </c>
      <c r="W1452" s="169" t="s">
        <v>2712</v>
      </c>
    </row>
    <row r="1453" spans="2:23" x14ac:dyDescent="0.25">
      <c r="B1453" s="169" t="s">
        <v>93</v>
      </c>
      <c r="C1453" s="169" t="s">
        <v>42</v>
      </c>
      <c r="D1453" s="169" t="s">
        <v>5975</v>
      </c>
      <c r="E1453" s="169" t="s">
        <v>20</v>
      </c>
      <c r="F1453" s="245" t="str">
        <f t="shared" si="90"/>
        <v>DVW 74</v>
      </c>
      <c r="G1453" s="169" t="s">
        <v>350</v>
      </c>
      <c r="I1453" s="169" t="str">
        <f t="shared" si="92"/>
        <v>L06_JV_028E_WINZE</v>
      </c>
      <c r="J1453" s="169" t="s">
        <v>8586</v>
      </c>
      <c r="K1453" s="169">
        <f>IFERROR(MATCH(J1453,'Final List'!$B$4:$B$252,0),0)</f>
        <v>0</v>
      </c>
      <c r="L1453" s="169">
        <f>IFERROR(MATCH(J1453,'Final List'!$D$4:$D$252,0),0)</f>
        <v>0</v>
      </c>
      <c r="M1453" s="169">
        <f>IFERROR(MATCH(J1453,'Final List'!$F$4:$F$251,0),0)</f>
        <v>0</v>
      </c>
      <c r="N1453" s="169">
        <f>IFERROR(MATCH(J1453,'Final List'!$H$4:$H$252,0),0)</f>
        <v>0</v>
      </c>
      <c r="O1453" s="169">
        <f>IFERROR(MATCH(J1453,'Final List'!$J$4:$J$252,0),0)</f>
        <v>0</v>
      </c>
      <c r="P1453" s="169">
        <f>IFERROR(MATCH(J1453,'Final List'!$L$4:$L$252,0),0)</f>
        <v>0</v>
      </c>
      <c r="Q1453" s="169">
        <f>IFERROR(MATCH(J1453,'Final List'!$N$4:$N$252,0),0)</f>
        <v>0</v>
      </c>
      <c r="R1453" s="169">
        <f>IFERROR(MATCH(J1453,'Final List'!$P$4:$P$252,0),0)</f>
        <v>0</v>
      </c>
      <c r="S1453" s="169">
        <f t="shared" si="91"/>
        <v>0</v>
      </c>
      <c r="V1453" s="169" t="str">
        <f t="shared" si="89"/>
        <v>QUIJANO 1</v>
      </c>
      <c r="W1453" s="169" t="s">
        <v>2706</v>
      </c>
    </row>
    <row r="1454" spans="2:23" x14ac:dyDescent="0.25">
      <c r="B1454" s="169" t="s">
        <v>92</v>
      </c>
      <c r="C1454" s="169" t="s">
        <v>41</v>
      </c>
      <c r="D1454" s="169" t="s">
        <v>5975</v>
      </c>
      <c r="E1454" s="169" t="s">
        <v>62</v>
      </c>
      <c r="F1454" s="245" t="str">
        <f t="shared" si="90"/>
        <v>RobC 80</v>
      </c>
      <c r="G1454" s="169" t="s">
        <v>5698</v>
      </c>
      <c r="I1454" s="169" t="str">
        <f t="shared" si="92"/>
        <v>L05_CTV_028E_ROBBING</v>
      </c>
      <c r="J1454" s="169" t="s">
        <v>8587</v>
      </c>
      <c r="K1454" s="169">
        <f>IFERROR(MATCH(J1454,'Final List'!$B$4:$B$252,0),0)</f>
        <v>0</v>
      </c>
      <c r="L1454" s="169">
        <f>IFERROR(MATCH(J1454,'Final List'!$D$4:$D$252,0),0)</f>
        <v>0</v>
      </c>
      <c r="M1454" s="169">
        <f>IFERROR(MATCH(J1454,'Final List'!$F$4:$F$251,0),0)</f>
        <v>0</v>
      </c>
      <c r="N1454" s="169">
        <f>IFERROR(MATCH(J1454,'Final List'!$H$4:$H$252,0),0)</f>
        <v>0</v>
      </c>
      <c r="O1454" s="169">
        <f>IFERROR(MATCH(J1454,'Final List'!$J$4:$J$252,0),0)</f>
        <v>0</v>
      </c>
      <c r="P1454" s="169">
        <f>IFERROR(MATCH(J1454,'Final List'!$L$4:$L$252,0),0)</f>
        <v>0</v>
      </c>
      <c r="Q1454" s="169">
        <f>IFERROR(MATCH(J1454,'Final List'!$N$4:$N$252,0),0)</f>
        <v>0</v>
      </c>
      <c r="R1454" s="169">
        <f>IFERROR(MATCH(J1454,'Final List'!$P$4:$P$252,0),0)</f>
        <v>0</v>
      </c>
      <c r="S1454" s="169">
        <f t="shared" si="91"/>
        <v>0</v>
      </c>
      <c r="T1454" s="169" t="s">
        <v>48</v>
      </c>
      <c r="V1454" s="169" t="str">
        <f t="shared" si="89"/>
        <v>PARAN 1</v>
      </c>
      <c r="W1454" s="169" t="s">
        <v>236</v>
      </c>
    </row>
    <row r="1455" spans="2:23" x14ac:dyDescent="0.25">
      <c r="B1455" s="169" t="s">
        <v>95</v>
      </c>
      <c r="C1455" s="169" t="s">
        <v>45</v>
      </c>
      <c r="D1455" s="169" t="s">
        <v>149</v>
      </c>
      <c r="E1455" s="169" t="s">
        <v>19</v>
      </c>
      <c r="F1455" s="245" t="str">
        <f t="shared" si="90"/>
        <v>DVR 72</v>
      </c>
      <c r="G1455" s="169" t="s">
        <v>386</v>
      </c>
      <c r="I1455" s="169" t="str">
        <f t="shared" si="92"/>
        <v>L08_DPVE_021E_RAISE</v>
      </c>
      <c r="J1455" s="169" t="s">
        <v>8590</v>
      </c>
      <c r="K1455" s="169">
        <f>IFERROR(MATCH(J1455,'Final List'!$B$4:$B$252,0),0)</f>
        <v>0</v>
      </c>
      <c r="L1455" s="169">
        <f>IFERROR(MATCH(J1455,'Final List'!$D$4:$D$252,0),0)</f>
        <v>0</v>
      </c>
      <c r="M1455" s="169">
        <f>IFERROR(MATCH(J1455,'Final List'!$F$4:$F$251,0),0)</f>
        <v>0</v>
      </c>
      <c r="N1455" s="169">
        <f>IFERROR(MATCH(J1455,'Final List'!$H$4:$H$252,0),0)</f>
        <v>0</v>
      </c>
      <c r="O1455" s="169">
        <f>IFERROR(MATCH(J1455,'Final List'!$J$4:$J$252,0),0)</f>
        <v>0</v>
      </c>
      <c r="P1455" s="169">
        <f>IFERROR(MATCH(J1455,'Final List'!$L$4:$L$252,0),0)</f>
        <v>0</v>
      </c>
      <c r="Q1455" s="169">
        <f>IFERROR(MATCH(J1455,'Final List'!$N$4:$N$252,0),0)</f>
        <v>0</v>
      </c>
      <c r="R1455" s="169">
        <f>IFERROR(MATCH(J1455,'Final List'!$P$4:$P$252,0),0)</f>
        <v>0</v>
      </c>
      <c r="S1455" s="169">
        <f t="shared" si="91"/>
        <v>0</v>
      </c>
      <c r="V1455" s="169" t="str">
        <f t="shared" si="89"/>
        <v>REVITA 1</v>
      </c>
      <c r="W1455" s="169" t="s">
        <v>2715</v>
      </c>
    </row>
    <row r="1456" spans="2:23" x14ac:dyDescent="0.25">
      <c r="B1456" s="169" t="s">
        <v>91</v>
      </c>
      <c r="C1456" s="169" t="s">
        <v>44</v>
      </c>
      <c r="D1456" s="169" t="s">
        <v>114</v>
      </c>
      <c r="E1456" s="169" t="s">
        <v>62</v>
      </c>
      <c r="F1456" s="245" t="str">
        <f t="shared" si="90"/>
        <v>RobS 79</v>
      </c>
      <c r="G1456" s="169" t="s">
        <v>299</v>
      </c>
      <c r="I1456" s="169" t="str">
        <f t="shared" si="92"/>
        <v>L04_CV_025W_ROBBING</v>
      </c>
      <c r="J1456" s="169" t="s">
        <v>8598</v>
      </c>
      <c r="K1456" s="169">
        <f>IFERROR(MATCH(J1456,'Final List'!$B$4:$B$252,0),0)</f>
        <v>0</v>
      </c>
      <c r="L1456" s="169">
        <f>IFERROR(MATCH(J1456,'Final List'!$D$4:$D$252,0),0)</f>
        <v>0</v>
      </c>
      <c r="M1456" s="169">
        <f>IFERROR(MATCH(J1456,'Final List'!$F$4:$F$251,0),0)</f>
        <v>0</v>
      </c>
      <c r="N1456" s="169">
        <f>IFERROR(MATCH(J1456,'Final List'!$H$4:$H$252,0),0)</f>
        <v>0</v>
      </c>
      <c r="O1456" s="169">
        <f>IFERROR(MATCH(J1456,'Final List'!$J$4:$J$252,0),0)</f>
        <v>0</v>
      </c>
      <c r="P1456" s="169">
        <f>IFERROR(MATCH(J1456,'Final List'!$L$4:$L$252,0),0)</f>
        <v>0</v>
      </c>
      <c r="Q1456" s="169">
        <f>IFERROR(MATCH(J1456,'Final List'!$N$4:$N$252,0),0)</f>
        <v>0</v>
      </c>
      <c r="R1456" s="169">
        <f>IFERROR(MATCH(J1456,'Final List'!$P$4:$P$252,0),0)</f>
        <v>0</v>
      </c>
      <c r="S1456" s="169">
        <f t="shared" si="91"/>
        <v>0</v>
      </c>
      <c r="T1456" s="169" t="s">
        <v>68</v>
      </c>
      <c r="V1456" s="169" t="str">
        <f t="shared" si="89"/>
        <v>NOCOS 2</v>
      </c>
      <c r="W1456" s="169" t="s">
        <v>2707</v>
      </c>
    </row>
    <row r="1457" spans="2:23" x14ac:dyDescent="0.25">
      <c r="B1457" s="169" t="s">
        <v>94</v>
      </c>
      <c r="C1457" s="169" t="s">
        <v>56</v>
      </c>
      <c r="D1457" s="169" t="s">
        <v>111</v>
      </c>
      <c r="E1457" s="169" t="s">
        <v>62</v>
      </c>
      <c r="F1457" s="245" t="str">
        <f t="shared" si="90"/>
        <v>RobS 79</v>
      </c>
      <c r="G1457" s="169" t="s">
        <v>5921</v>
      </c>
      <c r="I1457" s="169" t="str">
        <f t="shared" si="92"/>
        <v>L07_GHVFW_004W_ROBBING</v>
      </c>
      <c r="J1457" s="169" t="s">
        <v>2684</v>
      </c>
      <c r="K1457" s="169">
        <f>IFERROR(MATCH(J1457,'Final List'!$B$4:$B$252,0),0)</f>
        <v>0</v>
      </c>
      <c r="L1457" s="169">
        <f>IFERROR(MATCH(J1457,'Final List'!$D$4:$D$252,0),0)</f>
        <v>0</v>
      </c>
      <c r="M1457" s="169">
        <f>IFERROR(MATCH(J1457,'Final List'!$F$4:$F$251,0),0)</f>
        <v>0</v>
      </c>
      <c r="N1457" s="169">
        <f>IFERROR(MATCH(J1457,'Final List'!$H$4:$H$252,0),0)</f>
        <v>0</v>
      </c>
      <c r="O1457" s="169">
        <f>IFERROR(MATCH(J1457,'Final List'!$J$4:$J$252,0),0)</f>
        <v>0</v>
      </c>
      <c r="P1457" s="169">
        <f>IFERROR(MATCH(J1457,'Final List'!$L$4:$L$252,0),0)</f>
        <v>0</v>
      </c>
      <c r="Q1457" s="169">
        <f>IFERROR(MATCH(J1457,'Final List'!$N$4:$N$252,0),0)</f>
        <v>0</v>
      </c>
      <c r="R1457" s="169">
        <f>IFERROR(MATCH(J1457,'Final List'!$P$4:$P$252,0),0)</f>
        <v>0</v>
      </c>
      <c r="S1457" s="169">
        <f t="shared" si="91"/>
        <v>0</v>
      </c>
      <c r="T1457" s="169" t="s">
        <v>68</v>
      </c>
      <c r="V1457" s="169" t="str">
        <f t="shared" si="89"/>
        <v>TURRA 2</v>
      </c>
      <c r="W1457" s="169" t="s">
        <v>2707</v>
      </c>
    </row>
    <row r="1458" spans="2:23" x14ac:dyDescent="0.25">
      <c r="B1458" s="169" t="s">
        <v>93</v>
      </c>
      <c r="C1458" s="169" t="s">
        <v>45</v>
      </c>
      <c r="D1458" s="169" t="s">
        <v>205</v>
      </c>
      <c r="E1458" s="169" t="s">
        <v>19</v>
      </c>
      <c r="F1458" s="245" t="str">
        <f t="shared" si="90"/>
        <v>DVR 72</v>
      </c>
      <c r="G1458" s="169" t="s">
        <v>354</v>
      </c>
      <c r="I1458" s="169" t="str">
        <f t="shared" si="92"/>
        <v>L06_DPVE_066E_RAISE</v>
      </c>
      <c r="J1458" s="169" t="s">
        <v>8591</v>
      </c>
      <c r="K1458" s="169">
        <f>IFERROR(MATCH(J1458,'Final List'!$B$4:$B$252,0),0)</f>
        <v>0</v>
      </c>
      <c r="L1458" s="169">
        <f>IFERROR(MATCH(J1458,'Final List'!$D$4:$D$252,0),0)</f>
        <v>0</v>
      </c>
      <c r="M1458" s="169">
        <f>IFERROR(MATCH(J1458,'Final List'!$F$4:$F$251,0),0)</f>
        <v>0</v>
      </c>
      <c r="N1458" s="169">
        <f>IFERROR(MATCH(J1458,'Final List'!$H$4:$H$252,0),0)</f>
        <v>0</v>
      </c>
      <c r="O1458" s="169">
        <f>IFERROR(MATCH(J1458,'Final List'!$J$4:$J$252,0),0)</f>
        <v>0</v>
      </c>
      <c r="P1458" s="169">
        <f>IFERROR(MATCH(J1458,'Final List'!$L$4:$L$252,0),0)</f>
        <v>0</v>
      </c>
      <c r="Q1458" s="169">
        <f>IFERROR(MATCH(J1458,'Final List'!$N$4:$N$252,0),0)</f>
        <v>0</v>
      </c>
      <c r="R1458" s="169">
        <f>IFERROR(MATCH(J1458,'Final List'!$P$4:$P$252,0),0)</f>
        <v>0</v>
      </c>
      <c r="S1458" s="169">
        <f t="shared" si="91"/>
        <v>0</v>
      </c>
      <c r="V1458" s="169" t="str">
        <f t="shared" si="89"/>
        <v>BAÑEZ 3</v>
      </c>
      <c r="W1458" s="169" t="s">
        <v>2715</v>
      </c>
    </row>
    <row r="1459" spans="2:23" x14ac:dyDescent="0.25">
      <c r="B1459" s="169" t="s">
        <v>93</v>
      </c>
      <c r="C1459" s="169" t="s">
        <v>45</v>
      </c>
      <c r="D1459" s="169" t="s">
        <v>180</v>
      </c>
      <c r="E1459" s="169" t="s">
        <v>19</v>
      </c>
      <c r="F1459" s="245" t="str">
        <f t="shared" si="90"/>
        <v>DVR 72</v>
      </c>
      <c r="G1459" s="169" t="s">
        <v>354</v>
      </c>
      <c r="I1459" s="169" t="str">
        <f t="shared" si="92"/>
        <v>L06_DPVE_041E_RAISE</v>
      </c>
      <c r="J1459" s="169" t="s">
        <v>8592</v>
      </c>
      <c r="K1459" s="169">
        <f>IFERROR(MATCH(J1459,'Final List'!$B$4:$B$252,0),0)</f>
        <v>0</v>
      </c>
      <c r="L1459" s="169">
        <f>IFERROR(MATCH(J1459,'Final List'!$D$4:$D$252,0),0)</f>
        <v>0</v>
      </c>
      <c r="M1459" s="169">
        <f>IFERROR(MATCH(J1459,'Final List'!$F$4:$F$251,0),0)</f>
        <v>0</v>
      </c>
      <c r="N1459" s="169">
        <f>IFERROR(MATCH(J1459,'Final List'!$H$4:$H$252,0),0)</f>
        <v>0</v>
      </c>
      <c r="O1459" s="169">
        <f>IFERROR(MATCH(J1459,'Final List'!$J$4:$J$252,0),0)</f>
        <v>0</v>
      </c>
      <c r="P1459" s="169">
        <f>IFERROR(MATCH(J1459,'Final List'!$L$4:$L$252,0),0)</f>
        <v>0</v>
      </c>
      <c r="Q1459" s="169">
        <f>IFERROR(MATCH(J1459,'Final List'!$N$4:$N$252,0),0)</f>
        <v>0</v>
      </c>
      <c r="R1459" s="169">
        <f>IFERROR(MATCH(J1459,'Final List'!$P$4:$P$252,0),0)</f>
        <v>0</v>
      </c>
      <c r="S1459" s="169">
        <f t="shared" si="91"/>
        <v>0</v>
      </c>
      <c r="V1459" s="169" t="str">
        <f t="shared" si="89"/>
        <v>BAÑEZ 3</v>
      </c>
      <c r="W1459" s="169" t="s">
        <v>2715</v>
      </c>
    </row>
    <row r="1460" spans="2:23" x14ac:dyDescent="0.25">
      <c r="B1460" s="169" t="s">
        <v>1166</v>
      </c>
      <c r="C1460" s="169" t="s">
        <v>38</v>
      </c>
      <c r="D1460" s="169" t="s">
        <v>198</v>
      </c>
      <c r="E1460" s="169" t="s">
        <v>60</v>
      </c>
      <c r="F1460" s="245" t="str">
        <f t="shared" si="90"/>
        <v>Dhoz 71</v>
      </c>
      <c r="G1460" s="169" t="s">
        <v>454</v>
      </c>
      <c r="H1460" s="169" t="s">
        <v>475</v>
      </c>
      <c r="I1460" s="169" t="str">
        <f t="shared" si="92"/>
        <v>L11_GHV_069E_DE</v>
      </c>
      <c r="J1460" s="169" t="s">
        <v>9287</v>
      </c>
      <c r="K1460" s="169">
        <f>IFERROR(MATCH(J1460,'Final List'!$B$4:$B$252,0),0)</f>
        <v>0</v>
      </c>
      <c r="L1460" s="169">
        <f>IFERROR(MATCH(J1460,'Final List'!$D$4:$D$252,0),0)</f>
        <v>0</v>
      </c>
      <c r="M1460" s="169">
        <f>IFERROR(MATCH(J1460,'Final List'!$F$4:$F$251,0),0)</f>
        <v>0</v>
      </c>
      <c r="N1460" s="169">
        <f>IFERROR(MATCH(J1460,'Final List'!$H$4:$H$252,0),0)</f>
        <v>0</v>
      </c>
      <c r="O1460" s="169">
        <f>IFERROR(MATCH(J1460,'Final List'!$J$4:$J$252,0),0)</f>
        <v>0</v>
      </c>
      <c r="P1460" s="169">
        <f>IFERROR(MATCH(J1460,'Final List'!$L$4:$L$252,0),0)</f>
        <v>0</v>
      </c>
      <c r="Q1460" s="169">
        <f>IFERROR(MATCH(J1460,'Final List'!$N$4:$N$252,0),0)</f>
        <v>0</v>
      </c>
      <c r="R1460" s="169">
        <f>IFERROR(MATCH(J1460,'Final List'!$P$4:$P$252,0),0)</f>
        <v>0</v>
      </c>
      <c r="S1460" s="169">
        <f t="shared" si="91"/>
        <v>0</v>
      </c>
      <c r="V1460" s="169" t="str">
        <f t="shared" si="89"/>
        <v>TORMIS 2</v>
      </c>
      <c r="W1460" s="169" t="s">
        <v>8896</v>
      </c>
    </row>
    <row r="1461" spans="2:23" x14ac:dyDescent="0.25">
      <c r="B1461" s="169" t="s">
        <v>96</v>
      </c>
      <c r="C1461" s="169" t="s">
        <v>42</v>
      </c>
      <c r="D1461" s="169" t="s">
        <v>226</v>
      </c>
      <c r="E1461" s="169" t="s">
        <v>62</v>
      </c>
      <c r="F1461" s="245" t="str">
        <f t="shared" si="90"/>
        <v>RobC 80</v>
      </c>
      <c r="G1461" s="169" t="s">
        <v>364</v>
      </c>
      <c r="I1461" s="169" t="str">
        <f t="shared" si="92"/>
        <v>L09_JV_074E_ROBBING</v>
      </c>
      <c r="J1461" s="169" t="s">
        <v>8680</v>
      </c>
      <c r="K1461" s="169">
        <f>IFERROR(MATCH(J1461,'Final List'!$B$4:$B$252,0),0)</f>
        <v>0</v>
      </c>
      <c r="L1461" s="169">
        <f>IFERROR(MATCH(J1461,'Final List'!$D$4:$D$252,0),0)</f>
        <v>0</v>
      </c>
      <c r="M1461" s="169">
        <f>IFERROR(MATCH(J1461,'Final List'!$F$4:$F$251,0),0)</f>
        <v>0</v>
      </c>
      <c r="N1461" s="169">
        <f>IFERROR(MATCH(J1461,'Final List'!$H$4:$H$252,0),0)</f>
        <v>0</v>
      </c>
      <c r="O1461" s="169">
        <f>IFERROR(MATCH(J1461,'Final List'!$J$4:$J$252,0),0)</f>
        <v>0</v>
      </c>
      <c r="P1461" s="169">
        <f>IFERROR(MATCH(J1461,'Final List'!$L$4:$L$252,0),0)</f>
        <v>0</v>
      </c>
      <c r="Q1461" s="169">
        <f>IFERROR(MATCH(J1461,'Final List'!$N$4:$N$252,0),0)</f>
        <v>0</v>
      </c>
      <c r="R1461" s="169">
        <f>IFERROR(MATCH(J1461,'Final List'!$P$4:$P$252,0),0)</f>
        <v>0</v>
      </c>
      <c r="S1461" s="169">
        <f t="shared" si="91"/>
        <v>0</v>
      </c>
      <c r="T1461" s="169" t="s">
        <v>48</v>
      </c>
      <c r="V1461" s="169" t="str">
        <f t="shared" si="89"/>
        <v>BABOR 3</v>
      </c>
      <c r="W1461" s="169" t="s">
        <v>236</v>
      </c>
    </row>
    <row r="1462" spans="2:23" x14ac:dyDescent="0.25">
      <c r="B1462" s="169" t="s">
        <v>95</v>
      </c>
      <c r="C1462" s="169" t="s">
        <v>87</v>
      </c>
      <c r="D1462" s="169" t="s">
        <v>5601</v>
      </c>
      <c r="E1462" s="169" t="s">
        <v>8605</v>
      </c>
      <c r="F1462" s="245" t="str">
        <f t="shared" si="90"/>
        <v>Dhoz 71</v>
      </c>
      <c r="G1462" s="169" t="s">
        <v>380</v>
      </c>
      <c r="I1462" s="169" t="str">
        <f t="shared" si="92"/>
        <v>L08_NONE_026E_REHAB</v>
      </c>
      <c r="J1462" s="169" t="s">
        <v>8604</v>
      </c>
      <c r="K1462" s="169">
        <f>IFERROR(MATCH(J1462,'Final List'!$B$4:$B$252,0),0)</f>
        <v>0</v>
      </c>
      <c r="L1462" s="169">
        <f>IFERROR(MATCH(J1462,'Final List'!$D$4:$D$252,0),0)</f>
        <v>0</v>
      </c>
      <c r="M1462" s="169">
        <f>IFERROR(MATCH(J1462,'Final List'!$F$4:$F$251,0),0)</f>
        <v>0</v>
      </c>
      <c r="N1462" s="169">
        <f>IFERROR(MATCH(J1462,'Final List'!$H$4:$H$252,0),0)</f>
        <v>0</v>
      </c>
      <c r="O1462" s="169">
        <f>IFERROR(MATCH(J1462,'Final List'!$J$4:$J$252,0),0)</f>
        <v>0</v>
      </c>
      <c r="P1462" s="169">
        <f>IFERROR(MATCH(J1462,'Final List'!$L$4:$L$252,0),0)</f>
        <v>0</v>
      </c>
      <c r="Q1462" s="169">
        <f>IFERROR(MATCH(J1462,'Final List'!$N$4:$N$252,0),0)</f>
        <v>0</v>
      </c>
      <c r="R1462" s="169">
        <f>IFERROR(MATCH(J1462,'Final List'!$P$4:$P$252,0),0)</f>
        <v>0</v>
      </c>
      <c r="S1462" s="169">
        <f t="shared" si="91"/>
        <v>0</v>
      </c>
      <c r="V1462" s="169" t="str">
        <f t="shared" si="89"/>
        <v>AGLOLO 1</v>
      </c>
      <c r="W1462" s="169" t="s">
        <v>2714</v>
      </c>
    </row>
    <row r="1463" spans="2:23" x14ac:dyDescent="0.25">
      <c r="B1463" s="169" t="s">
        <v>93</v>
      </c>
      <c r="C1463" s="169" t="s">
        <v>42</v>
      </c>
      <c r="D1463" s="169" t="s">
        <v>128</v>
      </c>
      <c r="E1463" s="169" t="s">
        <v>62</v>
      </c>
      <c r="F1463" s="245" t="str">
        <f t="shared" si="90"/>
        <v>RobS 79</v>
      </c>
      <c r="G1463" s="169" t="s">
        <v>349</v>
      </c>
      <c r="I1463" s="169" t="str">
        <f t="shared" si="92"/>
        <v>L06_JV_027E_ROBBING</v>
      </c>
      <c r="J1463" s="169" t="s">
        <v>8607</v>
      </c>
      <c r="K1463" s="169">
        <f>IFERROR(MATCH(J1463,'Final List'!$B$4:$B$252,0),0)</f>
        <v>0</v>
      </c>
      <c r="L1463" s="169">
        <f>IFERROR(MATCH(J1463,'Final List'!$D$4:$D$252,0),0)</f>
        <v>0</v>
      </c>
      <c r="M1463" s="169">
        <f>IFERROR(MATCH(J1463,'Final List'!$F$4:$F$251,0),0)</f>
        <v>0</v>
      </c>
      <c r="N1463" s="169">
        <f>IFERROR(MATCH(J1463,'Final List'!$H$4:$H$252,0),0)</f>
        <v>0</v>
      </c>
      <c r="O1463" s="169">
        <f>IFERROR(MATCH(J1463,'Final List'!$J$4:$J$252,0),0)</f>
        <v>0</v>
      </c>
      <c r="P1463" s="169">
        <f>IFERROR(MATCH(J1463,'Final List'!$L$4:$L$252,0),0)</f>
        <v>0</v>
      </c>
      <c r="Q1463" s="169">
        <f>IFERROR(MATCH(J1463,'Final List'!$N$4:$N$252,0),0)</f>
        <v>0</v>
      </c>
      <c r="R1463" s="169">
        <f>IFERROR(MATCH(J1463,'Final List'!$P$4:$P$252,0),0)</f>
        <v>0</v>
      </c>
      <c r="S1463" s="169">
        <f t="shared" si="91"/>
        <v>0</v>
      </c>
      <c r="T1463" s="169" t="s">
        <v>68</v>
      </c>
      <c r="V1463" s="169" t="str">
        <f t="shared" si="89"/>
        <v>QUIJANO 2</v>
      </c>
      <c r="W1463" s="169" t="s">
        <v>2707</v>
      </c>
    </row>
    <row r="1464" spans="2:23" x14ac:dyDescent="0.25">
      <c r="B1464" s="169" t="s">
        <v>258</v>
      </c>
      <c r="C1464" s="169" t="s">
        <v>56</v>
      </c>
      <c r="D1464" s="169" t="s">
        <v>103</v>
      </c>
      <c r="E1464" s="169" t="s">
        <v>61</v>
      </c>
      <c r="F1464" s="245" t="str">
        <f t="shared" si="90"/>
        <v>Dhoz 71</v>
      </c>
      <c r="G1464" s="169" t="s">
        <v>370</v>
      </c>
      <c r="I1464" s="169" t="str">
        <f t="shared" si="92"/>
        <v>L10_GHVFW_005E_DW</v>
      </c>
      <c r="J1464" s="169" t="s">
        <v>8613</v>
      </c>
      <c r="K1464" s="169">
        <f>IFERROR(MATCH(J1464,'Final List'!$B$4:$B$252,0),0)</f>
        <v>0</v>
      </c>
      <c r="L1464" s="169">
        <f>IFERROR(MATCH(J1464,'Final List'!$D$4:$D$252,0),0)</f>
        <v>0</v>
      </c>
      <c r="M1464" s="169">
        <f>IFERROR(MATCH(J1464,'Final List'!$F$4:$F$251,0),0)</f>
        <v>0</v>
      </c>
      <c r="N1464" s="169">
        <f>IFERROR(MATCH(J1464,'Final List'!$H$4:$H$252,0),0)</f>
        <v>0</v>
      </c>
      <c r="O1464" s="169">
        <f>IFERROR(MATCH(J1464,'Final List'!$J$4:$J$252,0),0)</f>
        <v>0</v>
      </c>
      <c r="P1464" s="169">
        <f>IFERROR(MATCH(J1464,'Final List'!$L$4:$L$252,0),0)</f>
        <v>0</v>
      </c>
      <c r="Q1464" s="169">
        <f>IFERROR(MATCH(J1464,'Final List'!$N$4:$N$252,0),0)</f>
        <v>0</v>
      </c>
      <c r="R1464" s="169">
        <f>IFERROR(MATCH(J1464,'Final List'!$P$4:$P$252,0),0)</f>
        <v>0</v>
      </c>
      <c r="S1464" s="169">
        <f t="shared" si="91"/>
        <v>0</v>
      </c>
      <c r="V1464" s="169" t="str">
        <f t="shared" si="89"/>
        <v>TAÑEZA 2</v>
      </c>
      <c r="W1464" s="169" t="s">
        <v>8896</v>
      </c>
    </row>
    <row r="1465" spans="2:23" x14ac:dyDescent="0.25">
      <c r="B1465" s="169" t="s">
        <v>96</v>
      </c>
      <c r="C1465" s="169" t="s">
        <v>45</v>
      </c>
      <c r="D1465" s="169" t="s">
        <v>165</v>
      </c>
      <c r="E1465" s="169" t="s">
        <v>211</v>
      </c>
      <c r="F1465" s="245" t="str">
        <f t="shared" si="90"/>
        <v>StpS 77</v>
      </c>
      <c r="G1465" s="169" t="s">
        <v>8202</v>
      </c>
      <c r="I1465" s="169" t="str">
        <f t="shared" si="92"/>
        <v>L09_DPVE_056E_STOPE PREP</v>
      </c>
      <c r="J1465" s="169" t="s">
        <v>8615</v>
      </c>
      <c r="K1465" s="169">
        <f>IFERROR(MATCH(J1465,'Final List'!$B$4:$B$252,0),0)</f>
        <v>0</v>
      </c>
      <c r="L1465" s="169">
        <f>IFERROR(MATCH(J1465,'Final List'!$D$4:$D$252,0),0)</f>
        <v>0</v>
      </c>
      <c r="M1465" s="169">
        <f>IFERROR(MATCH(J1465,'Final List'!$F$4:$F$251,0),0)</f>
        <v>0</v>
      </c>
      <c r="N1465" s="169">
        <f>IFERROR(MATCH(J1465,'Final List'!$H$4:$H$252,0),0)</f>
        <v>0</v>
      </c>
      <c r="O1465" s="169">
        <f>IFERROR(MATCH(J1465,'Final List'!$J$4:$J$252,0),0)</f>
        <v>0</v>
      </c>
      <c r="P1465" s="169">
        <f>IFERROR(MATCH(J1465,'Final List'!$L$4:$L$252,0),0)</f>
        <v>0</v>
      </c>
      <c r="Q1465" s="169">
        <f>IFERROR(MATCH(J1465,'Final List'!$N$4:$N$252,0),0)</f>
        <v>0</v>
      </c>
      <c r="R1465" s="169">
        <f>IFERROR(MATCH(J1465,'Final List'!$P$4:$P$252,0),0)</f>
        <v>0</v>
      </c>
      <c r="S1465" s="169">
        <f t="shared" si="91"/>
        <v>0</v>
      </c>
      <c r="T1465" s="169" t="s">
        <v>68</v>
      </c>
      <c r="V1465" s="169" t="str">
        <f t="shared" si="89"/>
        <v>PANSIT, NORMAN 2</v>
      </c>
      <c r="W1465" s="169" t="s">
        <v>2712</v>
      </c>
    </row>
    <row r="1466" spans="2:23" x14ac:dyDescent="0.25">
      <c r="B1466" s="169" t="s">
        <v>96</v>
      </c>
      <c r="C1466" s="169" t="s">
        <v>45</v>
      </c>
      <c r="D1466" s="169" t="s">
        <v>5078</v>
      </c>
      <c r="E1466" s="169" t="s">
        <v>13873</v>
      </c>
      <c r="F1466" s="245" t="s">
        <v>13719</v>
      </c>
      <c r="G1466" s="169" t="s">
        <v>8203</v>
      </c>
      <c r="H1466" s="169" t="s">
        <v>6216</v>
      </c>
      <c r="I1466" s="169" t="str">
        <f t="shared" si="92"/>
        <v xml:space="preserve">L09_DPVE_086E_ROBBING </v>
      </c>
      <c r="J1466" s="169" t="s">
        <v>13874</v>
      </c>
      <c r="K1466" s="169">
        <f>IFERROR(MATCH(J1466,'Final List'!$B$4:$B$252,0),0)</f>
        <v>0</v>
      </c>
      <c r="L1466" s="169">
        <f>IFERROR(MATCH(J1466,'Final List'!$D$4:$D$252,0),0)</f>
        <v>0</v>
      </c>
      <c r="M1466" s="169">
        <f>IFERROR(MATCH(J1466,'Final List'!$F$4:$F$251,0),0)</f>
        <v>0</v>
      </c>
      <c r="N1466" s="169">
        <f>IFERROR(MATCH(J1466,'Final List'!$H$4:$H$252,0),0)</f>
        <v>0</v>
      </c>
      <c r="O1466" s="169">
        <f>IFERROR(MATCH(J1466,'Final List'!$J$4:$J$252,0),0)</f>
        <v>0</v>
      </c>
      <c r="P1466" s="169">
        <f>IFERROR(MATCH(J1466,'Final List'!$L$4:$L$252,0),0)</f>
        <v>0</v>
      </c>
      <c r="Q1466" s="169">
        <f>IFERROR(MATCH(J1466,'Final List'!$N$4:$N$252,0),0)</f>
        <v>0</v>
      </c>
      <c r="R1466" s="169">
        <f>IFERROR(MATCH(J1466,'Final List'!$P$4:$P$252,0),0)</f>
        <v>0</v>
      </c>
      <c r="S1466" s="169">
        <f t="shared" si="91"/>
        <v>0</v>
      </c>
      <c r="T1466" s="169" t="s">
        <v>68</v>
      </c>
      <c r="V1466" s="169" t="str">
        <f t="shared" si="89"/>
        <v>FERNANDEZ</v>
      </c>
      <c r="W1466" s="169" t="s">
        <v>2707</v>
      </c>
    </row>
    <row r="1467" spans="2:23" x14ac:dyDescent="0.25">
      <c r="B1467" s="169" t="s">
        <v>95</v>
      </c>
      <c r="C1467" s="169" t="s">
        <v>45</v>
      </c>
      <c r="D1467" s="169" t="s">
        <v>176</v>
      </c>
      <c r="E1467" s="169" t="s">
        <v>36</v>
      </c>
      <c r="F1467" s="245" t="str">
        <f t="shared" si="90"/>
        <v>StpS 77</v>
      </c>
      <c r="G1467" s="169" t="s">
        <v>584</v>
      </c>
      <c r="I1467" s="169" t="str">
        <f t="shared" si="92"/>
        <v>L08_DPVE_057E_STOPE</v>
      </c>
      <c r="J1467" s="169" t="s">
        <v>8623</v>
      </c>
      <c r="K1467" s="169">
        <f>IFERROR(MATCH(J1467,'Final List'!$B$4:$B$252,0),0)</f>
        <v>0</v>
      </c>
      <c r="L1467" s="169">
        <f>IFERROR(MATCH(J1467,'Final List'!$D$4:$D$252,0),0)</f>
        <v>0</v>
      </c>
      <c r="M1467" s="169">
        <f>IFERROR(MATCH(J1467,'Final List'!$F$4:$F$251,0),0)</f>
        <v>0</v>
      </c>
      <c r="N1467" s="169">
        <f>IFERROR(MATCH(J1467,'Final List'!$H$4:$H$252,0),0)</f>
        <v>0</v>
      </c>
      <c r="O1467" s="169">
        <f>IFERROR(MATCH(J1467,'Final List'!$J$4:$J$252,0),0)</f>
        <v>0</v>
      </c>
      <c r="P1467" s="169">
        <f>IFERROR(MATCH(J1467,'Final List'!$L$4:$L$252,0),0)</f>
        <v>0</v>
      </c>
      <c r="Q1467" s="169">
        <f>IFERROR(MATCH(J1467,'Final List'!$N$4:$N$252,0),0)</f>
        <v>0</v>
      </c>
      <c r="R1467" s="169">
        <f>IFERROR(MATCH(J1467,'Final List'!$P$4:$P$252,0),0)</f>
        <v>0</v>
      </c>
      <c r="S1467" s="169">
        <f t="shared" si="91"/>
        <v>0</v>
      </c>
      <c r="T1467" s="169" t="s">
        <v>68</v>
      </c>
      <c r="V1467" s="169" t="str">
        <f t="shared" si="89"/>
        <v>VILLARANTE 2</v>
      </c>
      <c r="W1467" s="169" t="s">
        <v>2713</v>
      </c>
    </row>
    <row r="1468" spans="2:23" x14ac:dyDescent="0.25">
      <c r="B1468" s="169" t="s">
        <v>93</v>
      </c>
      <c r="C1468" s="169" t="s">
        <v>41</v>
      </c>
      <c r="D1468" s="169" t="s">
        <v>110</v>
      </c>
      <c r="E1468" s="169" t="s">
        <v>62</v>
      </c>
      <c r="F1468" s="245" t="str">
        <f t="shared" si="90"/>
        <v>RobC 80</v>
      </c>
      <c r="G1468" s="169" t="s">
        <v>342</v>
      </c>
      <c r="I1468" s="169" t="str">
        <f t="shared" si="92"/>
        <v>L06_CTV_004E_ROBBING</v>
      </c>
      <c r="J1468" s="169" t="s">
        <v>8627</v>
      </c>
      <c r="K1468" s="169">
        <f>IFERROR(MATCH(J1468,'Final List'!$B$4:$B$252,0),0)</f>
        <v>0</v>
      </c>
      <c r="L1468" s="169">
        <f>IFERROR(MATCH(J1468,'Final List'!$D$4:$D$252,0),0)</f>
        <v>0</v>
      </c>
      <c r="M1468" s="169">
        <f>IFERROR(MATCH(J1468,'Final List'!$F$4:$F$251,0),0)</f>
        <v>0</v>
      </c>
      <c r="N1468" s="169">
        <f>IFERROR(MATCH(J1468,'Final List'!$H$4:$H$252,0),0)</f>
        <v>0</v>
      </c>
      <c r="O1468" s="169">
        <f>IFERROR(MATCH(J1468,'Final List'!$J$4:$J$252,0),0)</f>
        <v>0</v>
      </c>
      <c r="P1468" s="169">
        <f>IFERROR(MATCH(J1468,'Final List'!$L$4:$L$252,0),0)</f>
        <v>0</v>
      </c>
      <c r="Q1468" s="169">
        <f>IFERROR(MATCH(J1468,'Final List'!$N$4:$N$252,0),0)</f>
        <v>0</v>
      </c>
      <c r="R1468" s="169">
        <f>IFERROR(MATCH(J1468,'Final List'!$P$4:$P$252,0),0)</f>
        <v>0</v>
      </c>
      <c r="S1468" s="169">
        <f t="shared" si="91"/>
        <v>0</v>
      </c>
      <c r="T1468" s="169" t="s">
        <v>48</v>
      </c>
      <c r="V1468" s="169" t="str">
        <f t="shared" si="89"/>
        <v>BADBADON 2</v>
      </c>
      <c r="W1468" s="169" t="s">
        <v>236</v>
      </c>
    </row>
    <row r="1469" spans="2:23" x14ac:dyDescent="0.25">
      <c r="B1469" s="169" t="s">
        <v>258</v>
      </c>
      <c r="C1469" s="169" t="s">
        <v>39</v>
      </c>
      <c r="D1469" s="169" t="s">
        <v>161</v>
      </c>
      <c r="E1469" s="169" t="s">
        <v>19</v>
      </c>
      <c r="F1469" s="245" t="str">
        <f t="shared" si="90"/>
        <v>DVR 72</v>
      </c>
      <c r="G1469" s="169" t="s">
        <v>5703</v>
      </c>
      <c r="I1469" s="169" t="str">
        <f t="shared" si="92"/>
        <v>L10_JVHW_044E_RAISE</v>
      </c>
      <c r="J1469" s="169" t="s">
        <v>8628</v>
      </c>
      <c r="K1469" s="169">
        <f>IFERROR(MATCH(J1469,'Final List'!$B$4:$B$252,0),0)</f>
        <v>0</v>
      </c>
      <c r="L1469" s="169">
        <f>IFERROR(MATCH(J1469,'Final List'!$D$4:$D$252,0),0)</f>
        <v>0</v>
      </c>
      <c r="M1469" s="169">
        <f>IFERROR(MATCH(J1469,'Final List'!$F$4:$F$251,0),0)</f>
        <v>0</v>
      </c>
      <c r="N1469" s="169">
        <f>IFERROR(MATCH(J1469,'Final List'!$H$4:$H$252,0),0)</f>
        <v>0</v>
      </c>
      <c r="O1469" s="169">
        <f>IFERROR(MATCH(J1469,'Final List'!$J$4:$J$252,0),0)</f>
        <v>0</v>
      </c>
      <c r="P1469" s="169">
        <f>IFERROR(MATCH(J1469,'Final List'!$L$4:$L$252,0),0)</f>
        <v>0</v>
      </c>
      <c r="Q1469" s="169">
        <f>IFERROR(MATCH(J1469,'Final List'!$N$4:$N$252,0),0)</f>
        <v>0</v>
      </c>
      <c r="R1469" s="169">
        <f>IFERROR(MATCH(J1469,'Final List'!$P$4:$P$252,0),0)</f>
        <v>0</v>
      </c>
      <c r="S1469" s="169">
        <f t="shared" si="91"/>
        <v>0</v>
      </c>
      <c r="V1469" s="169" t="str">
        <f t="shared" si="89"/>
        <v>OLIVEROS 2</v>
      </c>
      <c r="W1469" s="169" t="s">
        <v>2715</v>
      </c>
    </row>
    <row r="1470" spans="2:23" x14ac:dyDescent="0.25">
      <c r="B1470" s="169" t="s">
        <v>93</v>
      </c>
      <c r="C1470" s="169" t="s">
        <v>42</v>
      </c>
      <c r="D1470" s="169" t="s">
        <v>5631</v>
      </c>
      <c r="E1470" s="169" t="s">
        <v>62</v>
      </c>
      <c r="F1470" s="245" t="str">
        <f t="shared" si="90"/>
        <v>RobC 80</v>
      </c>
      <c r="G1470" s="169" t="s">
        <v>3252</v>
      </c>
      <c r="I1470" s="169" t="str">
        <f t="shared" si="92"/>
        <v>L06_JV_020E_ROBBING</v>
      </c>
      <c r="J1470" s="169" t="s">
        <v>8629</v>
      </c>
      <c r="K1470" s="169">
        <f>IFERROR(MATCH(J1470,'Final List'!$B$4:$B$252,0),0)</f>
        <v>0</v>
      </c>
      <c r="L1470" s="169">
        <f>IFERROR(MATCH(J1470,'Final List'!$D$4:$D$252,0),0)</f>
        <v>0</v>
      </c>
      <c r="M1470" s="169">
        <f>IFERROR(MATCH(J1470,'Final List'!$F$4:$F$251,0),0)</f>
        <v>0</v>
      </c>
      <c r="N1470" s="169">
        <f>IFERROR(MATCH(J1470,'Final List'!$H$4:$H$252,0),0)</f>
        <v>0</v>
      </c>
      <c r="O1470" s="169">
        <f>IFERROR(MATCH(J1470,'Final List'!$J$4:$J$252,0),0)</f>
        <v>0</v>
      </c>
      <c r="P1470" s="169">
        <f>IFERROR(MATCH(J1470,'Final List'!$L$4:$L$252,0),0)</f>
        <v>0</v>
      </c>
      <c r="Q1470" s="169">
        <f>IFERROR(MATCH(J1470,'Final List'!$N$4:$N$252,0),0)</f>
        <v>0</v>
      </c>
      <c r="R1470" s="169">
        <f>IFERROR(MATCH(J1470,'Final List'!$P$4:$P$252,0),0)</f>
        <v>0</v>
      </c>
      <c r="S1470" s="169">
        <f t="shared" si="91"/>
        <v>0</v>
      </c>
      <c r="T1470" s="169" t="s">
        <v>48</v>
      </c>
      <c r="V1470" s="169" t="str">
        <f t="shared" si="89"/>
        <v>SHEPHERD AA1</v>
      </c>
      <c r="W1470" s="169" t="s">
        <v>236</v>
      </c>
    </row>
    <row r="1471" spans="2:23" x14ac:dyDescent="0.25">
      <c r="B1471" s="169" t="s">
        <v>91</v>
      </c>
      <c r="C1471" s="169" t="s">
        <v>44</v>
      </c>
      <c r="D1471" s="169" t="s">
        <v>5844</v>
      </c>
      <c r="E1471" s="169" t="s">
        <v>20</v>
      </c>
      <c r="F1471" s="245" t="str">
        <f t="shared" si="90"/>
        <v>DVW 74</v>
      </c>
      <c r="G1471" s="169" t="s">
        <v>299</v>
      </c>
      <c r="I1471" s="169" t="str">
        <f t="shared" si="92"/>
        <v>L04_CV_009W_WINZE</v>
      </c>
      <c r="J1471" s="169" t="s">
        <v>8631</v>
      </c>
      <c r="K1471" s="169">
        <f>IFERROR(MATCH(J1471,'Final List'!$B$4:$B$252,0),0)</f>
        <v>0</v>
      </c>
      <c r="L1471" s="169">
        <f>IFERROR(MATCH(J1471,'Final List'!$D$4:$D$252,0),0)</f>
        <v>0</v>
      </c>
      <c r="M1471" s="169">
        <f>IFERROR(MATCH(J1471,'Final List'!$F$4:$F$251,0),0)</f>
        <v>0</v>
      </c>
      <c r="N1471" s="169">
        <f>IFERROR(MATCH(J1471,'Final List'!$H$4:$H$252,0),0)</f>
        <v>0</v>
      </c>
      <c r="O1471" s="169">
        <f>IFERROR(MATCH(J1471,'Final List'!$J$4:$J$252,0),0)</f>
        <v>0</v>
      </c>
      <c r="P1471" s="169">
        <f>IFERROR(MATCH(J1471,'Final List'!$L$4:$L$252,0),0)</f>
        <v>0</v>
      </c>
      <c r="Q1471" s="169">
        <f>IFERROR(MATCH(J1471,'Final List'!$N$4:$N$252,0),0)</f>
        <v>0</v>
      </c>
      <c r="R1471" s="169">
        <f>IFERROR(MATCH(J1471,'Final List'!$P$4:$P$252,0),0)</f>
        <v>0</v>
      </c>
      <c r="S1471" s="169">
        <f t="shared" si="91"/>
        <v>0</v>
      </c>
      <c r="V1471" s="169" t="str">
        <f t="shared" si="89"/>
        <v>NOCOS 2</v>
      </c>
      <c r="W1471" s="169" t="s">
        <v>2706</v>
      </c>
    </row>
    <row r="1472" spans="2:23" x14ac:dyDescent="0.25">
      <c r="B1472" s="169" t="s">
        <v>96</v>
      </c>
      <c r="C1472" s="169" t="s">
        <v>56</v>
      </c>
      <c r="D1472" s="169" t="s">
        <v>5602</v>
      </c>
      <c r="E1472" s="169" t="s">
        <v>60</v>
      </c>
      <c r="F1472" s="245" t="str">
        <f t="shared" si="90"/>
        <v>Dhoz 71</v>
      </c>
      <c r="G1472" s="169" t="s">
        <v>5101</v>
      </c>
      <c r="I1472" s="169" t="str">
        <f t="shared" si="92"/>
        <v>L09_GHVFW_053E_DE</v>
      </c>
      <c r="J1472" s="169" t="s">
        <v>8999</v>
      </c>
      <c r="K1472" s="169">
        <f>IFERROR(MATCH(J1472,'Final List'!$B$4:$B$252,0),0)</f>
        <v>0</v>
      </c>
      <c r="L1472" s="169">
        <f>IFERROR(MATCH(J1472,'Final List'!$D$4:$D$252,0),0)</f>
        <v>0</v>
      </c>
      <c r="M1472" s="169">
        <f>IFERROR(MATCH(J1472,'Final List'!$F$4:$F$251,0),0)</f>
        <v>0</v>
      </c>
      <c r="N1472" s="169">
        <f>IFERROR(MATCH(J1472,'Final List'!$H$4:$H$252,0),0)</f>
        <v>0</v>
      </c>
      <c r="O1472" s="169">
        <f>IFERROR(MATCH(J1472,'Final List'!$J$4:$J$252,0),0)</f>
        <v>0</v>
      </c>
      <c r="P1472" s="169">
        <f>IFERROR(MATCH(J1472,'Final List'!$L$4:$L$252,0),0)</f>
        <v>0</v>
      </c>
      <c r="Q1472" s="169">
        <f>IFERROR(MATCH(J1472,'Final List'!$N$4:$N$252,0),0)</f>
        <v>0</v>
      </c>
      <c r="R1472" s="169">
        <f>IFERROR(MATCH(J1472,'Final List'!$P$4:$P$252,0),0)</f>
        <v>0</v>
      </c>
      <c r="S1472" s="169">
        <f t="shared" si="91"/>
        <v>0</v>
      </c>
      <c r="V1472" s="169" t="str">
        <f t="shared" si="89"/>
        <v>DELOS REYES V3</v>
      </c>
      <c r="W1472" s="169" t="s">
        <v>8896</v>
      </c>
    </row>
    <row r="1473" spans="2:23" x14ac:dyDescent="0.25">
      <c r="B1473" s="169" t="s">
        <v>258</v>
      </c>
      <c r="C1473" s="169" t="s">
        <v>39</v>
      </c>
      <c r="D1473" s="169" t="s">
        <v>5723</v>
      </c>
      <c r="E1473" s="169" t="s">
        <v>36</v>
      </c>
      <c r="F1473" s="245" t="str">
        <f t="shared" si="90"/>
        <v>StpS 77</v>
      </c>
      <c r="G1473" s="169" t="s">
        <v>5697</v>
      </c>
      <c r="I1473" s="169" t="str">
        <f t="shared" si="92"/>
        <v>L10_JVHW_046E_STOPE</v>
      </c>
      <c r="J1473" s="169" t="s">
        <v>8633</v>
      </c>
      <c r="K1473" s="169">
        <f>IFERROR(MATCH(J1473,'Final List'!$B$4:$B$252,0),0)</f>
        <v>0</v>
      </c>
      <c r="L1473" s="169">
        <f>IFERROR(MATCH(J1473,'Final List'!$D$4:$D$252,0),0)</f>
        <v>0</v>
      </c>
      <c r="M1473" s="169">
        <f>IFERROR(MATCH(J1473,'Final List'!$F$4:$F$251,0),0)</f>
        <v>0</v>
      </c>
      <c r="N1473" s="169">
        <f>IFERROR(MATCH(J1473,'Final List'!$H$4:$H$252,0),0)</f>
        <v>0</v>
      </c>
      <c r="O1473" s="169">
        <f>IFERROR(MATCH(J1473,'Final List'!$J$4:$J$252,0),0)</f>
        <v>0</v>
      </c>
      <c r="P1473" s="169">
        <f>IFERROR(MATCH(J1473,'Final List'!$L$4:$L$252,0),0)</f>
        <v>0</v>
      </c>
      <c r="Q1473" s="169">
        <f>IFERROR(MATCH(J1473,'Final List'!$N$4:$N$252,0),0)</f>
        <v>0</v>
      </c>
      <c r="R1473" s="169">
        <f>IFERROR(MATCH(J1473,'Final List'!$P$4:$P$252,0),0)</f>
        <v>0</v>
      </c>
      <c r="S1473" s="169">
        <f t="shared" si="91"/>
        <v>0</v>
      </c>
      <c r="T1473" s="169" t="s">
        <v>68</v>
      </c>
      <c r="V1473" s="169" t="str">
        <f t="shared" si="89"/>
        <v>OLIVEROS 1</v>
      </c>
      <c r="W1473" s="169" t="s">
        <v>2713</v>
      </c>
    </row>
    <row r="1474" spans="2:23" x14ac:dyDescent="0.25">
      <c r="B1474" s="169" t="s">
        <v>96</v>
      </c>
      <c r="C1474" s="169" t="s">
        <v>45</v>
      </c>
      <c r="D1474" s="169" t="s">
        <v>247</v>
      </c>
      <c r="E1474" s="169" t="s">
        <v>20</v>
      </c>
      <c r="F1474" s="245" t="str">
        <f t="shared" si="90"/>
        <v>DVW 74</v>
      </c>
      <c r="G1474" s="169" t="s">
        <v>362</v>
      </c>
      <c r="H1474" s="169" t="s">
        <v>8201</v>
      </c>
      <c r="I1474" s="169" t="str">
        <f t="shared" si="92"/>
        <v>L09_DPVE_080E_WINZE</v>
      </c>
      <c r="J1474" s="169" t="s">
        <v>8635</v>
      </c>
      <c r="K1474" s="169">
        <f>IFERROR(MATCH(J1474,'Final List'!$B$4:$B$252,0),0)</f>
        <v>0</v>
      </c>
      <c r="L1474" s="169">
        <f>IFERROR(MATCH(J1474,'Final List'!$D$4:$D$252,0),0)</f>
        <v>0</v>
      </c>
      <c r="M1474" s="169">
        <f>IFERROR(MATCH(J1474,'Final List'!$F$4:$F$251,0),0)</f>
        <v>0</v>
      </c>
      <c r="N1474" s="169">
        <f>IFERROR(MATCH(J1474,'Final List'!$H$4:$H$252,0),0)</f>
        <v>0</v>
      </c>
      <c r="O1474" s="169">
        <f>IFERROR(MATCH(J1474,'Final List'!$J$4:$J$252,0),0)</f>
        <v>0</v>
      </c>
      <c r="P1474" s="169">
        <f>IFERROR(MATCH(J1474,'Final List'!$L$4:$L$252,0),0)</f>
        <v>0</v>
      </c>
      <c r="Q1474" s="169">
        <f>IFERROR(MATCH(J1474,'Final List'!$N$4:$N$252,0),0)</f>
        <v>0</v>
      </c>
      <c r="R1474" s="169">
        <f>IFERROR(MATCH(J1474,'Final List'!$P$4:$P$252,0),0)</f>
        <v>0</v>
      </c>
      <c r="S1474" s="169">
        <f t="shared" si="91"/>
        <v>0</v>
      </c>
      <c r="V1474" s="169" t="str">
        <f t="shared" ref="V1474:V1537" si="93">IF(H1474="",G1474,H1474)</f>
        <v>PANSIT, NORMAN 1</v>
      </c>
      <c r="W1474" s="169" t="s">
        <v>2706</v>
      </c>
    </row>
    <row r="1475" spans="2:23" x14ac:dyDescent="0.25">
      <c r="B1475" s="169" t="s">
        <v>92</v>
      </c>
      <c r="C1475" s="169" t="s">
        <v>39</v>
      </c>
      <c r="D1475" s="169" t="s">
        <v>103</v>
      </c>
      <c r="E1475" s="169" t="s">
        <v>19</v>
      </c>
      <c r="F1475" s="245" t="str">
        <f t="shared" ref="F1475:F1538" si="94">IF(OR(E1475="XCN",E1475="DE",E1475="DW",E1475="DN",E1475="XCS",E1475="XCE",E1475="XCW",E1475="SUMP",E1475="BYPASS",E1475="CHAMBER",E1475="DRAIN HOLE",E1475="DRILLING CHAMBER",E1475="DE_ISL",E1475="DW_ISL",E1475="REHAB"),"Dhoz 71",IF(OR(E1475="RAISE",E1475="RAISE_ISL"),"DVR 72",IF(E1475="ALIMAK","DVA 73",IF(E1475="WINZE","DVW 74",IF(E1475="SHAFT","DVS 75",IF(AND(E1475="WINZE STOPE",T1475="S"),"RobC 80",IF(AND(E1475="STOPE",T1475="S"),"StpS 77",IF(AND(E1475="WINZE STOPE",T1475="L"),"RobC 80",IF(AND(E1475="STOPE",T1475="L"),"StpL 78",IF(AND(E1475="WINZE STOPE PREP",T1475="S"),"RobC 80",IF(AND(E1475="STOPE PREP",T1475="S"),"StpS 77",IF(AND(E1475="WINZE STOPE PREP",T1475="L"),"RobC 80",IF(AND(E1475="STOPE PREP",T1475="L"),"StpL 78",IF(AND(E1475="ROBBING",T1475="L"),"RobC 80",IF(AND(E1475="ROBBING",T1475="S"),"RobS 79",0)))))))))))))))</f>
        <v>DVR 72</v>
      </c>
      <c r="G1475" s="169" t="s">
        <v>3955</v>
      </c>
      <c r="I1475" s="169" t="str">
        <f t="shared" si="92"/>
        <v>L05_JVHW_005E_RAISE</v>
      </c>
      <c r="J1475" s="169" t="s">
        <v>8636</v>
      </c>
      <c r="K1475" s="169">
        <f>IFERROR(MATCH(J1475,'Final List'!$B$4:$B$252,0),0)</f>
        <v>0</v>
      </c>
      <c r="L1475" s="169">
        <f>IFERROR(MATCH(J1475,'Final List'!$D$4:$D$252,0),0)</f>
        <v>0</v>
      </c>
      <c r="M1475" s="169">
        <f>IFERROR(MATCH(J1475,'Final List'!$F$4:$F$251,0),0)</f>
        <v>0</v>
      </c>
      <c r="N1475" s="169">
        <f>IFERROR(MATCH(J1475,'Final List'!$H$4:$H$252,0),0)</f>
        <v>0</v>
      </c>
      <c r="O1475" s="169">
        <f>IFERROR(MATCH(J1475,'Final List'!$J$4:$J$252,0),0)</f>
        <v>0</v>
      </c>
      <c r="P1475" s="169">
        <f>IFERROR(MATCH(J1475,'Final List'!$L$4:$L$252,0),0)</f>
        <v>0</v>
      </c>
      <c r="Q1475" s="169">
        <f>IFERROR(MATCH(J1475,'Final List'!$N$4:$N$252,0),0)</f>
        <v>0</v>
      </c>
      <c r="R1475" s="169">
        <f>IFERROR(MATCH(J1475,'Final List'!$P$4:$P$252,0),0)</f>
        <v>0</v>
      </c>
      <c r="S1475" s="169">
        <f t="shared" ref="S1475:S1538" si="95">SUM(K1475:R1475)</f>
        <v>0</v>
      </c>
      <c r="V1475" s="169" t="str">
        <f t="shared" si="93"/>
        <v>SAMBERE</v>
      </c>
      <c r="W1475" s="169" t="s">
        <v>2715</v>
      </c>
    </row>
    <row r="1476" spans="2:23" x14ac:dyDescent="0.25">
      <c r="B1476" s="169" t="s">
        <v>91</v>
      </c>
      <c r="C1476" s="169" t="s">
        <v>56</v>
      </c>
      <c r="D1476" s="169" t="s">
        <v>195</v>
      </c>
      <c r="E1476" s="169" t="s">
        <v>6143</v>
      </c>
      <c r="F1476" s="245" t="str">
        <f t="shared" si="94"/>
        <v>Dhoz 71</v>
      </c>
      <c r="G1476" s="169" t="s">
        <v>8638</v>
      </c>
      <c r="I1476" s="169" t="str">
        <f t="shared" si="92"/>
        <v>L04_GHVFW_008W_DE_ISL</v>
      </c>
      <c r="J1476" s="169" t="s">
        <v>8637</v>
      </c>
      <c r="K1476" s="169">
        <f>IFERROR(MATCH(J1476,'Final List'!$B$4:$B$252,0),0)</f>
        <v>0</v>
      </c>
      <c r="L1476" s="169">
        <f>IFERROR(MATCH(J1476,'Final List'!$D$4:$D$252,0),0)</f>
        <v>0</v>
      </c>
      <c r="M1476" s="169">
        <f>IFERROR(MATCH(J1476,'Final List'!$F$4:$F$251,0),0)</f>
        <v>0</v>
      </c>
      <c r="N1476" s="169">
        <f>IFERROR(MATCH(J1476,'Final List'!$H$4:$H$252,0),0)</f>
        <v>0</v>
      </c>
      <c r="O1476" s="169">
        <f>IFERROR(MATCH(J1476,'Final List'!$J$4:$J$252,0),0)</f>
        <v>0</v>
      </c>
      <c r="P1476" s="169">
        <f>IFERROR(MATCH(J1476,'Final List'!$L$4:$L$252,0),0)</f>
        <v>0</v>
      </c>
      <c r="Q1476" s="169">
        <f>IFERROR(MATCH(J1476,'Final List'!$N$4:$N$252,0),0)</f>
        <v>0</v>
      </c>
      <c r="R1476" s="169">
        <f>IFERROR(MATCH(J1476,'Final List'!$P$4:$P$252,0),0)</f>
        <v>0</v>
      </c>
      <c r="S1476" s="169">
        <f t="shared" si="95"/>
        <v>0</v>
      </c>
      <c r="V1476" s="169" t="str">
        <f t="shared" si="93"/>
        <v>SHEPHERD AR1</v>
      </c>
      <c r="W1476" s="169" t="s">
        <v>2708</v>
      </c>
    </row>
    <row r="1477" spans="2:23" x14ac:dyDescent="0.25">
      <c r="B1477" s="169" t="s">
        <v>96</v>
      </c>
      <c r="C1477" s="169" t="s">
        <v>45</v>
      </c>
      <c r="D1477" s="169" t="s">
        <v>6946</v>
      </c>
      <c r="E1477" s="169" t="s">
        <v>60</v>
      </c>
      <c r="F1477" s="245" t="str">
        <f t="shared" si="94"/>
        <v>Dhoz 71</v>
      </c>
      <c r="G1477" s="169" t="s">
        <v>1661</v>
      </c>
      <c r="I1477" s="169" t="str">
        <f t="shared" si="92"/>
        <v>L09_DPVE_081E_DE</v>
      </c>
      <c r="J1477" s="169" t="s">
        <v>8639</v>
      </c>
      <c r="K1477" s="169">
        <f>IFERROR(MATCH(J1477,'Final List'!$B$4:$B$252,0),0)</f>
        <v>0</v>
      </c>
      <c r="L1477" s="169">
        <f>IFERROR(MATCH(J1477,'Final List'!$D$4:$D$252,0),0)</f>
        <v>0</v>
      </c>
      <c r="M1477" s="169">
        <f>IFERROR(MATCH(J1477,'Final List'!$F$4:$F$251,0),0)</f>
        <v>0</v>
      </c>
      <c r="N1477" s="169">
        <f>IFERROR(MATCH(J1477,'Final List'!$H$4:$H$252,0),0)</f>
        <v>0</v>
      </c>
      <c r="O1477" s="169">
        <f>IFERROR(MATCH(J1477,'Final List'!$J$4:$J$252,0),0)</f>
        <v>0</v>
      </c>
      <c r="P1477" s="169">
        <f>IFERROR(MATCH(J1477,'Final List'!$L$4:$L$252,0),0)</f>
        <v>0</v>
      </c>
      <c r="Q1477" s="169">
        <f>IFERROR(MATCH(J1477,'Final List'!$N$4:$N$252,0),0)</f>
        <v>0</v>
      </c>
      <c r="R1477" s="169">
        <f>IFERROR(MATCH(J1477,'Final List'!$P$4:$P$252,0),0)</f>
        <v>0</v>
      </c>
      <c r="S1477" s="169">
        <f t="shared" si="95"/>
        <v>0</v>
      </c>
      <c r="V1477" s="169" t="str">
        <f t="shared" si="93"/>
        <v>DELOS REYES V2</v>
      </c>
      <c r="W1477" s="169" t="s">
        <v>8896</v>
      </c>
    </row>
    <row r="1478" spans="2:23" x14ac:dyDescent="0.25">
      <c r="B1478" s="169" t="s">
        <v>93</v>
      </c>
      <c r="C1478" s="169" t="s">
        <v>55</v>
      </c>
      <c r="D1478" s="169" t="s">
        <v>108</v>
      </c>
      <c r="E1478" s="169" t="s">
        <v>36</v>
      </c>
      <c r="F1478" s="245" t="str">
        <f t="shared" si="94"/>
        <v>StpS 77</v>
      </c>
      <c r="G1478" s="169" t="s">
        <v>2459</v>
      </c>
      <c r="I1478" s="169" t="str">
        <f t="shared" si="92"/>
        <v>L06_JVFW_007W_STOPE</v>
      </c>
      <c r="J1478" s="169" t="s">
        <v>8640</v>
      </c>
      <c r="K1478" s="169">
        <f>IFERROR(MATCH(J1478,'Final List'!$B$4:$B$252,0),0)</f>
        <v>0</v>
      </c>
      <c r="L1478" s="169">
        <f>IFERROR(MATCH(J1478,'Final List'!$D$4:$D$252,0),0)</f>
        <v>0</v>
      </c>
      <c r="M1478" s="169">
        <f>IFERROR(MATCH(J1478,'Final List'!$F$4:$F$251,0),0)</f>
        <v>0</v>
      </c>
      <c r="N1478" s="169">
        <f>IFERROR(MATCH(J1478,'Final List'!$H$4:$H$252,0),0)</f>
        <v>0</v>
      </c>
      <c r="O1478" s="169">
        <f>IFERROR(MATCH(J1478,'Final List'!$J$4:$J$252,0),0)</f>
        <v>0</v>
      </c>
      <c r="P1478" s="169">
        <f>IFERROR(MATCH(J1478,'Final List'!$L$4:$L$252,0),0)</f>
        <v>0</v>
      </c>
      <c r="Q1478" s="169">
        <f>IFERROR(MATCH(J1478,'Final List'!$N$4:$N$252,0),0)</f>
        <v>0</v>
      </c>
      <c r="R1478" s="169">
        <f>IFERROR(MATCH(J1478,'Final List'!$P$4:$P$252,0),0)</f>
        <v>0</v>
      </c>
      <c r="S1478" s="169">
        <f t="shared" si="95"/>
        <v>0</v>
      </c>
      <c r="T1478" s="169" t="s">
        <v>68</v>
      </c>
      <c r="V1478" s="169" t="str">
        <f t="shared" si="93"/>
        <v>REBOTE 3</v>
      </c>
      <c r="W1478" s="169" t="s">
        <v>2713</v>
      </c>
    </row>
    <row r="1479" spans="2:23" x14ac:dyDescent="0.25">
      <c r="B1479" s="169" t="s">
        <v>93</v>
      </c>
      <c r="C1479" s="169" t="s">
        <v>38</v>
      </c>
      <c r="D1479" s="169" t="s">
        <v>5835</v>
      </c>
      <c r="E1479" s="169" t="s">
        <v>211</v>
      </c>
      <c r="F1479" s="245" t="str">
        <f t="shared" si="94"/>
        <v>StpS 77</v>
      </c>
      <c r="G1479" s="169" t="s">
        <v>342</v>
      </c>
      <c r="I1479" s="169" t="str">
        <f t="shared" si="92"/>
        <v>L06_GHV_003W_STOPE PREP</v>
      </c>
      <c r="J1479" s="169" t="s">
        <v>8642</v>
      </c>
      <c r="K1479" s="169">
        <f>IFERROR(MATCH(J1479,'Final List'!$B$4:$B$252,0),0)</f>
        <v>0</v>
      </c>
      <c r="L1479" s="169">
        <f>IFERROR(MATCH(J1479,'Final List'!$D$4:$D$252,0),0)</f>
        <v>0</v>
      </c>
      <c r="M1479" s="169">
        <f>IFERROR(MATCH(J1479,'Final List'!$F$4:$F$251,0),0)</f>
        <v>0</v>
      </c>
      <c r="N1479" s="169">
        <f>IFERROR(MATCH(J1479,'Final List'!$H$4:$H$252,0),0)</f>
        <v>0</v>
      </c>
      <c r="O1479" s="169">
        <f>IFERROR(MATCH(J1479,'Final List'!$J$4:$J$252,0),0)</f>
        <v>0</v>
      </c>
      <c r="P1479" s="169">
        <f>IFERROR(MATCH(J1479,'Final List'!$L$4:$L$252,0),0)</f>
        <v>0</v>
      </c>
      <c r="Q1479" s="169">
        <f>IFERROR(MATCH(J1479,'Final List'!$N$4:$N$252,0),0)</f>
        <v>0</v>
      </c>
      <c r="R1479" s="169">
        <f>IFERROR(MATCH(J1479,'Final List'!$P$4:$P$252,0),0)</f>
        <v>0</v>
      </c>
      <c r="S1479" s="169">
        <f t="shared" si="95"/>
        <v>0</v>
      </c>
      <c r="T1479" s="169" t="s">
        <v>68</v>
      </c>
      <c r="V1479" s="169" t="str">
        <f t="shared" si="93"/>
        <v>BADBADON 2</v>
      </c>
      <c r="W1479" s="169" t="s">
        <v>2712</v>
      </c>
    </row>
    <row r="1480" spans="2:23" x14ac:dyDescent="0.25">
      <c r="B1480" s="169" t="s">
        <v>96</v>
      </c>
      <c r="C1480" s="169" t="s">
        <v>59</v>
      </c>
      <c r="D1480" s="169" t="s">
        <v>7223</v>
      </c>
      <c r="E1480" s="169" t="s">
        <v>61</v>
      </c>
      <c r="F1480" s="245" t="str">
        <f t="shared" si="94"/>
        <v>Dhoz 71</v>
      </c>
      <c r="G1480" s="169" t="s">
        <v>6621</v>
      </c>
      <c r="I1480" s="169" t="str">
        <f t="shared" si="92"/>
        <v>L09_GHVHW_002E_DW</v>
      </c>
      <c r="J1480" s="169" t="s">
        <v>8645</v>
      </c>
      <c r="K1480" s="169">
        <f>IFERROR(MATCH(J1480,'Final List'!$B$4:$B$252,0),0)</f>
        <v>0</v>
      </c>
      <c r="L1480" s="169">
        <f>IFERROR(MATCH(J1480,'Final List'!$D$4:$D$252,0),0)</f>
        <v>0</v>
      </c>
      <c r="M1480" s="169">
        <f>IFERROR(MATCH(J1480,'Final List'!$F$4:$F$251,0),0)</f>
        <v>0</v>
      </c>
      <c r="N1480" s="169">
        <f>IFERROR(MATCH(J1480,'Final List'!$H$4:$H$252,0),0)</f>
        <v>0</v>
      </c>
      <c r="O1480" s="169">
        <f>IFERROR(MATCH(J1480,'Final List'!$J$4:$J$252,0),0)</f>
        <v>0</v>
      </c>
      <c r="P1480" s="169">
        <f>IFERROR(MATCH(J1480,'Final List'!$L$4:$L$252,0),0)</f>
        <v>0</v>
      </c>
      <c r="Q1480" s="169">
        <f>IFERROR(MATCH(J1480,'Final List'!$N$4:$N$252,0),0)</f>
        <v>0</v>
      </c>
      <c r="R1480" s="169">
        <f>IFERROR(MATCH(J1480,'Final List'!$P$4:$P$252,0),0)</f>
        <v>0</v>
      </c>
      <c r="S1480" s="169">
        <f t="shared" si="95"/>
        <v>0</v>
      </c>
      <c r="V1480" s="169" t="str">
        <f t="shared" si="93"/>
        <v>DELOS REYES V1</v>
      </c>
      <c r="W1480" s="169" t="s">
        <v>8896</v>
      </c>
    </row>
    <row r="1481" spans="2:23" x14ac:dyDescent="0.25">
      <c r="B1481" s="169" t="s">
        <v>95</v>
      </c>
      <c r="C1481" s="169" t="s">
        <v>42</v>
      </c>
      <c r="D1481" s="169" t="s">
        <v>143</v>
      </c>
      <c r="E1481" s="169" t="s">
        <v>6154</v>
      </c>
      <c r="F1481" s="245" t="str">
        <f t="shared" si="94"/>
        <v>Dhoz 71</v>
      </c>
      <c r="G1481" s="169" t="s">
        <v>329</v>
      </c>
      <c r="I1481" s="169" t="str">
        <f t="shared" si="92"/>
        <v>L08_JV_032E_DW_ISL</v>
      </c>
      <c r="J1481" s="169" t="s">
        <v>8649</v>
      </c>
      <c r="K1481" s="169">
        <f>IFERROR(MATCH(J1481,'Final List'!$B$4:$B$252,0),0)</f>
        <v>0</v>
      </c>
      <c r="L1481" s="169">
        <f>IFERROR(MATCH(J1481,'Final List'!$D$4:$D$252,0),0)</f>
        <v>0</v>
      </c>
      <c r="M1481" s="169">
        <f>IFERROR(MATCH(J1481,'Final List'!$F$4:$F$251,0),0)</f>
        <v>0</v>
      </c>
      <c r="N1481" s="169">
        <f>IFERROR(MATCH(J1481,'Final List'!$H$4:$H$252,0),0)</f>
        <v>0</v>
      </c>
      <c r="O1481" s="169">
        <f>IFERROR(MATCH(J1481,'Final List'!$J$4:$J$252,0),0)</f>
        <v>0</v>
      </c>
      <c r="P1481" s="169">
        <f>IFERROR(MATCH(J1481,'Final List'!$L$4:$L$252,0),0)</f>
        <v>0</v>
      </c>
      <c r="Q1481" s="169">
        <f>IFERROR(MATCH(J1481,'Final List'!$N$4:$N$252,0),0)</f>
        <v>0</v>
      </c>
      <c r="R1481" s="169">
        <f>IFERROR(MATCH(J1481,'Final List'!$P$4:$P$252,0),0)</f>
        <v>0</v>
      </c>
      <c r="S1481" s="169">
        <f t="shared" si="95"/>
        <v>0</v>
      </c>
      <c r="V1481" s="169" t="str">
        <f t="shared" si="93"/>
        <v>OY-YOY 1</v>
      </c>
      <c r="W1481" s="169" t="s">
        <v>2708</v>
      </c>
    </row>
    <row r="1482" spans="2:23" x14ac:dyDescent="0.25">
      <c r="B1482" s="169" t="s">
        <v>96</v>
      </c>
      <c r="C1482" s="169" t="s">
        <v>42</v>
      </c>
      <c r="D1482" s="169" t="s">
        <v>172</v>
      </c>
      <c r="E1482" s="169" t="s">
        <v>36</v>
      </c>
      <c r="F1482" s="245" t="str">
        <f t="shared" si="94"/>
        <v>StpS 77</v>
      </c>
      <c r="G1482" s="169" t="s">
        <v>394</v>
      </c>
      <c r="I1482" s="169" t="str">
        <f t="shared" si="92"/>
        <v>L09_JV_045E_STOPE</v>
      </c>
      <c r="J1482" s="169" t="s">
        <v>8650</v>
      </c>
      <c r="K1482" s="169">
        <f>IFERROR(MATCH(J1482,'Final List'!$B$4:$B$252,0),0)</f>
        <v>0</v>
      </c>
      <c r="L1482" s="169">
        <f>IFERROR(MATCH(J1482,'Final List'!$D$4:$D$252,0),0)</f>
        <v>0</v>
      </c>
      <c r="M1482" s="169">
        <f>IFERROR(MATCH(J1482,'Final List'!$F$4:$F$251,0),0)</f>
        <v>0</v>
      </c>
      <c r="N1482" s="169">
        <f>IFERROR(MATCH(J1482,'Final List'!$H$4:$H$252,0),0)</f>
        <v>0</v>
      </c>
      <c r="O1482" s="169">
        <f>IFERROR(MATCH(J1482,'Final List'!$J$4:$J$252,0),0)</f>
        <v>0</v>
      </c>
      <c r="P1482" s="169">
        <f>IFERROR(MATCH(J1482,'Final List'!$L$4:$L$252,0),0)</f>
        <v>0</v>
      </c>
      <c r="Q1482" s="169">
        <f>IFERROR(MATCH(J1482,'Final List'!$N$4:$N$252,0),0)</f>
        <v>0</v>
      </c>
      <c r="R1482" s="169">
        <f>IFERROR(MATCH(J1482,'Final List'!$P$4:$P$252,0),0)</f>
        <v>0</v>
      </c>
      <c r="S1482" s="169">
        <f t="shared" si="95"/>
        <v>0</v>
      </c>
      <c r="T1482" s="169" t="s">
        <v>68</v>
      </c>
      <c r="V1482" s="169" t="str">
        <f t="shared" si="93"/>
        <v>ANDILAB 1</v>
      </c>
      <c r="W1482" s="169" t="s">
        <v>2713</v>
      </c>
    </row>
    <row r="1483" spans="2:23" x14ac:dyDescent="0.25">
      <c r="B1483" s="169" t="s">
        <v>95</v>
      </c>
      <c r="C1483" s="169" t="s">
        <v>38</v>
      </c>
      <c r="D1483" s="169" t="s">
        <v>117</v>
      </c>
      <c r="E1483" s="169" t="s">
        <v>441</v>
      </c>
      <c r="F1483" s="245" t="str">
        <f t="shared" si="94"/>
        <v>RobC 80</v>
      </c>
      <c r="G1483" s="169" t="s">
        <v>380</v>
      </c>
      <c r="I1483" s="169" t="str">
        <f t="shared" si="92"/>
        <v>L08_GHV_006W_WINZE STOPE PREP</v>
      </c>
      <c r="J1483" s="169" t="s">
        <v>5284</v>
      </c>
      <c r="K1483" s="169">
        <f>IFERROR(MATCH(J1483,'Final List'!$B$4:$B$252,0),0)</f>
        <v>0</v>
      </c>
      <c r="L1483" s="169">
        <f>IFERROR(MATCH(J1483,'Final List'!$D$4:$D$252,0),0)</f>
        <v>0</v>
      </c>
      <c r="M1483" s="169">
        <f>IFERROR(MATCH(J1483,'Final List'!$F$4:$F$251,0),0)</f>
        <v>0</v>
      </c>
      <c r="N1483" s="169">
        <f>IFERROR(MATCH(J1483,'Final List'!$H$4:$H$252,0),0)</f>
        <v>0</v>
      </c>
      <c r="O1483" s="169">
        <f>IFERROR(MATCH(J1483,'Final List'!$J$4:$J$252,0),0)</f>
        <v>0</v>
      </c>
      <c r="P1483" s="169">
        <f>IFERROR(MATCH(J1483,'Final List'!$L$4:$L$252,0),0)</f>
        <v>0</v>
      </c>
      <c r="Q1483" s="169">
        <f>IFERROR(MATCH(J1483,'Final List'!$N$4:$N$252,0),0)</f>
        <v>0</v>
      </c>
      <c r="R1483" s="169">
        <f>IFERROR(MATCH(J1483,'Final List'!$P$4:$P$252,0),0)</f>
        <v>0</v>
      </c>
      <c r="S1483" s="169">
        <f t="shared" si="95"/>
        <v>0</v>
      </c>
      <c r="T1483" s="169" t="s">
        <v>68</v>
      </c>
      <c r="V1483" s="169" t="str">
        <f t="shared" si="93"/>
        <v>AGLOLO 1</v>
      </c>
      <c r="W1483" s="169" t="s">
        <v>2716</v>
      </c>
    </row>
    <row r="1484" spans="2:23" x14ac:dyDescent="0.25">
      <c r="B1484" s="169" t="s">
        <v>95</v>
      </c>
      <c r="C1484" s="169" t="s">
        <v>56</v>
      </c>
      <c r="D1484" s="169" t="s">
        <v>165</v>
      </c>
      <c r="E1484" s="169" t="s">
        <v>20</v>
      </c>
      <c r="F1484" s="245" t="str">
        <f t="shared" si="94"/>
        <v>DVW 74</v>
      </c>
      <c r="G1484" s="169" t="s">
        <v>583</v>
      </c>
      <c r="I1484" s="169" t="str">
        <f t="shared" si="92"/>
        <v>L08_GHVFW_056E_WINZE</v>
      </c>
      <c r="J1484" s="169" t="s">
        <v>8652</v>
      </c>
      <c r="K1484" s="169">
        <f>IFERROR(MATCH(J1484,'Final List'!$B$4:$B$252,0),0)</f>
        <v>0</v>
      </c>
      <c r="L1484" s="169">
        <f>IFERROR(MATCH(J1484,'Final List'!$D$4:$D$252,0),0)</f>
        <v>0</v>
      </c>
      <c r="M1484" s="169">
        <f>IFERROR(MATCH(J1484,'Final List'!$F$4:$F$251,0),0)</f>
        <v>0</v>
      </c>
      <c r="N1484" s="169">
        <f>IFERROR(MATCH(J1484,'Final List'!$H$4:$H$252,0),0)</f>
        <v>0</v>
      </c>
      <c r="O1484" s="169">
        <f>IFERROR(MATCH(J1484,'Final List'!$J$4:$J$252,0),0)</f>
        <v>0</v>
      </c>
      <c r="P1484" s="169">
        <f>IFERROR(MATCH(J1484,'Final List'!$L$4:$L$252,0),0)</f>
        <v>0</v>
      </c>
      <c r="Q1484" s="169">
        <f>IFERROR(MATCH(J1484,'Final List'!$N$4:$N$252,0),0)</f>
        <v>0</v>
      </c>
      <c r="R1484" s="169">
        <f>IFERROR(MATCH(J1484,'Final List'!$P$4:$P$252,0),0)</f>
        <v>0</v>
      </c>
      <c r="S1484" s="169">
        <f t="shared" si="95"/>
        <v>0</v>
      </c>
      <c r="V1484" s="169" t="str">
        <f t="shared" si="93"/>
        <v>VILLARANTE 1</v>
      </c>
      <c r="W1484" s="169" t="s">
        <v>2706</v>
      </c>
    </row>
    <row r="1485" spans="2:23" x14ac:dyDescent="0.25">
      <c r="B1485" s="169" t="s">
        <v>92</v>
      </c>
      <c r="C1485" s="169" t="s">
        <v>55</v>
      </c>
      <c r="D1485" s="169" t="s">
        <v>123</v>
      </c>
      <c r="E1485" s="169" t="s">
        <v>19</v>
      </c>
      <c r="F1485" s="245" t="str">
        <f t="shared" si="94"/>
        <v>DVR 72</v>
      </c>
      <c r="G1485" s="169" t="s">
        <v>554</v>
      </c>
      <c r="I1485" s="169" t="str">
        <f t="shared" si="92"/>
        <v>L05_JVFW_031E_RAISE</v>
      </c>
      <c r="J1485" s="169" t="s">
        <v>8655</v>
      </c>
      <c r="K1485" s="169">
        <f>IFERROR(MATCH(J1485,'Final List'!$B$4:$B$252,0),0)</f>
        <v>0</v>
      </c>
      <c r="L1485" s="169">
        <f>IFERROR(MATCH(J1485,'Final List'!$D$4:$D$252,0),0)</f>
        <v>0</v>
      </c>
      <c r="M1485" s="169">
        <f>IFERROR(MATCH(J1485,'Final List'!$F$4:$F$251,0),0)</f>
        <v>0</v>
      </c>
      <c r="N1485" s="169">
        <f>IFERROR(MATCH(J1485,'Final List'!$H$4:$H$252,0),0)</f>
        <v>0</v>
      </c>
      <c r="O1485" s="169">
        <f>IFERROR(MATCH(J1485,'Final List'!$J$4:$J$252,0),0)</f>
        <v>0</v>
      </c>
      <c r="P1485" s="169">
        <f>IFERROR(MATCH(J1485,'Final List'!$L$4:$L$252,0),0)</f>
        <v>0</v>
      </c>
      <c r="Q1485" s="169">
        <f>IFERROR(MATCH(J1485,'Final List'!$N$4:$N$252,0),0)</f>
        <v>0</v>
      </c>
      <c r="R1485" s="169">
        <f>IFERROR(MATCH(J1485,'Final List'!$P$4:$P$252,0),0)</f>
        <v>0</v>
      </c>
      <c r="S1485" s="169">
        <f t="shared" si="95"/>
        <v>0</v>
      </c>
      <c r="V1485" s="169" t="str">
        <f t="shared" si="93"/>
        <v>PANCIT, NOEL 1</v>
      </c>
      <c r="W1485" s="169" t="s">
        <v>2715</v>
      </c>
    </row>
    <row r="1486" spans="2:23" x14ac:dyDescent="0.25">
      <c r="B1486" s="169" t="s">
        <v>93</v>
      </c>
      <c r="C1486" s="169" t="s">
        <v>39</v>
      </c>
      <c r="D1486" s="169" t="s">
        <v>164</v>
      </c>
      <c r="E1486" s="169" t="s">
        <v>62</v>
      </c>
      <c r="F1486" s="245" t="str">
        <f t="shared" si="94"/>
        <v>RobS 79</v>
      </c>
      <c r="G1486" s="169" t="s">
        <v>349</v>
      </c>
      <c r="I1486" s="169" t="str">
        <f t="shared" si="92"/>
        <v>L06_JVHW_064E_ROBBING</v>
      </c>
      <c r="J1486" s="169" t="s">
        <v>8662</v>
      </c>
      <c r="K1486" s="169">
        <f>IFERROR(MATCH(J1486,'Final List'!$B$4:$B$252,0),0)</f>
        <v>0</v>
      </c>
      <c r="L1486" s="169">
        <f>IFERROR(MATCH(J1486,'Final List'!$D$4:$D$252,0),0)</f>
        <v>0</v>
      </c>
      <c r="M1486" s="169">
        <f>IFERROR(MATCH(J1486,'Final List'!$F$4:$F$251,0),0)</f>
        <v>0</v>
      </c>
      <c r="N1486" s="169">
        <f>IFERROR(MATCH(J1486,'Final List'!$H$4:$H$252,0),0)</f>
        <v>0</v>
      </c>
      <c r="O1486" s="169">
        <f>IFERROR(MATCH(J1486,'Final List'!$J$4:$J$252,0),0)</f>
        <v>0</v>
      </c>
      <c r="P1486" s="169">
        <f>IFERROR(MATCH(J1486,'Final List'!$L$4:$L$252,0),0)</f>
        <v>0</v>
      </c>
      <c r="Q1486" s="169">
        <f>IFERROR(MATCH(J1486,'Final List'!$N$4:$N$252,0),0)</f>
        <v>0</v>
      </c>
      <c r="R1486" s="169">
        <f>IFERROR(MATCH(J1486,'Final List'!$P$4:$P$252,0),0)</f>
        <v>0</v>
      </c>
      <c r="S1486" s="169">
        <f t="shared" si="95"/>
        <v>0</v>
      </c>
      <c r="T1486" s="169" t="s">
        <v>68</v>
      </c>
      <c r="V1486" s="169" t="str">
        <f t="shared" si="93"/>
        <v>QUIJANO 2</v>
      </c>
      <c r="W1486" s="169" t="s">
        <v>2707</v>
      </c>
    </row>
    <row r="1487" spans="2:23" x14ac:dyDescent="0.25">
      <c r="B1487" s="169" t="s">
        <v>93</v>
      </c>
      <c r="C1487" s="169" t="s">
        <v>39</v>
      </c>
      <c r="D1487" s="169" t="s">
        <v>5850</v>
      </c>
      <c r="E1487" s="169" t="s">
        <v>62</v>
      </c>
      <c r="F1487" s="245" t="str">
        <f t="shared" si="94"/>
        <v>RobS 79</v>
      </c>
      <c r="G1487" s="169" t="s">
        <v>5717</v>
      </c>
      <c r="I1487" s="169" t="str">
        <f t="shared" si="92"/>
        <v>L06_JVHW_016E_ROBBING</v>
      </c>
      <c r="J1487" s="169" t="s">
        <v>8663</v>
      </c>
      <c r="K1487" s="169">
        <f>IFERROR(MATCH(J1487,'Final List'!$B$4:$B$252,0),0)</f>
        <v>0</v>
      </c>
      <c r="L1487" s="169">
        <f>IFERROR(MATCH(J1487,'Final List'!$D$4:$D$252,0),0)</f>
        <v>0</v>
      </c>
      <c r="M1487" s="169">
        <f>IFERROR(MATCH(J1487,'Final List'!$F$4:$F$251,0),0)</f>
        <v>0</v>
      </c>
      <c r="N1487" s="169">
        <f>IFERROR(MATCH(J1487,'Final List'!$H$4:$H$252,0),0)</f>
        <v>0</v>
      </c>
      <c r="O1487" s="169">
        <f>IFERROR(MATCH(J1487,'Final List'!$J$4:$J$252,0),0)</f>
        <v>0</v>
      </c>
      <c r="P1487" s="169">
        <f>IFERROR(MATCH(J1487,'Final List'!$L$4:$L$252,0),0)</f>
        <v>0</v>
      </c>
      <c r="Q1487" s="169">
        <f>IFERROR(MATCH(J1487,'Final List'!$N$4:$N$252,0),0)</f>
        <v>0</v>
      </c>
      <c r="R1487" s="169">
        <f>IFERROR(MATCH(J1487,'Final List'!$P$4:$P$252,0),0)</f>
        <v>0</v>
      </c>
      <c r="S1487" s="169">
        <f t="shared" si="95"/>
        <v>0</v>
      </c>
      <c r="T1487" s="169" t="s">
        <v>68</v>
      </c>
      <c r="V1487" s="169" t="str">
        <f t="shared" si="93"/>
        <v>SHEPHERD AC 1</v>
      </c>
      <c r="W1487" s="169" t="s">
        <v>2707</v>
      </c>
    </row>
    <row r="1488" spans="2:23" x14ac:dyDescent="0.25">
      <c r="B1488" s="169" t="s">
        <v>94</v>
      </c>
      <c r="C1488" s="169" t="s">
        <v>57</v>
      </c>
      <c r="D1488" s="169" t="s">
        <v>171</v>
      </c>
      <c r="E1488" s="169" t="s">
        <v>61</v>
      </c>
      <c r="F1488" s="245" t="str">
        <f t="shared" si="94"/>
        <v>Dhoz 71</v>
      </c>
      <c r="G1488" s="169" t="s">
        <v>344</v>
      </c>
      <c r="I1488" s="169" t="str">
        <f t="shared" si="92"/>
        <v>L07_JVSPLIT_015W_DW</v>
      </c>
      <c r="J1488" s="169" t="s">
        <v>8667</v>
      </c>
      <c r="K1488" s="169">
        <f>IFERROR(MATCH(J1488,'Final List'!$B$4:$B$252,0),0)</f>
        <v>0</v>
      </c>
      <c r="L1488" s="169">
        <f>IFERROR(MATCH(J1488,'Final List'!$D$4:$D$252,0),0)</f>
        <v>0</v>
      </c>
      <c r="M1488" s="169">
        <f>IFERROR(MATCH(J1488,'Final List'!$F$4:$F$251,0),0)</f>
        <v>0</v>
      </c>
      <c r="N1488" s="169">
        <f>IFERROR(MATCH(J1488,'Final List'!$H$4:$H$252,0),0)</f>
        <v>0</v>
      </c>
      <c r="O1488" s="169">
        <f>IFERROR(MATCH(J1488,'Final List'!$J$4:$J$252,0),0)</f>
        <v>0</v>
      </c>
      <c r="P1488" s="169">
        <f>IFERROR(MATCH(J1488,'Final List'!$L$4:$L$252,0),0)</f>
        <v>0</v>
      </c>
      <c r="Q1488" s="169">
        <f>IFERROR(MATCH(J1488,'Final List'!$N$4:$N$252,0),0)</f>
        <v>0</v>
      </c>
      <c r="R1488" s="169">
        <f>IFERROR(MATCH(J1488,'Final List'!$P$4:$P$252,0),0)</f>
        <v>0</v>
      </c>
      <c r="S1488" s="169">
        <f t="shared" si="95"/>
        <v>0</v>
      </c>
      <c r="V1488" s="169" t="str">
        <f t="shared" si="93"/>
        <v>UDLOS 1</v>
      </c>
      <c r="W1488" s="169" t="s">
        <v>8895</v>
      </c>
    </row>
    <row r="1489" spans="2:23" x14ac:dyDescent="0.25">
      <c r="B1489" s="169" t="s">
        <v>92</v>
      </c>
      <c r="C1489" s="169" t="s">
        <v>42</v>
      </c>
      <c r="D1489" s="169" t="s">
        <v>122</v>
      </c>
      <c r="E1489" s="169" t="s">
        <v>62</v>
      </c>
      <c r="F1489" s="245" t="str">
        <f t="shared" si="94"/>
        <v>RobC 80</v>
      </c>
      <c r="G1489" s="169" t="s">
        <v>450</v>
      </c>
      <c r="H1489" s="169" t="s">
        <v>5706</v>
      </c>
      <c r="I1489" s="169" t="str">
        <f t="shared" si="92"/>
        <v>L05_JV_025E_ROBBING</v>
      </c>
      <c r="J1489" s="169" t="s">
        <v>8669</v>
      </c>
      <c r="K1489" s="169">
        <f>IFERROR(MATCH(J1489,'Final List'!$B$4:$B$252,0),0)</f>
        <v>0</v>
      </c>
      <c r="L1489" s="169">
        <f>IFERROR(MATCH(J1489,'Final List'!$D$4:$D$252,0),0)</f>
        <v>0</v>
      </c>
      <c r="M1489" s="169">
        <f>IFERROR(MATCH(J1489,'Final List'!$F$4:$F$251,0),0)</f>
        <v>0</v>
      </c>
      <c r="N1489" s="169">
        <f>IFERROR(MATCH(J1489,'Final List'!$H$4:$H$252,0),0)</f>
        <v>0</v>
      </c>
      <c r="O1489" s="169">
        <f>IFERROR(MATCH(J1489,'Final List'!$J$4:$J$252,0),0)</f>
        <v>0</v>
      </c>
      <c r="P1489" s="169">
        <f>IFERROR(MATCH(J1489,'Final List'!$L$4:$L$252,0),0)</f>
        <v>0</v>
      </c>
      <c r="Q1489" s="169">
        <f>IFERROR(MATCH(J1489,'Final List'!$N$4:$N$252,0),0)</f>
        <v>0</v>
      </c>
      <c r="R1489" s="169">
        <f>IFERROR(MATCH(J1489,'Final List'!$P$4:$P$252,0),0)</f>
        <v>0</v>
      </c>
      <c r="S1489" s="169">
        <f t="shared" si="95"/>
        <v>0</v>
      </c>
      <c r="T1489" s="169" t="s">
        <v>48</v>
      </c>
      <c r="V1489" s="169" t="str">
        <f t="shared" si="93"/>
        <v>SHEPHERD AF 1</v>
      </c>
      <c r="W1489" s="169" t="s">
        <v>2707</v>
      </c>
    </row>
    <row r="1490" spans="2:23" x14ac:dyDescent="0.25">
      <c r="B1490" s="169" t="s">
        <v>96</v>
      </c>
      <c r="C1490" s="169" t="s">
        <v>87</v>
      </c>
      <c r="D1490" s="169" t="s">
        <v>5741</v>
      </c>
      <c r="E1490" s="169" t="s">
        <v>19</v>
      </c>
      <c r="F1490" s="245" t="str">
        <f t="shared" si="94"/>
        <v>DVR 72</v>
      </c>
      <c r="G1490" s="169" t="s">
        <v>511</v>
      </c>
      <c r="I1490" s="169" t="str">
        <f t="shared" si="92"/>
        <v>L09_NONE_035E_RAISE</v>
      </c>
      <c r="J1490" s="169" t="s">
        <v>4756</v>
      </c>
      <c r="K1490" s="169">
        <f>IFERROR(MATCH(J1490,'Final List'!$B$4:$B$252,0),0)</f>
        <v>0</v>
      </c>
      <c r="L1490" s="169">
        <f>IFERROR(MATCH(J1490,'Final List'!$D$4:$D$252,0),0)</f>
        <v>0</v>
      </c>
      <c r="M1490" s="169">
        <f>IFERROR(MATCH(J1490,'Final List'!$F$4:$F$251,0),0)</f>
        <v>0</v>
      </c>
      <c r="N1490" s="169">
        <f>IFERROR(MATCH(J1490,'Final List'!$H$4:$H$252,0),0)</f>
        <v>0</v>
      </c>
      <c r="O1490" s="169">
        <f>IFERROR(MATCH(J1490,'Final List'!$J$4:$J$252,0),0)</f>
        <v>0</v>
      </c>
      <c r="P1490" s="169">
        <f>IFERROR(MATCH(J1490,'Final List'!$L$4:$L$252,0),0)</f>
        <v>0</v>
      </c>
      <c r="Q1490" s="169">
        <f>IFERROR(MATCH(J1490,'Final List'!$N$4:$N$252,0),0)</f>
        <v>0</v>
      </c>
      <c r="R1490" s="169">
        <f>IFERROR(MATCH(J1490,'Final List'!$P$4:$P$252,0),0)</f>
        <v>0</v>
      </c>
      <c r="S1490" s="169">
        <f t="shared" si="95"/>
        <v>0</v>
      </c>
      <c r="V1490" s="169" t="str">
        <f t="shared" si="93"/>
        <v>PMC MINERS 1</v>
      </c>
      <c r="W1490" s="169" t="s">
        <v>2714</v>
      </c>
    </row>
    <row r="1491" spans="2:23" x14ac:dyDescent="0.25">
      <c r="B1491" s="169" t="s">
        <v>93</v>
      </c>
      <c r="C1491" s="169" t="s">
        <v>45</v>
      </c>
      <c r="D1491" s="169" t="s">
        <v>147</v>
      </c>
      <c r="E1491" s="169" t="s">
        <v>62</v>
      </c>
      <c r="F1491" s="245" t="str">
        <f t="shared" si="94"/>
        <v>RobC 80</v>
      </c>
      <c r="G1491" s="169" t="s">
        <v>1506</v>
      </c>
      <c r="I1491" s="169" t="str">
        <f t="shared" si="92"/>
        <v>L06_DPVE_024E_ROBBING</v>
      </c>
      <c r="J1491" s="169" t="s">
        <v>395</v>
      </c>
      <c r="K1491" s="169">
        <f>IFERROR(MATCH(J1491,'Final List'!$B$4:$B$252,0),0)</f>
        <v>0</v>
      </c>
      <c r="L1491" s="169">
        <f>IFERROR(MATCH(J1491,'Final List'!$D$4:$D$252,0),0)</f>
        <v>0</v>
      </c>
      <c r="M1491" s="169">
        <f>IFERROR(MATCH(J1491,'Final List'!$F$4:$F$251,0),0)</f>
        <v>0</v>
      </c>
      <c r="N1491" s="169">
        <f>IFERROR(MATCH(J1491,'Final List'!$H$4:$H$252,0),0)</f>
        <v>0</v>
      </c>
      <c r="O1491" s="169">
        <f>IFERROR(MATCH(J1491,'Final List'!$J$4:$J$252,0),0)</f>
        <v>0</v>
      </c>
      <c r="P1491" s="169">
        <f>IFERROR(MATCH(J1491,'Final List'!$L$4:$L$252,0),0)</f>
        <v>0</v>
      </c>
      <c r="Q1491" s="169">
        <f>IFERROR(MATCH(J1491,'Final List'!$N$4:$N$252,0),0)</f>
        <v>0</v>
      </c>
      <c r="R1491" s="169">
        <f>IFERROR(MATCH(J1491,'Final List'!$P$4:$P$252,0),0)</f>
        <v>0</v>
      </c>
      <c r="S1491" s="169">
        <f t="shared" si="95"/>
        <v>0</v>
      </c>
      <c r="T1491" s="169" t="s">
        <v>48</v>
      </c>
      <c r="V1491" s="169" t="str">
        <f t="shared" si="93"/>
        <v>GUNAY</v>
      </c>
      <c r="W1491" s="169" t="s">
        <v>236</v>
      </c>
    </row>
    <row r="1492" spans="2:23" x14ac:dyDescent="0.25">
      <c r="B1492" s="169" t="s">
        <v>92</v>
      </c>
      <c r="C1492" s="169" t="s">
        <v>57</v>
      </c>
      <c r="D1492" s="169" t="s">
        <v>134</v>
      </c>
      <c r="E1492" s="169" t="s">
        <v>441</v>
      </c>
      <c r="F1492" s="245" t="str">
        <f t="shared" si="94"/>
        <v>RobC 80</v>
      </c>
      <c r="G1492" s="169" t="s">
        <v>1577</v>
      </c>
      <c r="H1492" s="169" t="s">
        <v>5698</v>
      </c>
      <c r="I1492" s="169" t="str">
        <f t="shared" si="92"/>
        <v>L05_JVSPLIT_016W_WINZE STOPE PREP</v>
      </c>
      <c r="J1492" s="169" t="s">
        <v>8671</v>
      </c>
      <c r="K1492" s="169">
        <f>IFERROR(MATCH(J1492,'Final List'!$B$4:$B$252,0),0)</f>
        <v>0</v>
      </c>
      <c r="L1492" s="169">
        <f>IFERROR(MATCH(J1492,'Final List'!$D$4:$D$252,0),0)</f>
        <v>0</v>
      </c>
      <c r="M1492" s="169">
        <f>IFERROR(MATCH(J1492,'Final List'!$F$4:$F$251,0),0)</f>
        <v>0</v>
      </c>
      <c r="N1492" s="169">
        <f>IFERROR(MATCH(J1492,'Final List'!$H$4:$H$252,0),0)</f>
        <v>0</v>
      </c>
      <c r="O1492" s="169">
        <f>IFERROR(MATCH(J1492,'Final List'!$J$4:$J$252,0),0)</f>
        <v>0</v>
      </c>
      <c r="P1492" s="169">
        <f>IFERROR(MATCH(J1492,'Final List'!$L$4:$L$252,0),0)</f>
        <v>0</v>
      </c>
      <c r="Q1492" s="169">
        <f>IFERROR(MATCH(J1492,'Final List'!$N$4:$N$252,0),0)</f>
        <v>0</v>
      </c>
      <c r="R1492" s="169">
        <f>IFERROR(MATCH(J1492,'Final List'!$P$4:$P$252,0),0)</f>
        <v>0</v>
      </c>
      <c r="S1492" s="169">
        <f t="shared" si="95"/>
        <v>0</v>
      </c>
      <c r="T1492" s="169" t="s">
        <v>68</v>
      </c>
      <c r="V1492" s="169" t="str">
        <f t="shared" si="93"/>
        <v>PARAN 1</v>
      </c>
      <c r="W1492" s="169" t="s">
        <v>2716</v>
      </c>
    </row>
    <row r="1493" spans="2:23" x14ac:dyDescent="0.25">
      <c r="B1493" s="169" t="s">
        <v>91</v>
      </c>
      <c r="C1493" s="169" t="s">
        <v>44</v>
      </c>
      <c r="D1493" s="169" t="s">
        <v>110</v>
      </c>
      <c r="E1493" s="169" t="s">
        <v>60</v>
      </c>
      <c r="F1493" s="245" t="str">
        <f t="shared" si="94"/>
        <v>Dhoz 71</v>
      </c>
      <c r="G1493" s="169" t="s">
        <v>5714</v>
      </c>
      <c r="I1493" s="169" t="str">
        <f t="shared" si="92"/>
        <v>L04_CV_004E_DE</v>
      </c>
      <c r="J1493" s="169" t="s">
        <v>8704</v>
      </c>
      <c r="K1493" s="169">
        <f>IFERROR(MATCH(J1493,'Final List'!$B$4:$B$252,0),0)</f>
        <v>0</v>
      </c>
      <c r="L1493" s="169">
        <f>IFERROR(MATCH(J1493,'Final List'!$D$4:$D$252,0),0)</f>
        <v>0</v>
      </c>
      <c r="M1493" s="169">
        <f>IFERROR(MATCH(J1493,'Final List'!$F$4:$F$251,0),0)</f>
        <v>0</v>
      </c>
      <c r="N1493" s="169">
        <f>IFERROR(MATCH(J1493,'Final List'!$H$4:$H$252,0),0)</f>
        <v>0</v>
      </c>
      <c r="O1493" s="169">
        <f>IFERROR(MATCH(J1493,'Final List'!$J$4:$J$252,0),0)</f>
        <v>0</v>
      </c>
      <c r="P1493" s="169">
        <f>IFERROR(MATCH(J1493,'Final List'!$L$4:$L$252,0),0)</f>
        <v>0</v>
      </c>
      <c r="Q1493" s="169">
        <f>IFERROR(MATCH(J1493,'Final List'!$N$4:$N$252,0),0)</f>
        <v>0</v>
      </c>
      <c r="R1493" s="169">
        <f>IFERROR(MATCH(J1493,'Final List'!$P$4:$P$252,0),0)</f>
        <v>0</v>
      </c>
      <c r="S1493" s="169">
        <f t="shared" si="95"/>
        <v>0</v>
      </c>
      <c r="V1493" s="169" t="str">
        <f t="shared" si="93"/>
        <v>MARTINEZ, RON 2</v>
      </c>
      <c r="W1493" s="169" t="s">
        <v>8895</v>
      </c>
    </row>
    <row r="1494" spans="2:23" x14ac:dyDescent="0.25">
      <c r="B1494" s="169" t="s">
        <v>94</v>
      </c>
      <c r="C1494" s="169" t="s">
        <v>57</v>
      </c>
      <c r="D1494" s="169" t="s">
        <v>171</v>
      </c>
      <c r="E1494" s="169" t="s">
        <v>6154</v>
      </c>
      <c r="F1494" s="245" t="str">
        <f t="shared" si="94"/>
        <v>Dhoz 71</v>
      </c>
      <c r="G1494" s="169" t="s">
        <v>344</v>
      </c>
      <c r="I1494" s="169" t="str">
        <f t="shared" si="92"/>
        <v>L07_JVSPLIT_015W_DW_ISL</v>
      </c>
      <c r="J1494" s="169" t="s">
        <v>8670</v>
      </c>
      <c r="K1494" s="169">
        <f>IFERROR(MATCH(J1494,'Final List'!$B$4:$B$252,0),0)</f>
        <v>0</v>
      </c>
      <c r="L1494" s="169">
        <f>IFERROR(MATCH(J1494,'Final List'!$D$4:$D$252,0),0)</f>
        <v>0</v>
      </c>
      <c r="M1494" s="169">
        <f>IFERROR(MATCH(J1494,'Final List'!$F$4:$F$251,0),0)</f>
        <v>0</v>
      </c>
      <c r="N1494" s="169">
        <f>IFERROR(MATCH(J1494,'Final List'!$H$4:$H$252,0),0)</f>
        <v>0</v>
      </c>
      <c r="O1494" s="169">
        <f>IFERROR(MATCH(J1494,'Final List'!$J$4:$J$252,0),0)</f>
        <v>0</v>
      </c>
      <c r="P1494" s="169">
        <f>IFERROR(MATCH(J1494,'Final List'!$L$4:$L$252,0),0)</f>
        <v>0</v>
      </c>
      <c r="Q1494" s="169">
        <f>IFERROR(MATCH(J1494,'Final List'!$N$4:$N$252,0),0)</f>
        <v>0</v>
      </c>
      <c r="R1494" s="169">
        <f>IFERROR(MATCH(J1494,'Final List'!$P$4:$P$252,0),0)</f>
        <v>0</v>
      </c>
      <c r="S1494" s="169">
        <f t="shared" si="95"/>
        <v>0</v>
      </c>
      <c r="V1494" s="169" t="str">
        <f t="shared" si="93"/>
        <v>UDLOS 1</v>
      </c>
      <c r="W1494" s="169" t="s">
        <v>2708</v>
      </c>
    </row>
    <row r="1495" spans="2:23" x14ac:dyDescent="0.25">
      <c r="B1495" s="169" t="s">
        <v>258</v>
      </c>
      <c r="C1495" s="169" t="s">
        <v>45</v>
      </c>
      <c r="D1495" s="169" t="s">
        <v>5078</v>
      </c>
      <c r="E1495" s="169" t="s">
        <v>61</v>
      </c>
      <c r="F1495" s="245" t="str">
        <f t="shared" si="94"/>
        <v>Dhoz 71</v>
      </c>
      <c r="G1495" s="169" t="s">
        <v>5705</v>
      </c>
      <c r="I1495" s="169" t="str">
        <f t="shared" si="92"/>
        <v>L10_DPVE_086E_DW</v>
      </c>
      <c r="J1495" s="169" t="s">
        <v>8672</v>
      </c>
      <c r="K1495" s="169">
        <f>IFERROR(MATCH(J1495,'Final List'!$B$4:$B$252,0),0)</f>
        <v>0</v>
      </c>
      <c r="L1495" s="169">
        <f>IFERROR(MATCH(J1495,'Final List'!$D$4:$D$252,0),0)</f>
        <v>0</v>
      </c>
      <c r="M1495" s="169">
        <f>IFERROR(MATCH(J1495,'Final List'!$F$4:$F$251,0),0)</f>
        <v>0</v>
      </c>
      <c r="N1495" s="169">
        <f>IFERROR(MATCH(J1495,'Final List'!$H$4:$H$252,0),0)</f>
        <v>0</v>
      </c>
      <c r="O1495" s="169">
        <f>IFERROR(MATCH(J1495,'Final List'!$J$4:$J$252,0),0)</f>
        <v>0</v>
      </c>
      <c r="P1495" s="169">
        <f>IFERROR(MATCH(J1495,'Final List'!$L$4:$L$252,0),0)</f>
        <v>0</v>
      </c>
      <c r="Q1495" s="169">
        <f>IFERROR(MATCH(J1495,'Final List'!$N$4:$N$252,0),0)</f>
        <v>0</v>
      </c>
      <c r="R1495" s="169">
        <f>IFERROR(MATCH(J1495,'Final List'!$P$4:$P$252,0),0)</f>
        <v>0</v>
      </c>
      <c r="S1495" s="169">
        <f t="shared" si="95"/>
        <v>0</v>
      </c>
      <c r="V1495" s="169" t="str">
        <f t="shared" si="93"/>
        <v>OLIVEROS 4</v>
      </c>
      <c r="W1495" s="169" t="s">
        <v>8896</v>
      </c>
    </row>
    <row r="1496" spans="2:23" x14ac:dyDescent="0.25">
      <c r="B1496" s="169" t="s">
        <v>91</v>
      </c>
      <c r="C1496" s="169" t="s">
        <v>56</v>
      </c>
      <c r="D1496" s="169" t="s">
        <v>5850</v>
      </c>
      <c r="E1496" s="169" t="s">
        <v>62</v>
      </c>
      <c r="F1496" s="245" t="str">
        <f t="shared" si="94"/>
        <v>RobS 79</v>
      </c>
      <c r="G1496" s="169" t="s">
        <v>5713</v>
      </c>
      <c r="I1496" s="169" t="str">
        <f t="shared" si="92"/>
        <v>L04_GHVFW_016E_ROBBING</v>
      </c>
      <c r="J1496" s="169" t="s">
        <v>8674</v>
      </c>
      <c r="K1496" s="169">
        <f>IFERROR(MATCH(J1496,'Final List'!$B$4:$B$252,0),0)</f>
        <v>0</v>
      </c>
      <c r="L1496" s="169">
        <f>IFERROR(MATCH(J1496,'Final List'!$D$4:$D$252,0),0)</f>
        <v>0</v>
      </c>
      <c r="M1496" s="169">
        <f>IFERROR(MATCH(J1496,'Final List'!$F$4:$F$251,0),0)</f>
        <v>0</v>
      </c>
      <c r="N1496" s="169">
        <f>IFERROR(MATCH(J1496,'Final List'!$H$4:$H$252,0),0)</f>
        <v>0</v>
      </c>
      <c r="O1496" s="169">
        <f>IFERROR(MATCH(J1496,'Final List'!$J$4:$J$252,0),0)</f>
        <v>0</v>
      </c>
      <c r="P1496" s="169">
        <f>IFERROR(MATCH(J1496,'Final List'!$L$4:$L$252,0),0)</f>
        <v>0</v>
      </c>
      <c r="Q1496" s="169">
        <f>IFERROR(MATCH(J1496,'Final List'!$N$4:$N$252,0),0)</f>
        <v>0</v>
      </c>
      <c r="R1496" s="169">
        <f>IFERROR(MATCH(J1496,'Final List'!$P$4:$P$252,0),0)</f>
        <v>0</v>
      </c>
      <c r="S1496" s="169">
        <f t="shared" si="95"/>
        <v>0</v>
      </c>
      <c r="T1496" s="169" t="s">
        <v>68</v>
      </c>
      <c r="V1496" s="169" t="str">
        <f t="shared" si="93"/>
        <v>SHEPHERD AL 1</v>
      </c>
      <c r="W1496" s="169" t="s">
        <v>2707</v>
      </c>
    </row>
    <row r="1497" spans="2:23" x14ac:dyDescent="0.25">
      <c r="B1497" s="169" t="s">
        <v>1167</v>
      </c>
      <c r="C1497" s="169" t="s">
        <v>87</v>
      </c>
      <c r="D1497" s="169" t="s">
        <v>176</v>
      </c>
      <c r="E1497" s="169" t="s">
        <v>63</v>
      </c>
      <c r="F1497" s="245" t="str">
        <f t="shared" si="94"/>
        <v>Dhoz 71</v>
      </c>
      <c r="G1497" s="169" t="s">
        <v>8571</v>
      </c>
      <c r="I1497" s="169" t="str">
        <f t="shared" si="92"/>
        <v>L12_NONE_057E_XCS</v>
      </c>
      <c r="J1497" s="169" t="s">
        <v>8675</v>
      </c>
      <c r="K1497" s="169">
        <f>IFERROR(MATCH(J1497,'Final List'!$B$4:$B$252,0),0)</f>
        <v>0</v>
      </c>
      <c r="L1497" s="169">
        <f>IFERROR(MATCH(J1497,'Final List'!$D$4:$D$252,0),0)</f>
        <v>0</v>
      </c>
      <c r="M1497" s="169">
        <f>IFERROR(MATCH(J1497,'Final List'!$F$4:$F$251,0),0)</f>
        <v>0</v>
      </c>
      <c r="N1497" s="169">
        <f>IFERROR(MATCH(J1497,'Final List'!$H$4:$H$252,0),0)</f>
        <v>0</v>
      </c>
      <c r="O1497" s="169">
        <f>IFERROR(MATCH(J1497,'Final List'!$J$4:$J$252,0),0)</f>
        <v>0</v>
      </c>
      <c r="P1497" s="169">
        <f>IFERROR(MATCH(J1497,'Final List'!$L$4:$L$252,0),0)</f>
        <v>0</v>
      </c>
      <c r="Q1497" s="169">
        <f>IFERROR(MATCH(J1497,'Final List'!$N$4:$N$252,0),0)</f>
        <v>0</v>
      </c>
      <c r="R1497" s="169">
        <f>IFERROR(MATCH(J1497,'Final List'!$P$4:$P$252,0),0)</f>
        <v>0</v>
      </c>
      <c r="S1497" s="169">
        <f t="shared" si="95"/>
        <v>0</v>
      </c>
      <c r="V1497" s="169" t="str">
        <f t="shared" si="93"/>
        <v>DUHIG P5</v>
      </c>
      <c r="W1497" s="169" t="s">
        <v>8898</v>
      </c>
    </row>
    <row r="1498" spans="2:23" x14ac:dyDescent="0.25">
      <c r="B1498" s="169" t="s">
        <v>92</v>
      </c>
      <c r="C1498" s="169" t="s">
        <v>39</v>
      </c>
      <c r="D1498" s="169" t="s">
        <v>117</v>
      </c>
      <c r="E1498" s="169" t="s">
        <v>36</v>
      </c>
      <c r="F1498" s="245" t="str">
        <f t="shared" si="94"/>
        <v>StpS 77</v>
      </c>
      <c r="G1498" s="169" t="s">
        <v>551</v>
      </c>
      <c r="I1498" s="169" t="str">
        <f t="shared" si="92"/>
        <v>L05_JVHW_006W_STOPE</v>
      </c>
      <c r="J1498" s="169" t="s">
        <v>8677</v>
      </c>
      <c r="K1498" s="169">
        <f>IFERROR(MATCH(J1498,'Final List'!$B$4:$B$252,0),0)</f>
        <v>0</v>
      </c>
      <c r="L1498" s="169">
        <f>IFERROR(MATCH(J1498,'Final List'!$D$4:$D$252,0),0)</f>
        <v>0</v>
      </c>
      <c r="M1498" s="169">
        <f>IFERROR(MATCH(J1498,'Final List'!$F$4:$F$251,0),0)</f>
        <v>0</v>
      </c>
      <c r="N1498" s="169">
        <f>IFERROR(MATCH(J1498,'Final List'!$H$4:$H$252,0),0)</f>
        <v>0</v>
      </c>
      <c r="O1498" s="169">
        <f>IFERROR(MATCH(J1498,'Final List'!$J$4:$J$252,0),0)</f>
        <v>0</v>
      </c>
      <c r="P1498" s="169">
        <f>IFERROR(MATCH(J1498,'Final List'!$L$4:$L$252,0),0)</f>
        <v>0</v>
      </c>
      <c r="Q1498" s="169">
        <f>IFERROR(MATCH(J1498,'Final List'!$N$4:$N$252,0),0)</f>
        <v>0</v>
      </c>
      <c r="R1498" s="169">
        <f>IFERROR(MATCH(J1498,'Final List'!$P$4:$P$252,0),0)</f>
        <v>0</v>
      </c>
      <c r="S1498" s="169">
        <f t="shared" si="95"/>
        <v>0</v>
      </c>
      <c r="T1498" s="169" t="s">
        <v>68</v>
      </c>
      <c r="V1498" s="169" t="str">
        <f t="shared" si="93"/>
        <v>PANCIT, NOEL 3</v>
      </c>
      <c r="W1498" s="169" t="s">
        <v>2713</v>
      </c>
    </row>
    <row r="1499" spans="2:23" x14ac:dyDescent="0.25">
      <c r="B1499" s="169" t="s">
        <v>1166</v>
      </c>
      <c r="C1499" s="169" t="s">
        <v>59</v>
      </c>
      <c r="D1499" s="169" t="s">
        <v>176</v>
      </c>
      <c r="E1499" s="169" t="s">
        <v>61</v>
      </c>
      <c r="F1499" s="245" t="str">
        <f t="shared" si="94"/>
        <v>Dhoz 71</v>
      </c>
      <c r="G1499" s="169" t="s">
        <v>8682</v>
      </c>
      <c r="I1499" s="169" t="str">
        <f t="shared" si="92"/>
        <v>L11_GHVHW_057E_DW</v>
      </c>
      <c r="J1499" s="169" t="s">
        <v>8681</v>
      </c>
      <c r="K1499" s="169">
        <f>IFERROR(MATCH(J1499,'Final List'!$B$4:$B$252,0),0)</f>
        <v>0</v>
      </c>
      <c r="L1499" s="169">
        <f>IFERROR(MATCH(J1499,'Final List'!$D$4:$D$252,0),0)</f>
        <v>0</v>
      </c>
      <c r="M1499" s="169">
        <f>IFERROR(MATCH(J1499,'Final List'!$F$4:$F$251,0),0)</f>
        <v>0</v>
      </c>
      <c r="N1499" s="169">
        <f>IFERROR(MATCH(J1499,'Final List'!$H$4:$H$252,0),0)</f>
        <v>0</v>
      </c>
      <c r="O1499" s="169">
        <f>IFERROR(MATCH(J1499,'Final List'!$J$4:$J$252,0),0)</f>
        <v>0</v>
      </c>
      <c r="P1499" s="169">
        <f>IFERROR(MATCH(J1499,'Final List'!$L$4:$L$252,0),0)</f>
        <v>0</v>
      </c>
      <c r="Q1499" s="169">
        <f>IFERROR(MATCH(J1499,'Final List'!$N$4:$N$252,0),0)</f>
        <v>0</v>
      </c>
      <c r="R1499" s="169">
        <f>IFERROR(MATCH(J1499,'Final List'!$P$4:$P$252,0),0)</f>
        <v>0</v>
      </c>
      <c r="S1499" s="169">
        <f t="shared" si="95"/>
        <v>0</v>
      </c>
      <c r="V1499" s="169" t="str">
        <f t="shared" si="93"/>
        <v>DUHIG P2</v>
      </c>
      <c r="W1499" s="169" t="s">
        <v>8896</v>
      </c>
    </row>
    <row r="1500" spans="2:23" x14ac:dyDescent="0.25">
      <c r="B1500" s="169" t="s">
        <v>258</v>
      </c>
      <c r="C1500" s="169" t="s">
        <v>45</v>
      </c>
      <c r="D1500" s="169" t="s">
        <v>6114</v>
      </c>
      <c r="E1500" s="169" t="s">
        <v>19</v>
      </c>
      <c r="F1500" s="245" t="str">
        <f t="shared" si="94"/>
        <v>DVR 72</v>
      </c>
      <c r="G1500" s="169" t="s">
        <v>352</v>
      </c>
      <c r="I1500" s="169" t="str">
        <f t="shared" si="92"/>
        <v>L10_DPVE_078E_RAISE</v>
      </c>
      <c r="J1500" s="169" t="s">
        <v>8688</v>
      </c>
      <c r="K1500" s="169">
        <f>IFERROR(MATCH(J1500,'Final List'!$B$4:$B$252,0),0)</f>
        <v>0</v>
      </c>
      <c r="L1500" s="169">
        <f>IFERROR(MATCH(J1500,'Final List'!$D$4:$D$252,0),0)</f>
        <v>0</v>
      </c>
      <c r="M1500" s="169">
        <f>IFERROR(MATCH(J1500,'Final List'!$F$4:$F$251,0),0)</f>
        <v>0</v>
      </c>
      <c r="N1500" s="169">
        <f>IFERROR(MATCH(J1500,'Final List'!$H$4:$H$252,0),0)</f>
        <v>0</v>
      </c>
      <c r="O1500" s="169">
        <f>IFERROR(MATCH(J1500,'Final List'!$J$4:$J$252,0),0)</f>
        <v>0</v>
      </c>
      <c r="P1500" s="169">
        <f>IFERROR(MATCH(J1500,'Final List'!$L$4:$L$252,0),0)</f>
        <v>0</v>
      </c>
      <c r="Q1500" s="169">
        <f>IFERROR(MATCH(J1500,'Final List'!$N$4:$N$252,0),0)</f>
        <v>0</v>
      </c>
      <c r="R1500" s="169">
        <f>IFERROR(MATCH(J1500,'Final List'!$P$4:$P$252,0),0)</f>
        <v>0</v>
      </c>
      <c r="S1500" s="169">
        <f t="shared" si="95"/>
        <v>0</v>
      </c>
      <c r="V1500" s="169" t="str">
        <f t="shared" si="93"/>
        <v>BAÑEZ 5</v>
      </c>
      <c r="W1500" s="169" t="s">
        <v>2715</v>
      </c>
    </row>
    <row r="1501" spans="2:23" x14ac:dyDescent="0.25">
      <c r="B1501" s="169" t="s">
        <v>1166</v>
      </c>
      <c r="C1501" s="169" t="s">
        <v>59</v>
      </c>
      <c r="D1501" s="169" t="s">
        <v>169</v>
      </c>
      <c r="E1501" s="169" t="s">
        <v>36</v>
      </c>
      <c r="F1501" s="245" t="str">
        <f t="shared" si="94"/>
        <v>StpS 77</v>
      </c>
      <c r="G1501" s="169" t="s">
        <v>447</v>
      </c>
      <c r="I1501" s="169" t="str">
        <f t="shared" ref="I1501:I1564" si="96">CONCATENATE(B1501,"_",C1501,"_",D1501,"_",E1501)</f>
        <v>L11_GHVHW_065E_STOPE</v>
      </c>
      <c r="J1501" s="169" t="s">
        <v>8689</v>
      </c>
      <c r="K1501" s="169">
        <f>IFERROR(MATCH(J1501,'Final List'!$B$4:$B$252,0),0)</f>
        <v>0</v>
      </c>
      <c r="L1501" s="169">
        <f>IFERROR(MATCH(J1501,'Final List'!$D$4:$D$252,0),0)</f>
        <v>0</v>
      </c>
      <c r="M1501" s="169">
        <f>IFERROR(MATCH(J1501,'Final List'!$F$4:$F$251,0),0)</f>
        <v>0</v>
      </c>
      <c r="N1501" s="169">
        <f>IFERROR(MATCH(J1501,'Final List'!$H$4:$H$252,0),0)</f>
        <v>0</v>
      </c>
      <c r="O1501" s="169">
        <f>IFERROR(MATCH(J1501,'Final List'!$J$4:$J$252,0),0)</f>
        <v>0</v>
      </c>
      <c r="P1501" s="169">
        <f>IFERROR(MATCH(J1501,'Final List'!$L$4:$L$252,0),0)</f>
        <v>0</v>
      </c>
      <c r="Q1501" s="169">
        <f>IFERROR(MATCH(J1501,'Final List'!$N$4:$N$252,0),0)</f>
        <v>0</v>
      </c>
      <c r="R1501" s="169">
        <f>IFERROR(MATCH(J1501,'Final List'!$P$4:$P$252,0),0)</f>
        <v>0</v>
      </c>
      <c r="S1501" s="169">
        <f t="shared" si="95"/>
        <v>0</v>
      </c>
      <c r="T1501" s="169" t="s">
        <v>68</v>
      </c>
      <c r="V1501" s="169" t="str">
        <f t="shared" si="93"/>
        <v>COMAINGKING 1</v>
      </c>
      <c r="W1501" s="169" t="s">
        <v>2713</v>
      </c>
    </row>
    <row r="1502" spans="2:23" x14ac:dyDescent="0.25">
      <c r="B1502" s="169" t="s">
        <v>91</v>
      </c>
      <c r="C1502" s="169" t="s">
        <v>56</v>
      </c>
      <c r="D1502" s="169" t="s">
        <v>5888</v>
      </c>
      <c r="E1502" s="169" t="s">
        <v>62</v>
      </c>
      <c r="F1502" s="245" t="str">
        <f t="shared" si="94"/>
        <v>RobS 79</v>
      </c>
      <c r="G1502" s="169" t="s">
        <v>7250</v>
      </c>
      <c r="I1502" s="169" t="str">
        <f t="shared" si="96"/>
        <v>L04_GHVFW_024W_ROBBING</v>
      </c>
      <c r="J1502" s="169" t="s">
        <v>8692</v>
      </c>
      <c r="K1502" s="169">
        <f>IFERROR(MATCH(J1502,'Final List'!$B$4:$B$252,0),0)</f>
        <v>0</v>
      </c>
      <c r="L1502" s="169">
        <f>IFERROR(MATCH(J1502,'Final List'!$D$4:$D$252,0),0)</f>
        <v>0</v>
      </c>
      <c r="M1502" s="169">
        <f>IFERROR(MATCH(J1502,'Final List'!$F$4:$F$251,0),0)</f>
        <v>0</v>
      </c>
      <c r="N1502" s="169">
        <f>IFERROR(MATCH(J1502,'Final List'!$H$4:$H$252,0),0)</f>
        <v>0</v>
      </c>
      <c r="O1502" s="169">
        <f>IFERROR(MATCH(J1502,'Final List'!$J$4:$J$252,0),0)</f>
        <v>0</v>
      </c>
      <c r="P1502" s="169">
        <f>IFERROR(MATCH(J1502,'Final List'!$L$4:$L$252,0),0)</f>
        <v>0</v>
      </c>
      <c r="Q1502" s="169">
        <f>IFERROR(MATCH(J1502,'Final List'!$N$4:$N$252,0),0)</f>
        <v>0</v>
      </c>
      <c r="R1502" s="169">
        <f>IFERROR(MATCH(J1502,'Final List'!$P$4:$P$252,0),0)</f>
        <v>0</v>
      </c>
      <c r="S1502" s="169">
        <f t="shared" si="95"/>
        <v>0</v>
      </c>
      <c r="T1502" s="169" t="s">
        <v>68</v>
      </c>
      <c r="V1502" s="169" t="str">
        <f t="shared" si="93"/>
        <v>SHEPHERD AQ 2</v>
      </c>
      <c r="W1502" s="169" t="s">
        <v>2707</v>
      </c>
    </row>
    <row r="1503" spans="2:23" x14ac:dyDescent="0.25">
      <c r="B1503" s="169" t="s">
        <v>258</v>
      </c>
      <c r="C1503" s="169" t="s">
        <v>45</v>
      </c>
      <c r="D1503" s="169" t="s">
        <v>5078</v>
      </c>
      <c r="E1503" s="169" t="s">
        <v>60</v>
      </c>
      <c r="F1503" s="245" t="str">
        <f t="shared" si="94"/>
        <v>Dhoz 71</v>
      </c>
      <c r="G1503" s="169" t="s">
        <v>5705</v>
      </c>
      <c r="I1503" s="169" t="str">
        <f t="shared" si="96"/>
        <v>L10_DPVE_086E_DE</v>
      </c>
      <c r="J1503" s="169" t="s">
        <v>8694</v>
      </c>
      <c r="K1503" s="169">
        <f>IFERROR(MATCH(J1503,'Final List'!$B$4:$B$252,0),0)</f>
        <v>0</v>
      </c>
      <c r="L1503" s="169">
        <f>IFERROR(MATCH(J1503,'Final List'!$D$4:$D$252,0),0)</f>
        <v>0</v>
      </c>
      <c r="M1503" s="169">
        <f>IFERROR(MATCH(J1503,'Final List'!$F$4:$F$251,0),0)</f>
        <v>0</v>
      </c>
      <c r="N1503" s="169">
        <f>IFERROR(MATCH(J1503,'Final List'!$H$4:$H$252,0),0)</f>
        <v>0</v>
      </c>
      <c r="O1503" s="169">
        <f>IFERROR(MATCH(J1503,'Final List'!$J$4:$J$252,0),0)</f>
        <v>0</v>
      </c>
      <c r="P1503" s="169">
        <f>IFERROR(MATCH(J1503,'Final List'!$L$4:$L$252,0),0)</f>
        <v>0</v>
      </c>
      <c r="Q1503" s="169">
        <f>IFERROR(MATCH(J1503,'Final List'!$N$4:$N$252,0),0)</f>
        <v>0</v>
      </c>
      <c r="R1503" s="169">
        <f>IFERROR(MATCH(J1503,'Final List'!$P$4:$P$252,0),0)</f>
        <v>0</v>
      </c>
      <c r="S1503" s="169">
        <f t="shared" si="95"/>
        <v>0</v>
      </c>
      <c r="V1503" s="169" t="str">
        <f t="shared" si="93"/>
        <v>OLIVEROS 4</v>
      </c>
      <c r="W1503" s="169" t="s">
        <v>8896</v>
      </c>
    </row>
    <row r="1504" spans="2:23" x14ac:dyDescent="0.25">
      <c r="B1504" s="169" t="s">
        <v>95</v>
      </c>
      <c r="C1504" s="169" t="s">
        <v>87</v>
      </c>
      <c r="D1504" s="169" t="s">
        <v>5631</v>
      </c>
      <c r="E1504" s="169" t="s">
        <v>70</v>
      </c>
      <c r="F1504" s="245" t="str">
        <f t="shared" si="94"/>
        <v>Dhoz 71</v>
      </c>
      <c r="G1504" s="169" t="s">
        <v>368</v>
      </c>
      <c r="I1504" s="169" t="str">
        <f t="shared" si="96"/>
        <v>L08_NONE_020E_SUMP</v>
      </c>
      <c r="J1504" s="169" t="s">
        <v>8697</v>
      </c>
      <c r="K1504" s="169">
        <f>IFERROR(MATCH(J1504,'Final List'!$B$4:$B$252,0),0)</f>
        <v>0</v>
      </c>
      <c r="L1504" s="169">
        <f>IFERROR(MATCH(J1504,'Final List'!$D$4:$D$252,0),0)</f>
        <v>0</v>
      </c>
      <c r="M1504" s="169">
        <f>IFERROR(MATCH(J1504,'Final List'!$F$4:$F$251,0),0)</f>
        <v>0</v>
      </c>
      <c r="N1504" s="169">
        <f>IFERROR(MATCH(J1504,'Final List'!$H$4:$H$252,0),0)</f>
        <v>0</v>
      </c>
      <c r="O1504" s="169">
        <f>IFERROR(MATCH(J1504,'Final List'!$J$4:$J$252,0),0)</f>
        <v>0</v>
      </c>
      <c r="P1504" s="169">
        <f>IFERROR(MATCH(J1504,'Final List'!$L$4:$L$252,0),0)</f>
        <v>0</v>
      </c>
      <c r="Q1504" s="169">
        <f>IFERROR(MATCH(J1504,'Final List'!$N$4:$N$252,0),0)</f>
        <v>0</v>
      </c>
      <c r="R1504" s="169">
        <f>IFERROR(MATCH(J1504,'Final List'!$P$4:$P$252,0),0)</f>
        <v>0</v>
      </c>
      <c r="S1504" s="169">
        <f t="shared" si="95"/>
        <v>0</v>
      </c>
      <c r="V1504" s="169" t="str">
        <f t="shared" si="93"/>
        <v>LERIO 2</v>
      </c>
      <c r="W1504" s="169" t="s">
        <v>2714</v>
      </c>
    </row>
    <row r="1505" spans="2:23" x14ac:dyDescent="0.25">
      <c r="B1505" s="169" t="s">
        <v>91</v>
      </c>
      <c r="C1505" s="169" t="s">
        <v>44</v>
      </c>
      <c r="D1505" s="169" t="s">
        <v>6864</v>
      </c>
      <c r="E1505" s="169" t="s">
        <v>36</v>
      </c>
      <c r="F1505" s="245" t="str">
        <f t="shared" si="94"/>
        <v>StpS 77</v>
      </c>
      <c r="G1505" s="169" t="s">
        <v>7261</v>
      </c>
      <c r="I1505" s="169" t="str">
        <f t="shared" si="96"/>
        <v>L04_CV_006E_STOPE</v>
      </c>
      <c r="J1505" s="169" t="s">
        <v>8698</v>
      </c>
      <c r="K1505" s="169">
        <f>IFERROR(MATCH(J1505,'Final List'!$B$4:$B$252,0),0)</f>
        <v>0</v>
      </c>
      <c r="L1505" s="169">
        <f>IFERROR(MATCH(J1505,'Final List'!$D$4:$D$252,0),0)</f>
        <v>0</v>
      </c>
      <c r="M1505" s="169">
        <f>IFERROR(MATCH(J1505,'Final List'!$F$4:$F$251,0),0)</f>
        <v>0</v>
      </c>
      <c r="N1505" s="169">
        <f>IFERROR(MATCH(J1505,'Final List'!$H$4:$H$252,0),0)</f>
        <v>0</v>
      </c>
      <c r="O1505" s="169">
        <f>IFERROR(MATCH(J1505,'Final List'!$J$4:$J$252,0),0)</f>
        <v>0</v>
      </c>
      <c r="P1505" s="169">
        <f>IFERROR(MATCH(J1505,'Final List'!$L$4:$L$252,0),0)</f>
        <v>0</v>
      </c>
      <c r="Q1505" s="169">
        <f>IFERROR(MATCH(J1505,'Final List'!$N$4:$N$252,0),0)</f>
        <v>0</v>
      </c>
      <c r="R1505" s="169">
        <f>IFERROR(MATCH(J1505,'Final List'!$P$4:$P$252,0),0)</f>
        <v>0</v>
      </c>
      <c r="S1505" s="169">
        <f t="shared" si="95"/>
        <v>0</v>
      </c>
      <c r="T1505" s="169" t="s">
        <v>68</v>
      </c>
      <c r="V1505" s="169" t="str">
        <f t="shared" si="93"/>
        <v>MARTINEZ RON 3</v>
      </c>
      <c r="W1505" s="169" t="s">
        <v>2713</v>
      </c>
    </row>
    <row r="1506" spans="2:23" x14ac:dyDescent="0.25">
      <c r="B1506" s="169" t="s">
        <v>94</v>
      </c>
      <c r="C1506" s="169" t="s">
        <v>42</v>
      </c>
      <c r="D1506" s="169" t="s">
        <v>180</v>
      </c>
      <c r="E1506" s="169" t="s">
        <v>6154</v>
      </c>
      <c r="F1506" s="245" t="str">
        <f t="shared" si="94"/>
        <v>Dhoz 71</v>
      </c>
      <c r="G1506" s="169" t="s">
        <v>2972</v>
      </c>
      <c r="I1506" s="169" t="str">
        <f t="shared" si="96"/>
        <v>L07_JV_041E_DW_ISL</v>
      </c>
      <c r="J1506" s="169" t="s">
        <v>8702</v>
      </c>
      <c r="K1506" s="169">
        <f>IFERROR(MATCH(J1506,'Final List'!$B$4:$B$252,0),0)</f>
        <v>0</v>
      </c>
      <c r="L1506" s="169">
        <f>IFERROR(MATCH(J1506,'Final List'!$D$4:$D$252,0),0)</f>
        <v>0</v>
      </c>
      <c r="M1506" s="169">
        <f>IFERROR(MATCH(J1506,'Final List'!$F$4:$F$251,0),0)</f>
        <v>0</v>
      </c>
      <c r="N1506" s="169">
        <f>IFERROR(MATCH(J1506,'Final List'!$H$4:$H$252,0),0)</f>
        <v>0</v>
      </c>
      <c r="O1506" s="169">
        <f>IFERROR(MATCH(J1506,'Final List'!$J$4:$J$252,0),0)</f>
        <v>0</v>
      </c>
      <c r="P1506" s="169">
        <f>IFERROR(MATCH(J1506,'Final List'!$L$4:$L$252,0),0)</f>
        <v>0</v>
      </c>
      <c r="Q1506" s="169">
        <f>IFERROR(MATCH(J1506,'Final List'!$N$4:$N$252,0),0)</f>
        <v>0</v>
      </c>
      <c r="R1506" s="169">
        <f>IFERROR(MATCH(J1506,'Final List'!$P$4:$P$252,0),0)</f>
        <v>0</v>
      </c>
      <c r="S1506" s="169">
        <f t="shared" si="95"/>
        <v>0</v>
      </c>
      <c r="V1506" s="169" t="str">
        <f t="shared" si="93"/>
        <v>FABROA 1</v>
      </c>
      <c r="W1506" s="169" t="s">
        <v>2708</v>
      </c>
    </row>
    <row r="1507" spans="2:23" x14ac:dyDescent="0.25">
      <c r="B1507" s="169" t="s">
        <v>96</v>
      </c>
      <c r="C1507" s="169" t="s">
        <v>45</v>
      </c>
      <c r="D1507" s="169" t="s">
        <v>5602</v>
      </c>
      <c r="E1507" s="169" t="s">
        <v>36</v>
      </c>
      <c r="F1507" s="245" t="str">
        <f t="shared" si="94"/>
        <v>StpS 77</v>
      </c>
      <c r="G1507" s="169" t="s">
        <v>8203</v>
      </c>
      <c r="I1507" s="169" t="str">
        <f t="shared" si="96"/>
        <v>L09_DPVE_053E_STOPE</v>
      </c>
      <c r="J1507" s="169" t="s">
        <v>8707</v>
      </c>
      <c r="K1507" s="169">
        <f>IFERROR(MATCH(J1507,'Final List'!$B$4:$B$252,0),0)</f>
        <v>0</v>
      </c>
      <c r="L1507" s="169">
        <f>IFERROR(MATCH(J1507,'Final List'!$D$4:$D$252,0),0)</f>
        <v>0</v>
      </c>
      <c r="M1507" s="169">
        <f>IFERROR(MATCH(J1507,'Final List'!$F$4:$F$251,0),0)</f>
        <v>0</v>
      </c>
      <c r="N1507" s="169">
        <f>IFERROR(MATCH(J1507,'Final List'!$H$4:$H$252,0),0)</f>
        <v>0</v>
      </c>
      <c r="O1507" s="169">
        <f>IFERROR(MATCH(J1507,'Final List'!$J$4:$J$252,0),0)</f>
        <v>0</v>
      </c>
      <c r="P1507" s="169">
        <f>IFERROR(MATCH(J1507,'Final List'!$L$4:$L$252,0),0)</f>
        <v>0</v>
      </c>
      <c r="Q1507" s="169">
        <f>IFERROR(MATCH(J1507,'Final List'!$N$4:$N$252,0),0)</f>
        <v>0</v>
      </c>
      <c r="R1507" s="169">
        <f>IFERROR(MATCH(J1507,'Final List'!$P$4:$P$252,0),0)</f>
        <v>0</v>
      </c>
      <c r="S1507" s="169">
        <f t="shared" si="95"/>
        <v>0</v>
      </c>
      <c r="T1507" s="169" t="s">
        <v>68</v>
      </c>
      <c r="V1507" s="169" t="str">
        <f t="shared" si="93"/>
        <v>PANSIT, NORMAN 3</v>
      </c>
      <c r="W1507" s="169" t="s">
        <v>2713</v>
      </c>
    </row>
    <row r="1508" spans="2:23" x14ac:dyDescent="0.25">
      <c r="B1508" s="169" t="s">
        <v>94</v>
      </c>
      <c r="C1508" s="169" t="s">
        <v>59</v>
      </c>
      <c r="D1508" s="169" t="s">
        <v>144</v>
      </c>
      <c r="E1508" s="169" t="s">
        <v>20</v>
      </c>
      <c r="F1508" s="245" t="str">
        <f t="shared" si="94"/>
        <v>DVW 74</v>
      </c>
      <c r="G1508" s="169" t="s">
        <v>4068</v>
      </c>
      <c r="I1508" s="169" t="str">
        <f t="shared" si="96"/>
        <v>L07_GHVHW_043E_WINZE</v>
      </c>
      <c r="J1508" s="169" t="s">
        <v>8708</v>
      </c>
      <c r="K1508" s="169">
        <f>IFERROR(MATCH(J1508,'Final List'!$B$4:$B$252,0),0)</f>
        <v>0</v>
      </c>
      <c r="L1508" s="169">
        <f>IFERROR(MATCH(J1508,'Final List'!$D$4:$D$252,0),0)</f>
        <v>0</v>
      </c>
      <c r="M1508" s="169">
        <f>IFERROR(MATCH(J1508,'Final List'!$F$4:$F$251,0),0)</f>
        <v>0</v>
      </c>
      <c r="N1508" s="169">
        <f>IFERROR(MATCH(J1508,'Final List'!$H$4:$H$252,0),0)</f>
        <v>0</v>
      </c>
      <c r="O1508" s="169">
        <f>IFERROR(MATCH(J1508,'Final List'!$J$4:$J$252,0),0)</f>
        <v>0</v>
      </c>
      <c r="P1508" s="169">
        <f>IFERROR(MATCH(J1508,'Final List'!$L$4:$L$252,0),0)</f>
        <v>0</v>
      </c>
      <c r="Q1508" s="169">
        <f>IFERROR(MATCH(J1508,'Final List'!$N$4:$N$252,0),0)</f>
        <v>0</v>
      </c>
      <c r="R1508" s="169">
        <f>IFERROR(MATCH(J1508,'Final List'!$P$4:$P$252,0),0)</f>
        <v>0</v>
      </c>
      <c r="S1508" s="169">
        <f t="shared" si="95"/>
        <v>0</v>
      </c>
      <c r="V1508" s="169" t="str">
        <f t="shared" si="93"/>
        <v>MAPAYO</v>
      </c>
      <c r="W1508" s="169" t="s">
        <v>2706</v>
      </c>
    </row>
    <row r="1509" spans="2:23" x14ac:dyDescent="0.25">
      <c r="B1509" s="169" t="s">
        <v>258</v>
      </c>
      <c r="C1509" s="169" t="s">
        <v>56</v>
      </c>
      <c r="D1509" s="169" t="s">
        <v>110</v>
      </c>
      <c r="E1509" s="169" t="s">
        <v>19</v>
      </c>
      <c r="F1509" s="245" t="str">
        <f t="shared" si="94"/>
        <v>DVR 72</v>
      </c>
      <c r="G1509" s="169" t="s">
        <v>370</v>
      </c>
      <c r="I1509" s="169" t="str">
        <f t="shared" si="96"/>
        <v>L10_GHVFW_004E_RAISE</v>
      </c>
      <c r="J1509" s="169" t="s">
        <v>8717</v>
      </c>
      <c r="K1509" s="169">
        <f>IFERROR(MATCH(J1509,'Final List'!$B$4:$B$252,0),0)</f>
        <v>0</v>
      </c>
      <c r="L1509" s="169">
        <f>IFERROR(MATCH(J1509,'Final List'!$D$4:$D$252,0),0)</f>
        <v>0</v>
      </c>
      <c r="M1509" s="169">
        <f>IFERROR(MATCH(J1509,'Final List'!$F$4:$F$251,0),0)</f>
        <v>0</v>
      </c>
      <c r="N1509" s="169">
        <f>IFERROR(MATCH(J1509,'Final List'!$H$4:$H$252,0),0)</f>
        <v>0</v>
      </c>
      <c r="O1509" s="169">
        <f>IFERROR(MATCH(J1509,'Final List'!$J$4:$J$252,0),0)</f>
        <v>0</v>
      </c>
      <c r="P1509" s="169">
        <f>IFERROR(MATCH(J1509,'Final List'!$L$4:$L$252,0),0)</f>
        <v>0</v>
      </c>
      <c r="Q1509" s="169">
        <f>IFERROR(MATCH(J1509,'Final List'!$N$4:$N$252,0),0)</f>
        <v>0</v>
      </c>
      <c r="R1509" s="169">
        <f>IFERROR(MATCH(J1509,'Final List'!$P$4:$P$252,0),0)</f>
        <v>0</v>
      </c>
      <c r="S1509" s="169">
        <f t="shared" si="95"/>
        <v>0</v>
      </c>
      <c r="V1509" s="169" t="str">
        <f t="shared" si="93"/>
        <v>TAÑEZA 2</v>
      </c>
      <c r="W1509" s="169" t="s">
        <v>2715</v>
      </c>
    </row>
    <row r="1510" spans="2:23" x14ac:dyDescent="0.25">
      <c r="B1510" s="169" t="s">
        <v>258</v>
      </c>
      <c r="C1510" s="169" t="s">
        <v>87</v>
      </c>
      <c r="D1510" s="169" t="s">
        <v>119</v>
      </c>
      <c r="E1510" s="169" t="s">
        <v>37</v>
      </c>
      <c r="F1510" s="245" t="str">
        <f t="shared" si="94"/>
        <v>Dhoz 71</v>
      </c>
      <c r="G1510" s="169" t="s">
        <v>375</v>
      </c>
      <c r="I1510" s="169" t="str">
        <f t="shared" si="96"/>
        <v>L10_NONE_012E_XCN</v>
      </c>
      <c r="J1510" s="169" t="s">
        <v>8718</v>
      </c>
      <c r="K1510" s="169">
        <f>IFERROR(MATCH(J1510,'Final List'!$B$4:$B$252,0),0)</f>
        <v>0</v>
      </c>
      <c r="L1510" s="169">
        <f>IFERROR(MATCH(J1510,'Final List'!$D$4:$D$252,0),0)</f>
        <v>0</v>
      </c>
      <c r="M1510" s="169">
        <f>IFERROR(MATCH(J1510,'Final List'!$F$4:$F$251,0),0)</f>
        <v>0</v>
      </c>
      <c r="N1510" s="169">
        <f>IFERROR(MATCH(J1510,'Final List'!$H$4:$H$252,0),0)</f>
        <v>0</v>
      </c>
      <c r="O1510" s="169">
        <f>IFERROR(MATCH(J1510,'Final List'!$J$4:$J$252,0),0)</f>
        <v>0</v>
      </c>
      <c r="P1510" s="169">
        <f>IFERROR(MATCH(J1510,'Final List'!$L$4:$L$252,0),0)</f>
        <v>0</v>
      </c>
      <c r="Q1510" s="169">
        <f>IFERROR(MATCH(J1510,'Final List'!$N$4:$N$252,0),0)</f>
        <v>0</v>
      </c>
      <c r="R1510" s="169">
        <f>IFERROR(MATCH(J1510,'Final List'!$P$4:$P$252,0),0)</f>
        <v>0</v>
      </c>
      <c r="S1510" s="169">
        <f t="shared" si="95"/>
        <v>0</v>
      </c>
      <c r="V1510" s="169" t="str">
        <f t="shared" si="93"/>
        <v>TAÑEZA 7</v>
      </c>
      <c r="W1510" s="169" t="s">
        <v>8898</v>
      </c>
    </row>
    <row r="1511" spans="2:23" x14ac:dyDescent="0.25">
      <c r="B1511" s="169" t="s">
        <v>91</v>
      </c>
      <c r="C1511" s="169" t="s">
        <v>44</v>
      </c>
      <c r="D1511" s="169" t="s">
        <v>103</v>
      </c>
      <c r="E1511" s="169" t="s">
        <v>61</v>
      </c>
      <c r="F1511" s="245" t="str">
        <f t="shared" si="94"/>
        <v>Dhoz 71</v>
      </c>
      <c r="G1511" s="169" t="s">
        <v>5683</v>
      </c>
      <c r="I1511" s="169" t="str">
        <f t="shared" si="96"/>
        <v>L04_CV_005E_DW</v>
      </c>
      <c r="J1511" s="169" t="s">
        <v>8719</v>
      </c>
      <c r="K1511" s="169">
        <f>IFERROR(MATCH(J1511,'Final List'!$B$4:$B$252,0),0)</f>
        <v>0</v>
      </c>
      <c r="L1511" s="169">
        <f>IFERROR(MATCH(J1511,'Final List'!$D$4:$D$252,0),0)</f>
        <v>0</v>
      </c>
      <c r="M1511" s="169">
        <f>IFERROR(MATCH(J1511,'Final List'!$F$4:$F$251,0),0)</f>
        <v>0</v>
      </c>
      <c r="N1511" s="169">
        <f>IFERROR(MATCH(J1511,'Final List'!$H$4:$H$252,0),0)</f>
        <v>0</v>
      </c>
      <c r="O1511" s="169">
        <f>IFERROR(MATCH(J1511,'Final List'!$J$4:$J$252,0),0)</f>
        <v>0</v>
      </c>
      <c r="P1511" s="169">
        <f>IFERROR(MATCH(J1511,'Final List'!$L$4:$L$252,0),0)</f>
        <v>0</v>
      </c>
      <c r="Q1511" s="169">
        <f>IFERROR(MATCH(J1511,'Final List'!$N$4:$N$252,0),0)</f>
        <v>0</v>
      </c>
      <c r="R1511" s="169">
        <f>IFERROR(MATCH(J1511,'Final List'!$P$4:$P$252,0),0)</f>
        <v>0</v>
      </c>
      <c r="S1511" s="169">
        <f t="shared" si="95"/>
        <v>0</v>
      </c>
      <c r="V1511" s="169" t="str">
        <f t="shared" si="93"/>
        <v>SHEPHERD AL</v>
      </c>
      <c r="W1511" s="169" t="s">
        <v>8895</v>
      </c>
    </row>
    <row r="1512" spans="2:23" x14ac:dyDescent="0.25">
      <c r="B1512" s="169" t="s">
        <v>93</v>
      </c>
      <c r="C1512" s="169" t="s">
        <v>45</v>
      </c>
      <c r="D1512" s="169" t="s">
        <v>176</v>
      </c>
      <c r="E1512" s="169" t="s">
        <v>61</v>
      </c>
      <c r="F1512" s="245" t="str">
        <f t="shared" si="94"/>
        <v>Dhoz 71</v>
      </c>
      <c r="G1512" s="169" t="s">
        <v>353</v>
      </c>
      <c r="H1512" s="169" t="s">
        <v>350</v>
      </c>
      <c r="I1512" s="169" t="str">
        <f t="shared" si="96"/>
        <v>L06_DPVE_057E_DW</v>
      </c>
      <c r="J1512" s="169" t="s">
        <v>4080</v>
      </c>
      <c r="K1512" s="169">
        <f>IFERROR(MATCH(J1512,'Final List'!$B$4:$B$252,0),0)</f>
        <v>0</v>
      </c>
      <c r="L1512" s="169">
        <f>IFERROR(MATCH(J1512,'Final List'!$D$4:$D$252,0),0)</f>
        <v>0</v>
      </c>
      <c r="M1512" s="169">
        <f>IFERROR(MATCH(J1512,'Final List'!$F$4:$F$251,0),0)</f>
        <v>0</v>
      </c>
      <c r="N1512" s="169">
        <f>IFERROR(MATCH(J1512,'Final List'!$H$4:$H$252,0),0)</f>
        <v>0</v>
      </c>
      <c r="O1512" s="169">
        <f>IFERROR(MATCH(J1512,'Final List'!$J$4:$J$252,0),0)</f>
        <v>0</v>
      </c>
      <c r="P1512" s="169">
        <f>IFERROR(MATCH(J1512,'Final List'!$L$4:$L$252,0),0)</f>
        <v>0</v>
      </c>
      <c r="Q1512" s="169">
        <f>IFERROR(MATCH(J1512,'Final List'!$N$4:$N$252,0),0)</f>
        <v>0</v>
      </c>
      <c r="R1512" s="169">
        <f>IFERROR(MATCH(J1512,'Final List'!$P$4:$P$252,0),0)</f>
        <v>0</v>
      </c>
      <c r="S1512" s="169">
        <f t="shared" si="95"/>
        <v>0</v>
      </c>
      <c r="V1512" s="169" t="str">
        <f t="shared" si="93"/>
        <v>QUIJANO 1</v>
      </c>
      <c r="W1512" s="169" t="s">
        <v>8895</v>
      </c>
    </row>
    <row r="1513" spans="2:23" x14ac:dyDescent="0.25">
      <c r="B1513" s="169" t="s">
        <v>93</v>
      </c>
      <c r="C1513" s="169" t="s">
        <v>39</v>
      </c>
      <c r="D1513" s="169" t="s">
        <v>140</v>
      </c>
      <c r="E1513" s="169" t="s">
        <v>61</v>
      </c>
      <c r="F1513" s="245" t="str">
        <f t="shared" si="94"/>
        <v>Dhoz 71</v>
      </c>
      <c r="G1513" s="169" t="s">
        <v>2459</v>
      </c>
      <c r="I1513" s="169" t="str">
        <f t="shared" si="96"/>
        <v>L06_JVHW_005W_DW</v>
      </c>
      <c r="J1513" s="169" t="s">
        <v>8720</v>
      </c>
      <c r="K1513" s="169">
        <f>IFERROR(MATCH(J1513,'Final List'!$B$4:$B$252,0),0)</f>
        <v>0</v>
      </c>
      <c r="L1513" s="169">
        <f>IFERROR(MATCH(J1513,'Final List'!$D$4:$D$252,0),0)</f>
        <v>0</v>
      </c>
      <c r="M1513" s="169">
        <f>IFERROR(MATCH(J1513,'Final List'!$F$4:$F$251,0),0)</f>
        <v>0</v>
      </c>
      <c r="N1513" s="169">
        <f>IFERROR(MATCH(J1513,'Final List'!$H$4:$H$252,0),0)</f>
        <v>0</v>
      </c>
      <c r="O1513" s="169">
        <f>IFERROR(MATCH(J1513,'Final List'!$J$4:$J$252,0),0)</f>
        <v>0</v>
      </c>
      <c r="P1513" s="169">
        <f>IFERROR(MATCH(J1513,'Final List'!$L$4:$L$252,0),0)</f>
        <v>0</v>
      </c>
      <c r="Q1513" s="169">
        <f>IFERROR(MATCH(J1513,'Final List'!$N$4:$N$252,0),0)</f>
        <v>0</v>
      </c>
      <c r="R1513" s="169">
        <f>IFERROR(MATCH(J1513,'Final List'!$P$4:$P$252,0),0)</f>
        <v>0</v>
      </c>
      <c r="S1513" s="169">
        <f t="shared" si="95"/>
        <v>0</v>
      </c>
      <c r="V1513" s="169" t="str">
        <f t="shared" si="93"/>
        <v>REBOTE 3</v>
      </c>
      <c r="W1513" s="169" t="s">
        <v>8895</v>
      </c>
    </row>
    <row r="1514" spans="2:23" x14ac:dyDescent="0.25">
      <c r="B1514" s="169" t="s">
        <v>95</v>
      </c>
      <c r="C1514" s="169" t="s">
        <v>43</v>
      </c>
      <c r="D1514" s="169" t="s">
        <v>122</v>
      </c>
      <c r="E1514" s="169" t="s">
        <v>19</v>
      </c>
      <c r="F1514" s="245" t="str">
        <f t="shared" si="94"/>
        <v>DVR 72</v>
      </c>
      <c r="G1514" s="169" t="s">
        <v>5108</v>
      </c>
      <c r="I1514" s="169" t="str">
        <f t="shared" si="96"/>
        <v>L08_GHVSPLIT_025E_RAISE</v>
      </c>
      <c r="J1514" s="169" t="s">
        <v>8724</v>
      </c>
      <c r="K1514" s="169">
        <f>IFERROR(MATCH(J1514,'Final List'!$B$4:$B$252,0),0)</f>
        <v>0</v>
      </c>
      <c r="L1514" s="169">
        <f>IFERROR(MATCH(J1514,'Final List'!$D$4:$D$252,0),0)</f>
        <v>0</v>
      </c>
      <c r="M1514" s="169">
        <f>IFERROR(MATCH(J1514,'Final List'!$F$4:$F$251,0),0)</f>
        <v>0</v>
      </c>
      <c r="N1514" s="169">
        <f>IFERROR(MATCH(J1514,'Final List'!$H$4:$H$252,0),0)</f>
        <v>0</v>
      </c>
      <c r="O1514" s="169">
        <f>IFERROR(MATCH(J1514,'Final List'!$J$4:$J$252,0),0)</f>
        <v>0</v>
      </c>
      <c r="P1514" s="169">
        <f>IFERROR(MATCH(J1514,'Final List'!$L$4:$L$252,0),0)</f>
        <v>0</v>
      </c>
      <c r="Q1514" s="169">
        <f>IFERROR(MATCH(J1514,'Final List'!$N$4:$N$252,0),0)</f>
        <v>0</v>
      </c>
      <c r="R1514" s="169">
        <f>IFERROR(MATCH(J1514,'Final List'!$P$4:$P$252,0),0)</f>
        <v>0</v>
      </c>
      <c r="S1514" s="169">
        <f t="shared" si="95"/>
        <v>0</v>
      </c>
      <c r="V1514" s="169" t="str">
        <f t="shared" si="93"/>
        <v>SHEPHERD AJ</v>
      </c>
      <c r="W1514" s="169" t="s">
        <v>2715</v>
      </c>
    </row>
    <row r="1515" spans="2:23" x14ac:dyDescent="0.25">
      <c r="B1515" s="169" t="s">
        <v>93</v>
      </c>
      <c r="C1515" s="169" t="s">
        <v>39</v>
      </c>
      <c r="D1515" s="169" t="s">
        <v>140</v>
      </c>
      <c r="E1515" s="169" t="s">
        <v>19</v>
      </c>
      <c r="F1515" s="245" t="str">
        <f t="shared" si="94"/>
        <v>DVR 72</v>
      </c>
      <c r="G1515" s="169" t="s">
        <v>2459</v>
      </c>
      <c r="I1515" s="169" t="str">
        <f t="shared" si="96"/>
        <v>L06_JVHW_005W_RAISE</v>
      </c>
      <c r="J1515" s="169" t="s">
        <v>8725</v>
      </c>
      <c r="K1515" s="169">
        <f>IFERROR(MATCH(J1515,'Final List'!$B$4:$B$252,0),0)</f>
        <v>0</v>
      </c>
      <c r="L1515" s="169">
        <f>IFERROR(MATCH(J1515,'Final List'!$D$4:$D$252,0),0)</f>
        <v>0</v>
      </c>
      <c r="M1515" s="169">
        <f>IFERROR(MATCH(J1515,'Final List'!$F$4:$F$251,0),0)</f>
        <v>0</v>
      </c>
      <c r="N1515" s="169">
        <f>IFERROR(MATCH(J1515,'Final List'!$H$4:$H$252,0),0)</f>
        <v>0</v>
      </c>
      <c r="O1515" s="169">
        <f>IFERROR(MATCH(J1515,'Final List'!$J$4:$J$252,0),0)</f>
        <v>0</v>
      </c>
      <c r="P1515" s="169">
        <f>IFERROR(MATCH(J1515,'Final List'!$L$4:$L$252,0),0)</f>
        <v>0</v>
      </c>
      <c r="Q1515" s="169">
        <f>IFERROR(MATCH(J1515,'Final List'!$N$4:$N$252,0),0)</f>
        <v>0</v>
      </c>
      <c r="R1515" s="169">
        <f>IFERROR(MATCH(J1515,'Final List'!$P$4:$P$252,0),0)</f>
        <v>0</v>
      </c>
      <c r="S1515" s="169">
        <f t="shared" si="95"/>
        <v>0</v>
      </c>
      <c r="V1515" s="169" t="str">
        <f t="shared" si="93"/>
        <v>REBOTE 3</v>
      </c>
      <c r="W1515" s="169" t="s">
        <v>2715</v>
      </c>
    </row>
    <row r="1516" spans="2:23" x14ac:dyDescent="0.25">
      <c r="B1516" s="169" t="s">
        <v>258</v>
      </c>
      <c r="C1516" s="169" t="s">
        <v>87</v>
      </c>
      <c r="D1516" s="169" t="s">
        <v>5975</v>
      </c>
      <c r="E1516" s="169" t="s">
        <v>37</v>
      </c>
      <c r="F1516" s="245" t="str">
        <f t="shared" si="94"/>
        <v>Dhoz 71</v>
      </c>
      <c r="G1516" s="169" t="s">
        <v>375</v>
      </c>
      <c r="I1516" s="169" t="str">
        <f t="shared" si="96"/>
        <v>L10_NONE_028E_XCN</v>
      </c>
      <c r="J1516" s="169" t="s">
        <v>8723</v>
      </c>
      <c r="K1516" s="169">
        <f>IFERROR(MATCH(J1516,'Final List'!$B$4:$B$252,0),0)</f>
        <v>0</v>
      </c>
      <c r="L1516" s="169">
        <f>IFERROR(MATCH(J1516,'Final List'!$D$4:$D$252,0),0)</f>
        <v>0</v>
      </c>
      <c r="M1516" s="169">
        <f>IFERROR(MATCH(J1516,'Final List'!$F$4:$F$251,0),0)</f>
        <v>0</v>
      </c>
      <c r="N1516" s="169">
        <f>IFERROR(MATCH(J1516,'Final List'!$H$4:$H$252,0),0)</f>
        <v>0</v>
      </c>
      <c r="O1516" s="169">
        <f>IFERROR(MATCH(J1516,'Final List'!$J$4:$J$252,0),0)</f>
        <v>0</v>
      </c>
      <c r="P1516" s="169">
        <f>IFERROR(MATCH(J1516,'Final List'!$L$4:$L$252,0),0)</f>
        <v>0</v>
      </c>
      <c r="Q1516" s="169">
        <f>IFERROR(MATCH(J1516,'Final List'!$N$4:$N$252,0),0)</f>
        <v>0</v>
      </c>
      <c r="R1516" s="169">
        <f>IFERROR(MATCH(J1516,'Final List'!$P$4:$P$252,0),0)</f>
        <v>0</v>
      </c>
      <c r="S1516" s="169">
        <f t="shared" si="95"/>
        <v>0</v>
      </c>
      <c r="V1516" s="169" t="str">
        <f t="shared" si="93"/>
        <v>TAÑEZA 7</v>
      </c>
      <c r="W1516" s="169" t="s">
        <v>8898</v>
      </c>
    </row>
    <row r="1517" spans="2:23" x14ac:dyDescent="0.25">
      <c r="B1517" s="169" t="s">
        <v>93</v>
      </c>
      <c r="C1517" s="169" t="s">
        <v>39</v>
      </c>
      <c r="D1517" s="169" t="s">
        <v>111</v>
      </c>
      <c r="E1517" s="169" t="s">
        <v>61</v>
      </c>
      <c r="F1517" s="245" t="str">
        <f t="shared" si="94"/>
        <v>Dhoz 71</v>
      </c>
      <c r="G1517" s="169" t="s">
        <v>2459</v>
      </c>
      <c r="I1517" s="169" t="str">
        <f t="shared" si="96"/>
        <v>L06_JVHW_004W_DW</v>
      </c>
      <c r="J1517" s="169" t="s">
        <v>8726</v>
      </c>
      <c r="K1517" s="169">
        <f>IFERROR(MATCH(J1517,'Final List'!$B$4:$B$252,0),0)</f>
        <v>0</v>
      </c>
      <c r="L1517" s="169">
        <f>IFERROR(MATCH(J1517,'Final List'!$D$4:$D$252,0),0)</f>
        <v>0</v>
      </c>
      <c r="M1517" s="169">
        <f>IFERROR(MATCH(J1517,'Final List'!$F$4:$F$251,0),0)</f>
        <v>0</v>
      </c>
      <c r="N1517" s="169">
        <f>IFERROR(MATCH(J1517,'Final List'!$H$4:$H$252,0),0)</f>
        <v>0</v>
      </c>
      <c r="O1517" s="169">
        <f>IFERROR(MATCH(J1517,'Final List'!$J$4:$J$252,0),0)</f>
        <v>0</v>
      </c>
      <c r="P1517" s="169">
        <f>IFERROR(MATCH(J1517,'Final List'!$L$4:$L$252,0),0)</f>
        <v>0</v>
      </c>
      <c r="Q1517" s="169">
        <f>IFERROR(MATCH(J1517,'Final List'!$N$4:$N$252,0),0)</f>
        <v>0</v>
      </c>
      <c r="R1517" s="169">
        <f>IFERROR(MATCH(J1517,'Final List'!$P$4:$P$252,0),0)</f>
        <v>0</v>
      </c>
      <c r="S1517" s="169">
        <f t="shared" si="95"/>
        <v>0</v>
      </c>
      <c r="V1517" s="169" t="str">
        <f t="shared" si="93"/>
        <v>REBOTE 3</v>
      </c>
      <c r="W1517" s="169" t="s">
        <v>8895</v>
      </c>
    </row>
    <row r="1518" spans="2:23" x14ac:dyDescent="0.25">
      <c r="B1518" s="169" t="s">
        <v>258</v>
      </c>
      <c r="C1518" s="169" t="s">
        <v>43</v>
      </c>
      <c r="D1518" s="169" t="s">
        <v>6518</v>
      </c>
      <c r="E1518" s="169" t="s">
        <v>60</v>
      </c>
      <c r="F1518" s="245" t="str">
        <f t="shared" si="94"/>
        <v>Dhoz 71</v>
      </c>
      <c r="G1518" s="169" t="s">
        <v>8093</v>
      </c>
      <c r="I1518" s="169" t="str">
        <f t="shared" si="96"/>
        <v>L10_GHVSPLIT_007E_DE</v>
      </c>
      <c r="J1518" s="169" t="s">
        <v>8730</v>
      </c>
      <c r="K1518" s="169">
        <f>IFERROR(MATCH(J1518,'Final List'!$B$4:$B$252,0),0)</f>
        <v>0</v>
      </c>
      <c r="L1518" s="169">
        <f>IFERROR(MATCH(J1518,'Final List'!$D$4:$D$252,0),0)</f>
        <v>0</v>
      </c>
      <c r="M1518" s="169">
        <f>IFERROR(MATCH(J1518,'Final List'!$F$4:$F$251,0),0)</f>
        <v>0</v>
      </c>
      <c r="N1518" s="169">
        <f>IFERROR(MATCH(J1518,'Final List'!$H$4:$H$252,0),0)</f>
        <v>0</v>
      </c>
      <c r="O1518" s="169">
        <f>IFERROR(MATCH(J1518,'Final List'!$J$4:$J$252,0),0)</f>
        <v>0</v>
      </c>
      <c r="P1518" s="169">
        <f>IFERROR(MATCH(J1518,'Final List'!$L$4:$L$252,0),0)</f>
        <v>0</v>
      </c>
      <c r="Q1518" s="169">
        <f>IFERROR(MATCH(J1518,'Final List'!$N$4:$N$252,0),0)</f>
        <v>0</v>
      </c>
      <c r="R1518" s="169">
        <f>IFERROR(MATCH(J1518,'Final List'!$P$4:$P$252,0),0)</f>
        <v>0</v>
      </c>
      <c r="S1518" s="169">
        <f t="shared" si="95"/>
        <v>0</v>
      </c>
      <c r="V1518" s="169" t="str">
        <f t="shared" si="93"/>
        <v>DUHIG R2</v>
      </c>
      <c r="W1518" s="169" t="s">
        <v>8896</v>
      </c>
    </row>
    <row r="1519" spans="2:23" x14ac:dyDescent="0.25">
      <c r="B1519" s="169" t="s">
        <v>258</v>
      </c>
      <c r="C1519" s="169" t="s">
        <v>45</v>
      </c>
      <c r="D1519" s="169" t="s">
        <v>289</v>
      </c>
      <c r="E1519" s="169" t="s">
        <v>211</v>
      </c>
      <c r="F1519" s="245" t="str">
        <f t="shared" si="94"/>
        <v>StpS 77</v>
      </c>
      <c r="G1519" s="169" t="s">
        <v>373</v>
      </c>
      <c r="I1519" s="169" t="str">
        <f t="shared" si="96"/>
        <v>L10_DPVE_059E_STOPE PREP</v>
      </c>
      <c r="J1519" s="169" t="s">
        <v>8735</v>
      </c>
      <c r="K1519" s="169">
        <f>IFERROR(MATCH(J1519,'Final List'!$B$4:$B$252,0),0)</f>
        <v>0</v>
      </c>
      <c r="L1519" s="169">
        <f>IFERROR(MATCH(J1519,'Final List'!$D$4:$D$252,0),0)</f>
        <v>0</v>
      </c>
      <c r="M1519" s="169">
        <f>IFERROR(MATCH(J1519,'Final List'!$F$4:$F$251,0),0)</f>
        <v>0</v>
      </c>
      <c r="N1519" s="169">
        <f>IFERROR(MATCH(J1519,'Final List'!$H$4:$H$252,0),0)</f>
        <v>0</v>
      </c>
      <c r="O1519" s="169">
        <f>IFERROR(MATCH(J1519,'Final List'!$J$4:$J$252,0),0)</f>
        <v>0</v>
      </c>
      <c r="P1519" s="169">
        <f>IFERROR(MATCH(J1519,'Final List'!$L$4:$L$252,0),0)</f>
        <v>0</v>
      </c>
      <c r="Q1519" s="169">
        <f>IFERROR(MATCH(J1519,'Final List'!$N$4:$N$252,0),0)</f>
        <v>0</v>
      </c>
      <c r="R1519" s="169">
        <f>IFERROR(MATCH(J1519,'Final List'!$P$4:$P$252,0),0)</f>
        <v>0</v>
      </c>
      <c r="S1519" s="169">
        <f t="shared" si="95"/>
        <v>0</v>
      </c>
      <c r="T1519" s="169" t="s">
        <v>68</v>
      </c>
      <c r="V1519" s="169" t="str">
        <f t="shared" si="93"/>
        <v>TAÑEZA 5</v>
      </c>
      <c r="W1519" s="169" t="s">
        <v>2712</v>
      </c>
    </row>
    <row r="1520" spans="2:23" x14ac:dyDescent="0.25">
      <c r="B1520" s="169" t="s">
        <v>93</v>
      </c>
      <c r="C1520" s="169" t="s">
        <v>45</v>
      </c>
      <c r="D1520" s="169" t="s">
        <v>119</v>
      </c>
      <c r="E1520" s="169" t="s">
        <v>20</v>
      </c>
      <c r="F1520" s="245" t="str">
        <f t="shared" si="94"/>
        <v>DVW 74</v>
      </c>
      <c r="G1520" s="169" t="s">
        <v>11</v>
      </c>
      <c r="I1520" s="169" t="str">
        <f t="shared" si="96"/>
        <v>L06_DPVE_012E_WINZE</v>
      </c>
      <c r="J1520" s="169" t="s">
        <v>8755</v>
      </c>
      <c r="K1520" s="169">
        <f>IFERROR(MATCH(J1520,'Final List'!$B$4:$B$252,0),0)</f>
        <v>0</v>
      </c>
      <c r="L1520" s="169">
        <f>IFERROR(MATCH(J1520,'Final List'!$D$4:$D$252,0),0)</f>
        <v>0</v>
      </c>
      <c r="M1520" s="169">
        <f>IFERROR(MATCH(J1520,'Final List'!$F$4:$F$251,0),0)</f>
        <v>0</v>
      </c>
      <c r="N1520" s="169">
        <f>IFERROR(MATCH(J1520,'Final List'!$H$4:$H$252,0),0)</f>
        <v>0</v>
      </c>
      <c r="O1520" s="169">
        <f>IFERROR(MATCH(J1520,'Final List'!$J$4:$J$252,0),0)</f>
        <v>0</v>
      </c>
      <c r="P1520" s="169">
        <f>IFERROR(MATCH(J1520,'Final List'!$L$4:$L$252,0),0)</f>
        <v>0</v>
      </c>
      <c r="Q1520" s="169">
        <f>IFERROR(MATCH(J1520,'Final List'!$N$4:$N$252,0),0)</f>
        <v>0</v>
      </c>
      <c r="R1520" s="169">
        <f>IFERROR(MATCH(J1520,'Final List'!$P$4:$P$252,0),0)</f>
        <v>0</v>
      </c>
      <c r="S1520" s="169">
        <f t="shared" si="95"/>
        <v>0</v>
      </c>
      <c r="V1520" s="169" t="str">
        <f t="shared" si="93"/>
        <v>QUIJANO</v>
      </c>
      <c r="W1520" s="169" t="s">
        <v>2706</v>
      </c>
    </row>
    <row r="1521" spans="2:23" x14ac:dyDescent="0.25">
      <c r="B1521" s="169" t="s">
        <v>93</v>
      </c>
      <c r="C1521" s="169" t="s">
        <v>42</v>
      </c>
      <c r="D1521" s="169" t="s">
        <v>104</v>
      </c>
      <c r="E1521" s="169" t="s">
        <v>60</v>
      </c>
      <c r="F1521" s="245" t="str">
        <f t="shared" si="94"/>
        <v>Dhoz 71</v>
      </c>
      <c r="G1521" s="169" t="s">
        <v>6432</v>
      </c>
      <c r="I1521" s="169" t="str">
        <f t="shared" si="96"/>
        <v>L06_JV_029W_DE</v>
      </c>
      <c r="J1521" s="169" t="s">
        <v>8740</v>
      </c>
      <c r="K1521" s="169">
        <f>IFERROR(MATCH(J1521,'Final List'!$B$4:$B$252,0),0)</f>
        <v>0</v>
      </c>
      <c r="L1521" s="169">
        <f>IFERROR(MATCH(J1521,'Final List'!$D$4:$D$252,0),0)</f>
        <v>0</v>
      </c>
      <c r="M1521" s="169">
        <f>IFERROR(MATCH(J1521,'Final List'!$F$4:$F$251,0),0)</f>
        <v>0</v>
      </c>
      <c r="N1521" s="169">
        <f>IFERROR(MATCH(J1521,'Final List'!$H$4:$H$252,0),0)</f>
        <v>0</v>
      </c>
      <c r="O1521" s="169">
        <f>IFERROR(MATCH(J1521,'Final List'!$J$4:$J$252,0),0)</f>
        <v>0</v>
      </c>
      <c r="P1521" s="169">
        <f>IFERROR(MATCH(J1521,'Final List'!$L$4:$L$252,0),0)</f>
        <v>0</v>
      </c>
      <c r="Q1521" s="169">
        <f>IFERROR(MATCH(J1521,'Final List'!$N$4:$N$252,0),0)</f>
        <v>0</v>
      </c>
      <c r="R1521" s="169">
        <f>IFERROR(MATCH(J1521,'Final List'!$P$4:$P$252,0),0)</f>
        <v>0</v>
      </c>
      <c r="S1521" s="169">
        <f t="shared" si="95"/>
        <v>0</v>
      </c>
      <c r="V1521" s="169" t="str">
        <f t="shared" si="93"/>
        <v>CARIKITAN</v>
      </c>
      <c r="W1521" s="169" t="s">
        <v>8895</v>
      </c>
    </row>
    <row r="1522" spans="2:23" x14ac:dyDescent="0.25">
      <c r="B1522" s="169" t="s">
        <v>96</v>
      </c>
      <c r="C1522" s="169" t="s">
        <v>45</v>
      </c>
      <c r="D1522" s="169" t="s">
        <v>6946</v>
      </c>
      <c r="E1522" s="169" t="s">
        <v>61</v>
      </c>
      <c r="F1522" s="245" t="str">
        <f t="shared" si="94"/>
        <v>Dhoz 71</v>
      </c>
      <c r="G1522" s="169" t="s">
        <v>1661</v>
      </c>
      <c r="I1522" s="169" t="str">
        <f t="shared" si="96"/>
        <v>L09_DPVE_081E_DW</v>
      </c>
      <c r="J1522" s="169" t="s">
        <v>8743</v>
      </c>
      <c r="K1522" s="169">
        <f>IFERROR(MATCH(J1522,'Final List'!$B$4:$B$252,0),0)</f>
        <v>0</v>
      </c>
      <c r="L1522" s="169">
        <f>IFERROR(MATCH(J1522,'Final List'!$D$4:$D$252,0),0)</f>
        <v>0</v>
      </c>
      <c r="M1522" s="169">
        <f>IFERROR(MATCH(J1522,'Final List'!$F$4:$F$251,0),0)</f>
        <v>0</v>
      </c>
      <c r="N1522" s="169">
        <f>IFERROR(MATCH(J1522,'Final List'!$H$4:$H$252,0),0)</f>
        <v>0</v>
      </c>
      <c r="O1522" s="169">
        <f>IFERROR(MATCH(J1522,'Final List'!$J$4:$J$252,0),0)</f>
        <v>0</v>
      </c>
      <c r="P1522" s="169">
        <f>IFERROR(MATCH(J1522,'Final List'!$L$4:$L$252,0),0)</f>
        <v>0</v>
      </c>
      <c r="Q1522" s="169">
        <f>IFERROR(MATCH(J1522,'Final List'!$N$4:$N$252,0),0)</f>
        <v>0</v>
      </c>
      <c r="R1522" s="169">
        <f>IFERROR(MATCH(J1522,'Final List'!$P$4:$P$252,0),0)</f>
        <v>0</v>
      </c>
      <c r="S1522" s="169">
        <f t="shared" si="95"/>
        <v>0</v>
      </c>
      <c r="V1522" s="169" t="str">
        <f t="shared" si="93"/>
        <v>DELOS REYES V2</v>
      </c>
      <c r="W1522" s="169" t="s">
        <v>8896</v>
      </c>
    </row>
    <row r="1523" spans="2:23" x14ac:dyDescent="0.25">
      <c r="B1523" s="169" t="s">
        <v>96</v>
      </c>
      <c r="C1523" s="169" t="s">
        <v>42</v>
      </c>
      <c r="D1523" s="169" t="s">
        <v>110</v>
      </c>
      <c r="E1523" s="169" t="s">
        <v>61</v>
      </c>
      <c r="F1523" s="245" t="str">
        <f t="shared" si="94"/>
        <v>Dhoz 71</v>
      </c>
      <c r="G1523" s="169" t="s">
        <v>336</v>
      </c>
      <c r="H1523" s="169" t="s">
        <v>9753</v>
      </c>
      <c r="I1523" s="169" t="str">
        <f t="shared" si="96"/>
        <v>L09_JV_004E_DW</v>
      </c>
      <c r="J1523" s="169" t="s">
        <v>8744</v>
      </c>
      <c r="K1523" s="169">
        <f>IFERROR(MATCH(J1523,'Final List'!$B$4:$B$252,0),0)</f>
        <v>0</v>
      </c>
      <c r="L1523" s="169">
        <f>IFERROR(MATCH(J1523,'Final List'!$D$4:$D$252,0),0)</f>
        <v>0</v>
      </c>
      <c r="M1523" s="169">
        <f>IFERROR(MATCH(J1523,'Final List'!$F$4:$F$251,0),0)</f>
        <v>0</v>
      </c>
      <c r="N1523" s="169">
        <f>IFERROR(MATCH(J1523,'Final List'!$H$4:$H$252,0),0)</f>
        <v>0</v>
      </c>
      <c r="O1523" s="169">
        <f>IFERROR(MATCH(J1523,'Final List'!$J$4:$J$252,0),0)</f>
        <v>0</v>
      </c>
      <c r="P1523" s="169">
        <f>IFERROR(MATCH(J1523,'Final List'!$L$4:$L$252,0),0)</f>
        <v>0</v>
      </c>
      <c r="Q1523" s="169">
        <f>IFERROR(MATCH(J1523,'Final List'!$N$4:$N$252,0),0)</f>
        <v>0</v>
      </c>
      <c r="R1523" s="169">
        <f>IFERROR(MATCH(J1523,'Final List'!$P$4:$P$252,0),0)</f>
        <v>0</v>
      </c>
      <c r="S1523" s="169">
        <f t="shared" si="95"/>
        <v>0</v>
      </c>
      <c r="V1523" s="169" t="str">
        <f t="shared" si="93"/>
        <v>CAPUYAN 2</v>
      </c>
      <c r="W1523" s="169" t="s">
        <v>8896</v>
      </c>
    </row>
    <row r="1524" spans="2:23" x14ac:dyDescent="0.25">
      <c r="B1524" s="169" t="s">
        <v>96</v>
      </c>
      <c r="C1524" s="169" t="s">
        <v>45</v>
      </c>
      <c r="D1524" s="169" t="s">
        <v>165</v>
      </c>
      <c r="E1524" s="169" t="s">
        <v>36</v>
      </c>
      <c r="F1524" s="245" t="str">
        <f t="shared" si="94"/>
        <v>StpS 77</v>
      </c>
      <c r="G1524" s="169" t="s">
        <v>8202</v>
      </c>
      <c r="I1524" s="169" t="str">
        <f t="shared" si="96"/>
        <v>L09_DPVE_056E_STOPE</v>
      </c>
      <c r="J1524" s="169" t="s">
        <v>8746</v>
      </c>
      <c r="K1524" s="169">
        <f>IFERROR(MATCH(J1524,'Final List'!$B$4:$B$252,0),0)</f>
        <v>0</v>
      </c>
      <c r="L1524" s="169">
        <f>IFERROR(MATCH(J1524,'Final List'!$D$4:$D$252,0),0)</f>
        <v>0</v>
      </c>
      <c r="M1524" s="169">
        <f>IFERROR(MATCH(J1524,'Final List'!$F$4:$F$251,0),0)</f>
        <v>0</v>
      </c>
      <c r="N1524" s="169">
        <f>IFERROR(MATCH(J1524,'Final List'!$H$4:$H$252,0),0)</f>
        <v>0</v>
      </c>
      <c r="O1524" s="169">
        <f>IFERROR(MATCH(J1524,'Final List'!$J$4:$J$252,0),0)</f>
        <v>0</v>
      </c>
      <c r="P1524" s="169">
        <f>IFERROR(MATCH(J1524,'Final List'!$L$4:$L$252,0),0)</f>
        <v>0</v>
      </c>
      <c r="Q1524" s="169">
        <f>IFERROR(MATCH(J1524,'Final List'!$N$4:$N$252,0),0)</f>
        <v>0</v>
      </c>
      <c r="R1524" s="169">
        <f>IFERROR(MATCH(J1524,'Final List'!$P$4:$P$252,0),0)</f>
        <v>0</v>
      </c>
      <c r="S1524" s="169">
        <f t="shared" si="95"/>
        <v>0</v>
      </c>
      <c r="T1524" s="169" t="s">
        <v>68</v>
      </c>
      <c r="V1524" s="169" t="str">
        <f t="shared" si="93"/>
        <v>PANSIT, NORMAN 2</v>
      </c>
      <c r="W1524" s="169" t="s">
        <v>2713</v>
      </c>
    </row>
    <row r="1525" spans="2:23" x14ac:dyDescent="0.25">
      <c r="B1525" s="169" t="s">
        <v>95</v>
      </c>
      <c r="C1525" s="169" t="s">
        <v>55</v>
      </c>
      <c r="D1525" s="169" t="s">
        <v>128</v>
      </c>
      <c r="E1525" s="169" t="s">
        <v>19</v>
      </c>
      <c r="F1525" s="245" t="str">
        <f t="shared" si="94"/>
        <v>DVR 72</v>
      </c>
      <c r="G1525" s="169" t="s">
        <v>380</v>
      </c>
      <c r="I1525" s="169" t="str">
        <f t="shared" si="96"/>
        <v>L08_JVFW_027E_RAISE</v>
      </c>
      <c r="J1525" s="169" t="s">
        <v>8748</v>
      </c>
      <c r="K1525" s="169">
        <f>IFERROR(MATCH(J1525,'Final List'!$B$4:$B$252,0),0)</f>
        <v>0</v>
      </c>
      <c r="L1525" s="169">
        <f>IFERROR(MATCH(J1525,'Final List'!$D$4:$D$252,0),0)</f>
        <v>0</v>
      </c>
      <c r="M1525" s="169">
        <f>IFERROR(MATCH(J1525,'Final List'!$F$4:$F$251,0),0)</f>
        <v>0</v>
      </c>
      <c r="N1525" s="169">
        <f>IFERROR(MATCH(J1525,'Final List'!$H$4:$H$252,0),0)</f>
        <v>0</v>
      </c>
      <c r="O1525" s="169">
        <f>IFERROR(MATCH(J1525,'Final List'!$J$4:$J$252,0),0)</f>
        <v>0</v>
      </c>
      <c r="P1525" s="169">
        <f>IFERROR(MATCH(J1525,'Final List'!$L$4:$L$252,0),0)</f>
        <v>0</v>
      </c>
      <c r="Q1525" s="169">
        <f>IFERROR(MATCH(J1525,'Final List'!$N$4:$N$252,0),0)</f>
        <v>0</v>
      </c>
      <c r="R1525" s="169">
        <f>IFERROR(MATCH(J1525,'Final List'!$P$4:$P$252,0),0)</f>
        <v>0</v>
      </c>
      <c r="S1525" s="169">
        <f t="shared" si="95"/>
        <v>0</v>
      </c>
      <c r="V1525" s="169" t="str">
        <f t="shared" si="93"/>
        <v>AGLOLO 1</v>
      </c>
      <c r="W1525" s="169" t="s">
        <v>2715</v>
      </c>
    </row>
    <row r="1526" spans="2:23" x14ac:dyDescent="0.25">
      <c r="B1526" s="169" t="s">
        <v>95</v>
      </c>
      <c r="C1526" s="169" t="s">
        <v>42</v>
      </c>
      <c r="D1526" s="169" t="s">
        <v>1230</v>
      </c>
      <c r="E1526" s="169" t="s">
        <v>6143</v>
      </c>
      <c r="F1526" s="245" t="str">
        <f t="shared" si="94"/>
        <v>Dhoz 71</v>
      </c>
      <c r="G1526" s="169" t="s">
        <v>474</v>
      </c>
      <c r="H1526" s="169" t="s">
        <v>467</v>
      </c>
      <c r="I1526" s="169" t="str">
        <f t="shared" si="96"/>
        <v>L08_JV_075E_DE_ISL</v>
      </c>
      <c r="J1526" s="169" t="s">
        <v>8749</v>
      </c>
      <c r="K1526" s="169">
        <f>IFERROR(MATCH(J1526,'Final List'!$B$4:$B$252,0),0)</f>
        <v>0</v>
      </c>
      <c r="L1526" s="169">
        <f>IFERROR(MATCH(J1526,'Final List'!$D$4:$D$252,0),0)</f>
        <v>0</v>
      </c>
      <c r="M1526" s="169">
        <f>IFERROR(MATCH(J1526,'Final List'!$F$4:$F$251,0),0)</f>
        <v>0</v>
      </c>
      <c r="N1526" s="169">
        <f>IFERROR(MATCH(J1526,'Final List'!$H$4:$H$252,0),0)</f>
        <v>0</v>
      </c>
      <c r="O1526" s="169">
        <f>IFERROR(MATCH(J1526,'Final List'!$J$4:$J$252,0),0)</f>
        <v>0</v>
      </c>
      <c r="P1526" s="169">
        <f>IFERROR(MATCH(J1526,'Final List'!$L$4:$L$252,0),0)</f>
        <v>0</v>
      </c>
      <c r="Q1526" s="169">
        <f>IFERROR(MATCH(J1526,'Final List'!$N$4:$N$252,0),0)</f>
        <v>0</v>
      </c>
      <c r="R1526" s="169">
        <f>IFERROR(MATCH(J1526,'Final List'!$P$4:$P$252,0),0)</f>
        <v>0</v>
      </c>
      <c r="S1526" s="169">
        <f t="shared" si="95"/>
        <v>0</v>
      </c>
      <c r="V1526" s="169" t="str">
        <f t="shared" si="93"/>
        <v>AGLOLO 2</v>
      </c>
      <c r="W1526" s="169" t="s">
        <v>2708</v>
      </c>
    </row>
    <row r="1527" spans="2:23" x14ac:dyDescent="0.25">
      <c r="B1527" s="169" t="s">
        <v>92</v>
      </c>
      <c r="C1527" s="169" t="s">
        <v>39</v>
      </c>
      <c r="D1527" s="169" t="s">
        <v>103</v>
      </c>
      <c r="E1527" s="169" t="s">
        <v>61</v>
      </c>
      <c r="F1527" s="245" t="str">
        <f t="shared" si="94"/>
        <v>Dhoz 71</v>
      </c>
      <c r="G1527" s="169" t="s">
        <v>3955</v>
      </c>
      <c r="I1527" s="169" t="str">
        <f t="shared" si="96"/>
        <v>L05_JVHW_005E_DW</v>
      </c>
      <c r="J1527" s="169" t="s">
        <v>8739</v>
      </c>
      <c r="K1527" s="169">
        <f>IFERROR(MATCH(J1527,'Final List'!$B$4:$B$252,0),0)</f>
        <v>0</v>
      </c>
      <c r="L1527" s="169">
        <f>IFERROR(MATCH(J1527,'Final List'!$D$4:$D$252,0),0)</f>
        <v>0</v>
      </c>
      <c r="M1527" s="169">
        <f>IFERROR(MATCH(J1527,'Final List'!$F$4:$F$251,0),0)</f>
        <v>0</v>
      </c>
      <c r="N1527" s="169">
        <f>IFERROR(MATCH(J1527,'Final List'!$H$4:$H$252,0),0)</f>
        <v>0</v>
      </c>
      <c r="O1527" s="169">
        <f>IFERROR(MATCH(J1527,'Final List'!$J$4:$J$252,0),0)</f>
        <v>0</v>
      </c>
      <c r="P1527" s="169">
        <f>IFERROR(MATCH(J1527,'Final List'!$L$4:$L$252,0),0)</f>
        <v>0</v>
      </c>
      <c r="Q1527" s="169">
        <f>IFERROR(MATCH(J1527,'Final List'!$N$4:$N$252,0),0)</f>
        <v>0</v>
      </c>
      <c r="R1527" s="169">
        <f>IFERROR(MATCH(J1527,'Final List'!$P$4:$P$252,0),0)</f>
        <v>0</v>
      </c>
      <c r="S1527" s="169">
        <f t="shared" si="95"/>
        <v>0</v>
      </c>
      <c r="V1527" s="169" t="str">
        <f t="shared" si="93"/>
        <v>SAMBERE</v>
      </c>
      <c r="W1527" s="169" t="s">
        <v>8895</v>
      </c>
    </row>
    <row r="1528" spans="2:23" x14ac:dyDescent="0.25">
      <c r="B1528" s="169" t="s">
        <v>258</v>
      </c>
      <c r="C1528" s="169" t="s">
        <v>45</v>
      </c>
      <c r="D1528" s="169" t="s">
        <v>121</v>
      </c>
      <c r="E1528" s="169" t="s">
        <v>211</v>
      </c>
      <c r="F1528" s="245" t="str">
        <f t="shared" si="94"/>
        <v>StpS 77</v>
      </c>
      <c r="G1528" s="169" t="s">
        <v>361</v>
      </c>
      <c r="I1528" s="169" t="str">
        <f t="shared" si="96"/>
        <v>L10_DPVE_022E_STOPE PREP</v>
      </c>
      <c r="J1528" s="169" t="s">
        <v>8750</v>
      </c>
      <c r="K1528" s="169">
        <f>IFERROR(MATCH(J1528,'Final List'!$B$4:$B$252,0),0)</f>
        <v>0</v>
      </c>
      <c r="L1528" s="169">
        <f>IFERROR(MATCH(J1528,'Final List'!$D$4:$D$252,0),0)</f>
        <v>0</v>
      </c>
      <c r="M1528" s="169">
        <f>IFERROR(MATCH(J1528,'Final List'!$F$4:$F$251,0),0)</f>
        <v>0</v>
      </c>
      <c r="N1528" s="169">
        <f>IFERROR(MATCH(J1528,'Final List'!$H$4:$H$252,0),0)</f>
        <v>0</v>
      </c>
      <c r="O1528" s="169">
        <f>IFERROR(MATCH(J1528,'Final List'!$J$4:$J$252,0),0)</f>
        <v>0</v>
      </c>
      <c r="P1528" s="169">
        <f>IFERROR(MATCH(J1528,'Final List'!$L$4:$L$252,0),0)</f>
        <v>0</v>
      </c>
      <c r="Q1528" s="169">
        <f>IFERROR(MATCH(J1528,'Final List'!$N$4:$N$252,0),0)</f>
        <v>0</v>
      </c>
      <c r="R1528" s="169">
        <f>IFERROR(MATCH(J1528,'Final List'!$P$4:$P$252,0),0)</f>
        <v>0</v>
      </c>
      <c r="S1528" s="169">
        <f t="shared" si="95"/>
        <v>0</v>
      </c>
      <c r="T1528" s="169" t="s">
        <v>68</v>
      </c>
      <c r="V1528" s="169" t="str">
        <f t="shared" si="93"/>
        <v>ALMASA 2</v>
      </c>
      <c r="W1528" s="169" t="s">
        <v>2712</v>
      </c>
    </row>
    <row r="1529" spans="2:23" x14ac:dyDescent="0.25">
      <c r="B1529" s="169" t="s">
        <v>96</v>
      </c>
      <c r="C1529" s="169" t="s">
        <v>59</v>
      </c>
      <c r="D1529" s="169" t="s">
        <v>103</v>
      </c>
      <c r="E1529" s="169" t="s">
        <v>19</v>
      </c>
      <c r="F1529" s="245" t="str">
        <f t="shared" si="94"/>
        <v>DVR 72</v>
      </c>
      <c r="G1529" s="169" t="s">
        <v>360</v>
      </c>
      <c r="I1529" s="169" t="str">
        <f t="shared" si="96"/>
        <v>L09_GHVHW_005E_RAISE</v>
      </c>
      <c r="J1529" s="169" t="s">
        <v>8772</v>
      </c>
      <c r="K1529" s="169">
        <f>IFERROR(MATCH(J1529,'Final List'!$B$4:$B$252,0),0)</f>
        <v>0</v>
      </c>
      <c r="L1529" s="169">
        <f>IFERROR(MATCH(J1529,'Final List'!$D$4:$D$252,0),0)</f>
        <v>0</v>
      </c>
      <c r="M1529" s="169">
        <f>IFERROR(MATCH(J1529,'Final List'!$F$4:$F$251,0),0)</f>
        <v>0</v>
      </c>
      <c r="N1529" s="169">
        <f>IFERROR(MATCH(J1529,'Final List'!$H$4:$H$252,0),0)</f>
        <v>0</v>
      </c>
      <c r="O1529" s="169">
        <f>IFERROR(MATCH(J1529,'Final List'!$J$4:$J$252,0),0)</f>
        <v>0</v>
      </c>
      <c r="P1529" s="169">
        <f>IFERROR(MATCH(J1529,'Final List'!$L$4:$L$252,0),0)</f>
        <v>0</v>
      </c>
      <c r="Q1529" s="169">
        <f>IFERROR(MATCH(J1529,'Final List'!$N$4:$N$252,0),0)</f>
        <v>0</v>
      </c>
      <c r="R1529" s="169">
        <f>IFERROR(MATCH(J1529,'Final List'!$P$4:$P$252,0),0)</f>
        <v>0</v>
      </c>
      <c r="S1529" s="169">
        <f t="shared" si="95"/>
        <v>0</v>
      </c>
      <c r="V1529" s="169" t="str">
        <f t="shared" si="93"/>
        <v>ALMASA 1</v>
      </c>
      <c r="W1529" s="169" t="s">
        <v>2715</v>
      </c>
    </row>
    <row r="1530" spans="2:23" x14ac:dyDescent="0.25">
      <c r="B1530" s="169" t="s">
        <v>92</v>
      </c>
      <c r="C1530" s="169" t="s">
        <v>56</v>
      </c>
      <c r="D1530" s="169" t="s">
        <v>129</v>
      </c>
      <c r="E1530" s="169" t="s">
        <v>60</v>
      </c>
      <c r="F1530" s="245" t="str">
        <f t="shared" si="94"/>
        <v>Dhoz 71</v>
      </c>
      <c r="G1530" s="169" t="s">
        <v>8195</v>
      </c>
      <c r="I1530" s="169" t="str">
        <f t="shared" si="96"/>
        <v>L05_GHVFW_010E_DE</v>
      </c>
      <c r="J1530" s="169" t="s">
        <v>8751</v>
      </c>
      <c r="K1530" s="169">
        <f>IFERROR(MATCH(J1530,'Final List'!$B$4:$B$252,0),0)</f>
        <v>0</v>
      </c>
      <c r="L1530" s="169">
        <f>IFERROR(MATCH(J1530,'Final List'!$D$4:$D$252,0),0)</f>
        <v>0</v>
      </c>
      <c r="M1530" s="169">
        <f>IFERROR(MATCH(J1530,'Final List'!$F$4:$F$251,0),0)</f>
        <v>0</v>
      </c>
      <c r="N1530" s="169">
        <f>IFERROR(MATCH(J1530,'Final List'!$H$4:$H$252,0),0)</f>
        <v>0</v>
      </c>
      <c r="O1530" s="169">
        <f>IFERROR(MATCH(J1530,'Final List'!$J$4:$J$252,0),0)</f>
        <v>0</v>
      </c>
      <c r="P1530" s="169">
        <f>IFERROR(MATCH(J1530,'Final List'!$L$4:$L$252,0),0)</f>
        <v>0</v>
      </c>
      <c r="Q1530" s="169">
        <f>IFERROR(MATCH(J1530,'Final List'!$N$4:$N$252,0),0)</f>
        <v>0</v>
      </c>
      <c r="R1530" s="169">
        <f>IFERROR(MATCH(J1530,'Final List'!$P$4:$P$252,0),0)</f>
        <v>0</v>
      </c>
      <c r="S1530" s="169">
        <f t="shared" si="95"/>
        <v>0</v>
      </c>
      <c r="V1530" s="169" t="str">
        <f t="shared" si="93"/>
        <v>FERNANDEZ, RG 2</v>
      </c>
      <c r="W1530" s="169" t="s">
        <v>8895</v>
      </c>
    </row>
    <row r="1531" spans="2:23" x14ac:dyDescent="0.25">
      <c r="B1531" s="169" t="s">
        <v>8904</v>
      </c>
      <c r="C1531" s="169" t="s">
        <v>8753</v>
      </c>
      <c r="D1531" s="169" t="s">
        <v>5835</v>
      </c>
      <c r="E1531" s="169" t="s">
        <v>60</v>
      </c>
      <c r="F1531" s="245" t="str">
        <f t="shared" si="94"/>
        <v>Dhoz 71</v>
      </c>
      <c r="G1531" s="169" t="s">
        <v>8754</v>
      </c>
      <c r="I1531" s="169" t="str">
        <f t="shared" si="96"/>
        <v>L03_RYV_003W_DE</v>
      </c>
      <c r="J1531" s="169" t="s">
        <v>8752</v>
      </c>
      <c r="K1531" s="169">
        <f>IFERROR(MATCH(J1531,'Final List'!$B$4:$B$252,0),0)</f>
        <v>0</v>
      </c>
      <c r="L1531" s="169">
        <f>IFERROR(MATCH(J1531,'Final List'!$D$4:$D$252,0),0)</f>
        <v>0</v>
      </c>
      <c r="M1531" s="169">
        <f>IFERROR(MATCH(J1531,'Final List'!$F$4:$F$251,0),0)</f>
        <v>0</v>
      </c>
      <c r="N1531" s="169">
        <f>IFERROR(MATCH(J1531,'Final List'!$H$4:$H$252,0),0)</f>
        <v>0</v>
      </c>
      <c r="O1531" s="169">
        <f>IFERROR(MATCH(J1531,'Final List'!$J$4:$J$252,0),0)</f>
        <v>0</v>
      </c>
      <c r="P1531" s="169">
        <f>IFERROR(MATCH(J1531,'Final List'!$L$4:$L$252,0),0)</f>
        <v>0</v>
      </c>
      <c r="Q1531" s="169">
        <f>IFERROR(MATCH(J1531,'Final List'!$N$4:$N$252,0),0)</f>
        <v>0</v>
      </c>
      <c r="R1531" s="169">
        <f>IFERROR(MATCH(J1531,'Final List'!$P$4:$P$252,0),0)</f>
        <v>0</v>
      </c>
      <c r="S1531" s="169">
        <f t="shared" si="95"/>
        <v>0</v>
      </c>
      <c r="V1531" s="169" t="str">
        <f t="shared" si="93"/>
        <v xml:space="preserve">FERNANDEZ, RE </v>
      </c>
      <c r="W1531" s="169" t="s">
        <v>8895</v>
      </c>
    </row>
    <row r="1532" spans="2:23" x14ac:dyDescent="0.25">
      <c r="B1532" s="169" t="s">
        <v>95</v>
      </c>
      <c r="C1532" s="169" t="s">
        <v>38</v>
      </c>
      <c r="D1532" s="169" t="s">
        <v>147</v>
      </c>
      <c r="E1532" s="169" t="s">
        <v>62</v>
      </c>
      <c r="F1532" s="245" t="str">
        <f t="shared" si="94"/>
        <v>RobC 80</v>
      </c>
      <c r="G1532" s="169" t="s">
        <v>467</v>
      </c>
      <c r="I1532" s="169" t="str">
        <f t="shared" si="96"/>
        <v>L08_GHV_024E_ROBBING</v>
      </c>
      <c r="J1532" s="169" t="s">
        <v>8757</v>
      </c>
      <c r="K1532" s="169">
        <f>IFERROR(MATCH(J1532,'Final List'!$B$4:$B$252,0),0)</f>
        <v>0</v>
      </c>
      <c r="L1532" s="169">
        <f>IFERROR(MATCH(J1532,'Final List'!$D$4:$D$252,0),0)</f>
        <v>0</v>
      </c>
      <c r="M1532" s="169">
        <f>IFERROR(MATCH(J1532,'Final List'!$F$4:$F$251,0),0)</f>
        <v>0</v>
      </c>
      <c r="N1532" s="169">
        <f>IFERROR(MATCH(J1532,'Final List'!$H$4:$H$252,0),0)</f>
        <v>0</v>
      </c>
      <c r="O1532" s="169">
        <f>IFERROR(MATCH(J1532,'Final List'!$J$4:$J$252,0),0)</f>
        <v>0</v>
      </c>
      <c r="P1532" s="169">
        <f>IFERROR(MATCH(J1532,'Final List'!$L$4:$L$252,0),0)</f>
        <v>0</v>
      </c>
      <c r="Q1532" s="169">
        <f>IFERROR(MATCH(J1532,'Final List'!$N$4:$N$252,0),0)</f>
        <v>0</v>
      </c>
      <c r="R1532" s="169">
        <f>IFERROR(MATCH(J1532,'Final List'!$P$4:$P$252,0),0)</f>
        <v>0</v>
      </c>
      <c r="S1532" s="169">
        <f t="shared" si="95"/>
        <v>0</v>
      </c>
      <c r="T1532" s="169" t="s">
        <v>48</v>
      </c>
      <c r="V1532" s="169" t="str">
        <f t="shared" si="93"/>
        <v>AGLOLO 2</v>
      </c>
      <c r="W1532" s="169" t="s">
        <v>236</v>
      </c>
    </row>
    <row r="1533" spans="2:23" x14ac:dyDescent="0.25">
      <c r="B1533" s="169" t="s">
        <v>1166</v>
      </c>
      <c r="C1533" s="169" t="s">
        <v>45</v>
      </c>
      <c r="D1533" s="169" t="s">
        <v>174</v>
      </c>
      <c r="E1533" s="169" t="s">
        <v>60</v>
      </c>
      <c r="F1533" s="245" t="str">
        <f t="shared" si="94"/>
        <v>Dhoz 71</v>
      </c>
      <c r="G1533" s="169" t="s">
        <v>474</v>
      </c>
      <c r="H1533" s="169" t="s">
        <v>464</v>
      </c>
      <c r="I1533" s="169" t="str">
        <f t="shared" si="96"/>
        <v>L11_DPVE_052E_DE</v>
      </c>
      <c r="J1533" s="169" t="s">
        <v>10084</v>
      </c>
      <c r="K1533" s="169">
        <f>IFERROR(MATCH(J1533,'Final List'!$B$4:$B$252,0),0)</f>
        <v>0</v>
      </c>
      <c r="L1533" s="169">
        <f>IFERROR(MATCH(J1533,'Final List'!$D$4:$D$252,0),0)</f>
        <v>0</v>
      </c>
      <c r="M1533" s="169">
        <f>IFERROR(MATCH(J1533,'Final List'!$F$4:$F$251,0),0)</f>
        <v>0</v>
      </c>
      <c r="N1533" s="169">
        <f>IFERROR(MATCH(J1533,'Final List'!$H$4:$H$252,0),0)</f>
        <v>0</v>
      </c>
      <c r="O1533" s="169">
        <f>IFERROR(MATCH(J1533,'Final List'!$J$4:$J$252,0),0)</f>
        <v>0</v>
      </c>
      <c r="P1533" s="169">
        <f>IFERROR(MATCH(J1533,'Final List'!$L$4:$L$252,0),0)</f>
        <v>0</v>
      </c>
      <c r="Q1533" s="169">
        <f>IFERROR(MATCH(J1533,'Final List'!$N$4:$N$252,0),0)</f>
        <v>0</v>
      </c>
      <c r="R1533" s="169">
        <f>IFERROR(MATCH(J1533,'Final List'!$P$4:$P$252,0),0)</f>
        <v>0</v>
      </c>
      <c r="S1533" s="169">
        <f t="shared" si="95"/>
        <v>0</v>
      </c>
      <c r="V1533" s="169" t="str">
        <f t="shared" si="93"/>
        <v>COMAINGKING 3</v>
      </c>
      <c r="W1533" s="169" t="s">
        <v>8896</v>
      </c>
    </row>
    <row r="1534" spans="2:23" x14ac:dyDescent="0.25">
      <c r="B1534" s="169" t="s">
        <v>96</v>
      </c>
      <c r="C1534" s="169" t="s">
        <v>42</v>
      </c>
      <c r="D1534" s="169" t="s">
        <v>166</v>
      </c>
      <c r="E1534" s="169" t="s">
        <v>62</v>
      </c>
      <c r="F1534" s="245" t="str">
        <f t="shared" si="94"/>
        <v>RobC 80</v>
      </c>
      <c r="G1534" s="169" t="s">
        <v>350</v>
      </c>
      <c r="I1534" s="169" t="str">
        <f t="shared" si="96"/>
        <v>L09_JV_068E_ROBBING</v>
      </c>
      <c r="J1534" s="169" t="s">
        <v>8762</v>
      </c>
      <c r="K1534" s="169">
        <f>IFERROR(MATCH(J1534,'Final List'!$B$4:$B$252,0),0)</f>
        <v>0</v>
      </c>
      <c r="L1534" s="169">
        <f>IFERROR(MATCH(J1534,'Final List'!$D$4:$D$252,0),0)</f>
        <v>0</v>
      </c>
      <c r="M1534" s="169">
        <f>IFERROR(MATCH(J1534,'Final List'!$F$4:$F$251,0),0)</f>
        <v>0</v>
      </c>
      <c r="N1534" s="169">
        <f>IFERROR(MATCH(J1534,'Final List'!$H$4:$H$252,0),0)</f>
        <v>0</v>
      </c>
      <c r="O1534" s="169">
        <f>IFERROR(MATCH(J1534,'Final List'!$J$4:$J$252,0),0)</f>
        <v>0</v>
      </c>
      <c r="P1534" s="169">
        <f>IFERROR(MATCH(J1534,'Final List'!$L$4:$L$252,0),0)</f>
        <v>0</v>
      </c>
      <c r="Q1534" s="169">
        <f>IFERROR(MATCH(J1534,'Final List'!$N$4:$N$252,0),0)</f>
        <v>0</v>
      </c>
      <c r="R1534" s="169">
        <f>IFERROR(MATCH(J1534,'Final List'!$P$4:$P$252,0),0)</f>
        <v>0</v>
      </c>
      <c r="S1534" s="169">
        <f t="shared" si="95"/>
        <v>0</v>
      </c>
      <c r="T1534" s="169" t="s">
        <v>48</v>
      </c>
      <c r="V1534" s="169" t="str">
        <f t="shared" si="93"/>
        <v>QUIJANO 1</v>
      </c>
      <c r="W1534" s="169" t="s">
        <v>236</v>
      </c>
    </row>
    <row r="1535" spans="2:23" x14ac:dyDescent="0.25">
      <c r="B1535" s="169" t="s">
        <v>95</v>
      </c>
      <c r="C1535" s="169" t="s">
        <v>87</v>
      </c>
      <c r="D1535" s="169" t="s">
        <v>159</v>
      </c>
      <c r="E1535" s="169" t="s">
        <v>63</v>
      </c>
      <c r="F1535" s="245" t="str">
        <f t="shared" si="94"/>
        <v>Dhoz 71</v>
      </c>
      <c r="G1535" s="169" t="s">
        <v>6936</v>
      </c>
      <c r="I1535" s="169" t="str">
        <f t="shared" si="96"/>
        <v>L08_NONE_023E_XCS</v>
      </c>
      <c r="J1535" s="169" t="s">
        <v>8770</v>
      </c>
      <c r="K1535" s="169">
        <f>IFERROR(MATCH(J1535,'Final List'!$B$4:$B$252,0),0)</f>
        <v>0</v>
      </c>
      <c r="L1535" s="169">
        <f>IFERROR(MATCH(J1535,'Final List'!$D$4:$D$252,0),0)</f>
        <v>0</v>
      </c>
      <c r="M1535" s="169">
        <f>IFERROR(MATCH(J1535,'Final List'!$F$4:$F$251,0),0)</f>
        <v>0</v>
      </c>
      <c r="N1535" s="169">
        <f>IFERROR(MATCH(J1535,'Final List'!$H$4:$H$252,0),0)</f>
        <v>0</v>
      </c>
      <c r="O1535" s="169">
        <f>IFERROR(MATCH(J1535,'Final List'!$J$4:$J$252,0),0)</f>
        <v>0</v>
      </c>
      <c r="P1535" s="169">
        <f>IFERROR(MATCH(J1535,'Final List'!$L$4:$L$252,0),0)</f>
        <v>0</v>
      </c>
      <c r="Q1535" s="169">
        <f>IFERROR(MATCH(J1535,'Final List'!$N$4:$N$252,0),0)</f>
        <v>0</v>
      </c>
      <c r="R1535" s="169">
        <f>IFERROR(MATCH(J1535,'Final List'!$P$4:$P$252,0),0)</f>
        <v>0</v>
      </c>
      <c r="S1535" s="169">
        <f t="shared" si="95"/>
        <v>0</v>
      </c>
      <c r="V1535" s="169" t="str">
        <f t="shared" si="93"/>
        <v>OSWAY 1</v>
      </c>
      <c r="W1535" s="169" t="s">
        <v>8897</v>
      </c>
    </row>
    <row r="1536" spans="2:23" x14ac:dyDescent="0.25">
      <c r="B1536" s="169" t="s">
        <v>96</v>
      </c>
      <c r="C1536" s="169" t="s">
        <v>45</v>
      </c>
      <c r="D1536" s="169" t="s">
        <v>5887</v>
      </c>
      <c r="E1536" s="169" t="s">
        <v>19</v>
      </c>
      <c r="F1536" s="245" t="str">
        <f t="shared" si="94"/>
        <v>DVR 72</v>
      </c>
      <c r="G1536" s="169" t="s">
        <v>8201</v>
      </c>
      <c r="I1536" s="169" t="str">
        <f t="shared" si="96"/>
        <v>L09_DPVE_085E_RAISE</v>
      </c>
      <c r="J1536" s="169" t="s">
        <v>8765</v>
      </c>
      <c r="K1536" s="169">
        <f>IFERROR(MATCH(J1536,'Final List'!$B$4:$B$252,0),0)</f>
        <v>0</v>
      </c>
      <c r="L1536" s="169">
        <f>IFERROR(MATCH(J1536,'Final List'!$D$4:$D$252,0),0)</f>
        <v>0</v>
      </c>
      <c r="M1536" s="169">
        <f>IFERROR(MATCH(J1536,'Final List'!$F$4:$F$251,0),0)</f>
        <v>0</v>
      </c>
      <c r="N1536" s="169">
        <f>IFERROR(MATCH(J1536,'Final List'!$H$4:$H$252,0),0)</f>
        <v>0</v>
      </c>
      <c r="O1536" s="169">
        <f>IFERROR(MATCH(J1536,'Final List'!$J$4:$J$252,0),0)</f>
        <v>0</v>
      </c>
      <c r="P1536" s="169">
        <f>IFERROR(MATCH(J1536,'Final List'!$L$4:$L$252,0),0)</f>
        <v>0</v>
      </c>
      <c r="Q1536" s="169">
        <f>IFERROR(MATCH(J1536,'Final List'!$N$4:$N$252,0),0)</f>
        <v>0</v>
      </c>
      <c r="R1536" s="169">
        <f>IFERROR(MATCH(J1536,'Final List'!$P$4:$P$252,0),0)</f>
        <v>0</v>
      </c>
      <c r="S1536" s="169">
        <f t="shared" si="95"/>
        <v>0</v>
      </c>
      <c r="V1536" s="169" t="str">
        <f t="shared" si="93"/>
        <v>PANSIT, NORMAN 1</v>
      </c>
      <c r="W1536" s="169" t="s">
        <v>2715</v>
      </c>
    </row>
    <row r="1537" spans="1:23" x14ac:dyDescent="0.25">
      <c r="B1537" s="169" t="s">
        <v>93</v>
      </c>
      <c r="C1537" s="169" t="s">
        <v>38</v>
      </c>
      <c r="D1537" s="169" t="s">
        <v>5835</v>
      </c>
      <c r="E1537" s="169" t="s">
        <v>36</v>
      </c>
      <c r="F1537" s="245" t="str">
        <f t="shared" si="94"/>
        <v>StpS 77</v>
      </c>
      <c r="G1537" s="169" t="s">
        <v>6954</v>
      </c>
      <c r="I1537" s="169" t="str">
        <f t="shared" si="96"/>
        <v>L06_GHV_003W_STOPE</v>
      </c>
      <c r="J1537" s="169" t="s">
        <v>8769</v>
      </c>
      <c r="K1537" s="169">
        <f>IFERROR(MATCH(J1537,'Final List'!$B$4:$B$252,0),0)</f>
        <v>0</v>
      </c>
      <c r="L1537" s="169">
        <f>IFERROR(MATCH(J1537,'Final List'!$D$4:$D$252,0),0)</f>
        <v>0</v>
      </c>
      <c r="M1537" s="169">
        <f>IFERROR(MATCH(J1537,'Final List'!$F$4:$F$251,0),0)</f>
        <v>0</v>
      </c>
      <c r="N1537" s="169">
        <f>IFERROR(MATCH(J1537,'Final List'!$H$4:$H$252,0),0)</f>
        <v>0</v>
      </c>
      <c r="O1537" s="169">
        <f>IFERROR(MATCH(J1537,'Final List'!$J$4:$J$252,0),0)</f>
        <v>0</v>
      </c>
      <c r="P1537" s="169">
        <f>IFERROR(MATCH(J1537,'Final List'!$L$4:$L$252,0),0)</f>
        <v>0</v>
      </c>
      <c r="Q1537" s="169">
        <f>IFERROR(MATCH(J1537,'Final List'!$N$4:$N$252,0),0)</f>
        <v>0</v>
      </c>
      <c r="R1537" s="169">
        <f>IFERROR(MATCH(J1537,'Final List'!$P$4:$P$252,0),0)</f>
        <v>0</v>
      </c>
      <c r="S1537" s="169">
        <f t="shared" si="95"/>
        <v>0</v>
      </c>
      <c r="T1537" s="169" t="s">
        <v>68</v>
      </c>
      <c r="V1537" s="169" t="str">
        <f t="shared" si="93"/>
        <v>BADBADON</v>
      </c>
      <c r="W1537" s="169" t="s">
        <v>2713</v>
      </c>
    </row>
    <row r="1538" spans="1:23" x14ac:dyDescent="0.25">
      <c r="B1538" s="169" t="s">
        <v>91</v>
      </c>
      <c r="C1538" s="169" t="s">
        <v>56</v>
      </c>
      <c r="D1538" s="169" t="s">
        <v>129</v>
      </c>
      <c r="E1538" s="169" t="s">
        <v>6154</v>
      </c>
      <c r="F1538" s="245" t="str">
        <f t="shared" si="94"/>
        <v>Dhoz 71</v>
      </c>
      <c r="G1538" s="169" t="s">
        <v>8339</v>
      </c>
      <c r="I1538" s="169" t="str">
        <f t="shared" si="96"/>
        <v>L04_GHVFW_010E_DW_ISL</v>
      </c>
      <c r="J1538" s="169" t="s">
        <v>8771</v>
      </c>
      <c r="K1538" s="169">
        <f>IFERROR(MATCH(J1538,'Final List'!$B$4:$B$252,0),0)</f>
        <v>0</v>
      </c>
      <c r="L1538" s="169">
        <f>IFERROR(MATCH(J1538,'Final List'!$D$4:$D$252,0),0)</f>
        <v>0</v>
      </c>
      <c r="M1538" s="169">
        <f>IFERROR(MATCH(J1538,'Final List'!$F$4:$F$251,0),0)</f>
        <v>0</v>
      </c>
      <c r="N1538" s="169">
        <f>IFERROR(MATCH(J1538,'Final List'!$H$4:$H$252,0),0)</f>
        <v>0</v>
      </c>
      <c r="O1538" s="169">
        <f>IFERROR(MATCH(J1538,'Final List'!$J$4:$J$252,0),0)</f>
        <v>0</v>
      </c>
      <c r="P1538" s="169">
        <f>IFERROR(MATCH(J1538,'Final List'!$L$4:$L$252,0),0)</f>
        <v>0</v>
      </c>
      <c r="Q1538" s="169">
        <f>IFERROR(MATCH(J1538,'Final List'!$N$4:$N$252,0),0)</f>
        <v>0</v>
      </c>
      <c r="R1538" s="169">
        <f>IFERROR(MATCH(J1538,'Final List'!$P$4:$P$252,0),0)</f>
        <v>0</v>
      </c>
      <c r="S1538" s="169">
        <f t="shared" si="95"/>
        <v>0</v>
      </c>
      <c r="V1538" s="169" t="str">
        <f t="shared" ref="V1538:V1601" si="97">IF(H1538="",G1538,H1538)</f>
        <v>MARTINEZ DN</v>
      </c>
      <c r="W1538" s="169" t="s">
        <v>2708</v>
      </c>
    </row>
    <row r="1539" spans="1:23" x14ac:dyDescent="0.25">
      <c r="B1539" s="169" t="s">
        <v>94</v>
      </c>
      <c r="C1539" s="169" t="s">
        <v>43</v>
      </c>
      <c r="D1539" s="169" t="s">
        <v>165</v>
      </c>
      <c r="E1539" s="169" t="s">
        <v>61</v>
      </c>
      <c r="F1539" s="245" t="str">
        <f t="shared" ref="F1539:F1602" si="98">IF(OR(E1539="XCN",E1539="DE",E1539="DW",E1539="DN",E1539="XCS",E1539="XCE",E1539="XCW",E1539="SUMP",E1539="BYPASS",E1539="CHAMBER",E1539="DRAIN HOLE",E1539="DRILLING CHAMBER",E1539="DE_ISL",E1539="DW_ISL",E1539="REHAB"),"Dhoz 71",IF(OR(E1539="RAISE",E1539="RAISE_ISL"),"DVR 72",IF(E1539="ALIMAK","DVA 73",IF(E1539="WINZE","DVW 74",IF(E1539="SHAFT","DVS 75",IF(AND(E1539="WINZE STOPE",T1539="S"),"RobC 80",IF(AND(E1539="STOPE",T1539="S"),"StpS 77",IF(AND(E1539="WINZE STOPE",T1539="L"),"RobC 80",IF(AND(E1539="STOPE",T1539="L"),"StpL 78",IF(AND(E1539="WINZE STOPE PREP",T1539="S"),"RobC 80",IF(AND(E1539="STOPE PREP",T1539="S"),"StpS 77",IF(AND(E1539="WINZE STOPE PREP",T1539="L"),"RobC 80",IF(AND(E1539="STOPE PREP",T1539="L"),"StpL 78",IF(AND(E1539="ROBBING",T1539="L"),"RobC 80",IF(AND(E1539="ROBBING",T1539="S"),"RobS 79",0)))))))))))))))</f>
        <v>Dhoz 71</v>
      </c>
      <c r="G1539" s="169" t="s">
        <v>5719</v>
      </c>
      <c r="I1539" s="169" t="str">
        <f t="shared" si="96"/>
        <v>L07_GHVSPLIT_056E_DW</v>
      </c>
      <c r="J1539" s="169" t="s">
        <v>8763</v>
      </c>
      <c r="K1539" s="169">
        <f>IFERROR(MATCH(J1539,'Final List'!$B$4:$B$252,0),0)</f>
        <v>0</v>
      </c>
      <c r="L1539" s="169">
        <f>IFERROR(MATCH(J1539,'Final List'!$D$4:$D$252,0),0)</f>
        <v>0</v>
      </c>
      <c r="M1539" s="169">
        <f>IFERROR(MATCH(J1539,'Final List'!$F$4:$F$251,0),0)</f>
        <v>0</v>
      </c>
      <c r="N1539" s="169">
        <f>IFERROR(MATCH(J1539,'Final List'!$H$4:$H$252,0),0)</f>
        <v>0</v>
      </c>
      <c r="O1539" s="169">
        <f>IFERROR(MATCH(J1539,'Final List'!$J$4:$J$252,0),0)</f>
        <v>0</v>
      </c>
      <c r="P1539" s="169">
        <f>IFERROR(MATCH(J1539,'Final List'!$L$4:$L$252,0),0)</f>
        <v>0</v>
      </c>
      <c r="Q1539" s="169">
        <f>IFERROR(MATCH(J1539,'Final List'!$N$4:$N$252,0),0)</f>
        <v>0</v>
      </c>
      <c r="R1539" s="169">
        <f>IFERROR(MATCH(J1539,'Final List'!$P$4:$P$252,0),0)</f>
        <v>0</v>
      </c>
      <c r="S1539" s="169">
        <f t="shared" ref="S1539:S1602" si="99">SUM(K1539:R1539)</f>
        <v>0</v>
      </c>
      <c r="V1539" s="169" t="str">
        <f t="shared" si="97"/>
        <v>DAVOCOL 1</v>
      </c>
      <c r="W1539" s="169" t="s">
        <v>8895</v>
      </c>
    </row>
    <row r="1540" spans="1:23" x14ac:dyDescent="0.25">
      <c r="B1540" s="169" t="s">
        <v>92</v>
      </c>
      <c r="C1540" s="169" t="s">
        <v>45</v>
      </c>
      <c r="D1540" s="169" t="s">
        <v>5742</v>
      </c>
      <c r="E1540" s="169" t="s">
        <v>61</v>
      </c>
      <c r="F1540" s="245" t="str">
        <f t="shared" si="98"/>
        <v>Dhoz 71</v>
      </c>
      <c r="G1540" s="169" t="s">
        <v>8197</v>
      </c>
      <c r="I1540" s="169" t="str">
        <f t="shared" si="96"/>
        <v>L05_DPVE_040E_DW</v>
      </c>
      <c r="J1540" s="169" t="s">
        <v>4120</v>
      </c>
      <c r="K1540" s="169">
        <f>IFERROR(MATCH(J1540,'Final List'!$B$4:$B$252,0),0)</f>
        <v>0</v>
      </c>
      <c r="L1540" s="169">
        <f>IFERROR(MATCH(J1540,'Final List'!$D$4:$D$252,0),0)</f>
        <v>0</v>
      </c>
      <c r="M1540" s="169">
        <f>IFERROR(MATCH(J1540,'Final List'!$F$4:$F$251,0),0)</f>
        <v>0</v>
      </c>
      <c r="N1540" s="169">
        <f>IFERROR(MATCH(J1540,'Final List'!$H$4:$H$252,0),0)</f>
        <v>0</v>
      </c>
      <c r="O1540" s="169">
        <f>IFERROR(MATCH(J1540,'Final List'!$J$4:$J$252,0),0)</f>
        <v>0</v>
      </c>
      <c r="P1540" s="169">
        <f>IFERROR(MATCH(J1540,'Final List'!$L$4:$L$252,0),0)</f>
        <v>0</v>
      </c>
      <c r="Q1540" s="169">
        <f>IFERROR(MATCH(J1540,'Final List'!$N$4:$N$252,0),0)</f>
        <v>0</v>
      </c>
      <c r="R1540" s="169">
        <f>IFERROR(MATCH(J1540,'Final List'!$P$4:$P$252,0),0)</f>
        <v>0</v>
      </c>
      <c r="S1540" s="169">
        <f t="shared" si="99"/>
        <v>0</v>
      </c>
      <c r="V1540" s="169" t="str">
        <f t="shared" si="97"/>
        <v>PANCIT, NOEL  1</v>
      </c>
      <c r="W1540" s="169" t="s">
        <v>8895</v>
      </c>
    </row>
    <row r="1541" spans="1:23" x14ac:dyDescent="0.25">
      <c r="B1541" s="169" t="s">
        <v>92</v>
      </c>
      <c r="C1541" s="169" t="s">
        <v>41</v>
      </c>
      <c r="D1541" s="169" t="s">
        <v>119</v>
      </c>
      <c r="E1541" s="169" t="s">
        <v>61</v>
      </c>
      <c r="F1541" s="245" t="str">
        <f t="shared" si="98"/>
        <v>Dhoz 71</v>
      </c>
      <c r="G1541" s="169" t="s">
        <v>5699</v>
      </c>
      <c r="I1541" s="169" t="str">
        <f t="shared" si="96"/>
        <v>L05_CTV_012E_DW</v>
      </c>
      <c r="J1541" s="169" t="s">
        <v>8775</v>
      </c>
      <c r="K1541" s="169">
        <f>IFERROR(MATCH(J1541,'Final List'!$B$4:$B$252,0),0)</f>
        <v>0</v>
      </c>
      <c r="L1541" s="169">
        <f>IFERROR(MATCH(J1541,'Final List'!$D$4:$D$252,0),0)</f>
        <v>0</v>
      </c>
      <c r="M1541" s="169">
        <f>IFERROR(MATCH(J1541,'Final List'!$F$4:$F$251,0),0)</f>
        <v>0</v>
      </c>
      <c r="N1541" s="169">
        <f>IFERROR(MATCH(J1541,'Final List'!$H$4:$H$252,0),0)</f>
        <v>0</v>
      </c>
      <c r="O1541" s="169">
        <f>IFERROR(MATCH(J1541,'Final List'!$J$4:$J$252,0),0)</f>
        <v>0</v>
      </c>
      <c r="P1541" s="169">
        <f>IFERROR(MATCH(J1541,'Final List'!$L$4:$L$252,0),0)</f>
        <v>0</v>
      </c>
      <c r="Q1541" s="169">
        <f>IFERROR(MATCH(J1541,'Final List'!$N$4:$N$252,0),0)</f>
        <v>0</v>
      </c>
      <c r="R1541" s="169">
        <f>IFERROR(MATCH(J1541,'Final List'!$P$4:$P$252,0),0)</f>
        <v>0</v>
      </c>
      <c r="S1541" s="169">
        <f t="shared" si="99"/>
        <v>0</v>
      </c>
      <c r="V1541" s="169" t="str">
        <f t="shared" si="97"/>
        <v>PARAN 2</v>
      </c>
      <c r="W1541" s="169" t="s">
        <v>8895</v>
      </c>
    </row>
    <row r="1542" spans="1:23" x14ac:dyDescent="0.25">
      <c r="B1542" s="169" t="s">
        <v>94</v>
      </c>
      <c r="C1542" s="169" t="s">
        <v>42</v>
      </c>
      <c r="D1542" s="169" t="s">
        <v>7301</v>
      </c>
      <c r="E1542" s="169" t="s">
        <v>6154</v>
      </c>
      <c r="F1542" s="245" t="str">
        <f t="shared" si="98"/>
        <v>Dhoz 71</v>
      </c>
      <c r="G1542" s="169" t="s">
        <v>8199</v>
      </c>
      <c r="I1542" s="169" t="str">
        <f t="shared" si="96"/>
        <v>L07_JV_010W_DW_ISL</v>
      </c>
      <c r="J1542" s="169" t="s">
        <v>8779</v>
      </c>
      <c r="K1542" s="169">
        <f>IFERROR(MATCH(J1542,'Final List'!$B$4:$B$252,0),0)</f>
        <v>0</v>
      </c>
      <c r="L1542" s="169">
        <f>IFERROR(MATCH(J1542,'Final List'!$D$4:$D$252,0),0)</f>
        <v>0</v>
      </c>
      <c r="M1542" s="169">
        <f>IFERROR(MATCH(J1542,'Final List'!$F$4:$F$251,0),0)</f>
        <v>0</v>
      </c>
      <c r="N1542" s="169">
        <f>IFERROR(MATCH(J1542,'Final List'!$H$4:$H$252,0),0)</f>
        <v>0</v>
      </c>
      <c r="O1542" s="169">
        <f>IFERROR(MATCH(J1542,'Final List'!$J$4:$J$252,0),0)</f>
        <v>0</v>
      </c>
      <c r="P1542" s="169">
        <f>IFERROR(MATCH(J1542,'Final List'!$L$4:$L$252,0),0)</f>
        <v>0</v>
      </c>
      <c r="Q1542" s="169">
        <f>IFERROR(MATCH(J1542,'Final List'!$N$4:$N$252,0),0)</f>
        <v>0</v>
      </c>
      <c r="R1542" s="169">
        <f>IFERROR(MATCH(J1542,'Final List'!$P$4:$P$252,0),0)</f>
        <v>0</v>
      </c>
      <c r="S1542" s="169">
        <f t="shared" si="99"/>
        <v>0</v>
      </c>
      <c r="V1542" s="169" t="str">
        <f t="shared" si="97"/>
        <v>SHEPHERD AT 1</v>
      </c>
      <c r="W1542" s="169" t="s">
        <v>2708</v>
      </c>
    </row>
    <row r="1543" spans="1:23" s="74" customFormat="1" x14ac:dyDescent="0.25">
      <c r="A1543"/>
      <c r="B1543" s="214" t="s">
        <v>91</v>
      </c>
      <c r="C1543" s="214" t="s">
        <v>57</v>
      </c>
      <c r="D1543" s="214" t="s">
        <v>5975</v>
      </c>
      <c r="E1543" s="214" t="s">
        <v>221</v>
      </c>
      <c r="F1543" s="214" t="str">
        <f t="shared" si="98"/>
        <v>RobC 80</v>
      </c>
      <c r="G1543" s="214" t="s">
        <v>311</v>
      </c>
      <c r="H1543" s="214"/>
      <c r="I1543" s="214" t="str">
        <f t="shared" si="96"/>
        <v>L04_JVSPLIT_028E_WINZE STOPE</v>
      </c>
      <c r="J1543" s="214" t="s">
        <v>9220</v>
      </c>
      <c r="K1543" s="214">
        <f>IFERROR(MATCH(J1543,'Final List'!$B$4:$B$252,0),0)</f>
        <v>0</v>
      </c>
      <c r="L1543" s="214">
        <f>IFERROR(MATCH(J1543,'Final List'!$D$4:$D$252,0),0)</f>
        <v>0</v>
      </c>
      <c r="M1543" s="214">
        <f>IFERROR(MATCH(J1543,'Final List'!$F$4:$F$251,0),0)</f>
        <v>0</v>
      </c>
      <c r="N1543" s="214">
        <f>IFERROR(MATCH(J1543,'Final List'!$H$4:$H$252,0),0)</f>
        <v>0</v>
      </c>
      <c r="O1543" s="214">
        <f>IFERROR(MATCH(J1543,'Final List'!$J$4:$J$252,0),0)</f>
        <v>0</v>
      </c>
      <c r="P1543" s="214">
        <f>IFERROR(MATCH(J1543,'Final List'!$L$4:$L$252,0),0)</f>
        <v>0</v>
      </c>
      <c r="Q1543" s="214">
        <f>IFERROR(MATCH(J1543,'Final List'!$N$4:$N$252,0),0)</f>
        <v>0</v>
      </c>
      <c r="R1543" s="214">
        <f>IFERROR(MATCH(J1543,'Final List'!$P$4:$P$252,0),0)</f>
        <v>0</v>
      </c>
      <c r="S1543" s="214">
        <f t="shared" si="99"/>
        <v>0</v>
      </c>
      <c r="T1543" s="214" t="s">
        <v>68</v>
      </c>
      <c r="U1543" s="214"/>
      <c r="V1543" s="214" t="str">
        <f t="shared" si="97"/>
        <v>MARTINEZ DN 2</v>
      </c>
      <c r="W1543" s="214" t="s">
        <v>2719</v>
      </c>
    </row>
    <row r="1544" spans="1:23" x14ac:dyDescent="0.25">
      <c r="B1544" s="169" t="s">
        <v>96</v>
      </c>
      <c r="C1544" s="169" t="s">
        <v>45</v>
      </c>
      <c r="D1544" s="169" t="s">
        <v>122</v>
      </c>
      <c r="E1544" s="169" t="s">
        <v>19</v>
      </c>
      <c r="F1544" s="245" t="str">
        <f t="shared" si="98"/>
        <v>DVR 72</v>
      </c>
      <c r="G1544" s="169" t="s">
        <v>337</v>
      </c>
      <c r="H1544" s="169" t="s">
        <v>936</v>
      </c>
      <c r="I1544" s="169" t="str">
        <f t="shared" si="96"/>
        <v>L09_DPVE_025E_RAISE</v>
      </c>
      <c r="J1544" s="169" t="s">
        <v>8783</v>
      </c>
      <c r="K1544" s="169">
        <f>IFERROR(MATCH(J1544,'Final List'!$B$4:$B$252,0),0)</f>
        <v>0</v>
      </c>
      <c r="L1544" s="169">
        <f>IFERROR(MATCH(J1544,'Final List'!$D$4:$D$252,0),0)</f>
        <v>0</v>
      </c>
      <c r="M1544" s="169">
        <f>IFERROR(MATCH(J1544,'Final List'!$F$4:$F$251,0),0)</f>
        <v>0</v>
      </c>
      <c r="N1544" s="169">
        <f>IFERROR(MATCH(J1544,'Final List'!$H$4:$H$252,0),0)</f>
        <v>0</v>
      </c>
      <c r="O1544" s="169">
        <f>IFERROR(MATCH(J1544,'Final List'!$J$4:$J$252,0),0)</f>
        <v>0</v>
      </c>
      <c r="P1544" s="169">
        <f>IFERROR(MATCH(J1544,'Final List'!$L$4:$L$252,0),0)</f>
        <v>0</v>
      </c>
      <c r="Q1544" s="169">
        <f>IFERROR(MATCH(J1544,'Final List'!$N$4:$N$252,0),0)</f>
        <v>0</v>
      </c>
      <c r="R1544" s="169">
        <f>IFERROR(MATCH(J1544,'Final List'!$P$4:$P$252,0),0)</f>
        <v>0</v>
      </c>
      <c r="S1544" s="169">
        <f t="shared" si="99"/>
        <v>0</v>
      </c>
      <c r="V1544" s="169" t="str">
        <f t="shared" si="97"/>
        <v>GUNAY 2</v>
      </c>
      <c r="W1544" s="169" t="s">
        <v>2715</v>
      </c>
    </row>
    <row r="1545" spans="1:23" x14ac:dyDescent="0.25">
      <c r="B1545" s="169" t="s">
        <v>94</v>
      </c>
      <c r="C1545" s="169" t="s">
        <v>87</v>
      </c>
      <c r="D1545" s="169" t="s">
        <v>140</v>
      </c>
      <c r="E1545" s="169" t="s">
        <v>63</v>
      </c>
      <c r="F1545" s="245" t="str">
        <f t="shared" si="98"/>
        <v>Dhoz 71</v>
      </c>
      <c r="G1545" s="169" t="s">
        <v>5720</v>
      </c>
      <c r="I1545" s="169" t="str">
        <f t="shared" si="96"/>
        <v>L07_NONE_005W_XCS</v>
      </c>
      <c r="J1545" s="169" t="s">
        <v>8785</v>
      </c>
      <c r="K1545" s="169">
        <f>IFERROR(MATCH(J1545,'Final List'!$B$4:$B$252,0),0)</f>
        <v>0</v>
      </c>
      <c r="L1545" s="169">
        <f>IFERROR(MATCH(J1545,'Final List'!$D$4:$D$252,0),0)</f>
        <v>0</v>
      </c>
      <c r="M1545" s="169">
        <f>IFERROR(MATCH(J1545,'Final List'!$F$4:$F$251,0),0)</f>
        <v>0</v>
      </c>
      <c r="N1545" s="169">
        <f>IFERROR(MATCH(J1545,'Final List'!$H$4:$H$252,0),0)</f>
        <v>0</v>
      </c>
      <c r="O1545" s="169">
        <f>IFERROR(MATCH(J1545,'Final List'!$J$4:$J$252,0),0)</f>
        <v>0</v>
      </c>
      <c r="P1545" s="169">
        <f>IFERROR(MATCH(J1545,'Final List'!$L$4:$L$252,0),0)</f>
        <v>0</v>
      </c>
      <c r="Q1545" s="169">
        <f>IFERROR(MATCH(J1545,'Final List'!$N$4:$N$252,0),0)</f>
        <v>0</v>
      </c>
      <c r="R1545" s="169">
        <f>IFERROR(MATCH(J1545,'Final List'!$P$4:$P$252,0),0)</f>
        <v>0</v>
      </c>
      <c r="S1545" s="169">
        <f t="shared" si="99"/>
        <v>0</v>
      </c>
      <c r="V1545" s="169" t="str">
        <f t="shared" si="97"/>
        <v>TURRA 1</v>
      </c>
      <c r="W1545" s="169" t="s">
        <v>8897</v>
      </c>
    </row>
    <row r="1546" spans="1:23" x14ac:dyDescent="0.25">
      <c r="B1546" s="169" t="s">
        <v>92</v>
      </c>
      <c r="C1546" s="169" t="s">
        <v>87</v>
      </c>
      <c r="D1546" s="169" t="s">
        <v>107</v>
      </c>
      <c r="E1546" s="169" t="s">
        <v>37</v>
      </c>
      <c r="F1546" s="245" t="str">
        <f t="shared" si="98"/>
        <v>Dhoz 71</v>
      </c>
      <c r="G1546" s="169" t="s">
        <v>4009</v>
      </c>
      <c r="I1546" s="169" t="str">
        <f t="shared" si="96"/>
        <v>L05_NONE_032W_XCN</v>
      </c>
      <c r="J1546" s="169" t="s">
        <v>8786</v>
      </c>
      <c r="K1546" s="169">
        <f>IFERROR(MATCH(J1546,'Final List'!$B$4:$B$252,0),0)</f>
        <v>0</v>
      </c>
      <c r="L1546" s="169">
        <f>IFERROR(MATCH(J1546,'Final List'!$D$4:$D$252,0),0)</f>
        <v>0</v>
      </c>
      <c r="M1546" s="169">
        <f>IFERROR(MATCH(J1546,'Final List'!$F$4:$F$251,0),0)</f>
        <v>0</v>
      </c>
      <c r="N1546" s="169">
        <f>IFERROR(MATCH(J1546,'Final List'!$H$4:$H$252,0),0)</f>
        <v>0</v>
      </c>
      <c r="O1546" s="169">
        <f>IFERROR(MATCH(J1546,'Final List'!$J$4:$J$252,0),0)</f>
        <v>0</v>
      </c>
      <c r="P1546" s="169">
        <f>IFERROR(MATCH(J1546,'Final List'!$L$4:$L$252,0),0)</f>
        <v>0</v>
      </c>
      <c r="Q1546" s="169">
        <f>IFERROR(MATCH(J1546,'Final List'!$N$4:$N$252,0),0)</f>
        <v>0</v>
      </c>
      <c r="R1546" s="169">
        <f>IFERROR(MATCH(J1546,'Final List'!$P$4:$P$252,0),0)</f>
        <v>0</v>
      </c>
      <c r="S1546" s="169">
        <f t="shared" si="99"/>
        <v>0</v>
      </c>
      <c r="V1546" s="169" t="str">
        <f t="shared" si="97"/>
        <v>SHEPHERD AF</v>
      </c>
      <c r="W1546" s="169" t="s">
        <v>8897</v>
      </c>
    </row>
    <row r="1547" spans="1:23" x14ac:dyDescent="0.25">
      <c r="B1547" s="169" t="s">
        <v>95</v>
      </c>
      <c r="C1547" s="169" t="s">
        <v>38</v>
      </c>
      <c r="D1547" s="169" t="s">
        <v>117</v>
      </c>
      <c r="E1547" s="169" t="s">
        <v>221</v>
      </c>
      <c r="F1547" s="245" t="str">
        <f t="shared" si="98"/>
        <v>RobC 80</v>
      </c>
      <c r="G1547" s="169" t="s">
        <v>380</v>
      </c>
      <c r="I1547" s="169" t="str">
        <f t="shared" si="96"/>
        <v>L08_GHV_006W_WINZE STOPE</v>
      </c>
      <c r="J1547" s="169" t="s">
        <v>5400</v>
      </c>
      <c r="K1547" s="169">
        <f>IFERROR(MATCH(J1547,'Final List'!$B$4:$B$252,0),0)</f>
        <v>0</v>
      </c>
      <c r="L1547" s="169">
        <f>IFERROR(MATCH(J1547,'Final List'!$D$4:$D$252,0),0)</f>
        <v>0</v>
      </c>
      <c r="M1547" s="169">
        <f>IFERROR(MATCH(J1547,'Final List'!$F$4:$F$251,0),0)</f>
        <v>0</v>
      </c>
      <c r="N1547" s="169">
        <f>IFERROR(MATCH(J1547,'Final List'!$H$4:$H$252,0),0)</f>
        <v>0</v>
      </c>
      <c r="O1547" s="169">
        <f>IFERROR(MATCH(J1547,'Final List'!$J$4:$J$252,0),0)</f>
        <v>0</v>
      </c>
      <c r="P1547" s="169">
        <f>IFERROR(MATCH(J1547,'Final List'!$L$4:$L$252,0),0)</f>
        <v>0</v>
      </c>
      <c r="Q1547" s="169">
        <f>IFERROR(MATCH(J1547,'Final List'!$N$4:$N$252,0),0)</f>
        <v>0</v>
      </c>
      <c r="R1547" s="169">
        <f>IFERROR(MATCH(J1547,'Final List'!$P$4:$P$252,0),0)</f>
        <v>0</v>
      </c>
      <c r="S1547" s="169">
        <f t="shared" si="99"/>
        <v>0</v>
      </c>
      <c r="T1547" s="169" t="s">
        <v>48</v>
      </c>
      <c r="V1547" s="169" t="str">
        <f t="shared" si="97"/>
        <v>AGLOLO 1</v>
      </c>
      <c r="W1547" s="169" t="s">
        <v>2719</v>
      </c>
    </row>
    <row r="1548" spans="1:23" x14ac:dyDescent="0.25">
      <c r="B1548" s="169" t="s">
        <v>92</v>
      </c>
      <c r="C1548" s="169" t="s">
        <v>57</v>
      </c>
      <c r="D1548" s="169" t="s">
        <v>107</v>
      </c>
      <c r="E1548" s="169" t="s">
        <v>61</v>
      </c>
      <c r="F1548" s="245" t="str">
        <f t="shared" si="98"/>
        <v>Dhoz 71</v>
      </c>
      <c r="G1548" s="169" t="s">
        <v>4009</v>
      </c>
      <c r="I1548" s="169" t="str">
        <f t="shared" si="96"/>
        <v>L05_JVSPLIT_032W_DW</v>
      </c>
      <c r="J1548" s="169" t="s">
        <v>8906</v>
      </c>
      <c r="K1548" s="169">
        <f>IFERROR(MATCH(J1548,'Final List'!$B$4:$B$252,0),0)</f>
        <v>0</v>
      </c>
      <c r="L1548" s="169">
        <f>IFERROR(MATCH(J1548,'Final List'!$D$4:$D$252,0),0)</f>
        <v>0</v>
      </c>
      <c r="M1548" s="169">
        <f>IFERROR(MATCH(J1548,'Final List'!$F$4:$F$251,0),0)</f>
        <v>0</v>
      </c>
      <c r="N1548" s="169">
        <f>IFERROR(MATCH(J1548,'Final List'!$H$4:$H$252,0),0)</f>
        <v>0</v>
      </c>
      <c r="O1548" s="169">
        <f>IFERROR(MATCH(J1548,'Final List'!$J$4:$J$252,0),0)</f>
        <v>0</v>
      </c>
      <c r="P1548" s="169">
        <f>IFERROR(MATCH(J1548,'Final List'!$L$4:$L$252,0),0)</f>
        <v>0</v>
      </c>
      <c r="Q1548" s="169">
        <f>IFERROR(MATCH(J1548,'Final List'!$N$4:$N$252,0),0)</f>
        <v>0</v>
      </c>
      <c r="R1548" s="169">
        <f>IFERROR(MATCH(J1548,'Final List'!$P$4:$P$252,0),0)</f>
        <v>0</v>
      </c>
      <c r="S1548" s="169">
        <f t="shared" si="99"/>
        <v>0</v>
      </c>
      <c r="V1548" s="169" t="str">
        <f t="shared" si="97"/>
        <v>SHEPHERD AF</v>
      </c>
      <c r="W1548" s="169" t="s">
        <v>8895</v>
      </c>
    </row>
    <row r="1549" spans="1:23" x14ac:dyDescent="0.25">
      <c r="B1549" s="169" t="s">
        <v>95</v>
      </c>
      <c r="C1549" s="169" t="s">
        <v>57</v>
      </c>
      <c r="D1549" s="169" t="s">
        <v>168</v>
      </c>
      <c r="E1549" s="169" t="s">
        <v>61</v>
      </c>
      <c r="F1549" s="245" t="str">
        <f t="shared" si="98"/>
        <v>Dhoz 71</v>
      </c>
      <c r="G1549" s="169" t="s">
        <v>303</v>
      </c>
      <c r="I1549" s="169" t="str">
        <f t="shared" si="96"/>
        <v>L08_JVSPLIT_047E_DW</v>
      </c>
      <c r="J1549" s="169" t="s">
        <v>8792</v>
      </c>
      <c r="K1549" s="169">
        <f>IFERROR(MATCH(J1549,'Final List'!$B$4:$B$252,0),0)</f>
        <v>0</v>
      </c>
      <c r="L1549" s="169">
        <f>IFERROR(MATCH(J1549,'Final List'!$D$4:$D$252,0),0)</f>
        <v>0</v>
      </c>
      <c r="M1549" s="169">
        <f>IFERROR(MATCH(J1549,'Final List'!$F$4:$F$251,0),0)</f>
        <v>0</v>
      </c>
      <c r="N1549" s="169">
        <f>IFERROR(MATCH(J1549,'Final List'!$H$4:$H$252,0),0)</f>
        <v>0</v>
      </c>
      <c r="O1549" s="169">
        <f>IFERROR(MATCH(J1549,'Final List'!$J$4:$J$252,0),0)</f>
        <v>0</v>
      </c>
      <c r="P1549" s="169">
        <f>IFERROR(MATCH(J1549,'Final List'!$L$4:$L$252,0),0)</f>
        <v>0</v>
      </c>
      <c r="Q1549" s="169">
        <f>IFERROR(MATCH(J1549,'Final List'!$N$4:$N$252,0),0)</f>
        <v>0</v>
      </c>
      <c r="R1549" s="169">
        <f>IFERROR(MATCH(J1549,'Final List'!$P$4:$P$252,0),0)</f>
        <v>0</v>
      </c>
      <c r="S1549" s="169">
        <f t="shared" si="99"/>
        <v>0</v>
      </c>
      <c r="V1549" s="169" t="str">
        <f t="shared" si="97"/>
        <v>BELICAN 1</v>
      </c>
      <c r="W1549" s="169" t="s">
        <v>8895</v>
      </c>
    </row>
    <row r="1550" spans="1:23" x14ac:dyDescent="0.25">
      <c r="B1550" s="169" t="s">
        <v>258</v>
      </c>
      <c r="C1550" s="169" t="s">
        <v>43</v>
      </c>
      <c r="D1550" s="169" t="s">
        <v>205</v>
      </c>
      <c r="E1550" s="169" t="s">
        <v>60</v>
      </c>
      <c r="F1550" s="245" t="str">
        <f t="shared" si="98"/>
        <v>Dhoz 71</v>
      </c>
      <c r="G1550" s="169" t="s">
        <v>318</v>
      </c>
      <c r="I1550" s="169" t="str">
        <f t="shared" si="96"/>
        <v>L10_GHVSPLIT_066E_DE</v>
      </c>
      <c r="J1550" s="169" t="s">
        <v>8796</v>
      </c>
      <c r="K1550" s="169">
        <f>IFERROR(MATCH(J1550,'Final List'!$B$4:$B$252,0),0)</f>
        <v>0</v>
      </c>
      <c r="L1550" s="169">
        <f>IFERROR(MATCH(J1550,'Final List'!$D$4:$D$252,0),0)</f>
        <v>0</v>
      </c>
      <c r="M1550" s="169">
        <f>IFERROR(MATCH(J1550,'Final List'!$F$4:$F$251,0),0)</f>
        <v>0</v>
      </c>
      <c r="N1550" s="169">
        <f>IFERROR(MATCH(J1550,'Final List'!$H$4:$H$252,0),0)</f>
        <v>0</v>
      </c>
      <c r="O1550" s="169">
        <f>IFERROR(MATCH(J1550,'Final List'!$J$4:$J$252,0),0)</f>
        <v>0</v>
      </c>
      <c r="P1550" s="169">
        <f>IFERROR(MATCH(J1550,'Final List'!$L$4:$L$252,0),0)</f>
        <v>0</v>
      </c>
      <c r="Q1550" s="169">
        <f>IFERROR(MATCH(J1550,'Final List'!$N$4:$N$252,0),0)</f>
        <v>0</v>
      </c>
      <c r="R1550" s="169">
        <f>IFERROR(MATCH(J1550,'Final List'!$P$4:$P$252,0),0)</f>
        <v>0</v>
      </c>
      <c r="S1550" s="169">
        <f t="shared" si="99"/>
        <v>0</v>
      </c>
      <c r="V1550" s="169" t="str">
        <f t="shared" si="97"/>
        <v>PARAGUYA 3</v>
      </c>
      <c r="W1550" s="169" t="s">
        <v>8896</v>
      </c>
    </row>
    <row r="1551" spans="1:23" x14ac:dyDescent="0.25">
      <c r="B1551" s="169" t="s">
        <v>258</v>
      </c>
      <c r="C1551" s="169" t="s">
        <v>45</v>
      </c>
      <c r="D1551" s="169" t="s">
        <v>148</v>
      </c>
      <c r="E1551" s="169" t="s">
        <v>19</v>
      </c>
      <c r="F1551" s="245" t="str">
        <f t="shared" si="98"/>
        <v>DVR 72</v>
      </c>
      <c r="G1551" s="169" t="s">
        <v>370</v>
      </c>
      <c r="I1551" s="169" t="str">
        <f t="shared" si="96"/>
        <v>L10_DPVE_039E_RAISE</v>
      </c>
      <c r="J1551" s="169" t="s">
        <v>5540</v>
      </c>
      <c r="K1551" s="169">
        <f>IFERROR(MATCH(J1551,'Final List'!$B$4:$B$252,0),0)</f>
        <v>0</v>
      </c>
      <c r="L1551" s="169">
        <f>IFERROR(MATCH(J1551,'Final List'!$D$4:$D$252,0),0)</f>
        <v>0</v>
      </c>
      <c r="M1551" s="169">
        <f>IFERROR(MATCH(J1551,'Final List'!$F$4:$F$251,0),0)</f>
        <v>0</v>
      </c>
      <c r="N1551" s="169">
        <f>IFERROR(MATCH(J1551,'Final List'!$H$4:$H$252,0),0)</f>
        <v>0</v>
      </c>
      <c r="O1551" s="169">
        <f>IFERROR(MATCH(J1551,'Final List'!$J$4:$J$252,0),0)</f>
        <v>0</v>
      </c>
      <c r="P1551" s="169">
        <f>IFERROR(MATCH(J1551,'Final List'!$L$4:$L$252,0),0)</f>
        <v>0</v>
      </c>
      <c r="Q1551" s="169">
        <f>IFERROR(MATCH(J1551,'Final List'!$N$4:$N$252,0),0)</f>
        <v>0</v>
      </c>
      <c r="R1551" s="169">
        <f>IFERROR(MATCH(J1551,'Final List'!$P$4:$P$252,0),0)</f>
        <v>0</v>
      </c>
      <c r="S1551" s="169">
        <f t="shared" si="99"/>
        <v>0</v>
      </c>
      <c r="V1551" s="169" t="str">
        <f t="shared" si="97"/>
        <v>TAÑEZA 2</v>
      </c>
      <c r="W1551" s="169" t="s">
        <v>2715</v>
      </c>
    </row>
    <row r="1552" spans="1:23" x14ac:dyDescent="0.25">
      <c r="B1552" s="169" t="s">
        <v>95</v>
      </c>
      <c r="C1552" s="169" t="s">
        <v>56</v>
      </c>
      <c r="D1552" s="169" t="s">
        <v>103</v>
      </c>
      <c r="E1552" s="169" t="s">
        <v>441</v>
      </c>
      <c r="F1552" s="245" t="str">
        <f t="shared" si="98"/>
        <v>RobC 80</v>
      </c>
      <c r="G1552" s="169" t="s">
        <v>676</v>
      </c>
      <c r="I1552" s="169" t="str">
        <f t="shared" si="96"/>
        <v>L08_GHVFW_005E_WINZE STOPE PREP</v>
      </c>
      <c r="J1552" s="169" t="s">
        <v>8797</v>
      </c>
      <c r="K1552" s="169">
        <f>IFERROR(MATCH(J1552,'Final List'!$B$4:$B$252,0),0)</f>
        <v>0</v>
      </c>
      <c r="L1552" s="169">
        <f>IFERROR(MATCH(J1552,'Final List'!$D$4:$D$252,0),0)</f>
        <v>0</v>
      </c>
      <c r="M1552" s="169">
        <f>IFERROR(MATCH(J1552,'Final List'!$F$4:$F$251,0),0)</f>
        <v>0</v>
      </c>
      <c r="N1552" s="169">
        <f>IFERROR(MATCH(J1552,'Final List'!$H$4:$H$252,0),0)</f>
        <v>0</v>
      </c>
      <c r="O1552" s="169">
        <f>IFERROR(MATCH(J1552,'Final List'!$J$4:$J$252,0),0)</f>
        <v>0</v>
      </c>
      <c r="P1552" s="169">
        <f>IFERROR(MATCH(J1552,'Final List'!$L$4:$L$252,0),0)</f>
        <v>0</v>
      </c>
      <c r="Q1552" s="169">
        <f>IFERROR(MATCH(J1552,'Final List'!$N$4:$N$252,0),0)</f>
        <v>0</v>
      </c>
      <c r="R1552" s="169">
        <f>IFERROR(MATCH(J1552,'Final List'!$P$4:$P$252,0),0)</f>
        <v>0</v>
      </c>
      <c r="S1552" s="169">
        <f t="shared" si="99"/>
        <v>0</v>
      </c>
      <c r="T1552" s="169" t="s">
        <v>68</v>
      </c>
      <c r="V1552" s="169" t="str">
        <f t="shared" si="97"/>
        <v>OY-YOY 2</v>
      </c>
      <c r="W1552" s="169" t="s">
        <v>2716</v>
      </c>
    </row>
    <row r="1553" spans="2:23" x14ac:dyDescent="0.25">
      <c r="B1553" s="169" t="s">
        <v>8904</v>
      </c>
      <c r="C1553" s="169" t="s">
        <v>8753</v>
      </c>
      <c r="D1553" s="169" t="s">
        <v>140</v>
      </c>
      <c r="E1553" s="169" t="s">
        <v>60</v>
      </c>
      <c r="F1553" s="245" t="str">
        <f t="shared" si="98"/>
        <v>Dhoz 71</v>
      </c>
      <c r="G1553" s="169" t="s">
        <v>8800</v>
      </c>
      <c r="I1553" s="169" t="str">
        <f t="shared" si="96"/>
        <v>L03_RYV_005W_DE</v>
      </c>
      <c r="J1553" s="169" t="s">
        <v>8799</v>
      </c>
      <c r="K1553" s="169">
        <f>IFERROR(MATCH(J1553,'Final List'!$B$4:$B$252,0),0)</f>
        <v>0</v>
      </c>
      <c r="L1553" s="169">
        <f>IFERROR(MATCH(J1553,'Final List'!$D$4:$D$252,0),0)</f>
        <v>0</v>
      </c>
      <c r="M1553" s="169">
        <f>IFERROR(MATCH(J1553,'Final List'!$F$4:$F$251,0),0)</f>
        <v>0</v>
      </c>
      <c r="N1553" s="169">
        <f>IFERROR(MATCH(J1553,'Final List'!$H$4:$H$252,0),0)</f>
        <v>0</v>
      </c>
      <c r="O1553" s="169">
        <f>IFERROR(MATCH(J1553,'Final List'!$J$4:$J$252,0),0)</f>
        <v>0</v>
      </c>
      <c r="P1553" s="169">
        <f>IFERROR(MATCH(J1553,'Final List'!$L$4:$L$252,0),0)</f>
        <v>0</v>
      </c>
      <c r="Q1553" s="169">
        <f>IFERROR(MATCH(J1553,'Final List'!$N$4:$N$252,0),0)</f>
        <v>0</v>
      </c>
      <c r="R1553" s="169">
        <f>IFERROR(MATCH(J1553,'Final List'!$P$4:$P$252,0),0)</f>
        <v>0</v>
      </c>
      <c r="S1553" s="169">
        <f t="shared" si="99"/>
        <v>0</v>
      </c>
      <c r="V1553" s="169" t="str">
        <f t="shared" si="97"/>
        <v>FERNANDEZ REX 1</v>
      </c>
      <c r="W1553" s="169" t="s">
        <v>8895</v>
      </c>
    </row>
    <row r="1554" spans="2:23" x14ac:dyDescent="0.25">
      <c r="B1554" s="169" t="s">
        <v>8904</v>
      </c>
      <c r="C1554" s="169" t="s">
        <v>8753</v>
      </c>
      <c r="D1554" s="169" t="s">
        <v>108</v>
      </c>
      <c r="E1554" s="169" t="s">
        <v>62</v>
      </c>
      <c r="F1554" s="245" t="str">
        <f t="shared" si="98"/>
        <v>RobS 79</v>
      </c>
      <c r="G1554" s="169" t="s">
        <v>8802</v>
      </c>
      <c r="I1554" s="169" t="str">
        <f t="shared" si="96"/>
        <v>L03_RYV_007W_ROBBING</v>
      </c>
      <c r="J1554" s="169" t="s">
        <v>8801</v>
      </c>
      <c r="K1554" s="169">
        <f>IFERROR(MATCH(J1554,'Final List'!$B$4:$B$252,0),0)</f>
        <v>0</v>
      </c>
      <c r="L1554" s="169">
        <f>IFERROR(MATCH(J1554,'Final List'!$D$4:$D$252,0),0)</f>
        <v>0</v>
      </c>
      <c r="M1554" s="169">
        <f>IFERROR(MATCH(J1554,'Final List'!$F$4:$F$251,0),0)</f>
        <v>0</v>
      </c>
      <c r="N1554" s="169">
        <f>IFERROR(MATCH(J1554,'Final List'!$H$4:$H$252,0),0)</f>
        <v>0</v>
      </c>
      <c r="O1554" s="169">
        <f>IFERROR(MATCH(J1554,'Final List'!$J$4:$J$252,0),0)</f>
        <v>0</v>
      </c>
      <c r="P1554" s="169">
        <f>IFERROR(MATCH(J1554,'Final List'!$L$4:$L$252,0),0)</f>
        <v>0</v>
      </c>
      <c r="Q1554" s="169">
        <f>IFERROR(MATCH(J1554,'Final List'!$N$4:$N$252,0),0)</f>
        <v>0</v>
      </c>
      <c r="R1554" s="169">
        <f>IFERROR(MATCH(J1554,'Final List'!$P$4:$P$252,0),0)</f>
        <v>0</v>
      </c>
      <c r="S1554" s="169">
        <f t="shared" si="99"/>
        <v>0</v>
      </c>
      <c r="T1554" s="169" t="s">
        <v>68</v>
      </c>
      <c r="V1554" s="169" t="str">
        <f t="shared" si="97"/>
        <v>FERNANDEX REX 1</v>
      </c>
      <c r="W1554" s="169" t="s">
        <v>2707</v>
      </c>
    </row>
    <row r="1555" spans="2:23" x14ac:dyDescent="0.25">
      <c r="B1555" s="169" t="s">
        <v>95</v>
      </c>
      <c r="C1555" s="169" t="s">
        <v>56</v>
      </c>
      <c r="D1555" s="169" t="s">
        <v>6518</v>
      </c>
      <c r="E1555" s="169" t="s">
        <v>6144</v>
      </c>
      <c r="F1555" s="245" t="str">
        <f t="shared" si="98"/>
        <v>DVR 72</v>
      </c>
      <c r="G1555" s="169" t="s">
        <v>8804</v>
      </c>
      <c r="I1555" s="169" t="str">
        <f t="shared" si="96"/>
        <v>L08_GHVFW_007E_RAISE_ISL</v>
      </c>
      <c r="J1555" s="169" t="s">
        <v>8880</v>
      </c>
      <c r="K1555" s="169">
        <f>IFERROR(MATCH(J1555,'Final List'!$B$4:$B$252,0),0)</f>
        <v>0</v>
      </c>
      <c r="L1555" s="169">
        <f>IFERROR(MATCH(J1555,'Final List'!$D$4:$D$252,0),0)</f>
        <v>0</v>
      </c>
      <c r="M1555" s="169">
        <f>IFERROR(MATCH(J1555,'Final List'!$F$4:$F$251,0),0)</f>
        <v>0</v>
      </c>
      <c r="N1555" s="169">
        <f>IFERROR(MATCH(J1555,'Final List'!$H$4:$H$252,0),0)</f>
        <v>0</v>
      </c>
      <c r="O1555" s="169">
        <f>IFERROR(MATCH(J1555,'Final List'!$J$4:$J$252,0),0)</f>
        <v>0</v>
      </c>
      <c r="P1555" s="169">
        <f>IFERROR(MATCH(J1555,'Final List'!$L$4:$L$252,0),0)</f>
        <v>0</v>
      </c>
      <c r="Q1555" s="169">
        <f>IFERROR(MATCH(J1555,'Final List'!$N$4:$N$252,0),0)</f>
        <v>0</v>
      </c>
      <c r="R1555" s="169">
        <f>IFERROR(MATCH(J1555,'Final List'!$P$4:$P$252,0),0)</f>
        <v>0</v>
      </c>
      <c r="S1555" s="169">
        <f t="shared" si="99"/>
        <v>0</v>
      </c>
      <c r="V1555" s="169" t="str">
        <f t="shared" si="97"/>
        <v>0Y - YOY 2</v>
      </c>
      <c r="W1555" s="169" t="s">
        <v>2715</v>
      </c>
    </row>
    <row r="1556" spans="2:23" x14ac:dyDescent="0.25">
      <c r="B1556" s="169" t="s">
        <v>96</v>
      </c>
      <c r="C1556" s="169" t="s">
        <v>38</v>
      </c>
      <c r="D1556" s="169" t="s">
        <v>179</v>
      </c>
      <c r="E1556" s="169" t="s">
        <v>20</v>
      </c>
      <c r="F1556" s="245" t="str">
        <f t="shared" si="98"/>
        <v>DVW 74</v>
      </c>
      <c r="G1556" s="169" t="s">
        <v>746</v>
      </c>
      <c r="I1556" s="169" t="str">
        <f t="shared" si="96"/>
        <v>L09_GHV_050E_WINZE</v>
      </c>
      <c r="J1556" s="169" t="s">
        <v>4780</v>
      </c>
      <c r="K1556" s="169">
        <f>IFERROR(MATCH(J1556,'Final List'!$B$4:$B$252,0),0)</f>
        <v>0</v>
      </c>
      <c r="L1556" s="169">
        <f>IFERROR(MATCH(J1556,'Final List'!$D$4:$D$252,0),0)</f>
        <v>0</v>
      </c>
      <c r="M1556" s="169">
        <f>IFERROR(MATCH(J1556,'Final List'!$F$4:$F$251,0),0)</f>
        <v>0</v>
      </c>
      <c r="N1556" s="169">
        <f>IFERROR(MATCH(J1556,'Final List'!$H$4:$H$252,0),0)</f>
        <v>0</v>
      </c>
      <c r="O1556" s="169">
        <f>IFERROR(MATCH(J1556,'Final List'!$J$4:$J$252,0),0)</f>
        <v>0</v>
      </c>
      <c r="P1556" s="169">
        <f>IFERROR(MATCH(J1556,'Final List'!$L$4:$L$252,0),0)</f>
        <v>0</v>
      </c>
      <c r="Q1556" s="169">
        <f>IFERROR(MATCH(J1556,'Final List'!$N$4:$N$252,0),0)</f>
        <v>0</v>
      </c>
      <c r="R1556" s="169">
        <f>IFERROR(MATCH(J1556,'Final List'!$P$4:$P$252,0),0)</f>
        <v>0</v>
      </c>
      <c r="S1556" s="169">
        <f t="shared" si="99"/>
        <v>0</v>
      </c>
      <c r="V1556" s="169" t="str">
        <f t="shared" si="97"/>
        <v>CANOY 1</v>
      </c>
      <c r="W1556" s="169" t="s">
        <v>2706</v>
      </c>
    </row>
    <row r="1557" spans="2:23" x14ac:dyDescent="0.25">
      <c r="B1557" s="169" t="s">
        <v>95</v>
      </c>
      <c r="C1557" s="169" t="s">
        <v>38</v>
      </c>
      <c r="D1557" s="169" t="s">
        <v>5689</v>
      </c>
      <c r="E1557" s="169" t="s">
        <v>20</v>
      </c>
      <c r="F1557" s="245" t="str">
        <f t="shared" si="98"/>
        <v>DVW 74</v>
      </c>
      <c r="G1557" s="169" t="s">
        <v>1370</v>
      </c>
      <c r="I1557" s="169" t="str">
        <f t="shared" si="96"/>
        <v>L08_GHV_003E_WINZE</v>
      </c>
      <c r="J1557" s="169" t="s">
        <v>8805</v>
      </c>
      <c r="K1557" s="169">
        <f>IFERROR(MATCH(J1557,'Final List'!$B$4:$B$252,0),0)</f>
        <v>0</v>
      </c>
      <c r="L1557" s="169">
        <f>IFERROR(MATCH(J1557,'Final List'!$D$4:$D$252,0),0)</f>
        <v>0</v>
      </c>
      <c r="M1557" s="169">
        <f>IFERROR(MATCH(J1557,'Final List'!$F$4:$F$251,0),0)</f>
        <v>0</v>
      </c>
      <c r="N1557" s="169">
        <f>IFERROR(MATCH(J1557,'Final List'!$H$4:$H$252,0),0)</f>
        <v>0</v>
      </c>
      <c r="O1557" s="169">
        <f>IFERROR(MATCH(J1557,'Final List'!$J$4:$J$252,0),0)</f>
        <v>0</v>
      </c>
      <c r="P1557" s="169">
        <f>IFERROR(MATCH(J1557,'Final List'!$L$4:$L$252,0),0)</f>
        <v>0</v>
      </c>
      <c r="Q1557" s="169">
        <f>IFERROR(MATCH(J1557,'Final List'!$N$4:$N$252,0),0)</f>
        <v>0</v>
      </c>
      <c r="R1557" s="169">
        <f>IFERROR(MATCH(J1557,'Final List'!$P$4:$P$252,0),0)</f>
        <v>0</v>
      </c>
      <c r="S1557" s="169">
        <f t="shared" si="99"/>
        <v>0</v>
      </c>
      <c r="V1557" s="169" t="str">
        <f t="shared" si="97"/>
        <v>OY-YOY</v>
      </c>
      <c r="W1557" s="169" t="s">
        <v>2706</v>
      </c>
    </row>
    <row r="1558" spans="2:23" x14ac:dyDescent="0.25">
      <c r="B1558" s="169" t="s">
        <v>96</v>
      </c>
      <c r="C1558" s="169" t="s">
        <v>56</v>
      </c>
      <c r="D1558" s="169" t="s">
        <v>174</v>
      </c>
      <c r="E1558" s="169" t="s">
        <v>211</v>
      </c>
      <c r="F1558" s="245" t="str">
        <f t="shared" si="98"/>
        <v>StpS 77</v>
      </c>
      <c r="G1558" s="169" t="s">
        <v>350</v>
      </c>
      <c r="H1558" s="169" t="s">
        <v>8201</v>
      </c>
      <c r="I1558" s="169" t="str">
        <f t="shared" si="96"/>
        <v>L09_GHVFW_052E_STOPE PREP</v>
      </c>
      <c r="J1558" s="169" t="s">
        <v>8808</v>
      </c>
      <c r="K1558" s="169">
        <f>IFERROR(MATCH(J1558,'Final List'!$B$4:$B$252,0),0)</f>
        <v>0</v>
      </c>
      <c r="L1558" s="169">
        <f>IFERROR(MATCH(J1558,'Final List'!$D$4:$D$252,0),0)</f>
        <v>0</v>
      </c>
      <c r="M1558" s="169">
        <f>IFERROR(MATCH(J1558,'Final List'!$F$4:$F$251,0),0)</f>
        <v>0</v>
      </c>
      <c r="N1558" s="169">
        <f>IFERROR(MATCH(J1558,'Final List'!$H$4:$H$252,0),0)</f>
        <v>0</v>
      </c>
      <c r="O1558" s="169">
        <f>IFERROR(MATCH(J1558,'Final List'!$J$4:$J$252,0),0)</f>
        <v>0</v>
      </c>
      <c r="P1558" s="169">
        <f>IFERROR(MATCH(J1558,'Final List'!$L$4:$L$252,0),0)</f>
        <v>0</v>
      </c>
      <c r="Q1558" s="169">
        <f>IFERROR(MATCH(J1558,'Final List'!$N$4:$N$252,0),0)</f>
        <v>0</v>
      </c>
      <c r="R1558" s="169">
        <f>IFERROR(MATCH(J1558,'Final List'!$P$4:$P$252,0),0)</f>
        <v>0</v>
      </c>
      <c r="S1558" s="169">
        <f t="shared" si="99"/>
        <v>0</v>
      </c>
      <c r="T1558" s="169" t="s">
        <v>68</v>
      </c>
      <c r="V1558" s="169" t="str">
        <f t="shared" si="97"/>
        <v>PANSIT, NORMAN 1</v>
      </c>
      <c r="W1558" s="169" t="s">
        <v>2712</v>
      </c>
    </row>
    <row r="1559" spans="2:23" x14ac:dyDescent="0.25">
      <c r="B1559" s="169" t="s">
        <v>258</v>
      </c>
      <c r="C1559" s="169" t="s">
        <v>38</v>
      </c>
      <c r="D1559" s="169" t="s">
        <v>176</v>
      </c>
      <c r="E1559" s="169" t="s">
        <v>36</v>
      </c>
      <c r="F1559" s="245" t="str">
        <f t="shared" si="98"/>
        <v>StpS 77</v>
      </c>
      <c r="G1559" s="169" t="s">
        <v>5704</v>
      </c>
      <c r="H1559" s="169" t="s">
        <v>5697</v>
      </c>
      <c r="I1559" s="169" t="str">
        <f t="shared" si="96"/>
        <v>L10_GHV_057E_STOPE</v>
      </c>
      <c r="J1559" s="169" t="s">
        <v>8810</v>
      </c>
      <c r="K1559" s="169">
        <f>IFERROR(MATCH(J1559,'Final List'!$B$4:$B$252,0),0)</f>
        <v>0</v>
      </c>
      <c r="L1559" s="169">
        <f>IFERROR(MATCH(J1559,'Final List'!$D$4:$D$252,0),0)</f>
        <v>0</v>
      </c>
      <c r="M1559" s="169">
        <f>IFERROR(MATCH(J1559,'Final List'!$F$4:$F$251,0),0)</f>
        <v>0</v>
      </c>
      <c r="N1559" s="169">
        <f>IFERROR(MATCH(J1559,'Final List'!$H$4:$H$252,0),0)</f>
        <v>0</v>
      </c>
      <c r="O1559" s="169">
        <f>IFERROR(MATCH(J1559,'Final List'!$J$4:$J$252,0),0)</f>
        <v>0</v>
      </c>
      <c r="P1559" s="169">
        <f>IFERROR(MATCH(J1559,'Final List'!$L$4:$L$252,0),0)</f>
        <v>0</v>
      </c>
      <c r="Q1559" s="169">
        <f>IFERROR(MATCH(J1559,'Final List'!$N$4:$N$252,0),0)</f>
        <v>0</v>
      </c>
      <c r="R1559" s="169">
        <f>IFERROR(MATCH(J1559,'Final List'!$P$4:$P$252,0),0)</f>
        <v>0</v>
      </c>
      <c r="S1559" s="169">
        <f t="shared" si="99"/>
        <v>0</v>
      </c>
      <c r="T1559" s="169" t="s">
        <v>68</v>
      </c>
      <c r="V1559" s="169" t="str">
        <f t="shared" si="97"/>
        <v>OLIVEROS 1</v>
      </c>
      <c r="W1559" s="169" t="s">
        <v>2713</v>
      </c>
    </row>
    <row r="1560" spans="2:23" x14ac:dyDescent="0.25">
      <c r="B1560" s="169" t="s">
        <v>1166</v>
      </c>
      <c r="C1560" s="169" t="s">
        <v>59</v>
      </c>
      <c r="D1560" s="169" t="s">
        <v>201</v>
      </c>
      <c r="E1560" s="169" t="s">
        <v>36</v>
      </c>
      <c r="F1560" s="245" t="str">
        <f t="shared" si="98"/>
        <v>StpS 77</v>
      </c>
      <c r="G1560" s="169" t="s">
        <v>448</v>
      </c>
      <c r="I1560" s="169" t="str">
        <f t="shared" si="96"/>
        <v>L11_GHVHW_067E_STOPE</v>
      </c>
      <c r="J1560" s="169" t="s">
        <v>8811</v>
      </c>
      <c r="K1560" s="169">
        <f>IFERROR(MATCH(J1560,'Final List'!$B$4:$B$252,0),0)</f>
        <v>0</v>
      </c>
      <c r="L1560" s="169">
        <f>IFERROR(MATCH(J1560,'Final List'!$D$4:$D$252,0),0)</f>
        <v>0</v>
      </c>
      <c r="M1560" s="169">
        <f>IFERROR(MATCH(J1560,'Final List'!$F$4:$F$251,0),0)</f>
        <v>0</v>
      </c>
      <c r="N1560" s="169">
        <f>IFERROR(MATCH(J1560,'Final List'!$H$4:$H$252,0),0)</f>
        <v>0</v>
      </c>
      <c r="O1560" s="169">
        <f>IFERROR(MATCH(J1560,'Final List'!$J$4:$J$252,0),0)</f>
        <v>0</v>
      </c>
      <c r="P1560" s="169">
        <f>IFERROR(MATCH(J1560,'Final List'!$L$4:$L$252,0),0)</f>
        <v>0</v>
      </c>
      <c r="Q1560" s="169">
        <f>IFERROR(MATCH(J1560,'Final List'!$N$4:$N$252,0),0)</f>
        <v>0</v>
      </c>
      <c r="R1560" s="169">
        <f>IFERROR(MATCH(J1560,'Final List'!$P$4:$P$252,0),0)</f>
        <v>0</v>
      </c>
      <c r="S1560" s="169">
        <f t="shared" si="99"/>
        <v>0</v>
      </c>
      <c r="T1560" s="169" t="s">
        <v>68</v>
      </c>
      <c r="V1560" s="169" t="str">
        <f t="shared" si="97"/>
        <v>COMAINGKING 2</v>
      </c>
      <c r="W1560" s="169" t="s">
        <v>2713</v>
      </c>
    </row>
    <row r="1561" spans="2:23" x14ac:dyDescent="0.25">
      <c r="B1561" s="169" t="s">
        <v>258</v>
      </c>
      <c r="C1561" s="169" t="s">
        <v>43</v>
      </c>
      <c r="D1561" s="169" t="s">
        <v>6518</v>
      </c>
      <c r="E1561" s="169" t="s">
        <v>61</v>
      </c>
      <c r="F1561" s="245" t="str">
        <f t="shared" si="98"/>
        <v>Dhoz 71</v>
      </c>
      <c r="G1561" s="169" t="s">
        <v>6927</v>
      </c>
      <c r="I1561" s="169" t="str">
        <f t="shared" si="96"/>
        <v>L10_GHVSPLIT_007E_DW</v>
      </c>
      <c r="J1561" s="169" t="s">
        <v>8812</v>
      </c>
      <c r="K1561" s="169">
        <f>IFERROR(MATCH(J1561,'Final List'!$B$4:$B$252,0),0)</f>
        <v>0</v>
      </c>
      <c r="L1561" s="169">
        <f>IFERROR(MATCH(J1561,'Final List'!$D$4:$D$252,0),0)</f>
        <v>0</v>
      </c>
      <c r="M1561" s="169">
        <f>IFERROR(MATCH(J1561,'Final List'!$F$4:$F$251,0),0)</f>
        <v>0</v>
      </c>
      <c r="N1561" s="169">
        <f>IFERROR(MATCH(J1561,'Final List'!$H$4:$H$252,0),0)</f>
        <v>0</v>
      </c>
      <c r="O1561" s="169">
        <f>IFERROR(MATCH(J1561,'Final List'!$J$4:$J$252,0),0)</f>
        <v>0</v>
      </c>
      <c r="P1561" s="169">
        <f>IFERROR(MATCH(J1561,'Final List'!$L$4:$L$252,0),0)</f>
        <v>0</v>
      </c>
      <c r="Q1561" s="169">
        <f>IFERROR(MATCH(J1561,'Final List'!$N$4:$N$252,0),0)</f>
        <v>0</v>
      </c>
      <c r="R1561" s="169">
        <f>IFERROR(MATCH(J1561,'Final List'!$P$4:$P$252,0),0)</f>
        <v>0</v>
      </c>
      <c r="S1561" s="169">
        <f t="shared" si="99"/>
        <v>0</v>
      </c>
      <c r="V1561" s="169" t="str">
        <f t="shared" si="97"/>
        <v>DUHIG, R2</v>
      </c>
      <c r="W1561" s="169" t="s">
        <v>8896</v>
      </c>
    </row>
    <row r="1562" spans="2:23" x14ac:dyDescent="0.25">
      <c r="B1562" s="169" t="s">
        <v>258</v>
      </c>
      <c r="C1562" s="169" t="s">
        <v>43</v>
      </c>
      <c r="D1562" s="169" t="s">
        <v>162</v>
      </c>
      <c r="E1562" s="169" t="s">
        <v>19</v>
      </c>
      <c r="F1562" s="245" t="str">
        <f t="shared" si="98"/>
        <v>DVR 72</v>
      </c>
      <c r="G1562" s="169" t="s">
        <v>6926</v>
      </c>
      <c r="I1562" s="169" t="str">
        <f t="shared" si="96"/>
        <v>L10_GHVSPLIT_008E_RAISE</v>
      </c>
      <c r="J1562" s="169" t="s">
        <v>8813</v>
      </c>
      <c r="K1562" s="169">
        <f>IFERROR(MATCH(J1562,'Final List'!$B$4:$B$252,0),0)</f>
        <v>0</v>
      </c>
      <c r="L1562" s="169">
        <f>IFERROR(MATCH(J1562,'Final List'!$D$4:$D$252,0),0)</f>
        <v>0</v>
      </c>
      <c r="M1562" s="169">
        <f>IFERROR(MATCH(J1562,'Final List'!$F$4:$F$251,0),0)</f>
        <v>0</v>
      </c>
      <c r="N1562" s="169">
        <f>IFERROR(MATCH(J1562,'Final List'!$H$4:$H$252,0),0)</f>
        <v>0</v>
      </c>
      <c r="O1562" s="169">
        <f>IFERROR(MATCH(J1562,'Final List'!$J$4:$J$252,0),0)</f>
        <v>0</v>
      </c>
      <c r="P1562" s="169">
        <f>IFERROR(MATCH(J1562,'Final List'!$L$4:$L$252,0),0)</f>
        <v>0</v>
      </c>
      <c r="Q1562" s="169">
        <f>IFERROR(MATCH(J1562,'Final List'!$N$4:$N$252,0),0)</f>
        <v>0</v>
      </c>
      <c r="R1562" s="169">
        <f>IFERROR(MATCH(J1562,'Final List'!$P$4:$P$252,0),0)</f>
        <v>0</v>
      </c>
      <c r="S1562" s="169">
        <f t="shared" si="99"/>
        <v>0</v>
      </c>
      <c r="V1562" s="169" t="str">
        <f t="shared" si="97"/>
        <v>DUHIG, R1</v>
      </c>
      <c r="W1562" s="169" t="s">
        <v>2715</v>
      </c>
    </row>
    <row r="1563" spans="2:23" x14ac:dyDescent="0.25">
      <c r="B1563" s="169" t="s">
        <v>258</v>
      </c>
      <c r="C1563" s="169" t="s">
        <v>45</v>
      </c>
      <c r="D1563" s="169" t="s">
        <v>5975</v>
      </c>
      <c r="E1563" s="169" t="s">
        <v>61</v>
      </c>
      <c r="F1563" s="245" t="str">
        <f t="shared" si="98"/>
        <v>Dhoz 71</v>
      </c>
      <c r="G1563" s="169" t="s">
        <v>375</v>
      </c>
      <c r="H1563" s="169" t="s">
        <v>9475</v>
      </c>
      <c r="I1563" s="169" t="str">
        <f t="shared" si="96"/>
        <v>L10_DPVE_028E_DW</v>
      </c>
      <c r="J1563" s="169" t="s">
        <v>8815</v>
      </c>
      <c r="K1563" s="169">
        <f>IFERROR(MATCH(J1563,'Final List'!$B$4:$B$252,0),0)</f>
        <v>0</v>
      </c>
      <c r="L1563" s="169">
        <f>IFERROR(MATCH(J1563,'Final List'!$D$4:$D$252,0),0)</f>
        <v>0</v>
      </c>
      <c r="M1563" s="169">
        <f>IFERROR(MATCH(J1563,'Final List'!$F$4:$F$251,0),0)</f>
        <v>0</v>
      </c>
      <c r="N1563" s="169">
        <f>IFERROR(MATCH(J1563,'Final List'!$H$4:$H$252,0),0)</f>
        <v>0</v>
      </c>
      <c r="O1563" s="169">
        <f>IFERROR(MATCH(J1563,'Final List'!$J$4:$J$252,0),0)</f>
        <v>0</v>
      </c>
      <c r="P1563" s="169">
        <f>IFERROR(MATCH(J1563,'Final List'!$L$4:$L$252,0),0)</f>
        <v>0</v>
      </c>
      <c r="Q1563" s="169">
        <f>IFERROR(MATCH(J1563,'Final List'!$N$4:$N$252,0),0)</f>
        <v>0</v>
      </c>
      <c r="R1563" s="169">
        <f>IFERROR(MATCH(J1563,'Final List'!$P$4:$P$252,0),0)</f>
        <v>0</v>
      </c>
      <c r="S1563" s="169">
        <f t="shared" si="99"/>
        <v>0</v>
      </c>
      <c r="V1563" s="169" t="str">
        <f t="shared" si="97"/>
        <v>SHEPHERD AX 1</v>
      </c>
      <c r="W1563" s="169" t="s">
        <v>8896</v>
      </c>
    </row>
    <row r="1564" spans="2:23" x14ac:dyDescent="0.25">
      <c r="B1564" s="169" t="s">
        <v>92</v>
      </c>
      <c r="C1564" s="169" t="s">
        <v>41</v>
      </c>
      <c r="D1564" s="169" t="s">
        <v>5601</v>
      </c>
      <c r="E1564" s="169" t="s">
        <v>62</v>
      </c>
      <c r="F1564" s="245" t="str">
        <f t="shared" si="98"/>
        <v>RobC 80</v>
      </c>
      <c r="G1564" s="169" t="s">
        <v>5698</v>
      </c>
      <c r="H1564" s="169" t="s">
        <v>5706</v>
      </c>
      <c r="I1564" s="169" t="str">
        <f t="shared" si="96"/>
        <v>L05_CTV_026E_ROBBING</v>
      </c>
      <c r="J1564" s="169" t="s">
        <v>8819</v>
      </c>
      <c r="K1564" s="169">
        <f>IFERROR(MATCH(J1564,'Final List'!$B$4:$B$252,0),0)</f>
        <v>0</v>
      </c>
      <c r="L1564" s="169">
        <f>IFERROR(MATCH(J1564,'Final List'!$D$4:$D$252,0),0)</f>
        <v>0</v>
      </c>
      <c r="M1564" s="169">
        <f>IFERROR(MATCH(J1564,'Final List'!$F$4:$F$251,0),0)</f>
        <v>0</v>
      </c>
      <c r="N1564" s="169">
        <f>IFERROR(MATCH(J1564,'Final List'!$H$4:$H$252,0),0)</f>
        <v>0</v>
      </c>
      <c r="O1564" s="169">
        <f>IFERROR(MATCH(J1564,'Final List'!$J$4:$J$252,0),0)</f>
        <v>0</v>
      </c>
      <c r="P1564" s="169">
        <f>IFERROR(MATCH(J1564,'Final List'!$L$4:$L$252,0),0)</f>
        <v>0</v>
      </c>
      <c r="Q1564" s="169">
        <f>IFERROR(MATCH(J1564,'Final List'!$N$4:$N$252,0),0)</f>
        <v>0</v>
      </c>
      <c r="R1564" s="169">
        <f>IFERROR(MATCH(J1564,'Final List'!$P$4:$P$252,0),0)</f>
        <v>0</v>
      </c>
      <c r="S1564" s="169">
        <f t="shared" si="99"/>
        <v>0</v>
      </c>
      <c r="T1564" s="169" t="s">
        <v>48</v>
      </c>
      <c r="V1564" s="169" t="str">
        <f t="shared" si="97"/>
        <v>SHEPHERD AF 1</v>
      </c>
      <c r="W1564" s="169" t="s">
        <v>236</v>
      </c>
    </row>
    <row r="1565" spans="2:23" x14ac:dyDescent="0.25">
      <c r="B1565" s="169" t="s">
        <v>92</v>
      </c>
      <c r="C1565" s="169" t="s">
        <v>39</v>
      </c>
      <c r="D1565" s="169" t="s">
        <v>6518</v>
      </c>
      <c r="E1565" s="169" t="s">
        <v>19</v>
      </c>
      <c r="F1565" s="245" t="str">
        <f t="shared" si="98"/>
        <v>DVR 72</v>
      </c>
      <c r="G1565" s="169" t="s">
        <v>2969</v>
      </c>
      <c r="I1565" s="169" t="str">
        <f t="shared" ref="I1565:I1628" si="100">CONCATENATE(B1565,"_",C1565,"_",D1565,"_",E1565)</f>
        <v>L05_JVHW_007E_RAISE</v>
      </c>
      <c r="J1565" s="169" t="s">
        <v>809</v>
      </c>
      <c r="K1565" s="169">
        <f>IFERROR(MATCH(J1565,'Final List'!$B$4:$B$252,0),0)</f>
        <v>0</v>
      </c>
      <c r="L1565" s="169">
        <f>IFERROR(MATCH(J1565,'Final List'!$D$4:$D$252,0),0)</f>
        <v>0</v>
      </c>
      <c r="M1565" s="169">
        <f>IFERROR(MATCH(J1565,'Final List'!$F$4:$F$251,0),0)</f>
        <v>0</v>
      </c>
      <c r="N1565" s="169">
        <f>IFERROR(MATCH(J1565,'Final List'!$H$4:$H$252,0),0)</f>
        <v>0</v>
      </c>
      <c r="O1565" s="169">
        <f>IFERROR(MATCH(J1565,'Final List'!$J$4:$J$252,0),0)</f>
        <v>0</v>
      </c>
      <c r="P1565" s="169">
        <f>IFERROR(MATCH(J1565,'Final List'!$L$4:$L$252,0),0)</f>
        <v>0</v>
      </c>
      <c r="Q1565" s="169">
        <f>IFERROR(MATCH(J1565,'Final List'!$N$4:$N$252,0),0)</f>
        <v>0</v>
      </c>
      <c r="R1565" s="169">
        <f>IFERROR(MATCH(J1565,'Final List'!$P$4:$P$252,0),0)</f>
        <v>0</v>
      </c>
      <c r="S1565" s="169">
        <f t="shared" si="99"/>
        <v>0</v>
      </c>
      <c r="V1565" s="169" t="str">
        <f t="shared" si="97"/>
        <v>SAMBERE 1</v>
      </c>
      <c r="W1565" s="169" t="s">
        <v>2715</v>
      </c>
    </row>
    <row r="1566" spans="2:23" x14ac:dyDescent="0.25">
      <c r="B1566" s="169" t="s">
        <v>94</v>
      </c>
      <c r="C1566" s="169" t="s">
        <v>56</v>
      </c>
      <c r="D1566" s="169" t="s">
        <v>140</v>
      </c>
      <c r="E1566" s="169" t="s">
        <v>61</v>
      </c>
      <c r="F1566" s="245" t="str">
        <f t="shared" si="98"/>
        <v>Dhoz 71</v>
      </c>
      <c r="G1566" s="169" t="s">
        <v>5720</v>
      </c>
      <c r="I1566" s="169" t="str">
        <f t="shared" si="100"/>
        <v>L07_GHVFW_005W_DW</v>
      </c>
      <c r="J1566" s="169" t="s">
        <v>8820</v>
      </c>
      <c r="K1566" s="169">
        <f>IFERROR(MATCH(J1566,'Final List'!$B$4:$B$252,0),0)</f>
        <v>0</v>
      </c>
      <c r="L1566" s="169">
        <f>IFERROR(MATCH(J1566,'Final List'!$D$4:$D$252,0),0)</f>
        <v>0</v>
      </c>
      <c r="M1566" s="169">
        <f>IFERROR(MATCH(J1566,'Final List'!$F$4:$F$251,0),0)</f>
        <v>0</v>
      </c>
      <c r="N1566" s="169">
        <f>IFERROR(MATCH(J1566,'Final List'!$H$4:$H$252,0),0)</f>
        <v>0</v>
      </c>
      <c r="O1566" s="169">
        <f>IFERROR(MATCH(J1566,'Final List'!$J$4:$J$252,0),0)</f>
        <v>0</v>
      </c>
      <c r="P1566" s="169">
        <f>IFERROR(MATCH(J1566,'Final List'!$L$4:$L$252,0),0)</f>
        <v>0</v>
      </c>
      <c r="Q1566" s="169">
        <f>IFERROR(MATCH(J1566,'Final List'!$N$4:$N$252,0),0)</f>
        <v>0</v>
      </c>
      <c r="R1566" s="169">
        <f>IFERROR(MATCH(J1566,'Final List'!$P$4:$P$252,0),0)</f>
        <v>0</v>
      </c>
      <c r="S1566" s="169">
        <f t="shared" si="99"/>
        <v>0</v>
      </c>
      <c r="V1566" s="169" t="str">
        <f t="shared" si="97"/>
        <v>TURRA 1</v>
      </c>
      <c r="W1566" s="169" t="s">
        <v>8895</v>
      </c>
    </row>
    <row r="1567" spans="2:23" x14ac:dyDescent="0.25">
      <c r="B1567" s="169" t="s">
        <v>93</v>
      </c>
      <c r="C1567" s="169" t="s">
        <v>45</v>
      </c>
      <c r="D1567" s="169" t="s">
        <v>164</v>
      </c>
      <c r="E1567" s="169" t="s">
        <v>60</v>
      </c>
      <c r="F1567" s="245" t="str">
        <f t="shared" si="98"/>
        <v>Dhoz 71</v>
      </c>
      <c r="G1567" s="169" t="s">
        <v>354</v>
      </c>
      <c r="I1567" s="169" t="str">
        <f t="shared" si="100"/>
        <v>L06_DPVE_064E_DE</v>
      </c>
      <c r="J1567" s="169" t="s">
        <v>8855</v>
      </c>
      <c r="K1567" s="169">
        <f>IFERROR(MATCH(J1567,'Final List'!$B$4:$B$252,0),0)</f>
        <v>0</v>
      </c>
      <c r="L1567" s="169">
        <f>IFERROR(MATCH(J1567,'Final List'!$D$4:$D$252,0),0)</f>
        <v>0</v>
      </c>
      <c r="M1567" s="169">
        <f>IFERROR(MATCH(J1567,'Final List'!$F$4:$F$251,0),0)</f>
        <v>0</v>
      </c>
      <c r="N1567" s="169">
        <f>IFERROR(MATCH(J1567,'Final List'!$H$4:$H$252,0),0)</f>
        <v>0</v>
      </c>
      <c r="O1567" s="169">
        <f>IFERROR(MATCH(J1567,'Final List'!$J$4:$J$252,0),0)</f>
        <v>0</v>
      </c>
      <c r="P1567" s="169">
        <f>IFERROR(MATCH(J1567,'Final List'!$L$4:$L$252,0),0)</f>
        <v>0</v>
      </c>
      <c r="Q1567" s="169">
        <f>IFERROR(MATCH(J1567,'Final List'!$N$4:$N$252,0),0)</f>
        <v>0</v>
      </c>
      <c r="R1567" s="169">
        <f>IFERROR(MATCH(J1567,'Final List'!$P$4:$P$252,0),0)</f>
        <v>0</v>
      </c>
      <c r="S1567" s="169">
        <f t="shared" si="99"/>
        <v>0</v>
      </c>
      <c r="V1567" s="169" t="str">
        <f t="shared" si="97"/>
        <v>BAÑEZ 3</v>
      </c>
      <c r="W1567" s="169" t="s">
        <v>8895</v>
      </c>
    </row>
    <row r="1568" spans="2:23" x14ac:dyDescent="0.25">
      <c r="B1568" s="169" t="s">
        <v>93</v>
      </c>
      <c r="C1568" s="169" t="s">
        <v>45</v>
      </c>
      <c r="D1568" s="169" t="s">
        <v>289</v>
      </c>
      <c r="E1568" s="169" t="s">
        <v>60</v>
      </c>
      <c r="F1568" s="245" t="str">
        <f t="shared" si="98"/>
        <v>Dhoz 71</v>
      </c>
      <c r="G1568" s="169" t="s">
        <v>354</v>
      </c>
      <c r="I1568" s="169" t="str">
        <f t="shared" si="100"/>
        <v>L06_DPVE_059E_DE</v>
      </c>
      <c r="J1568" s="169" t="s">
        <v>8823</v>
      </c>
      <c r="K1568" s="169">
        <f>IFERROR(MATCH(J1568,'Final List'!$B$4:$B$252,0),0)</f>
        <v>0</v>
      </c>
      <c r="L1568" s="169">
        <f>IFERROR(MATCH(J1568,'Final List'!$D$4:$D$252,0),0)</f>
        <v>0</v>
      </c>
      <c r="M1568" s="169">
        <f>IFERROR(MATCH(J1568,'Final List'!$F$4:$F$251,0),0)</f>
        <v>0</v>
      </c>
      <c r="N1568" s="169">
        <f>IFERROR(MATCH(J1568,'Final List'!$H$4:$H$252,0),0)</f>
        <v>0</v>
      </c>
      <c r="O1568" s="169">
        <f>IFERROR(MATCH(J1568,'Final List'!$J$4:$J$252,0),0)</f>
        <v>0</v>
      </c>
      <c r="P1568" s="169">
        <f>IFERROR(MATCH(J1568,'Final List'!$L$4:$L$252,0),0)</f>
        <v>0</v>
      </c>
      <c r="Q1568" s="169">
        <f>IFERROR(MATCH(J1568,'Final List'!$N$4:$N$252,0),0)</f>
        <v>0</v>
      </c>
      <c r="R1568" s="169">
        <f>IFERROR(MATCH(J1568,'Final List'!$P$4:$P$252,0),0)</f>
        <v>0</v>
      </c>
      <c r="S1568" s="169">
        <f t="shared" si="99"/>
        <v>0</v>
      </c>
      <c r="V1568" s="169" t="str">
        <f t="shared" si="97"/>
        <v>BAÑEZ 3</v>
      </c>
      <c r="W1568" s="169" t="s">
        <v>8895</v>
      </c>
    </row>
    <row r="1569" spans="2:23" x14ac:dyDescent="0.25">
      <c r="B1569" s="169" t="s">
        <v>258</v>
      </c>
      <c r="C1569" s="169" t="s">
        <v>87</v>
      </c>
      <c r="D1569" s="169" t="s">
        <v>6864</v>
      </c>
      <c r="E1569" s="169" t="s">
        <v>63</v>
      </c>
      <c r="F1569" s="245" t="str">
        <f t="shared" si="98"/>
        <v>Dhoz 71</v>
      </c>
      <c r="G1569" s="169" t="s">
        <v>317</v>
      </c>
      <c r="I1569" s="169" t="str">
        <f t="shared" si="100"/>
        <v>L10_NONE_006E_XCS</v>
      </c>
      <c r="J1569" s="169" t="s">
        <v>8827</v>
      </c>
      <c r="K1569" s="169">
        <f>IFERROR(MATCH(J1569,'Final List'!$B$4:$B$252,0),0)</f>
        <v>0</v>
      </c>
      <c r="L1569" s="169">
        <f>IFERROR(MATCH(J1569,'Final List'!$D$4:$D$252,0),0)</f>
        <v>0</v>
      </c>
      <c r="M1569" s="169">
        <f>IFERROR(MATCH(J1569,'Final List'!$F$4:$F$251,0),0)</f>
        <v>0</v>
      </c>
      <c r="N1569" s="169">
        <f>IFERROR(MATCH(J1569,'Final List'!$H$4:$H$252,0),0)</f>
        <v>0</v>
      </c>
      <c r="O1569" s="169">
        <f>IFERROR(MATCH(J1569,'Final List'!$J$4:$J$252,0),0)</f>
        <v>0</v>
      </c>
      <c r="P1569" s="169">
        <f>IFERROR(MATCH(J1569,'Final List'!$L$4:$L$252,0),0)</f>
        <v>0</v>
      </c>
      <c r="Q1569" s="169">
        <f>IFERROR(MATCH(J1569,'Final List'!$N$4:$N$252,0),0)</f>
        <v>0</v>
      </c>
      <c r="R1569" s="169">
        <f>IFERROR(MATCH(J1569,'Final List'!$P$4:$P$252,0),0)</f>
        <v>0</v>
      </c>
      <c r="S1569" s="169">
        <f t="shared" si="99"/>
        <v>0</v>
      </c>
      <c r="V1569" s="169" t="str">
        <f t="shared" si="97"/>
        <v>PARAGUYA 2</v>
      </c>
      <c r="W1569" s="169" t="s">
        <v>8898</v>
      </c>
    </row>
    <row r="1570" spans="2:23" x14ac:dyDescent="0.25">
      <c r="B1570" s="169" t="s">
        <v>93</v>
      </c>
      <c r="C1570" s="169" t="s">
        <v>44</v>
      </c>
      <c r="D1570" s="169" t="s">
        <v>98</v>
      </c>
      <c r="E1570" s="169" t="s">
        <v>60</v>
      </c>
      <c r="F1570" s="245" t="str">
        <f t="shared" si="98"/>
        <v>Dhoz 71</v>
      </c>
      <c r="G1570" s="169" t="s">
        <v>862</v>
      </c>
      <c r="I1570" s="169" t="str">
        <f t="shared" si="100"/>
        <v>L06_CV_014W_DE</v>
      </c>
      <c r="J1570" s="169" t="s">
        <v>8837</v>
      </c>
      <c r="K1570" s="169">
        <f>IFERROR(MATCH(J1570,'Final List'!$B$4:$B$252,0),0)</f>
        <v>0</v>
      </c>
      <c r="L1570" s="169">
        <f>IFERROR(MATCH(J1570,'Final List'!$D$4:$D$252,0),0)</f>
        <v>0</v>
      </c>
      <c r="M1570" s="169">
        <f>IFERROR(MATCH(J1570,'Final List'!$F$4:$F$251,0),0)</f>
        <v>0</v>
      </c>
      <c r="N1570" s="169">
        <f>IFERROR(MATCH(J1570,'Final List'!$H$4:$H$252,0),0)</f>
        <v>0</v>
      </c>
      <c r="O1570" s="169">
        <f>IFERROR(MATCH(J1570,'Final List'!$J$4:$J$252,0),0)</f>
        <v>0</v>
      </c>
      <c r="P1570" s="169">
        <f>IFERROR(MATCH(J1570,'Final List'!$L$4:$L$252,0),0)</f>
        <v>0</v>
      </c>
      <c r="Q1570" s="169">
        <f>IFERROR(MATCH(J1570,'Final List'!$N$4:$N$252,0),0)</f>
        <v>0</v>
      </c>
      <c r="R1570" s="169">
        <f>IFERROR(MATCH(J1570,'Final List'!$P$4:$P$252,0),0)</f>
        <v>0</v>
      </c>
      <c r="S1570" s="169">
        <f t="shared" si="99"/>
        <v>0</v>
      </c>
      <c r="V1570" s="169" t="str">
        <f t="shared" si="97"/>
        <v>REBOTE 1</v>
      </c>
      <c r="W1570" s="169" t="s">
        <v>8895</v>
      </c>
    </row>
    <row r="1571" spans="2:23" x14ac:dyDescent="0.25">
      <c r="B1571" s="169" t="s">
        <v>93</v>
      </c>
      <c r="C1571" s="169" t="s">
        <v>42</v>
      </c>
      <c r="D1571" s="169" t="s">
        <v>5888</v>
      </c>
      <c r="E1571" s="169" t="s">
        <v>62</v>
      </c>
      <c r="F1571" s="245" t="str">
        <f t="shared" si="98"/>
        <v>RobS 79</v>
      </c>
      <c r="G1571" s="169" t="s">
        <v>378</v>
      </c>
      <c r="I1571" s="169" t="str">
        <f t="shared" si="100"/>
        <v>L06_JV_024W_ROBBING</v>
      </c>
      <c r="J1571" s="169" t="s">
        <v>8828</v>
      </c>
      <c r="K1571" s="169">
        <f>IFERROR(MATCH(J1571,'Final List'!$B$4:$B$252,0),0)</f>
        <v>0</v>
      </c>
      <c r="L1571" s="169">
        <f>IFERROR(MATCH(J1571,'Final List'!$D$4:$D$252,0),0)</f>
        <v>0</v>
      </c>
      <c r="M1571" s="169">
        <f>IFERROR(MATCH(J1571,'Final List'!$F$4:$F$251,0),0)</f>
        <v>0</v>
      </c>
      <c r="N1571" s="169">
        <f>IFERROR(MATCH(J1571,'Final List'!$H$4:$H$252,0),0)</f>
        <v>0</v>
      </c>
      <c r="O1571" s="169">
        <f>IFERROR(MATCH(J1571,'Final List'!$J$4:$J$252,0),0)</f>
        <v>0</v>
      </c>
      <c r="P1571" s="169">
        <f>IFERROR(MATCH(J1571,'Final List'!$L$4:$L$252,0),0)</f>
        <v>0</v>
      </c>
      <c r="Q1571" s="169">
        <f>IFERROR(MATCH(J1571,'Final List'!$N$4:$N$252,0),0)</f>
        <v>0</v>
      </c>
      <c r="R1571" s="169">
        <f>IFERROR(MATCH(J1571,'Final List'!$P$4:$P$252,0),0)</f>
        <v>0</v>
      </c>
      <c r="S1571" s="169">
        <f t="shared" si="99"/>
        <v>0</v>
      </c>
      <c r="T1571" s="169" t="s">
        <v>68</v>
      </c>
      <c r="V1571" s="169" t="str">
        <f t="shared" si="97"/>
        <v>GUNAY 1</v>
      </c>
      <c r="W1571" s="169" t="s">
        <v>2707</v>
      </c>
    </row>
    <row r="1572" spans="2:23" x14ac:dyDescent="0.25">
      <c r="B1572" s="169" t="s">
        <v>95</v>
      </c>
      <c r="C1572" s="169" t="s">
        <v>57</v>
      </c>
      <c r="D1572" s="169" t="s">
        <v>159</v>
      </c>
      <c r="E1572" s="169" t="s">
        <v>60</v>
      </c>
      <c r="F1572" s="245" t="str">
        <f t="shared" si="98"/>
        <v>Dhoz 71</v>
      </c>
      <c r="G1572" s="169" t="s">
        <v>6936</v>
      </c>
      <c r="I1572" s="169" t="str">
        <f t="shared" si="100"/>
        <v>L08_JVSPLIT_023E_DE</v>
      </c>
      <c r="J1572" s="169" t="s">
        <v>8830</v>
      </c>
      <c r="K1572" s="169">
        <f>IFERROR(MATCH(J1572,'Final List'!$B$4:$B$252,0),0)</f>
        <v>0</v>
      </c>
      <c r="L1572" s="169">
        <f>IFERROR(MATCH(J1572,'Final List'!$D$4:$D$252,0),0)</f>
        <v>0</v>
      </c>
      <c r="M1572" s="169">
        <f>IFERROR(MATCH(J1572,'Final List'!$F$4:$F$251,0),0)</f>
        <v>0</v>
      </c>
      <c r="N1572" s="169">
        <f>IFERROR(MATCH(J1572,'Final List'!$H$4:$H$252,0),0)</f>
        <v>0</v>
      </c>
      <c r="O1572" s="169">
        <f>IFERROR(MATCH(J1572,'Final List'!$J$4:$J$252,0),0)</f>
        <v>0</v>
      </c>
      <c r="P1572" s="169">
        <f>IFERROR(MATCH(J1572,'Final List'!$L$4:$L$252,0),0)</f>
        <v>0</v>
      </c>
      <c r="Q1572" s="169">
        <f>IFERROR(MATCH(J1572,'Final List'!$N$4:$N$252,0),0)</f>
        <v>0</v>
      </c>
      <c r="R1572" s="169">
        <f>IFERROR(MATCH(J1572,'Final List'!$P$4:$P$252,0),0)</f>
        <v>0</v>
      </c>
      <c r="S1572" s="169">
        <f t="shared" si="99"/>
        <v>0</v>
      </c>
      <c r="V1572" s="169" t="str">
        <f t="shared" si="97"/>
        <v>OSWAY 1</v>
      </c>
      <c r="W1572" s="169" t="s">
        <v>8895</v>
      </c>
    </row>
    <row r="1573" spans="2:23" x14ac:dyDescent="0.25">
      <c r="B1573" s="169" t="s">
        <v>93</v>
      </c>
      <c r="C1573" s="169" t="s">
        <v>42</v>
      </c>
      <c r="D1573" s="169" t="s">
        <v>165</v>
      </c>
      <c r="E1573" s="169" t="s">
        <v>62</v>
      </c>
      <c r="F1573" s="245" t="str">
        <f t="shared" si="98"/>
        <v>RobC 80</v>
      </c>
      <c r="G1573" s="169" t="s">
        <v>349</v>
      </c>
      <c r="I1573" s="169" t="str">
        <f t="shared" si="100"/>
        <v>L06_JV_056E_ROBBING</v>
      </c>
      <c r="J1573" s="169" t="s">
        <v>852</v>
      </c>
      <c r="K1573" s="169">
        <f>IFERROR(MATCH(J1573,'Final List'!$B$4:$B$252,0),0)</f>
        <v>0</v>
      </c>
      <c r="L1573" s="169">
        <f>IFERROR(MATCH(J1573,'Final List'!$D$4:$D$252,0),0)</f>
        <v>0</v>
      </c>
      <c r="M1573" s="169">
        <f>IFERROR(MATCH(J1573,'Final List'!$F$4:$F$251,0),0)</f>
        <v>0</v>
      </c>
      <c r="N1573" s="169">
        <f>IFERROR(MATCH(J1573,'Final List'!$H$4:$H$252,0),0)</f>
        <v>0</v>
      </c>
      <c r="O1573" s="169">
        <f>IFERROR(MATCH(J1573,'Final List'!$J$4:$J$252,0),0)</f>
        <v>0</v>
      </c>
      <c r="P1573" s="169">
        <f>IFERROR(MATCH(J1573,'Final List'!$L$4:$L$252,0),0)</f>
        <v>0</v>
      </c>
      <c r="Q1573" s="169">
        <f>IFERROR(MATCH(J1573,'Final List'!$N$4:$N$252,0),0)</f>
        <v>0</v>
      </c>
      <c r="R1573" s="169">
        <f>IFERROR(MATCH(J1573,'Final List'!$P$4:$P$252,0),0)</f>
        <v>0</v>
      </c>
      <c r="S1573" s="169">
        <f t="shared" si="99"/>
        <v>0</v>
      </c>
      <c r="T1573" s="169" t="s">
        <v>48</v>
      </c>
      <c r="V1573" s="169" t="str">
        <f t="shared" si="97"/>
        <v>QUIJANO 2</v>
      </c>
      <c r="W1573" s="169" t="s">
        <v>236</v>
      </c>
    </row>
    <row r="1574" spans="2:23" x14ac:dyDescent="0.25">
      <c r="B1574" s="169" t="s">
        <v>258</v>
      </c>
      <c r="C1574" s="169" t="s">
        <v>45</v>
      </c>
      <c r="D1574" s="169" t="s">
        <v>5887</v>
      </c>
      <c r="E1574" s="169" t="s">
        <v>19</v>
      </c>
      <c r="F1574" s="245" t="str">
        <f t="shared" si="98"/>
        <v>DVR 72</v>
      </c>
      <c r="G1574" s="169" t="s">
        <v>354</v>
      </c>
      <c r="H1574" s="169" t="s">
        <v>10805</v>
      </c>
      <c r="I1574" s="169" t="str">
        <f t="shared" si="100"/>
        <v>L10_DPVE_085E_RAISE</v>
      </c>
      <c r="J1574" s="169" t="s">
        <v>8838</v>
      </c>
      <c r="K1574" s="169">
        <f>IFERROR(MATCH(J1574,'Final List'!$B$4:$B$252,0),0)</f>
        <v>0</v>
      </c>
      <c r="L1574" s="169">
        <f>IFERROR(MATCH(J1574,'Final List'!$D$4:$D$252,0),0)</f>
        <v>0</v>
      </c>
      <c r="M1574" s="169">
        <f>IFERROR(MATCH(J1574,'Final List'!$F$4:$F$251,0),0)</f>
        <v>0</v>
      </c>
      <c r="N1574" s="169">
        <f>IFERROR(MATCH(J1574,'Final List'!$H$4:$H$252,0),0)</f>
        <v>0</v>
      </c>
      <c r="O1574" s="169">
        <f>IFERROR(MATCH(J1574,'Final List'!$J$4:$J$252,0),0)</f>
        <v>0</v>
      </c>
      <c r="P1574" s="169">
        <f>IFERROR(MATCH(J1574,'Final List'!$L$4:$L$252,0),0)</f>
        <v>0</v>
      </c>
      <c r="Q1574" s="169">
        <f>IFERROR(MATCH(J1574,'Final List'!$N$4:$N$252,0),0)</f>
        <v>0</v>
      </c>
      <c r="R1574" s="169">
        <f>IFERROR(MATCH(J1574,'Final List'!$P$4:$P$252,0),0)</f>
        <v>0</v>
      </c>
      <c r="S1574" s="169">
        <f t="shared" si="99"/>
        <v>0</v>
      </c>
      <c r="V1574" s="169" t="str">
        <f t="shared" si="97"/>
        <v>SHEPHERD BD 1</v>
      </c>
      <c r="W1574" s="169" t="s">
        <v>2715</v>
      </c>
    </row>
    <row r="1575" spans="2:23" x14ac:dyDescent="0.25">
      <c r="B1575" s="169" t="s">
        <v>258</v>
      </c>
      <c r="C1575" s="169" t="s">
        <v>87</v>
      </c>
      <c r="D1575" s="169" t="s">
        <v>5602</v>
      </c>
      <c r="E1575" s="169" t="s">
        <v>63</v>
      </c>
      <c r="F1575" s="245" t="str">
        <f t="shared" si="98"/>
        <v>Dhoz 71</v>
      </c>
      <c r="G1575" s="169" t="s">
        <v>8843</v>
      </c>
      <c r="I1575" s="169" t="str">
        <f t="shared" si="100"/>
        <v>L10_NONE_053E_XCS</v>
      </c>
      <c r="J1575" s="169" t="s">
        <v>8842</v>
      </c>
      <c r="K1575" s="169">
        <f>IFERROR(MATCH(J1575,'Final List'!$B$4:$B$252,0),0)</f>
        <v>0</v>
      </c>
      <c r="L1575" s="169">
        <f>IFERROR(MATCH(J1575,'Final List'!$D$4:$D$252,0),0)</f>
        <v>0</v>
      </c>
      <c r="M1575" s="169">
        <f>IFERROR(MATCH(J1575,'Final List'!$F$4:$F$251,0),0)</f>
        <v>0</v>
      </c>
      <c r="N1575" s="169">
        <f>IFERROR(MATCH(J1575,'Final List'!$H$4:$H$252,0),0)</f>
        <v>0</v>
      </c>
      <c r="O1575" s="169">
        <f>IFERROR(MATCH(J1575,'Final List'!$J$4:$J$252,0),0)</f>
        <v>0</v>
      </c>
      <c r="P1575" s="169">
        <f>IFERROR(MATCH(J1575,'Final List'!$L$4:$L$252,0),0)</f>
        <v>0</v>
      </c>
      <c r="Q1575" s="169">
        <f>IFERROR(MATCH(J1575,'Final List'!$N$4:$N$252,0),0)</f>
        <v>0</v>
      </c>
      <c r="R1575" s="169">
        <f>IFERROR(MATCH(J1575,'Final List'!$P$4:$P$252,0),0)</f>
        <v>0</v>
      </c>
      <c r="S1575" s="169">
        <f t="shared" si="99"/>
        <v>0</v>
      </c>
      <c r="V1575" s="169" t="str">
        <f t="shared" si="97"/>
        <v>DUHIG, PETER</v>
      </c>
      <c r="W1575" s="169" t="s">
        <v>8898</v>
      </c>
    </row>
    <row r="1576" spans="2:23" x14ac:dyDescent="0.25">
      <c r="B1576" s="169" t="s">
        <v>258</v>
      </c>
      <c r="C1576" s="169" t="s">
        <v>87</v>
      </c>
      <c r="D1576" s="169" t="s">
        <v>164</v>
      </c>
      <c r="E1576" s="169" t="s">
        <v>37</v>
      </c>
      <c r="F1576" s="245" t="str">
        <f t="shared" si="98"/>
        <v>Dhoz 71</v>
      </c>
      <c r="G1576" s="169" t="s">
        <v>318</v>
      </c>
      <c r="I1576" s="169" t="str">
        <f t="shared" si="100"/>
        <v>L10_NONE_064E_XCN</v>
      </c>
      <c r="J1576" s="169" t="s">
        <v>8845</v>
      </c>
      <c r="K1576" s="169">
        <f>IFERROR(MATCH(J1576,'Final List'!$B$4:$B$252,0),0)</f>
        <v>0</v>
      </c>
      <c r="L1576" s="169">
        <f>IFERROR(MATCH(J1576,'Final List'!$D$4:$D$252,0),0)</f>
        <v>0</v>
      </c>
      <c r="M1576" s="169">
        <f>IFERROR(MATCH(J1576,'Final List'!$F$4:$F$251,0),0)</f>
        <v>0</v>
      </c>
      <c r="N1576" s="169">
        <f>IFERROR(MATCH(J1576,'Final List'!$H$4:$H$252,0),0)</f>
        <v>0</v>
      </c>
      <c r="O1576" s="169">
        <f>IFERROR(MATCH(J1576,'Final List'!$J$4:$J$252,0),0)</f>
        <v>0</v>
      </c>
      <c r="P1576" s="169">
        <f>IFERROR(MATCH(J1576,'Final List'!$L$4:$L$252,0),0)</f>
        <v>0</v>
      </c>
      <c r="Q1576" s="169">
        <f>IFERROR(MATCH(J1576,'Final List'!$N$4:$N$252,0),0)</f>
        <v>0</v>
      </c>
      <c r="R1576" s="169">
        <f>IFERROR(MATCH(J1576,'Final List'!$P$4:$P$252,0),0)</f>
        <v>0</v>
      </c>
      <c r="S1576" s="169">
        <f t="shared" si="99"/>
        <v>0</v>
      </c>
      <c r="V1576" s="169" t="str">
        <f t="shared" si="97"/>
        <v>PARAGUYA 3</v>
      </c>
      <c r="W1576" s="169" t="s">
        <v>8898</v>
      </c>
    </row>
    <row r="1577" spans="2:23" x14ac:dyDescent="0.25">
      <c r="B1577" s="169" t="s">
        <v>95</v>
      </c>
      <c r="C1577" s="169" t="s">
        <v>45</v>
      </c>
      <c r="D1577" s="169" t="s">
        <v>5631</v>
      </c>
      <c r="E1577" s="169" t="s">
        <v>19</v>
      </c>
      <c r="F1577" s="245" t="str">
        <f t="shared" si="98"/>
        <v>DVR 72</v>
      </c>
      <c r="G1577" s="169" t="s">
        <v>386</v>
      </c>
      <c r="I1577" s="169" t="str">
        <f t="shared" si="100"/>
        <v>L08_DPVE_020E_RAISE</v>
      </c>
      <c r="J1577" s="169" t="s">
        <v>8846</v>
      </c>
      <c r="K1577" s="169">
        <f>IFERROR(MATCH(J1577,'Final List'!$B$4:$B$252,0),0)</f>
        <v>0</v>
      </c>
      <c r="L1577" s="169">
        <f>IFERROR(MATCH(J1577,'Final List'!$D$4:$D$252,0),0)</f>
        <v>0</v>
      </c>
      <c r="M1577" s="169">
        <f>IFERROR(MATCH(J1577,'Final List'!$F$4:$F$251,0),0)</f>
        <v>0</v>
      </c>
      <c r="N1577" s="169">
        <f>IFERROR(MATCH(J1577,'Final List'!$H$4:$H$252,0),0)</f>
        <v>0</v>
      </c>
      <c r="O1577" s="169">
        <f>IFERROR(MATCH(J1577,'Final List'!$J$4:$J$252,0),0)</f>
        <v>0</v>
      </c>
      <c r="P1577" s="169">
        <f>IFERROR(MATCH(J1577,'Final List'!$L$4:$L$252,0),0)</f>
        <v>0</v>
      </c>
      <c r="Q1577" s="169">
        <f>IFERROR(MATCH(J1577,'Final List'!$N$4:$N$252,0),0)</f>
        <v>0</v>
      </c>
      <c r="R1577" s="169">
        <f>IFERROR(MATCH(J1577,'Final List'!$P$4:$P$252,0),0)</f>
        <v>0</v>
      </c>
      <c r="S1577" s="169">
        <f t="shared" si="99"/>
        <v>0</v>
      </c>
      <c r="V1577" s="169" t="str">
        <f t="shared" si="97"/>
        <v>REVITA 1</v>
      </c>
      <c r="W1577" s="169" t="s">
        <v>2715</v>
      </c>
    </row>
    <row r="1578" spans="2:23" x14ac:dyDescent="0.25">
      <c r="B1578" s="169" t="s">
        <v>94</v>
      </c>
      <c r="C1578" s="169" t="s">
        <v>56</v>
      </c>
      <c r="D1578" s="169" t="s">
        <v>140</v>
      </c>
      <c r="E1578" s="169" t="s">
        <v>60</v>
      </c>
      <c r="F1578" s="245" t="str">
        <f t="shared" si="98"/>
        <v>Dhoz 71</v>
      </c>
      <c r="G1578" s="169" t="s">
        <v>5720</v>
      </c>
      <c r="I1578" s="169" t="str">
        <f t="shared" si="100"/>
        <v>L07_GHVFW_005W_DE</v>
      </c>
      <c r="J1578" s="169" t="s">
        <v>8832</v>
      </c>
      <c r="K1578" s="169">
        <f>IFERROR(MATCH(J1578,'Final List'!$B$4:$B$252,0),0)</f>
        <v>0</v>
      </c>
      <c r="L1578" s="169">
        <f>IFERROR(MATCH(J1578,'Final List'!$D$4:$D$252,0),0)</f>
        <v>0</v>
      </c>
      <c r="M1578" s="169">
        <f>IFERROR(MATCH(J1578,'Final List'!$F$4:$F$251,0),0)</f>
        <v>0</v>
      </c>
      <c r="N1578" s="169">
        <f>IFERROR(MATCH(J1578,'Final List'!$H$4:$H$252,0),0)</f>
        <v>0</v>
      </c>
      <c r="O1578" s="169">
        <f>IFERROR(MATCH(J1578,'Final List'!$J$4:$J$252,0),0)</f>
        <v>0</v>
      </c>
      <c r="P1578" s="169">
        <f>IFERROR(MATCH(J1578,'Final List'!$L$4:$L$252,0),0)</f>
        <v>0</v>
      </c>
      <c r="Q1578" s="169">
        <f>IFERROR(MATCH(J1578,'Final List'!$N$4:$N$252,0),0)</f>
        <v>0</v>
      </c>
      <c r="R1578" s="169">
        <f>IFERROR(MATCH(J1578,'Final List'!$P$4:$P$252,0),0)</f>
        <v>0</v>
      </c>
      <c r="S1578" s="169">
        <f t="shared" si="99"/>
        <v>0</v>
      </c>
      <c r="V1578" s="169" t="str">
        <f t="shared" si="97"/>
        <v>TURRA 1</v>
      </c>
      <c r="W1578" s="169" t="s">
        <v>8895</v>
      </c>
    </row>
    <row r="1579" spans="2:23" x14ac:dyDescent="0.25">
      <c r="B1579" s="169" t="s">
        <v>258</v>
      </c>
      <c r="C1579" s="169" t="s">
        <v>39</v>
      </c>
      <c r="D1579" s="169" t="s">
        <v>161</v>
      </c>
      <c r="E1579" s="169" t="s">
        <v>211</v>
      </c>
      <c r="F1579" s="245" t="str">
        <f t="shared" si="98"/>
        <v>StpS 77</v>
      </c>
      <c r="G1579" s="169" t="s">
        <v>5703</v>
      </c>
      <c r="I1579" s="169" t="str">
        <f t="shared" si="100"/>
        <v>L10_JVHW_044E_STOPE PREP</v>
      </c>
      <c r="J1579" s="169" t="s">
        <v>8851</v>
      </c>
      <c r="K1579" s="169">
        <f>IFERROR(MATCH(J1579,'Final List'!$B$4:$B$252,0),0)</f>
        <v>0</v>
      </c>
      <c r="L1579" s="169">
        <f>IFERROR(MATCH(J1579,'Final List'!$D$4:$D$252,0),0)</f>
        <v>0</v>
      </c>
      <c r="M1579" s="169">
        <f>IFERROR(MATCH(J1579,'Final List'!$F$4:$F$251,0),0)</f>
        <v>0</v>
      </c>
      <c r="N1579" s="169">
        <f>IFERROR(MATCH(J1579,'Final List'!$H$4:$H$252,0),0)</f>
        <v>0</v>
      </c>
      <c r="O1579" s="169">
        <f>IFERROR(MATCH(J1579,'Final List'!$J$4:$J$252,0),0)</f>
        <v>0</v>
      </c>
      <c r="P1579" s="169">
        <f>IFERROR(MATCH(J1579,'Final List'!$L$4:$L$252,0),0)</f>
        <v>0</v>
      </c>
      <c r="Q1579" s="169">
        <f>IFERROR(MATCH(J1579,'Final List'!$N$4:$N$252,0),0)</f>
        <v>0</v>
      </c>
      <c r="R1579" s="169">
        <f>IFERROR(MATCH(J1579,'Final List'!$P$4:$P$252,0),0)</f>
        <v>0</v>
      </c>
      <c r="S1579" s="169">
        <f t="shared" si="99"/>
        <v>0</v>
      </c>
      <c r="T1579" s="169" t="s">
        <v>68</v>
      </c>
      <c r="V1579" s="169" t="str">
        <f t="shared" si="97"/>
        <v>OLIVEROS 2</v>
      </c>
      <c r="W1579" s="169" t="s">
        <v>2712</v>
      </c>
    </row>
    <row r="1580" spans="2:23" x14ac:dyDescent="0.25">
      <c r="B1580" s="169" t="s">
        <v>258</v>
      </c>
      <c r="C1580" s="169" t="s">
        <v>45</v>
      </c>
      <c r="D1580" s="169" t="s">
        <v>166</v>
      </c>
      <c r="E1580" s="169" t="s">
        <v>211</v>
      </c>
      <c r="F1580" s="245" t="str">
        <f t="shared" si="98"/>
        <v>StpS 77</v>
      </c>
      <c r="G1580" s="169" t="s">
        <v>5705</v>
      </c>
      <c r="I1580" s="169" t="str">
        <f t="shared" si="100"/>
        <v>L10_DPVE_068E_STOPE PREP</v>
      </c>
      <c r="J1580" s="169" t="s">
        <v>8852</v>
      </c>
      <c r="K1580" s="169">
        <f>IFERROR(MATCH(J1580,'Final List'!$B$4:$B$252,0),0)</f>
        <v>0</v>
      </c>
      <c r="L1580" s="169">
        <f>IFERROR(MATCH(J1580,'Final List'!$D$4:$D$252,0),0)</f>
        <v>0</v>
      </c>
      <c r="M1580" s="169">
        <f>IFERROR(MATCH(J1580,'Final List'!$F$4:$F$251,0),0)</f>
        <v>0</v>
      </c>
      <c r="N1580" s="169">
        <f>IFERROR(MATCH(J1580,'Final List'!$H$4:$H$252,0),0)</f>
        <v>0</v>
      </c>
      <c r="O1580" s="169">
        <f>IFERROR(MATCH(J1580,'Final List'!$J$4:$J$252,0),0)</f>
        <v>0</v>
      </c>
      <c r="P1580" s="169">
        <f>IFERROR(MATCH(J1580,'Final List'!$L$4:$L$252,0),0)</f>
        <v>0</v>
      </c>
      <c r="Q1580" s="169">
        <f>IFERROR(MATCH(J1580,'Final List'!$N$4:$N$252,0),0)</f>
        <v>0</v>
      </c>
      <c r="R1580" s="169">
        <f>IFERROR(MATCH(J1580,'Final List'!$P$4:$P$252,0),0)</f>
        <v>0</v>
      </c>
      <c r="S1580" s="169">
        <f t="shared" si="99"/>
        <v>0</v>
      </c>
      <c r="T1580" s="169" t="s">
        <v>68</v>
      </c>
      <c r="V1580" s="169" t="str">
        <f t="shared" si="97"/>
        <v>OLIVEROS 4</v>
      </c>
      <c r="W1580" s="169" t="s">
        <v>2712</v>
      </c>
    </row>
    <row r="1581" spans="2:23" x14ac:dyDescent="0.25">
      <c r="B1581" s="169" t="s">
        <v>258</v>
      </c>
      <c r="C1581" s="169" t="s">
        <v>43</v>
      </c>
      <c r="D1581" s="169" t="s">
        <v>205</v>
      </c>
      <c r="E1581" s="169" t="s">
        <v>61</v>
      </c>
      <c r="F1581" s="245" t="str">
        <f t="shared" si="98"/>
        <v>Dhoz 71</v>
      </c>
      <c r="G1581" s="169" t="s">
        <v>318</v>
      </c>
      <c r="I1581" s="169" t="str">
        <f t="shared" si="100"/>
        <v>L10_GHVSPLIT_066E_DW</v>
      </c>
      <c r="J1581" s="169" t="s">
        <v>8853</v>
      </c>
      <c r="K1581" s="169">
        <f>IFERROR(MATCH(J1581,'Final List'!$B$4:$B$252,0),0)</f>
        <v>0</v>
      </c>
      <c r="L1581" s="169">
        <f>IFERROR(MATCH(J1581,'Final List'!$D$4:$D$252,0),0)</f>
        <v>0</v>
      </c>
      <c r="M1581" s="169">
        <f>IFERROR(MATCH(J1581,'Final List'!$F$4:$F$251,0),0)</f>
        <v>0</v>
      </c>
      <c r="N1581" s="169">
        <f>IFERROR(MATCH(J1581,'Final List'!$H$4:$H$252,0),0)</f>
        <v>0</v>
      </c>
      <c r="O1581" s="169">
        <f>IFERROR(MATCH(J1581,'Final List'!$J$4:$J$252,0),0)</f>
        <v>0</v>
      </c>
      <c r="P1581" s="169">
        <f>IFERROR(MATCH(J1581,'Final List'!$L$4:$L$252,0),0)</f>
        <v>0</v>
      </c>
      <c r="Q1581" s="169">
        <f>IFERROR(MATCH(J1581,'Final List'!$N$4:$N$252,0),0)</f>
        <v>0</v>
      </c>
      <c r="R1581" s="169">
        <f>IFERROR(MATCH(J1581,'Final List'!$P$4:$P$252,0),0)</f>
        <v>0</v>
      </c>
      <c r="S1581" s="169">
        <f t="shared" si="99"/>
        <v>0</v>
      </c>
      <c r="V1581" s="169" t="str">
        <f t="shared" si="97"/>
        <v>PARAGUYA 3</v>
      </c>
      <c r="W1581" s="169" t="s">
        <v>8896</v>
      </c>
    </row>
    <row r="1582" spans="2:23" x14ac:dyDescent="0.25">
      <c r="B1582" s="169" t="s">
        <v>94</v>
      </c>
      <c r="C1582" s="169" t="s">
        <v>42</v>
      </c>
      <c r="D1582" s="169" t="s">
        <v>180</v>
      </c>
      <c r="E1582" s="169" t="s">
        <v>6143</v>
      </c>
      <c r="F1582" s="245" t="str">
        <f t="shared" si="98"/>
        <v>Dhoz 71</v>
      </c>
      <c r="G1582" s="169" t="s">
        <v>2972</v>
      </c>
      <c r="I1582" s="169" t="str">
        <f t="shared" si="100"/>
        <v>L07_JV_041E_DE_ISL</v>
      </c>
      <c r="J1582" s="169" t="s">
        <v>8856</v>
      </c>
      <c r="K1582" s="169">
        <f>IFERROR(MATCH(J1582,'Final List'!$B$4:$B$252,0),0)</f>
        <v>0</v>
      </c>
      <c r="L1582" s="169">
        <f>IFERROR(MATCH(J1582,'Final List'!$D$4:$D$252,0),0)</f>
        <v>0</v>
      </c>
      <c r="M1582" s="169">
        <f>IFERROR(MATCH(J1582,'Final List'!$F$4:$F$251,0),0)</f>
        <v>0</v>
      </c>
      <c r="N1582" s="169">
        <f>IFERROR(MATCH(J1582,'Final List'!$H$4:$H$252,0),0)</f>
        <v>0</v>
      </c>
      <c r="O1582" s="169">
        <f>IFERROR(MATCH(J1582,'Final List'!$J$4:$J$252,0),0)</f>
        <v>0</v>
      </c>
      <c r="P1582" s="169">
        <f>IFERROR(MATCH(J1582,'Final List'!$L$4:$L$252,0),0)</f>
        <v>0</v>
      </c>
      <c r="Q1582" s="169">
        <f>IFERROR(MATCH(J1582,'Final List'!$N$4:$N$252,0),0)</f>
        <v>0</v>
      </c>
      <c r="R1582" s="169">
        <f>IFERROR(MATCH(J1582,'Final List'!$P$4:$P$252,0),0)</f>
        <v>0</v>
      </c>
      <c r="S1582" s="169">
        <f t="shared" si="99"/>
        <v>0</v>
      </c>
      <c r="V1582" s="169" t="str">
        <f t="shared" si="97"/>
        <v>FABROA 1</v>
      </c>
      <c r="W1582" s="169" t="s">
        <v>8895</v>
      </c>
    </row>
    <row r="1583" spans="2:23" x14ac:dyDescent="0.25">
      <c r="B1583" s="169" t="s">
        <v>93</v>
      </c>
      <c r="C1583" s="169" t="s">
        <v>42</v>
      </c>
      <c r="D1583" s="169" t="s">
        <v>6033</v>
      </c>
      <c r="E1583" s="169" t="s">
        <v>20</v>
      </c>
      <c r="F1583" s="245" t="str">
        <f t="shared" si="98"/>
        <v>DVW 74</v>
      </c>
      <c r="G1583" s="169" t="s">
        <v>5980</v>
      </c>
      <c r="I1583" s="169" t="str">
        <f t="shared" si="100"/>
        <v>L06_JV_013E_WINZE</v>
      </c>
      <c r="J1583" s="169" t="s">
        <v>8857</v>
      </c>
      <c r="K1583" s="169">
        <f>IFERROR(MATCH(J1583,'Final List'!$B$4:$B$252,0),0)</f>
        <v>0</v>
      </c>
      <c r="L1583" s="169">
        <f>IFERROR(MATCH(J1583,'Final List'!$D$4:$D$252,0),0)</f>
        <v>0</v>
      </c>
      <c r="M1583" s="169">
        <f>IFERROR(MATCH(J1583,'Final List'!$F$4:$F$251,0),0)</f>
        <v>0</v>
      </c>
      <c r="N1583" s="169">
        <f>IFERROR(MATCH(J1583,'Final List'!$H$4:$H$252,0),0)</f>
        <v>0</v>
      </c>
      <c r="O1583" s="169">
        <f>IFERROR(MATCH(J1583,'Final List'!$J$4:$J$252,0),0)</f>
        <v>0</v>
      </c>
      <c r="P1583" s="169">
        <f>IFERROR(MATCH(J1583,'Final List'!$L$4:$L$252,0),0)</f>
        <v>0</v>
      </c>
      <c r="Q1583" s="169">
        <f>IFERROR(MATCH(J1583,'Final List'!$N$4:$N$252,0),0)</f>
        <v>0</v>
      </c>
      <c r="R1583" s="169">
        <f>IFERROR(MATCH(J1583,'Final List'!$P$4:$P$252,0),0)</f>
        <v>0</v>
      </c>
      <c r="S1583" s="169">
        <f t="shared" si="99"/>
        <v>0</v>
      </c>
      <c r="V1583" s="169" t="str">
        <f t="shared" si="97"/>
        <v xml:space="preserve">CARIKITAN 2 </v>
      </c>
      <c r="W1583" s="169" t="s">
        <v>2706</v>
      </c>
    </row>
    <row r="1584" spans="2:23" x14ac:dyDescent="0.25">
      <c r="B1584" s="169" t="s">
        <v>96</v>
      </c>
      <c r="C1584" s="169" t="s">
        <v>43</v>
      </c>
      <c r="D1584" s="169" t="s">
        <v>169</v>
      </c>
      <c r="E1584" s="169" t="s">
        <v>61</v>
      </c>
      <c r="F1584" s="245" t="str">
        <f t="shared" si="98"/>
        <v>Dhoz 71</v>
      </c>
      <c r="G1584" s="169" t="s">
        <v>5101</v>
      </c>
      <c r="I1584" s="169" t="str">
        <f t="shared" si="100"/>
        <v>L09_GHVSPLIT_065E_DW</v>
      </c>
      <c r="J1584" s="169" t="s">
        <v>8861</v>
      </c>
      <c r="K1584" s="169">
        <f>IFERROR(MATCH(J1584,'Final List'!$B$4:$B$252,0),0)</f>
        <v>0</v>
      </c>
      <c r="L1584" s="169">
        <f>IFERROR(MATCH(J1584,'Final List'!$D$4:$D$252,0),0)</f>
        <v>0</v>
      </c>
      <c r="M1584" s="169">
        <f>IFERROR(MATCH(J1584,'Final List'!$F$4:$F$251,0),0)</f>
        <v>0</v>
      </c>
      <c r="N1584" s="169">
        <f>IFERROR(MATCH(J1584,'Final List'!$H$4:$H$252,0),0)</f>
        <v>0</v>
      </c>
      <c r="O1584" s="169">
        <f>IFERROR(MATCH(J1584,'Final List'!$J$4:$J$252,0),0)</f>
        <v>0</v>
      </c>
      <c r="P1584" s="169">
        <f>IFERROR(MATCH(J1584,'Final List'!$L$4:$L$252,0),0)</f>
        <v>0</v>
      </c>
      <c r="Q1584" s="169">
        <f>IFERROR(MATCH(J1584,'Final List'!$N$4:$N$252,0),0)</f>
        <v>0</v>
      </c>
      <c r="R1584" s="169">
        <f>IFERROR(MATCH(J1584,'Final List'!$P$4:$P$252,0),0)</f>
        <v>0</v>
      </c>
      <c r="S1584" s="169">
        <f t="shared" si="99"/>
        <v>0</v>
      </c>
      <c r="V1584" s="169" t="str">
        <f t="shared" si="97"/>
        <v>DELOS REYES V3</v>
      </c>
      <c r="W1584" s="169" t="s">
        <v>8896</v>
      </c>
    </row>
    <row r="1585" spans="2:23" x14ac:dyDescent="0.25">
      <c r="B1585" s="169" t="s">
        <v>91</v>
      </c>
      <c r="C1585" s="169" t="s">
        <v>44</v>
      </c>
      <c r="D1585" s="169" t="s">
        <v>5689</v>
      </c>
      <c r="E1585" s="169" t="s">
        <v>62</v>
      </c>
      <c r="F1585" s="245" t="str">
        <f t="shared" si="98"/>
        <v>RobS 79</v>
      </c>
      <c r="G1585" s="169" t="s">
        <v>5683</v>
      </c>
      <c r="I1585" s="169" t="str">
        <f t="shared" si="100"/>
        <v>L04_CV_003E_ROBBING</v>
      </c>
      <c r="J1585" s="169" t="s">
        <v>8864</v>
      </c>
      <c r="K1585" s="169">
        <f>IFERROR(MATCH(J1585,'Final List'!$B$4:$B$252,0),0)</f>
        <v>0</v>
      </c>
      <c r="L1585" s="169">
        <f>IFERROR(MATCH(J1585,'Final List'!$D$4:$D$252,0),0)</f>
        <v>0</v>
      </c>
      <c r="M1585" s="169">
        <f>IFERROR(MATCH(J1585,'Final List'!$F$4:$F$251,0),0)</f>
        <v>0</v>
      </c>
      <c r="N1585" s="169">
        <f>IFERROR(MATCH(J1585,'Final List'!$H$4:$H$252,0),0)</f>
        <v>0</v>
      </c>
      <c r="O1585" s="169">
        <f>IFERROR(MATCH(J1585,'Final List'!$J$4:$J$252,0),0)</f>
        <v>0</v>
      </c>
      <c r="P1585" s="169">
        <f>IFERROR(MATCH(J1585,'Final List'!$L$4:$L$252,0),0)</f>
        <v>0</v>
      </c>
      <c r="Q1585" s="169">
        <f>IFERROR(MATCH(J1585,'Final List'!$N$4:$N$252,0),0)</f>
        <v>0</v>
      </c>
      <c r="R1585" s="169">
        <f>IFERROR(MATCH(J1585,'Final List'!$P$4:$P$252,0),0)</f>
        <v>0</v>
      </c>
      <c r="S1585" s="169">
        <f t="shared" si="99"/>
        <v>0</v>
      </c>
      <c r="T1585" s="169" t="s">
        <v>68</v>
      </c>
      <c r="V1585" s="169" t="str">
        <f t="shared" si="97"/>
        <v>SHEPHERD AL</v>
      </c>
      <c r="W1585" s="169" t="s">
        <v>2707</v>
      </c>
    </row>
    <row r="1586" spans="2:23" x14ac:dyDescent="0.25">
      <c r="B1586" s="169" t="s">
        <v>258</v>
      </c>
      <c r="C1586" s="169" t="s">
        <v>56</v>
      </c>
      <c r="D1586" s="169" t="s">
        <v>5689</v>
      </c>
      <c r="E1586" s="169" t="s">
        <v>19</v>
      </c>
      <c r="F1586" s="245" t="str">
        <f t="shared" si="98"/>
        <v>DVR 72</v>
      </c>
      <c r="G1586" s="169" t="s">
        <v>370</v>
      </c>
      <c r="I1586" s="169" t="str">
        <f t="shared" si="100"/>
        <v>L10_GHVFW_003E_RAISE</v>
      </c>
      <c r="J1586" s="169" t="s">
        <v>8865</v>
      </c>
      <c r="K1586" s="169">
        <f>IFERROR(MATCH(J1586,'Final List'!$B$4:$B$252,0),0)</f>
        <v>0</v>
      </c>
      <c r="L1586" s="169">
        <f>IFERROR(MATCH(J1586,'Final List'!$D$4:$D$252,0),0)</f>
        <v>0</v>
      </c>
      <c r="M1586" s="169">
        <f>IFERROR(MATCH(J1586,'Final List'!$F$4:$F$251,0),0)</f>
        <v>0</v>
      </c>
      <c r="N1586" s="169">
        <f>IFERROR(MATCH(J1586,'Final List'!$H$4:$H$252,0),0)</f>
        <v>0</v>
      </c>
      <c r="O1586" s="169">
        <f>IFERROR(MATCH(J1586,'Final List'!$J$4:$J$252,0),0)</f>
        <v>0</v>
      </c>
      <c r="P1586" s="169">
        <f>IFERROR(MATCH(J1586,'Final List'!$L$4:$L$252,0),0)</f>
        <v>0</v>
      </c>
      <c r="Q1586" s="169">
        <f>IFERROR(MATCH(J1586,'Final List'!$N$4:$N$252,0),0)</f>
        <v>0</v>
      </c>
      <c r="R1586" s="169">
        <f>IFERROR(MATCH(J1586,'Final List'!$P$4:$P$252,0),0)</f>
        <v>0</v>
      </c>
      <c r="S1586" s="169">
        <f t="shared" si="99"/>
        <v>0</v>
      </c>
      <c r="V1586" s="169" t="str">
        <f t="shared" si="97"/>
        <v>TAÑEZA 2</v>
      </c>
      <c r="W1586" s="169" t="s">
        <v>2715</v>
      </c>
    </row>
    <row r="1587" spans="2:23" x14ac:dyDescent="0.25">
      <c r="B1587" s="169" t="s">
        <v>95</v>
      </c>
      <c r="C1587" s="169" t="s">
        <v>45</v>
      </c>
      <c r="D1587" s="169" t="s">
        <v>123</v>
      </c>
      <c r="E1587" s="169" t="s">
        <v>211</v>
      </c>
      <c r="F1587" s="245" t="str">
        <f t="shared" si="98"/>
        <v>StpS 77</v>
      </c>
      <c r="G1587" s="169" t="s">
        <v>367</v>
      </c>
      <c r="I1587" s="169" t="str">
        <f t="shared" si="100"/>
        <v>L08_DPVE_031E_STOPE PREP</v>
      </c>
      <c r="J1587" s="169" t="s">
        <v>8868</v>
      </c>
      <c r="K1587" s="169">
        <f>IFERROR(MATCH(J1587,'Final List'!$B$4:$B$252,0),0)</f>
        <v>0</v>
      </c>
      <c r="L1587" s="169">
        <f>IFERROR(MATCH(J1587,'Final List'!$D$4:$D$252,0),0)</f>
        <v>0</v>
      </c>
      <c r="M1587" s="169">
        <f>IFERROR(MATCH(J1587,'Final List'!$F$4:$F$251,0),0)</f>
        <v>0</v>
      </c>
      <c r="N1587" s="169">
        <f>IFERROR(MATCH(J1587,'Final List'!$H$4:$H$252,0),0)</f>
        <v>0</v>
      </c>
      <c r="O1587" s="169">
        <f>IFERROR(MATCH(J1587,'Final List'!$J$4:$J$252,0),0)</f>
        <v>0</v>
      </c>
      <c r="P1587" s="169">
        <f>IFERROR(MATCH(J1587,'Final List'!$L$4:$L$252,0),0)</f>
        <v>0</v>
      </c>
      <c r="Q1587" s="169">
        <f>IFERROR(MATCH(J1587,'Final List'!$N$4:$N$252,0),0)</f>
        <v>0</v>
      </c>
      <c r="R1587" s="169">
        <f>IFERROR(MATCH(J1587,'Final List'!$P$4:$P$252,0),0)</f>
        <v>0</v>
      </c>
      <c r="S1587" s="169">
        <f t="shared" si="99"/>
        <v>0</v>
      </c>
      <c r="T1587" s="169" t="s">
        <v>68</v>
      </c>
      <c r="V1587" s="169" t="str">
        <f t="shared" si="97"/>
        <v>LERIO 1</v>
      </c>
      <c r="W1587" s="169" t="s">
        <v>2712</v>
      </c>
    </row>
    <row r="1588" spans="2:23" x14ac:dyDescent="0.25">
      <c r="B1588" s="169" t="s">
        <v>96</v>
      </c>
      <c r="C1588" s="169" t="s">
        <v>38</v>
      </c>
      <c r="D1588" s="169" t="s">
        <v>5835</v>
      </c>
      <c r="E1588" s="169" t="s">
        <v>62</v>
      </c>
      <c r="F1588" s="245" t="str">
        <f t="shared" si="98"/>
        <v>RobS 79</v>
      </c>
      <c r="G1588" s="169" t="s">
        <v>8873</v>
      </c>
      <c r="I1588" s="169" t="str">
        <f t="shared" si="100"/>
        <v>L09_GHV_003W_ROBBING</v>
      </c>
      <c r="J1588" s="169" t="s">
        <v>8871</v>
      </c>
      <c r="K1588" s="169">
        <f>IFERROR(MATCH(J1588,'Final List'!$B$4:$B$252,0),0)</f>
        <v>0</v>
      </c>
      <c r="L1588" s="169">
        <f>IFERROR(MATCH(J1588,'Final List'!$D$4:$D$252,0),0)</f>
        <v>0</v>
      </c>
      <c r="M1588" s="169">
        <f>IFERROR(MATCH(J1588,'Final List'!$F$4:$F$251,0),0)</f>
        <v>0</v>
      </c>
      <c r="N1588" s="169">
        <f>IFERROR(MATCH(J1588,'Final List'!$H$4:$H$252,0),0)</f>
        <v>0</v>
      </c>
      <c r="O1588" s="169">
        <f>IFERROR(MATCH(J1588,'Final List'!$J$4:$J$252,0),0)</f>
        <v>0</v>
      </c>
      <c r="P1588" s="169">
        <f>IFERROR(MATCH(J1588,'Final List'!$L$4:$L$252,0),0)</f>
        <v>0</v>
      </c>
      <c r="Q1588" s="169">
        <f>IFERROR(MATCH(J1588,'Final List'!$N$4:$N$252,0),0)</f>
        <v>0</v>
      </c>
      <c r="R1588" s="169">
        <f>IFERROR(MATCH(J1588,'Final List'!$P$4:$P$252,0),0)</f>
        <v>0</v>
      </c>
      <c r="S1588" s="169">
        <f t="shared" si="99"/>
        <v>0</v>
      </c>
      <c r="T1588" s="169" t="s">
        <v>68</v>
      </c>
      <c r="V1588" s="169" t="str">
        <f t="shared" si="97"/>
        <v>FERNANDEZ REX 3</v>
      </c>
      <c r="W1588" s="169" t="s">
        <v>2707</v>
      </c>
    </row>
    <row r="1589" spans="2:23" x14ac:dyDescent="0.25">
      <c r="B1589" s="169" t="s">
        <v>91</v>
      </c>
      <c r="C1589" s="169" t="s">
        <v>44</v>
      </c>
      <c r="D1589" s="169" t="s">
        <v>5844</v>
      </c>
      <c r="E1589" s="169" t="s">
        <v>20</v>
      </c>
      <c r="F1589" s="245" t="str">
        <f t="shared" si="98"/>
        <v>DVW 74</v>
      </c>
      <c r="G1589" s="169" t="s">
        <v>299</v>
      </c>
      <c r="I1589" s="169" t="str">
        <f t="shared" si="100"/>
        <v>L04_CV_009W_WINZE</v>
      </c>
      <c r="J1589" s="169" t="s">
        <v>8876</v>
      </c>
      <c r="K1589" s="169">
        <f>IFERROR(MATCH(J1589,'Final List'!$B$4:$B$252,0),0)</f>
        <v>0</v>
      </c>
      <c r="L1589" s="169">
        <f>IFERROR(MATCH(J1589,'Final List'!$D$4:$D$252,0),0)</f>
        <v>0</v>
      </c>
      <c r="M1589" s="169">
        <f>IFERROR(MATCH(J1589,'Final List'!$F$4:$F$251,0),0)</f>
        <v>0</v>
      </c>
      <c r="N1589" s="169">
        <f>IFERROR(MATCH(J1589,'Final List'!$H$4:$H$252,0),0)</f>
        <v>0</v>
      </c>
      <c r="O1589" s="169">
        <f>IFERROR(MATCH(J1589,'Final List'!$J$4:$J$252,0),0)</f>
        <v>0</v>
      </c>
      <c r="P1589" s="169">
        <f>IFERROR(MATCH(J1589,'Final List'!$L$4:$L$252,0),0)</f>
        <v>0</v>
      </c>
      <c r="Q1589" s="169">
        <f>IFERROR(MATCH(J1589,'Final List'!$N$4:$N$252,0),0)</f>
        <v>0</v>
      </c>
      <c r="R1589" s="169">
        <f>IFERROR(MATCH(J1589,'Final List'!$P$4:$P$252,0),0)</f>
        <v>0</v>
      </c>
      <c r="S1589" s="169">
        <f t="shared" si="99"/>
        <v>0</v>
      </c>
      <c r="V1589" s="169" t="str">
        <f t="shared" si="97"/>
        <v>NOCOS 2</v>
      </c>
      <c r="W1589" s="169" t="s">
        <v>2706</v>
      </c>
    </row>
    <row r="1590" spans="2:23" x14ac:dyDescent="0.25">
      <c r="B1590" s="169" t="s">
        <v>258</v>
      </c>
      <c r="C1590" s="169" t="s">
        <v>56</v>
      </c>
      <c r="D1590" s="169" t="s">
        <v>218</v>
      </c>
      <c r="E1590" s="169" t="s">
        <v>19</v>
      </c>
      <c r="F1590" s="245" t="str">
        <f t="shared" si="98"/>
        <v>DVR 72</v>
      </c>
      <c r="G1590" s="169" t="s">
        <v>316</v>
      </c>
      <c r="I1590" s="169" t="str">
        <f t="shared" si="100"/>
        <v>L10_GHVFW_062E_RAISE</v>
      </c>
      <c r="J1590" s="169" t="s">
        <v>8877</v>
      </c>
      <c r="K1590" s="169">
        <f>IFERROR(MATCH(J1590,'Final List'!$B$4:$B$252,0),0)</f>
        <v>0</v>
      </c>
      <c r="L1590" s="169">
        <f>IFERROR(MATCH(J1590,'Final List'!$D$4:$D$252,0),0)</f>
        <v>0</v>
      </c>
      <c r="M1590" s="169">
        <f>IFERROR(MATCH(J1590,'Final List'!$F$4:$F$251,0),0)</f>
        <v>0</v>
      </c>
      <c r="N1590" s="169">
        <f>IFERROR(MATCH(J1590,'Final List'!$H$4:$H$252,0),0)</f>
        <v>0</v>
      </c>
      <c r="O1590" s="169">
        <f>IFERROR(MATCH(J1590,'Final List'!$J$4:$J$252,0),0)</f>
        <v>0</v>
      </c>
      <c r="P1590" s="169">
        <f>IFERROR(MATCH(J1590,'Final List'!$L$4:$L$252,0),0)</f>
        <v>0</v>
      </c>
      <c r="Q1590" s="169">
        <f>IFERROR(MATCH(J1590,'Final List'!$N$4:$N$252,0),0)</f>
        <v>0</v>
      </c>
      <c r="R1590" s="169">
        <f>IFERROR(MATCH(J1590,'Final List'!$P$4:$P$252,0),0)</f>
        <v>0</v>
      </c>
      <c r="S1590" s="169">
        <f t="shared" si="99"/>
        <v>0</v>
      </c>
      <c r="V1590" s="169" t="str">
        <f t="shared" si="97"/>
        <v>PARAGUYA 1</v>
      </c>
      <c r="W1590" s="169" t="s">
        <v>2715</v>
      </c>
    </row>
    <row r="1591" spans="2:23" x14ac:dyDescent="0.25">
      <c r="B1591" s="169" t="s">
        <v>91</v>
      </c>
      <c r="C1591" s="169" t="s">
        <v>55</v>
      </c>
      <c r="D1591" s="169" t="s">
        <v>112</v>
      </c>
      <c r="E1591" s="169" t="s">
        <v>60</v>
      </c>
      <c r="F1591" s="245" t="str">
        <f t="shared" si="98"/>
        <v>Dhoz 71</v>
      </c>
      <c r="G1591" s="169" t="s">
        <v>5715</v>
      </c>
      <c r="I1591" s="169" t="str">
        <f t="shared" si="100"/>
        <v>L04_JVFW_018E_DE</v>
      </c>
      <c r="J1591" s="169" t="s">
        <v>8879</v>
      </c>
      <c r="K1591" s="169">
        <f>IFERROR(MATCH(J1591,'Final List'!$B$4:$B$252,0),0)</f>
        <v>0</v>
      </c>
      <c r="L1591" s="169">
        <f>IFERROR(MATCH(J1591,'Final List'!$D$4:$D$252,0),0)</f>
        <v>0</v>
      </c>
      <c r="M1591" s="169">
        <f>IFERROR(MATCH(J1591,'Final List'!$F$4:$F$251,0),0)</f>
        <v>0</v>
      </c>
      <c r="N1591" s="169">
        <f>IFERROR(MATCH(J1591,'Final List'!$H$4:$H$252,0),0)</f>
        <v>0</v>
      </c>
      <c r="O1591" s="169">
        <f>IFERROR(MATCH(J1591,'Final List'!$J$4:$J$252,0),0)</f>
        <v>0</v>
      </c>
      <c r="P1591" s="169">
        <f>IFERROR(MATCH(J1591,'Final List'!$L$4:$L$252,0),0)</f>
        <v>0</v>
      </c>
      <c r="Q1591" s="169">
        <f>IFERROR(MATCH(J1591,'Final List'!$N$4:$N$252,0),0)</f>
        <v>0</v>
      </c>
      <c r="R1591" s="169">
        <f>IFERROR(MATCH(J1591,'Final List'!$P$4:$P$252,0),0)</f>
        <v>0</v>
      </c>
      <c r="S1591" s="169">
        <f t="shared" si="99"/>
        <v>0</v>
      </c>
      <c r="V1591" s="169" t="str">
        <f t="shared" si="97"/>
        <v>MARTINEZ, RON 1</v>
      </c>
      <c r="W1591" s="169" t="s">
        <v>8895</v>
      </c>
    </row>
    <row r="1592" spans="2:23" x14ac:dyDescent="0.25">
      <c r="B1592" s="169" t="s">
        <v>258</v>
      </c>
      <c r="C1592" s="169" t="s">
        <v>87</v>
      </c>
      <c r="D1592" s="169" t="s">
        <v>8279</v>
      </c>
      <c r="E1592" s="169" t="s">
        <v>63</v>
      </c>
      <c r="F1592" s="245" t="str">
        <f t="shared" si="98"/>
        <v>Dhoz 71</v>
      </c>
      <c r="G1592" s="169" t="s">
        <v>356</v>
      </c>
      <c r="I1592" s="169" t="str">
        <f t="shared" si="100"/>
        <v>L10_NONE_090E_XCS</v>
      </c>
      <c r="J1592" s="169" t="s">
        <v>8881</v>
      </c>
      <c r="K1592" s="169">
        <f>IFERROR(MATCH(J1592,'Final List'!$B$4:$B$252,0),0)</f>
        <v>0</v>
      </c>
      <c r="L1592" s="169">
        <f>IFERROR(MATCH(J1592,'Final List'!$D$4:$D$252,0),0)</f>
        <v>0</v>
      </c>
      <c r="M1592" s="169">
        <f>IFERROR(MATCH(J1592,'Final List'!$F$4:$F$251,0),0)</f>
        <v>0</v>
      </c>
      <c r="N1592" s="169">
        <f>IFERROR(MATCH(J1592,'Final List'!$H$4:$H$252,0),0)</f>
        <v>0</v>
      </c>
      <c r="O1592" s="169">
        <f>IFERROR(MATCH(J1592,'Final List'!$J$4:$J$252,0),0)</f>
        <v>0</v>
      </c>
      <c r="P1592" s="169">
        <f>IFERROR(MATCH(J1592,'Final List'!$L$4:$L$252,0),0)</f>
        <v>0</v>
      </c>
      <c r="Q1592" s="169">
        <f>IFERROR(MATCH(J1592,'Final List'!$N$4:$N$252,0),0)</f>
        <v>0</v>
      </c>
      <c r="R1592" s="169">
        <f>IFERROR(MATCH(J1592,'Final List'!$P$4:$P$252,0),0)</f>
        <v>0</v>
      </c>
      <c r="S1592" s="169">
        <f t="shared" si="99"/>
        <v>0</v>
      </c>
      <c r="V1592" s="169" t="str">
        <f t="shared" si="97"/>
        <v>BAÑEZ 1</v>
      </c>
      <c r="W1592" s="169" t="s">
        <v>8898</v>
      </c>
    </row>
    <row r="1593" spans="2:23" x14ac:dyDescent="0.25">
      <c r="B1593" s="169" t="s">
        <v>94</v>
      </c>
      <c r="C1593" s="169" t="s">
        <v>45</v>
      </c>
      <c r="D1593" s="169" t="s">
        <v>5742</v>
      </c>
      <c r="E1593" s="169" t="s">
        <v>60</v>
      </c>
      <c r="F1593" s="245" t="str">
        <f t="shared" si="98"/>
        <v>Dhoz 71</v>
      </c>
      <c r="G1593" s="169" t="s">
        <v>2970</v>
      </c>
      <c r="I1593" s="169" t="str">
        <f t="shared" si="100"/>
        <v>L07_DPVE_040E_DE</v>
      </c>
      <c r="J1593" s="169" t="s">
        <v>8883</v>
      </c>
      <c r="K1593" s="169">
        <f>IFERROR(MATCH(J1593,'Final List'!$B$4:$B$252,0),0)</f>
        <v>0</v>
      </c>
      <c r="L1593" s="169">
        <f>IFERROR(MATCH(J1593,'Final List'!$D$4:$D$252,0),0)</f>
        <v>0</v>
      </c>
      <c r="M1593" s="169">
        <f>IFERROR(MATCH(J1593,'Final List'!$F$4:$F$251,0),0)</f>
        <v>0</v>
      </c>
      <c r="N1593" s="169">
        <f>IFERROR(MATCH(J1593,'Final List'!$H$4:$H$252,0),0)</f>
        <v>0</v>
      </c>
      <c r="O1593" s="169">
        <f>IFERROR(MATCH(J1593,'Final List'!$J$4:$J$252,0),0)</f>
        <v>0</v>
      </c>
      <c r="P1593" s="169">
        <f>IFERROR(MATCH(J1593,'Final List'!$L$4:$L$252,0),0)</f>
        <v>0</v>
      </c>
      <c r="Q1593" s="169">
        <f>IFERROR(MATCH(J1593,'Final List'!$N$4:$N$252,0),0)</f>
        <v>0</v>
      </c>
      <c r="R1593" s="169">
        <f>IFERROR(MATCH(J1593,'Final List'!$P$4:$P$252,0),0)</f>
        <v>0</v>
      </c>
      <c r="S1593" s="169">
        <f t="shared" si="99"/>
        <v>0</v>
      </c>
      <c r="V1593" s="169" t="str">
        <f t="shared" si="97"/>
        <v>FABROA 2</v>
      </c>
      <c r="W1593" s="169" t="s">
        <v>8895</v>
      </c>
    </row>
    <row r="1594" spans="2:23" x14ac:dyDescent="0.25">
      <c r="B1594" s="169" t="s">
        <v>96</v>
      </c>
      <c r="C1594" s="169" t="s">
        <v>59</v>
      </c>
      <c r="D1594" s="169" t="s">
        <v>165</v>
      </c>
      <c r="E1594" s="169" t="s">
        <v>19</v>
      </c>
      <c r="F1594" s="245" t="str">
        <f t="shared" si="98"/>
        <v>DVR 72</v>
      </c>
      <c r="G1594" s="169" t="s">
        <v>745</v>
      </c>
      <c r="I1594" s="169" t="str">
        <f t="shared" si="100"/>
        <v>L09_GHVHW_056E_RAISE</v>
      </c>
      <c r="J1594" s="169" t="s">
        <v>1761</v>
      </c>
      <c r="K1594" s="169">
        <f>IFERROR(MATCH(J1594,'Final List'!$B$4:$B$252,0),0)</f>
        <v>0</v>
      </c>
      <c r="L1594" s="169">
        <f>IFERROR(MATCH(J1594,'Final List'!$D$4:$D$252,0),0)</f>
        <v>0</v>
      </c>
      <c r="M1594" s="169">
        <f>IFERROR(MATCH(J1594,'Final List'!$F$4:$F$251,0),0)</f>
        <v>0</v>
      </c>
      <c r="N1594" s="169">
        <f>IFERROR(MATCH(J1594,'Final List'!$H$4:$H$252,0),0)</f>
        <v>0</v>
      </c>
      <c r="O1594" s="169">
        <f>IFERROR(MATCH(J1594,'Final List'!$J$4:$J$252,0),0)</f>
        <v>0</v>
      </c>
      <c r="P1594" s="169">
        <f>IFERROR(MATCH(J1594,'Final List'!$L$4:$L$252,0),0)</f>
        <v>0</v>
      </c>
      <c r="Q1594" s="169">
        <f>IFERROR(MATCH(J1594,'Final List'!$N$4:$N$252,0),0)</f>
        <v>0</v>
      </c>
      <c r="R1594" s="169">
        <f>IFERROR(MATCH(J1594,'Final List'!$P$4:$P$252,0),0)</f>
        <v>0</v>
      </c>
      <c r="S1594" s="169">
        <f t="shared" si="99"/>
        <v>0</v>
      </c>
      <c r="V1594" s="169" t="str">
        <f t="shared" si="97"/>
        <v>CANOY 2</v>
      </c>
      <c r="W1594" s="169" t="s">
        <v>2715</v>
      </c>
    </row>
    <row r="1595" spans="2:23" x14ac:dyDescent="0.25">
      <c r="B1595" s="169" t="s">
        <v>258</v>
      </c>
      <c r="C1595" s="169" t="s">
        <v>59</v>
      </c>
      <c r="D1595" s="169" t="s">
        <v>205</v>
      </c>
      <c r="E1595" s="169" t="s">
        <v>61</v>
      </c>
      <c r="F1595" s="245" t="str">
        <f t="shared" si="98"/>
        <v>Dhoz 71</v>
      </c>
      <c r="G1595" s="169" t="s">
        <v>8843</v>
      </c>
      <c r="H1595" s="169" t="s">
        <v>296</v>
      </c>
      <c r="I1595" s="169" t="str">
        <f t="shared" si="100"/>
        <v>L10_GHVHW_066E_DW</v>
      </c>
      <c r="J1595" s="169" t="s">
        <v>10209</v>
      </c>
      <c r="K1595" s="169">
        <f>IFERROR(MATCH(J1595,'Final List'!$B$4:$B$252,0),0)</f>
        <v>0</v>
      </c>
      <c r="L1595" s="169">
        <f>IFERROR(MATCH(J1595,'Final List'!$D$4:$D$252,0),0)</f>
        <v>0</v>
      </c>
      <c r="M1595" s="169">
        <f>IFERROR(MATCH(J1595,'Final List'!$F$4:$F$251,0),0)</f>
        <v>0</v>
      </c>
      <c r="N1595" s="169">
        <f>IFERROR(MATCH(J1595,'Final List'!$H$4:$H$252,0),0)</f>
        <v>0</v>
      </c>
      <c r="O1595" s="169">
        <f>IFERROR(MATCH(J1595,'Final List'!$J$4:$J$252,0),0)</f>
        <v>0</v>
      </c>
      <c r="P1595" s="169">
        <f>IFERROR(MATCH(J1595,'Final List'!$L$4:$L$252,0),0)</f>
        <v>0</v>
      </c>
      <c r="Q1595" s="169">
        <f>IFERROR(MATCH(J1595,'Final List'!$N$4:$N$252,0),0)</f>
        <v>0</v>
      </c>
      <c r="R1595" s="169">
        <f>IFERROR(MATCH(J1595,'Final List'!$P$4:$P$252,0),0)</f>
        <v>0</v>
      </c>
      <c r="S1595" s="169">
        <f t="shared" si="99"/>
        <v>0</v>
      </c>
      <c r="V1595" s="169" t="str">
        <f t="shared" si="97"/>
        <v>MONTEBON 2</v>
      </c>
      <c r="W1595" s="169" t="s">
        <v>8896</v>
      </c>
    </row>
    <row r="1596" spans="2:23" x14ac:dyDescent="0.25">
      <c r="B1596" s="169" t="s">
        <v>92</v>
      </c>
      <c r="C1596" s="169" t="s">
        <v>45</v>
      </c>
      <c r="D1596" s="169" t="s">
        <v>5781</v>
      </c>
      <c r="E1596" s="169" t="s">
        <v>6143</v>
      </c>
      <c r="F1596" s="245" t="str">
        <f t="shared" si="98"/>
        <v>Dhoz 71</v>
      </c>
      <c r="G1596" s="169" t="s">
        <v>8890</v>
      </c>
      <c r="H1596" s="169" t="s">
        <v>10182</v>
      </c>
      <c r="I1596" s="169" t="str">
        <f t="shared" si="100"/>
        <v>L05_DPVE_051E_DE_ISL</v>
      </c>
      <c r="J1596" s="169" t="s">
        <v>8885</v>
      </c>
      <c r="K1596" s="169">
        <f>IFERROR(MATCH(J1596,'Final List'!$B$4:$B$252,0),0)</f>
        <v>0</v>
      </c>
      <c r="L1596" s="169">
        <f>IFERROR(MATCH(J1596,'Final List'!$D$4:$D$252,0),0)</f>
        <v>0</v>
      </c>
      <c r="M1596" s="169">
        <f>IFERROR(MATCH(J1596,'Final List'!$F$4:$F$251,0),0)</f>
        <v>0</v>
      </c>
      <c r="N1596" s="169">
        <f>IFERROR(MATCH(J1596,'Final List'!$H$4:$H$252,0),0)</f>
        <v>0</v>
      </c>
      <c r="O1596" s="169">
        <f>IFERROR(MATCH(J1596,'Final List'!$J$4:$J$252,0),0)</f>
        <v>0</v>
      </c>
      <c r="P1596" s="169">
        <f>IFERROR(MATCH(J1596,'Final List'!$L$4:$L$252,0),0)</f>
        <v>0</v>
      </c>
      <c r="Q1596" s="169">
        <f>IFERROR(MATCH(J1596,'Final List'!$N$4:$N$252,0),0)</f>
        <v>0</v>
      </c>
      <c r="R1596" s="169">
        <f>IFERROR(MATCH(J1596,'Final List'!$P$4:$P$252,0),0)</f>
        <v>0</v>
      </c>
      <c r="S1596" s="169">
        <f t="shared" si="99"/>
        <v>0</v>
      </c>
      <c r="V1596" s="169" t="str">
        <f t="shared" si="97"/>
        <v xml:space="preserve"> PANCIT, NOEL 5</v>
      </c>
      <c r="W1596" s="169" t="s">
        <v>8895</v>
      </c>
    </row>
    <row r="1597" spans="2:23" x14ac:dyDescent="0.25">
      <c r="B1597" s="169" t="s">
        <v>96</v>
      </c>
      <c r="C1597" s="169" t="s">
        <v>38</v>
      </c>
      <c r="D1597" s="169" t="s">
        <v>117</v>
      </c>
      <c r="E1597" s="169" t="s">
        <v>62</v>
      </c>
      <c r="F1597" s="245" t="str">
        <f t="shared" si="98"/>
        <v>RobS 79</v>
      </c>
      <c r="G1597" s="169" t="s">
        <v>8563</v>
      </c>
      <c r="I1597" s="169" t="str">
        <f t="shared" si="100"/>
        <v>L09_GHV_006W_ROBBING</v>
      </c>
      <c r="J1597" s="169" t="s">
        <v>8886</v>
      </c>
      <c r="K1597" s="169">
        <f>IFERROR(MATCH(J1597,'Final List'!$B$4:$B$252,0),0)</f>
        <v>0</v>
      </c>
      <c r="L1597" s="169">
        <f>IFERROR(MATCH(J1597,'Final List'!$D$4:$D$252,0),0)</f>
        <v>0</v>
      </c>
      <c r="M1597" s="169">
        <f>IFERROR(MATCH(J1597,'Final List'!$F$4:$F$251,0),0)</f>
        <v>0</v>
      </c>
      <c r="N1597" s="169">
        <f>IFERROR(MATCH(J1597,'Final List'!$H$4:$H$252,0),0)</f>
        <v>0</v>
      </c>
      <c r="O1597" s="169">
        <f>IFERROR(MATCH(J1597,'Final List'!$J$4:$J$252,0),0)</f>
        <v>0</v>
      </c>
      <c r="P1597" s="169">
        <f>IFERROR(MATCH(J1597,'Final List'!$L$4:$L$252,0),0)</f>
        <v>0</v>
      </c>
      <c r="Q1597" s="169">
        <f>IFERROR(MATCH(J1597,'Final List'!$N$4:$N$252,0),0)</f>
        <v>0</v>
      </c>
      <c r="R1597" s="169">
        <f>IFERROR(MATCH(J1597,'Final List'!$P$4:$P$252,0),0)</f>
        <v>0</v>
      </c>
      <c r="S1597" s="169">
        <f t="shared" si="99"/>
        <v>0</v>
      </c>
      <c r="T1597" s="169" t="s">
        <v>68</v>
      </c>
      <c r="V1597" s="169" t="str">
        <f t="shared" si="97"/>
        <v>FERNADEZ, REX 3</v>
      </c>
      <c r="W1597" s="169" t="s">
        <v>2707</v>
      </c>
    </row>
    <row r="1598" spans="2:23" x14ac:dyDescent="0.25">
      <c r="B1598" s="169" t="s">
        <v>92</v>
      </c>
      <c r="C1598" s="169" t="s">
        <v>42</v>
      </c>
      <c r="D1598" s="169" t="s">
        <v>147</v>
      </c>
      <c r="E1598" s="169" t="s">
        <v>19</v>
      </c>
      <c r="F1598" s="245" t="str">
        <f t="shared" si="98"/>
        <v>DVR 72</v>
      </c>
      <c r="G1598" s="169" t="s">
        <v>8195</v>
      </c>
      <c r="I1598" s="169" t="str">
        <f t="shared" si="100"/>
        <v>L05_JV_024E_RAISE</v>
      </c>
      <c r="J1598" s="169" t="s">
        <v>8891</v>
      </c>
      <c r="K1598" s="169">
        <f>IFERROR(MATCH(J1598,'Final List'!$B$4:$B$252,0),0)</f>
        <v>0</v>
      </c>
      <c r="L1598" s="169">
        <f>IFERROR(MATCH(J1598,'Final List'!$D$4:$D$252,0),0)</f>
        <v>0</v>
      </c>
      <c r="M1598" s="169">
        <f>IFERROR(MATCH(J1598,'Final List'!$F$4:$F$251,0),0)</f>
        <v>0</v>
      </c>
      <c r="N1598" s="169">
        <f>IFERROR(MATCH(J1598,'Final List'!$H$4:$H$252,0),0)</f>
        <v>0</v>
      </c>
      <c r="O1598" s="169">
        <f>IFERROR(MATCH(J1598,'Final List'!$J$4:$J$252,0),0)</f>
        <v>0</v>
      </c>
      <c r="P1598" s="169">
        <f>IFERROR(MATCH(J1598,'Final List'!$L$4:$L$252,0),0)</f>
        <v>0</v>
      </c>
      <c r="Q1598" s="169">
        <f>IFERROR(MATCH(J1598,'Final List'!$N$4:$N$252,0),0)</f>
        <v>0</v>
      </c>
      <c r="R1598" s="169">
        <f>IFERROR(MATCH(J1598,'Final List'!$P$4:$P$252,0),0)</f>
        <v>0</v>
      </c>
      <c r="S1598" s="169">
        <f t="shared" si="99"/>
        <v>0</v>
      </c>
      <c r="V1598" s="169" t="str">
        <f t="shared" si="97"/>
        <v>FERNANDEZ, RG 2</v>
      </c>
      <c r="W1598" s="169" t="s">
        <v>2715</v>
      </c>
    </row>
    <row r="1599" spans="2:23" x14ac:dyDescent="0.25">
      <c r="B1599" s="169" t="s">
        <v>258</v>
      </c>
      <c r="C1599" s="169" t="s">
        <v>45</v>
      </c>
      <c r="D1599" s="169" t="s">
        <v>5604</v>
      </c>
      <c r="E1599" s="169" t="s">
        <v>19</v>
      </c>
      <c r="F1599" s="245" t="str">
        <f t="shared" si="98"/>
        <v>DVR 72</v>
      </c>
      <c r="G1599" s="169" t="s">
        <v>5702</v>
      </c>
      <c r="I1599" s="169" t="str">
        <f t="shared" si="100"/>
        <v>L10_DPVE_063E_RAISE</v>
      </c>
      <c r="J1599" s="169" t="s">
        <v>1098</v>
      </c>
      <c r="K1599" s="169">
        <f>IFERROR(MATCH(J1599,'Final List'!$B$4:$B$252,0),0)</f>
        <v>0</v>
      </c>
      <c r="L1599" s="169">
        <f>IFERROR(MATCH(J1599,'Final List'!$D$4:$D$252,0),0)</f>
        <v>0</v>
      </c>
      <c r="M1599" s="169">
        <f>IFERROR(MATCH(J1599,'Final List'!$F$4:$F$251,0),0)</f>
        <v>0</v>
      </c>
      <c r="N1599" s="169">
        <f>IFERROR(MATCH(J1599,'Final List'!$H$4:$H$252,0),0)</f>
        <v>0</v>
      </c>
      <c r="O1599" s="169">
        <f>IFERROR(MATCH(J1599,'Final List'!$J$4:$J$252,0),0)</f>
        <v>0</v>
      </c>
      <c r="P1599" s="169">
        <f>IFERROR(MATCH(J1599,'Final List'!$L$4:$L$252,0),0)</f>
        <v>0</v>
      </c>
      <c r="Q1599" s="169">
        <f>IFERROR(MATCH(J1599,'Final List'!$N$4:$N$252,0),0)</f>
        <v>0</v>
      </c>
      <c r="R1599" s="169">
        <f>IFERROR(MATCH(J1599,'Final List'!$P$4:$P$252,0),0)</f>
        <v>0</v>
      </c>
      <c r="S1599" s="169">
        <f t="shared" si="99"/>
        <v>0</v>
      </c>
      <c r="V1599" s="169" t="str">
        <f t="shared" si="97"/>
        <v>LARGO 3</v>
      </c>
      <c r="W1599" s="169" t="s">
        <v>2715</v>
      </c>
    </row>
    <row r="1600" spans="2:23" x14ac:dyDescent="0.25">
      <c r="B1600" s="169" t="s">
        <v>94</v>
      </c>
      <c r="C1600" s="169" t="s">
        <v>56</v>
      </c>
      <c r="D1600" s="169" t="s">
        <v>140</v>
      </c>
      <c r="E1600" s="169" t="s">
        <v>19</v>
      </c>
      <c r="F1600" s="245" t="str">
        <f t="shared" si="98"/>
        <v>DVR 72</v>
      </c>
      <c r="G1600" s="169" t="s">
        <v>5720</v>
      </c>
      <c r="I1600" s="169" t="str">
        <f t="shared" si="100"/>
        <v>L07_GHVFW_005W_RAISE</v>
      </c>
      <c r="J1600" s="169" t="s">
        <v>542</v>
      </c>
      <c r="K1600" s="169">
        <f>IFERROR(MATCH(J1600,'Final List'!$B$4:$B$252,0),0)</f>
        <v>0</v>
      </c>
      <c r="L1600" s="169">
        <f>IFERROR(MATCH(J1600,'Final List'!$D$4:$D$252,0),0)</f>
        <v>0</v>
      </c>
      <c r="M1600" s="169">
        <f>IFERROR(MATCH(J1600,'Final List'!$F$4:$F$251,0),0)</f>
        <v>0</v>
      </c>
      <c r="N1600" s="169">
        <f>IFERROR(MATCH(J1600,'Final List'!$H$4:$H$252,0),0)</f>
        <v>0</v>
      </c>
      <c r="O1600" s="169">
        <f>IFERROR(MATCH(J1600,'Final List'!$J$4:$J$252,0),0)</f>
        <v>0</v>
      </c>
      <c r="P1600" s="169">
        <f>IFERROR(MATCH(J1600,'Final List'!$L$4:$L$252,0),0)</f>
        <v>0</v>
      </c>
      <c r="Q1600" s="169">
        <f>IFERROR(MATCH(J1600,'Final List'!$N$4:$N$252,0),0)</f>
        <v>0</v>
      </c>
      <c r="R1600" s="169">
        <f>IFERROR(MATCH(J1600,'Final List'!$P$4:$P$252,0),0)</f>
        <v>0</v>
      </c>
      <c r="S1600" s="169">
        <f t="shared" si="99"/>
        <v>0</v>
      </c>
      <c r="V1600" s="169" t="str">
        <f t="shared" si="97"/>
        <v>TURRA 1</v>
      </c>
      <c r="W1600" s="169" t="s">
        <v>2715</v>
      </c>
    </row>
    <row r="1601" spans="2:23" x14ac:dyDescent="0.25">
      <c r="B1601" s="169" t="s">
        <v>92</v>
      </c>
      <c r="C1601" s="169" t="s">
        <v>41</v>
      </c>
      <c r="D1601" s="169" t="s">
        <v>119</v>
      </c>
      <c r="E1601" s="169" t="s">
        <v>19</v>
      </c>
      <c r="F1601" s="245" t="str">
        <f t="shared" si="98"/>
        <v>DVR 72</v>
      </c>
      <c r="G1601" s="169" t="s">
        <v>5699</v>
      </c>
      <c r="I1601" s="169" t="str">
        <f t="shared" si="100"/>
        <v>L05_CTV_012E_RAISE</v>
      </c>
      <c r="J1601" s="169" t="s">
        <v>8899</v>
      </c>
      <c r="K1601" s="169">
        <f>IFERROR(MATCH(J1601,'Final List'!$B$4:$B$252,0),0)</f>
        <v>0</v>
      </c>
      <c r="L1601" s="169">
        <f>IFERROR(MATCH(J1601,'Final List'!$D$4:$D$252,0),0)</f>
        <v>0</v>
      </c>
      <c r="M1601" s="169">
        <f>IFERROR(MATCH(J1601,'Final List'!$F$4:$F$251,0),0)</f>
        <v>0</v>
      </c>
      <c r="N1601" s="169">
        <f>IFERROR(MATCH(J1601,'Final List'!$H$4:$H$252,0),0)</f>
        <v>0</v>
      </c>
      <c r="O1601" s="169">
        <f>IFERROR(MATCH(J1601,'Final List'!$J$4:$J$252,0),0)</f>
        <v>0</v>
      </c>
      <c r="P1601" s="169">
        <f>IFERROR(MATCH(J1601,'Final List'!$L$4:$L$252,0),0)</f>
        <v>0</v>
      </c>
      <c r="Q1601" s="169">
        <f>IFERROR(MATCH(J1601,'Final List'!$N$4:$N$252,0),0)</f>
        <v>0</v>
      </c>
      <c r="R1601" s="169">
        <f>IFERROR(MATCH(J1601,'Final List'!$P$4:$P$252,0),0)</f>
        <v>0</v>
      </c>
      <c r="S1601" s="169">
        <f t="shared" si="99"/>
        <v>0</v>
      </c>
      <c r="V1601" s="169" t="str">
        <f t="shared" si="97"/>
        <v>PARAN 2</v>
      </c>
      <c r="W1601" s="169" t="s">
        <v>2715</v>
      </c>
    </row>
    <row r="1602" spans="2:23" x14ac:dyDescent="0.25">
      <c r="B1602" s="169" t="s">
        <v>92</v>
      </c>
      <c r="C1602" s="169" t="s">
        <v>41</v>
      </c>
      <c r="D1602" s="169" t="s">
        <v>133</v>
      </c>
      <c r="E1602" s="169" t="s">
        <v>62</v>
      </c>
      <c r="F1602" s="245" t="str">
        <f t="shared" si="98"/>
        <v>RobC 80</v>
      </c>
      <c r="G1602" s="169" t="s">
        <v>1003</v>
      </c>
      <c r="I1602" s="169" t="str">
        <f t="shared" si="100"/>
        <v>L05_CTV_037E_ROBBING</v>
      </c>
      <c r="J1602" s="169" t="s">
        <v>5054</v>
      </c>
      <c r="K1602" s="169">
        <f>IFERROR(MATCH(J1602,'Final List'!$B$4:$B$252,0),0)</f>
        <v>0</v>
      </c>
      <c r="L1602" s="169">
        <f>IFERROR(MATCH(J1602,'Final List'!$D$4:$D$252,0),0)</f>
        <v>0</v>
      </c>
      <c r="M1602" s="169">
        <f>IFERROR(MATCH(J1602,'Final List'!$F$4:$F$251,0),0)</f>
        <v>0</v>
      </c>
      <c r="N1602" s="169">
        <f>IFERROR(MATCH(J1602,'Final List'!$H$4:$H$252,0),0)</f>
        <v>0</v>
      </c>
      <c r="O1602" s="169">
        <f>IFERROR(MATCH(J1602,'Final List'!$J$4:$J$252,0),0)</f>
        <v>0</v>
      </c>
      <c r="P1602" s="169">
        <f>IFERROR(MATCH(J1602,'Final List'!$L$4:$L$252,0),0)</f>
        <v>0</v>
      </c>
      <c r="Q1602" s="169">
        <f>IFERROR(MATCH(J1602,'Final List'!$N$4:$N$252,0),0)</f>
        <v>0</v>
      </c>
      <c r="R1602" s="169">
        <f>IFERROR(MATCH(J1602,'Final List'!$P$4:$P$252,0),0)</f>
        <v>0</v>
      </c>
      <c r="S1602" s="169">
        <f t="shared" si="99"/>
        <v>0</v>
      </c>
      <c r="T1602" s="169" t="s">
        <v>48</v>
      </c>
      <c r="V1602" s="169" t="str">
        <f t="shared" ref="V1602:V1665" si="101">IF(H1602="",G1602,H1602)</f>
        <v>BAYOBAY 2</v>
      </c>
      <c r="W1602" s="169" t="s">
        <v>236</v>
      </c>
    </row>
    <row r="1603" spans="2:23" x14ac:dyDescent="0.25">
      <c r="B1603" s="169" t="s">
        <v>258</v>
      </c>
      <c r="C1603" s="169" t="s">
        <v>38</v>
      </c>
      <c r="D1603" s="169" t="s">
        <v>5602</v>
      </c>
      <c r="E1603" s="169" t="s">
        <v>61</v>
      </c>
      <c r="F1603" s="245" t="str">
        <f t="shared" ref="F1603:F1666" si="102">IF(OR(E1603="XCN",E1603="DE",E1603="DW",E1603="DN",E1603="XCS",E1603="XCE",E1603="XCW",E1603="SUMP",E1603="BYPASS",E1603="CHAMBER",E1603="DRAIN HOLE",E1603="DRILLING CHAMBER",E1603="DE_ISL",E1603="DW_ISL",E1603="REHAB"),"Dhoz 71",IF(OR(E1603="RAISE",E1603="RAISE_ISL"),"DVR 72",IF(E1603="ALIMAK","DVA 73",IF(E1603="WINZE","DVW 74",IF(E1603="SHAFT","DVS 75",IF(AND(E1603="WINZE STOPE",T1603="S"),"RobC 80",IF(AND(E1603="STOPE",T1603="S"),"StpS 77",IF(AND(E1603="WINZE STOPE",T1603="L"),"RobC 80",IF(AND(E1603="STOPE",T1603="L"),"StpL 78",IF(AND(E1603="WINZE STOPE PREP",T1603="S"),"RobC 80",IF(AND(E1603="STOPE PREP",T1603="S"),"StpS 77",IF(AND(E1603="WINZE STOPE PREP",T1603="L"),"RobC 80",IF(AND(E1603="STOPE PREP",T1603="L"),"StpL 78",IF(AND(E1603="ROBBING",T1603="L"),"RobC 80",IF(AND(E1603="ROBBING",T1603="S"),"RobS 79",0)))))))))))))))</f>
        <v>Dhoz 71</v>
      </c>
      <c r="G1603" s="169" t="s">
        <v>8843</v>
      </c>
      <c r="H1603" s="169" t="s">
        <v>371</v>
      </c>
      <c r="I1603" s="169" t="str">
        <f t="shared" si="100"/>
        <v>L10_GHV_053E_DW</v>
      </c>
      <c r="J1603" s="169" t="s">
        <v>8913</v>
      </c>
      <c r="K1603" s="169">
        <f>IFERROR(MATCH(J1603,'Final List'!$B$4:$B$252,0),0)</f>
        <v>0</v>
      </c>
      <c r="L1603" s="169">
        <f>IFERROR(MATCH(J1603,'Final List'!$D$4:$D$252,0),0)</f>
        <v>0</v>
      </c>
      <c r="M1603" s="169">
        <f>IFERROR(MATCH(J1603,'Final List'!$F$4:$F$251,0),0)</f>
        <v>0</v>
      </c>
      <c r="N1603" s="169">
        <f>IFERROR(MATCH(J1603,'Final List'!$H$4:$H$252,0),0)</f>
        <v>0</v>
      </c>
      <c r="O1603" s="169">
        <f>IFERROR(MATCH(J1603,'Final List'!$J$4:$J$252,0),0)</f>
        <v>0</v>
      </c>
      <c r="P1603" s="169">
        <f>IFERROR(MATCH(J1603,'Final List'!$L$4:$L$252,0),0)</f>
        <v>0</v>
      </c>
      <c r="Q1603" s="169">
        <f>IFERROR(MATCH(J1603,'Final List'!$N$4:$N$252,0),0)</f>
        <v>0</v>
      </c>
      <c r="R1603" s="169">
        <f>IFERROR(MATCH(J1603,'Final List'!$P$4:$P$252,0),0)</f>
        <v>0</v>
      </c>
      <c r="S1603" s="169">
        <f t="shared" ref="S1603:S1666" si="103">SUM(K1603:R1603)</f>
        <v>0</v>
      </c>
      <c r="V1603" s="169" t="str">
        <f t="shared" si="101"/>
        <v>TAÑEZA 3</v>
      </c>
      <c r="W1603" s="169" t="s">
        <v>8896</v>
      </c>
    </row>
    <row r="1604" spans="2:23" x14ac:dyDescent="0.25">
      <c r="B1604" s="169" t="s">
        <v>95</v>
      </c>
      <c r="C1604" s="169" t="s">
        <v>57</v>
      </c>
      <c r="D1604" s="169" t="s">
        <v>178</v>
      </c>
      <c r="E1604" s="169" t="s">
        <v>61</v>
      </c>
      <c r="F1604" s="245" t="str">
        <f t="shared" si="102"/>
        <v>Dhoz 71</v>
      </c>
      <c r="G1604" s="169" t="s">
        <v>451</v>
      </c>
      <c r="I1604" s="169" t="str">
        <f t="shared" si="100"/>
        <v>L08_JVSPLIT_048E_DW</v>
      </c>
      <c r="J1604" s="169" t="s">
        <v>8914</v>
      </c>
      <c r="K1604" s="169">
        <f>IFERROR(MATCH(J1604,'Final List'!$B$4:$B$252,0),0)</f>
        <v>0</v>
      </c>
      <c r="L1604" s="169">
        <f>IFERROR(MATCH(J1604,'Final List'!$D$4:$D$252,0),0)</f>
        <v>0</v>
      </c>
      <c r="M1604" s="169">
        <f>IFERROR(MATCH(J1604,'Final List'!$F$4:$F$251,0),0)</f>
        <v>0</v>
      </c>
      <c r="N1604" s="169">
        <f>IFERROR(MATCH(J1604,'Final List'!$H$4:$H$252,0),0)</f>
        <v>0</v>
      </c>
      <c r="O1604" s="169">
        <f>IFERROR(MATCH(J1604,'Final List'!$J$4:$J$252,0),0)</f>
        <v>0</v>
      </c>
      <c r="P1604" s="169">
        <f>IFERROR(MATCH(J1604,'Final List'!$L$4:$L$252,0),0)</f>
        <v>0</v>
      </c>
      <c r="Q1604" s="169">
        <f>IFERROR(MATCH(J1604,'Final List'!$N$4:$N$252,0),0)</f>
        <v>0</v>
      </c>
      <c r="R1604" s="169">
        <f>IFERROR(MATCH(J1604,'Final List'!$P$4:$P$252,0),0)</f>
        <v>0</v>
      </c>
      <c r="S1604" s="169">
        <f t="shared" si="103"/>
        <v>0</v>
      </c>
      <c r="V1604" s="169" t="str">
        <f t="shared" si="101"/>
        <v>BELICAN 2</v>
      </c>
      <c r="W1604" s="169" t="s">
        <v>8895</v>
      </c>
    </row>
    <row r="1605" spans="2:23" x14ac:dyDescent="0.25">
      <c r="B1605" s="169" t="s">
        <v>93</v>
      </c>
      <c r="C1605" s="169" t="s">
        <v>44</v>
      </c>
      <c r="D1605" s="169" t="s">
        <v>5612</v>
      </c>
      <c r="E1605" s="169" t="s">
        <v>60</v>
      </c>
      <c r="F1605" s="245" t="str">
        <f t="shared" si="102"/>
        <v>Dhoz 71</v>
      </c>
      <c r="G1605" s="169" t="s">
        <v>2459</v>
      </c>
      <c r="I1605" s="169" t="str">
        <f t="shared" si="100"/>
        <v>L06_CV_011W_DE</v>
      </c>
      <c r="J1605" s="169" t="s">
        <v>8911</v>
      </c>
      <c r="K1605" s="169">
        <f>IFERROR(MATCH(J1605,'Final List'!$B$4:$B$252,0),0)</f>
        <v>0</v>
      </c>
      <c r="L1605" s="169">
        <f>IFERROR(MATCH(J1605,'Final List'!$D$4:$D$252,0),0)</f>
        <v>0</v>
      </c>
      <c r="M1605" s="169">
        <f>IFERROR(MATCH(J1605,'Final List'!$F$4:$F$251,0),0)</f>
        <v>0</v>
      </c>
      <c r="N1605" s="169">
        <f>IFERROR(MATCH(J1605,'Final List'!$H$4:$H$252,0),0)</f>
        <v>0</v>
      </c>
      <c r="O1605" s="169">
        <f>IFERROR(MATCH(J1605,'Final List'!$J$4:$J$252,0),0)</f>
        <v>0</v>
      </c>
      <c r="P1605" s="169">
        <f>IFERROR(MATCH(J1605,'Final List'!$L$4:$L$252,0),0)</f>
        <v>0</v>
      </c>
      <c r="Q1605" s="169">
        <f>IFERROR(MATCH(J1605,'Final List'!$N$4:$N$252,0),0)</f>
        <v>0</v>
      </c>
      <c r="R1605" s="169">
        <f>IFERROR(MATCH(J1605,'Final List'!$P$4:$P$252,0),0)</f>
        <v>0</v>
      </c>
      <c r="S1605" s="169">
        <f t="shared" si="103"/>
        <v>0</v>
      </c>
      <c r="V1605" s="169" t="str">
        <f t="shared" si="101"/>
        <v>REBOTE 3</v>
      </c>
      <c r="W1605" s="169" t="s">
        <v>8895</v>
      </c>
    </row>
    <row r="1606" spans="2:23" x14ac:dyDescent="0.25">
      <c r="B1606" s="169" t="s">
        <v>258</v>
      </c>
      <c r="C1606" s="169" t="s">
        <v>45</v>
      </c>
      <c r="D1606" s="169" t="s">
        <v>128</v>
      </c>
      <c r="E1606" s="169" t="s">
        <v>19</v>
      </c>
      <c r="F1606" s="245" t="str">
        <f t="shared" si="102"/>
        <v>DVR 72</v>
      </c>
      <c r="G1606" s="169" t="s">
        <v>375</v>
      </c>
      <c r="H1606" s="169" t="s">
        <v>451</v>
      </c>
      <c r="I1606" s="169" t="str">
        <f t="shared" si="100"/>
        <v>L10_DPVE_027E_RAISE</v>
      </c>
      <c r="J1606" s="169" t="s">
        <v>8916</v>
      </c>
      <c r="K1606" s="169">
        <f>IFERROR(MATCH(J1606,'Final List'!$B$4:$B$252,0),0)</f>
        <v>0</v>
      </c>
      <c r="L1606" s="169">
        <f>IFERROR(MATCH(J1606,'Final List'!$D$4:$D$252,0),0)</f>
        <v>0</v>
      </c>
      <c r="M1606" s="169">
        <f>IFERROR(MATCH(J1606,'Final List'!$F$4:$F$251,0),0)</f>
        <v>0</v>
      </c>
      <c r="N1606" s="169">
        <f>IFERROR(MATCH(J1606,'Final List'!$H$4:$H$252,0),0)</f>
        <v>0</v>
      </c>
      <c r="O1606" s="169">
        <f>IFERROR(MATCH(J1606,'Final List'!$J$4:$J$252,0),0)</f>
        <v>0</v>
      </c>
      <c r="P1606" s="169">
        <f>IFERROR(MATCH(J1606,'Final List'!$L$4:$L$252,0),0)</f>
        <v>0</v>
      </c>
      <c r="Q1606" s="169">
        <f>IFERROR(MATCH(J1606,'Final List'!$N$4:$N$252,0),0)</f>
        <v>0</v>
      </c>
      <c r="R1606" s="169">
        <f>IFERROR(MATCH(J1606,'Final List'!$P$4:$P$252,0),0)</f>
        <v>0</v>
      </c>
      <c r="S1606" s="169">
        <f t="shared" si="103"/>
        <v>0</v>
      </c>
      <c r="V1606" s="169" t="str">
        <f t="shared" si="101"/>
        <v>BELICAN 2</v>
      </c>
      <c r="W1606" s="169" t="s">
        <v>2715</v>
      </c>
    </row>
    <row r="1607" spans="2:23" x14ac:dyDescent="0.25">
      <c r="B1607" s="169" t="s">
        <v>96</v>
      </c>
      <c r="C1607" s="169" t="s">
        <v>55</v>
      </c>
      <c r="D1607" s="169" t="s">
        <v>110</v>
      </c>
      <c r="E1607" s="169" t="s">
        <v>60</v>
      </c>
      <c r="F1607" s="245" t="str">
        <f t="shared" si="102"/>
        <v>Dhoz 71</v>
      </c>
      <c r="G1607" s="169" t="s">
        <v>336</v>
      </c>
      <c r="I1607" s="169" t="str">
        <f t="shared" si="100"/>
        <v>L09_JVFW_004E_DE</v>
      </c>
      <c r="J1607" s="169" t="s">
        <v>8945</v>
      </c>
      <c r="K1607" s="169">
        <f>IFERROR(MATCH(J1607,'Final List'!$B$4:$B$252,0),0)</f>
        <v>0</v>
      </c>
      <c r="L1607" s="169">
        <f>IFERROR(MATCH(J1607,'Final List'!$D$4:$D$252,0),0)</f>
        <v>0</v>
      </c>
      <c r="M1607" s="169">
        <f>IFERROR(MATCH(J1607,'Final List'!$F$4:$F$251,0),0)</f>
        <v>0</v>
      </c>
      <c r="N1607" s="169">
        <f>IFERROR(MATCH(J1607,'Final List'!$H$4:$H$252,0),0)</f>
        <v>0</v>
      </c>
      <c r="O1607" s="169">
        <f>IFERROR(MATCH(J1607,'Final List'!$J$4:$J$252,0),0)</f>
        <v>0</v>
      </c>
      <c r="P1607" s="169">
        <f>IFERROR(MATCH(J1607,'Final List'!$L$4:$L$252,0),0)</f>
        <v>0</v>
      </c>
      <c r="Q1607" s="169">
        <f>IFERROR(MATCH(J1607,'Final List'!$N$4:$N$252,0),0)</f>
        <v>0</v>
      </c>
      <c r="R1607" s="169">
        <f>IFERROR(MATCH(J1607,'Final List'!$P$4:$P$252,0),0)</f>
        <v>0</v>
      </c>
      <c r="S1607" s="169">
        <f t="shared" si="103"/>
        <v>0</v>
      </c>
      <c r="V1607" s="169" t="str">
        <f t="shared" si="101"/>
        <v>BALANGHIG 1</v>
      </c>
      <c r="W1607" s="169" t="s">
        <v>8896</v>
      </c>
    </row>
    <row r="1608" spans="2:23" x14ac:dyDescent="0.25">
      <c r="B1608" s="169" t="s">
        <v>258</v>
      </c>
      <c r="C1608" s="169" t="s">
        <v>45</v>
      </c>
      <c r="D1608" s="169" t="s">
        <v>121</v>
      </c>
      <c r="E1608" s="169" t="s">
        <v>36</v>
      </c>
      <c r="F1608" s="245" t="str">
        <f t="shared" si="102"/>
        <v>StpS 77</v>
      </c>
      <c r="G1608" s="169" t="s">
        <v>361</v>
      </c>
      <c r="H1608" s="169" t="s">
        <v>9474</v>
      </c>
      <c r="I1608" s="169" t="str">
        <f t="shared" si="100"/>
        <v>L10_DPVE_022E_STOPE</v>
      </c>
      <c r="J1608" s="169" t="s">
        <v>8920</v>
      </c>
      <c r="K1608" s="169">
        <f>IFERROR(MATCH(J1608,'Final List'!$B$4:$B$252,0),0)</f>
        <v>0</v>
      </c>
      <c r="L1608" s="169">
        <f>IFERROR(MATCH(J1608,'Final List'!$D$4:$D$252,0),0)</f>
        <v>0</v>
      </c>
      <c r="M1608" s="169">
        <f>IFERROR(MATCH(J1608,'Final List'!$F$4:$F$251,0),0)</f>
        <v>0</v>
      </c>
      <c r="N1608" s="169">
        <f>IFERROR(MATCH(J1608,'Final List'!$H$4:$H$252,0),0)</f>
        <v>0</v>
      </c>
      <c r="O1608" s="169">
        <f>IFERROR(MATCH(J1608,'Final List'!$J$4:$J$252,0),0)</f>
        <v>0</v>
      </c>
      <c r="P1608" s="169">
        <f>IFERROR(MATCH(J1608,'Final List'!$L$4:$L$252,0),0)</f>
        <v>0</v>
      </c>
      <c r="Q1608" s="169">
        <f>IFERROR(MATCH(J1608,'Final List'!$N$4:$N$252,0),0)</f>
        <v>0</v>
      </c>
      <c r="R1608" s="169">
        <f>IFERROR(MATCH(J1608,'Final List'!$P$4:$P$252,0),0)</f>
        <v>0</v>
      </c>
      <c r="S1608" s="169">
        <f t="shared" si="103"/>
        <v>0</v>
      </c>
      <c r="T1608" s="169" t="s">
        <v>68</v>
      </c>
      <c r="V1608" s="169" t="str">
        <f t="shared" si="101"/>
        <v>SHEPHERD AX 2</v>
      </c>
      <c r="W1608" s="169" t="s">
        <v>2713</v>
      </c>
    </row>
    <row r="1609" spans="2:23" x14ac:dyDescent="0.25">
      <c r="B1609" s="169" t="s">
        <v>92</v>
      </c>
      <c r="C1609" s="169" t="s">
        <v>41</v>
      </c>
      <c r="D1609" s="169" t="s">
        <v>5975</v>
      </c>
      <c r="E1609" s="169" t="s">
        <v>6144</v>
      </c>
      <c r="F1609" s="245" t="str">
        <f t="shared" si="102"/>
        <v>DVR 72</v>
      </c>
      <c r="G1609" s="169" t="s">
        <v>5698</v>
      </c>
      <c r="I1609" s="169" t="str">
        <f t="shared" si="100"/>
        <v>L05_CTV_028E_RAISE_ISL</v>
      </c>
      <c r="J1609" s="169" t="s">
        <v>8930</v>
      </c>
      <c r="K1609" s="169">
        <f>IFERROR(MATCH(J1609,'Final List'!$B$4:$B$252,0),0)</f>
        <v>0</v>
      </c>
      <c r="L1609" s="169">
        <f>IFERROR(MATCH(J1609,'Final List'!$D$4:$D$252,0),0)</f>
        <v>0</v>
      </c>
      <c r="M1609" s="169">
        <f>IFERROR(MATCH(J1609,'Final List'!$F$4:$F$251,0),0)</f>
        <v>0</v>
      </c>
      <c r="N1609" s="169">
        <f>IFERROR(MATCH(J1609,'Final List'!$H$4:$H$252,0),0)</f>
        <v>0</v>
      </c>
      <c r="O1609" s="169">
        <f>IFERROR(MATCH(J1609,'Final List'!$J$4:$J$252,0),0)</f>
        <v>0</v>
      </c>
      <c r="P1609" s="169">
        <f>IFERROR(MATCH(J1609,'Final List'!$L$4:$L$252,0),0)</f>
        <v>0</v>
      </c>
      <c r="Q1609" s="169">
        <f>IFERROR(MATCH(J1609,'Final List'!$N$4:$N$252,0),0)</f>
        <v>0</v>
      </c>
      <c r="R1609" s="169">
        <f>IFERROR(MATCH(J1609,'Final List'!$P$4:$P$252,0),0)</f>
        <v>0</v>
      </c>
      <c r="S1609" s="169">
        <f t="shared" si="103"/>
        <v>0</v>
      </c>
      <c r="V1609" s="169" t="str">
        <f t="shared" si="101"/>
        <v>PARAN 1</v>
      </c>
      <c r="W1609" s="169" t="s">
        <v>2715</v>
      </c>
    </row>
    <row r="1610" spans="2:23" x14ac:dyDescent="0.25">
      <c r="B1610" s="169" t="s">
        <v>96</v>
      </c>
      <c r="C1610" s="169" t="s">
        <v>45</v>
      </c>
      <c r="D1610" s="169" t="s">
        <v>6946</v>
      </c>
      <c r="E1610" s="169" t="s">
        <v>19</v>
      </c>
      <c r="F1610" s="245" t="str">
        <f t="shared" si="102"/>
        <v>DVR 72</v>
      </c>
      <c r="G1610" s="169" t="s">
        <v>1661</v>
      </c>
      <c r="I1610" s="169" t="str">
        <f t="shared" si="100"/>
        <v>L09_DPVE_081E_RAISE</v>
      </c>
      <c r="J1610" s="169" t="s">
        <v>8926</v>
      </c>
      <c r="K1610" s="169">
        <f>IFERROR(MATCH(J1610,'Final List'!$B$4:$B$252,0),0)</f>
        <v>0</v>
      </c>
      <c r="L1610" s="169">
        <f>IFERROR(MATCH(J1610,'Final List'!$D$4:$D$252,0),0)</f>
        <v>0</v>
      </c>
      <c r="M1610" s="169">
        <f>IFERROR(MATCH(J1610,'Final List'!$F$4:$F$251,0),0)</f>
        <v>0</v>
      </c>
      <c r="N1610" s="169">
        <f>IFERROR(MATCH(J1610,'Final List'!$H$4:$H$252,0),0)</f>
        <v>0</v>
      </c>
      <c r="O1610" s="169">
        <f>IFERROR(MATCH(J1610,'Final List'!$J$4:$J$252,0),0)</f>
        <v>0</v>
      </c>
      <c r="P1610" s="169">
        <f>IFERROR(MATCH(J1610,'Final List'!$L$4:$L$252,0),0)</f>
        <v>0</v>
      </c>
      <c r="Q1610" s="169">
        <f>IFERROR(MATCH(J1610,'Final List'!$N$4:$N$252,0),0)</f>
        <v>0</v>
      </c>
      <c r="R1610" s="169">
        <f>IFERROR(MATCH(J1610,'Final List'!$P$4:$P$252,0),0)</f>
        <v>0</v>
      </c>
      <c r="S1610" s="169">
        <f t="shared" si="103"/>
        <v>0</v>
      </c>
      <c r="V1610" s="169" t="str">
        <f t="shared" si="101"/>
        <v>DELOS REYES V2</v>
      </c>
      <c r="W1610" s="169" t="s">
        <v>2715</v>
      </c>
    </row>
    <row r="1611" spans="2:23" x14ac:dyDescent="0.25">
      <c r="B1611" s="169" t="s">
        <v>258</v>
      </c>
      <c r="C1611" s="169" t="s">
        <v>43</v>
      </c>
      <c r="D1611" s="169" t="s">
        <v>145</v>
      </c>
      <c r="E1611" s="169" t="s">
        <v>61</v>
      </c>
      <c r="F1611" s="245" t="str">
        <f t="shared" si="102"/>
        <v>Dhoz 71</v>
      </c>
      <c r="G1611" s="169" t="s">
        <v>7513</v>
      </c>
      <c r="I1611" s="169" t="str">
        <f t="shared" si="100"/>
        <v>L10_GHVSPLIT_009E_DW</v>
      </c>
      <c r="J1611" s="169" t="s">
        <v>8927</v>
      </c>
      <c r="K1611" s="169">
        <f>IFERROR(MATCH(J1611,'Final List'!$B$4:$B$252,0),0)</f>
        <v>0</v>
      </c>
      <c r="L1611" s="169">
        <f>IFERROR(MATCH(J1611,'Final List'!$D$4:$D$252,0),0)</f>
        <v>0</v>
      </c>
      <c r="M1611" s="169">
        <f>IFERROR(MATCH(J1611,'Final List'!$F$4:$F$251,0),0)</f>
        <v>0</v>
      </c>
      <c r="N1611" s="169">
        <f>IFERROR(MATCH(J1611,'Final List'!$H$4:$H$252,0),0)</f>
        <v>0</v>
      </c>
      <c r="O1611" s="169">
        <f>IFERROR(MATCH(J1611,'Final List'!$J$4:$J$252,0),0)</f>
        <v>0</v>
      </c>
      <c r="P1611" s="169">
        <f>IFERROR(MATCH(J1611,'Final List'!$L$4:$L$252,0),0)</f>
        <v>0</v>
      </c>
      <c r="Q1611" s="169">
        <f>IFERROR(MATCH(J1611,'Final List'!$N$4:$N$252,0),0)</f>
        <v>0</v>
      </c>
      <c r="R1611" s="169">
        <f>IFERROR(MATCH(J1611,'Final List'!$P$4:$P$252,0),0)</f>
        <v>0</v>
      </c>
      <c r="S1611" s="169">
        <f t="shared" si="103"/>
        <v>0</v>
      </c>
      <c r="V1611" s="169" t="str">
        <f t="shared" si="101"/>
        <v>DUHIG R1</v>
      </c>
      <c r="W1611" s="169" t="s">
        <v>8896</v>
      </c>
    </row>
    <row r="1612" spans="2:23" x14ac:dyDescent="0.25">
      <c r="B1612" s="169" t="s">
        <v>93</v>
      </c>
      <c r="C1612" s="169" t="s">
        <v>44</v>
      </c>
      <c r="D1612" s="169" t="s">
        <v>109</v>
      </c>
      <c r="E1612" s="169" t="s">
        <v>19</v>
      </c>
      <c r="F1612" s="245" t="str">
        <f t="shared" si="102"/>
        <v>DVR 72</v>
      </c>
      <c r="G1612" s="169" t="s">
        <v>7363</v>
      </c>
      <c r="I1612" s="169" t="str">
        <f t="shared" si="100"/>
        <v>L06_CV_002W_RAISE</v>
      </c>
      <c r="J1612" s="169" t="s">
        <v>8933</v>
      </c>
      <c r="K1612" s="169">
        <f>IFERROR(MATCH(J1612,'Final List'!$B$4:$B$252,0),0)</f>
        <v>0</v>
      </c>
      <c r="L1612" s="169">
        <f>IFERROR(MATCH(J1612,'Final List'!$D$4:$D$252,0),0)</f>
        <v>0</v>
      </c>
      <c r="M1612" s="169">
        <f>IFERROR(MATCH(J1612,'Final List'!$F$4:$F$251,0),0)</f>
        <v>0</v>
      </c>
      <c r="N1612" s="169">
        <f>IFERROR(MATCH(J1612,'Final List'!$H$4:$H$252,0),0)</f>
        <v>0</v>
      </c>
      <c r="O1612" s="169">
        <f>IFERROR(MATCH(J1612,'Final List'!$J$4:$J$252,0),0)</f>
        <v>0</v>
      </c>
      <c r="P1612" s="169">
        <f>IFERROR(MATCH(J1612,'Final List'!$L$4:$L$252,0),0)</f>
        <v>0</v>
      </c>
      <c r="Q1612" s="169">
        <f>IFERROR(MATCH(J1612,'Final List'!$N$4:$N$252,0),0)</f>
        <v>0</v>
      </c>
      <c r="R1612" s="169">
        <f>IFERROR(MATCH(J1612,'Final List'!$P$4:$P$252,0),0)</f>
        <v>0</v>
      </c>
      <c r="S1612" s="169">
        <f t="shared" si="103"/>
        <v>0</v>
      </c>
      <c r="V1612" s="169" t="str">
        <f t="shared" si="101"/>
        <v>SHEPHERD AC 2</v>
      </c>
      <c r="W1612" s="169" t="s">
        <v>2715</v>
      </c>
    </row>
    <row r="1613" spans="2:23" x14ac:dyDescent="0.25">
      <c r="B1613" s="169" t="s">
        <v>258</v>
      </c>
      <c r="C1613" s="169" t="s">
        <v>43</v>
      </c>
      <c r="D1613" s="169" t="s">
        <v>145</v>
      </c>
      <c r="E1613" s="169" t="s">
        <v>60</v>
      </c>
      <c r="F1613" s="245" t="str">
        <f t="shared" si="102"/>
        <v>Dhoz 71</v>
      </c>
      <c r="G1613" s="169" t="s">
        <v>6926</v>
      </c>
      <c r="I1613" s="169" t="str">
        <f t="shared" si="100"/>
        <v>L10_GHVSPLIT_009E_DE</v>
      </c>
      <c r="J1613" s="169" t="s">
        <v>8937</v>
      </c>
      <c r="K1613" s="169">
        <f>IFERROR(MATCH(J1613,'Final List'!$B$4:$B$252,0),0)</f>
        <v>0</v>
      </c>
      <c r="L1613" s="169">
        <f>IFERROR(MATCH(J1613,'Final List'!$D$4:$D$252,0),0)</f>
        <v>0</v>
      </c>
      <c r="M1613" s="169">
        <f>IFERROR(MATCH(J1613,'Final List'!$F$4:$F$251,0),0)</f>
        <v>0</v>
      </c>
      <c r="N1613" s="169">
        <f>IFERROR(MATCH(J1613,'Final List'!$H$4:$H$252,0),0)</f>
        <v>0</v>
      </c>
      <c r="O1613" s="169">
        <f>IFERROR(MATCH(J1613,'Final List'!$J$4:$J$252,0),0)</f>
        <v>0</v>
      </c>
      <c r="P1613" s="169">
        <f>IFERROR(MATCH(J1613,'Final List'!$L$4:$L$252,0),0)</f>
        <v>0</v>
      </c>
      <c r="Q1613" s="169">
        <f>IFERROR(MATCH(J1613,'Final List'!$N$4:$N$252,0),0)</f>
        <v>0</v>
      </c>
      <c r="R1613" s="169">
        <f>IFERROR(MATCH(J1613,'Final List'!$P$4:$P$252,0),0)</f>
        <v>0</v>
      </c>
      <c r="S1613" s="169">
        <f t="shared" si="103"/>
        <v>0</v>
      </c>
      <c r="V1613" s="169" t="str">
        <f t="shared" si="101"/>
        <v>DUHIG, R1</v>
      </c>
      <c r="W1613" s="169" t="s">
        <v>8896</v>
      </c>
    </row>
    <row r="1614" spans="2:23" x14ac:dyDescent="0.25">
      <c r="B1614" s="169" t="s">
        <v>91</v>
      </c>
      <c r="C1614" s="169" t="s">
        <v>56</v>
      </c>
      <c r="D1614" s="169" t="s">
        <v>129</v>
      </c>
      <c r="E1614" s="169" t="s">
        <v>6143</v>
      </c>
      <c r="F1614" s="245" t="str">
        <f t="shared" si="102"/>
        <v>Dhoz 71</v>
      </c>
      <c r="G1614" s="169" t="s">
        <v>310</v>
      </c>
      <c r="I1614" s="169" t="str">
        <f t="shared" si="100"/>
        <v>L04_GHVFW_010E_DE_ISL</v>
      </c>
      <c r="J1614" s="169" t="s">
        <v>8939</v>
      </c>
      <c r="K1614" s="169">
        <f>IFERROR(MATCH(J1614,'Final List'!$B$4:$B$252,0),0)</f>
        <v>0</v>
      </c>
      <c r="L1614" s="169">
        <f>IFERROR(MATCH(J1614,'Final List'!$D$4:$D$252,0),0)</f>
        <v>0</v>
      </c>
      <c r="M1614" s="169">
        <f>IFERROR(MATCH(J1614,'Final List'!$F$4:$F$251,0),0)</f>
        <v>0</v>
      </c>
      <c r="N1614" s="169">
        <f>IFERROR(MATCH(J1614,'Final List'!$H$4:$H$252,0),0)</f>
        <v>0</v>
      </c>
      <c r="O1614" s="169">
        <f>IFERROR(MATCH(J1614,'Final List'!$J$4:$J$252,0),0)</f>
        <v>0</v>
      </c>
      <c r="P1614" s="169">
        <f>IFERROR(MATCH(J1614,'Final List'!$L$4:$L$252,0),0)</f>
        <v>0</v>
      </c>
      <c r="Q1614" s="169">
        <f>IFERROR(MATCH(J1614,'Final List'!$N$4:$N$252,0),0)</f>
        <v>0</v>
      </c>
      <c r="R1614" s="169">
        <f>IFERROR(MATCH(J1614,'Final List'!$P$4:$P$252,0),0)</f>
        <v>0</v>
      </c>
      <c r="S1614" s="169">
        <f t="shared" si="103"/>
        <v>0</v>
      </c>
      <c r="V1614" s="169" t="str">
        <f t="shared" si="101"/>
        <v>MARTINEZ DN 1</v>
      </c>
      <c r="W1614" s="169" t="s">
        <v>2708</v>
      </c>
    </row>
    <row r="1615" spans="2:23" x14ac:dyDescent="0.25">
      <c r="B1615" s="169" t="s">
        <v>95</v>
      </c>
      <c r="C1615" s="169" t="s">
        <v>39</v>
      </c>
      <c r="D1615" s="169" t="s">
        <v>1230</v>
      </c>
      <c r="E1615" s="169" t="s">
        <v>441</v>
      </c>
      <c r="F1615" s="245" t="str">
        <f t="shared" si="102"/>
        <v>RobC 80</v>
      </c>
      <c r="G1615" s="169" t="s">
        <v>474</v>
      </c>
      <c r="I1615" s="169" t="str">
        <f t="shared" si="100"/>
        <v>L08_JVHW_075E_WINZE STOPE PREP</v>
      </c>
      <c r="J1615" s="169" t="s">
        <v>8940</v>
      </c>
      <c r="K1615" s="169">
        <f>IFERROR(MATCH(J1615,'Final List'!$B$4:$B$252,0),0)</f>
        <v>0</v>
      </c>
      <c r="L1615" s="169">
        <f>IFERROR(MATCH(J1615,'Final List'!$D$4:$D$252,0),0)</f>
        <v>0</v>
      </c>
      <c r="M1615" s="169">
        <f>IFERROR(MATCH(J1615,'Final List'!$F$4:$F$251,0),0)</f>
        <v>0</v>
      </c>
      <c r="N1615" s="169">
        <f>IFERROR(MATCH(J1615,'Final List'!$H$4:$H$252,0),0)</f>
        <v>0</v>
      </c>
      <c r="O1615" s="169">
        <f>IFERROR(MATCH(J1615,'Final List'!$J$4:$J$252,0),0)</f>
        <v>0</v>
      </c>
      <c r="P1615" s="169">
        <f>IFERROR(MATCH(J1615,'Final List'!$L$4:$L$252,0),0)</f>
        <v>0</v>
      </c>
      <c r="Q1615" s="169">
        <f>IFERROR(MATCH(J1615,'Final List'!$N$4:$N$252,0),0)</f>
        <v>0</v>
      </c>
      <c r="R1615" s="169">
        <f>IFERROR(MATCH(J1615,'Final List'!$P$4:$P$252,0),0)</f>
        <v>0</v>
      </c>
      <c r="S1615" s="169">
        <f t="shared" si="103"/>
        <v>0</v>
      </c>
      <c r="T1615" s="169" t="s">
        <v>68</v>
      </c>
      <c r="V1615" s="169" t="str">
        <f t="shared" si="101"/>
        <v>TORMIS 1</v>
      </c>
      <c r="W1615" s="169" t="s">
        <v>2716</v>
      </c>
    </row>
    <row r="1616" spans="2:23" x14ac:dyDescent="0.25">
      <c r="B1616" s="169" t="s">
        <v>258</v>
      </c>
      <c r="C1616" s="169" t="s">
        <v>59</v>
      </c>
      <c r="D1616" s="169" t="s">
        <v>6864</v>
      </c>
      <c r="E1616" s="169" t="s">
        <v>61</v>
      </c>
      <c r="F1616" s="245" t="str">
        <f t="shared" si="102"/>
        <v>Dhoz 71</v>
      </c>
      <c r="G1616" s="169" t="s">
        <v>317</v>
      </c>
      <c r="I1616" s="169" t="str">
        <f t="shared" si="100"/>
        <v>L10_GHVHW_006E_DW</v>
      </c>
      <c r="J1616" s="169" t="s">
        <v>8946</v>
      </c>
      <c r="K1616" s="169">
        <f>IFERROR(MATCH(J1616,'Final List'!$B$4:$B$252,0),0)</f>
        <v>0</v>
      </c>
      <c r="L1616" s="169">
        <f>IFERROR(MATCH(J1616,'Final List'!$D$4:$D$252,0),0)</f>
        <v>0</v>
      </c>
      <c r="M1616" s="169">
        <f>IFERROR(MATCH(J1616,'Final List'!$F$4:$F$251,0),0)</f>
        <v>0</v>
      </c>
      <c r="N1616" s="169">
        <f>IFERROR(MATCH(J1616,'Final List'!$H$4:$H$252,0),0)</f>
        <v>0</v>
      </c>
      <c r="O1616" s="169">
        <f>IFERROR(MATCH(J1616,'Final List'!$J$4:$J$252,0),0)</f>
        <v>0</v>
      </c>
      <c r="P1616" s="169">
        <f>IFERROR(MATCH(J1616,'Final List'!$L$4:$L$252,0),0)</f>
        <v>0</v>
      </c>
      <c r="Q1616" s="169">
        <f>IFERROR(MATCH(J1616,'Final List'!$N$4:$N$252,0),0)</f>
        <v>0</v>
      </c>
      <c r="R1616" s="169">
        <f>IFERROR(MATCH(J1616,'Final List'!$P$4:$P$252,0),0)</f>
        <v>0</v>
      </c>
      <c r="S1616" s="169">
        <f t="shared" si="103"/>
        <v>0</v>
      </c>
      <c r="V1616" s="169" t="str">
        <f t="shared" si="101"/>
        <v>PARAGUYA 2</v>
      </c>
      <c r="W1616" s="169" t="s">
        <v>8896</v>
      </c>
    </row>
    <row r="1617" spans="2:23" x14ac:dyDescent="0.25">
      <c r="B1617" s="169" t="s">
        <v>95</v>
      </c>
      <c r="C1617" s="169" t="s">
        <v>55</v>
      </c>
      <c r="D1617" s="169" t="s">
        <v>121</v>
      </c>
      <c r="E1617" s="169" t="s">
        <v>61</v>
      </c>
      <c r="F1617" s="245" t="str">
        <f t="shared" si="102"/>
        <v>Dhoz 71</v>
      </c>
      <c r="G1617" s="169" t="s">
        <v>6936</v>
      </c>
      <c r="I1617" s="169" t="str">
        <f t="shared" si="100"/>
        <v>L08_JVFW_022E_DW</v>
      </c>
      <c r="J1617" s="169" t="s">
        <v>8948</v>
      </c>
      <c r="K1617" s="169">
        <f>IFERROR(MATCH(J1617,'Final List'!$B$4:$B$252,0),0)</f>
        <v>0</v>
      </c>
      <c r="L1617" s="169">
        <f>IFERROR(MATCH(J1617,'Final List'!$D$4:$D$252,0),0)</f>
        <v>0</v>
      </c>
      <c r="M1617" s="169">
        <f>IFERROR(MATCH(J1617,'Final List'!$F$4:$F$251,0),0)</f>
        <v>0</v>
      </c>
      <c r="N1617" s="169">
        <f>IFERROR(MATCH(J1617,'Final List'!$H$4:$H$252,0),0)</f>
        <v>0</v>
      </c>
      <c r="O1617" s="169">
        <f>IFERROR(MATCH(J1617,'Final List'!$J$4:$J$252,0),0)</f>
        <v>0</v>
      </c>
      <c r="P1617" s="169">
        <f>IFERROR(MATCH(J1617,'Final List'!$L$4:$L$252,0),0)</f>
        <v>0</v>
      </c>
      <c r="Q1617" s="169">
        <f>IFERROR(MATCH(J1617,'Final List'!$N$4:$N$252,0),0)</f>
        <v>0</v>
      </c>
      <c r="R1617" s="169">
        <f>IFERROR(MATCH(J1617,'Final List'!$P$4:$P$252,0),0)</f>
        <v>0</v>
      </c>
      <c r="S1617" s="169">
        <f t="shared" si="103"/>
        <v>0</v>
      </c>
      <c r="V1617" s="169" t="str">
        <f t="shared" si="101"/>
        <v>OSWAY 1</v>
      </c>
      <c r="W1617" s="169" t="s">
        <v>8895</v>
      </c>
    </row>
    <row r="1618" spans="2:23" x14ac:dyDescent="0.25">
      <c r="B1618" s="169" t="s">
        <v>95</v>
      </c>
      <c r="C1618" s="169" t="s">
        <v>45</v>
      </c>
      <c r="D1618" s="169" t="s">
        <v>5631</v>
      </c>
      <c r="E1618" s="169" t="s">
        <v>211</v>
      </c>
      <c r="F1618" s="245" t="str">
        <f t="shared" si="102"/>
        <v>StpS 77</v>
      </c>
      <c r="G1618" s="169" t="s">
        <v>386</v>
      </c>
      <c r="I1618" s="169" t="str">
        <f t="shared" si="100"/>
        <v>L08_DPVE_020E_STOPE PREP</v>
      </c>
      <c r="J1618" s="169" t="s">
        <v>8950</v>
      </c>
      <c r="K1618" s="169">
        <f>IFERROR(MATCH(J1618,'Final List'!$B$4:$B$252,0),0)</f>
        <v>0</v>
      </c>
      <c r="L1618" s="169">
        <f>IFERROR(MATCH(J1618,'Final List'!$D$4:$D$252,0),0)</f>
        <v>0</v>
      </c>
      <c r="M1618" s="169">
        <f>IFERROR(MATCH(J1618,'Final List'!$F$4:$F$251,0),0)</f>
        <v>0</v>
      </c>
      <c r="N1618" s="169">
        <f>IFERROR(MATCH(J1618,'Final List'!$H$4:$H$252,0),0)</f>
        <v>0</v>
      </c>
      <c r="O1618" s="169">
        <f>IFERROR(MATCH(J1618,'Final List'!$J$4:$J$252,0),0)</f>
        <v>0</v>
      </c>
      <c r="P1618" s="169">
        <f>IFERROR(MATCH(J1618,'Final List'!$L$4:$L$252,0),0)</f>
        <v>0</v>
      </c>
      <c r="Q1618" s="169">
        <f>IFERROR(MATCH(J1618,'Final List'!$N$4:$N$252,0),0)</f>
        <v>0</v>
      </c>
      <c r="R1618" s="169">
        <f>IFERROR(MATCH(J1618,'Final List'!$P$4:$P$252,0),0)</f>
        <v>0</v>
      </c>
      <c r="S1618" s="169">
        <f t="shared" si="103"/>
        <v>0</v>
      </c>
      <c r="T1618" s="169" t="s">
        <v>68</v>
      </c>
      <c r="V1618" s="169" t="str">
        <f t="shared" si="101"/>
        <v>REVITA 1</v>
      </c>
      <c r="W1618" s="169" t="s">
        <v>2712</v>
      </c>
    </row>
    <row r="1619" spans="2:23" x14ac:dyDescent="0.25">
      <c r="B1619" s="169" t="s">
        <v>93</v>
      </c>
      <c r="C1619" s="169" t="s">
        <v>44</v>
      </c>
      <c r="D1619" s="169" t="s">
        <v>98</v>
      </c>
      <c r="E1619" s="169" t="s">
        <v>61</v>
      </c>
      <c r="F1619" s="245" t="str">
        <f t="shared" si="102"/>
        <v>Dhoz 71</v>
      </c>
      <c r="G1619" s="169" t="s">
        <v>862</v>
      </c>
      <c r="I1619" s="169" t="str">
        <f t="shared" si="100"/>
        <v>L06_CV_014W_DW</v>
      </c>
      <c r="J1619" s="169" t="s">
        <v>8957</v>
      </c>
      <c r="K1619" s="169">
        <f>IFERROR(MATCH(J1619,'Final List'!$B$4:$B$252,0),0)</f>
        <v>0</v>
      </c>
      <c r="L1619" s="169">
        <f>IFERROR(MATCH(J1619,'Final List'!$D$4:$D$252,0),0)</f>
        <v>0</v>
      </c>
      <c r="M1619" s="169">
        <f>IFERROR(MATCH(J1619,'Final List'!$F$4:$F$251,0),0)</f>
        <v>0</v>
      </c>
      <c r="N1619" s="169">
        <f>IFERROR(MATCH(J1619,'Final List'!$H$4:$H$252,0),0)</f>
        <v>0</v>
      </c>
      <c r="O1619" s="169">
        <f>IFERROR(MATCH(J1619,'Final List'!$J$4:$J$252,0),0)</f>
        <v>0</v>
      </c>
      <c r="P1619" s="169">
        <f>IFERROR(MATCH(J1619,'Final List'!$L$4:$L$252,0),0)</f>
        <v>0</v>
      </c>
      <c r="Q1619" s="169">
        <f>IFERROR(MATCH(J1619,'Final List'!$N$4:$N$252,0),0)</f>
        <v>0</v>
      </c>
      <c r="R1619" s="169">
        <f>IFERROR(MATCH(J1619,'Final List'!$P$4:$P$252,0),0)</f>
        <v>0</v>
      </c>
      <c r="S1619" s="169">
        <f t="shared" si="103"/>
        <v>0</v>
      </c>
      <c r="V1619" s="169" t="str">
        <f t="shared" si="101"/>
        <v>REBOTE 1</v>
      </c>
      <c r="W1619" s="169" t="s">
        <v>8895</v>
      </c>
    </row>
    <row r="1620" spans="2:23" x14ac:dyDescent="0.25">
      <c r="B1620" s="169" t="s">
        <v>94</v>
      </c>
      <c r="C1620" s="169" t="s">
        <v>42</v>
      </c>
      <c r="D1620" s="169" t="s">
        <v>7301</v>
      </c>
      <c r="E1620" s="169" t="s">
        <v>441</v>
      </c>
      <c r="F1620" s="245" t="str">
        <f t="shared" si="102"/>
        <v>RobC 80</v>
      </c>
      <c r="G1620" s="169" t="s">
        <v>8199</v>
      </c>
      <c r="I1620" s="169" t="str">
        <f t="shared" si="100"/>
        <v>L07_JV_010W_WINZE STOPE PREP</v>
      </c>
      <c r="J1620" s="169" t="s">
        <v>8960</v>
      </c>
      <c r="K1620" s="169">
        <f>IFERROR(MATCH(J1620,'Final List'!$B$4:$B$252,0),0)</f>
        <v>0</v>
      </c>
      <c r="L1620" s="169">
        <f>IFERROR(MATCH(J1620,'Final List'!$D$4:$D$252,0),0)</f>
        <v>0</v>
      </c>
      <c r="M1620" s="169">
        <f>IFERROR(MATCH(J1620,'Final List'!$F$4:$F$251,0),0)</f>
        <v>0</v>
      </c>
      <c r="N1620" s="169">
        <f>IFERROR(MATCH(J1620,'Final List'!$H$4:$H$252,0),0)</f>
        <v>0</v>
      </c>
      <c r="O1620" s="169">
        <f>IFERROR(MATCH(J1620,'Final List'!$J$4:$J$252,0),0)</f>
        <v>0</v>
      </c>
      <c r="P1620" s="169">
        <f>IFERROR(MATCH(J1620,'Final List'!$L$4:$L$252,0),0)</f>
        <v>0</v>
      </c>
      <c r="Q1620" s="169">
        <f>IFERROR(MATCH(J1620,'Final List'!$N$4:$N$252,0),0)</f>
        <v>0</v>
      </c>
      <c r="R1620" s="169">
        <f>IFERROR(MATCH(J1620,'Final List'!$P$4:$P$252,0),0)</f>
        <v>0</v>
      </c>
      <c r="S1620" s="169">
        <f t="shared" si="103"/>
        <v>0</v>
      </c>
      <c r="T1620" s="169" t="s">
        <v>68</v>
      </c>
      <c r="V1620" s="169" t="str">
        <f t="shared" si="101"/>
        <v>SHEPHERD AT 1</v>
      </c>
      <c r="W1620" s="169" t="s">
        <v>2716</v>
      </c>
    </row>
    <row r="1621" spans="2:23" x14ac:dyDescent="0.25">
      <c r="B1621" s="169" t="s">
        <v>96</v>
      </c>
      <c r="C1621" s="169" t="s">
        <v>45</v>
      </c>
      <c r="D1621" s="169" t="s">
        <v>122</v>
      </c>
      <c r="E1621" s="169" t="s">
        <v>211</v>
      </c>
      <c r="F1621" s="245" t="str">
        <f t="shared" si="102"/>
        <v>StpS 77</v>
      </c>
      <c r="G1621" s="169" t="s">
        <v>337</v>
      </c>
      <c r="I1621" s="169" t="str">
        <f t="shared" si="100"/>
        <v>L09_DPVE_025E_STOPE PREP</v>
      </c>
      <c r="J1621" s="169" t="s">
        <v>8962</v>
      </c>
      <c r="K1621" s="169">
        <f>IFERROR(MATCH(J1621,'Final List'!$B$4:$B$252,0),0)</f>
        <v>0</v>
      </c>
      <c r="L1621" s="169">
        <f>IFERROR(MATCH(J1621,'Final List'!$D$4:$D$252,0),0)</f>
        <v>0</v>
      </c>
      <c r="M1621" s="169">
        <f>IFERROR(MATCH(J1621,'Final List'!$F$4:$F$251,0),0)</f>
        <v>0</v>
      </c>
      <c r="N1621" s="169">
        <f>IFERROR(MATCH(J1621,'Final List'!$H$4:$H$252,0),0)</f>
        <v>0</v>
      </c>
      <c r="O1621" s="169">
        <f>IFERROR(MATCH(J1621,'Final List'!$J$4:$J$252,0),0)</f>
        <v>0</v>
      </c>
      <c r="P1621" s="169">
        <f>IFERROR(MATCH(J1621,'Final List'!$L$4:$L$252,0),0)</f>
        <v>0</v>
      </c>
      <c r="Q1621" s="169">
        <f>IFERROR(MATCH(J1621,'Final List'!$N$4:$N$252,0),0)</f>
        <v>0</v>
      </c>
      <c r="R1621" s="169">
        <f>IFERROR(MATCH(J1621,'Final List'!$P$4:$P$252,0),0)</f>
        <v>0</v>
      </c>
      <c r="S1621" s="169">
        <f t="shared" si="103"/>
        <v>0</v>
      </c>
      <c r="T1621" s="169" t="s">
        <v>68</v>
      </c>
      <c r="V1621" s="169" t="str">
        <f t="shared" si="101"/>
        <v>BALANGHIG 2</v>
      </c>
      <c r="W1621" s="169" t="s">
        <v>2712</v>
      </c>
    </row>
    <row r="1622" spans="2:23" x14ac:dyDescent="0.25">
      <c r="B1622" s="169" t="s">
        <v>95</v>
      </c>
      <c r="C1622" s="169" t="s">
        <v>38</v>
      </c>
      <c r="D1622" s="169" t="s">
        <v>143</v>
      </c>
      <c r="E1622" s="169" t="s">
        <v>441</v>
      </c>
      <c r="F1622" s="245" t="str">
        <f t="shared" si="102"/>
        <v>RobC 80</v>
      </c>
      <c r="G1622" s="169" t="s">
        <v>467</v>
      </c>
      <c r="I1622" s="169" t="str">
        <f t="shared" si="100"/>
        <v>L08_GHV_032E_WINZE STOPE PREP</v>
      </c>
      <c r="J1622" s="169" t="s">
        <v>8963</v>
      </c>
      <c r="K1622" s="169">
        <f>IFERROR(MATCH(J1622,'Final List'!$B$4:$B$252,0),0)</f>
        <v>0</v>
      </c>
      <c r="L1622" s="169">
        <f>IFERROR(MATCH(J1622,'Final List'!$D$4:$D$252,0),0)</f>
        <v>0</v>
      </c>
      <c r="M1622" s="169">
        <f>IFERROR(MATCH(J1622,'Final List'!$F$4:$F$251,0),0)</f>
        <v>0</v>
      </c>
      <c r="N1622" s="169">
        <f>IFERROR(MATCH(J1622,'Final List'!$H$4:$H$252,0),0)</f>
        <v>0</v>
      </c>
      <c r="O1622" s="169">
        <f>IFERROR(MATCH(J1622,'Final List'!$J$4:$J$252,0),0)</f>
        <v>0</v>
      </c>
      <c r="P1622" s="169">
        <f>IFERROR(MATCH(J1622,'Final List'!$L$4:$L$252,0),0)</f>
        <v>0</v>
      </c>
      <c r="Q1622" s="169">
        <f>IFERROR(MATCH(J1622,'Final List'!$N$4:$N$252,0),0)</f>
        <v>0</v>
      </c>
      <c r="R1622" s="169">
        <f>IFERROR(MATCH(J1622,'Final List'!$P$4:$P$252,0),0)</f>
        <v>0</v>
      </c>
      <c r="S1622" s="169">
        <f t="shared" si="103"/>
        <v>0</v>
      </c>
      <c r="T1622" s="169" t="s">
        <v>68</v>
      </c>
      <c r="V1622" s="169" t="str">
        <f t="shared" si="101"/>
        <v>AGLOLO 2</v>
      </c>
      <c r="W1622" s="169" t="s">
        <v>2716</v>
      </c>
    </row>
    <row r="1623" spans="2:23" x14ac:dyDescent="0.25">
      <c r="B1623" s="169" t="s">
        <v>95</v>
      </c>
      <c r="C1623" s="169" t="s">
        <v>57</v>
      </c>
      <c r="D1623" s="169" t="s">
        <v>5614</v>
      </c>
      <c r="E1623" s="169" t="s">
        <v>61</v>
      </c>
      <c r="F1623" s="245" t="str">
        <f t="shared" si="102"/>
        <v>Dhoz 71</v>
      </c>
      <c r="G1623" s="169" t="s">
        <v>303</v>
      </c>
      <c r="I1623" s="169" t="str">
        <f t="shared" si="100"/>
        <v>L08_JVSPLIT_055E_DW</v>
      </c>
      <c r="J1623" s="169" t="s">
        <v>8966</v>
      </c>
      <c r="K1623" s="169">
        <f>IFERROR(MATCH(J1623,'Final List'!$B$4:$B$252,0),0)</f>
        <v>0</v>
      </c>
      <c r="L1623" s="169">
        <f>IFERROR(MATCH(J1623,'Final List'!$D$4:$D$252,0),0)</f>
        <v>0</v>
      </c>
      <c r="M1623" s="169">
        <f>IFERROR(MATCH(J1623,'Final List'!$F$4:$F$251,0),0)</f>
        <v>0</v>
      </c>
      <c r="N1623" s="169">
        <f>IFERROR(MATCH(J1623,'Final List'!$H$4:$H$252,0),0)</f>
        <v>0</v>
      </c>
      <c r="O1623" s="169">
        <f>IFERROR(MATCH(J1623,'Final List'!$J$4:$J$252,0),0)</f>
        <v>0</v>
      </c>
      <c r="P1623" s="169">
        <f>IFERROR(MATCH(J1623,'Final List'!$L$4:$L$252,0),0)</f>
        <v>0</v>
      </c>
      <c r="Q1623" s="169">
        <f>IFERROR(MATCH(J1623,'Final List'!$N$4:$N$252,0),0)</f>
        <v>0</v>
      </c>
      <c r="R1623" s="169">
        <f>IFERROR(MATCH(J1623,'Final List'!$P$4:$P$252,0),0)</f>
        <v>0</v>
      </c>
      <c r="S1623" s="169">
        <f t="shared" si="103"/>
        <v>0</v>
      </c>
      <c r="V1623" s="169" t="str">
        <f t="shared" si="101"/>
        <v>BELICAN 1</v>
      </c>
      <c r="W1623" s="169" t="s">
        <v>8895</v>
      </c>
    </row>
    <row r="1624" spans="2:23" x14ac:dyDescent="0.25">
      <c r="B1624" s="169" t="s">
        <v>93</v>
      </c>
      <c r="C1624" s="169" t="s">
        <v>42</v>
      </c>
      <c r="D1624" s="169" t="s">
        <v>104</v>
      </c>
      <c r="E1624" s="169" t="s">
        <v>61</v>
      </c>
      <c r="F1624" s="245" t="str">
        <f t="shared" si="102"/>
        <v>Dhoz 71</v>
      </c>
      <c r="G1624" s="169" t="s">
        <v>577</v>
      </c>
      <c r="I1624" s="169" t="str">
        <f t="shared" si="100"/>
        <v>L06_JV_029W_DW</v>
      </c>
      <c r="J1624" s="169" t="s">
        <v>8969</v>
      </c>
      <c r="K1624" s="169">
        <f>IFERROR(MATCH(J1624,'Final List'!$B$4:$B$252,0),0)</f>
        <v>0</v>
      </c>
      <c r="L1624" s="169">
        <f>IFERROR(MATCH(J1624,'Final List'!$D$4:$D$252,0),0)</f>
        <v>0</v>
      </c>
      <c r="M1624" s="169">
        <f>IFERROR(MATCH(J1624,'Final List'!$F$4:$F$251,0),0)</f>
        <v>0</v>
      </c>
      <c r="N1624" s="169">
        <f>IFERROR(MATCH(J1624,'Final List'!$H$4:$H$252,0),0)</f>
        <v>0</v>
      </c>
      <c r="O1624" s="169">
        <f>IFERROR(MATCH(J1624,'Final List'!$J$4:$J$252,0),0)</f>
        <v>0</v>
      </c>
      <c r="P1624" s="169">
        <f>IFERROR(MATCH(J1624,'Final List'!$L$4:$L$252,0),0)</f>
        <v>0</v>
      </c>
      <c r="Q1624" s="169">
        <f>IFERROR(MATCH(J1624,'Final List'!$N$4:$N$252,0),0)</f>
        <v>0</v>
      </c>
      <c r="R1624" s="169">
        <f>IFERROR(MATCH(J1624,'Final List'!$P$4:$P$252,0),0)</f>
        <v>0</v>
      </c>
      <c r="S1624" s="169">
        <f t="shared" si="103"/>
        <v>0</v>
      </c>
      <c r="V1624" s="169" t="str">
        <f t="shared" si="101"/>
        <v>CARIKITAN 1</v>
      </c>
      <c r="W1624" s="169" t="s">
        <v>8895</v>
      </c>
    </row>
    <row r="1625" spans="2:23" x14ac:dyDescent="0.25">
      <c r="B1625" s="169" t="s">
        <v>93</v>
      </c>
      <c r="C1625" s="169" t="s">
        <v>42</v>
      </c>
      <c r="D1625" s="169" t="s">
        <v>195</v>
      </c>
      <c r="E1625" s="169" t="s">
        <v>6154</v>
      </c>
      <c r="F1625" s="245" t="str">
        <f t="shared" si="102"/>
        <v>Dhoz 71</v>
      </c>
      <c r="G1625" s="169" t="s">
        <v>3252</v>
      </c>
      <c r="I1625" s="169" t="str">
        <f t="shared" si="100"/>
        <v>L06_JV_008W_DW_ISL</v>
      </c>
      <c r="J1625" s="169" t="s">
        <v>8982</v>
      </c>
      <c r="K1625" s="169">
        <f>IFERROR(MATCH(J1625,'Final List'!$B$4:$B$252,0),0)</f>
        <v>0</v>
      </c>
      <c r="L1625" s="169">
        <f>IFERROR(MATCH(J1625,'Final List'!$D$4:$D$252,0),0)</f>
        <v>0</v>
      </c>
      <c r="M1625" s="169">
        <f>IFERROR(MATCH(J1625,'Final List'!$F$4:$F$251,0),0)</f>
        <v>0</v>
      </c>
      <c r="N1625" s="169">
        <f>IFERROR(MATCH(J1625,'Final List'!$H$4:$H$252,0),0)</f>
        <v>0</v>
      </c>
      <c r="O1625" s="169">
        <f>IFERROR(MATCH(J1625,'Final List'!$J$4:$J$252,0),0)</f>
        <v>0</v>
      </c>
      <c r="P1625" s="169">
        <f>IFERROR(MATCH(J1625,'Final List'!$L$4:$L$252,0),0)</f>
        <v>0</v>
      </c>
      <c r="Q1625" s="169">
        <f>IFERROR(MATCH(J1625,'Final List'!$N$4:$N$252,0),0)</f>
        <v>0</v>
      </c>
      <c r="R1625" s="169">
        <f>IFERROR(MATCH(J1625,'Final List'!$P$4:$P$252,0),0)</f>
        <v>0</v>
      </c>
      <c r="S1625" s="169">
        <f t="shared" si="103"/>
        <v>0</v>
      </c>
      <c r="V1625" s="169" t="str">
        <f t="shared" si="101"/>
        <v>SHEPHERD AA1</v>
      </c>
      <c r="W1625" s="169" t="s">
        <v>2708</v>
      </c>
    </row>
    <row r="1626" spans="2:23" x14ac:dyDescent="0.25">
      <c r="B1626" s="169" t="s">
        <v>94</v>
      </c>
      <c r="C1626" s="169" t="s">
        <v>38</v>
      </c>
      <c r="D1626" s="169" t="s">
        <v>140</v>
      </c>
      <c r="E1626" s="169" t="s">
        <v>62</v>
      </c>
      <c r="F1626" s="245" t="str">
        <f t="shared" si="102"/>
        <v>RobS 79</v>
      </c>
      <c r="G1626" s="169" t="s">
        <v>5720</v>
      </c>
      <c r="I1626" s="169" t="str">
        <f t="shared" si="100"/>
        <v>L07_GHV_005W_ROBBING</v>
      </c>
      <c r="J1626" s="169" t="s">
        <v>8971</v>
      </c>
      <c r="K1626" s="169">
        <f>IFERROR(MATCH(J1626,'Final List'!$B$4:$B$252,0),0)</f>
        <v>0</v>
      </c>
      <c r="L1626" s="169">
        <f>IFERROR(MATCH(J1626,'Final List'!$D$4:$D$252,0),0)</f>
        <v>0</v>
      </c>
      <c r="M1626" s="169">
        <f>IFERROR(MATCH(J1626,'Final List'!$F$4:$F$251,0),0)</f>
        <v>0</v>
      </c>
      <c r="N1626" s="169">
        <f>IFERROR(MATCH(J1626,'Final List'!$H$4:$H$252,0),0)</f>
        <v>0</v>
      </c>
      <c r="O1626" s="169">
        <f>IFERROR(MATCH(J1626,'Final List'!$J$4:$J$252,0),0)</f>
        <v>0</v>
      </c>
      <c r="P1626" s="169">
        <f>IFERROR(MATCH(J1626,'Final List'!$L$4:$L$252,0),0)</f>
        <v>0</v>
      </c>
      <c r="Q1626" s="169">
        <f>IFERROR(MATCH(J1626,'Final List'!$N$4:$N$252,0),0)</f>
        <v>0</v>
      </c>
      <c r="R1626" s="169">
        <f>IFERROR(MATCH(J1626,'Final List'!$P$4:$P$252,0),0)</f>
        <v>0</v>
      </c>
      <c r="S1626" s="169">
        <f t="shared" si="103"/>
        <v>0</v>
      </c>
      <c r="T1626" s="169" t="s">
        <v>68</v>
      </c>
      <c r="V1626" s="169" t="str">
        <f t="shared" si="101"/>
        <v>TURRA 1</v>
      </c>
      <c r="W1626" s="169" t="s">
        <v>2707</v>
      </c>
    </row>
    <row r="1627" spans="2:23" x14ac:dyDescent="0.25">
      <c r="B1627" s="169" t="s">
        <v>93</v>
      </c>
      <c r="C1627" s="169" t="s">
        <v>42</v>
      </c>
      <c r="D1627" s="169" t="s">
        <v>121</v>
      </c>
      <c r="E1627" s="169" t="s">
        <v>62</v>
      </c>
      <c r="F1627" s="245" t="str">
        <f t="shared" si="102"/>
        <v>RobS 79</v>
      </c>
      <c r="G1627" s="169" t="s">
        <v>936</v>
      </c>
      <c r="I1627" s="169" t="str">
        <f t="shared" si="100"/>
        <v>L06_JV_022E_ROBBING</v>
      </c>
      <c r="J1627" s="169" t="s">
        <v>8973</v>
      </c>
      <c r="K1627" s="169">
        <f>IFERROR(MATCH(J1627,'Final List'!$B$4:$B$252,0),0)</f>
        <v>0</v>
      </c>
      <c r="L1627" s="169">
        <f>IFERROR(MATCH(J1627,'Final List'!$D$4:$D$252,0),0)</f>
        <v>0</v>
      </c>
      <c r="M1627" s="169">
        <f>IFERROR(MATCH(J1627,'Final List'!$F$4:$F$251,0),0)</f>
        <v>0</v>
      </c>
      <c r="N1627" s="169">
        <f>IFERROR(MATCH(J1627,'Final List'!$H$4:$H$252,0),0)</f>
        <v>0</v>
      </c>
      <c r="O1627" s="169">
        <f>IFERROR(MATCH(J1627,'Final List'!$J$4:$J$252,0),0)</f>
        <v>0</v>
      </c>
      <c r="P1627" s="169">
        <f>IFERROR(MATCH(J1627,'Final List'!$L$4:$L$252,0),0)</f>
        <v>0</v>
      </c>
      <c r="Q1627" s="169">
        <f>IFERROR(MATCH(J1627,'Final List'!$N$4:$N$252,0),0)</f>
        <v>0</v>
      </c>
      <c r="R1627" s="169">
        <f>IFERROR(MATCH(J1627,'Final List'!$P$4:$P$252,0),0)</f>
        <v>0</v>
      </c>
      <c r="S1627" s="169">
        <f t="shared" si="103"/>
        <v>0</v>
      </c>
      <c r="T1627" s="169" t="s">
        <v>68</v>
      </c>
      <c r="V1627" s="169" t="str">
        <f t="shared" si="101"/>
        <v>GUNAY 2</v>
      </c>
      <c r="W1627" s="169" t="s">
        <v>2707</v>
      </c>
    </row>
    <row r="1628" spans="2:23" x14ac:dyDescent="0.25">
      <c r="B1628" s="169" t="s">
        <v>96</v>
      </c>
      <c r="C1628" s="169" t="s">
        <v>59</v>
      </c>
      <c r="D1628" s="169" t="s">
        <v>6518</v>
      </c>
      <c r="E1628" s="169" t="s">
        <v>19</v>
      </c>
      <c r="F1628" s="245" t="str">
        <f t="shared" si="102"/>
        <v>DVR 72</v>
      </c>
      <c r="G1628" s="169" t="s">
        <v>377</v>
      </c>
      <c r="I1628" s="169" t="str">
        <f t="shared" si="100"/>
        <v>L09_GHVHW_007E_RAISE</v>
      </c>
      <c r="J1628" s="169" t="s">
        <v>8979</v>
      </c>
      <c r="K1628" s="169">
        <f>IFERROR(MATCH(J1628,'Final List'!$B$4:$B$252,0),0)</f>
        <v>0</v>
      </c>
      <c r="L1628" s="169">
        <f>IFERROR(MATCH(J1628,'Final List'!$D$4:$D$252,0),0)</f>
        <v>0</v>
      </c>
      <c r="M1628" s="169">
        <f>IFERROR(MATCH(J1628,'Final List'!$F$4:$F$251,0),0)</f>
        <v>0</v>
      </c>
      <c r="N1628" s="169">
        <f>IFERROR(MATCH(J1628,'Final List'!$H$4:$H$252,0),0)</f>
        <v>0</v>
      </c>
      <c r="O1628" s="169">
        <f>IFERROR(MATCH(J1628,'Final List'!$J$4:$J$252,0),0)</f>
        <v>0</v>
      </c>
      <c r="P1628" s="169">
        <f>IFERROR(MATCH(J1628,'Final List'!$L$4:$L$252,0),0)</f>
        <v>0</v>
      </c>
      <c r="Q1628" s="169">
        <f>IFERROR(MATCH(J1628,'Final List'!$N$4:$N$252,0),0)</f>
        <v>0</v>
      </c>
      <c r="R1628" s="169">
        <f>IFERROR(MATCH(J1628,'Final List'!$P$4:$P$252,0),0)</f>
        <v>0</v>
      </c>
      <c r="S1628" s="169">
        <f t="shared" si="103"/>
        <v>0</v>
      </c>
      <c r="V1628" s="169" t="str">
        <f t="shared" si="101"/>
        <v>DELOS REYES 1</v>
      </c>
      <c r="W1628" s="169" t="s">
        <v>2715</v>
      </c>
    </row>
    <row r="1629" spans="2:23" x14ac:dyDescent="0.25">
      <c r="B1629" s="169" t="s">
        <v>96</v>
      </c>
      <c r="C1629" s="169" t="s">
        <v>45</v>
      </c>
      <c r="D1629" s="169" t="s">
        <v>7915</v>
      </c>
      <c r="E1629" s="169" t="s">
        <v>19</v>
      </c>
      <c r="F1629" s="245" t="str">
        <f t="shared" si="102"/>
        <v>DVR 72</v>
      </c>
      <c r="G1629" s="169" t="s">
        <v>8203</v>
      </c>
      <c r="I1629" s="169" t="str">
        <f t="shared" ref="I1629:I1692" si="104">CONCATENATE(B1629,"_",C1629,"_",D1629,"_",E1629)</f>
        <v>L09_DPVE_083E_RAISE</v>
      </c>
      <c r="J1629" s="169" t="s">
        <v>8980</v>
      </c>
      <c r="K1629" s="169">
        <f>IFERROR(MATCH(J1629,'Final List'!$B$4:$B$252,0),0)</f>
        <v>0</v>
      </c>
      <c r="L1629" s="169">
        <f>IFERROR(MATCH(J1629,'Final List'!$D$4:$D$252,0),0)</f>
        <v>0</v>
      </c>
      <c r="M1629" s="169">
        <f>IFERROR(MATCH(J1629,'Final List'!$F$4:$F$251,0),0)</f>
        <v>0</v>
      </c>
      <c r="N1629" s="169">
        <f>IFERROR(MATCH(J1629,'Final List'!$H$4:$H$252,0),0)</f>
        <v>0</v>
      </c>
      <c r="O1629" s="169">
        <f>IFERROR(MATCH(J1629,'Final List'!$J$4:$J$252,0),0)</f>
        <v>0</v>
      </c>
      <c r="P1629" s="169">
        <f>IFERROR(MATCH(J1629,'Final List'!$L$4:$L$252,0),0)</f>
        <v>0</v>
      </c>
      <c r="Q1629" s="169">
        <f>IFERROR(MATCH(J1629,'Final List'!$N$4:$N$252,0),0)</f>
        <v>0</v>
      </c>
      <c r="R1629" s="169">
        <f>IFERROR(MATCH(J1629,'Final List'!$P$4:$P$252,0),0)</f>
        <v>0</v>
      </c>
      <c r="S1629" s="169">
        <f t="shared" si="103"/>
        <v>0</v>
      </c>
      <c r="V1629" s="169" t="str">
        <f t="shared" si="101"/>
        <v>PANSIT, NORMAN 3</v>
      </c>
      <c r="W1629" s="169" t="s">
        <v>2715</v>
      </c>
    </row>
    <row r="1630" spans="2:23" x14ac:dyDescent="0.25">
      <c r="B1630" s="169" t="s">
        <v>258</v>
      </c>
      <c r="C1630" s="169" t="s">
        <v>57</v>
      </c>
      <c r="D1630" s="169" t="s">
        <v>5742</v>
      </c>
      <c r="E1630" s="169" t="s">
        <v>60</v>
      </c>
      <c r="F1630" s="245" t="str">
        <f t="shared" si="102"/>
        <v>Dhoz 71</v>
      </c>
      <c r="G1630" s="169" t="s">
        <v>8203</v>
      </c>
      <c r="I1630" s="169" t="str">
        <f t="shared" si="104"/>
        <v>L10_JVSPLIT_040E_DE</v>
      </c>
      <c r="J1630" s="169" t="s">
        <v>8983</v>
      </c>
      <c r="K1630" s="169">
        <f>IFERROR(MATCH(J1630,'Final List'!$B$4:$B$252,0),0)</f>
        <v>0</v>
      </c>
      <c r="L1630" s="169">
        <f>IFERROR(MATCH(J1630,'Final List'!$D$4:$D$252,0),0)</f>
        <v>0</v>
      </c>
      <c r="M1630" s="169">
        <f>IFERROR(MATCH(J1630,'Final List'!$F$4:$F$251,0),0)</f>
        <v>0</v>
      </c>
      <c r="N1630" s="169">
        <f>IFERROR(MATCH(J1630,'Final List'!$H$4:$H$252,0),0)</f>
        <v>0</v>
      </c>
      <c r="O1630" s="169">
        <f>IFERROR(MATCH(J1630,'Final List'!$J$4:$J$252,0),0)</f>
        <v>0</v>
      </c>
      <c r="P1630" s="169">
        <f>IFERROR(MATCH(J1630,'Final List'!$L$4:$L$252,0),0)</f>
        <v>0</v>
      </c>
      <c r="Q1630" s="169">
        <f>IFERROR(MATCH(J1630,'Final List'!$N$4:$N$252,0),0)</f>
        <v>0</v>
      </c>
      <c r="R1630" s="169">
        <f>IFERROR(MATCH(J1630,'Final List'!$P$4:$P$252,0),0)</f>
        <v>0</v>
      </c>
      <c r="S1630" s="169">
        <f t="shared" si="103"/>
        <v>0</v>
      </c>
      <c r="V1630" s="169" t="str">
        <f t="shared" si="101"/>
        <v>PANSIT, NORMAN 3</v>
      </c>
      <c r="W1630" s="169" t="s">
        <v>8896</v>
      </c>
    </row>
    <row r="1631" spans="2:23" x14ac:dyDescent="0.25">
      <c r="B1631" s="169" t="s">
        <v>92</v>
      </c>
      <c r="C1631" s="169" t="s">
        <v>45</v>
      </c>
      <c r="D1631" s="169" t="s">
        <v>5781</v>
      </c>
      <c r="E1631" s="169" t="s">
        <v>6154</v>
      </c>
      <c r="F1631" s="245" t="str">
        <f t="shared" si="102"/>
        <v>Dhoz 71</v>
      </c>
      <c r="G1631" s="169" t="s">
        <v>8194</v>
      </c>
      <c r="H1631" s="169" t="s">
        <v>636</v>
      </c>
      <c r="I1631" s="169" t="str">
        <f t="shared" si="104"/>
        <v>L05_DPVE_051E_DW_ISL</v>
      </c>
      <c r="J1631" s="169" t="s">
        <v>8984</v>
      </c>
      <c r="K1631" s="169">
        <f>IFERROR(MATCH(J1631,'Final List'!$B$4:$B$252,0),0)</f>
        <v>0</v>
      </c>
      <c r="L1631" s="169">
        <f>IFERROR(MATCH(J1631,'Final List'!$D$4:$D$252,0),0)</f>
        <v>0</v>
      </c>
      <c r="M1631" s="169">
        <f>IFERROR(MATCH(J1631,'Final List'!$F$4:$F$251,0),0)</f>
        <v>0</v>
      </c>
      <c r="N1631" s="169">
        <f>IFERROR(MATCH(J1631,'Final List'!$H$4:$H$252,0),0)</f>
        <v>0</v>
      </c>
      <c r="O1631" s="169">
        <f>IFERROR(MATCH(J1631,'Final List'!$J$4:$J$252,0),0)</f>
        <v>0</v>
      </c>
      <c r="P1631" s="169">
        <f>IFERROR(MATCH(J1631,'Final List'!$L$4:$L$252,0),0)</f>
        <v>0</v>
      </c>
      <c r="Q1631" s="169">
        <f>IFERROR(MATCH(J1631,'Final List'!$N$4:$N$252,0),0)</f>
        <v>0</v>
      </c>
      <c r="R1631" s="169">
        <f>IFERROR(MATCH(J1631,'Final List'!$P$4:$P$252,0),0)</f>
        <v>0</v>
      </c>
      <c r="S1631" s="169">
        <f t="shared" si="103"/>
        <v>0</v>
      </c>
      <c r="V1631" s="169" t="str">
        <f t="shared" si="101"/>
        <v>PANCIT, NOEL 5</v>
      </c>
      <c r="W1631" s="169" t="s">
        <v>2708</v>
      </c>
    </row>
    <row r="1632" spans="2:23" x14ac:dyDescent="0.25">
      <c r="B1632" s="169" t="s">
        <v>93</v>
      </c>
      <c r="C1632" s="169" t="s">
        <v>59</v>
      </c>
      <c r="D1632" s="169" t="s">
        <v>6068</v>
      </c>
      <c r="E1632" s="169" t="s">
        <v>61</v>
      </c>
      <c r="F1632" s="245" t="str">
        <f t="shared" si="102"/>
        <v>Dhoz 71</v>
      </c>
      <c r="G1632" s="169" t="s">
        <v>354</v>
      </c>
      <c r="I1632" s="169" t="str">
        <f t="shared" si="104"/>
        <v>L06_GHVHW_035W_DW</v>
      </c>
      <c r="J1632" s="169" t="s">
        <v>8974</v>
      </c>
      <c r="K1632" s="169">
        <f>IFERROR(MATCH(J1632,'Final List'!$B$4:$B$252,0),0)</f>
        <v>0</v>
      </c>
      <c r="L1632" s="169">
        <f>IFERROR(MATCH(J1632,'Final List'!$D$4:$D$252,0),0)</f>
        <v>0</v>
      </c>
      <c r="M1632" s="169">
        <f>IFERROR(MATCH(J1632,'Final List'!$F$4:$F$251,0),0)</f>
        <v>0</v>
      </c>
      <c r="N1632" s="169">
        <f>IFERROR(MATCH(J1632,'Final List'!$H$4:$H$252,0),0)</f>
        <v>0</v>
      </c>
      <c r="O1632" s="169">
        <f>IFERROR(MATCH(J1632,'Final List'!$J$4:$J$252,0),0)</f>
        <v>0</v>
      </c>
      <c r="P1632" s="169">
        <f>IFERROR(MATCH(J1632,'Final List'!$L$4:$L$252,0),0)</f>
        <v>0</v>
      </c>
      <c r="Q1632" s="169">
        <f>IFERROR(MATCH(J1632,'Final List'!$N$4:$N$252,0),0)</f>
        <v>0</v>
      </c>
      <c r="R1632" s="169">
        <f>IFERROR(MATCH(J1632,'Final List'!$P$4:$P$252,0),0)</f>
        <v>0</v>
      </c>
      <c r="S1632" s="169">
        <f t="shared" si="103"/>
        <v>0</v>
      </c>
      <c r="V1632" s="169" t="str">
        <f t="shared" si="101"/>
        <v>BAÑEZ 3</v>
      </c>
      <c r="W1632" s="169" t="s">
        <v>8895</v>
      </c>
    </row>
    <row r="1633" spans="2:23" x14ac:dyDescent="0.25">
      <c r="B1633" s="169" t="s">
        <v>93</v>
      </c>
      <c r="C1633" s="169" t="s">
        <v>45</v>
      </c>
      <c r="D1633" s="169" t="s">
        <v>289</v>
      </c>
      <c r="E1633" s="169" t="s">
        <v>19</v>
      </c>
      <c r="F1633" s="245" t="str">
        <f t="shared" si="102"/>
        <v>DVR 72</v>
      </c>
      <c r="G1633" s="169" t="s">
        <v>354</v>
      </c>
      <c r="I1633" s="169" t="str">
        <f t="shared" si="104"/>
        <v>L06_DPVE_059E_RAISE</v>
      </c>
      <c r="J1633" s="169" t="s">
        <v>8977</v>
      </c>
      <c r="K1633" s="169">
        <f>IFERROR(MATCH(J1633,'Final List'!$B$4:$B$252,0),0)</f>
        <v>0</v>
      </c>
      <c r="L1633" s="169">
        <f>IFERROR(MATCH(J1633,'Final List'!$D$4:$D$252,0),0)</f>
        <v>0</v>
      </c>
      <c r="M1633" s="169">
        <f>IFERROR(MATCH(J1633,'Final List'!$F$4:$F$251,0),0)</f>
        <v>0</v>
      </c>
      <c r="N1633" s="169">
        <f>IFERROR(MATCH(J1633,'Final List'!$H$4:$H$252,0),0)</f>
        <v>0</v>
      </c>
      <c r="O1633" s="169">
        <f>IFERROR(MATCH(J1633,'Final List'!$J$4:$J$252,0),0)</f>
        <v>0</v>
      </c>
      <c r="P1633" s="169">
        <f>IFERROR(MATCH(J1633,'Final List'!$L$4:$L$252,0),0)</f>
        <v>0</v>
      </c>
      <c r="Q1633" s="169">
        <f>IFERROR(MATCH(J1633,'Final List'!$N$4:$N$252,0),0)</f>
        <v>0</v>
      </c>
      <c r="R1633" s="169">
        <f>IFERROR(MATCH(J1633,'Final List'!$P$4:$P$252,0),0)</f>
        <v>0</v>
      </c>
      <c r="S1633" s="169">
        <f t="shared" si="103"/>
        <v>0</v>
      </c>
      <c r="V1633" s="169" t="str">
        <f t="shared" si="101"/>
        <v>BAÑEZ 3</v>
      </c>
      <c r="W1633" s="169" t="s">
        <v>2715</v>
      </c>
    </row>
    <row r="1634" spans="2:23" x14ac:dyDescent="0.25">
      <c r="B1634" s="169" t="s">
        <v>92</v>
      </c>
      <c r="C1634" s="169" t="s">
        <v>41</v>
      </c>
      <c r="D1634" s="169" t="s">
        <v>142</v>
      </c>
      <c r="E1634" s="169" t="s">
        <v>62</v>
      </c>
      <c r="F1634" s="245" t="str">
        <f t="shared" si="102"/>
        <v>RobS 79</v>
      </c>
      <c r="G1634" s="169" t="s">
        <v>1003</v>
      </c>
      <c r="I1634" s="169" t="str">
        <f t="shared" si="104"/>
        <v>L05_CTV_038E_ROBBING</v>
      </c>
      <c r="J1634" s="169" t="s">
        <v>8976</v>
      </c>
      <c r="K1634" s="169">
        <f>IFERROR(MATCH(J1634,'Final List'!$B$4:$B$252,0),0)</f>
        <v>0</v>
      </c>
      <c r="L1634" s="169">
        <f>IFERROR(MATCH(J1634,'Final List'!$D$4:$D$252,0),0)</f>
        <v>0</v>
      </c>
      <c r="M1634" s="169">
        <f>IFERROR(MATCH(J1634,'Final List'!$F$4:$F$251,0),0)</f>
        <v>0</v>
      </c>
      <c r="N1634" s="169">
        <f>IFERROR(MATCH(J1634,'Final List'!$H$4:$H$252,0),0)</f>
        <v>0</v>
      </c>
      <c r="O1634" s="169">
        <f>IFERROR(MATCH(J1634,'Final List'!$J$4:$J$252,0),0)</f>
        <v>0</v>
      </c>
      <c r="P1634" s="169">
        <f>IFERROR(MATCH(J1634,'Final List'!$L$4:$L$252,0),0)</f>
        <v>0</v>
      </c>
      <c r="Q1634" s="169">
        <f>IFERROR(MATCH(J1634,'Final List'!$N$4:$N$252,0),0)</f>
        <v>0</v>
      </c>
      <c r="R1634" s="169">
        <f>IFERROR(MATCH(J1634,'Final List'!$P$4:$P$252,0),0)</f>
        <v>0</v>
      </c>
      <c r="S1634" s="169">
        <f t="shared" si="103"/>
        <v>0</v>
      </c>
      <c r="T1634" s="169" t="s">
        <v>68</v>
      </c>
      <c r="V1634" s="169" t="str">
        <f t="shared" si="101"/>
        <v>BAYOBAY 2</v>
      </c>
      <c r="W1634" s="169" t="s">
        <v>2707</v>
      </c>
    </row>
    <row r="1635" spans="2:23" x14ac:dyDescent="0.25">
      <c r="B1635" s="169" t="s">
        <v>91</v>
      </c>
      <c r="C1635" s="169" t="s">
        <v>44</v>
      </c>
      <c r="D1635" s="169" t="s">
        <v>98</v>
      </c>
      <c r="E1635" s="169" t="s">
        <v>62</v>
      </c>
      <c r="F1635" s="245" t="str">
        <f t="shared" si="102"/>
        <v>RobS 79</v>
      </c>
      <c r="G1635" s="169" t="s">
        <v>5715</v>
      </c>
      <c r="I1635" s="169" t="str">
        <f t="shared" si="104"/>
        <v>L04_CV_014W_ROBBING</v>
      </c>
      <c r="J1635" s="169" t="s">
        <v>8987</v>
      </c>
      <c r="K1635" s="169">
        <f>IFERROR(MATCH(J1635,'Final List'!$B$4:$B$252,0),0)</f>
        <v>0</v>
      </c>
      <c r="L1635" s="169">
        <f>IFERROR(MATCH(J1635,'Final List'!$D$4:$D$252,0),0)</f>
        <v>0</v>
      </c>
      <c r="M1635" s="169">
        <f>IFERROR(MATCH(J1635,'Final List'!$F$4:$F$251,0),0)</f>
        <v>0</v>
      </c>
      <c r="N1635" s="169">
        <f>IFERROR(MATCH(J1635,'Final List'!$H$4:$H$252,0),0)</f>
        <v>0</v>
      </c>
      <c r="O1635" s="169">
        <f>IFERROR(MATCH(J1635,'Final List'!$J$4:$J$252,0),0)</f>
        <v>0</v>
      </c>
      <c r="P1635" s="169">
        <f>IFERROR(MATCH(J1635,'Final List'!$L$4:$L$252,0),0)</f>
        <v>0</v>
      </c>
      <c r="Q1635" s="169">
        <f>IFERROR(MATCH(J1635,'Final List'!$N$4:$N$252,0),0)</f>
        <v>0</v>
      </c>
      <c r="R1635" s="169">
        <f>IFERROR(MATCH(J1635,'Final List'!$P$4:$P$252,0),0)</f>
        <v>0</v>
      </c>
      <c r="S1635" s="169">
        <f t="shared" si="103"/>
        <v>0</v>
      </c>
      <c r="T1635" s="169" t="s">
        <v>68</v>
      </c>
      <c r="V1635" s="169" t="str">
        <f t="shared" si="101"/>
        <v>MARTINEZ, RON 1</v>
      </c>
      <c r="W1635" s="169" t="s">
        <v>2707</v>
      </c>
    </row>
    <row r="1636" spans="2:23" x14ac:dyDescent="0.25">
      <c r="B1636" s="169" t="s">
        <v>92</v>
      </c>
      <c r="C1636" s="169" t="s">
        <v>56</v>
      </c>
      <c r="D1636" s="169" t="s">
        <v>129</v>
      </c>
      <c r="E1636" s="169" t="s">
        <v>62</v>
      </c>
      <c r="F1636" s="245" t="str">
        <f t="shared" si="102"/>
        <v>RobS 79</v>
      </c>
      <c r="G1636" s="169" t="s">
        <v>4009</v>
      </c>
      <c r="I1636" s="169" t="str">
        <f t="shared" si="104"/>
        <v>L05_GHVFW_010E_ROBBING</v>
      </c>
      <c r="J1636" s="169" t="s">
        <v>8990</v>
      </c>
      <c r="K1636" s="169">
        <f>IFERROR(MATCH(J1636,'Final List'!$B$4:$B$252,0),0)</f>
        <v>0</v>
      </c>
      <c r="L1636" s="169">
        <f>IFERROR(MATCH(J1636,'Final List'!$D$4:$D$252,0),0)</f>
        <v>0</v>
      </c>
      <c r="M1636" s="169">
        <f>IFERROR(MATCH(J1636,'Final List'!$F$4:$F$251,0),0)</f>
        <v>0</v>
      </c>
      <c r="N1636" s="169">
        <f>IFERROR(MATCH(J1636,'Final List'!$H$4:$H$252,0),0)</f>
        <v>0</v>
      </c>
      <c r="O1636" s="169">
        <f>IFERROR(MATCH(J1636,'Final List'!$J$4:$J$252,0),0)</f>
        <v>0</v>
      </c>
      <c r="P1636" s="169">
        <f>IFERROR(MATCH(J1636,'Final List'!$L$4:$L$252,0),0)</f>
        <v>0</v>
      </c>
      <c r="Q1636" s="169">
        <f>IFERROR(MATCH(J1636,'Final List'!$N$4:$N$252,0),0)</f>
        <v>0</v>
      </c>
      <c r="R1636" s="169">
        <f>IFERROR(MATCH(J1636,'Final List'!$P$4:$P$252,0),0)</f>
        <v>0</v>
      </c>
      <c r="S1636" s="169">
        <f t="shared" si="103"/>
        <v>0</v>
      </c>
      <c r="T1636" s="169" t="s">
        <v>68</v>
      </c>
      <c r="V1636" s="169" t="str">
        <f t="shared" si="101"/>
        <v>SHEPHERD AF</v>
      </c>
      <c r="W1636" s="169" t="s">
        <v>236</v>
      </c>
    </row>
    <row r="1637" spans="2:23" x14ac:dyDescent="0.25">
      <c r="B1637" s="169" t="s">
        <v>96</v>
      </c>
      <c r="C1637" s="169" t="s">
        <v>55</v>
      </c>
      <c r="D1637" s="169" t="s">
        <v>162</v>
      </c>
      <c r="E1637" s="169" t="s">
        <v>19</v>
      </c>
      <c r="F1637" s="245" t="str">
        <f t="shared" si="102"/>
        <v>DVR 72</v>
      </c>
      <c r="G1637" s="169" t="s">
        <v>350</v>
      </c>
      <c r="I1637" s="169" t="str">
        <f t="shared" si="104"/>
        <v>L09_JVFW_008E_RAISE</v>
      </c>
      <c r="J1637" s="169" t="s">
        <v>8993</v>
      </c>
      <c r="K1637" s="169">
        <f>IFERROR(MATCH(J1637,'Final List'!$B$4:$B$252,0),0)</f>
        <v>0</v>
      </c>
      <c r="L1637" s="169">
        <f>IFERROR(MATCH(J1637,'Final List'!$D$4:$D$252,0),0)</f>
        <v>0</v>
      </c>
      <c r="M1637" s="169">
        <f>IFERROR(MATCH(J1637,'Final List'!$F$4:$F$251,0),0)</f>
        <v>0</v>
      </c>
      <c r="N1637" s="169">
        <f>IFERROR(MATCH(J1637,'Final List'!$H$4:$H$252,0),0)</f>
        <v>0</v>
      </c>
      <c r="O1637" s="169">
        <f>IFERROR(MATCH(J1637,'Final List'!$J$4:$J$252,0),0)</f>
        <v>0</v>
      </c>
      <c r="P1637" s="169">
        <f>IFERROR(MATCH(J1637,'Final List'!$L$4:$L$252,0),0)</f>
        <v>0</v>
      </c>
      <c r="Q1637" s="169">
        <f>IFERROR(MATCH(J1637,'Final List'!$N$4:$N$252,0),0)</f>
        <v>0</v>
      </c>
      <c r="R1637" s="169">
        <f>IFERROR(MATCH(J1637,'Final List'!$P$4:$P$252,0),0)</f>
        <v>0</v>
      </c>
      <c r="S1637" s="169">
        <f t="shared" si="103"/>
        <v>0</v>
      </c>
      <c r="V1637" s="169" t="str">
        <f t="shared" si="101"/>
        <v>QUIJANO 1</v>
      </c>
      <c r="W1637" s="169" t="s">
        <v>2715</v>
      </c>
    </row>
    <row r="1638" spans="2:23" x14ac:dyDescent="0.25">
      <c r="B1638" s="169" t="s">
        <v>258</v>
      </c>
      <c r="C1638" s="169" t="s">
        <v>57</v>
      </c>
      <c r="D1638" s="169" t="s">
        <v>130</v>
      </c>
      <c r="E1638" s="169" t="s">
        <v>61</v>
      </c>
      <c r="F1638" s="245" t="str">
        <f t="shared" si="102"/>
        <v>Dhoz 71</v>
      </c>
      <c r="G1638" s="169" t="s">
        <v>370</v>
      </c>
      <c r="I1638" s="169" t="str">
        <f t="shared" si="104"/>
        <v>L10_JVSPLIT_036E_DW</v>
      </c>
      <c r="J1638" s="169" t="s">
        <v>8995</v>
      </c>
      <c r="K1638" s="169">
        <f>IFERROR(MATCH(J1638,'Final List'!$B$4:$B$252,0),0)</f>
        <v>0</v>
      </c>
      <c r="L1638" s="169">
        <f>IFERROR(MATCH(J1638,'Final List'!$D$4:$D$252,0),0)</f>
        <v>0</v>
      </c>
      <c r="M1638" s="169">
        <f>IFERROR(MATCH(J1638,'Final List'!$F$4:$F$251,0),0)</f>
        <v>0</v>
      </c>
      <c r="N1638" s="169">
        <f>IFERROR(MATCH(J1638,'Final List'!$H$4:$H$252,0),0)</f>
        <v>0</v>
      </c>
      <c r="O1638" s="169">
        <f>IFERROR(MATCH(J1638,'Final List'!$J$4:$J$252,0),0)</f>
        <v>0</v>
      </c>
      <c r="P1638" s="169">
        <f>IFERROR(MATCH(J1638,'Final List'!$L$4:$L$252,0),0)</f>
        <v>0</v>
      </c>
      <c r="Q1638" s="169">
        <f>IFERROR(MATCH(J1638,'Final List'!$N$4:$N$252,0),0)</f>
        <v>0</v>
      </c>
      <c r="R1638" s="169">
        <f>IFERROR(MATCH(J1638,'Final List'!$P$4:$P$252,0),0)</f>
        <v>0</v>
      </c>
      <c r="S1638" s="169">
        <f t="shared" si="103"/>
        <v>0</v>
      </c>
      <c r="V1638" s="169" t="str">
        <f t="shared" si="101"/>
        <v>TAÑEZA 2</v>
      </c>
      <c r="W1638" s="169" t="s">
        <v>8896</v>
      </c>
    </row>
    <row r="1639" spans="2:23" x14ac:dyDescent="0.25">
      <c r="B1639" s="169" t="s">
        <v>93</v>
      </c>
      <c r="C1639" s="169" t="s">
        <v>45</v>
      </c>
      <c r="D1639" s="169" t="s">
        <v>167</v>
      </c>
      <c r="E1639" s="169" t="s">
        <v>19</v>
      </c>
      <c r="F1639" s="245" t="str">
        <f t="shared" si="102"/>
        <v>DVR 72</v>
      </c>
      <c r="G1639" s="169" t="s">
        <v>353</v>
      </c>
      <c r="I1639" s="169" t="str">
        <f t="shared" si="104"/>
        <v>L06_DPVE_058E_RAISE</v>
      </c>
      <c r="J1639" s="169" t="s">
        <v>4350</v>
      </c>
      <c r="K1639" s="169">
        <f>IFERROR(MATCH(J1639,'Final List'!$B$4:$B$252,0),0)</f>
        <v>0</v>
      </c>
      <c r="L1639" s="169">
        <f>IFERROR(MATCH(J1639,'Final List'!$D$4:$D$252,0),0)</f>
        <v>0</v>
      </c>
      <c r="M1639" s="169">
        <f>IFERROR(MATCH(J1639,'Final List'!$F$4:$F$251,0),0)</f>
        <v>0</v>
      </c>
      <c r="N1639" s="169">
        <f>IFERROR(MATCH(J1639,'Final List'!$H$4:$H$252,0),0)</f>
        <v>0</v>
      </c>
      <c r="O1639" s="169">
        <f>IFERROR(MATCH(J1639,'Final List'!$J$4:$J$252,0),0)</f>
        <v>0</v>
      </c>
      <c r="P1639" s="169">
        <f>IFERROR(MATCH(J1639,'Final List'!$L$4:$L$252,0),0)</f>
        <v>0</v>
      </c>
      <c r="Q1639" s="169">
        <f>IFERROR(MATCH(J1639,'Final List'!$N$4:$N$252,0),0)</f>
        <v>0</v>
      </c>
      <c r="R1639" s="169">
        <f>IFERROR(MATCH(J1639,'Final List'!$P$4:$P$252,0),0)</f>
        <v>0</v>
      </c>
      <c r="S1639" s="169">
        <f t="shared" si="103"/>
        <v>0</v>
      </c>
      <c r="V1639" s="169" t="str">
        <f t="shared" si="101"/>
        <v>BAÑEZ 4</v>
      </c>
      <c r="W1639" s="169" t="s">
        <v>2715</v>
      </c>
    </row>
    <row r="1640" spans="2:23" x14ac:dyDescent="0.25">
      <c r="B1640" s="169" t="s">
        <v>96</v>
      </c>
      <c r="C1640" s="169" t="s">
        <v>56</v>
      </c>
      <c r="D1640" s="169" t="s">
        <v>174</v>
      </c>
      <c r="E1640" s="169" t="s">
        <v>36</v>
      </c>
      <c r="F1640" s="245" t="str">
        <f t="shared" si="102"/>
        <v>StpS 77</v>
      </c>
      <c r="G1640" s="169" t="s">
        <v>8201</v>
      </c>
      <c r="I1640" s="169" t="str">
        <f t="shared" si="104"/>
        <v>L09_GHVFW_052E_STOPE</v>
      </c>
      <c r="J1640" s="169" t="s">
        <v>8997</v>
      </c>
      <c r="K1640" s="169">
        <f>IFERROR(MATCH(J1640,'Final List'!$B$4:$B$252,0),0)</f>
        <v>0</v>
      </c>
      <c r="L1640" s="169">
        <f>IFERROR(MATCH(J1640,'Final List'!$D$4:$D$252,0),0)</f>
        <v>0</v>
      </c>
      <c r="M1640" s="169">
        <f>IFERROR(MATCH(J1640,'Final List'!$F$4:$F$251,0),0)</f>
        <v>0</v>
      </c>
      <c r="N1640" s="169">
        <f>IFERROR(MATCH(J1640,'Final List'!$H$4:$H$252,0),0)</f>
        <v>0</v>
      </c>
      <c r="O1640" s="169">
        <f>IFERROR(MATCH(J1640,'Final List'!$J$4:$J$252,0),0)</f>
        <v>0</v>
      </c>
      <c r="P1640" s="169">
        <f>IFERROR(MATCH(J1640,'Final List'!$L$4:$L$252,0),0)</f>
        <v>0</v>
      </c>
      <c r="Q1640" s="169">
        <f>IFERROR(MATCH(J1640,'Final List'!$N$4:$N$252,0),0)</f>
        <v>0</v>
      </c>
      <c r="R1640" s="169">
        <f>IFERROR(MATCH(J1640,'Final List'!$P$4:$P$252,0),0)</f>
        <v>0</v>
      </c>
      <c r="S1640" s="169">
        <f t="shared" si="103"/>
        <v>0</v>
      </c>
      <c r="T1640" s="169" t="s">
        <v>68</v>
      </c>
      <c r="V1640" s="169" t="str">
        <f t="shared" si="101"/>
        <v>PANSIT, NORMAN 1</v>
      </c>
      <c r="W1640" s="169" t="s">
        <v>2713</v>
      </c>
    </row>
    <row r="1641" spans="2:23" x14ac:dyDescent="0.25">
      <c r="B1641" s="169" t="s">
        <v>92</v>
      </c>
      <c r="C1641" s="169" t="s">
        <v>41</v>
      </c>
      <c r="D1641" s="169" t="s">
        <v>141</v>
      </c>
      <c r="E1641" s="169" t="s">
        <v>6144</v>
      </c>
      <c r="F1641" s="245" t="str">
        <f t="shared" si="102"/>
        <v>DVR 72</v>
      </c>
      <c r="G1641" s="169" t="s">
        <v>5773</v>
      </c>
      <c r="I1641" s="169" t="str">
        <f t="shared" si="104"/>
        <v>L05_CTV_029E_RAISE_ISL</v>
      </c>
      <c r="J1641" s="169" t="s">
        <v>8998</v>
      </c>
      <c r="K1641" s="169">
        <f>IFERROR(MATCH(J1641,'Final List'!$B$4:$B$252,0),0)</f>
        <v>0</v>
      </c>
      <c r="L1641" s="169">
        <f>IFERROR(MATCH(J1641,'Final List'!$D$4:$D$252,0),0)</f>
        <v>0</v>
      </c>
      <c r="M1641" s="169">
        <f>IFERROR(MATCH(J1641,'Final List'!$F$4:$F$251,0),0)</f>
        <v>0</v>
      </c>
      <c r="N1641" s="169">
        <f>IFERROR(MATCH(J1641,'Final List'!$H$4:$H$252,0),0)</f>
        <v>0</v>
      </c>
      <c r="O1641" s="169">
        <f>IFERROR(MATCH(J1641,'Final List'!$J$4:$J$252,0),0)</f>
        <v>0</v>
      </c>
      <c r="P1641" s="169">
        <f>IFERROR(MATCH(J1641,'Final List'!$L$4:$L$252,0),0)</f>
        <v>0</v>
      </c>
      <c r="Q1641" s="169">
        <f>IFERROR(MATCH(J1641,'Final List'!$N$4:$N$252,0),0)</f>
        <v>0</v>
      </c>
      <c r="R1641" s="169">
        <f>IFERROR(MATCH(J1641,'Final List'!$P$4:$P$252,0),0)</f>
        <v>0</v>
      </c>
      <c r="S1641" s="169">
        <f t="shared" si="103"/>
        <v>0</v>
      </c>
      <c r="V1641" s="169" t="str">
        <f t="shared" si="101"/>
        <v>PARAN 3</v>
      </c>
      <c r="W1641" s="169" t="s">
        <v>2715</v>
      </c>
    </row>
    <row r="1642" spans="2:23" x14ac:dyDescent="0.25">
      <c r="B1642" s="169" t="s">
        <v>258</v>
      </c>
      <c r="C1642" s="169" t="s">
        <v>87</v>
      </c>
      <c r="D1642" s="169" t="s">
        <v>177</v>
      </c>
      <c r="E1642" s="169" t="s">
        <v>63</v>
      </c>
      <c r="F1642" s="245" t="str">
        <f t="shared" si="102"/>
        <v>Dhoz 71</v>
      </c>
      <c r="G1642" s="169" t="s">
        <v>560</v>
      </c>
      <c r="I1642" s="169" t="str">
        <f t="shared" si="104"/>
        <v>L10_NONE_054E_XCS</v>
      </c>
      <c r="J1642" s="169" t="s">
        <v>721</v>
      </c>
      <c r="K1642" s="169">
        <f>IFERROR(MATCH(J1642,'Final List'!$B$4:$B$252,0),0)</f>
        <v>0</v>
      </c>
      <c r="L1642" s="169">
        <f>IFERROR(MATCH(J1642,'Final List'!$D$4:$D$252,0),0)</f>
        <v>0</v>
      </c>
      <c r="M1642" s="169">
        <f>IFERROR(MATCH(J1642,'Final List'!$F$4:$F$251,0),0)</f>
        <v>0</v>
      </c>
      <c r="N1642" s="169">
        <f>IFERROR(MATCH(J1642,'Final List'!$H$4:$H$252,0),0)</f>
        <v>0</v>
      </c>
      <c r="O1642" s="169">
        <f>IFERROR(MATCH(J1642,'Final List'!$J$4:$J$252,0),0)</f>
        <v>0</v>
      </c>
      <c r="P1642" s="169">
        <f>IFERROR(MATCH(J1642,'Final List'!$L$4:$L$252,0),0)</f>
        <v>0</v>
      </c>
      <c r="Q1642" s="169">
        <f>IFERROR(MATCH(J1642,'Final List'!$N$4:$N$252,0),0)</f>
        <v>0</v>
      </c>
      <c r="R1642" s="169">
        <f>IFERROR(MATCH(J1642,'Final List'!$P$4:$P$252,0),0)</f>
        <v>0</v>
      </c>
      <c r="S1642" s="169">
        <f t="shared" si="103"/>
        <v>0</v>
      </c>
      <c r="V1642" s="169" t="str">
        <f t="shared" si="101"/>
        <v>CAPOY 1</v>
      </c>
      <c r="W1642" s="169" t="s">
        <v>8898</v>
      </c>
    </row>
    <row r="1643" spans="2:23" x14ac:dyDescent="0.25">
      <c r="B1643" s="169" t="s">
        <v>93</v>
      </c>
      <c r="C1643" s="169" t="s">
        <v>45</v>
      </c>
      <c r="D1643" s="169" t="s">
        <v>119</v>
      </c>
      <c r="E1643" s="169" t="s">
        <v>6143</v>
      </c>
      <c r="F1643" s="245" t="str">
        <f t="shared" si="102"/>
        <v>Dhoz 71</v>
      </c>
      <c r="G1643" s="169" t="s">
        <v>350</v>
      </c>
      <c r="I1643" s="169" t="str">
        <f t="shared" si="104"/>
        <v>L06_DPVE_012E_DE_ISL</v>
      </c>
      <c r="J1643" s="169" t="s">
        <v>9004</v>
      </c>
      <c r="K1643" s="169">
        <f>IFERROR(MATCH(J1643,'Final List'!$B$4:$B$252,0),0)</f>
        <v>0</v>
      </c>
      <c r="L1643" s="169">
        <f>IFERROR(MATCH(J1643,'Final List'!$D$4:$D$252,0),0)</f>
        <v>0</v>
      </c>
      <c r="M1643" s="169">
        <f>IFERROR(MATCH(J1643,'Final List'!$F$4:$F$251,0),0)</f>
        <v>0</v>
      </c>
      <c r="N1643" s="169">
        <f>IFERROR(MATCH(J1643,'Final List'!$H$4:$H$252,0),0)</f>
        <v>0</v>
      </c>
      <c r="O1643" s="169">
        <f>IFERROR(MATCH(J1643,'Final List'!$J$4:$J$252,0),0)</f>
        <v>0</v>
      </c>
      <c r="P1643" s="169">
        <f>IFERROR(MATCH(J1643,'Final List'!$L$4:$L$252,0),0)</f>
        <v>0</v>
      </c>
      <c r="Q1643" s="169">
        <f>IFERROR(MATCH(J1643,'Final List'!$N$4:$N$252,0),0)</f>
        <v>0</v>
      </c>
      <c r="R1643" s="169">
        <f>IFERROR(MATCH(J1643,'Final List'!$P$4:$P$252,0),0)</f>
        <v>0</v>
      </c>
      <c r="S1643" s="169">
        <f t="shared" si="103"/>
        <v>0</v>
      </c>
      <c r="V1643" s="169" t="str">
        <f t="shared" si="101"/>
        <v>QUIJANO 1</v>
      </c>
      <c r="W1643" s="169" t="s">
        <v>2708</v>
      </c>
    </row>
    <row r="1644" spans="2:23" x14ac:dyDescent="0.25">
      <c r="B1644" s="169" t="s">
        <v>94</v>
      </c>
      <c r="C1644" s="169" t="s">
        <v>41</v>
      </c>
      <c r="D1644" s="169" t="s">
        <v>97</v>
      </c>
      <c r="E1644" s="169" t="s">
        <v>62</v>
      </c>
      <c r="F1644" s="245" t="str">
        <f t="shared" si="102"/>
        <v>RobS 79</v>
      </c>
      <c r="G1644" s="169" t="s">
        <v>5921</v>
      </c>
      <c r="I1644" s="169" t="str">
        <f t="shared" si="104"/>
        <v>L07_CTV_012W_ROBBING</v>
      </c>
      <c r="J1644" s="169" t="s">
        <v>9484</v>
      </c>
      <c r="K1644" s="169">
        <f>IFERROR(MATCH(J1644,'Final List'!$B$4:$B$252,0),0)</f>
        <v>0</v>
      </c>
      <c r="L1644" s="169">
        <f>IFERROR(MATCH(J1644,'Final List'!$D$4:$D$252,0),0)</f>
        <v>0</v>
      </c>
      <c r="M1644" s="169">
        <f>IFERROR(MATCH(J1644,'Final List'!$F$4:$F$251,0),0)</f>
        <v>0</v>
      </c>
      <c r="N1644" s="169">
        <f>IFERROR(MATCH(J1644,'Final List'!$H$4:$H$252,0),0)</f>
        <v>0</v>
      </c>
      <c r="O1644" s="169">
        <f>IFERROR(MATCH(J1644,'Final List'!$J$4:$J$252,0),0)</f>
        <v>0</v>
      </c>
      <c r="P1644" s="169">
        <f>IFERROR(MATCH(J1644,'Final List'!$L$4:$L$252,0),0)</f>
        <v>0</v>
      </c>
      <c r="Q1644" s="169">
        <f>IFERROR(MATCH(J1644,'Final List'!$N$4:$N$252,0),0)</f>
        <v>0</v>
      </c>
      <c r="R1644" s="169">
        <f>IFERROR(MATCH(J1644,'Final List'!$P$4:$P$252,0),0)</f>
        <v>0</v>
      </c>
      <c r="S1644" s="169">
        <f t="shared" si="103"/>
        <v>0</v>
      </c>
      <c r="T1644" s="169" t="s">
        <v>68</v>
      </c>
      <c r="V1644" s="169" t="str">
        <f t="shared" si="101"/>
        <v>TURRA 2</v>
      </c>
      <c r="W1644" s="169" t="s">
        <v>2707</v>
      </c>
    </row>
    <row r="1645" spans="2:23" x14ac:dyDescent="0.25">
      <c r="B1645" s="169" t="s">
        <v>96</v>
      </c>
      <c r="C1645" s="169" t="s">
        <v>59</v>
      </c>
      <c r="D1645" s="169" t="s">
        <v>103</v>
      </c>
      <c r="E1645" s="169" t="s">
        <v>211</v>
      </c>
      <c r="F1645" s="245" t="str">
        <f t="shared" si="102"/>
        <v>StpS 77</v>
      </c>
      <c r="G1645" s="169" t="s">
        <v>360</v>
      </c>
      <c r="I1645" s="169" t="str">
        <f t="shared" si="104"/>
        <v>L09_GHVHW_005E_STOPE PREP</v>
      </c>
      <c r="J1645" s="169" t="s">
        <v>9006</v>
      </c>
      <c r="K1645" s="169">
        <f>IFERROR(MATCH(J1645,'Final List'!$B$4:$B$252,0),0)</f>
        <v>0</v>
      </c>
      <c r="L1645" s="169">
        <f>IFERROR(MATCH(J1645,'Final List'!$D$4:$D$252,0),0)</f>
        <v>0</v>
      </c>
      <c r="M1645" s="169">
        <f>IFERROR(MATCH(J1645,'Final List'!$F$4:$F$251,0),0)</f>
        <v>0</v>
      </c>
      <c r="N1645" s="169">
        <f>IFERROR(MATCH(J1645,'Final List'!$H$4:$H$252,0),0)</f>
        <v>0</v>
      </c>
      <c r="O1645" s="169">
        <f>IFERROR(MATCH(J1645,'Final List'!$J$4:$J$252,0),0)</f>
        <v>0</v>
      </c>
      <c r="P1645" s="169">
        <f>IFERROR(MATCH(J1645,'Final List'!$L$4:$L$252,0),0)</f>
        <v>0</v>
      </c>
      <c r="Q1645" s="169">
        <f>IFERROR(MATCH(J1645,'Final List'!$N$4:$N$252,0),0)</f>
        <v>0</v>
      </c>
      <c r="R1645" s="169">
        <f>IFERROR(MATCH(J1645,'Final List'!$P$4:$P$252,0),0)</f>
        <v>0</v>
      </c>
      <c r="S1645" s="169">
        <f t="shared" si="103"/>
        <v>0</v>
      </c>
      <c r="T1645" s="169" t="s">
        <v>68</v>
      </c>
      <c r="V1645" s="169" t="str">
        <f t="shared" si="101"/>
        <v>ALMASA 1</v>
      </c>
      <c r="W1645" s="169" t="s">
        <v>2712</v>
      </c>
    </row>
    <row r="1646" spans="2:23" x14ac:dyDescent="0.25">
      <c r="B1646" s="169" t="s">
        <v>95</v>
      </c>
      <c r="C1646" s="169" t="s">
        <v>57</v>
      </c>
      <c r="D1646" s="169" t="s">
        <v>178</v>
      </c>
      <c r="E1646" s="169" t="s">
        <v>19</v>
      </c>
      <c r="F1646" s="245" t="str">
        <f t="shared" si="102"/>
        <v>DVR 72</v>
      </c>
      <c r="G1646" s="169" t="s">
        <v>451</v>
      </c>
      <c r="H1646" s="169" t="s">
        <v>368</v>
      </c>
      <c r="I1646" s="169" t="str">
        <f t="shared" si="104"/>
        <v>L08_JVSPLIT_048E_RAISE</v>
      </c>
      <c r="J1646" s="169" t="s">
        <v>9007</v>
      </c>
      <c r="K1646" s="169">
        <f>IFERROR(MATCH(J1646,'Final List'!$B$4:$B$252,0),0)</f>
        <v>0</v>
      </c>
      <c r="L1646" s="169">
        <f>IFERROR(MATCH(J1646,'Final List'!$D$4:$D$252,0),0)</f>
        <v>0</v>
      </c>
      <c r="M1646" s="169">
        <f>IFERROR(MATCH(J1646,'Final List'!$F$4:$F$251,0),0)</f>
        <v>0</v>
      </c>
      <c r="N1646" s="169">
        <f>IFERROR(MATCH(J1646,'Final List'!$H$4:$H$252,0),0)</f>
        <v>0</v>
      </c>
      <c r="O1646" s="169">
        <f>IFERROR(MATCH(J1646,'Final List'!$J$4:$J$252,0),0)</f>
        <v>0</v>
      </c>
      <c r="P1646" s="169">
        <f>IFERROR(MATCH(J1646,'Final List'!$L$4:$L$252,0),0)</f>
        <v>0</v>
      </c>
      <c r="Q1646" s="169">
        <f>IFERROR(MATCH(J1646,'Final List'!$N$4:$N$252,0),0)</f>
        <v>0</v>
      </c>
      <c r="R1646" s="169">
        <f>IFERROR(MATCH(J1646,'Final List'!$P$4:$P$252,0),0)</f>
        <v>0</v>
      </c>
      <c r="S1646" s="169">
        <f t="shared" si="103"/>
        <v>0</v>
      </c>
      <c r="V1646" s="169" t="str">
        <f t="shared" si="101"/>
        <v>LERIO 2</v>
      </c>
      <c r="W1646" s="169" t="s">
        <v>2715</v>
      </c>
    </row>
    <row r="1647" spans="2:23" x14ac:dyDescent="0.25">
      <c r="B1647" s="169" t="s">
        <v>95</v>
      </c>
      <c r="C1647" s="169" t="s">
        <v>55</v>
      </c>
      <c r="D1647" s="169" t="s">
        <v>5601</v>
      </c>
      <c r="E1647" s="169" t="s">
        <v>60</v>
      </c>
      <c r="F1647" s="245" t="str">
        <f t="shared" si="102"/>
        <v>Dhoz 71</v>
      </c>
      <c r="G1647" s="169" t="s">
        <v>380</v>
      </c>
      <c r="I1647" s="169" t="str">
        <f t="shared" si="104"/>
        <v>L08_JVFW_026E_DE</v>
      </c>
      <c r="J1647" s="169" t="s">
        <v>9008</v>
      </c>
      <c r="K1647" s="169">
        <f>IFERROR(MATCH(J1647,'Final List'!$B$4:$B$252,0),0)</f>
        <v>0</v>
      </c>
      <c r="L1647" s="169">
        <f>IFERROR(MATCH(J1647,'Final List'!$D$4:$D$252,0),0)</f>
        <v>0</v>
      </c>
      <c r="M1647" s="169">
        <f>IFERROR(MATCH(J1647,'Final List'!$F$4:$F$251,0),0)</f>
        <v>0</v>
      </c>
      <c r="N1647" s="169">
        <f>IFERROR(MATCH(J1647,'Final List'!$H$4:$H$252,0),0)</f>
        <v>0</v>
      </c>
      <c r="O1647" s="169">
        <f>IFERROR(MATCH(J1647,'Final List'!$J$4:$J$252,0),0)</f>
        <v>0</v>
      </c>
      <c r="P1647" s="169">
        <f>IFERROR(MATCH(J1647,'Final List'!$L$4:$L$252,0),0)</f>
        <v>0</v>
      </c>
      <c r="Q1647" s="169">
        <f>IFERROR(MATCH(J1647,'Final List'!$N$4:$N$252,0),0)</f>
        <v>0</v>
      </c>
      <c r="R1647" s="169">
        <f>IFERROR(MATCH(J1647,'Final List'!$P$4:$P$252,0),0)</f>
        <v>0</v>
      </c>
      <c r="S1647" s="169">
        <f t="shared" si="103"/>
        <v>0</v>
      </c>
      <c r="V1647" s="169" t="str">
        <f t="shared" si="101"/>
        <v>AGLOLO 1</v>
      </c>
      <c r="W1647" s="169" t="s">
        <v>8895</v>
      </c>
    </row>
    <row r="1648" spans="2:23" x14ac:dyDescent="0.25">
      <c r="B1648" s="169" t="s">
        <v>95</v>
      </c>
      <c r="C1648" s="169" t="s">
        <v>56</v>
      </c>
      <c r="D1648" s="169" t="s">
        <v>165</v>
      </c>
      <c r="E1648" s="169" t="s">
        <v>6154</v>
      </c>
      <c r="F1648" s="245" t="str">
        <f t="shared" si="102"/>
        <v>Dhoz 71</v>
      </c>
      <c r="G1648" s="169" t="s">
        <v>583</v>
      </c>
      <c r="I1648" s="169" t="str">
        <f t="shared" si="104"/>
        <v>L08_GHVFW_056E_DW_ISL</v>
      </c>
      <c r="J1648" s="169" t="s">
        <v>9010</v>
      </c>
      <c r="K1648" s="169">
        <f>IFERROR(MATCH(J1648,'Final List'!$B$4:$B$252,0),0)</f>
        <v>0</v>
      </c>
      <c r="L1648" s="169">
        <f>IFERROR(MATCH(J1648,'Final List'!$D$4:$D$252,0),0)</f>
        <v>0</v>
      </c>
      <c r="M1648" s="169">
        <f>IFERROR(MATCH(J1648,'Final List'!$F$4:$F$251,0),0)</f>
        <v>0</v>
      </c>
      <c r="N1648" s="169">
        <f>IFERROR(MATCH(J1648,'Final List'!$H$4:$H$252,0),0)</f>
        <v>0</v>
      </c>
      <c r="O1648" s="169">
        <f>IFERROR(MATCH(J1648,'Final List'!$J$4:$J$252,0),0)</f>
        <v>0</v>
      </c>
      <c r="P1648" s="169">
        <f>IFERROR(MATCH(J1648,'Final List'!$L$4:$L$252,0),0)</f>
        <v>0</v>
      </c>
      <c r="Q1648" s="169">
        <f>IFERROR(MATCH(J1648,'Final List'!$N$4:$N$252,0),0)</f>
        <v>0</v>
      </c>
      <c r="R1648" s="169">
        <f>IFERROR(MATCH(J1648,'Final List'!$P$4:$P$252,0),0)</f>
        <v>0</v>
      </c>
      <c r="S1648" s="169">
        <f t="shared" si="103"/>
        <v>0</v>
      </c>
      <c r="V1648" s="169" t="str">
        <f t="shared" si="101"/>
        <v>VILLARANTE 1</v>
      </c>
      <c r="W1648" s="169" t="s">
        <v>2708</v>
      </c>
    </row>
    <row r="1649" spans="2:23" x14ac:dyDescent="0.25">
      <c r="B1649" s="169" t="s">
        <v>93</v>
      </c>
      <c r="C1649" s="169" t="s">
        <v>44</v>
      </c>
      <c r="D1649" s="169" t="s">
        <v>5844</v>
      </c>
      <c r="E1649" s="169" t="s">
        <v>60</v>
      </c>
      <c r="F1649" s="245" t="str">
        <f t="shared" si="102"/>
        <v>Dhoz 71</v>
      </c>
      <c r="G1649" s="169" t="s">
        <v>862</v>
      </c>
      <c r="I1649" s="169" t="str">
        <f t="shared" si="104"/>
        <v>L06_CV_009W_DE</v>
      </c>
      <c r="J1649" s="169" t="s">
        <v>9024</v>
      </c>
      <c r="K1649" s="169">
        <f>IFERROR(MATCH(J1649,'Final List'!$B$4:$B$252,0),0)</f>
        <v>0</v>
      </c>
      <c r="L1649" s="169">
        <f>IFERROR(MATCH(J1649,'Final List'!$D$4:$D$252,0),0)</f>
        <v>0</v>
      </c>
      <c r="M1649" s="169">
        <f>IFERROR(MATCH(J1649,'Final List'!$F$4:$F$251,0),0)</f>
        <v>0</v>
      </c>
      <c r="N1649" s="169">
        <f>IFERROR(MATCH(J1649,'Final List'!$H$4:$H$252,0),0)</f>
        <v>0</v>
      </c>
      <c r="O1649" s="169">
        <f>IFERROR(MATCH(J1649,'Final List'!$J$4:$J$252,0),0)</f>
        <v>0</v>
      </c>
      <c r="P1649" s="169">
        <f>IFERROR(MATCH(J1649,'Final List'!$L$4:$L$252,0),0)</f>
        <v>0</v>
      </c>
      <c r="Q1649" s="169">
        <f>IFERROR(MATCH(J1649,'Final List'!$N$4:$N$252,0),0)</f>
        <v>0</v>
      </c>
      <c r="R1649" s="169">
        <f>IFERROR(MATCH(J1649,'Final List'!$P$4:$P$252,0),0)</f>
        <v>0</v>
      </c>
      <c r="S1649" s="169">
        <f t="shared" si="103"/>
        <v>0</v>
      </c>
      <c r="V1649" s="169" t="str">
        <f t="shared" si="101"/>
        <v>REBOTE 1</v>
      </c>
      <c r="W1649" s="169" t="s">
        <v>8895</v>
      </c>
    </row>
    <row r="1650" spans="2:23" x14ac:dyDescent="0.25">
      <c r="B1650" s="169" t="s">
        <v>92</v>
      </c>
      <c r="C1650" s="169" t="s">
        <v>41</v>
      </c>
      <c r="D1650" s="169" t="s">
        <v>147</v>
      </c>
      <c r="E1650" s="169" t="s">
        <v>441</v>
      </c>
      <c r="F1650" s="245" t="str">
        <f t="shared" si="102"/>
        <v>RobC 80</v>
      </c>
      <c r="G1650" s="169" t="s">
        <v>5698</v>
      </c>
      <c r="I1650" s="169" t="str">
        <f t="shared" si="104"/>
        <v>L05_CTV_024E_WINZE STOPE PREP</v>
      </c>
      <c r="J1650" s="169" t="s">
        <v>9019</v>
      </c>
      <c r="K1650" s="169">
        <f>IFERROR(MATCH(J1650,'Final List'!$B$4:$B$252,0),0)</f>
        <v>0</v>
      </c>
      <c r="L1650" s="169">
        <f>IFERROR(MATCH(J1650,'Final List'!$D$4:$D$252,0),0)</f>
        <v>0</v>
      </c>
      <c r="M1650" s="169">
        <f>IFERROR(MATCH(J1650,'Final List'!$F$4:$F$251,0),0)</f>
        <v>0</v>
      </c>
      <c r="N1650" s="169">
        <f>IFERROR(MATCH(J1650,'Final List'!$H$4:$H$252,0),0)</f>
        <v>0</v>
      </c>
      <c r="O1650" s="169">
        <f>IFERROR(MATCH(J1650,'Final List'!$J$4:$J$252,0),0)</f>
        <v>0</v>
      </c>
      <c r="P1650" s="169">
        <f>IFERROR(MATCH(J1650,'Final List'!$L$4:$L$252,0),0)</f>
        <v>0</v>
      </c>
      <c r="Q1650" s="169">
        <f>IFERROR(MATCH(J1650,'Final List'!$N$4:$N$252,0),0)</f>
        <v>0</v>
      </c>
      <c r="R1650" s="169">
        <f>IFERROR(MATCH(J1650,'Final List'!$P$4:$P$252,0),0)</f>
        <v>0</v>
      </c>
      <c r="S1650" s="169">
        <f t="shared" si="103"/>
        <v>0</v>
      </c>
      <c r="T1650" s="169" t="s">
        <v>68</v>
      </c>
      <c r="V1650" s="169" t="str">
        <f t="shared" si="101"/>
        <v>PARAN 1</v>
      </c>
      <c r="W1650" s="169" t="s">
        <v>2716</v>
      </c>
    </row>
    <row r="1651" spans="2:23" x14ac:dyDescent="0.25">
      <c r="B1651" s="169" t="s">
        <v>95</v>
      </c>
      <c r="C1651" s="169" t="s">
        <v>55</v>
      </c>
      <c r="D1651" s="169" t="s">
        <v>112</v>
      </c>
      <c r="E1651" s="169" t="s">
        <v>19</v>
      </c>
      <c r="F1651" s="245" t="str">
        <f t="shared" si="102"/>
        <v>DVR 72</v>
      </c>
      <c r="G1651" s="169" t="s">
        <v>6936</v>
      </c>
      <c r="I1651" s="169" t="str">
        <f t="shared" si="104"/>
        <v>L08_JVFW_018E_RAISE</v>
      </c>
      <c r="J1651" s="169" t="s">
        <v>9023</v>
      </c>
      <c r="K1651" s="169">
        <f>IFERROR(MATCH(J1651,'Final List'!$B$4:$B$252,0),0)</f>
        <v>0</v>
      </c>
      <c r="L1651" s="169">
        <f>IFERROR(MATCH(J1651,'Final List'!$D$4:$D$252,0),0)</f>
        <v>0</v>
      </c>
      <c r="M1651" s="169">
        <f>IFERROR(MATCH(J1651,'Final List'!$F$4:$F$251,0),0)</f>
        <v>0</v>
      </c>
      <c r="N1651" s="169">
        <f>IFERROR(MATCH(J1651,'Final List'!$H$4:$H$252,0),0)</f>
        <v>0</v>
      </c>
      <c r="O1651" s="169">
        <f>IFERROR(MATCH(J1651,'Final List'!$J$4:$J$252,0),0)</f>
        <v>0</v>
      </c>
      <c r="P1651" s="169">
        <f>IFERROR(MATCH(J1651,'Final List'!$L$4:$L$252,0),0)</f>
        <v>0</v>
      </c>
      <c r="Q1651" s="169">
        <f>IFERROR(MATCH(J1651,'Final List'!$N$4:$N$252,0),0)</f>
        <v>0</v>
      </c>
      <c r="R1651" s="169">
        <f>IFERROR(MATCH(J1651,'Final List'!$P$4:$P$252,0),0)</f>
        <v>0</v>
      </c>
      <c r="S1651" s="169">
        <f t="shared" si="103"/>
        <v>0</v>
      </c>
      <c r="V1651" s="169" t="str">
        <f t="shared" si="101"/>
        <v>OSWAY 1</v>
      </c>
      <c r="W1651" s="169" t="s">
        <v>2715</v>
      </c>
    </row>
    <row r="1652" spans="2:23" x14ac:dyDescent="0.25">
      <c r="B1652" s="169" t="s">
        <v>258</v>
      </c>
      <c r="C1652" s="169" t="s">
        <v>45</v>
      </c>
      <c r="D1652" s="169" t="s">
        <v>166</v>
      </c>
      <c r="E1652" s="169" t="s">
        <v>36</v>
      </c>
      <c r="F1652" s="245" t="str">
        <f t="shared" si="102"/>
        <v>StpS 77</v>
      </c>
      <c r="G1652" s="169" t="s">
        <v>5705</v>
      </c>
      <c r="I1652" s="169" t="str">
        <f t="shared" si="104"/>
        <v>L10_DPVE_068E_STOPE</v>
      </c>
      <c r="J1652" s="169" t="s">
        <v>9026</v>
      </c>
      <c r="K1652" s="169">
        <f>IFERROR(MATCH(J1652,'Final List'!$B$4:$B$252,0),0)</f>
        <v>0</v>
      </c>
      <c r="L1652" s="169">
        <f>IFERROR(MATCH(J1652,'Final List'!$D$4:$D$252,0),0)</f>
        <v>0</v>
      </c>
      <c r="M1652" s="169">
        <f>IFERROR(MATCH(J1652,'Final List'!$F$4:$F$251,0),0)</f>
        <v>0</v>
      </c>
      <c r="N1652" s="169">
        <f>IFERROR(MATCH(J1652,'Final List'!$H$4:$H$252,0),0)</f>
        <v>0</v>
      </c>
      <c r="O1652" s="169">
        <f>IFERROR(MATCH(J1652,'Final List'!$J$4:$J$252,0),0)</f>
        <v>0</v>
      </c>
      <c r="P1652" s="169">
        <f>IFERROR(MATCH(J1652,'Final List'!$L$4:$L$252,0),0)</f>
        <v>0</v>
      </c>
      <c r="Q1652" s="169">
        <f>IFERROR(MATCH(J1652,'Final List'!$N$4:$N$252,0),0)</f>
        <v>0</v>
      </c>
      <c r="R1652" s="169">
        <f>IFERROR(MATCH(J1652,'Final List'!$P$4:$P$252,0),0)</f>
        <v>0</v>
      </c>
      <c r="S1652" s="169">
        <f t="shared" si="103"/>
        <v>0</v>
      </c>
      <c r="T1652" s="169" t="s">
        <v>68</v>
      </c>
      <c r="V1652" s="169" t="str">
        <f t="shared" si="101"/>
        <v>OLIVEROS 4</v>
      </c>
      <c r="W1652" s="169" t="s">
        <v>2713</v>
      </c>
    </row>
    <row r="1653" spans="2:23" x14ac:dyDescent="0.25">
      <c r="B1653" s="169" t="s">
        <v>258</v>
      </c>
      <c r="C1653" s="169" t="s">
        <v>39</v>
      </c>
      <c r="D1653" s="169" t="s">
        <v>161</v>
      </c>
      <c r="E1653" s="169" t="s">
        <v>36</v>
      </c>
      <c r="F1653" s="245" t="str">
        <f t="shared" si="102"/>
        <v>StpS 77</v>
      </c>
      <c r="G1653" s="169" t="s">
        <v>5703</v>
      </c>
      <c r="I1653" s="169" t="str">
        <f t="shared" si="104"/>
        <v>L10_JVHW_044E_STOPE</v>
      </c>
      <c r="J1653" s="169" t="s">
        <v>9029</v>
      </c>
      <c r="K1653" s="169">
        <f>IFERROR(MATCH(J1653,'Final List'!$B$4:$B$252,0),0)</f>
        <v>0</v>
      </c>
      <c r="L1653" s="169">
        <f>IFERROR(MATCH(J1653,'Final List'!$D$4:$D$252,0),0)</f>
        <v>0</v>
      </c>
      <c r="M1653" s="169">
        <f>IFERROR(MATCH(J1653,'Final List'!$F$4:$F$251,0),0)</f>
        <v>0</v>
      </c>
      <c r="N1653" s="169">
        <f>IFERROR(MATCH(J1653,'Final List'!$H$4:$H$252,0),0)</f>
        <v>0</v>
      </c>
      <c r="O1653" s="169">
        <f>IFERROR(MATCH(J1653,'Final List'!$J$4:$J$252,0),0)</f>
        <v>0</v>
      </c>
      <c r="P1653" s="169">
        <f>IFERROR(MATCH(J1653,'Final List'!$L$4:$L$252,0),0)</f>
        <v>0</v>
      </c>
      <c r="Q1653" s="169">
        <f>IFERROR(MATCH(J1653,'Final List'!$N$4:$N$252,0),0)</f>
        <v>0</v>
      </c>
      <c r="R1653" s="169">
        <f>IFERROR(MATCH(J1653,'Final List'!$P$4:$P$252,0),0)</f>
        <v>0</v>
      </c>
      <c r="S1653" s="169">
        <f t="shared" si="103"/>
        <v>0</v>
      </c>
      <c r="T1653" s="169" t="s">
        <v>68</v>
      </c>
      <c r="V1653" s="169" t="str">
        <f t="shared" si="101"/>
        <v>OLIVEROS 2</v>
      </c>
      <c r="W1653" s="169" t="s">
        <v>2713</v>
      </c>
    </row>
    <row r="1654" spans="2:23" x14ac:dyDescent="0.25">
      <c r="B1654" s="169" t="s">
        <v>93</v>
      </c>
      <c r="C1654" s="169" t="s">
        <v>39</v>
      </c>
      <c r="D1654" s="169" t="s">
        <v>108</v>
      </c>
      <c r="E1654" s="169" t="s">
        <v>19</v>
      </c>
      <c r="F1654" s="245" t="str">
        <f t="shared" si="102"/>
        <v>DVR 72</v>
      </c>
      <c r="G1654" s="169" t="s">
        <v>2459</v>
      </c>
      <c r="I1654" s="169" t="str">
        <f t="shared" si="104"/>
        <v>L06_JVHW_007W_RAISE</v>
      </c>
      <c r="J1654" s="169" t="s">
        <v>9031</v>
      </c>
      <c r="K1654" s="169">
        <f>IFERROR(MATCH(J1654,'Final List'!$B$4:$B$252,0),0)</f>
        <v>0</v>
      </c>
      <c r="L1654" s="169">
        <f>IFERROR(MATCH(J1654,'Final List'!$D$4:$D$252,0),0)</f>
        <v>0</v>
      </c>
      <c r="M1654" s="169">
        <f>IFERROR(MATCH(J1654,'Final List'!$F$4:$F$251,0),0)</f>
        <v>0</v>
      </c>
      <c r="N1654" s="169">
        <f>IFERROR(MATCH(J1654,'Final List'!$H$4:$H$252,0),0)</f>
        <v>0</v>
      </c>
      <c r="O1654" s="169">
        <f>IFERROR(MATCH(J1654,'Final List'!$J$4:$J$252,0),0)</f>
        <v>0</v>
      </c>
      <c r="P1654" s="169">
        <f>IFERROR(MATCH(J1654,'Final List'!$L$4:$L$252,0),0)</f>
        <v>0</v>
      </c>
      <c r="Q1654" s="169">
        <f>IFERROR(MATCH(J1654,'Final List'!$N$4:$N$252,0),0)</f>
        <v>0</v>
      </c>
      <c r="R1654" s="169">
        <f>IFERROR(MATCH(J1654,'Final List'!$P$4:$P$252,0),0)</f>
        <v>0</v>
      </c>
      <c r="S1654" s="169">
        <f t="shared" si="103"/>
        <v>0</v>
      </c>
      <c r="V1654" s="169" t="str">
        <f t="shared" si="101"/>
        <v>REBOTE 3</v>
      </c>
      <c r="W1654" s="169" t="s">
        <v>2715</v>
      </c>
    </row>
    <row r="1655" spans="2:23" x14ac:dyDescent="0.25">
      <c r="B1655" s="169" t="s">
        <v>93</v>
      </c>
      <c r="C1655" s="169" t="s">
        <v>55</v>
      </c>
      <c r="D1655" s="169" t="s">
        <v>113</v>
      </c>
      <c r="E1655" s="169" t="s">
        <v>60</v>
      </c>
      <c r="F1655" s="245" t="str">
        <f t="shared" si="102"/>
        <v>Dhoz 71</v>
      </c>
      <c r="G1655" s="169" t="s">
        <v>3303</v>
      </c>
      <c r="I1655" s="169" t="str">
        <f t="shared" si="104"/>
        <v>L06_JVFW_001W_DE</v>
      </c>
      <c r="J1655" s="169" t="s">
        <v>9032</v>
      </c>
      <c r="K1655" s="169">
        <f>IFERROR(MATCH(J1655,'Final List'!$B$4:$B$252,0),0)</f>
        <v>0</v>
      </c>
      <c r="L1655" s="169">
        <f>IFERROR(MATCH(J1655,'Final List'!$D$4:$D$252,0),0)</f>
        <v>0</v>
      </c>
      <c r="M1655" s="169">
        <f>IFERROR(MATCH(J1655,'Final List'!$F$4:$F$251,0),0)</f>
        <v>0</v>
      </c>
      <c r="N1655" s="169">
        <f>IFERROR(MATCH(J1655,'Final List'!$H$4:$H$252,0),0)</f>
        <v>0</v>
      </c>
      <c r="O1655" s="169">
        <f>IFERROR(MATCH(J1655,'Final List'!$J$4:$J$252,0),0)</f>
        <v>0</v>
      </c>
      <c r="P1655" s="169">
        <f>IFERROR(MATCH(J1655,'Final List'!$L$4:$L$252,0),0)</f>
        <v>0</v>
      </c>
      <c r="Q1655" s="169">
        <f>IFERROR(MATCH(J1655,'Final List'!$N$4:$N$252,0),0)</f>
        <v>0</v>
      </c>
      <c r="R1655" s="169">
        <f>IFERROR(MATCH(J1655,'Final List'!$P$4:$P$252,0),0)</f>
        <v>0</v>
      </c>
      <c r="S1655" s="169">
        <f t="shared" si="103"/>
        <v>0</v>
      </c>
      <c r="V1655" s="169" t="str">
        <f t="shared" si="101"/>
        <v>SHEPHERD AC</v>
      </c>
      <c r="W1655" s="169" t="s">
        <v>8895</v>
      </c>
    </row>
    <row r="1656" spans="2:23" x14ac:dyDescent="0.25">
      <c r="B1656" s="169" t="s">
        <v>91</v>
      </c>
      <c r="C1656" s="169" t="s">
        <v>56</v>
      </c>
      <c r="D1656" s="169" t="s">
        <v>129</v>
      </c>
      <c r="E1656" s="169" t="s">
        <v>441</v>
      </c>
      <c r="F1656" s="245" t="str">
        <f t="shared" si="102"/>
        <v>RobC 80</v>
      </c>
      <c r="G1656" s="169" t="s">
        <v>310</v>
      </c>
      <c r="I1656" s="169" t="str">
        <f t="shared" si="104"/>
        <v>L04_GHVFW_010E_WINZE STOPE PREP</v>
      </c>
      <c r="J1656" s="169" t="s">
        <v>9036</v>
      </c>
      <c r="K1656" s="169">
        <f>IFERROR(MATCH(J1656,'Final List'!$B$4:$B$252,0),0)</f>
        <v>0</v>
      </c>
      <c r="L1656" s="169">
        <f>IFERROR(MATCH(J1656,'Final List'!$D$4:$D$252,0),0)</f>
        <v>0</v>
      </c>
      <c r="M1656" s="169">
        <f>IFERROR(MATCH(J1656,'Final List'!$F$4:$F$251,0),0)</f>
        <v>0</v>
      </c>
      <c r="N1656" s="169">
        <f>IFERROR(MATCH(J1656,'Final List'!$H$4:$H$252,0),0)</f>
        <v>0</v>
      </c>
      <c r="O1656" s="169">
        <f>IFERROR(MATCH(J1656,'Final List'!$J$4:$J$252,0),0)</f>
        <v>0</v>
      </c>
      <c r="P1656" s="169">
        <f>IFERROR(MATCH(J1656,'Final List'!$L$4:$L$252,0),0)</f>
        <v>0</v>
      </c>
      <c r="Q1656" s="169">
        <f>IFERROR(MATCH(J1656,'Final List'!$N$4:$N$252,0),0)</f>
        <v>0</v>
      </c>
      <c r="R1656" s="169">
        <f>IFERROR(MATCH(J1656,'Final List'!$P$4:$P$252,0),0)</f>
        <v>0</v>
      </c>
      <c r="S1656" s="169">
        <f t="shared" si="103"/>
        <v>0</v>
      </c>
      <c r="T1656" s="169" t="s">
        <v>68</v>
      </c>
      <c r="V1656" s="169" t="str">
        <f t="shared" si="101"/>
        <v>MARTINEZ DN 1</v>
      </c>
      <c r="W1656" s="169" t="s">
        <v>2716</v>
      </c>
    </row>
    <row r="1657" spans="2:23" x14ac:dyDescent="0.25">
      <c r="B1657" s="169" t="s">
        <v>92</v>
      </c>
      <c r="C1657" s="169" t="s">
        <v>41</v>
      </c>
      <c r="D1657" s="169" t="s">
        <v>5975</v>
      </c>
      <c r="E1657" s="169" t="s">
        <v>221</v>
      </c>
      <c r="F1657" s="245" t="str">
        <f t="shared" si="102"/>
        <v>RobC 80</v>
      </c>
      <c r="G1657" s="169" t="s">
        <v>5698</v>
      </c>
      <c r="I1657" s="169" t="str">
        <f t="shared" si="104"/>
        <v>L05_CTV_028E_WINZE STOPE</v>
      </c>
      <c r="J1657" s="169" t="s">
        <v>9123</v>
      </c>
      <c r="K1657" s="169">
        <f>IFERROR(MATCH(J1657,'Final List'!$B$4:$B$252,0),0)</f>
        <v>0</v>
      </c>
      <c r="L1657" s="169">
        <f>IFERROR(MATCH(J1657,'Final List'!$D$4:$D$252,0),0)</f>
        <v>0</v>
      </c>
      <c r="M1657" s="169">
        <f>IFERROR(MATCH(J1657,'Final List'!$F$4:$F$251,0),0)</f>
        <v>0</v>
      </c>
      <c r="N1657" s="169">
        <f>IFERROR(MATCH(J1657,'Final List'!$H$4:$H$252,0),0)</f>
        <v>0</v>
      </c>
      <c r="O1657" s="169">
        <f>IFERROR(MATCH(J1657,'Final List'!$J$4:$J$252,0),0)</f>
        <v>0</v>
      </c>
      <c r="P1657" s="169">
        <f>IFERROR(MATCH(J1657,'Final List'!$L$4:$L$252,0),0)</f>
        <v>0</v>
      </c>
      <c r="Q1657" s="169">
        <f>IFERROR(MATCH(J1657,'Final List'!$N$4:$N$252,0),0)</f>
        <v>0</v>
      </c>
      <c r="R1657" s="169">
        <f>IFERROR(MATCH(J1657,'Final List'!$P$4:$P$252,0),0)</f>
        <v>0</v>
      </c>
      <c r="S1657" s="169">
        <f t="shared" si="103"/>
        <v>0</v>
      </c>
      <c r="T1657" s="169" t="s">
        <v>68</v>
      </c>
      <c r="V1657" s="169" t="str">
        <f t="shared" si="101"/>
        <v>PARAN 1</v>
      </c>
      <c r="W1657" s="169" t="s">
        <v>2719</v>
      </c>
    </row>
    <row r="1658" spans="2:23" x14ac:dyDescent="0.25">
      <c r="B1658" s="169" t="s">
        <v>94</v>
      </c>
      <c r="C1658" s="169" t="s">
        <v>42</v>
      </c>
      <c r="D1658" s="169" t="s">
        <v>201</v>
      </c>
      <c r="E1658" s="169" t="s">
        <v>62</v>
      </c>
      <c r="F1658" s="245" t="str">
        <f t="shared" si="102"/>
        <v>RobS 79</v>
      </c>
      <c r="G1658" s="169" t="s">
        <v>2971</v>
      </c>
      <c r="H1658" s="169" t="s">
        <v>5720</v>
      </c>
      <c r="I1658" s="169" t="str">
        <f t="shared" si="104"/>
        <v>L07_JV_067E_ROBBING</v>
      </c>
      <c r="J1658" s="169" t="s">
        <v>8346</v>
      </c>
      <c r="K1658" s="169">
        <f>IFERROR(MATCH(J1658,'Final List'!$B$4:$B$252,0),0)</f>
        <v>0</v>
      </c>
      <c r="L1658" s="169">
        <f>IFERROR(MATCH(J1658,'Final List'!$D$4:$D$252,0),0)</f>
        <v>0</v>
      </c>
      <c r="M1658" s="169">
        <f>IFERROR(MATCH(J1658,'Final List'!$F$4:$F$251,0),0)</f>
        <v>0</v>
      </c>
      <c r="N1658" s="169">
        <f>IFERROR(MATCH(J1658,'Final List'!$H$4:$H$252,0),0)</f>
        <v>0</v>
      </c>
      <c r="O1658" s="169">
        <f>IFERROR(MATCH(J1658,'Final List'!$J$4:$J$252,0),0)</f>
        <v>0</v>
      </c>
      <c r="P1658" s="169">
        <f>IFERROR(MATCH(J1658,'Final List'!$L$4:$L$252,0),0)</f>
        <v>0</v>
      </c>
      <c r="Q1658" s="169">
        <f>IFERROR(MATCH(J1658,'Final List'!$N$4:$N$252,0),0)</f>
        <v>0</v>
      </c>
      <c r="R1658" s="169">
        <f>IFERROR(MATCH(J1658,'Final List'!$P$4:$P$252,0),0)</f>
        <v>0</v>
      </c>
      <c r="S1658" s="169">
        <f t="shared" si="103"/>
        <v>0</v>
      </c>
      <c r="T1658" s="169" t="s">
        <v>68</v>
      </c>
      <c r="V1658" s="169" t="str">
        <f t="shared" si="101"/>
        <v>TURRA 1</v>
      </c>
      <c r="W1658" s="169" t="s">
        <v>2707</v>
      </c>
    </row>
    <row r="1659" spans="2:23" x14ac:dyDescent="0.25">
      <c r="B1659" s="169" t="s">
        <v>258</v>
      </c>
      <c r="C1659" s="169" t="s">
        <v>59</v>
      </c>
      <c r="D1659" s="169" t="s">
        <v>179</v>
      </c>
      <c r="E1659" s="169" t="s">
        <v>19</v>
      </c>
      <c r="F1659" s="245" t="str">
        <f t="shared" si="102"/>
        <v>DVR 72</v>
      </c>
      <c r="G1659" s="169" t="s">
        <v>5700</v>
      </c>
      <c r="I1659" s="169" t="str">
        <f t="shared" si="104"/>
        <v>L10_GHVHW_050E_RAISE</v>
      </c>
      <c r="J1659" s="169" t="s">
        <v>9048</v>
      </c>
      <c r="K1659" s="169">
        <f>IFERROR(MATCH(J1659,'Final List'!$B$4:$B$252,0),0)</f>
        <v>0</v>
      </c>
      <c r="L1659" s="169">
        <f>IFERROR(MATCH(J1659,'Final List'!$D$4:$D$252,0),0)</f>
        <v>0</v>
      </c>
      <c r="M1659" s="169">
        <f>IFERROR(MATCH(J1659,'Final List'!$F$4:$F$251,0),0)</f>
        <v>0</v>
      </c>
      <c r="N1659" s="169">
        <f>IFERROR(MATCH(J1659,'Final List'!$H$4:$H$252,0),0)</f>
        <v>0</v>
      </c>
      <c r="O1659" s="169">
        <f>IFERROR(MATCH(J1659,'Final List'!$J$4:$J$252,0),0)</f>
        <v>0</v>
      </c>
      <c r="P1659" s="169">
        <f>IFERROR(MATCH(J1659,'Final List'!$L$4:$L$252,0),0)</f>
        <v>0</v>
      </c>
      <c r="Q1659" s="169">
        <f>IFERROR(MATCH(J1659,'Final List'!$N$4:$N$252,0),0)</f>
        <v>0</v>
      </c>
      <c r="R1659" s="169">
        <f>IFERROR(MATCH(J1659,'Final List'!$P$4:$P$252,0),0)</f>
        <v>0</v>
      </c>
      <c r="S1659" s="169">
        <f t="shared" si="103"/>
        <v>0</v>
      </c>
      <c r="V1659" s="169" t="str">
        <f t="shared" si="101"/>
        <v>LARGO 1</v>
      </c>
      <c r="W1659" s="169" t="s">
        <v>2715</v>
      </c>
    </row>
    <row r="1660" spans="2:23" x14ac:dyDescent="0.25">
      <c r="B1660" s="169" t="s">
        <v>95</v>
      </c>
      <c r="C1660" s="169" t="s">
        <v>45</v>
      </c>
      <c r="D1660" s="169" t="s">
        <v>123</v>
      </c>
      <c r="E1660" s="169" t="s">
        <v>36</v>
      </c>
      <c r="F1660" s="245" t="str">
        <f t="shared" si="102"/>
        <v>StpS 77</v>
      </c>
      <c r="G1660" s="169" t="s">
        <v>367</v>
      </c>
      <c r="I1660" s="169" t="str">
        <f t="shared" si="104"/>
        <v>L08_DPVE_031E_STOPE</v>
      </c>
      <c r="J1660" s="169" t="s">
        <v>9053</v>
      </c>
      <c r="K1660" s="169">
        <f>IFERROR(MATCH(J1660,'Final List'!$B$4:$B$252,0),0)</f>
        <v>0</v>
      </c>
      <c r="L1660" s="169">
        <f>IFERROR(MATCH(J1660,'Final List'!$D$4:$D$252,0),0)</f>
        <v>0</v>
      </c>
      <c r="M1660" s="169">
        <f>IFERROR(MATCH(J1660,'Final List'!$F$4:$F$251,0),0)</f>
        <v>0</v>
      </c>
      <c r="N1660" s="169">
        <f>IFERROR(MATCH(J1660,'Final List'!$H$4:$H$252,0),0)</f>
        <v>0</v>
      </c>
      <c r="O1660" s="169">
        <f>IFERROR(MATCH(J1660,'Final List'!$J$4:$J$252,0),0)</f>
        <v>0</v>
      </c>
      <c r="P1660" s="169">
        <f>IFERROR(MATCH(J1660,'Final List'!$L$4:$L$252,0),0)</f>
        <v>0</v>
      </c>
      <c r="Q1660" s="169">
        <f>IFERROR(MATCH(J1660,'Final List'!$N$4:$N$252,0),0)</f>
        <v>0</v>
      </c>
      <c r="R1660" s="169">
        <f>IFERROR(MATCH(J1660,'Final List'!$P$4:$P$252,0),0)</f>
        <v>0</v>
      </c>
      <c r="S1660" s="169">
        <f t="shared" si="103"/>
        <v>0</v>
      </c>
      <c r="T1660" s="169" t="s">
        <v>68</v>
      </c>
      <c r="V1660" s="169" t="str">
        <f t="shared" si="101"/>
        <v>LERIO 1</v>
      </c>
      <c r="W1660" s="169" t="s">
        <v>2713</v>
      </c>
    </row>
    <row r="1661" spans="2:23" x14ac:dyDescent="0.25">
      <c r="B1661" s="169" t="s">
        <v>258</v>
      </c>
      <c r="C1661" s="169" t="s">
        <v>45</v>
      </c>
      <c r="D1661" s="169" t="s">
        <v>289</v>
      </c>
      <c r="E1661" s="169" t="s">
        <v>36</v>
      </c>
      <c r="F1661" s="245" t="str">
        <f t="shared" si="102"/>
        <v>StpS 77</v>
      </c>
      <c r="G1661" s="169" t="s">
        <v>9959</v>
      </c>
      <c r="I1661" s="169" t="str">
        <f t="shared" si="104"/>
        <v>L10_DPVE_059E_STOPE</v>
      </c>
      <c r="J1661" s="169" t="s">
        <v>9055</v>
      </c>
      <c r="K1661" s="169">
        <f>IFERROR(MATCH(J1661,'Final List'!$B$4:$B$252,0),0)</f>
        <v>0</v>
      </c>
      <c r="L1661" s="169">
        <f>IFERROR(MATCH(J1661,'Final List'!$D$4:$D$252,0),0)</f>
        <v>0</v>
      </c>
      <c r="M1661" s="169">
        <f>IFERROR(MATCH(J1661,'Final List'!$F$4:$F$251,0),0)</f>
        <v>0</v>
      </c>
      <c r="N1661" s="169">
        <f>IFERROR(MATCH(J1661,'Final List'!$H$4:$H$252,0),0)</f>
        <v>0</v>
      </c>
      <c r="O1661" s="169">
        <f>IFERROR(MATCH(J1661,'Final List'!$J$4:$J$252,0),0)</f>
        <v>0</v>
      </c>
      <c r="P1661" s="169">
        <f>IFERROR(MATCH(J1661,'Final List'!$L$4:$L$252,0),0)</f>
        <v>0</v>
      </c>
      <c r="Q1661" s="169">
        <f>IFERROR(MATCH(J1661,'Final List'!$N$4:$N$252,0),0)</f>
        <v>0</v>
      </c>
      <c r="R1661" s="169">
        <f>IFERROR(MATCH(J1661,'Final List'!$P$4:$P$252,0),0)</f>
        <v>0</v>
      </c>
      <c r="S1661" s="169">
        <f t="shared" si="103"/>
        <v>0</v>
      </c>
      <c r="T1661" s="169" t="s">
        <v>68</v>
      </c>
      <c r="V1661" s="169" t="str">
        <f t="shared" si="101"/>
        <v>SHEPHERD BC</v>
      </c>
      <c r="W1661" s="169" t="s">
        <v>2713</v>
      </c>
    </row>
    <row r="1662" spans="2:23" x14ac:dyDescent="0.25">
      <c r="B1662" s="169" t="s">
        <v>95</v>
      </c>
      <c r="C1662" s="169" t="s">
        <v>55</v>
      </c>
      <c r="D1662" s="169" t="s">
        <v>5601</v>
      </c>
      <c r="E1662" s="169" t="s">
        <v>19</v>
      </c>
      <c r="F1662" s="245" t="str">
        <f t="shared" si="102"/>
        <v>DVR 72</v>
      </c>
      <c r="G1662" s="169" t="s">
        <v>380</v>
      </c>
      <c r="I1662" s="169" t="str">
        <f t="shared" si="104"/>
        <v>L08_JVFW_026E_RAISE</v>
      </c>
      <c r="J1662" s="169" t="s">
        <v>9060</v>
      </c>
      <c r="K1662" s="169">
        <f>IFERROR(MATCH(J1662,'Final List'!$B$4:$B$252,0),0)</f>
        <v>0</v>
      </c>
      <c r="L1662" s="169">
        <f>IFERROR(MATCH(J1662,'Final List'!$D$4:$D$252,0),0)</f>
        <v>0</v>
      </c>
      <c r="M1662" s="169">
        <f>IFERROR(MATCH(J1662,'Final List'!$F$4:$F$251,0),0)</f>
        <v>0</v>
      </c>
      <c r="N1662" s="169">
        <f>IFERROR(MATCH(J1662,'Final List'!$H$4:$H$252,0),0)</f>
        <v>0</v>
      </c>
      <c r="O1662" s="169">
        <f>IFERROR(MATCH(J1662,'Final List'!$J$4:$J$252,0),0)</f>
        <v>0</v>
      </c>
      <c r="P1662" s="169">
        <f>IFERROR(MATCH(J1662,'Final List'!$L$4:$L$252,0),0)</f>
        <v>0</v>
      </c>
      <c r="Q1662" s="169">
        <f>IFERROR(MATCH(J1662,'Final List'!$N$4:$N$252,0),0)</f>
        <v>0</v>
      </c>
      <c r="R1662" s="169">
        <f>IFERROR(MATCH(J1662,'Final List'!$P$4:$P$252,0),0)</f>
        <v>0</v>
      </c>
      <c r="S1662" s="169">
        <f t="shared" si="103"/>
        <v>0</v>
      </c>
      <c r="V1662" s="169" t="str">
        <f t="shared" si="101"/>
        <v>AGLOLO 1</v>
      </c>
      <c r="W1662" s="169" t="s">
        <v>2715</v>
      </c>
    </row>
    <row r="1663" spans="2:23" x14ac:dyDescent="0.25">
      <c r="B1663" s="169" t="s">
        <v>96</v>
      </c>
      <c r="C1663" s="169" t="s">
        <v>59</v>
      </c>
      <c r="D1663" s="169" t="s">
        <v>5781</v>
      </c>
      <c r="E1663" s="169" t="s">
        <v>19</v>
      </c>
      <c r="F1663" s="245" t="str">
        <f t="shared" si="102"/>
        <v>DVR 72</v>
      </c>
      <c r="G1663" s="169" t="s">
        <v>745</v>
      </c>
      <c r="I1663" s="169" t="str">
        <f t="shared" si="104"/>
        <v>L09_GHVHW_051E_RAISE</v>
      </c>
      <c r="J1663" s="169" t="s">
        <v>4852</v>
      </c>
      <c r="K1663" s="169">
        <f>IFERROR(MATCH(J1663,'Final List'!$B$4:$B$252,0),0)</f>
        <v>0</v>
      </c>
      <c r="L1663" s="169">
        <f>IFERROR(MATCH(J1663,'Final List'!$D$4:$D$252,0),0)</f>
        <v>0</v>
      </c>
      <c r="M1663" s="169">
        <f>IFERROR(MATCH(J1663,'Final List'!$F$4:$F$251,0),0)</f>
        <v>0</v>
      </c>
      <c r="N1663" s="169">
        <f>IFERROR(MATCH(J1663,'Final List'!$H$4:$H$252,0),0)</f>
        <v>0</v>
      </c>
      <c r="O1663" s="169">
        <f>IFERROR(MATCH(J1663,'Final List'!$J$4:$J$252,0),0)</f>
        <v>0</v>
      </c>
      <c r="P1663" s="169">
        <f>IFERROR(MATCH(J1663,'Final List'!$L$4:$L$252,0),0)</f>
        <v>0</v>
      </c>
      <c r="Q1663" s="169">
        <f>IFERROR(MATCH(J1663,'Final List'!$N$4:$N$252,0),0)</f>
        <v>0</v>
      </c>
      <c r="R1663" s="169">
        <f>IFERROR(MATCH(J1663,'Final List'!$P$4:$P$252,0),0)</f>
        <v>0</v>
      </c>
      <c r="S1663" s="169">
        <f t="shared" si="103"/>
        <v>0</v>
      </c>
      <c r="V1663" s="169" t="str">
        <f t="shared" si="101"/>
        <v>CANOY 2</v>
      </c>
      <c r="W1663" s="169" t="s">
        <v>2715</v>
      </c>
    </row>
    <row r="1664" spans="2:23" x14ac:dyDescent="0.25">
      <c r="B1664" s="169" t="s">
        <v>96</v>
      </c>
      <c r="C1664" s="169" t="s">
        <v>55</v>
      </c>
      <c r="D1664" s="169" t="s">
        <v>195</v>
      </c>
      <c r="E1664" s="169" t="s">
        <v>62</v>
      </c>
      <c r="F1664" s="245" t="str">
        <f t="shared" si="102"/>
        <v>RobS 79</v>
      </c>
      <c r="G1664" s="169" t="s">
        <v>8873</v>
      </c>
      <c r="I1664" s="169" t="str">
        <f t="shared" si="104"/>
        <v>L09_JVFW_008W_ROBBING</v>
      </c>
      <c r="J1664" s="169" t="s">
        <v>9063</v>
      </c>
      <c r="K1664" s="169">
        <f>IFERROR(MATCH(J1664,'Final List'!$B$4:$B$252,0),0)</f>
        <v>0</v>
      </c>
      <c r="L1664" s="169">
        <f>IFERROR(MATCH(J1664,'Final List'!$D$4:$D$252,0),0)</f>
        <v>0</v>
      </c>
      <c r="M1664" s="169">
        <f>IFERROR(MATCH(J1664,'Final List'!$F$4:$F$251,0),0)</f>
        <v>0</v>
      </c>
      <c r="N1664" s="169">
        <f>IFERROR(MATCH(J1664,'Final List'!$H$4:$H$252,0),0)</f>
        <v>0</v>
      </c>
      <c r="O1664" s="169">
        <f>IFERROR(MATCH(J1664,'Final List'!$J$4:$J$252,0),0)</f>
        <v>0</v>
      </c>
      <c r="P1664" s="169">
        <f>IFERROR(MATCH(J1664,'Final List'!$L$4:$L$252,0),0)</f>
        <v>0</v>
      </c>
      <c r="Q1664" s="169">
        <f>IFERROR(MATCH(J1664,'Final List'!$N$4:$N$252,0),0)</f>
        <v>0</v>
      </c>
      <c r="R1664" s="169">
        <f>IFERROR(MATCH(J1664,'Final List'!$P$4:$P$252,0),0)</f>
        <v>0</v>
      </c>
      <c r="S1664" s="169">
        <f t="shared" si="103"/>
        <v>0</v>
      </c>
      <c r="T1664" s="169" t="s">
        <v>68</v>
      </c>
      <c r="V1664" s="169" t="str">
        <f t="shared" si="101"/>
        <v>FERNANDEZ REX 3</v>
      </c>
      <c r="W1664" s="169" t="s">
        <v>2707</v>
      </c>
    </row>
    <row r="1665" spans="2:23" x14ac:dyDescent="0.25">
      <c r="B1665" s="169" t="s">
        <v>95</v>
      </c>
      <c r="C1665" s="169" t="s">
        <v>45</v>
      </c>
      <c r="D1665" s="169" t="s">
        <v>5631</v>
      </c>
      <c r="E1665" s="169" t="s">
        <v>36</v>
      </c>
      <c r="F1665" s="245" t="str">
        <f t="shared" si="102"/>
        <v>StpS 77</v>
      </c>
      <c r="G1665" s="169" t="s">
        <v>386</v>
      </c>
      <c r="I1665" s="169" t="str">
        <f t="shared" si="104"/>
        <v>L08_DPVE_020E_STOPE</v>
      </c>
      <c r="J1665" s="169" t="s">
        <v>9064</v>
      </c>
      <c r="K1665" s="169">
        <f>IFERROR(MATCH(J1665,'Final List'!$B$4:$B$252,0),0)</f>
        <v>0</v>
      </c>
      <c r="L1665" s="169">
        <f>IFERROR(MATCH(J1665,'Final List'!$D$4:$D$252,0),0)</f>
        <v>0</v>
      </c>
      <c r="M1665" s="169">
        <f>IFERROR(MATCH(J1665,'Final List'!$F$4:$F$251,0),0)</f>
        <v>0</v>
      </c>
      <c r="N1665" s="169">
        <f>IFERROR(MATCH(J1665,'Final List'!$H$4:$H$252,0),0)</f>
        <v>0</v>
      </c>
      <c r="O1665" s="169">
        <f>IFERROR(MATCH(J1665,'Final List'!$J$4:$J$252,0),0)</f>
        <v>0</v>
      </c>
      <c r="P1665" s="169">
        <f>IFERROR(MATCH(J1665,'Final List'!$L$4:$L$252,0),0)</f>
        <v>0</v>
      </c>
      <c r="Q1665" s="169">
        <f>IFERROR(MATCH(J1665,'Final List'!$N$4:$N$252,0),0)</f>
        <v>0</v>
      </c>
      <c r="R1665" s="169">
        <f>IFERROR(MATCH(J1665,'Final List'!$P$4:$P$252,0),0)</f>
        <v>0</v>
      </c>
      <c r="S1665" s="169">
        <f t="shared" si="103"/>
        <v>0</v>
      </c>
      <c r="T1665" s="169" t="s">
        <v>68</v>
      </c>
      <c r="V1665" s="169" t="str">
        <f t="shared" si="101"/>
        <v>REVITA 1</v>
      </c>
      <c r="W1665" s="169" t="s">
        <v>2713</v>
      </c>
    </row>
    <row r="1666" spans="2:23" x14ac:dyDescent="0.25">
      <c r="B1666" s="169" t="s">
        <v>93</v>
      </c>
      <c r="C1666" s="169" t="s">
        <v>55</v>
      </c>
      <c r="D1666" s="169" t="s">
        <v>113</v>
      </c>
      <c r="E1666" s="169" t="s">
        <v>19</v>
      </c>
      <c r="F1666" s="245" t="str">
        <f t="shared" si="102"/>
        <v>DVR 72</v>
      </c>
      <c r="G1666" s="169" t="s">
        <v>3303</v>
      </c>
      <c r="I1666" s="169" t="str">
        <f t="shared" si="104"/>
        <v>L06_JVFW_001W_RAISE</v>
      </c>
      <c r="J1666" s="169" t="s">
        <v>9066</v>
      </c>
      <c r="K1666" s="169">
        <f>IFERROR(MATCH(J1666,'Final List'!$B$4:$B$252,0),0)</f>
        <v>0</v>
      </c>
      <c r="L1666" s="169">
        <f>IFERROR(MATCH(J1666,'Final List'!$D$4:$D$252,0),0)</f>
        <v>0</v>
      </c>
      <c r="M1666" s="169">
        <f>IFERROR(MATCH(J1666,'Final List'!$F$4:$F$251,0),0)</f>
        <v>0</v>
      </c>
      <c r="N1666" s="169">
        <f>IFERROR(MATCH(J1666,'Final List'!$H$4:$H$252,0),0)</f>
        <v>0</v>
      </c>
      <c r="O1666" s="169">
        <f>IFERROR(MATCH(J1666,'Final List'!$J$4:$J$252,0),0)</f>
        <v>0</v>
      </c>
      <c r="P1666" s="169">
        <f>IFERROR(MATCH(J1666,'Final List'!$L$4:$L$252,0),0)</f>
        <v>0</v>
      </c>
      <c r="Q1666" s="169">
        <f>IFERROR(MATCH(J1666,'Final List'!$N$4:$N$252,0),0)</f>
        <v>0</v>
      </c>
      <c r="R1666" s="169">
        <f>IFERROR(MATCH(J1666,'Final List'!$P$4:$P$252,0),0)</f>
        <v>0</v>
      </c>
      <c r="S1666" s="169">
        <f t="shared" si="103"/>
        <v>0</v>
      </c>
      <c r="V1666" s="169" t="str">
        <f t="shared" ref="V1666:V1729" si="105">IF(H1666="",G1666,H1666)</f>
        <v>SHEPHERD AC</v>
      </c>
      <c r="W1666" s="169" t="s">
        <v>2715</v>
      </c>
    </row>
    <row r="1667" spans="2:23" x14ac:dyDescent="0.25">
      <c r="B1667" s="169" t="s">
        <v>93</v>
      </c>
      <c r="C1667" s="169" t="s">
        <v>44</v>
      </c>
      <c r="D1667" s="169" t="s">
        <v>5612</v>
      </c>
      <c r="E1667" s="169" t="s">
        <v>19</v>
      </c>
      <c r="F1667" s="245" t="str">
        <f t="shared" ref="F1667:F1730" si="106">IF(OR(E1667="XCN",E1667="DE",E1667="DW",E1667="DN",E1667="XCS",E1667="XCE",E1667="XCW",E1667="SUMP",E1667="BYPASS",E1667="CHAMBER",E1667="DRAIN HOLE",E1667="DRILLING CHAMBER",E1667="DE_ISL",E1667="DW_ISL",E1667="REHAB"),"Dhoz 71",IF(OR(E1667="RAISE",E1667="RAISE_ISL"),"DVR 72",IF(E1667="ALIMAK","DVA 73",IF(E1667="WINZE","DVW 74",IF(E1667="SHAFT","DVS 75",IF(AND(E1667="WINZE STOPE",T1667="S"),"RobC 80",IF(AND(E1667="STOPE",T1667="S"),"StpS 77",IF(AND(E1667="WINZE STOPE",T1667="L"),"RobC 80",IF(AND(E1667="STOPE",T1667="L"),"StpL 78",IF(AND(E1667="WINZE STOPE PREP",T1667="S"),"RobC 80",IF(AND(E1667="STOPE PREP",T1667="S"),"StpS 77",IF(AND(E1667="WINZE STOPE PREP",T1667="L"),"RobC 80",IF(AND(E1667="STOPE PREP",T1667="L"),"StpL 78",IF(AND(E1667="ROBBING",T1667="L"),"RobC 80",IF(AND(E1667="ROBBING",T1667="S"),"RobS 79",0)))))))))))))))</f>
        <v>DVR 72</v>
      </c>
      <c r="G1667" s="169" t="s">
        <v>2459</v>
      </c>
      <c r="I1667" s="169" t="str">
        <f t="shared" si="104"/>
        <v>L06_CV_011W_RAISE</v>
      </c>
      <c r="J1667" s="169" t="s">
        <v>9068</v>
      </c>
      <c r="K1667" s="169">
        <f>IFERROR(MATCH(J1667,'Final List'!$B$4:$B$252,0),0)</f>
        <v>0</v>
      </c>
      <c r="L1667" s="169">
        <f>IFERROR(MATCH(J1667,'Final List'!$D$4:$D$252,0),0)</f>
        <v>0</v>
      </c>
      <c r="M1667" s="169">
        <f>IFERROR(MATCH(J1667,'Final List'!$F$4:$F$251,0),0)</f>
        <v>0</v>
      </c>
      <c r="N1667" s="169">
        <f>IFERROR(MATCH(J1667,'Final List'!$H$4:$H$252,0),0)</f>
        <v>0</v>
      </c>
      <c r="O1667" s="169">
        <f>IFERROR(MATCH(J1667,'Final List'!$J$4:$J$252,0),0)</f>
        <v>0</v>
      </c>
      <c r="P1667" s="169">
        <f>IFERROR(MATCH(J1667,'Final List'!$L$4:$L$252,0),0)</f>
        <v>0</v>
      </c>
      <c r="Q1667" s="169">
        <f>IFERROR(MATCH(J1667,'Final List'!$N$4:$N$252,0),0)</f>
        <v>0</v>
      </c>
      <c r="R1667" s="169">
        <f>IFERROR(MATCH(J1667,'Final List'!$P$4:$P$252,0),0)</f>
        <v>0</v>
      </c>
      <c r="S1667" s="169">
        <f t="shared" ref="S1667:S1730" si="107">SUM(K1667:R1667)</f>
        <v>0</v>
      </c>
      <c r="V1667" s="169" t="str">
        <f t="shared" si="105"/>
        <v>REBOTE 3</v>
      </c>
      <c r="W1667" s="169" t="s">
        <v>2715</v>
      </c>
    </row>
    <row r="1668" spans="2:23" x14ac:dyDescent="0.25">
      <c r="B1668" s="169" t="s">
        <v>96</v>
      </c>
      <c r="C1668" s="169" t="s">
        <v>55</v>
      </c>
      <c r="D1668" s="169" t="s">
        <v>870</v>
      </c>
      <c r="E1668" s="169" t="s">
        <v>62</v>
      </c>
      <c r="F1668" s="245" t="str">
        <f t="shared" si="106"/>
        <v>RobS 79</v>
      </c>
      <c r="G1668" s="169" t="s">
        <v>5029</v>
      </c>
      <c r="H1668" s="169" t="s">
        <v>348</v>
      </c>
      <c r="I1668" s="169" t="str">
        <f t="shared" si="104"/>
        <v>L09_JVFW_073E_ROBBING</v>
      </c>
      <c r="J1668" s="169" t="s">
        <v>9072</v>
      </c>
      <c r="K1668" s="169">
        <f>IFERROR(MATCH(J1668,'Final List'!$B$4:$B$252,0),0)</f>
        <v>0</v>
      </c>
      <c r="L1668" s="169">
        <f>IFERROR(MATCH(J1668,'Final List'!$D$4:$D$252,0),0)</f>
        <v>0</v>
      </c>
      <c r="M1668" s="169">
        <f>IFERROR(MATCH(J1668,'Final List'!$F$4:$F$251,0),0)</f>
        <v>0</v>
      </c>
      <c r="N1668" s="169">
        <f>IFERROR(MATCH(J1668,'Final List'!$H$4:$H$252,0),0)</f>
        <v>0</v>
      </c>
      <c r="O1668" s="169">
        <f>IFERROR(MATCH(J1668,'Final List'!$J$4:$J$252,0),0)</f>
        <v>0</v>
      </c>
      <c r="P1668" s="169">
        <f>IFERROR(MATCH(J1668,'Final List'!$L$4:$L$252,0),0)</f>
        <v>0</v>
      </c>
      <c r="Q1668" s="169">
        <f>IFERROR(MATCH(J1668,'Final List'!$N$4:$N$252,0),0)</f>
        <v>0</v>
      </c>
      <c r="R1668" s="169">
        <f>IFERROR(MATCH(J1668,'Final List'!$P$4:$P$252,0),0)</f>
        <v>0</v>
      </c>
      <c r="S1668" s="169">
        <f t="shared" si="107"/>
        <v>0</v>
      </c>
      <c r="T1668" s="169" t="s">
        <v>68</v>
      </c>
      <c r="V1668" s="169" t="str">
        <f t="shared" si="105"/>
        <v>QUIJANO 3</v>
      </c>
      <c r="W1668" s="169" t="s">
        <v>2707</v>
      </c>
    </row>
    <row r="1669" spans="2:23" x14ac:dyDescent="0.25">
      <c r="B1669" s="169" t="s">
        <v>96</v>
      </c>
      <c r="C1669" s="169" t="s">
        <v>45</v>
      </c>
      <c r="D1669" s="169" t="s">
        <v>144</v>
      </c>
      <c r="E1669" s="169" t="s">
        <v>20</v>
      </c>
      <c r="F1669" s="245" t="str">
        <f t="shared" si="106"/>
        <v>DVW 74</v>
      </c>
      <c r="G1669" s="169" t="s">
        <v>9749</v>
      </c>
      <c r="I1669" s="169" t="str">
        <f t="shared" si="104"/>
        <v>L09_DPVE_043E_WINZE</v>
      </c>
      <c r="J1669" s="169" t="s">
        <v>9076</v>
      </c>
      <c r="K1669" s="169">
        <f>IFERROR(MATCH(J1669,'Final List'!$B$4:$B$252,0),0)</f>
        <v>0</v>
      </c>
      <c r="L1669" s="169">
        <f>IFERROR(MATCH(J1669,'Final List'!$D$4:$D$252,0),0)</f>
        <v>0</v>
      </c>
      <c r="M1669" s="169">
        <f>IFERROR(MATCH(J1669,'Final List'!$F$4:$F$251,0),0)</f>
        <v>0</v>
      </c>
      <c r="N1669" s="169">
        <f>IFERROR(MATCH(J1669,'Final List'!$H$4:$H$252,0),0)</f>
        <v>0</v>
      </c>
      <c r="O1669" s="169">
        <f>IFERROR(MATCH(J1669,'Final List'!$J$4:$J$252,0),0)</f>
        <v>0</v>
      </c>
      <c r="P1669" s="169">
        <f>IFERROR(MATCH(J1669,'Final List'!$L$4:$L$252,0),0)</f>
        <v>0</v>
      </c>
      <c r="Q1669" s="169">
        <f>IFERROR(MATCH(J1669,'Final List'!$N$4:$N$252,0),0)</f>
        <v>0</v>
      </c>
      <c r="R1669" s="169">
        <f>IFERROR(MATCH(J1669,'Final List'!$P$4:$P$252,0),0)</f>
        <v>0</v>
      </c>
      <c r="S1669" s="169">
        <f t="shared" si="107"/>
        <v>0</v>
      </c>
      <c r="V1669" s="169" t="str">
        <f t="shared" si="105"/>
        <v>MAPAYO 4</v>
      </c>
      <c r="W1669" s="169" t="s">
        <v>2706</v>
      </c>
    </row>
    <row r="1670" spans="2:23" x14ac:dyDescent="0.25">
      <c r="B1670" s="169" t="s">
        <v>96</v>
      </c>
      <c r="C1670" s="169" t="s">
        <v>38</v>
      </c>
      <c r="D1670" s="169" t="s">
        <v>218</v>
      </c>
      <c r="E1670" s="169" t="s">
        <v>62</v>
      </c>
      <c r="F1670" s="245" t="str">
        <f t="shared" si="106"/>
        <v>RobS 79</v>
      </c>
      <c r="G1670" s="169" t="s">
        <v>485</v>
      </c>
      <c r="I1670" s="169" t="str">
        <f t="shared" si="104"/>
        <v>L09_GHV_062E_ROBBING</v>
      </c>
      <c r="J1670" s="169" t="s">
        <v>9077</v>
      </c>
      <c r="K1670" s="169">
        <f>IFERROR(MATCH(J1670,'Final List'!$B$4:$B$252,0),0)</f>
        <v>0</v>
      </c>
      <c r="L1670" s="169">
        <f>IFERROR(MATCH(J1670,'Final List'!$D$4:$D$252,0),0)</f>
        <v>0</v>
      </c>
      <c r="M1670" s="169">
        <f>IFERROR(MATCH(J1670,'Final List'!$F$4:$F$251,0),0)</f>
        <v>0</v>
      </c>
      <c r="N1670" s="169">
        <f>IFERROR(MATCH(J1670,'Final List'!$H$4:$H$252,0),0)</f>
        <v>0</v>
      </c>
      <c r="O1670" s="169">
        <f>IFERROR(MATCH(J1670,'Final List'!$J$4:$J$252,0),0)</f>
        <v>0</v>
      </c>
      <c r="P1670" s="169">
        <f>IFERROR(MATCH(J1670,'Final List'!$L$4:$L$252,0),0)</f>
        <v>0</v>
      </c>
      <c r="Q1670" s="169">
        <f>IFERROR(MATCH(J1670,'Final List'!$N$4:$N$252,0),0)</f>
        <v>0</v>
      </c>
      <c r="R1670" s="169">
        <f>IFERROR(MATCH(J1670,'Final List'!$P$4:$P$252,0),0)</f>
        <v>0</v>
      </c>
      <c r="S1670" s="169">
        <f t="shared" si="107"/>
        <v>0</v>
      </c>
      <c r="T1670" s="169" t="s">
        <v>68</v>
      </c>
      <c r="V1670" s="169" t="str">
        <f t="shared" si="105"/>
        <v>BALANGHIG 3</v>
      </c>
      <c r="W1670" s="169" t="s">
        <v>2707</v>
      </c>
    </row>
    <row r="1671" spans="2:23" x14ac:dyDescent="0.25">
      <c r="B1671" s="169" t="s">
        <v>8904</v>
      </c>
      <c r="C1671" s="169" t="s">
        <v>8753</v>
      </c>
      <c r="D1671" s="169" t="s">
        <v>111</v>
      </c>
      <c r="E1671" s="169" t="s">
        <v>19</v>
      </c>
      <c r="F1671" s="245" t="str">
        <f t="shared" si="106"/>
        <v>DVR 72</v>
      </c>
      <c r="G1671" s="169" t="s">
        <v>9349</v>
      </c>
      <c r="I1671" s="169" t="str">
        <f t="shared" si="104"/>
        <v>L03_RYV_004W_RAISE</v>
      </c>
      <c r="J1671" s="169" t="s">
        <v>9080</v>
      </c>
      <c r="K1671" s="169">
        <f>IFERROR(MATCH(J1671,'Final List'!$B$4:$B$252,0),0)</f>
        <v>0</v>
      </c>
      <c r="L1671" s="169">
        <f>IFERROR(MATCH(J1671,'Final List'!$D$4:$D$252,0),0)</f>
        <v>0</v>
      </c>
      <c r="M1671" s="169">
        <f>IFERROR(MATCH(J1671,'Final List'!$F$4:$F$251,0),0)</f>
        <v>0</v>
      </c>
      <c r="N1671" s="169">
        <f>IFERROR(MATCH(J1671,'Final List'!$H$4:$H$252,0),0)</f>
        <v>0</v>
      </c>
      <c r="O1671" s="169">
        <f>IFERROR(MATCH(J1671,'Final List'!$J$4:$J$252,0),0)</f>
        <v>0</v>
      </c>
      <c r="P1671" s="169">
        <f>IFERROR(MATCH(J1671,'Final List'!$L$4:$L$252,0),0)</f>
        <v>0</v>
      </c>
      <c r="Q1671" s="169">
        <f>IFERROR(MATCH(J1671,'Final List'!$N$4:$N$252,0),0)</f>
        <v>0</v>
      </c>
      <c r="R1671" s="169">
        <f>IFERROR(MATCH(J1671,'Final List'!$P$4:$P$252,0),0)</f>
        <v>0</v>
      </c>
      <c r="S1671" s="169">
        <f t="shared" si="107"/>
        <v>0</v>
      </c>
      <c r="V1671" s="169" t="str">
        <f t="shared" si="105"/>
        <v>FERNANDEZ, RM 3</v>
      </c>
      <c r="W1671" s="169" t="s">
        <v>2715</v>
      </c>
    </row>
    <row r="1672" spans="2:23" x14ac:dyDescent="0.25">
      <c r="B1672" s="169" t="s">
        <v>93</v>
      </c>
      <c r="C1672" s="169" t="s">
        <v>45</v>
      </c>
      <c r="D1672" s="169" t="s">
        <v>119</v>
      </c>
      <c r="E1672" s="169" t="s">
        <v>6154</v>
      </c>
      <c r="F1672" s="245" t="str">
        <f t="shared" si="106"/>
        <v>Dhoz 71</v>
      </c>
      <c r="G1672" s="169" t="s">
        <v>350</v>
      </c>
      <c r="I1672" s="169" t="str">
        <f t="shared" si="104"/>
        <v>L06_DPVE_012E_DW_ISL</v>
      </c>
      <c r="J1672" s="169" t="s">
        <v>9079</v>
      </c>
      <c r="K1672" s="169">
        <f>IFERROR(MATCH(J1672,'Final List'!$B$4:$B$252,0),0)</f>
        <v>0</v>
      </c>
      <c r="L1672" s="169">
        <f>IFERROR(MATCH(J1672,'Final List'!$D$4:$D$252,0),0)</f>
        <v>0</v>
      </c>
      <c r="M1672" s="169">
        <f>IFERROR(MATCH(J1672,'Final List'!$F$4:$F$251,0),0)</f>
        <v>0</v>
      </c>
      <c r="N1672" s="169">
        <f>IFERROR(MATCH(J1672,'Final List'!$H$4:$H$252,0),0)</f>
        <v>0</v>
      </c>
      <c r="O1672" s="169">
        <f>IFERROR(MATCH(J1672,'Final List'!$J$4:$J$252,0),0)</f>
        <v>0</v>
      </c>
      <c r="P1672" s="169">
        <f>IFERROR(MATCH(J1672,'Final List'!$L$4:$L$252,0),0)</f>
        <v>0</v>
      </c>
      <c r="Q1672" s="169">
        <f>IFERROR(MATCH(J1672,'Final List'!$N$4:$N$252,0),0)</f>
        <v>0</v>
      </c>
      <c r="R1672" s="169">
        <f>IFERROR(MATCH(J1672,'Final List'!$P$4:$P$252,0),0)</f>
        <v>0</v>
      </c>
      <c r="S1672" s="169">
        <f t="shared" si="107"/>
        <v>0</v>
      </c>
      <c r="V1672" s="169" t="str">
        <f t="shared" si="105"/>
        <v>QUIJANO 1</v>
      </c>
      <c r="W1672" s="169" t="s">
        <v>2708</v>
      </c>
    </row>
    <row r="1673" spans="2:23" x14ac:dyDescent="0.25">
      <c r="B1673" s="169" t="s">
        <v>8904</v>
      </c>
      <c r="C1673" s="169" t="s">
        <v>8753</v>
      </c>
      <c r="D1673" s="169" t="s">
        <v>140</v>
      </c>
      <c r="E1673" s="169" t="s">
        <v>61</v>
      </c>
      <c r="F1673" s="245" t="str">
        <f t="shared" si="106"/>
        <v>Dhoz 71</v>
      </c>
      <c r="G1673" s="169" t="s">
        <v>3860</v>
      </c>
      <c r="I1673" s="169" t="str">
        <f t="shared" si="104"/>
        <v>L03_RYV_005W_DW</v>
      </c>
      <c r="J1673" s="169" t="s">
        <v>9081</v>
      </c>
      <c r="K1673" s="169">
        <f>IFERROR(MATCH(J1673,'Final List'!$B$4:$B$252,0),0)</f>
        <v>0</v>
      </c>
      <c r="L1673" s="169">
        <f>IFERROR(MATCH(J1673,'Final List'!$D$4:$D$252,0),0)</f>
        <v>0</v>
      </c>
      <c r="M1673" s="169">
        <f>IFERROR(MATCH(J1673,'Final List'!$F$4:$F$251,0),0)</f>
        <v>0</v>
      </c>
      <c r="N1673" s="169">
        <f>IFERROR(MATCH(J1673,'Final List'!$H$4:$H$252,0),0)</f>
        <v>0</v>
      </c>
      <c r="O1673" s="169">
        <f>IFERROR(MATCH(J1673,'Final List'!$J$4:$J$252,0),0)</f>
        <v>0</v>
      </c>
      <c r="P1673" s="169">
        <f>IFERROR(MATCH(J1673,'Final List'!$L$4:$L$252,0),0)</f>
        <v>0</v>
      </c>
      <c r="Q1673" s="169">
        <f>IFERROR(MATCH(J1673,'Final List'!$N$4:$N$252,0),0)</f>
        <v>0</v>
      </c>
      <c r="R1673" s="169">
        <f>IFERROR(MATCH(J1673,'Final List'!$P$4:$P$252,0),0)</f>
        <v>0</v>
      </c>
      <c r="S1673" s="169">
        <f t="shared" si="107"/>
        <v>0</v>
      </c>
      <c r="V1673" s="169" t="str">
        <f t="shared" si="105"/>
        <v>FERNANDEZ, REX 1</v>
      </c>
      <c r="W1673" s="169" t="s">
        <v>8895</v>
      </c>
    </row>
    <row r="1674" spans="2:23" x14ac:dyDescent="0.25">
      <c r="B1674" s="169" t="s">
        <v>94</v>
      </c>
      <c r="C1674" s="169" t="s">
        <v>45</v>
      </c>
      <c r="D1674" s="169" t="s">
        <v>144</v>
      </c>
      <c r="E1674" s="169" t="s">
        <v>6143</v>
      </c>
      <c r="F1674" s="245" t="str">
        <f t="shared" si="106"/>
        <v>Dhoz 71</v>
      </c>
      <c r="G1674" s="169" t="s">
        <v>358</v>
      </c>
      <c r="I1674" s="169" t="str">
        <f t="shared" si="104"/>
        <v>L07_DPVE_043E_DE_ISL</v>
      </c>
      <c r="J1674" s="169" t="s">
        <v>9084</v>
      </c>
      <c r="K1674" s="169">
        <f>IFERROR(MATCH(J1674,'Final List'!$B$4:$B$252,0),0)</f>
        <v>0</v>
      </c>
      <c r="L1674" s="169">
        <f>IFERROR(MATCH(J1674,'Final List'!$D$4:$D$252,0),0)</f>
        <v>0</v>
      </c>
      <c r="M1674" s="169">
        <f>IFERROR(MATCH(J1674,'Final List'!$F$4:$F$251,0),0)</f>
        <v>0</v>
      </c>
      <c r="N1674" s="169">
        <f>IFERROR(MATCH(J1674,'Final List'!$H$4:$H$252,0),0)</f>
        <v>0</v>
      </c>
      <c r="O1674" s="169">
        <f>IFERROR(MATCH(J1674,'Final List'!$J$4:$J$252,0),0)</f>
        <v>0</v>
      </c>
      <c r="P1674" s="169">
        <f>IFERROR(MATCH(J1674,'Final List'!$L$4:$L$252,0),0)</f>
        <v>0</v>
      </c>
      <c r="Q1674" s="169">
        <f>IFERROR(MATCH(J1674,'Final List'!$N$4:$N$252,0),0)</f>
        <v>0</v>
      </c>
      <c r="R1674" s="169">
        <f>IFERROR(MATCH(J1674,'Final List'!$P$4:$P$252,0),0)</f>
        <v>0</v>
      </c>
      <c r="S1674" s="169">
        <f t="shared" si="107"/>
        <v>0</v>
      </c>
      <c r="V1674" s="169" t="str">
        <f t="shared" si="105"/>
        <v>ALEÑAR 1</v>
      </c>
      <c r="W1674" s="169" t="s">
        <v>2708</v>
      </c>
    </row>
    <row r="1675" spans="2:23" x14ac:dyDescent="0.25">
      <c r="B1675" s="169" t="s">
        <v>258</v>
      </c>
      <c r="C1675" s="169" t="s">
        <v>45</v>
      </c>
      <c r="D1675" s="169" t="s">
        <v>7025</v>
      </c>
      <c r="E1675" s="169" t="s">
        <v>211</v>
      </c>
      <c r="F1675" s="245" t="str">
        <f t="shared" si="106"/>
        <v>StpS 77</v>
      </c>
      <c r="G1675" s="169" t="s">
        <v>355</v>
      </c>
      <c r="I1675" s="169" t="str">
        <f t="shared" si="104"/>
        <v>L10_DPVE_082E_STOPE PREP</v>
      </c>
      <c r="J1675" s="169" t="s">
        <v>9089</v>
      </c>
      <c r="K1675" s="169">
        <f>IFERROR(MATCH(J1675,'Final List'!$B$4:$B$252,0),0)</f>
        <v>0</v>
      </c>
      <c r="L1675" s="169">
        <f>IFERROR(MATCH(J1675,'Final List'!$D$4:$D$252,0),0)</f>
        <v>0</v>
      </c>
      <c r="M1675" s="169">
        <f>IFERROR(MATCH(J1675,'Final List'!$F$4:$F$251,0),0)</f>
        <v>0</v>
      </c>
      <c r="N1675" s="169">
        <f>IFERROR(MATCH(J1675,'Final List'!$H$4:$H$252,0),0)</f>
        <v>0</v>
      </c>
      <c r="O1675" s="169">
        <f>IFERROR(MATCH(J1675,'Final List'!$J$4:$J$252,0),0)</f>
        <v>0</v>
      </c>
      <c r="P1675" s="169">
        <f>IFERROR(MATCH(J1675,'Final List'!$L$4:$L$252,0),0)</f>
        <v>0</v>
      </c>
      <c r="Q1675" s="169">
        <f>IFERROR(MATCH(J1675,'Final List'!$N$4:$N$252,0),0)</f>
        <v>0</v>
      </c>
      <c r="R1675" s="169">
        <f>IFERROR(MATCH(J1675,'Final List'!$P$4:$P$252,0),0)</f>
        <v>0</v>
      </c>
      <c r="S1675" s="169">
        <f t="shared" si="107"/>
        <v>0</v>
      </c>
      <c r="T1675" s="169" t="s">
        <v>68</v>
      </c>
      <c r="V1675" s="169" t="str">
        <f t="shared" si="105"/>
        <v>BAÑEZ 2</v>
      </c>
      <c r="W1675" s="169" t="s">
        <v>2712</v>
      </c>
    </row>
    <row r="1676" spans="2:23" x14ac:dyDescent="0.25">
      <c r="B1676" s="169" t="s">
        <v>258</v>
      </c>
      <c r="C1676" s="169" t="s">
        <v>45</v>
      </c>
      <c r="D1676" s="169" t="s">
        <v>284</v>
      </c>
      <c r="E1676" s="169" t="s">
        <v>211</v>
      </c>
      <c r="F1676" s="245" t="str">
        <f t="shared" si="106"/>
        <v>StpS 77</v>
      </c>
      <c r="G1676" s="169" t="s">
        <v>5700</v>
      </c>
      <c r="I1676" s="169" t="str">
        <f t="shared" si="104"/>
        <v>L10_DPVE_061E_STOPE PREP</v>
      </c>
      <c r="J1676" s="169" t="s">
        <v>9091</v>
      </c>
      <c r="K1676" s="169">
        <f>IFERROR(MATCH(J1676,'Final List'!$B$4:$B$252,0),0)</f>
        <v>0</v>
      </c>
      <c r="L1676" s="169">
        <f>IFERROR(MATCH(J1676,'Final List'!$D$4:$D$252,0),0)</f>
        <v>0</v>
      </c>
      <c r="M1676" s="169">
        <f>IFERROR(MATCH(J1676,'Final List'!$F$4:$F$251,0),0)</f>
        <v>0</v>
      </c>
      <c r="N1676" s="169">
        <f>IFERROR(MATCH(J1676,'Final List'!$H$4:$H$252,0),0)</f>
        <v>0</v>
      </c>
      <c r="O1676" s="169">
        <f>IFERROR(MATCH(J1676,'Final List'!$J$4:$J$252,0),0)</f>
        <v>0</v>
      </c>
      <c r="P1676" s="169">
        <f>IFERROR(MATCH(J1676,'Final List'!$L$4:$L$252,0),0)</f>
        <v>0</v>
      </c>
      <c r="Q1676" s="169">
        <f>IFERROR(MATCH(J1676,'Final List'!$N$4:$N$252,0),0)</f>
        <v>0</v>
      </c>
      <c r="R1676" s="169">
        <f>IFERROR(MATCH(J1676,'Final List'!$P$4:$P$252,0),0)</f>
        <v>0</v>
      </c>
      <c r="S1676" s="169">
        <f t="shared" si="107"/>
        <v>0</v>
      </c>
      <c r="T1676" s="169" t="s">
        <v>68</v>
      </c>
      <c r="V1676" s="169" t="str">
        <f t="shared" si="105"/>
        <v>LARGO 1</v>
      </c>
      <c r="W1676" s="169" t="s">
        <v>2712</v>
      </c>
    </row>
    <row r="1677" spans="2:23" x14ac:dyDescent="0.25">
      <c r="B1677" s="169" t="s">
        <v>95</v>
      </c>
      <c r="C1677" s="169" t="s">
        <v>56</v>
      </c>
      <c r="D1677" s="169" t="s">
        <v>147</v>
      </c>
      <c r="E1677" s="169" t="s">
        <v>62</v>
      </c>
      <c r="F1677" s="245" t="str">
        <f t="shared" si="106"/>
        <v>RobS 79</v>
      </c>
      <c r="G1677" s="169" t="s">
        <v>5708</v>
      </c>
      <c r="I1677" s="169" t="str">
        <f t="shared" si="104"/>
        <v>L08_GHVFW_024E_ROBBING</v>
      </c>
      <c r="J1677" s="169" t="s">
        <v>9092</v>
      </c>
      <c r="K1677" s="169">
        <f>IFERROR(MATCH(J1677,'Final List'!$B$4:$B$252,0),0)</f>
        <v>0</v>
      </c>
      <c r="L1677" s="169">
        <f>IFERROR(MATCH(J1677,'Final List'!$D$4:$D$252,0),0)</f>
        <v>0</v>
      </c>
      <c r="M1677" s="169">
        <f>IFERROR(MATCH(J1677,'Final List'!$F$4:$F$251,0),0)</f>
        <v>0</v>
      </c>
      <c r="N1677" s="169">
        <f>IFERROR(MATCH(J1677,'Final List'!$H$4:$H$252,0),0)</f>
        <v>0</v>
      </c>
      <c r="O1677" s="169">
        <f>IFERROR(MATCH(J1677,'Final List'!$J$4:$J$252,0),0)</f>
        <v>0</v>
      </c>
      <c r="P1677" s="169">
        <f>IFERROR(MATCH(J1677,'Final List'!$L$4:$L$252,0),0)</f>
        <v>0</v>
      </c>
      <c r="Q1677" s="169">
        <f>IFERROR(MATCH(J1677,'Final List'!$N$4:$N$252,0),0)</f>
        <v>0</v>
      </c>
      <c r="R1677" s="169">
        <f>IFERROR(MATCH(J1677,'Final List'!$P$4:$P$252,0),0)</f>
        <v>0</v>
      </c>
      <c r="S1677" s="169">
        <f t="shared" si="107"/>
        <v>0</v>
      </c>
      <c r="T1677" s="169" t="s">
        <v>68</v>
      </c>
      <c r="V1677" s="169" t="str">
        <f t="shared" si="105"/>
        <v>SHEPHERD AJ 1</v>
      </c>
      <c r="W1677" s="169" t="s">
        <v>2707</v>
      </c>
    </row>
    <row r="1678" spans="2:23" x14ac:dyDescent="0.25">
      <c r="B1678" s="169" t="s">
        <v>258</v>
      </c>
      <c r="C1678" s="169" t="s">
        <v>38</v>
      </c>
      <c r="D1678" s="169" t="s">
        <v>218</v>
      </c>
      <c r="E1678" s="169" t="s">
        <v>62</v>
      </c>
      <c r="F1678" s="245" t="str">
        <f t="shared" si="106"/>
        <v>RobS 79</v>
      </c>
      <c r="G1678" s="169" t="s">
        <v>319</v>
      </c>
      <c r="I1678" s="169" t="str">
        <f t="shared" si="104"/>
        <v>L10_GHV_062E_ROBBING</v>
      </c>
      <c r="J1678" s="169" t="s">
        <v>10717</v>
      </c>
      <c r="K1678" s="169">
        <f>IFERROR(MATCH(J1678,'Final List'!$B$4:$B$252,0),0)</f>
        <v>0</v>
      </c>
      <c r="L1678" s="169">
        <f>IFERROR(MATCH(J1678,'Final List'!$D$4:$D$252,0),0)</f>
        <v>0</v>
      </c>
      <c r="M1678" s="169">
        <f>IFERROR(MATCH(J1678,'Final List'!$F$4:$F$251,0),0)</f>
        <v>0</v>
      </c>
      <c r="N1678" s="169">
        <f>IFERROR(MATCH(J1678,'Final List'!$H$4:$H$252,0),0)</f>
        <v>0</v>
      </c>
      <c r="O1678" s="169">
        <f>IFERROR(MATCH(J1678,'Final List'!$J$4:$J$252,0),0)</f>
        <v>0</v>
      </c>
      <c r="P1678" s="169">
        <f>IFERROR(MATCH(J1678,'Final List'!$L$4:$L$252,0),0)</f>
        <v>0</v>
      </c>
      <c r="Q1678" s="169">
        <f>IFERROR(MATCH(J1678,'Final List'!$N$4:$N$252,0),0)</f>
        <v>0</v>
      </c>
      <c r="R1678" s="169">
        <f>IFERROR(MATCH(J1678,'Final List'!$P$4:$P$252,0),0)</f>
        <v>0</v>
      </c>
      <c r="S1678" s="169">
        <f t="shared" si="107"/>
        <v>0</v>
      </c>
      <c r="T1678" s="169" t="s">
        <v>68</v>
      </c>
      <c r="V1678" s="169" t="str">
        <f t="shared" si="105"/>
        <v>PARAGUYA 4</v>
      </c>
      <c r="W1678" s="169" t="s">
        <v>2707</v>
      </c>
    </row>
    <row r="1679" spans="2:23" x14ac:dyDescent="0.25">
      <c r="B1679" s="169" t="s">
        <v>258</v>
      </c>
      <c r="C1679" s="169" t="s">
        <v>57</v>
      </c>
      <c r="D1679" s="169" t="s">
        <v>205</v>
      </c>
      <c r="E1679" s="169" t="s">
        <v>62</v>
      </c>
      <c r="F1679" s="245" t="str">
        <f t="shared" si="106"/>
        <v>RobS 79</v>
      </c>
      <c r="G1679" s="169" t="s">
        <v>6216</v>
      </c>
      <c r="I1679" s="169" t="str">
        <f t="shared" si="104"/>
        <v>L10_JVSPLIT_066E_ROBBING</v>
      </c>
      <c r="J1679" s="169" t="s">
        <v>9093</v>
      </c>
      <c r="K1679" s="169">
        <f>IFERROR(MATCH(J1679,'Final List'!$B$4:$B$252,0),0)</f>
        <v>0</v>
      </c>
      <c r="L1679" s="169">
        <f>IFERROR(MATCH(J1679,'Final List'!$D$4:$D$252,0),0)</f>
        <v>0</v>
      </c>
      <c r="M1679" s="169">
        <f>IFERROR(MATCH(J1679,'Final List'!$F$4:$F$251,0),0)</f>
        <v>0</v>
      </c>
      <c r="N1679" s="169">
        <f>IFERROR(MATCH(J1679,'Final List'!$H$4:$H$252,0),0)</f>
        <v>0</v>
      </c>
      <c r="O1679" s="169">
        <f>IFERROR(MATCH(J1679,'Final List'!$J$4:$J$252,0),0)</f>
        <v>0</v>
      </c>
      <c r="P1679" s="169">
        <f>IFERROR(MATCH(J1679,'Final List'!$L$4:$L$252,0),0)</f>
        <v>0</v>
      </c>
      <c r="Q1679" s="169">
        <f>IFERROR(MATCH(J1679,'Final List'!$N$4:$N$252,0),0)</f>
        <v>0</v>
      </c>
      <c r="R1679" s="169">
        <f>IFERROR(MATCH(J1679,'Final List'!$P$4:$P$252,0),0)</f>
        <v>0</v>
      </c>
      <c r="S1679" s="169">
        <f t="shared" si="107"/>
        <v>0</v>
      </c>
      <c r="T1679" s="169" t="s">
        <v>68</v>
      </c>
      <c r="V1679" s="169" t="str">
        <f t="shared" si="105"/>
        <v>FERNANDEZ</v>
      </c>
      <c r="W1679" s="169" t="s">
        <v>2707</v>
      </c>
    </row>
    <row r="1680" spans="2:23" x14ac:dyDescent="0.25">
      <c r="B1680" s="169" t="s">
        <v>258</v>
      </c>
      <c r="C1680" s="169" t="s">
        <v>38</v>
      </c>
      <c r="D1680" s="169" t="s">
        <v>5602</v>
      </c>
      <c r="E1680" s="169" t="s">
        <v>60</v>
      </c>
      <c r="F1680" s="245" t="str">
        <f t="shared" si="106"/>
        <v>Dhoz 71</v>
      </c>
      <c r="G1680" s="169" t="s">
        <v>370</v>
      </c>
      <c r="I1680" s="169" t="str">
        <f t="shared" si="104"/>
        <v>L10_GHV_053E_DE</v>
      </c>
      <c r="J1680" s="169" t="s">
        <v>9094</v>
      </c>
      <c r="K1680" s="169">
        <f>IFERROR(MATCH(J1680,'Final List'!$B$4:$B$252,0),0)</f>
        <v>0</v>
      </c>
      <c r="L1680" s="169">
        <f>IFERROR(MATCH(J1680,'Final List'!$D$4:$D$252,0),0)</f>
        <v>0</v>
      </c>
      <c r="M1680" s="169">
        <f>IFERROR(MATCH(J1680,'Final List'!$F$4:$F$251,0),0)</f>
        <v>0</v>
      </c>
      <c r="N1680" s="169">
        <f>IFERROR(MATCH(J1680,'Final List'!$H$4:$H$252,0),0)</f>
        <v>0</v>
      </c>
      <c r="O1680" s="169">
        <f>IFERROR(MATCH(J1680,'Final List'!$J$4:$J$252,0),0)</f>
        <v>0</v>
      </c>
      <c r="P1680" s="169">
        <f>IFERROR(MATCH(J1680,'Final List'!$L$4:$L$252,0),0)</f>
        <v>0</v>
      </c>
      <c r="Q1680" s="169">
        <f>IFERROR(MATCH(J1680,'Final List'!$N$4:$N$252,0),0)</f>
        <v>0</v>
      </c>
      <c r="R1680" s="169">
        <f>IFERROR(MATCH(J1680,'Final List'!$P$4:$P$252,0),0)</f>
        <v>0</v>
      </c>
      <c r="S1680" s="169">
        <f t="shared" si="107"/>
        <v>0</v>
      </c>
      <c r="V1680" s="169" t="str">
        <f t="shared" si="105"/>
        <v>TAÑEZA 2</v>
      </c>
      <c r="W1680" s="169" t="s">
        <v>8896</v>
      </c>
    </row>
    <row r="1681" spans="2:23" x14ac:dyDescent="0.25">
      <c r="B1681" s="169" t="s">
        <v>1166</v>
      </c>
      <c r="C1681" s="169" t="s">
        <v>42</v>
      </c>
      <c r="D1681" s="169" t="s">
        <v>178</v>
      </c>
      <c r="E1681" s="169" t="s">
        <v>211</v>
      </c>
      <c r="F1681" s="245" t="str">
        <f t="shared" si="106"/>
        <v>StpS 77</v>
      </c>
      <c r="G1681" s="169" t="s">
        <v>6928</v>
      </c>
      <c r="I1681" s="169" t="str">
        <f t="shared" si="104"/>
        <v>L11_JV_048E_STOPE PREP</v>
      </c>
      <c r="J1681" s="169" t="s">
        <v>9095</v>
      </c>
      <c r="K1681" s="169">
        <f>IFERROR(MATCH(J1681,'Final List'!$B$4:$B$252,0),0)</f>
        <v>0</v>
      </c>
      <c r="L1681" s="169">
        <f>IFERROR(MATCH(J1681,'Final List'!$D$4:$D$252,0),0)</f>
        <v>0</v>
      </c>
      <c r="M1681" s="169">
        <f>IFERROR(MATCH(J1681,'Final List'!$F$4:$F$251,0),0)</f>
        <v>0</v>
      </c>
      <c r="N1681" s="169">
        <f>IFERROR(MATCH(J1681,'Final List'!$H$4:$H$252,0),0)</f>
        <v>0</v>
      </c>
      <c r="O1681" s="169">
        <f>IFERROR(MATCH(J1681,'Final List'!$J$4:$J$252,0),0)</f>
        <v>0</v>
      </c>
      <c r="P1681" s="169">
        <f>IFERROR(MATCH(J1681,'Final List'!$L$4:$L$252,0),0)</f>
        <v>0</v>
      </c>
      <c r="Q1681" s="169">
        <f>IFERROR(MATCH(J1681,'Final List'!$N$4:$N$252,0),0)</f>
        <v>0</v>
      </c>
      <c r="R1681" s="169">
        <f>IFERROR(MATCH(J1681,'Final List'!$P$4:$P$252,0),0)</f>
        <v>0</v>
      </c>
      <c r="S1681" s="169">
        <f t="shared" si="107"/>
        <v>0</v>
      </c>
      <c r="T1681" s="169" t="s">
        <v>68</v>
      </c>
      <c r="V1681" s="169" t="str">
        <f t="shared" si="105"/>
        <v>DUHIG, P5</v>
      </c>
      <c r="W1681" s="169" t="s">
        <v>2712</v>
      </c>
    </row>
    <row r="1682" spans="2:23" x14ac:dyDescent="0.25">
      <c r="B1682" s="169" t="s">
        <v>1166</v>
      </c>
      <c r="C1682" s="169" t="s">
        <v>38</v>
      </c>
      <c r="D1682" s="169" t="s">
        <v>284</v>
      </c>
      <c r="E1682" s="169" t="s">
        <v>60</v>
      </c>
      <c r="F1682" s="245" t="str">
        <f t="shared" si="106"/>
        <v>Dhoz 71</v>
      </c>
      <c r="G1682" s="169" t="s">
        <v>354</v>
      </c>
      <c r="I1682" s="169" t="str">
        <f t="shared" si="104"/>
        <v>L11_GHV_061E_DE</v>
      </c>
      <c r="J1682" s="169" t="s">
        <v>9097</v>
      </c>
      <c r="K1682" s="169">
        <f>IFERROR(MATCH(J1682,'Final List'!$B$4:$B$252,0),0)</f>
        <v>0</v>
      </c>
      <c r="L1682" s="169">
        <f>IFERROR(MATCH(J1682,'Final List'!$D$4:$D$252,0),0)</f>
        <v>0</v>
      </c>
      <c r="M1682" s="169">
        <f>IFERROR(MATCH(J1682,'Final List'!$F$4:$F$251,0),0)</f>
        <v>0</v>
      </c>
      <c r="N1682" s="169">
        <f>IFERROR(MATCH(J1682,'Final List'!$H$4:$H$252,0),0)</f>
        <v>0</v>
      </c>
      <c r="O1682" s="169">
        <f>IFERROR(MATCH(J1682,'Final List'!$J$4:$J$252,0),0)</f>
        <v>0</v>
      </c>
      <c r="P1682" s="169">
        <f>IFERROR(MATCH(J1682,'Final List'!$L$4:$L$252,0),0)</f>
        <v>0</v>
      </c>
      <c r="Q1682" s="169">
        <f>IFERROR(MATCH(J1682,'Final List'!$N$4:$N$252,0),0)</f>
        <v>0</v>
      </c>
      <c r="R1682" s="169">
        <f>IFERROR(MATCH(J1682,'Final List'!$P$4:$P$252,0),0)</f>
        <v>0</v>
      </c>
      <c r="S1682" s="169">
        <f t="shared" si="107"/>
        <v>0</v>
      </c>
      <c r="V1682" s="169" t="str">
        <f t="shared" si="105"/>
        <v>BAÑEZ 3</v>
      </c>
      <c r="W1682" s="169" t="s">
        <v>8896</v>
      </c>
    </row>
    <row r="1683" spans="2:23" x14ac:dyDescent="0.25">
      <c r="B1683" s="169" t="s">
        <v>1166</v>
      </c>
      <c r="C1683" s="169" t="s">
        <v>56</v>
      </c>
      <c r="D1683" s="169" t="s">
        <v>166</v>
      </c>
      <c r="E1683" s="169" t="s">
        <v>19</v>
      </c>
      <c r="F1683" s="245" t="str">
        <f t="shared" si="106"/>
        <v>DVR 72</v>
      </c>
      <c r="G1683" s="169" t="s">
        <v>352</v>
      </c>
      <c r="I1683" s="169" t="str">
        <f t="shared" si="104"/>
        <v>L11_GHVFW_068E_RAISE</v>
      </c>
      <c r="J1683" s="169" t="s">
        <v>9098</v>
      </c>
      <c r="K1683" s="169">
        <f>IFERROR(MATCH(J1683,'Final List'!$B$4:$B$252,0),0)</f>
        <v>0</v>
      </c>
      <c r="L1683" s="169">
        <f>IFERROR(MATCH(J1683,'Final List'!$D$4:$D$252,0),0)</f>
        <v>0</v>
      </c>
      <c r="M1683" s="169">
        <f>IFERROR(MATCH(J1683,'Final List'!$F$4:$F$251,0),0)</f>
        <v>0</v>
      </c>
      <c r="N1683" s="169">
        <f>IFERROR(MATCH(J1683,'Final List'!$H$4:$H$252,0),0)</f>
        <v>0</v>
      </c>
      <c r="O1683" s="169">
        <f>IFERROR(MATCH(J1683,'Final List'!$J$4:$J$252,0),0)</f>
        <v>0</v>
      </c>
      <c r="P1683" s="169">
        <f>IFERROR(MATCH(J1683,'Final List'!$L$4:$L$252,0),0)</f>
        <v>0</v>
      </c>
      <c r="Q1683" s="169">
        <f>IFERROR(MATCH(J1683,'Final List'!$N$4:$N$252,0),0)</f>
        <v>0</v>
      </c>
      <c r="R1683" s="169">
        <f>IFERROR(MATCH(J1683,'Final List'!$P$4:$P$252,0),0)</f>
        <v>0</v>
      </c>
      <c r="S1683" s="169">
        <f t="shared" si="107"/>
        <v>0</v>
      </c>
      <c r="V1683" s="169" t="str">
        <f t="shared" si="105"/>
        <v>BAÑEZ 5</v>
      </c>
      <c r="W1683" s="169" t="s">
        <v>2715</v>
      </c>
    </row>
    <row r="1684" spans="2:23" x14ac:dyDescent="0.25">
      <c r="B1684" s="169" t="s">
        <v>94</v>
      </c>
      <c r="C1684" s="169" t="s">
        <v>57</v>
      </c>
      <c r="D1684" s="169" t="s">
        <v>171</v>
      </c>
      <c r="E1684" s="169" t="s">
        <v>441</v>
      </c>
      <c r="F1684" s="245" t="str">
        <f t="shared" si="106"/>
        <v>RobC 80</v>
      </c>
      <c r="G1684" s="169" t="s">
        <v>344</v>
      </c>
      <c r="I1684" s="169" t="str">
        <f t="shared" si="104"/>
        <v>L07_JVSPLIT_015W_WINZE STOPE PREP</v>
      </c>
      <c r="J1684" s="169" t="s">
        <v>9099</v>
      </c>
      <c r="K1684" s="169">
        <f>IFERROR(MATCH(J1684,'Final List'!$B$4:$B$252,0),0)</f>
        <v>0</v>
      </c>
      <c r="L1684" s="169">
        <f>IFERROR(MATCH(J1684,'Final List'!$D$4:$D$252,0),0)</f>
        <v>0</v>
      </c>
      <c r="M1684" s="169">
        <f>IFERROR(MATCH(J1684,'Final List'!$F$4:$F$251,0),0)</f>
        <v>0</v>
      </c>
      <c r="N1684" s="169">
        <f>IFERROR(MATCH(J1684,'Final List'!$H$4:$H$252,0),0)</f>
        <v>0</v>
      </c>
      <c r="O1684" s="169">
        <f>IFERROR(MATCH(J1684,'Final List'!$J$4:$J$252,0),0)</f>
        <v>0</v>
      </c>
      <c r="P1684" s="169">
        <f>IFERROR(MATCH(J1684,'Final List'!$L$4:$L$252,0),0)</f>
        <v>0</v>
      </c>
      <c r="Q1684" s="169">
        <f>IFERROR(MATCH(J1684,'Final List'!$N$4:$N$252,0),0)</f>
        <v>0</v>
      </c>
      <c r="R1684" s="169">
        <f>IFERROR(MATCH(J1684,'Final List'!$P$4:$P$252,0),0)</f>
        <v>0</v>
      </c>
      <c r="S1684" s="169">
        <f t="shared" si="107"/>
        <v>0</v>
      </c>
      <c r="T1684" s="169" t="s">
        <v>68</v>
      </c>
      <c r="V1684" s="169" t="str">
        <f t="shared" si="105"/>
        <v>UDLOS 1</v>
      </c>
      <c r="W1684" s="169" t="s">
        <v>2716</v>
      </c>
    </row>
    <row r="1685" spans="2:23" x14ac:dyDescent="0.25">
      <c r="B1685" s="169" t="s">
        <v>94</v>
      </c>
      <c r="C1685" s="169" t="s">
        <v>45</v>
      </c>
      <c r="D1685" s="169" t="s">
        <v>6033</v>
      </c>
      <c r="E1685" s="169" t="s">
        <v>441</v>
      </c>
      <c r="F1685" s="245" t="str">
        <f t="shared" si="106"/>
        <v>RobC 80</v>
      </c>
      <c r="G1685" s="169" t="s">
        <v>5921</v>
      </c>
      <c r="I1685" s="169" t="str">
        <f t="shared" si="104"/>
        <v>L07_DPVE_013E_WINZE STOPE PREP</v>
      </c>
      <c r="J1685" s="169" t="s">
        <v>9101</v>
      </c>
      <c r="K1685" s="169">
        <f>IFERROR(MATCH(J1685,'Final List'!$B$4:$B$252,0),0)</f>
        <v>0</v>
      </c>
      <c r="L1685" s="169">
        <f>IFERROR(MATCH(J1685,'Final List'!$D$4:$D$252,0),0)</f>
        <v>0</v>
      </c>
      <c r="M1685" s="169">
        <f>IFERROR(MATCH(J1685,'Final List'!$F$4:$F$251,0),0)</f>
        <v>0</v>
      </c>
      <c r="N1685" s="169">
        <f>IFERROR(MATCH(J1685,'Final List'!$H$4:$H$252,0),0)</f>
        <v>0</v>
      </c>
      <c r="O1685" s="169">
        <f>IFERROR(MATCH(J1685,'Final List'!$J$4:$J$252,0),0)</f>
        <v>0</v>
      </c>
      <c r="P1685" s="169">
        <f>IFERROR(MATCH(J1685,'Final List'!$L$4:$L$252,0),0)</f>
        <v>0</v>
      </c>
      <c r="Q1685" s="169">
        <f>IFERROR(MATCH(J1685,'Final List'!$N$4:$N$252,0),0)</f>
        <v>0</v>
      </c>
      <c r="R1685" s="169">
        <f>IFERROR(MATCH(J1685,'Final List'!$P$4:$P$252,0),0)</f>
        <v>0</v>
      </c>
      <c r="S1685" s="169">
        <f t="shared" si="107"/>
        <v>0</v>
      </c>
      <c r="T1685" s="169" t="s">
        <v>68</v>
      </c>
      <c r="V1685" s="169" t="str">
        <f t="shared" si="105"/>
        <v>TURRA 2</v>
      </c>
      <c r="W1685" s="169" t="s">
        <v>2716</v>
      </c>
    </row>
    <row r="1686" spans="2:23" x14ac:dyDescent="0.25">
      <c r="B1686" s="169" t="s">
        <v>94</v>
      </c>
      <c r="C1686" s="169" t="s">
        <v>45</v>
      </c>
      <c r="D1686" s="169" t="s">
        <v>5631</v>
      </c>
      <c r="E1686" s="169" t="s">
        <v>20</v>
      </c>
      <c r="F1686" s="245" t="str">
        <f t="shared" si="106"/>
        <v>DVW 74</v>
      </c>
      <c r="G1686" s="169" t="s">
        <v>2972</v>
      </c>
      <c r="I1686" s="169" t="str">
        <f t="shared" si="104"/>
        <v>L07_DPVE_020E_WINZE</v>
      </c>
      <c r="J1686" s="169" t="s">
        <v>9103</v>
      </c>
      <c r="K1686" s="169">
        <f>IFERROR(MATCH(J1686,'Final List'!$B$4:$B$252,0),0)</f>
        <v>0</v>
      </c>
      <c r="L1686" s="169">
        <f>IFERROR(MATCH(J1686,'Final List'!$D$4:$D$252,0),0)</f>
        <v>0</v>
      </c>
      <c r="M1686" s="169">
        <f>IFERROR(MATCH(J1686,'Final List'!$F$4:$F$251,0),0)</f>
        <v>0</v>
      </c>
      <c r="N1686" s="169">
        <f>IFERROR(MATCH(J1686,'Final List'!$H$4:$H$252,0),0)</f>
        <v>0</v>
      </c>
      <c r="O1686" s="169">
        <f>IFERROR(MATCH(J1686,'Final List'!$J$4:$J$252,0),0)</f>
        <v>0</v>
      </c>
      <c r="P1686" s="169">
        <f>IFERROR(MATCH(J1686,'Final List'!$L$4:$L$252,0),0)</f>
        <v>0</v>
      </c>
      <c r="Q1686" s="169">
        <f>IFERROR(MATCH(J1686,'Final List'!$N$4:$N$252,0),0)</f>
        <v>0</v>
      </c>
      <c r="R1686" s="169">
        <f>IFERROR(MATCH(J1686,'Final List'!$P$4:$P$252,0),0)</f>
        <v>0</v>
      </c>
      <c r="S1686" s="169">
        <f t="shared" si="107"/>
        <v>0</v>
      </c>
      <c r="V1686" s="169" t="str">
        <f t="shared" si="105"/>
        <v>FABROA 1</v>
      </c>
      <c r="W1686" s="169" t="s">
        <v>2706</v>
      </c>
    </row>
    <row r="1687" spans="2:23" x14ac:dyDescent="0.25">
      <c r="B1687" s="169" t="s">
        <v>96</v>
      </c>
      <c r="C1687" s="169" t="s">
        <v>45</v>
      </c>
      <c r="D1687" s="169" t="s">
        <v>122</v>
      </c>
      <c r="E1687" s="169" t="s">
        <v>36</v>
      </c>
      <c r="F1687" s="245" t="str">
        <f t="shared" si="106"/>
        <v>StpS 77</v>
      </c>
      <c r="G1687" s="169" t="s">
        <v>337</v>
      </c>
      <c r="I1687" s="169" t="str">
        <f t="shared" si="104"/>
        <v>L09_DPVE_025E_STOPE</v>
      </c>
      <c r="J1687" s="169" t="s">
        <v>9105</v>
      </c>
      <c r="K1687" s="169">
        <f>IFERROR(MATCH(J1687,'Final List'!$B$4:$B$252,0),0)</f>
        <v>0</v>
      </c>
      <c r="L1687" s="169">
        <f>IFERROR(MATCH(J1687,'Final List'!$D$4:$D$252,0),0)</f>
        <v>0</v>
      </c>
      <c r="M1687" s="169">
        <f>IFERROR(MATCH(J1687,'Final List'!$F$4:$F$251,0),0)</f>
        <v>0</v>
      </c>
      <c r="N1687" s="169">
        <f>IFERROR(MATCH(J1687,'Final List'!$H$4:$H$252,0),0)</f>
        <v>0</v>
      </c>
      <c r="O1687" s="169">
        <f>IFERROR(MATCH(J1687,'Final List'!$J$4:$J$252,0),0)</f>
        <v>0</v>
      </c>
      <c r="P1687" s="169">
        <f>IFERROR(MATCH(J1687,'Final List'!$L$4:$L$252,0),0)</f>
        <v>0</v>
      </c>
      <c r="Q1687" s="169">
        <f>IFERROR(MATCH(J1687,'Final List'!$N$4:$N$252,0),0)</f>
        <v>0</v>
      </c>
      <c r="R1687" s="169">
        <f>IFERROR(MATCH(J1687,'Final List'!$P$4:$P$252,0),0)</f>
        <v>0</v>
      </c>
      <c r="S1687" s="169">
        <f t="shared" si="107"/>
        <v>0</v>
      </c>
      <c r="T1687" s="169" t="s">
        <v>68</v>
      </c>
      <c r="V1687" s="169" t="str">
        <f t="shared" si="105"/>
        <v>BALANGHIG 2</v>
      </c>
      <c r="W1687" s="169" t="s">
        <v>2713</v>
      </c>
    </row>
    <row r="1688" spans="2:23" x14ac:dyDescent="0.25">
      <c r="B1688" s="169" t="s">
        <v>94</v>
      </c>
      <c r="C1688" s="169" t="s">
        <v>59</v>
      </c>
      <c r="D1688" s="169" t="s">
        <v>144</v>
      </c>
      <c r="E1688" s="169" t="s">
        <v>6154</v>
      </c>
      <c r="F1688" s="245" t="str">
        <f t="shared" si="106"/>
        <v>Dhoz 71</v>
      </c>
      <c r="G1688" s="169" t="s">
        <v>401</v>
      </c>
      <c r="I1688" s="169" t="str">
        <f t="shared" si="104"/>
        <v>L07_GHVHW_043E_DW_ISL</v>
      </c>
      <c r="J1688" s="169" t="s">
        <v>9107</v>
      </c>
      <c r="K1688" s="169">
        <f>IFERROR(MATCH(J1688,'Final List'!$B$4:$B$252,0),0)</f>
        <v>0</v>
      </c>
      <c r="L1688" s="169">
        <f>IFERROR(MATCH(J1688,'Final List'!$D$4:$D$252,0),0)</f>
        <v>0</v>
      </c>
      <c r="M1688" s="169">
        <f>IFERROR(MATCH(J1688,'Final List'!$F$4:$F$251,0),0)</f>
        <v>0</v>
      </c>
      <c r="N1688" s="169">
        <f>IFERROR(MATCH(J1688,'Final List'!$H$4:$H$252,0),0)</f>
        <v>0</v>
      </c>
      <c r="O1688" s="169">
        <f>IFERROR(MATCH(J1688,'Final List'!$J$4:$J$252,0),0)</f>
        <v>0</v>
      </c>
      <c r="P1688" s="169">
        <f>IFERROR(MATCH(J1688,'Final List'!$L$4:$L$252,0),0)</f>
        <v>0</v>
      </c>
      <c r="Q1688" s="169">
        <f>IFERROR(MATCH(J1688,'Final List'!$N$4:$N$252,0),0)</f>
        <v>0</v>
      </c>
      <c r="R1688" s="169">
        <f>IFERROR(MATCH(J1688,'Final List'!$P$4:$P$252,0),0)</f>
        <v>0</v>
      </c>
      <c r="S1688" s="169">
        <f t="shared" si="107"/>
        <v>0</v>
      </c>
      <c r="V1688" s="169" t="str">
        <f t="shared" si="105"/>
        <v>MAPAYO 2</v>
      </c>
      <c r="W1688" s="169" t="s">
        <v>2708</v>
      </c>
    </row>
    <row r="1689" spans="2:23" x14ac:dyDescent="0.25">
      <c r="B1689" s="169" t="s">
        <v>1166</v>
      </c>
      <c r="C1689" s="169" t="s">
        <v>59</v>
      </c>
      <c r="D1689" s="169" t="s">
        <v>167</v>
      </c>
      <c r="E1689" s="169" t="s">
        <v>211</v>
      </c>
      <c r="F1689" s="245" t="str">
        <f t="shared" si="106"/>
        <v>StpS 77</v>
      </c>
      <c r="G1689" s="169" t="s">
        <v>342</v>
      </c>
      <c r="I1689" s="169" t="str">
        <f t="shared" si="104"/>
        <v>L11_GHVHW_058E_STOPE PREP</v>
      </c>
      <c r="J1689" s="169" t="s">
        <v>9108</v>
      </c>
      <c r="K1689" s="169">
        <f>IFERROR(MATCH(J1689,'Final List'!$B$4:$B$252,0),0)</f>
        <v>0</v>
      </c>
      <c r="L1689" s="169">
        <f>IFERROR(MATCH(J1689,'Final List'!$D$4:$D$252,0),0)</f>
        <v>0</v>
      </c>
      <c r="M1689" s="169">
        <f>IFERROR(MATCH(J1689,'Final List'!$F$4:$F$251,0),0)</f>
        <v>0</v>
      </c>
      <c r="N1689" s="169">
        <f>IFERROR(MATCH(J1689,'Final List'!$H$4:$H$252,0),0)</f>
        <v>0</v>
      </c>
      <c r="O1689" s="169">
        <f>IFERROR(MATCH(J1689,'Final List'!$J$4:$J$252,0),0)</f>
        <v>0</v>
      </c>
      <c r="P1689" s="169">
        <f>IFERROR(MATCH(J1689,'Final List'!$L$4:$L$252,0),0)</f>
        <v>0</v>
      </c>
      <c r="Q1689" s="169">
        <f>IFERROR(MATCH(J1689,'Final List'!$N$4:$N$252,0),0)</f>
        <v>0</v>
      </c>
      <c r="R1689" s="169">
        <f>IFERROR(MATCH(J1689,'Final List'!$P$4:$P$252,0),0)</f>
        <v>0</v>
      </c>
      <c r="S1689" s="169">
        <f t="shared" si="107"/>
        <v>0</v>
      </c>
      <c r="T1689" s="169" t="s">
        <v>68</v>
      </c>
      <c r="V1689" s="169" t="str">
        <f t="shared" si="105"/>
        <v>BADBADON 2</v>
      </c>
      <c r="W1689" s="169" t="s">
        <v>2712</v>
      </c>
    </row>
    <row r="1690" spans="2:23" x14ac:dyDescent="0.25">
      <c r="B1690" s="169" t="s">
        <v>94</v>
      </c>
      <c r="C1690" s="169" t="s">
        <v>45</v>
      </c>
      <c r="D1690" s="169" t="s">
        <v>121</v>
      </c>
      <c r="E1690" s="169" t="s">
        <v>61</v>
      </c>
      <c r="F1690" s="245" t="str">
        <f t="shared" si="106"/>
        <v>Dhoz 71</v>
      </c>
      <c r="G1690" s="169" t="s">
        <v>5720</v>
      </c>
      <c r="I1690" s="169" t="str">
        <f t="shared" si="104"/>
        <v>L07_DPVE_022E_DW</v>
      </c>
      <c r="J1690" s="169" t="s">
        <v>9109</v>
      </c>
      <c r="K1690" s="169">
        <f>IFERROR(MATCH(J1690,'Final List'!$B$4:$B$252,0),0)</f>
        <v>0</v>
      </c>
      <c r="L1690" s="169">
        <f>IFERROR(MATCH(J1690,'Final List'!$D$4:$D$252,0),0)</f>
        <v>0</v>
      </c>
      <c r="M1690" s="169">
        <f>IFERROR(MATCH(J1690,'Final List'!$F$4:$F$251,0),0)</f>
        <v>0</v>
      </c>
      <c r="N1690" s="169">
        <f>IFERROR(MATCH(J1690,'Final List'!$H$4:$H$252,0),0)</f>
        <v>0</v>
      </c>
      <c r="O1690" s="169">
        <f>IFERROR(MATCH(J1690,'Final List'!$J$4:$J$252,0),0)</f>
        <v>0</v>
      </c>
      <c r="P1690" s="169">
        <f>IFERROR(MATCH(J1690,'Final List'!$L$4:$L$252,0),0)</f>
        <v>0</v>
      </c>
      <c r="Q1690" s="169">
        <f>IFERROR(MATCH(J1690,'Final List'!$N$4:$N$252,0),0)</f>
        <v>0</v>
      </c>
      <c r="R1690" s="169">
        <f>IFERROR(MATCH(J1690,'Final List'!$P$4:$P$252,0),0)</f>
        <v>0</v>
      </c>
      <c r="S1690" s="169">
        <f t="shared" si="107"/>
        <v>0</v>
      </c>
      <c r="V1690" s="169" t="str">
        <f t="shared" si="105"/>
        <v>TURRA 1</v>
      </c>
      <c r="W1690" s="169" t="s">
        <v>8895</v>
      </c>
    </row>
    <row r="1691" spans="2:23" x14ac:dyDescent="0.25">
      <c r="B1691" s="169" t="s">
        <v>92</v>
      </c>
      <c r="C1691" s="169" t="s">
        <v>57</v>
      </c>
      <c r="D1691" s="169" t="s">
        <v>107</v>
      </c>
      <c r="E1691" s="169" t="s">
        <v>19</v>
      </c>
      <c r="F1691" s="245" t="str">
        <f t="shared" si="106"/>
        <v>DVR 72</v>
      </c>
      <c r="G1691" s="169" t="s">
        <v>2969</v>
      </c>
      <c r="I1691" s="169" t="str">
        <f t="shared" si="104"/>
        <v>L05_JVSPLIT_032W_RAISE</v>
      </c>
      <c r="J1691" s="169" t="s">
        <v>9112</v>
      </c>
      <c r="K1691" s="169">
        <f>IFERROR(MATCH(J1691,'Final List'!$B$4:$B$252,0),0)</f>
        <v>0</v>
      </c>
      <c r="L1691" s="169">
        <f>IFERROR(MATCH(J1691,'Final List'!$D$4:$D$252,0),0)</f>
        <v>0</v>
      </c>
      <c r="M1691" s="169">
        <f>IFERROR(MATCH(J1691,'Final List'!$F$4:$F$251,0),0)</f>
        <v>0</v>
      </c>
      <c r="N1691" s="169">
        <f>IFERROR(MATCH(J1691,'Final List'!$H$4:$H$252,0),0)</f>
        <v>0</v>
      </c>
      <c r="O1691" s="169">
        <f>IFERROR(MATCH(J1691,'Final List'!$J$4:$J$252,0),0)</f>
        <v>0</v>
      </c>
      <c r="P1691" s="169">
        <f>IFERROR(MATCH(J1691,'Final List'!$L$4:$L$252,0),0)</f>
        <v>0</v>
      </c>
      <c r="Q1691" s="169">
        <f>IFERROR(MATCH(J1691,'Final List'!$N$4:$N$252,0),0)</f>
        <v>0</v>
      </c>
      <c r="R1691" s="169">
        <f>IFERROR(MATCH(J1691,'Final List'!$P$4:$P$252,0),0)</f>
        <v>0</v>
      </c>
      <c r="S1691" s="169">
        <f t="shared" si="107"/>
        <v>0</v>
      </c>
      <c r="V1691" s="169" t="str">
        <f t="shared" si="105"/>
        <v>SAMBERE 1</v>
      </c>
      <c r="W1691" s="169" t="s">
        <v>2715</v>
      </c>
    </row>
    <row r="1692" spans="2:23" x14ac:dyDescent="0.25">
      <c r="B1692" s="169" t="s">
        <v>92</v>
      </c>
      <c r="C1692" s="169" t="s">
        <v>45</v>
      </c>
      <c r="D1692" s="169" t="s">
        <v>142</v>
      </c>
      <c r="E1692" s="169" t="s">
        <v>61</v>
      </c>
      <c r="F1692" s="245" t="str">
        <f t="shared" si="106"/>
        <v>Dhoz 71</v>
      </c>
      <c r="G1692" s="169" t="s">
        <v>1661</v>
      </c>
      <c r="I1692" s="169" t="str">
        <f t="shared" si="104"/>
        <v>L05_DPVE_038E_DW</v>
      </c>
      <c r="J1692" s="169" t="s">
        <v>9115</v>
      </c>
      <c r="K1692" s="169">
        <f>IFERROR(MATCH(J1692,'Final List'!$B$4:$B$252,0),0)</f>
        <v>0</v>
      </c>
      <c r="L1692" s="169">
        <f>IFERROR(MATCH(J1692,'Final List'!$D$4:$D$252,0),0)</f>
        <v>0</v>
      </c>
      <c r="M1692" s="169">
        <f>IFERROR(MATCH(J1692,'Final List'!$F$4:$F$251,0),0)</f>
        <v>0</v>
      </c>
      <c r="N1692" s="169">
        <f>IFERROR(MATCH(J1692,'Final List'!$H$4:$H$252,0),0)</f>
        <v>0</v>
      </c>
      <c r="O1692" s="169">
        <f>IFERROR(MATCH(J1692,'Final List'!$J$4:$J$252,0),0)</f>
        <v>0</v>
      </c>
      <c r="P1692" s="169">
        <f>IFERROR(MATCH(J1692,'Final List'!$L$4:$L$252,0),0)</f>
        <v>0</v>
      </c>
      <c r="Q1692" s="169">
        <f>IFERROR(MATCH(J1692,'Final List'!$N$4:$N$252,0),0)</f>
        <v>0</v>
      </c>
      <c r="R1692" s="169">
        <f>IFERROR(MATCH(J1692,'Final List'!$P$4:$P$252,0),0)</f>
        <v>0</v>
      </c>
      <c r="S1692" s="169">
        <f t="shared" si="107"/>
        <v>0</v>
      </c>
      <c r="V1692" s="169" t="str">
        <f t="shared" si="105"/>
        <v>DELOS REYES V2</v>
      </c>
      <c r="W1692" s="169" t="s">
        <v>8895</v>
      </c>
    </row>
    <row r="1693" spans="2:23" x14ac:dyDescent="0.25">
      <c r="B1693" s="169" t="s">
        <v>94</v>
      </c>
      <c r="C1693" s="169" t="s">
        <v>45</v>
      </c>
      <c r="D1693" s="169" t="s">
        <v>161</v>
      </c>
      <c r="E1693" s="169" t="s">
        <v>62</v>
      </c>
      <c r="F1693" s="245" t="str">
        <f t="shared" si="106"/>
        <v>RobC 80</v>
      </c>
      <c r="G1693" s="169" t="s">
        <v>358</v>
      </c>
      <c r="H1693" s="169" t="s">
        <v>577</v>
      </c>
      <c r="I1693" s="169" t="str">
        <f t="shared" ref="I1693:I1756" si="108">CONCATENATE(B1693,"_",C1693,"_",D1693,"_",E1693)</f>
        <v>L07_DPVE_044E_ROBBING</v>
      </c>
      <c r="J1693" s="169" t="s">
        <v>9116</v>
      </c>
      <c r="K1693" s="169">
        <f>IFERROR(MATCH(J1693,'Final List'!$B$4:$B$252,0),0)</f>
        <v>0</v>
      </c>
      <c r="L1693" s="169">
        <f>IFERROR(MATCH(J1693,'Final List'!$D$4:$D$252,0),0)</f>
        <v>0</v>
      </c>
      <c r="M1693" s="169">
        <f>IFERROR(MATCH(J1693,'Final List'!$F$4:$F$251,0),0)</f>
        <v>0</v>
      </c>
      <c r="N1693" s="169">
        <f>IFERROR(MATCH(J1693,'Final List'!$H$4:$H$252,0),0)</f>
        <v>0</v>
      </c>
      <c r="O1693" s="169">
        <f>IFERROR(MATCH(J1693,'Final List'!$J$4:$J$252,0),0)</f>
        <v>0</v>
      </c>
      <c r="P1693" s="169">
        <f>IFERROR(MATCH(J1693,'Final List'!$L$4:$L$252,0),0)</f>
        <v>0</v>
      </c>
      <c r="Q1693" s="169">
        <f>IFERROR(MATCH(J1693,'Final List'!$N$4:$N$252,0),0)</f>
        <v>0</v>
      </c>
      <c r="R1693" s="169">
        <f>IFERROR(MATCH(J1693,'Final List'!$P$4:$P$252,0),0)</f>
        <v>0</v>
      </c>
      <c r="S1693" s="169">
        <f t="shared" si="107"/>
        <v>0</v>
      </c>
      <c r="T1693" s="169" t="s">
        <v>48</v>
      </c>
      <c r="V1693" s="169" t="str">
        <f t="shared" si="105"/>
        <v>CARIKITAN 1</v>
      </c>
      <c r="W1693" s="169" t="s">
        <v>236</v>
      </c>
    </row>
    <row r="1694" spans="2:23" x14ac:dyDescent="0.25">
      <c r="B1694" s="169" t="s">
        <v>91</v>
      </c>
      <c r="C1694" s="169" t="s">
        <v>56</v>
      </c>
      <c r="D1694" s="169" t="s">
        <v>195</v>
      </c>
      <c r="E1694" s="169" t="s">
        <v>6154</v>
      </c>
      <c r="F1694" s="245" t="str">
        <f t="shared" si="106"/>
        <v>Dhoz 71</v>
      </c>
      <c r="G1694" s="169" t="s">
        <v>8193</v>
      </c>
      <c r="I1694" s="169" t="str">
        <f t="shared" si="108"/>
        <v>L04_GHVFW_008W_DW_ISL</v>
      </c>
      <c r="J1694" s="169" t="s">
        <v>9117</v>
      </c>
      <c r="K1694" s="169">
        <f>IFERROR(MATCH(J1694,'Final List'!$B$4:$B$252,0),0)</f>
        <v>0</v>
      </c>
      <c r="L1694" s="169">
        <f>IFERROR(MATCH(J1694,'Final List'!$D$4:$D$252,0),0)</f>
        <v>0</v>
      </c>
      <c r="M1694" s="169">
        <f>IFERROR(MATCH(J1694,'Final List'!$F$4:$F$251,0),0)</f>
        <v>0</v>
      </c>
      <c r="N1694" s="169">
        <f>IFERROR(MATCH(J1694,'Final List'!$H$4:$H$252,0),0)</f>
        <v>0</v>
      </c>
      <c r="O1694" s="169">
        <f>IFERROR(MATCH(J1694,'Final List'!$J$4:$J$252,0),0)</f>
        <v>0</v>
      </c>
      <c r="P1694" s="169">
        <f>IFERROR(MATCH(J1694,'Final List'!$L$4:$L$252,0),0)</f>
        <v>0</v>
      </c>
      <c r="Q1694" s="169">
        <f>IFERROR(MATCH(J1694,'Final List'!$N$4:$N$252,0),0)</f>
        <v>0</v>
      </c>
      <c r="R1694" s="169">
        <f>IFERROR(MATCH(J1694,'Final List'!$P$4:$P$252,0),0)</f>
        <v>0</v>
      </c>
      <c r="S1694" s="169">
        <f t="shared" si="107"/>
        <v>0</v>
      </c>
      <c r="V1694" s="169" t="str">
        <f t="shared" si="105"/>
        <v>SHEPHERD AR 1</v>
      </c>
      <c r="W1694" s="169" t="s">
        <v>2708</v>
      </c>
    </row>
    <row r="1695" spans="2:23" x14ac:dyDescent="0.25">
      <c r="B1695" s="169" t="s">
        <v>1166</v>
      </c>
      <c r="C1695" s="169" t="s">
        <v>45</v>
      </c>
      <c r="D1695" s="169" t="s">
        <v>5631</v>
      </c>
      <c r="E1695" s="169" t="s">
        <v>62</v>
      </c>
      <c r="F1695" s="245" t="str">
        <f t="shared" si="106"/>
        <v>RobS 79</v>
      </c>
      <c r="G1695" s="169" t="s">
        <v>2972</v>
      </c>
      <c r="I1695" s="169" t="str">
        <f t="shared" si="108"/>
        <v>L11_DPVE_020E_ROBBING</v>
      </c>
      <c r="J1695" s="169" t="s">
        <v>9118</v>
      </c>
      <c r="K1695" s="169">
        <f>IFERROR(MATCH(J1695,'Final List'!$B$4:$B$252,0),0)</f>
        <v>0</v>
      </c>
      <c r="L1695" s="169">
        <f>IFERROR(MATCH(J1695,'Final List'!$D$4:$D$252,0),0)</f>
        <v>0</v>
      </c>
      <c r="M1695" s="169">
        <f>IFERROR(MATCH(J1695,'Final List'!$F$4:$F$251,0),0)</f>
        <v>0</v>
      </c>
      <c r="N1695" s="169">
        <f>IFERROR(MATCH(J1695,'Final List'!$H$4:$H$252,0),0)</f>
        <v>0</v>
      </c>
      <c r="O1695" s="169">
        <f>IFERROR(MATCH(J1695,'Final List'!$J$4:$J$252,0),0)</f>
        <v>0</v>
      </c>
      <c r="P1695" s="169">
        <f>IFERROR(MATCH(J1695,'Final List'!$L$4:$L$252,0),0)</f>
        <v>0</v>
      </c>
      <c r="Q1695" s="169">
        <f>IFERROR(MATCH(J1695,'Final List'!$N$4:$N$252,0),0)</f>
        <v>0</v>
      </c>
      <c r="R1695" s="169">
        <f>IFERROR(MATCH(J1695,'Final List'!$P$4:$P$252,0),0)</f>
        <v>0</v>
      </c>
      <c r="S1695" s="169">
        <f t="shared" si="107"/>
        <v>0</v>
      </c>
      <c r="T1695" s="169" t="s">
        <v>68</v>
      </c>
      <c r="V1695" s="169" t="str">
        <f t="shared" si="105"/>
        <v>FABROA 1</v>
      </c>
      <c r="W1695" s="169" t="s">
        <v>2707</v>
      </c>
    </row>
    <row r="1696" spans="2:23" x14ac:dyDescent="0.25">
      <c r="B1696" s="169" t="s">
        <v>95</v>
      </c>
      <c r="C1696" s="169" t="s">
        <v>87</v>
      </c>
      <c r="D1696" s="169" t="s">
        <v>119</v>
      </c>
      <c r="E1696" s="169" t="s">
        <v>37</v>
      </c>
      <c r="F1696" s="245" t="str">
        <f t="shared" si="106"/>
        <v>Dhoz 71</v>
      </c>
      <c r="G1696" s="169" t="s">
        <v>6936</v>
      </c>
      <c r="I1696" s="169" t="str">
        <f t="shared" si="108"/>
        <v>L08_NONE_012E_XCN</v>
      </c>
      <c r="J1696" s="169" t="s">
        <v>9128</v>
      </c>
      <c r="K1696" s="169">
        <f>IFERROR(MATCH(J1696,'Final List'!$B$4:$B$252,0),0)</f>
        <v>0</v>
      </c>
      <c r="L1696" s="169">
        <f>IFERROR(MATCH(J1696,'Final List'!$D$4:$D$252,0),0)</f>
        <v>0</v>
      </c>
      <c r="M1696" s="169">
        <f>IFERROR(MATCH(J1696,'Final List'!$F$4:$F$251,0),0)</f>
        <v>0</v>
      </c>
      <c r="N1696" s="169">
        <f>IFERROR(MATCH(J1696,'Final List'!$H$4:$H$252,0),0)</f>
        <v>0</v>
      </c>
      <c r="O1696" s="169">
        <f>IFERROR(MATCH(J1696,'Final List'!$J$4:$J$252,0),0)</f>
        <v>0</v>
      </c>
      <c r="P1696" s="169">
        <f>IFERROR(MATCH(J1696,'Final List'!$L$4:$L$252,0),0)</f>
        <v>0</v>
      </c>
      <c r="Q1696" s="169">
        <f>IFERROR(MATCH(J1696,'Final List'!$N$4:$N$252,0),0)</f>
        <v>0</v>
      </c>
      <c r="R1696" s="169">
        <f>IFERROR(MATCH(J1696,'Final List'!$P$4:$P$252,0),0)</f>
        <v>0</v>
      </c>
      <c r="S1696" s="169">
        <f t="shared" si="107"/>
        <v>0</v>
      </c>
      <c r="V1696" s="169" t="str">
        <f t="shared" si="105"/>
        <v>OSWAY 1</v>
      </c>
      <c r="W1696" s="169" t="s">
        <v>8897</v>
      </c>
    </row>
    <row r="1697" spans="2:23" x14ac:dyDescent="0.25">
      <c r="B1697" s="169" t="s">
        <v>96</v>
      </c>
      <c r="C1697" s="169" t="s">
        <v>55</v>
      </c>
      <c r="D1697" s="169" t="s">
        <v>145</v>
      </c>
      <c r="E1697" s="169" t="s">
        <v>19</v>
      </c>
      <c r="F1697" s="245" t="str">
        <f t="shared" si="106"/>
        <v>DVR 72</v>
      </c>
      <c r="G1697" s="169" t="s">
        <v>348</v>
      </c>
      <c r="I1697" s="169" t="str">
        <f t="shared" si="108"/>
        <v>L09_JVFW_009E_RAISE</v>
      </c>
      <c r="J1697" s="169" t="s">
        <v>9148</v>
      </c>
      <c r="K1697" s="169">
        <f>IFERROR(MATCH(J1697,'Final List'!$B$4:$B$252,0),0)</f>
        <v>0</v>
      </c>
      <c r="L1697" s="169">
        <f>IFERROR(MATCH(J1697,'Final List'!$D$4:$D$252,0),0)</f>
        <v>0</v>
      </c>
      <c r="M1697" s="169">
        <f>IFERROR(MATCH(J1697,'Final List'!$F$4:$F$251,0),0)</f>
        <v>0</v>
      </c>
      <c r="N1697" s="169">
        <f>IFERROR(MATCH(J1697,'Final List'!$H$4:$H$252,0),0)</f>
        <v>0</v>
      </c>
      <c r="O1697" s="169">
        <f>IFERROR(MATCH(J1697,'Final List'!$J$4:$J$252,0),0)</f>
        <v>0</v>
      </c>
      <c r="P1697" s="169">
        <f>IFERROR(MATCH(J1697,'Final List'!$L$4:$L$252,0),0)</f>
        <v>0</v>
      </c>
      <c r="Q1697" s="169">
        <f>IFERROR(MATCH(J1697,'Final List'!$N$4:$N$252,0),0)</f>
        <v>0</v>
      </c>
      <c r="R1697" s="169">
        <f>IFERROR(MATCH(J1697,'Final List'!$P$4:$P$252,0),0)</f>
        <v>0</v>
      </c>
      <c r="S1697" s="169">
        <f t="shared" si="107"/>
        <v>0</v>
      </c>
      <c r="V1697" s="169" t="str">
        <f t="shared" si="105"/>
        <v>QUIJANO 3</v>
      </c>
      <c r="W1697" s="169" t="s">
        <v>2715</v>
      </c>
    </row>
    <row r="1698" spans="2:23" x14ac:dyDescent="0.25">
      <c r="B1698" s="169" t="s">
        <v>93</v>
      </c>
      <c r="C1698" s="169" t="s">
        <v>42</v>
      </c>
      <c r="D1698" s="169" t="s">
        <v>149</v>
      </c>
      <c r="E1698" s="169" t="s">
        <v>62</v>
      </c>
      <c r="F1698" s="245" t="str">
        <f t="shared" si="106"/>
        <v>RobS 79</v>
      </c>
      <c r="G1698" s="169" t="s">
        <v>378</v>
      </c>
      <c r="I1698" s="169" t="str">
        <f t="shared" si="108"/>
        <v>L06_JV_021E_ROBBING</v>
      </c>
      <c r="J1698" s="169" t="s">
        <v>9129</v>
      </c>
      <c r="K1698" s="169">
        <f>IFERROR(MATCH(J1698,'Final List'!$B$4:$B$252,0),0)</f>
        <v>0</v>
      </c>
      <c r="L1698" s="169">
        <f>IFERROR(MATCH(J1698,'Final List'!$D$4:$D$252,0),0)</f>
        <v>0</v>
      </c>
      <c r="M1698" s="169">
        <f>IFERROR(MATCH(J1698,'Final List'!$F$4:$F$251,0),0)</f>
        <v>0</v>
      </c>
      <c r="N1698" s="169">
        <f>IFERROR(MATCH(J1698,'Final List'!$H$4:$H$252,0),0)</f>
        <v>0</v>
      </c>
      <c r="O1698" s="169">
        <f>IFERROR(MATCH(J1698,'Final List'!$J$4:$J$252,0),0)</f>
        <v>0</v>
      </c>
      <c r="P1698" s="169">
        <f>IFERROR(MATCH(J1698,'Final List'!$L$4:$L$252,0),0)</f>
        <v>0</v>
      </c>
      <c r="Q1698" s="169">
        <f>IFERROR(MATCH(J1698,'Final List'!$N$4:$N$252,0),0)</f>
        <v>0</v>
      </c>
      <c r="R1698" s="169">
        <f>IFERROR(MATCH(J1698,'Final List'!$P$4:$P$252,0),0)</f>
        <v>0</v>
      </c>
      <c r="S1698" s="169">
        <f t="shared" si="107"/>
        <v>0</v>
      </c>
      <c r="T1698" s="169" t="s">
        <v>68</v>
      </c>
      <c r="V1698" s="169" t="str">
        <f t="shared" si="105"/>
        <v>GUNAY 1</v>
      </c>
      <c r="W1698" s="169" t="s">
        <v>236</v>
      </c>
    </row>
    <row r="1699" spans="2:23" x14ac:dyDescent="0.25">
      <c r="B1699" s="169" t="s">
        <v>95</v>
      </c>
      <c r="C1699" s="169" t="s">
        <v>56</v>
      </c>
      <c r="D1699" s="169" t="s">
        <v>103</v>
      </c>
      <c r="E1699" s="169" t="s">
        <v>221</v>
      </c>
      <c r="F1699" s="245" t="str">
        <f t="shared" si="106"/>
        <v>RobC 80</v>
      </c>
      <c r="G1699" s="169" t="s">
        <v>676</v>
      </c>
      <c r="I1699" s="169" t="str">
        <f t="shared" si="108"/>
        <v>L08_GHVFW_005E_WINZE STOPE</v>
      </c>
      <c r="J1699" s="169" t="s">
        <v>9136</v>
      </c>
      <c r="K1699" s="169">
        <f>IFERROR(MATCH(J1699,'Final List'!$B$4:$B$252,0),0)</f>
        <v>0</v>
      </c>
      <c r="L1699" s="169">
        <f>IFERROR(MATCH(J1699,'Final List'!$D$4:$D$252,0),0)</f>
        <v>0</v>
      </c>
      <c r="M1699" s="169">
        <f>IFERROR(MATCH(J1699,'Final List'!$F$4:$F$251,0),0)</f>
        <v>0</v>
      </c>
      <c r="N1699" s="169">
        <f>IFERROR(MATCH(J1699,'Final List'!$H$4:$H$252,0),0)</f>
        <v>0</v>
      </c>
      <c r="O1699" s="169">
        <f>IFERROR(MATCH(J1699,'Final List'!$J$4:$J$252,0),0)</f>
        <v>0</v>
      </c>
      <c r="P1699" s="169">
        <f>IFERROR(MATCH(J1699,'Final List'!$L$4:$L$252,0),0)</f>
        <v>0</v>
      </c>
      <c r="Q1699" s="169">
        <f>IFERROR(MATCH(J1699,'Final List'!$N$4:$N$252,0),0)</f>
        <v>0</v>
      </c>
      <c r="R1699" s="169">
        <f>IFERROR(MATCH(J1699,'Final List'!$P$4:$P$252,0),0)</f>
        <v>0</v>
      </c>
      <c r="S1699" s="169">
        <f t="shared" si="107"/>
        <v>0</v>
      </c>
      <c r="T1699" s="169" t="s">
        <v>48</v>
      </c>
      <c r="V1699" s="169" t="str">
        <f t="shared" si="105"/>
        <v>OY-YOY 2</v>
      </c>
      <c r="W1699" s="169" t="s">
        <v>2719</v>
      </c>
    </row>
    <row r="1700" spans="2:23" x14ac:dyDescent="0.25">
      <c r="B1700" s="169" t="s">
        <v>95</v>
      </c>
      <c r="C1700" s="169" t="s">
        <v>38</v>
      </c>
      <c r="D1700" s="169" t="s">
        <v>143</v>
      </c>
      <c r="E1700" s="169" t="s">
        <v>221</v>
      </c>
      <c r="F1700" s="245" t="str">
        <f t="shared" si="106"/>
        <v>RobC 80</v>
      </c>
      <c r="G1700" s="169" t="s">
        <v>467</v>
      </c>
      <c r="I1700" s="169" t="str">
        <f t="shared" si="108"/>
        <v>L08_GHV_032E_WINZE STOPE</v>
      </c>
      <c r="J1700" s="169" t="s">
        <v>9379</v>
      </c>
      <c r="K1700" s="169">
        <f>IFERROR(MATCH(J1700,'Final List'!$B$4:$B$252,0),0)</f>
        <v>0</v>
      </c>
      <c r="L1700" s="169">
        <f>IFERROR(MATCH(J1700,'Final List'!$D$4:$D$252,0),0)</f>
        <v>0</v>
      </c>
      <c r="M1700" s="169">
        <f>IFERROR(MATCH(J1700,'Final List'!$F$4:$F$251,0),0)</f>
        <v>0</v>
      </c>
      <c r="N1700" s="169">
        <f>IFERROR(MATCH(J1700,'Final List'!$H$4:$H$252,0),0)</f>
        <v>0</v>
      </c>
      <c r="O1700" s="169">
        <f>IFERROR(MATCH(J1700,'Final List'!$J$4:$J$252,0),0)</f>
        <v>0</v>
      </c>
      <c r="P1700" s="169">
        <f>IFERROR(MATCH(J1700,'Final List'!$L$4:$L$252,0),0)</f>
        <v>0</v>
      </c>
      <c r="Q1700" s="169">
        <f>IFERROR(MATCH(J1700,'Final List'!$N$4:$N$252,0),0)</f>
        <v>0</v>
      </c>
      <c r="R1700" s="169">
        <f>IFERROR(MATCH(J1700,'Final List'!$P$4:$P$252,0),0)</f>
        <v>0</v>
      </c>
      <c r="S1700" s="169">
        <f t="shared" si="107"/>
        <v>0</v>
      </c>
      <c r="T1700" s="169" t="s">
        <v>68</v>
      </c>
      <c r="V1700" s="169" t="str">
        <f t="shared" si="105"/>
        <v>AGLOLO 2</v>
      </c>
      <c r="W1700" s="169" t="s">
        <v>2719</v>
      </c>
    </row>
    <row r="1701" spans="2:23" x14ac:dyDescent="0.25">
      <c r="B1701" s="169" t="s">
        <v>94</v>
      </c>
      <c r="C1701" s="169" t="s">
        <v>45</v>
      </c>
      <c r="D1701" s="169" t="s">
        <v>112</v>
      </c>
      <c r="E1701" s="169" t="s">
        <v>20</v>
      </c>
      <c r="F1701" s="245" t="str">
        <f t="shared" si="106"/>
        <v>DVW 74</v>
      </c>
      <c r="G1701" s="169" t="s">
        <v>2970</v>
      </c>
      <c r="I1701" s="169" t="str">
        <f t="shared" si="108"/>
        <v>L07_DPVE_018E_WINZE</v>
      </c>
      <c r="J1701" s="169" t="s">
        <v>9141</v>
      </c>
      <c r="K1701" s="169">
        <f>IFERROR(MATCH(J1701,'Final List'!$B$4:$B$252,0),0)</f>
        <v>0</v>
      </c>
      <c r="L1701" s="169">
        <f>IFERROR(MATCH(J1701,'Final List'!$D$4:$D$252,0),0)</f>
        <v>0</v>
      </c>
      <c r="M1701" s="169">
        <f>IFERROR(MATCH(J1701,'Final List'!$F$4:$F$251,0),0)</f>
        <v>0</v>
      </c>
      <c r="N1701" s="169">
        <f>IFERROR(MATCH(J1701,'Final List'!$H$4:$H$252,0),0)</f>
        <v>0</v>
      </c>
      <c r="O1701" s="169">
        <f>IFERROR(MATCH(J1701,'Final List'!$J$4:$J$252,0),0)</f>
        <v>0</v>
      </c>
      <c r="P1701" s="169">
        <f>IFERROR(MATCH(J1701,'Final List'!$L$4:$L$252,0),0)</f>
        <v>0</v>
      </c>
      <c r="Q1701" s="169">
        <f>IFERROR(MATCH(J1701,'Final List'!$N$4:$N$252,0),0)</f>
        <v>0</v>
      </c>
      <c r="R1701" s="169">
        <f>IFERROR(MATCH(J1701,'Final List'!$P$4:$P$252,0),0)</f>
        <v>0</v>
      </c>
      <c r="S1701" s="169">
        <f t="shared" si="107"/>
        <v>0</v>
      </c>
      <c r="V1701" s="169" t="str">
        <f t="shared" si="105"/>
        <v>FABROA 2</v>
      </c>
      <c r="W1701" s="169" t="s">
        <v>2706</v>
      </c>
    </row>
    <row r="1702" spans="2:23" x14ac:dyDescent="0.25">
      <c r="B1702" s="169" t="s">
        <v>96</v>
      </c>
      <c r="C1702" s="169" t="s">
        <v>45</v>
      </c>
      <c r="D1702" s="169" t="s">
        <v>133</v>
      </c>
      <c r="E1702" s="169" t="s">
        <v>20</v>
      </c>
      <c r="F1702" s="245" t="str">
        <f t="shared" si="106"/>
        <v>DVW 74</v>
      </c>
      <c r="G1702" s="169" t="s">
        <v>14445</v>
      </c>
      <c r="H1702" s="169" t="s">
        <v>14450</v>
      </c>
      <c r="I1702" s="169" t="str">
        <f t="shared" si="108"/>
        <v>L09_DPVE_037E_WINZE</v>
      </c>
      <c r="J1702" s="169" t="s">
        <v>9143</v>
      </c>
      <c r="K1702" s="169">
        <f>IFERROR(MATCH(J1702,'Final List'!$B$4:$B$252,0),0)</f>
        <v>0</v>
      </c>
      <c r="L1702" s="169">
        <f>IFERROR(MATCH(J1702,'Final List'!$D$4:$D$252,0),0)</f>
        <v>0</v>
      </c>
      <c r="M1702" s="169">
        <f>IFERROR(MATCH(J1702,'Final List'!$F$4:$F$251,0),0)</f>
        <v>0</v>
      </c>
      <c r="N1702" s="169">
        <f>IFERROR(MATCH(J1702,'Final List'!$H$4:$H$252,0),0)</f>
        <v>0</v>
      </c>
      <c r="O1702" s="169">
        <f>IFERROR(MATCH(J1702,'Final List'!$J$4:$J$252,0),0)</f>
        <v>0</v>
      </c>
      <c r="P1702" s="169">
        <f>IFERROR(MATCH(J1702,'Final List'!$L$4:$L$252,0),0)</f>
        <v>0</v>
      </c>
      <c r="Q1702" s="169">
        <f>IFERROR(MATCH(J1702,'Final List'!$N$4:$N$252,0),0)</f>
        <v>0</v>
      </c>
      <c r="R1702" s="169">
        <f>IFERROR(MATCH(J1702,'Final List'!$P$4:$P$252,0),0)</f>
        <v>0</v>
      </c>
      <c r="S1702" s="169">
        <f t="shared" si="107"/>
        <v>0</v>
      </c>
      <c r="V1702" s="169" t="str">
        <f t="shared" si="105"/>
        <v>NITRO CJ</v>
      </c>
      <c r="W1702" s="169" t="s">
        <v>2717</v>
      </c>
    </row>
    <row r="1703" spans="2:23" x14ac:dyDescent="0.25">
      <c r="B1703" s="169" t="s">
        <v>96</v>
      </c>
      <c r="C1703" s="169" t="s">
        <v>59</v>
      </c>
      <c r="D1703" s="169" t="s">
        <v>162</v>
      </c>
      <c r="E1703" s="169" t="s">
        <v>19</v>
      </c>
      <c r="F1703" s="245" t="str">
        <f t="shared" si="106"/>
        <v>DVR 72</v>
      </c>
      <c r="G1703" s="169" t="s">
        <v>377</v>
      </c>
      <c r="I1703" s="169" t="str">
        <f t="shared" si="108"/>
        <v>L09_GHVHW_008E_RAISE</v>
      </c>
      <c r="J1703" s="169" t="s">
        <v>9145</v>
      </c>
      <c r="K1703" s="169">
        <f>IFERROR(MATCH(J1703,'Final List'!$B$4:$B$252,0),0)</f>
        <v>0</v>
      </c>
      <c r="L1703" s="169">
        <f>IFERROR(MATCH(J1703,'Final List'!$D$4:$D$252,0),0)</f>
        <v>0</v>
      </c>
      <c r="M1703" s="169">
        <f>IFERROR(MATCH(J1703,'Final List'!$F$4:$F$251,0),0)</f>
        <v>0</v>
      </c>
      <c r="N1703" s="169">
        <f>IFERROR(MATCH(J1703,'Final List'!$H$4:$H$252,0),0)</f>
        <v>0</v>
      </c>
      <c r="O1703" s="169">
        <f>IFERROR(MATCH(J1703,'Final List'!$J$4:$J$252,0),0)</f>
        <v>0</v>
      </c>
      <c r="P1703" s="169">
        <f>IFERROR(MATCH(J1703,'Final List'!$L$4:$L$252,0),0)</f>
        <v>0</v>
      </c>
      <c r="Q1703" s="169">
        <f>IFERROR(MATCH(J1703,'Final List'!$N$4:$N$252,0),0)</f>
        <v>0</v>
      </c>
      <c r="R1703" s="169">
        <f>IFERROR(MATCH(J1703,'Final List'!$P$4:$P$252,0),0)</f>
        <v>0</v>
      </c>
      <c r="S1703" s="169">
        <f t="shared" si="107"/>
        <v>0</v>
      </c>
      <c r="V1703" s="169" t="str">
        <f t="shared" si="105"/>
        <v>DELOS REYES 1</v>
      </c>
      <c r="W1703" s="169" t="s">
        <v>2715</v>
      </c>
    </row>
    <row r="1704" spans="2:23" x14ac:dyDescent="0.25">
      <c r="B1704" s="169" t="s">
        <v>258</v>
      </c>
      <c r="C1704" s="169" t="s">
        <v>56</v>
      </c>
      <c r="D1704" s="169" t="s">
        <v>6983</v>
      </c>
      <c r="E1704" s="169" t="s">
        <v>19</v>
      </c>
      <c r="F1704" s="245" t="str">
        <f t="shared" si="106"/>
        <v>DVR 72</v>
      </c>
      <c r="G1704" s="169" t="s">
        <v>369</v>
      </c>
      <c r="I1704" s="169" t="str">
        <f t="shared" si="108"/>
        <v>L10_GHVFW_001E_RAISE</v>
      </c>
      <c r="J1704" s="169" t="s">
        <v>9151</v>
      </c>
      <c r="K1704" s="169">
        <f>IFERROR(MATCH(J1704,'Final List'!$B$4:$B$252,0),0)</f>
        <v>0</v>
      </c>
      <c r="L1704" s="169">
        <f>IFERROR(MATCH(J1704,'Final List'!$D$4:$D$252,0),0)</f>
        <v>0</v>
      </c>
      <c r="M1704" s="169">
        <f>IFERROR(MATCH(J1704,'Final List'!$F$4:$F$251,0),0)</f>
        <v>0</v>
      </c>
      <c r="N1704" s="169">
        <f>IFERROR(MATCH(J1704,'Final List'!$H$4:$H$252,0),0)</f>
        <v>0</v>
      </c>
      <c r="O1704" s="169">
        <f>IFERROR(MATCH(J1704,'Final List'!$J$4:$J$252,0),0)</f>
        <v>0</v>
      </c>
      <c r="P1704" s="169">
        <f>IFERROR(MATCH(J1704,'Final List'!$L$4:$L$252,0),0)</f>
        <v>0</v>
      </c>
      <c r="Q1704" s="169">
        <f>IFERROR(MATCH(J1704,'Final List'!$N$4:$N$252,0),0)</f>
        <v>0</v>
      </c>
      <c r="R1704" s="169">
        <f>IFERROR(MATCH(J1704,'Final List'!$P$4:$P$252,0),0)</f>
        <v>0</v>
      </c>
      <c r="S1704" s="169">
        <f t="shared" si="107"/>
        <v>0</v>
      </c>
      <c r="V1704" s="169" t="str">
        <f t="shared" si="105"/>
        <v>TAÑEZA 1</v>
      </c>
      <c r="W1704" s="169" t="s">
        <v>2715</v>
      </c>
    </row>
    <row r="1705" spans="2:23" x14ac:dyDescent="0.25">
      <c r="B1705" s="169" t="s">
        <v>93</v>
      </c>
      <c r="C1705" s="169" t="s">
        <v>41</v>
      </c>
      <c r="D1705" s="169" t="s">
        <v>5689</v>
      </c>
      <c r="E1705" s="169" t="s">
        <v>62</v>
      </c>
      <c r="F1705" s="245" t="str">
        <f t="shared" si="106"/>
        <v>RobS 79</v>
      </c>
      <c r="G1705" s="169" t="s">
        <v>936</v>
      </c>
      <c r="I1705" s="169" t="str">
        <f t="shared" si="108"/>
        <v>L06_CTV_003E_ROBBING</v>
      </c>
      <c r="J1705" s="169" t="s">
        <v>9152</v>
      </c>
      <c r="K1705" s="169">
        <f>IFERROR(MATCH(J1705,'Final List'!$B$4:$B$252,0),0)</f>
        <v>0</v>
      </c>
      <c r="L1705" s="169">
        <f>IFERROR(MATCH(J1705,'Final List'!$D$4:$D$252,0),0)</f>
        <v>0</v>
      </c>
      <c r="M1705" s="169">
        <f>IFERROR(MATCH(J1705,'Final List'!$F$4:$F$251,0),0)</f>
        <v>0</v>
      </c>
      <c r="N1705" s="169">
        <f>IFERROR(MATCH(J1705,'Final List'!$H$4:$H$252,0),0)</f>
        <v>0</v>
      </c>
      <c r="O1705" s="169">
        <f>IFERROR(MATCH(J1705,'Final List'!$J$4:$J$252,0),0)</f>
        <v>0</v>
      </c>
      <c r="P1705" s="169">
        <f>IFERROR(MATCH(J1705,'Final List'!$L$4:$L$252,0),0)</f>
        <v>0</v>
      </c>
      <c r="Q1705" s="169">
        <f>IFERROR(MATCH(J1705,'Final List'!$N$4:$N$252,0),0)</f>
        <v>0</v>
      </c>
      <c r="R1705" s="169">
        <f>IFERROR(MATCH(J1705,'Final List'!$P$4:$P$252,0),0)</f>
        <v>0</v>
      </c>
      <c r="S1705" s="169">
        <f t="shared" si="107"/>
        <v>0</v>
      </c>
      <c r="T1705" s="169" t="s">
        <v>68</v>
      </c>
      <c r="V1705" s="169" t="str">
        <f t="shared" si="105"/>
        <v>GUNAY 2</v>
      </c>
      <c r="W1705" s="169" t="s">
        <v>2707</v>
      </c>
    </row>
    <row r="1706" spans="2:23" x14ac:dyDescent="0.25">
      <c r="B1706" s="169" t="s">
        <v>258</v>
      </c>
      <c r="C1706" s="169" t="s">
        <v>45</v>
      </c>
      <c r="D1706" s="169" t="s">
        <v>9156</v>
      </c>
      <c r="E1706" s="169" t="s">
        <v>60</v>
      </c>
      <c r="F1706" s="245" t="str">
        <f t="shared" si="106"/>
        <v>Dhoz 71</v>
      </c>
      <c r="G1706" s="169" t="s">
        <v>452</v>
      </c>
      <c r="I1706" s="169" t="str">
        <f t="shared" si="108"/>
        <v>L10_DPVE_092E_DE</v>
      </c>
      <c r="J1706" s="169" t="s">
        <v>9155</v>
      </c>
      <c r="K1706" s="169">
        <f>IFERROR(MATCH(J1706,'Final List'!$B$4:$B$252,0),0)</f>
        <v>0</v>
      </c>
      <c r="L1706" s="169">
        <f>IFERROR(MATCH(J1706,'Final List'!$D$4:$D$252,0),0)</f>
        <v>0</v>
      </c>
      <c r="M1706" s="169">
        <f>IFERROR(MATCH(J1706,'Final List'!$F$4:$F$251,0),0)</f>
        <v>0</v>
      </c>
      <c r="N1706" s="169">
        <f>IFERROR(MATCH(J1706,'Final List'!$H$4:$H$252,0),0)</f>
        <v>0</v>
      </c>
      <c r="O1706" s="169">
        <f>IFERROR(MATCH(J1706,'Final List'!$J$4:$J$252,0),0)</f>
        <v>0</v>
      </c>
      <c r="P1706" s="169">
        <f>IFERROR(MATCH(J1706,'Final List'!$L$4:$L$252,0),0)</f>
        <v>0</v>
      </c>
      <c r="Q1706" s="169">
        <f>IFERROR(MATCH(J1706,'Final List'!$N$4:$N$252,0),0)</f>
        <v>0</v>
      </c>
      <c r="R1706" s="169">
        <f>IFERROR(MATCH(J1706,'Final List'!$P$4:$P$252,0),0)</f>
        <v>0</v>
      </c>
      <c r="S1706" s="169">
        <f t="shared" si="107"/>
        <v>0</v>
      </c>
      <c r="V1706" s="169" t="str">
        <f t="shared" si="105"/>
        <v>BAÑEZ 6</v>
      </c>
      <c r="W1706" s="169" t="s">
        <v>8896</v>
      </c>
    </row>
    <row r="1707" spans="2:23" x14ac:dyDescent="0.25">
      <c r="B1707" s="169" t="s">
        <v>95</v>
      </c>
      <c r="C1707" s="169" t="s">
        <v>45</v>
      </c>
      <c r="D1707" s="169" t="s">
        <v>5975</v>
      </c>
      <c r="E1707" s="169" t="s">
        <v>19</v>
      </c>
      <c r="F1707" s="245" t="str">
        <f t="shared" si="106"/>
        <v>DVR 72</v>
      </c>
      <c r="G1707" s="169" t="s">
        <v>14137</v>
      </c>
      <c r="I1707" s="169" t="str">
        <f t="shared" si="108"/>
        <v>L08_DPVE_028E_RAISE</v>
      </c>
      <c r="J1707" s="169" t="s">
        <v>9158</v>
      </c>
      <c r="K1707" s="169">
        <f>IFERROR(MATCH(J1707,'Final List'!$B$4:$B$252,0),0)</f>
        <v>0</v>
      </c>
      <c r="L1707" s="169">
        <f>IFERROR(MATCH(J1707,'Final List'!$D$4:$D$252,0),0)</f>
        <v>0</v>
      </c>
      <c r="M1707" s="169">
        <f>IFERROR(MATCH(J1707,'Final List'!$F$4:$F$251,0),0)</f>
        <v>0</v>
      </c>
      <c r="N1707" s="169">
        <f>IFERROR(MATCH(J1707,'Final List'!$H$4:$H$252,0),0)</f>
        <v>0</v>
      </c>
      <c r="O1707" s="169">
        <f>IFERROR(MATCH(J1707,'Final List'!$J$4:$J$252,0),0)</f>
        <v>0</v>
      </c>
      <c r="P1707" s="169">
        <f>IFERROR(MATCH(J1707,'Final List'!$L$4:$L$252,0),0)</f>
        <v>0</v>
      </c>
      <c r="Q1707" s="169">
        <f>IFERROR(MATCH(J1707,'Final List'!$N$4:$N$252,0),0)</f>
        <v>0</v>
      </c>
      <c r="R1707" s="169">
        <f>IFERROR(MATCH(J1707,'Final List'!$P$4:$P$252,0),0)</f>
        <v>0</v>
      </c>
      <c r="S1707" s="169">
        <f t="shared" si="107"/>
        <v>0</v>
      </c>
      <c r="V1707" s="169" t="str">
        <f t="shared" si="105"/>
        <v>CANTAGO 1</v>
      </c>
      <c r="W1707" s="169" t="s">
        <v>2715</v>
      </c>
    </row>
    <row r="1708" spans="2:23" x14ac:dyDescent="0.25">
      <c r="B1708" s="169" t="s">
        <v>258</v>
      </c>
      <c r="C1708" s="169" t="s">
        <v>59</v>
      </c>
      <c r="D1708" s="169" t="s">
        <v>164</v>
      </c>
      <c r="E1708" s="169" t="s">
        <v>62</v>
      </c>
      <c r="F1708" s="245" t="str">
        <f t="shared" si="106"/>
        <v>RobS 79</v>
      </c>
      <c r="G1708" s="169" t="s">
        <v>317</v>
      </c>
      <c r="I1708" s="169" t="str">
        <f t="shared" si="108"/>
        <v>L10_GHVHW_064E_ROBBING</v>
      </c>
      <c r="J1708" s="169" t="s">
        <v>9160</v>
      </c>
      <c r="K1708" s="169">
        <f>IFERROR(MATCH(J1708,'Final List'!$B$4:$B$252,0),0)</f>
        <v>0</v>
      </c>
      <c r="L1708" s="169">
        <f>IFERROR(MATCH(J1708,'Final List'!$D$4:$D$252,0),0)</f>
        <v>0</v>
      </c>
      <c r="M1708" s="169">
        <f>IFERROR(MATCH(J1708,'Final List'!$F$4:$F$251,0),0)</f>
        <v>0</v>
      </c>
      <c r="N1708" s="169">
        <f>IFERROR(MATCH(J1708,'Final List'!$H$4:$H$252,0),0)</f>
        <v>0</v>
      </c>
      <c r="O1708" s="169">
        <f>IFERROR(MATCH(J1708,'Final List'!$J$4:$J$252,0),0)</f>
        <v>0</v>
      </c>
      <c r="P1708" s="169">
        <f>IFERROR(MATCH(J1708,'Final List'!$L$4:$L$252,0),0)</f>
        <v>0</v>
      </c>
      <c r="Q1708" s="169">
        <f>IFERROR(MATCH(J1708,'Final List'!$N$4:$N$252,0),0)</f>
        <v>0</v>
      </c>
      <c r="R1708" s="169">
        <f>IFERROR(MATCH(J1708,'Final List'!$P$4:$P$252,0),0)</f>
        <v>0</v>
      </c>
      <c r="S1708" s="169">
        <f t="shared" si="107"/>
        <v>0</v>
      </c>
      <c r="T1708" s="169" t="s">
        <v>68</v>
      </c>
      <c r="V1708" s="169" t="str">
        <f t="shared" si="105"/>
        <v>PARAGUYA 2</v>
      </c>
      <c r="W1708" s="169" t="s">
        <v>2707</v>
      </c>
    </row>
    <row r="1709" spans="2:23" x14ac:dyDescent="0.25">
      <c r="B1709" s="169" t="s">
        <v>258</v>
      </c>
      <c r="C1709" s="169" t="s">
        <v>59</v>
      </c>
      <c r="D1709" s="169" t="s">
        <v>169</v>
      </c>
      <c r="E1709" s="169" t="s">
        <v>62</v>
      </c>
      <c r="F1709" s="245" t="str">
        <f t="shared" si="106"/>
        <v>RobS 79</v>
      </c>
      <c r="G1709" s="169" t="s">
        <v>6927</v>
      </c>
      <c r="I1709" s="169" t="str">
        <f t="shared" si="108"/>
        <v>L10_GHVHW_065E_ROBBING</v>
      </c>
      <c r="J1709" s="169" t="s">
        <v>9161</v>
      </c>
      <c r="K1709" s="169">
        <f>IFERROR(MATCH(J1709,'Final List'!$B$4:$B$252,0),0)</f>
        <v>0</v>
      </c>
      <c r="L1709" s="169">
        <f>IFERROR(MATCH(J1709,'Final List'!$D$4:$D$252,0),0)</f>
        <v>0</v>
      </c>
      <c r="M1709" s="169">
        <f>IFERROR(MATCH(J1709,'Final List'!$F$4:$F$251,0),0)</f>
        <v>0</v>
      </c>
      <c r="N1709" s="169">
        <f>IFERROR(MATCH(J1709,'Final List'!$H$4:$H$252,0),0)</f>
        <v>0</v>
      </c>
      <c r="O1709" s="169">
        <f>IFERROR(MATCH(J1709,'Final List'!$J$4:$J$252,0),0)</f>
        <v>0</v>
      </c>
      <c r="P1709" s="169">
        <f>IFERROR(MATCH(J1709,'Final List'!$L$4:$L$252,0),0)</f>
        <v>0</v>
      </c>
      <c r="Q1709" s="169">
        <f>IFERROR(MATCH(J1709,'Final List'!$N$4:$N$252,0),0)</f>
        <v>0</v>
      </c>
      <c r="R1709" s="169">
        <f>IFERROR(MATCH(J1709,'Final List'!$P$4:$P$252,0),0)</f>
        <v>0</v>
      </c>
      <c r="S1709" s="169">
        <f t="shared" si="107"/>
        <v>0</v>
      </c>
      <c r="T1709" s="169" t="s">
        <v>68</v>
      </c>
      <c r="V1709" s="169" t="str">
        <f t="shared" si="105"/>
        <v>DUHIG, R2</v>
      </c>
      <c r="W1709" s="169" t="s">
        <v>2707</v>
      </c>
    </row>
    <row r="1710" spans="2:23" x14ac:dyDescent="0.25">
      <c r="B1710" s="169" t="s">
        <v>96</v>
      </c>
      <c r="C1710" s="169" t="s">
        <v>45</v>
      </c>
      <c r="D1710" s="169" t="s">
        <v>5872</v>
      </c>
      <c r="E1710" s="169" t="s">
        <v>20</v>
      </c>
      <c r="F1710" s="245" t="str">
        <f t="shared" si="106"/>
        <v>DVW 74</v>
      </c>
      <c r="G1710" s="169" t="s">
        <v>2972</v>
      </c>
      <c r="I1710" s="169" t="str">
        <f t="shared" si="108"/>
        <v>L09_DPVE_076E_WINZE</v>
      </c>
      <c r="J1710" s="169" t="s">
        <v>9162</v>
      </c>
      <c r="K1710" s="169">
        <f>IFERROR(MATCH(J1710,'Final List'!$B$4:$B$252,0),0)</f>
        <v>0</v>
      </c>
      <c r="L1710" s="169">
        <f>IFERROR(MATCH(J1710,'Final List'!$D$4:$D$252,0),0)</f>
        <v>0</v>
      </c>
      <c r="M1710" s="169">
        <f>IFERROR(MATCH(J1710,'Final List'!$F$4:$F$251,0),0)</f>
        <v>0</v>
      </c>
      <c r="N1710" s="169">
        <f>IFERROR(MATCH(J1710,'Final List'!$H$4:$H$252,0),0)</f>
        <v>0</v>
      </c>
      <c r="O1710" s="169">
        <f>IFERROR(MATCH(J1710,'Final List'!$J$4:$J$252,0),0)</f>
        <v>0</v>
      </c>
      <c r="P1710" s="169">
        <f>IFERROR(MATCH(J1710,'Final List'!$L$4:$L$252,0),0)</f>
        <v>0</v>
      </c>
      <c r="Q1710" s="169">
        <f>IFERROR(MATCH(J1710,'Final List'!$N$4:$N$252,0),0)</f>
        <v>0</v>
      </c>
      <c r="R1710" s="169">
        <f>IFERROR(MATCH(J1710,'Final List'!$P$4:$P$252,0),0)</f>
        <v>0</v>
      </c>
      <c r="S1710" s="169">
        <f t="shared" si="107"/>
        <v>0</v>
      </c>
      <c r="V1710" s="169" t="str">
        <f t="shared" si="105"/>
        <v>FABROA 1</v>
      </c>
      <c r="W1710" s="169" t="s">
        <v>2706</v>
      </c>
    </row>
    <row r="1711" spans="2:23" x14ac:dyDescent="0.25">
      <c r="B1711" s="169" t="s">
        <v>1166</v>
      </c>
      <c r="C1711" s="169" t="s">
        <v>42</v>
      </c>
      <c r="D1711" s="169" t="s">
        <v>284</v>
      </c>
      <c r="E1711" s="169" t="s">
        <v>60</v>
      </c>
      <c r="F1711" s="245" t="str">
        <f t="shared" si="106"/>
        <v>Dhoz 71</v>
      </c>
      <c r="G1711" s="169" t="s">
        <v>353</v>
      </c>
      <c r="I1711" s="169" t="str">
        <f t="shared" si="108"/>
        <v>L11_JV_061E_DE</v>
      </c>
      <c r="J1711" s="169" t="s">
        <v>9163</v>
      </c>
      <c r="K1711" s="169">
        <f>IFERROR(MATCH(J1711,'Final List'!$B$4:$B$252,0),0)</f>
        <v>0</v>
      </c>
      <c r="L1711" s="169">
        <f>IFERROR(MATCH(J1711,'Final List'!$D$4:$D$252,0),0)</f>
        <v>0</v>
      </c>
      <c r="M1711" s="169">
        <f>IFERROR(MATCH(J1711,'Final List'!$F$4:$F$251,0),0)</f>
        <v>0</v>
      </c>
      <c r="N1711" s="169">
        <f>IFERROR(MATCH(J1711,'Final List'!$H$4:$H$252,0),0)</f>
        <v>0</v>
      </c>
      <c r="O1711" s="169">
        <f>IFERROR(MATCH(J1711,'Final List'!$J$4:$J$252,0),0)</f>
        <v>0</v>
      </c>
      <c r="P1711" s="169">
        <f>IFERROR(MATCH(J1711,'Final List'!$L$4:$L$252,0),0)</f>
        <v>0</v>
      </c>
      <c r="Q1711" s="169">
        <f>IFERROR(MATCH(J1711,'Final List'!$N$4:$N$252,0),0)</f>
        <v>0</v>
      </c>
      <c r="R1711" s="169">
        <f>IFERROR(MATCH(J1711,'Final List'!$P$4:$P$252,0),0)</f>
        <v>0</v>
      </c>
      <c r="S1711" s="169">
        <f t="shared" si="107"/>
        <v>0</v>
      </c>
      <c r="V1711" s="169" t="str">
        <f t="shared" si="105"/>
        <v>BAÑEZ 4</v>
      </c>
      <c r="W1711" s="169" t="s">
        <v>8896</v>
      </c>
    </row>
    <row r="1712" spans="2:23" x14ac:dyDescent="0.25">
      <c r="B1712" s="169" t="s">
        <v>1167</v>
      </c>
      <c r="C1712" s="169" t="s">
        <v>87</v>
      </c>
      <c r="D1712" s="169" t="s">
        <v>160</v>
      </c>
      <c r="E1712" s="169" t="s">
        <v>20</v>
      </c>
      <c r="F1712" s="245" t="str">
        <f t="shared" si="106"/>
        <v>DVW 74</v>
      </c>
      <c r="G1712" s="169" t="s">
        <v>655</v>
      </c>
      <c r="I1712" s="169" t="str">
        <f t="shared" si="108"/>
        <v>L12_NONE_042E_WINZE</v>
      </c>
      <c r="J1712" s="169" t="s">
        <v>9165</v>
      </c>
      <c r="K1712" s="169">
        <f>IFERROR(MATCH(J1712,'Final List'!$B$4:$B$252,0),0)</f>
        <v>0</v>
      </c>
      <c r="L1712" s="169">
        <f>IFERROR(MATCH(J1712,'Final List'!$D$4:$D$252,0),0)</f>
        <v>0</v>
      </c>
      <c r="M1712" s="169">
        <f>IFERROR(MATCH(J1712,'Final List'!$F$4:$F$251,0),0)</f>
        <v>0</v>
      </c>
      <c r="N1712" s="169">
        <f>IFERROR(MATCH(J1712,'Final List'!$H$4:$H$252,0),0)</f>
        <v>0</v>
      </c>
      <c r="O1712" s="169">
        <f>IFERROR(MATCH(J1712,'Final List'!$J$4:$J$252,0),0)</f>
        <v>0</v>
      </c>
      <c r="P1712" s="169">
        <f>IFERROR(MATCH(J1712,'Final List'!$L$4:$L$252,0),0)</f>
        <v>0</v>
      </c>
      <c r="Q1712" s="169">
        <f>IFERROR(MATCH(J1712,'Final List'!$N$4:$N$252,0),0)</f>
        <v>0</v>
      </c>
      <c r="R1712" s="169">
        <f>IFERROR(MATCH(J1712,'Final List'!$P$4:$P$252,0),0)</f>
        <v>0</v>
      </c>
      <c r="S1712" s="169">
        <f t="shared" si="107"/>
        <v>0</v>
      </c>
      <c r="V1712" s="169" t="str">
        <f t="shared" si="105"/>
        <v>MAPAYO 3</v>
      </c>
      <c r="W1712" s="214" t="s">
        <v>9593</v>
      </c>
    </row>
    <row r="1713" spans="2:23" x14ac:dyDescent="0.25">
      <c r="B1713" s="169" t="s">
        <v>92</v>
      </c>
      <c r="C1713" s="169" t="s">
        <v>42</v>
      </c>
      <c r="D1713" s="169" t="s">
        <v>140</v>
      </c>
      <c r="E1713" s="169" t="s">
        <v>62</v>
      </c>
      <c r="F1713" s="245" t="str">
        <f t="shared" si="106"/>
        <v>RobS 79</v>
      </c>
      <c r="G1713" s="169" t="s">
        <v>5706</v>
      </c>
      <c r="H1713" s="169" t="s">
        <v>5698</v>
      </c>
      <c r="I1713" s="169" t="str">
        <f t="shared" si="108"/>
        <v>L05_JV_005W_ROBBING</v>
      </c>
      <c r="J1713" s="169" t="s">
        <v>9216</v>
      </c>
      <c r="K1713" s="169">
        <f>IFERROR(MATCH(J1713,'Final List'!$B$4:$B$252,0),0)</f>
        <v>0</v>
      </c>
      <c r="L1713" s="169">
        <f>IFERROR(MATCH(J1713,'Final List'!$D$4:$D$252,0),0)</f>
        <v>0</v>
      </c>
      <c r="M1713" s="169">
        <f>IFERROR(MATCH(J1713,'Final List'!$F$4:$F$251,0),0)</f>
        <v>0</v>
      </c>
      <c r="N1713" s="169">
        <f>IFERROR(MATCH(J1713,'Final List'!$H$4:$H$252,0),0)</f>
        <v>0</v>
      </c>
      <c r="O1713" s="169">
        <f>IFERROR(MATCH(J1713,'Final List'!$J$4:$J$252,0),0)</f>
        <v>0</v>
      </c>
      <c r="P1713" s="169">
        <f>IFERROR(MATCH(J1713,'Final List'!$L$4:$L$252,0),0)</f>
        <v>0</v>
      </c>
      <c r="Q1713" s="169">
        <f>IFERROR(MATCH(J1713,'Final List'!$N$4:$N$252,0),0)</f>
        <v>0</v>
      </c>
      <c r="R1713" s="169">
        <f>IFERROR(MATCH(J1713,'Final List'!$P$4:$P$252,0),0)</f>
        <v>0</v>
      </c>
      <c r="S1713" s="169">
        <f t="shared" si="107"/>
        <v>0</v>
      </c>
      <c r="T1713" s="169" t="s">
        <v>68</v>
      </c>
      <c r="V1713" s="169" t="str">
        <f t="shared" si="105"/>
        <v>PARAN 1</v>
      </c>
      <c r="W1713" s="169" t="s">
        <v>2707</v>
      </c>
    </row>
    <row r="1714" spans="2:23" x14ac:dyDescent="0.25">
      <c r="B1714" s="169" t="s">
        <v>92</v>
      </c>
      <c r="C1714" s="169" t="s">
        <v>45</v>
      </c>
      <c r="D1714" s="169" t="s">
        <v>5723</v>
      </c>
      <c r="E1714" s="169" t="s">
        <v>61</v>
      </c>
      <c r="F1714" s="245" t="str">
        <f t="shared" si="106"/>
        <v>Dhoz 71</v>
      </c>
      <c r="G1714" s="169" t="s">
        <v>538</v>
      </c>
      <c r="I1714" s="169" t="str">
        <f t="shared" si="108"/>
        <v>L05_DPVE_046E_DW</v>
      </c>
      <c r="J1714" s="169" t="s">
        <v>9166</v>
      </c>
      <c r="K1714" s="169">
        <f>IFERROR(MATCH(J1714,'Final List'!$B$4:$B$252,0),0)</f>
        <v>0</v>
      </c>
      <c r="L1714" s="169">
        <f>IFERROR(MATCH(J1714,'Final List'!$D$4:$D$252,0),0)</f>
        <v>0</v>
      </c>
      <c r="M1714" s="169">
        <f>IFERROR(MATCH(J1714,'Final List'!$F$4:$F$251,0),0)</f>
        <v>0</v>
      </c>
      <c r="N1714" s="169">
        <f>IFERROR(MATCH(J1714,'Final List'!$H$4:$H$252,0),0)</f>
        <v>0</v>
      </c>
      <c r="O1714" s="169">
        <f>IFERROR(MATCH(J1714,'Final List'!$J$4:$J$252,0),0)</f>
        <v>0</v>
      </c>
      <c r="P1714" s="169">
        <f>IFERROR(MATCH(J1714,'Final List'!$L$4:$L$252,0),0)</f>
        <v>0</v>
      </c>
      <c r="Q1714" s="169">
        <f>IFERROR(MATCH(J1714,'Final List'!$N$4:$N$252,0),0)</f>
        <v>0</v>
      </c>
      <c r="R1714" s="169">
        <f>IFERROR(MATCH(J1714,'Final List'!$P$4:$P$252,0),0)</f>
        <v>0</v>
      </c>
      <c r="S1714" s="169">
        <f t="shared" si="107"/>
        <v>0</v>
      </c>
      <c r="V1714" s="169" t="str">
        <f t="shared" si="105"/>
        <v>PANCIT, NOEL 4</v>
      </c>
      <c r="W1714" s="169" t="s">
        <v>8895</v>
      </c>
    </row>
    <row r="1715" spans="2:23" x14ac:dyDescent="0.25">
      <c r="B1715" s="169" t="s">
        <v>91</v>
      </c>
      <c r="C1715" s="169" t="s">
        <v>56</v>
      </c>
      <c r="D1715" s="169" t="s">
        <v>129</v>
      </c>
      <c r="E1715" s="169" t="s">
        <v>221</v>
      </c>
      <c r="F1715" s="245" t="str">
        <f t="shared" si="106"/>
        <v>RobC 80</v>
      </c>
      <c r="G1715" s="169" t="s">
        <v>310</v>
      </c>
      <c r="I1715" s="169" t="str">
        <f t="shared" si="108"/>
        <v>L04_GHVFW_010E_WINZE STOPE</v>
      </c>
      <c r="J1715" s="169" t="s">
        <v>9167</v>
      </c>
      <c r="K1715" s="169">
        <f>IFERROR(MATCH(J1715,'Final List'!$B$4:$B$252,0),0)</f>
        <v>0</v>
      </c>
      <c r="L1715" s="169">
        <f>IFERROR(MATCH(J1715,'Final List'!$D$4:$D$252,0),0)</f>
        <v>0</v>
      </c>
      <c r="M1715" s="169">
        <f>IFERROR(MATCH(J1715,'Final List'!$F$4:$F$251,0),0)</f>
        <v>0</v>
      </c>
      <c r="N1715" s="169">
        <f>IFERROR(MATCH(J1715,'Final List'!$H$4:$H$252,0),0)</f>
        <v>0</v>
      </c>
      <c r="O1715" s="169">
        <f>IFERROR(MATCH(J1715,'Final List'!$J$4:$J$252,0),0)</f>
        <v>0</v>
      </c>
      <c r="P1715" s="169">
        <f>IFERROR(MATCH(J1715,'Final List'!$L$4:$L$252,0),0)</f>
        <v>0</v>
      </c>
      <c r="Q1715" s="169">
        <f>IFERROR(MATCH(J1715,'Final List'!$N$4:$N$252,0),0)</f>
        <v>0</v>
      </c>
      <c r="R1715" s="169">
        <f>IFERROR(MATCH(J1715,'Final List'!$P$4:$P$252,0),0)</f>
        <v>0</v>
      </c>
      <c r="S1715" s="169">
        <f t="shared" si="107"/>
        <v>0</v>
      </c>
      <c r="T1715" s="169" t="s">
        <v>68</v>
      </c>
      <c r="V1715" s="169" t="str">
        <f t="shared" si="105"/>
        <v>MARTINEZ DN 1</v>
      </c>
      <c r="W1715" s="169" t="s">
        <v>2719</v>
      </c>
    </row>
    <row r="1716" spans="2:23" x14ac:dyDescent="0.25">
      <c r="B1716" s="169" t="s">
        <v>95</v>
      </c>
      <c r="C1716" s="169" t="s">
        <v>39</v>
      </c>
      <c r="D1716" s="169" t="s">
        <v>1230</v>
      </c>
      <c r="E1716" s="169" t="s">
        <v>221</v>
      </c>
      <c r="F1716" s="245" t="str">
        <f t="shared" si="106"/>
        <v>RobC 80</v>
      </c>
      <c r="G1716" s="169" t="s">
        <v>474</v>
      </c>
      <c r="H1716" s="169" t="s">
        <v>358</v>
      </c>
      <c r="I1716" s="169" t="str">
        <f t="shared" si="108"/>
        <v>L08_JVHW_075E_WINZE STOPE</v>
      </c>
      <c r="J1716" s="169" t="s">
        <v>9168</v>
      </c>
      <c r="K1716" s="169">
        <f>IFERROR(MATCH(J1716,'Final List'!$B$4:$B$252,0),0)</f>
        <v>0</v>
      </c>
      <c r="L1716" s="169">
        <f>IFERROR(MATCH(J1716,'Final List'!$D$4:$D$252,0),0)</f>
        <v>0</v>
      </c>
      <c r="M1716" s="169">
        <f>IFERROR(MATCH(J1716,'Final List'!$F$4:$F$251,0),0)</f>
        <v>0</v>
      </c>
      <c r="N1716" s="169">
        <f>IFERROR(MATCH(J1716,'Final List'!$H$4:$H$252,0),0)</f>
        <v>0</v>
      </c>
      <c r="O1716" s="169">
        <f>IFERROR(MATCH(J1716,'Final List'!$J$4:$J$252,0),0)</f>
        <v>0</v>
      </c>
      <c r="P1716" s="169">
        <f>IFERROR(MATCH(J1716,'Final List'!$L$4:$L$252,0),0)</f>
        <v>0</v>
      </c>
      <c r="Q1716" s="169">
        <f>IFERROR(MATCH(J1716,'Final List'!$N$4:$N$252,0),0)</f>
        <v>0</v>
      </c>
      <c r="R1716" s="169">
        <f>IFERROR(MATCH(J1716,'Final List'!$P$4:$P$252,0),0)</f>
        <v>0</v>
      </c>
      <c r="S1716" s="169">
        <f t="shared" si="107"/>
        <v>0</v>
      </c>
      <c r="T1716" s="169" t="s">
        <v>68</v>
      </c>
      <c r="V1716" s="169" t="str">
        <f t="shared" si="105"/>
        <v>ALEÑAR 1</v>
      </c>
      <c r="W1716" s="169" t="s">
        <v>2719</v>
      </c>
    </row>
    <row r="1717" spans="2:23" x14ac:dyDescent="0.25">
      <c r="B1717" s="169" t="s">
        <v>258</v>
      </c>
      <c r="C1717" s="169" t="s">
        <v>59</v>
      </c>
      <c r="D1717" s="169" t="s">
        <v>5604</v>
      </c>
      <c r="E1717" s="169" t="s">
        <v>19</v>
      </c>
      <c r="F1717" s="245" t="str">
        <f t="shared" si="106"/>
        <v>DVR 72</v>
      </c>
      <c r="G1717" s="169" t="s">
        <v>5702</v>
      </c>
      <c r="I1717" s="169" t="str">
        <f t="shared" si="108"/>
        <v>L10_GHVHW_063E_RAISE</v>
      </c>
      <c r="J1717" s="169" t="s">
        <v>9173</v>
      </c>
      <c r="K1717" s="169">
        <f>IFERROR(MATCH(J1717,'Final List'!$B$4:$B$252,0),0)</f>
        <v>0</v>
      </c>
      <c r="L1717" s="169">
        <f>IFERROR(MATCH(J1717,'Final List'!$D$4:$D$252,0),0)</f>
        <v>0</v>
      </c>
      <c r="M1717" s="169">
        <f>IFERROR(MATCH(J1717,'Final List'!$F$4:$F$251,0),0)</f>
        <v>0</v>
      </c>
      <c r="N1717" s="169">
        <f>IFERROR(MATCH(J1717,'Final List'!$H$4:$H$252,0),0)</f>
        <v>0</v>
      </c>
      <c r="O1717" s="169">
        <f>IFERROR(MATCH(J1717,'Final List'!$J$4:$J$252,0),0)</f>
        <v>0</v>
      </c>
      <c r="P1717" s="169">
        <f>IFERROR(MATCH(J1717,'Final List'!$L$4:$L$252,0),0)</f>
        <v>0</v>
      </c>
      <c r="Q1717" s="169">
        <f>IFERROR(MATCH(J1717,'Final List'!$N$4:$N$252,0),0)</f>
        <v>0</v>
      </c>
      <c r="R1717" s="169">
        <f>IFERROR(MATCH(J1717,'Final List'!$P$4:$P$252,0),0)</f>
        <v>0</v>
      </c>
      <c r="S1717" s="169">
        <f t="shared" si="107"/>
        <v>0</v>
      </c>
      <c r="V1717" s="169" t="str">
        <f t="shared" si="105"/>
        <v>LARGO 3</v>
      </c>
      <c r="W1717" s="169" t="s">
        <v>2715</v>
      </c>
    </row>
    <row r="1718" spans="2:23" x14ac:dyDescent="0.25">
      <c r="B1718" s="169" t="s">
        <v>91</v>
      </c>
      <c r="C1718" s="169" t="s">
        <v>57</v>
      </c>
      <c r="D1718" s="169" t="s">
        <v>128</v>
      </c>
      <c r="E1718" s="169" t="s">
        <v>61</v>
      </c>
      <c r="F1718" s="245" t="str">
        <f t="shared" si="106"/>
        <v>Dhoz 71</v>
      </c>
      <c r="G1718" s="169" t="s">
        <v>5713</v>
      </c>
      <c r="I1718" s="169" t="str">
        <f t="shared" si="108"/>
        <v>L04_JVSPLIT_027E_DW</v>
      </c>
      <c r="J1718" s="169" t="s">
        <v>9200</v>
      </c>
      <c r="K1718" s="169">
        <f>IFERROR(MATCH(J1718,'Final List'!$B$4:$B$252,0),0)</f>
        <v>0</v>
      </c>
      <c r="L1718" s="169">
        <f>IFERROR(MATCH(J1718,'Final List'!$D$4:$D$252,0),0)</f>
        <v>0</v>
      </c>
      <c r="M1718" s="169">
        <f>IFERROR(MATCH(J1718,'Final List'!$F$4:$F$251,0),0)</f>
        <v>0</v>
      </c>
      <c r="N1718" s="169">
        <f>IFERROR(MATCH(J1718,'Final List'!$H$4:$H$252,0),0)</f>
        <v>0</v>
      </c>
      <c r="O1718" s="169">
        <f>IFERROR(MATCH(J1718,'Final List'!$J$4:$J$252,0),0)</f>
        <v>0</v>
      </c>
      <c r="P1718" s="169">
        <f>IFERROR(MATCH(J1718,'Final List'!$L$4:$L$252,0),0)</f>
        <v>0</v>
      </c>
      <c r="Q1718" s="169">
        <f>IFERROR(MATCH(J1718,'Final List'!$N$4:$N$252,0),0)</f>
        <v>0</v>
      </c>
      <c r="R1718" s="169">
        <f>IFERROR(MATCH(J1718,'Final List'!$P$4:$P$252,0),0)</f>
        <v>0</v>
      </c>
      <c r="S1718" s="169">
        <f t="shared" si="107"/>
        <v>0</v>
      </c>
      <c r="V1718" s="169" t="str">
        <f t="shared" si="105"/>
        <v>SHEPHERD AL 1</v>
      </c>
      <c r="W1718" s="169" t="s">
        <v>8895</v>
      </c>
    </row>
    <row r="1719" spans="2:23" x14ac:dyDescent="0.25">
      <c r="B1719" s="169" t="s">
        <v>92</v>
      </c>
      <c r="C1719" s="169" t="s">
        <v>41</v>
      </c>
      <c r="D1719" s="169" t="s">
        <v>141</v>
      </c>
      <c r="E1719" s="169" t="s">
        <v>62</v>
      </c>
      <c r="F1719" s="245" t="str">
        <f t="shared" si="106"/>
        <v>RobC 80</v>
      </c>
      <c r="G1719" s="169" t="s">
        <v>5698</v>
      </c>
      <c r="I1719" s="169" t="str">
        <f t="shared" si="108"/>
        <v>L05_CTV_029E_ROBBING</v>
      </c>
      <c r="J1719" s="169" t="s">
        <v>9182</v>
      </c>
      <c r="K1719" s="169">
        <f>IFERROR(MATCH(J1719,'Final List'!$B$4:$B$252,0),0)</f>
        <v>0</v>
      </c>
      <c r="L1719" s="169">
        <f>IFERROR(MATCH(J1719,'Final List'!$D$4:$D$252,0),0)</f>
        <v>0</v>
      </c>
      <c r="M1719" s="169">
        <f>IFERROR(MATCH(J1719,'Final List'!$F$4:$F$251,0),0)</f>
        <v>0</v>
      </c>
      <c r="N1719" s="169">
        <f>IFERROR(MATCH(J1719,'Final List'!$H$4:$H$252,0),0)</f>
        <v>0</v>
      </c>
      <c r="O1719" s="169">
        <f>IFERROR(MATCH(J1719,'Final List'!$J$4:$J$252,0),0)</f>
        <v>0</v>
      </c>
      <c r="P1719" s="169">
        <f>IFERROR(MATCH(J1719,'Final List'!$L$4:$L$252,0),0)</f>
        <v>0</v>
      </c>
      <c r="Q1719" s="169">
        <f>IFERROR(MATCH(J1719,'Final List'!$N$4:$N$252,0),0)</f>
        <v>0</v>
      </c>
      <c r="R1719" s="169">
        <f>IFERROR(MATCH(J1719,'Final List'!$P$4:$P$252,0),0)</f>
        <v>0</v>
      </c>
      <c r="S1719" s="169">
        <f t="shared" si="107"/>
        <v>0</v>
      </c>
      <c r="T1719" s="169" t="s">
        <v>48</v>
      </c>
      <c r="V1719" s="169" t="str">
        <f t="shared" si="105"/>
        <v>PARAN 1</v>
      </c>
      <c r="W1719" s="169" t="s">
        <v>236</v>
      </c>
    </row>
    <row r="1720" spans="2:23" x14ac:dyDescent="0.25">
      <c r="B1720" s="169" t="s">
        <v>92</v>
      </c>
      <c r="C1720" s="169" t="s">
        <v>45</v>
      </c>
      <c r="D1720" s="169" t="s">
        <v>5781</v>
      </c>
      <c r="E1720" s="169" t="s">
        <v>441</v>
      </c>
      <c r="F1720" s="245" t="str">
        <f t="shared" si="106"/>
        <v>RobC 80</v>
      </c>
      <c r="G1720" s="169" t="s">
        <v>8194</v>
      </c>
      <c r="I1720" s="169" t="str">
        <f t="shared" si="108"/>
        <v>L05_DPVE_051E_WINZE STOPE PREP</v>
      </c>
      <c r="J1720" s="169" t="s">
        <v>9183</v>
      </c>
      <c r="K1720" s="169">
        <f>IFERROR(MATCH(J1720,'Final List'!$B$4:$B$252,0),0)</f>
        <v>0</v>
      </c>
      <c r="L1720" s="169">
        <f>IFERROR(MATCH(J1720,'Final List'!$D$4:$D$252,0),0)</f>
        <v>0</v>
      </c>
      <c r="M1720" s="169">
        <f>IFERROR(MATCH(J1720,'Final List'!$F$4:$F$251,0),0)</f>
        <v>0</v>
      </c>
      <c r="N1720" s="169">
        <f>IFERROR(MATCH(J1720,'Final List'!$H$4:$H$252,0),0)</f>
        <v>0</v>
      </c>
      <c r="O1720" s="169">
        <f>IFERROR(MATCH(J1720,'Final List'!$J$4:$J$252,0),0)</f>
        <v>0</v>
      </c>
      <c r="P1720" s="169">
        <f>IFERROR(MATCH(J1720,'Final List'!$L$4:$L$252,0),0)</f>
        <v>0</v>
      </c>
      <c r="Q1720" s="169">
        <f>IFERROR(MATCH(J1720,'Final List'!$N$4:$N$252,0),0)</f>
        <v>0</v>
      </c>
      <c r="R1720" s="169">
        <f>IFERROR(MATCH(J1720,'Final List'!$P$4:$P$252,0),0)</f>
        <v>0</v>
      </c>
      <c r="S1720" s="169">
        <f t="shared" si="107"/>
        <v>0</v>
      </c>
      <c r="T1720" s="169" t="s">
        <v>68</v>
      </c>
      <c r="V1720" s="169" t="str">
        <f t="shared" si="105"/>
        <v>FERNANDEZ, RG 1</v>
      </c>
      <c r="W1720" s="169" t="s">
        <v>2716</v>
      </c>
    </row>
    <row r="1721" spans="2:23" x14ac:dyDescent="0.25">
      <c r="B1721" s="169" t="s">
        <v>94</v>
      </c>
      <c r="C1721" s="169" t="s">
        <v>41</v>
      </c>
      <c r="D1721" s="169" t="s">
        <v>131</v>
      </c>
      <c r="E1721" s="169" t="s">
        <v>62</v>
      </c>
      <c r="F1721" s="245" t="str">
        <f t="shared" si="106"/>
        <v>RobS 79</v>
      </c>
      <c r="G1721" s="169" t="s">
        <v>5720</v>
      </c>
      <c r="I1721" s="169" t="str">
        <f t="shared" si="108"/>
        <v>L07_CTV_011E_ROBBING</v>
      </c>
      <c r="J1721" s="169" t="s">
        <v>9271</v>
      </c>
      <c r="K1721" s="169">
        <f>IFERROR(MATCH(J1721,'Final List'!$B$4:$B$252,0),0)</f>
        <v>0</v>
      </c>
      <c r="L1721" s="169">
        <f>IFERROR(MATCH(J1721,'Final List'!$D$4:$D$252,0),0)</f>
        <v>0</v>
      </c>
      <c r="M1721" s="169">
        <f>IFERROR(MATCH(J1721,'Final List'!$F$4:$F$251,0),0)</f>
        <v>0</v>
      </c>
      <c r="N1721" s="169">
        <f>IFERROR(MATCH(J1721,'Final List'!$H$4:$H$252,0),0)</f>
        <v>0</v>
      </c>
      <c r="O1721" s="169">
        <f>IFERROR(MATCH(J1721,'Final List'!$J$4:$J$252,0),0)</f>
        <v>0</v>
      </c>
      <c r="P1721" s="169">
        <f>IFERROR(MATCH(J1721,'Final List'!$L$4:$L$252,0),0)</f>
        <v>0</v>
      </c>
      <c r="Q1721" s="169">
        <f>IFERROR(MATCH(J1721,'Final List'!$N$4:$N$252,0),0)</f>
        <v>0</v>
      </c>
      <c r="R1721" s="169">
        <f>IFERROR(MATCH(J1721,'Final List'!$P$4:$P$252,0),0)</f>
        <v>0</v>
      </c>
      <c r="S1721" s="169">
        <f t="shared" si="107"/>
        <v>0</v>
      </c>
      <c r="T1721" s="169" t="s">
        <v>68</v>
      </c>
      <c r="V1721" s="169" t="str">
        <f t="shared" si="105"/>
        <v>TURRA 1</v>
      </c>
      <c r="W1721" s="169" t="s">
        <v>2707</v>
      </c>
    </row>
    <row r="1722" spans="2:23" x14ac:dyDescent="0.25">
      <c r="B1722" s="169" t="s">
        <v>91</v>
      </c>
      <c r="C1722" s="169" t="s">
        <v>87</v>
      </c>
      <c r="D1722" s="169" t="s">
        <v>103</v>
      </c>
      <c r="E1722" s="169" t="s">
        <v>37</v>
      </c>
      <c r="F1722" s="245" t="str">
        <f t="shared" si="106"/>
        <v>Dhoz 71</v>
      </c>
      <c r="G1722" s="169" t="s">
        <v>9189</v>
      </c>
      <c r="H1722" s="169" t="s">
        <v>8193</v>
      </c>
      <c r="I1722" s="169" t="str">
        <f t="shared" si="108"/>
        <v>L04_NONE_005E_XCN</v>
      </c>
      <c r="J1722" s="169" t="s">
        <v>9298</v>
      </c>
      <c r="K1722" s="169">
        <f>IFERROR(MATCH(J1722,'Final List'!$B$4:$B$252,0),0)</f>
        <v>0</v>
      </c>
      <c r="L1722" s="169">
        <f>IFERROR(MATCH(J1722,'Final List'!$D$4:$D$252,0),0)</f>
        <v>0</v>
      </c>
      <c r="M1722" s="169">
        <f>IFERROR(MATCH(J1722,'Final List'!$F$4:$F$251,0),0)</f>
        <v>0</v>
      </c>
      <c r="N1722" s="169">
        <f>IFERROR(MATCH(J1722,'Final List'!$H$4:$H$252,0),0)</f>
        <v>0</v>
      </c>
      <c r="O1722" s="169">
        <f>IFERROR(MATCH(J1722,'Final List'!$J$4:$J$252,0),0)</f>
        <v>0</v>
      </c>
      <c r="P1722" s="169">
        <f>IFERROR(MATCH(J1722,'Final List'!$L$4:$L$252,0),0)</f>
        <v>0</v>
      </c>
      <c r="Q1722" s="169">
        <f>IFERROR(MATCH(J1722,'Final List'!$N$4:$N$252,0),0)</f>
        <v>0</v>
      </c>
      <c r="R1722" s="169">
        <f>IFERROR(MATCH(J1722,'Final List'!$P$4:$P$252,0),0)</f>
        <v>0</v>
      </c>
      <c r="S1722" s="169">
        <f t="shared" si="107"/>
        <v>0</v>
      </c>
      <c r="V1722" s="169" t="str">
        <f t="shared" si="105"/>
        <v>SHEPHERD AR 1</v>
      </c>
      <c r="W1722" s="169" t="s">
        <v>8897</v>
      </c>
    </row>
    <row r="1723" spans="2:23" x14ac:dyDescent="0.25">
      <c r="B1723" s="169" t="s">
        <v>93</v>
      </c>
      <c r="C1723" s="169" t="s">
        <v>57</v>
      </c>
      <c r="D1723" s="169" t="s">
        <v>117</v>
      </c>
      <c r="E1723" s="169" t="s">
        <v>20</v>
      </c>
      <c r="F1723" s="245" t="str">
        <f t="shared" si="106"/>
        <v>DVW 74</v>
      </c>
      <c r="G1723" s="169" t="s">
        <v>5980</v>
      </c>
      <c r="I1723" s="169" t="str">
        <f t="shared" si="108"/>
        <v>L06_JVSPLIT_006W_WINZE</v>
      </c>
      <c r="J1723" s="169" t="s">
        <v>9231</v>
      </c>
      <c r="K1723" s="169">
        <f>IFERROR(MATCH(J1723,'Final List'!$B$4:$B$252,0),0)</f>
        <v>0</v>
      </c>
      <c r="L1723" s="169">
        <f>IFERROR(MATCH(J1723,'Final List'!$D$4:$D$252,0),0)</f>
        <v>0</v>
      </c>
      <c r="M1723" s="169">
        <f>IFERROR(MATCH(J1723,'Final List'!$F$4:$F$251,0),0)</f>
        <v>0</v>
      </c>
      <c r="N1723" s="169">
        <f>IFERROR(MATCH(J1723,'Final List'!$H$4:$H$252,0),0)</f>
        <v>0</v>
      </c>
      <c r="O1723" s="169">
        <f>IFERROR(MATCH(J1723,'Final List'!$J$4:$J$252,0),0)</f>
        <v>0</v>
      </c>
      <c r="P1723" s="169">
        <f>IFERROR(MATCH(J1723,'Final List'!$L$4:$L$252,0),0)</f>
        <v>0</v>
      </c>
      <c r="Q1723" s="169">
        <f>IFERROR(MATCH(J1723,'Final List'!$N$4:$N$252,0),0)</f>
        <v>0</v>
      </c>
      <c r="R1723" s="169">
        <f>IFERROR(MATCH(J1723,'Final List'!$P$4:$P$252,0),0)</f>
        <v>0</v>
      </c>
      <c r="S1723" s="169">
        <f t="shared" si="107"/>
        <v>0</v>
      </c>
      <c r="V1723" s="169" t="str">
        <f t="shared" si="105"/>
        <v xml:space="preserve">CARIKITAN 2 </v>
      </c>
      <c r="W1723" s="169" t="s">
        <v>2706</v>
      </c>
    </row>
    <row r="1724" spans="2:23" x14ac:dyDescent="0.25">
      <c r="B1724" s="169" t="s">
        <v>258</v>
      </c>
      <c r="C1724" s="169" t="s">
        <v>57</v>
      </c>
      <c r="D1724" s="169" t="s">
        <v>5742</v>
      </c>
      <c r="E1724" s="169" t="s">
        <v>19</v>
      </c>
      <c r="F1724" s="245" t="str">
        <f t="shared" si="106"/>
        <v>DVR 72</v>
      </c>
      <c r="G1724" s="169" t="s">
        <v>375</v>
      </c>
      <c r="I1724" s="169" t="str">
        <f t="shared" si="108"/>
        <v>L10_JVSPLIT_040E_RAISE</v>
      </c>
      <c r="J1724" s="169" t="s">
        <v>9191</v>
      </c>
      <c r="K1724" s="169">
        <f>IFERROR(MATCH(J1724,'Final List'!$B$4:$B$252,0),0)</f>
        <v>0</v>
      </c>
      <c r="L1724" s="169">
        <f>IFERROR(MATCH(J1724,'Final List'!$D$4:$D$252,0),0)</f>
        <v>0</v>
      </c>
      <c r="M1724" s="169">
        <f>IFERROR(MATCH(J1724,'Final List'!$F$4:$F$251,0),0)</f>
        <v>0</v>
      </c>
      <c r="N1724" s="169">
        <f>IFERROR(MATCH(J1724,'Final List'!$H$4:$H$252,0),0)</f>
        <v>0</v>
      </c>
      <c r="O1724" s="169">
        <f>IFERROR(MATCH(J1724,'Final List'!$J$4:$J$252,0),0)</f>
        <v>0</v>
      </c>
      <c r="P1724" s="169">
        <f>IFERROR(MATCH(J1724,'Final List'!$L$4:$L$252,0),0)</f>
        <v>0</v>
      </c>
      <c r="Q1724" s="169">
        <f>IFERROR(MATCH(J1724,'Final List'!$N$4:$N$252,0),0)</f>
        <v>0</v>
      </c>
      <c r="R1724" s="169">
        <f>IFERROR(MATCH(J1724,'Final List'!$P$4:$P$252,0),0)</f>
        <v>0</v>
      </c>
      <c r="S1724" s="169">
        <f t="shared" si="107"/>
        <v>0</v>
      </c>
      <c r="V1724" s="169" t="str">
        <f t="shared" si="105"/>
        <v>TAÑEZA 7</v>
      </c>
      <c r="W1724" s="169" t="s">
        <v>2715</v>
      </c>
    </row>
    <row r="1725" spans="2:23" x14ac:dyDescent="0.25">
      <c r="B1725" s="169" t="s">
        <v>258</v>
      </c>
      <c r="C1725" s="169" t="s">
        <v>43</v>
      </c>
      <c r="D1725" s="169" t="s">
        <v>120</v>
      </c>
      <c r="E1725" s="169" t="s">
        <v>19</v>
      </c>
      <c r="F1725" s="245" t="str">
        <f t="shared" si="106"/>
        <v>DVR 72</v>
      </c>
      <c r="G1725" s="169" t="s">
        <v>6926</v>
      </c>
      <c r="I1725" s="169" t="str">
        <f t="shared" si="108"/>
        <v>L10_GHVSPLIT_015E_RAISE</v>
      </c>
      <c r="J1725" s="169" t="s">
        <v>9193</v>
      </c>
      <c r="K1725" s="169">
        <f>IFERROR(MATCH(J1725,'Final List'!$B$4:$B$252,0),0)</f>
        <v>0</v>
      </c>
      <c r="L1725" s="169">
        <f>IFERROR(MATCH(J1725,'Final List'!$D$4:$D$252,0),0)</f>
        <v>0</v>
      </c>
      <c r="M1725" s="169">
        <f>IFERROR(MATCH(J1725,'Final List'!$F$4:$F$251,0),0)</f>
        <v>0</v>
      </c>
      <c r="N1725" s="169">
        <f>IFERROR(MATCH(J1725,'Final List'!$H$4:$H$252,0),0)</f>
        <v>0</v>
      </c>
      <c r="O1725" s="169">
        <f>IFERROR(MATCH(J1725,'Final List'!$J$4:$J$252,0),0)</f>
        <v>0</v>
      </c>
      <c r="P1725" s="169">
        <f>IFERROR(MATCH(J1725,'Final List'!$L$4:$L$252,0),0)</f>
        <v>0</v>
      </c>
      <c r="Q1725" s="169">
        <f>IFERROR(MATCH(J1725,'Final List'!$N$4:$N$252,0),0)</f>
        <v>0</v>
      </c>
      <c r="R1725" s="169">
        <f>IFERROR(MATCH(J1725,'Final List'!$P$4:$P$252,0),0)</f>
        <v>0</v>
      </c>
      <c r="S1725" s="169">
        <f t="shared" si="107"/>
        <v>0</v>
      </c>
      <c r="V1725" s="169" t="str">
        <f t="shared" si="105"/>
        <v>DUHIG, R1</v>
      </c>
      <c r="W1725" s="169" t="s">
        <v>2715</v>
      </c>
    </row>
    <row r="1726" spans="2:23" x14ac:dyDescent="0.25">
      <c r="B1726" s="169" t="s">
        <v>1166</v>
      </c>
      <c r="C1726" s="169" t="s">
        <v>38</v>
      </c>
      <c r="D1726" s="169" t="s">
        <v>164</v>
      </c>
      <c r="E1726" s="169" t="s">
        <v>211</v>
      </c>
      <c r="F1726" s="245" t="str">
        <f t="shared" si="106"/>
        <v>StpS 77</v>
      </c>
      <c r="G1726" s="169" t="s">
        <v>352</v>
      </c>
      <c r="I1726" s="169" t="str">
        <f t="shared" si="108"/>
        <v>L11_GHV_064E_STOPE PREP</v>
      </c>
      <c r="J1726" s="169" t="s">
        <v>9195</v>
      </c>
      <c r="K1726" s="169">
        <f>IFERROR(MATCH(J1726,'Final List'!$B$4:$B$252,0),0)</f>
        <v>0</v>
      </c>
      <c r="L1726" s="169">
        <f>IFERROR(MATCH(J1726,'Final List'!$D$4:$D$252,0),0)</f>
        <v>0</v>
      </c>
      <c r="M1726" s="169">
        <f>IFERROR(MATCH(J1726,'Final List'!$F$4:$F$251,0),0)</f>
        <v>0</v>
      </c>
      <c r="N1726" s="169">
        <f>IFERROR(MATCH(J1726,'Final List'!$H$4:$H$252,0),0)</f>
        <v>0</v>
      </c>
      <c r="O1726" s="169">
        <f>IFERROR(MATCH(J1726,'Final List'!$J$4:$J$252,0),0)</f>
        <v>0</v>
      </c>
      <c r="P1726" s="169">
        <f>IFERROR(MATCH(J1726,'Final List'!$L$4:$L$252,0),0)</f>
        <v>0</v>
      </c>
      <c r="Q1726" s="169">
        <f>IFERROR(MATCH(J1726,'Final List'!$N$4:$N$252,0),0)</f>
        <v>0</v>
      </c>
      <c r="R1726" s="169">
        <f>IFERROR(MATCH(J1726,'Final List'!$P$4:$P$252,0),0)</f>
        <v>0</v>
      </c>
      <c r="S1726" s="169">
        <f t="shared" si="107"/>
        <v>0</v>
      </c>
      <c r="T1726" s="169" t="s">
        <v>68</v>
      </c>
      <c r="V1726" s="169" t="str">
        <f t="shared" si="105"/>
        <v>BAÑEZ 5</v>
      </c>
      <c r="W1726" s="169" t="s">
        <v>2712</v>
      </c>
    </row>
    <row r="1727" spans="2:23" x14ac:dyDescent="0.25">
      <c r="B1727" s="169" t="s">
        <v>92</v>
      </c>
      <c r="C1727" s="169" t="s">
        <v>45</v>
      </c>
      <c r="D1727" s="169" t="s">
        <v>144</v>
      </c>
      <c r="E1727" s="169" t="s">
        <v>441</v>
      </c>
      <c r="F1727" s="245" t="str">
        <f t="shared" si="106"/>
        <v>RobC 80</v>
      </c>
      <c r="G1727" s="169" t="s">
        <v>551</v>
      </c>
      <c r="I1727" s="169" t="str">
        <f t="shared" si="108"/>
        <v>L05_DPVE_043E_WINZE STOPE PREP</v>
      </c>
      <c r="J1727" s="169" t="s">
        <v>9218</v>
      </c>
      <c r="K1727" s="169">
        <f>IFERROR(MATCH(J1727,'Final List'!$B$4:$B$252,0),0)</f>
        <v>0</v>
      </c>
      <c r="L1727" s="169">
        <f>IFERROR(MATCH(J1727,'Final List'!$D$4:$D$252,0),0)</f>
        <v>0</v>
      </c>
      <c r="M1727" s="169">
        <f>IFERROR(MATCH(J1727,'Final List'!$F$4:$F$251,0),0)</f>
        <v>0</v>
      </c>
      <c r="N1727" s="169">
        <f>IFERROR(MATCH(J1727,'Final List'!$H$4:$H$252,0),0)</f>
        <v>0</v>
      </c>
      <c r="O1727" s="169">
        <f>IFERROR(MATCH(J1727,'Final List'!$J$4:$J$252,0),0)</f>
        <v>0</v>
      </c>
      <c r="P1727" s="169">
        <f>IFERROR(MATCH(J1727,'Final List'!$L$4:$L$252,0),0)</f>
        <v>0</v>
      </c>
      <c r="Q1727" s="169">
        <f>IFERROR(MATCH(J1727,'Final List'!$N$4:$N$252,0),0)</f>
        <v>0</v>
      </c>
      <c r="R1727" s="169">
        <f>IFERROR(MATCH(J1727,'Final List'!$P$4:$P$252,0),0)</f>
        <v>0</v>
      </c>
      <c r="S1727" s="169">
        <f t="shared" si="107"/>
        <v>0</v>
      </c>
      <c r="T1727" s="169" t="s">
        <v>68</v>
      </c>
      <c r="V1727" s="169" t="str">
        <f t="shared" si="105"/>
        <v>PANCIT, NOEL 3</v>
      </c>
      <c r="W1727" s="169" t="s">
        <v>2716</v>
      </c>
    </row>
    <row r="1728" spans="2:23" x14ac:dyDescent="0.25">
      <c r="B1728" s="169" t="s">
        <v>92</v>
      </c>
      <c r="C1728" s="169" t="s">
        <v>57</v>
      </c>
      <c r="D1728" s="169" t="s">
        <v>106</v>
      </c>
      <c r="E1728" s="169" t="s">
        <v>19</v>
      </c>
      <c r="F1728" s="245" t="str">
        <f t="shared" si="106"/>
        <v>DVR 72</v>
      </c>
      <c r="G1728" s="169" t="s">
        <v>2969</v>
      </c>
      <c r="I1728" s="169" t="str">
        <f t="shared" si="108"/>
        <v>L05_JVSPLIT_033W_RAISE</v>
      </c>
      <c r="J1728" s="169" t="s">
        <v>9196</v>
      </c>
      <c r="K1728" s="169">
        <f>IFERROR(MATCH(J1728,'Final List'!$B$4:$B$252,0),0)</f>
        <v>0</v>
      </c>
      <c r="L1728" s="169">
        <f>IFERROR(MATCH(J1728,'Final List'!$D$4:$D$252,0),0)</f>
        <v>0</v>
      </c>
      <c r="M1728" s="169">
        <f>IFERROR(MATCH(J1728,'Final List'!$F$4:$F$251,0),0)</f>
        <v>0</v>
      </c>
      <c r="N1728" s="169">
        <f>IFERROR(MATCH(J1728,'Final List'!$H$4:$H$252,0),0)</f>
        <v>0</v>
      </c>
      <c r="O1728" s="169">
        <f>IFERROR(MATCH(J1728,'Final List'!$J$4:$J$252,0),0)</f>
        <v>0</v>
      </c>
      <c r="P1728" s="169">
        <f>IFERROR(MATCH(J1728,'Final List'!$L$4:$L$252,0),0)</f>
        <v>0</v>
      </c>
      <c r="Q1728" s="169">
        <f>IFERROR(MATCH(J1728,'Final List'!$N$4:$N$252,0),0)</f>
        <v>0</v>
      </c>
      <c r="R1728" s="169">
        <f>IFERROR(MATCH(J1728,'Final List'!$P$4:$P$252,0),0)</f>
        <v>0</v>
      </c>
      <c r="S1728" s="169">
        <f t="shared" si="107"/>
        <v>0</v>
      </c>
      <c r="V1728" s="169" t="str">
        <f t="shared" si="105"/>
        <v>SAMBERE 1</v>
      </c>
      <c r="W1728" s="169" t="s">
        <v>2715</v>
      </c>
    </row>
    <row r="1729" spans="2:23" x14ac:dyDescent="0.25">
      <c r="B1729" s="169" t="s">
        <v>96</v>
      </c>
      <c r="C1729" s="169" t="s">
        <v>56</v>
      </c>
      <c r="D1729" s="169" t="s">
        <v>5602</v>
      </c>
      <c r="E1729" s="169" t="s">
        <v>19</v>
      </c>
      <c r="F1729" s="245" t="str">
        <f t="shared" si="106"/>
        <v>DVR 72</v>
      </c>
      <c r="G1729" s="169" t="s">
        <v>5101</v>
      </c>
      <c r="I1729" s="169" t="str">
        <f t="shared" si="108"/>
        <v>L09_GHVFW_053E_RAISE</v>
      </c>
      <c r="J1729" s="169" t="s">
        <v>9197</v>
      </c>
      <c r="K1729" s="169">
        <f>IFERROR(MATCH(J1729,'Final List'!$B$4:$B$252,0),0)</f>
        <v>0</v>
      </c>
      <c r="L1729" s="169">
        <f>IFERROR(MATCH(J1729,'Final List'!$D$4:$D$252,0),0)</f>
        <v>0</v>
      </c>
      <c r="M1729" s="169">
        <f>IFERROR(MATCH(J1729,'Final List'!$F$4:$F$251,0),0)</f>
        <v>0</v>
      </c>
      <c r="N1729" s="169">
        <f>IFERROR(MATCH(J1729,'Final List'!$H$4:$H$252,0),0)</f>
        <v>0</v>
      </c>
      <c r="O1729" s="169">
        <f>IFERROR(MATCH(J1729,'Final List'!$J$4:$J$252,0),0)</f>
        <v>0</v>
      </c>
      <c r="P1729" s="169">
        <f>IFERROR(MATCH(J1729,'Final List'!$L$4:$L$252,0),0)</f>
        <v>0</v>
      </c>
      <c r="Q1729" s="169">
        <f>IFERROR(MATCH(J1729,'Final List'!$N$4:$N$252,0),0)</f>
        <v>0</v>
      </c>
      <c r="R1729" s="169">
        <f>IFERROR(MATCH(J1729,'Final List'!$P$4:$P$252,0),0)</f>
        <v>0</v>
      </c>
      <c r="S1729" s="169">
        <f t="shared" si="107"/>
        <v>0</v>
      </c>
      <c r="V1729" s="169" t="str">
        <f t="shared" si="105"/>
        <v>DELOS REYES V3</v>
      </c>
      <c r="W1729" s="169" t="s">
        <v>2715</v>
      </c>
    </row>
    <row r="1730" spans="2:23" x14ac:dyDescent="0.25">
      <c r="B1730" s="169" t="s">
        <v>91</v>
      </c>
      <c r="C1730" s="169" t="s">
        <v>44</v>
      </c>
      <c r="D1730" s="169" t="s">
        <v>6518</v>
      </c>
      <c r="E1730" s="169" t="s">
        <v>60</v>
      </c>
      <c r="F1730" s="245" t="str">
        <f t="shared" si="106"/>
        <v>Dhoz 71</v>
      </c>
      <c r="G1730" s="169" t="s">
        <v>5683</v>
      </c>
      <c r="I1730" s="169" t="str">
        <f t="shared" si="108"/>
        <v>L04_CV_007E_DE</v>
      </c>
      <c r="J1730" s="169" t="s">
        <v>9199</v>
      </c>
      <c r="K1730" s="169">
        <f>IFERROR(MATCH(J1730,'Final List'!$B$4:$B$252,0),0)</f>
        <v>0</v>
      </c>
      <c r="L1730" s="169">
        <f>IFERROR(MATCH(J1730,'Final List'!$D$4:$D$252,0),0)</f>
        <v>0</v>
      </c>
      <c r="M1730" s="169">
        <f>IFERROR(MATCH(J1730,'Final List'!$F$4:$F$251,0),0)</f>
        <v>0</v>
      </c>
      <c r="N1730" s="169">
        <f>IFERROR(MATCH(J1730,'Final List'!$H$4:$H$252,0),0)</f>
        <v>0</v>
      </c>
      <c r="O1730" s="169">
        <f>IFERROR(MATCH(J1730,'Final List'!$J$4:$J$252,0),0)</f>
        <v>0</v>
      </c>
      <c r="P1730" s="169">
        <f>IFERROR(MATCH(J1730,'Final List'!$L$4:$L$252,0),0)</f>
        <v>0</v>
      </c>
      <c r="Q1730" s="169">
        <f>IFERROR(MATCH(J1730,'Final List'!$N$4:$N$252,0),0)</f>
        <v>0</v>
      </c>
      <c r="R1730" s="169">
        <f>IFERROR(MATCH(J1730,'Final List'!$P$4:$P$252,0),0)</f>
        <v>0</v>
      </c>
      <c r="S1730" s="169">
        <f t="shared" si="107"/>
        <v>0</v>
      </c>
      <c r="V1730" s="169" t="str">
        <f t="shared" ref="V1730:V1793" si="109">IF(H1730="",G1730,H1730)</f>
        <v>SHEPHERD AL</v>
      </c>
      <c r="W1730" s="169" t="s">
        <v>8895</v>
      </c>
    </row>
    <row r="1731" spans="2:23" x14ac:dyDescent="0.25">
      <c r="B1731" s="169" t="s">
        <v>91</v>
      </c>
      <c r="C1731" s="169" t="s">
        <v>44</v>
      </c>
      <c r="D1731" s="169" t="s">
        <v>5844</v>
      </c>
      <c r="E1731" s="169" t="s">
        <v>62</v>
      </c>
      <c r="F1731" s="245" t="str">
        <f t="shared" ref="F1731:F1794" si="110">IF(OR(E1731="XCN",E1731="DE",E1731="DW",E1731="DN",E1731="XCS",E1731="XCE",E1731="XCW",E1731="SUMP",E1731="BYPASS",E1731="CHAMBER",E1731="DRAIN HOLE",E1731="DRILLING CHAMBER",E1731="DE_ISL",E1731="DW_ISL",E1731="REHAB"),"Dhoz 71",IF(OR(E1731="RAISE",E1731="RAISE_ISL"),"DVR 72",IF(E1731="ALIMAK","DVA 73",IF(E1731="WINZE","DVW 74",IF(E1731="SHAFT","DVS 75",IF(AND(E1731="WINZE STOPE",T1731="S"),"RobC 80",IF(AND(E1731="STOPE",T1731="S"),"StpS 77",IF(AND(E1731="WINZE STOPE",T1731="L"),"RobC 80",IF(AND(E1731="STOPE",T1731="L"),"StpL 78",IF(AND(E1731="WINZE STOPE PREP",T1731="S"),"RobC 80",IF(AND(E1731="STOPE PREP",T1731="S"),"StpS 77",IF(AND(E1731="WINZE STOPE PREP",T1731="L"),"RobC 80",IF(AND(E1731="STOPE PREP",T1731="L"),"StpL 78",IF(AND(E1731="ROBBING",T1731="L"),"RobC 80",IF(AND(E1731="ROBBING",T1731="S"),"RobS 79",0)))))))))))))))</f>
        <v>RobC 80</v>
      </c>
      <c r="G1731" s="169" t="s">
        <v>9189</v>
      </c>
      <c r="I1731" s="169" t="str">
        <f t="shared" si="108"/>
        <v>L04_CV_009W_ROBBING</v>
      </c>
      <c r="J1731" s="169" t="s">
        <v>9201</v>
      </c>
      <c r="K1731" s="169">
        <f>IFERROR(MATCH(J1731,'Final List'!$B$4:$B$252,0),0)</f>
        <v>0</v>
      </c>
      <c r="L1731" s="169">
        <f>IFERROR(MATCH(J1731,'Final List'!$D$4:$D$252,0),0)</f>
        <v>0</v>
      </c>
      <c r="M1731" s="169">
        <f>IFERROR(MATCH(J1731,'Final List'!$F$4:$F$251,0),0)</f>
        <v>0</v>
      </c>
      <c r="N1731" s="169">
        <f>IFERROR(MATCH(J1731,'Final List'!$H$4:$H$252,0),0)</f>
        <v>0</v>
      </c>
      <c r="O1731" s="169">
        <f>IFERROR(MATCH(J1731,'Final List'!$J$4:$J$252,0),0)</f>
        <v>0</v>
      </c>
      <c r="P1731" s="169">
        <f>IFERROR(MATCH(J1731,'Final List'!$L$4:$L$252,0),0)</f>
        <v>0</v>
      </c>
      <c r="Q1731" s="169">
        <f>IFERROR(MATCH(J1731,'Final List'!$N$4:$N$252,0),0)</f>
        <v>0</v>
      </c>
      <c r="R1731" s="169">
        <f>IFERROR(MATCH(J1731,'Final List'!$P$4:$P$252,0),0)</f>
        <v>0</v>
      </c>
      <c r="S1731" s="169">
        <f t="shared" ref="S1731:S1794" si="111">SUM(K1731:R1731)</f>
        <v>0</v>
      </c>
      <c r="T1731" s="169" t="s">
        <v>48</v>
      </c>
      <c r="V1731" s="169" t="str">
        <f t="shared" si="109"/>
        <v>MARTINEZ RON 1</v>
      </c>
      <c r="W1731" s="169" t="s">
        <v>236</v>
      </c>
    </row>
    <row r="1732" spans="2:23" x14ac:dyDescent="0.25">
      <c r="B1732" s="169" t="s">
        <v>91</v>
      </c>
      <c r="C1732" s="169" t="s">
        <v>44</v>
      </c>
      <c r="D1732" s="169" t="s">
        <v>6518</v>
      </c>
      <c r="E1732" s="169" t="s">
        <v>19</v>
      </c>
      <c r="F1732" s="245" t="str">
        <f t="shared" si="110"/>
        <v>DVR 72</v>
      </c>
      <c r="G1732" s="169" t="s">
        <v>7876</v>
      </c>
      <c r="I1732" s="169" t="str">
        <f t="shared" si="108"/>
        <v>L04_CV_007E_RAISE</v>
      </c>
      <c r="J1732" s="169" t="s">
        <v>9204</v>
      </c>
      <c r="K1732" s="169">
        <f>IFERROR(MATCH(J1732,'Final List'!$B$4:$B$252,0),0)</f>
        <v>0</v>
      </c>
      <c r="L1732" s="169">
        <f>IFERROR(MATCH(J1732,'Final List'!$D$4:$D$252,0),0)</f>
        <v>0</v>
      </c>
      <c r="M1732" s="169">
        <f>IFERROR(MATCH(J1732,'Final List'!$F$4:$F$251,0),0)</f>
        <v>0</v>
      </c>
      <c r="N1732" s="169">
        <f>IFERROR(MATCH(J1732,'Final List'!$H$4:$H$252,0),0)</f>
        <v>0</v>
      </c>
      <c r="O1732" s="169">
        <f>IFERROR(MATCH(J1732,'Final List'!$J$4:$J$252,0),0)</f>
        <v>0</v>
      </c>
      <c r="P1732" s="169">
        <f>IFERROR(MATCH(J1732,'Final List'!$L$4:$L$252,0),0)</f>
        <v>0</v>
      </c>
      <c r="Q1732" s="169">
        <f>IFERROR(MATCH(J1732,'Final List'!$N$4:$N$252,0),0)</f>
        <v>0</v>
      </c>
      <c r="R1732" s="169">
        <f>IFERROR(MATCH(J1732,'Final List'!$P$4:$P$252,0),0)</f>
        <v>0</v>
      </c>
      <c r="S1732" s="169">
        <f t="shared" si="111"/>
        <v>0</v>
      </c>
      <c r="V1732" s="169" t="str">
        <f t="shared" si="109"/>
        <v>SHEPHERD AL 2</v>
      </c>
      <c r="W1732" s="169" t="s">
        <v>2715</v>
      </c>
    </row>
    <row r="1733" spans="2:23" x14ac:dyDescent="0.25">
      <c r="B1733" s="169" t="s">
        <v>92</v>
      </c>
      <c r="C1733" s="169" t="s">
        <v>42</v>
      </c>
      <c r="D1733" s="169" t="s">
        <v>119</v>
      </c>
      <c r="E1733" s="169" t="s">
        <v>62</v>
      </c>
      <c r="F1733" s="245" t="str">
        <f t="shared" si="110"/>
        <v>RobS 79</v>
      </c>
      <c r="G1733" s="169" t="s">
        <v>554</v>
      </c>
      <c r="I1733" s="169" t="str">
        <f t="shared" si="108"/>
        <v>L05_JV_012E_ROBBING</v>
      </c>
      <c r="J1733" s="169" t="s">
        <v>9217</v>
      </c>
      <c r="K1733" s="169">
        <f>IFERROR(MATCH(J1733,'Final List'!$B$4:$B$252,0),0)</f>
        <v>0</v>
      </c>
      <c r="L1733" s="169">
        <f>IFERROR(MATCH(J1733,'Final List'!$D$4:$D$252,0),0)</f>
        <v>0</v>
      </c>
      <c r="M1733" s="169">
        <f>IFERROR(MATCH(J1733,'Final List'!$F$4:$F$251,0),0)</f>
        <v>0</v>
      </c>
      <c r="N1733" s="169">
        <f>IFERROR(MATCH(J1733,'Final List'!$H$4:$H$252,0),0)</f>
        <v>0</v>
      </c>
      <c r="O1733" s="169">
        <f>IFERROR(MATCH(J1733,'Final List'!$J$4:$J$252,0),0)</f>
        <v>0</v>
      </c>
      <c r="P1733" s="169">
        <f>IFERROR(MATCH(J1733,'Final List'!$L$4:$L$252,0),0)</f>
        <v>0</v>
      </c>
      <c r="Q1733" s="169">
        <f>IFERROR(MATCH(J1733,'Final List'!$N$4:$N$252,0),0)</f>
        <v>0</v>
      </c>
      <c r="R1733" s="169">
        <f>IFERROR(MATCH(J1733,'Final List'!$P$4:$P$252,0),0)</f>
        <v>0</v>
      </c>
      <c r="S1733" s="169">
        <f t="shared" si="111"/>
        <v>0</v>
      </c>
      <c r="T1733" s="169" t="s">
        <v>68</v>
      </c>
      <c r="V1733" s="169" t="str">
        <f t="shared" si="109"/>
        <v>PANCIT, NOEL 1</v>
      </c>
      <c r="W1733" s="169" t="s">
        <v>2707</v>
      </c>
    </row>
    <row r="1734" spans="2:23" x14ac:dyDescent="0.25">
      <c r="B1734" s="169" t="s">
        <v>93</v>
      </c>
      <c r="C1734" s="169" t="s">
        <v>44</v>
      </c>
      <c r="D1734" s="169" t="s">
        <v>5612</v>
      </c>
      <c r="E1734" s="169" t="s">
        <v>62</v>
      </c>
      <c r="F1734" s="245" t="str">
        <f t="shared" si="110"/>
        <v>RobS 79</v>
      </c>
      <c r="G1734" s="169" t="s">
        <v>5717</v>
      </c>
      <c r="H1734" s="169" t="s">
        <v>350</v>
      </c>
      <c r="I1734" s="169" t="str">
        <f t="shared" si="108"/>
        <v>L06_CV_011W_ROBBING</v>
      </c>
      <c r="J1734" s="169" t="s">
        <v>9208</v>
      </c>
      <c r="K1734" s="169">
        <f>IFERROR(MATCH(J1734,'Final List'!$B$4:$B$252,0),0)</f>
        <v>0</v>
      </c>
      <c r="L1734" s="169">
        <f>IFERROR(MATCH(J1734,'Final List'!$D$4:$D$252,0),0)</f>
        <v>0</v>
      </c>
      <c r="M1734" s="169">
        <f>IFERROR(MATCH(J1734,'Final List'!$F$4:$F$251,0),0)</f>
        <v>0</v>
      </c>
      <c r="N1734" s="169">
        <f>IFERROR(MATCH(J1734,'Final List'!$H$4:$H$252,0),0)</f>
        <v>0</v>
      </c>
      <c r="O1734" s="169">
        <f>IFERROR(MATCH(J1734,'Final List'!$J$4:$J$252,0),0)</f>
        <v>0</v>
      </c>
      <c r="P1734" s="169">
        <f>IFERROR(MATCH(J1734,'Final List'!$L$4:$L$252,0),0)</f>
        <v>0</v>
      </c>
      <c r="Q1734" s="169">
        <f>IFERROR(MATCH(J1734,'Final List'!$N$4:$N$252,0),0)</f>
        <v>0</v>
      </c>
      <c r="R1734" s="169">
        <f>IFERROR(MATCH(J1734,'Final List'!$P$4:$P$252,0),0)</f>
        <v>0</v>
      </c>
      <c r="S1734" s="169">
        <f t="shared" si="111"/>
        <v>0</v>
      </c>
      <c r="T1734" s="169" t="s">
        <v>68</v>
      </c>
      <c r="V1734" s="169" t="str">
        <f t="shared" si="109"/>
        <v>QUIJANO 1</v>
      </c>
      <c r="W1734" s="169" t="s">
        <v>2707</v>
      </c>
    </row>
    <row r="1735" spans="2:23" x14ac:dyDescent="0.25">
      <c r="B1735" s="169" t="s">
        <v>258</v>
      </c>
      <c r="C1735" s="169" t="s">
        <v>45</v>
      </c>
      <c r="D1735" s="169" t="s">
        <v>148</v>
      </c>
      <c r="E1735" s="169" t="s">
        <v>36</v>
      </c>
      <c r="F1735" s="245" t="str">
        <f t="shared" si="110"/>
        <v>StpS 77</v>
      </c>
      <c r="G1735" s="169" t="s">
        <v>360</v>
      </c>
      <c r="H1735" s="169" t="s">
        <v>9475</v>
      </c>
      <c r="I1735" s="169" t="str">
        <f t="shared" si="108"/>
        <v>L10_DPVE_039E_STOPE</v>
      </c>
      <c r="J1735" s="169" t="s">
        <v>5799</v>
      </c>
      <c r="K1735" s="169">
        <f>IFERROR(MATCH(J1735,'Final List'!$B$4:$B$252,0),0)</f>
        <v>0</v>
      </c>
      <c r="L1735" s="169">
        <f>IFERROR(MATCH(J1735,'Final List'!$D$4:$D$252,0),0)</f>
        <v>0</v>
      </c>
      <c r="M1735" s="169">
        <f>IFERROR(MATCH(J1735,'Final List'!$F$4:$F$251,0),0)</f>
        <v>0</v>
      </c>
      <c r="N1735" s="169">
        <f>IFERROR(MATCH(J1735,'Final List'!$H$4:$H$252,0),0)</f>
        <v>0</v>
      </c>
      <c r="O1735" s="169">
        <f>IFERROR(MATCH(J1735,'Final List'!$J$4:$J$252,0),0)</f>
        <v>0</v>
      </c>
      <c r="P1735" s="169">
        <f>IFERROR(MATCH(J1735,'Final List'!$L$4:$L$252,0),0)</f>
        <v>0</v>
      </c>
      <c r="Q1735" s="169">
        <f>IFERROR(MATCH(J1735,'Final List'!$N$4:$N$252,0),0)</f>
        <v>0</v>
      </c>
      <c r="R1735" s="169">
        <f>IFERROR(MATCH(J1735,'Final List'!$P$4:$P$252,0),0)</f>
        <v>0</v>
      </c>
      <c r="S1735" s="169">
        <f t="shared" si="111"/>
        <v>0</v>
      </c>
      <c r="T1735" s="169" t="s">
        <v>68</v>
      </c>
      <c r="V1735" s="169" t="str">
        <f t="shared" si="109"/>
        <v>SHEPHERD AX 1</v>
      </c>
      <c r="W1735" s="169" t="s">
        <v>2713</v>
      </c>
    </row>
    <row r="1736" spans="2:23" x14ac:dyDescent="0.25">
      <c r="B1736" s="169" t="s">
        <v>96</v>
      </c>
      <c r="C1736" s="169" t="s">
        <v>59</v>
      </c>
      <c r="D1736" s="169" t="s">
        <v>103</v>
      </c>
      <c r="E1736" s="169" t="s">
        <v>36</v>
      </c>
      <c r="F1736" s="245" t="str">
        <f t="shared" si="110"/>
        <v>StpS 77</v>
      </c>
      <c r="G1736" s="169" t="s">
        <v>360</v>
      </c>
      <c r="H1736" s="169" t="s">
        <v>9422</v>
      </c>
      <c r="I1736" s="169" t="str">
        <f t="shared" si="108"/>
        <v>L09_GHVHW_005E_STOPE</v>
      </c>
      <c r="J1736" s="169" t="s">
        <v>9213</v>
      </c>
      <c r="K1736" s="169">
        <f>IFERROR(MATCH(J1736,'Final List'!$B$4:$B$252,0),0)</f>
        <v>0</v>
      </c>
      <c r="L1736" s="169">
        <f>IFERROR(MATCH(J1736,'Final List'!$D$4:$D$252,0),0)</f>
        <v>0</v>
      </c>
      <c r="M1736" s="169">
        <f>IFERROR(MATCH(J1736,'Final List'!$F$4:$F$251,0),0)</f>
        <v>0</v>
      </c>
      <c r="N1736" s="169">
        <f>IFERROR(MATCH(J1736,'Final List'!$H$4:$H$252,0),0)</f>
        <v>0</v>
      </c>
      <c r="O1736" s="169">
        <f>IFERROR(MATCH(J1736,'Final List'!$J$4:$J$252,0),0)</f>
        <v>0</v>
      </c>
      <c r="P1736" s="169">
        <f>IFERROR(MATCH(J1736,'Final List'!$L$4:$L$252,0),0)</f>
        <v>0</v>
      </c>
      <c r="Q1736" s="169">
        <f>IFERROR(MATCH(J1736,'Final List'!$N$4:$N$252,0),0)</f>
        <v>0</v>
      </c>
      <c r="R1736" s="169">
        <f>IFERROR(MATCH(J1736,'Final List'!$P$4:$P$252,0),0)</f>
        <v>0</v>
      </c>
      <c r="S1736" s="169">
        <f t="shared" si="111"/>
        <v>0</v>
      </c>
      <c r="T1736" s="169" t="s">
        <v>68</v>
      </c>
      <c r="V1736" s="169" t="str">
        <f t="shared" si="109"/>
        <v>SHEPHERD AY 1</v>
      </c>
      <c r="W1736" s="169" t="s">
        <v>2713</v>
      </c>
    </row>
    <row r="1737" spans="2:23" x14ac:dyDescent="0.25">
      <c r="B1737" s="169" t="s">
        <v>91</v>
      </c>
      <c r="C1737" s="169" t="s">
        <v>38</v>
      </c>
      <c r="D1737" s="169" t="s">
        <v>5615</v>
      </c>
      <c r="E1737" s="169" t="s">
        <v>62</v>
      </c>
      <c r="F1737" s="245" t="str">
        <f t="shared" si="110"/>
        <v>RobS 79</v>
      </c>
      <c r="G1737" s="169" t="s">
        <v>299</v>
      </c>
      <c r="I1737" s="169" t="str">
        <f t="shared" si="108"/>
        <v>L04_GHV_042W_ROBBING</v>
      </c>
      <c r="J1737" s="169" t="s">
        <v>9219</v>
      </c>
      <c r="K1737" s="169">
        <f>IFERROR(MATCH(J1737,'Final List'!$B$4:$B$252,0),0)</f>
        <v>0</v>
      </c>
      <c r="L1737" s="169">
        <f>IFERROR(MATCH(J1737,'Final List'!$D$4:$D$252,0),0)</f>
        <v>0</v>
      </c>
      <c r="M1737" s="169">
        <f>IFERROR(MATCH(J1737,'Final List'!$F$4:$F$251,0),0)</f>
        <v>0</v>
      </c>
      <c r="N1737" s="169">
        <f>IFERROR(MATCH(J1737,'Final List'!$H$4:$H$252,0),0)</f>
        <v>0</v>
      </c>
      <c r="O1737" s="169">
        <f>IFERROR(MATCH(J1737,'Final List'!$J$4:$J$252,0),0)</f>
        <v>0</v>
      </c>
      <c r="P1737" s="169">
        <f>IFERROR(MATCH(J1737,'Final List'!$L$4:$L$252,0),0)</f>
        <v>0</v>
      </c>
      <c r="Q1737" s="169">
        <f>IFERROR(MATCH(J1737,'Final List'!$N$4:$N$252,0),0)</f>
        <v>0</v>
      </c>
      <c r="R1737" s="169">
        <f>IFERROR(MATCH(J1737,'Final List'!$P$4:$P$252,0),0)</f>
        <v>0</v>
      </c>
      <c r="S1737" s="169">
        <f t="shared" si="111"/>
        <v>0</v>
      </c>
      <c r="T1737" s="169" t="s">
        <v>68</v>
      </c>
      <c r="V1737" s="169" t="str">
        <f t="shared" si="109"/>
        <v>NOCOS 2</v>
      </c>
      <c r="W1737" s="169" t="s">
        <v>2707</v>
      </c>
    </row>
    <row r="1738" spans="2:23" x14ac:dyDescent="0.25">
      <c r="B1738" s="169" t="s">
        <v>95</v>
      </c>
      <c r="C1738" s="169" t="s">
        <v>56</v>
      </c>
      <c r="D1738" s="169" t="s">
        <v>7223</v>
      </c>
      <c r="E1738" s="169" t="s">
        <v>62</v>
      </c>
      <c r="F1738" s="245" t="str">
        <f t="shared" si="110"/>
        <v>RobS 79</v>
      </c>
      <c r="G1738" s="169" t="s">
        <v>367</v>
      </c>
      <c r="I1738" s="169" t="str">
        <f t="shared" si="108"/>
        <v>L08_GHVFW_002E_ROBBING</v>
      </c>
      <c r="J1738" s="169" t="s">
        <v>9221</v>
      </c>
      <c r="K1738" s="169">
        <f>IFERROR(MATCH(J1738,'Final List'!$B$4:$B$252,0),0)</f>
        <v>0</v>
      </c>
      <c r="L1738" s="169">
        <f>IFERROR(MATCH(J1738,'Final List'!$D$4:$D$252,0),0)</f>
        <v>0</v>
      </c>
      <c r="M1738" s="169">
        <f>IFERROR(MATCH(J1738,'Final List'!$F$4:$F$251,0),0)</f>
        <v>0</v>
      </c>
      <c r="N1738" s="169">
        <f>IFERROR(MATCH(J1738,'Final List'!$H$4:$H$252,0),0)</f>
        <v>0</v>
      </c>
      <c r="O1738" s="169">
        <f>IFERROR(MATCH(J1738,'Final List'!$J$4:$J$252,0),0)</f>
        <v>0</v>
      </c>
      <c r="P1738" s="169">
        <f>IFERROR(MATCH(J1738,'Final List'!$L$4:$L$252,0),0)</f>
        <v>0</v>
      </c>
      <c r="Q1738" s="169">
        <f>IFERROR(MATCH(J1738,'Final List'!$N$4:$N$252,0),0)</f>
        <v>0</v>
      </c>
      <c r="R1738" s="169">
        <f>IFERROR(MATCH(J1738,'Final List'!$P$4:$P$252,0),0)</f>
        <v>0</v>
      </c>
      <c r="S1738" s="169">
        <f t="shared" si="111"/>
        <v>0</v>
      </c>
      <c r="T1738" s="169" t="s">
        <v>68</v>
      </c>
      <c r="V1738" s="169" t="str">
        <f t="shared" si="109"/>
        <v>LERIO 1</v>
      </c>
      <c r="W1738" s="169" t="s">
        <v>2707</v>
      </c>
    </row>
    <row r="1739" spans="2:23" x14ac:dyDescent="0.25">
      <c r="B1739" s="169" t="s">
        <v>93</v>
      </c>
      <c r="C1739" s="169" t="s">
        <v>42</v>
      </c>
      <c r="D1739" s="169" t="s">
        <v>6139</v>
      </c>
      <c r="E1739" s="169" t="s">
        <v>61</v>
      </c>
      <c r="F1739" s="245" t="str">
        <f t="shared" si="110"/>
        <v>Dhoz 71</v>
      </c>
      <c r="G1739" s="169" t="s">
        <v>577</v>
      </c>
      <c r="I1739" s="169" t="str">
        <f t="shared" si="108"/>
        <v>L06_JV_030W_DW</v>
      </c>
      <c r="J1739" s="169" t="s">
        <v>9223</v>
      </c>
      <c r="K1739" s="169">
        <f>IFERROR(MATCH(J1739,'Final List'!$B$4:$B$252,0),0)</f>
        <v>0</v>
      </c>
      <c r="L1739" s="169">
        <f>IFERROR(MATCH(J1739,'Final List'!$D$4:$D$252,0),0)</f>
        <v>0</v>
      </c>
      <c r="M1739" s="169">
        <f>IFERROR(MATCH(J1739,'Final List'!$F$4:$F$251,0),0)</f>
        <v>0</v>
      </c>
      <c r="N1739" s="169">
        <f>IFERROR(MATCH(J1739,'Final List'!$H$4:$H$252,0),0)</f>
        <v>0</v>
      </c>
      <c r="O1739" s="169">
        <f>IFERROR(MATCH(J1739,'Final List'!$J$4:$J$252,0),0)</f>
        <v>0</v>
      </c>
      <c r="P1739" s="169">
        <f>IFERROR(MATCH(J1739,'Final List'!$L$4:$L$252,0),0)</f>
        <v>0</v>
      </c>
      <c r="Q1739" s="169">
        <f>IFERROR(MATCH(J1739,'Final List'!$N$4:$N$252,0),0)</f>
        <v>0</v>
      </c>
      <c r="R1739" s="169">
        <f>IFERROR(MATCH(J1739,'Final List'!$P$4:$P$252,0),0)</f>
        <v>0</v>
      </c>
      <c r="S1739" s="169">
        <f t="shared" si="111"/>
        <v>0</v>
      </c>
      <c r="V1739" s="169" t="str">
        <f t="shared" si="109"/>
        <v>CARIKITAN 1</v>
      </c>
      <c r="W1739" s="169" t="s">
        <v>8895</v>
      </c>
    </row>
    <row r="1740" spans="2:23" x14ac:dyDescent="0.25">
      <c r="B1740" s="169" t="s">
        <v>96</v>
      </c>
      <c r="C1740" s="169" t="s">
        <v>56</v>
      </c>
      <c r="D1740" s="169" t="s">
        <v>177</v>
      </c>
      <c r="E1740" s="169" t="s">
        <v>60</v>
      </c>
      <c r="F1740" s="245" t="str">
        <f t="shared" si="110"/>
        <v>Dhoz 71</v>
      </c>
      <c r="G1740" s="169" t="s">
        <v>1661</v>
      </c>
      <c r="I1740" s="169" t="str">
        <f t="shared" si="108"/>
        <v>L09_GHVFW_054E_DE</v>
      </c>
      <c r="J1740" s="169" t="s">
        <v>961</v>
      </c>
      <c r="K1740" s="169">
        <f>IFERROR(MATCH(J1740,'Final List'!$B$4:$B$252,0),0)</f>
        <v>0</v>
      </c>
      <c r="L1740" s="169">
        <f>IFERROR(MATCH(J1740,'Final List'!$D$4:$D$252,0),0)</f>
        <v>0</v>
      </c>
      <c r="M1740" s="169">
        <f>IFERROR(MATCH(J1740,'Final List'!$F$4:$F$251,0),0)</f>
        <v>0</v>
      </c>
      <c r="N1740" s="169">
        <f>IFERROR(MATCH(J1740,'Final List'!$H$4:$H$252,0),0)</f>
        <v>0</v>
      </c>
      <c r="O1740" s="169">
        <f>IFERROR(MATCH(J1740,'Final List'!$J$4:$J$252,0),0)</f>
        <v>0</v>
      </c>
      <c r="P1740" s="169">
        <f>IFERROR(MATCH(J1740,'Final List'!$L$4:$L$252,0),0)</f>
        <v>0</v>
      </c>
      <c r="Q1740" s="169">
        <f>IFERROR(MATCH(J1740,'Final List'!$N$4:$N$252,0),0)</f>
        <v>0</v>
      </c>
      <c r="R1740" s="169">
        <f>IFERROR(MATCH(J1740,'Final List'!$P$4:$P$252,0),0)</f>
        <v>0</v>
      </c>
      <c r="S1740" s="169">
        <f t="shared" si="111"/>
        <v>0</v>
      </c>
      <c r="V1740" s="169" t="str">
        <f t="shared" si="109"/>
        <v>DELOS REYES V2</v>
      </c>
      <c r="W1740" s="169" t="s">
        <v>8896</v>
      </c>
    </row>
    <row r="1741" spans="2:23" x14ac:dyDescent="0.25">
      <c r="B1741" s="169" t="s">
        <v>258</v>
      </c>
      <c r="C1741" s="169" t="s">
        <v>45</v>
      </c>
      <c r="D1741" s="169" t="s">
        <v>7025</v>
      </c>
      <c r="E1741" s="169" t="s">
        <v>36</v>
      </c>
      <c r="F1741" s="245" t="str">
        <f t="shared" si="110"/>
        <v>StpS 77</v>
      </c>
      <c r="G1741" s="169" t="s">
        <v>355</v>
      </c>
      <c r="I1741" s="169" t="str">
        <f t="shared" si="108"/>
        <v>L10_DPVE_082E_STOPE</v>
      </c>
      <c r="J1741" s="169" t="s">
        <v>9226</v>
      </c>
      <c r="K1741" s="169">
        <f>IFERROR(MATCH(J1741,'Final List'!$B$4:$B$252,0),0)</f>
        <v>0</v>
      </c>
      <c r="L1741" s="169">
        <f>IFERROR(MATCH(J1741,'Final List'!$D$4:$D$252,0),0)</f>
        <v>0</v>
      </c>
      <c r="M1741" s="169">
        <f>IFERROR(MATCH(J1741,'Final List'!$F$4:$F$251,0),0)</f>
        <v>0</v>
      </c>
      <c r="N1741" s="169">
        <f>IFERROR(MATCH(J1741,'Final List'!$H$4:$H$252,0),0)</f>
        <v>0</v>
      </c>
      <c r="O1741" s="169">
        <f>IFERROR(MATCH(J1741,'Final List'!$J$4:$J$252,0),0)</f>
        <v>0</v>
      </c>
      <c r="P1741" s="169">
        <f>IFERROR(MATCH(J1741,'Final List'!$L$4:$L$252,0),0)</f>
        <v>0</v>
      </c>
      <c r="Q1741" s="169">
        <f>IFERROR(MATCH(J1741,'Final List'!$N$4:$N$252,0),0)</f>
        <v>0</v>
      </c>
      <c r="R1741" s="169">
        <f>IFERROR(MATCH(J1741,'Final List'!$P$4:$P$252,0),0)</f>
        <v>0</v>
      </c>
      <c r="S1741" s="169">
        <f t="shared" si="111"/>
        <v>0</v>
      </c>
      <c r="T1741" s="169" t="s">
        <v>68</v>
      </c>
      <c r="V1741" s="169" t="str">
        <f t="shared" si="109"/>
        <v>BAÑEZ 2</v>
      </c>
      <c r="W1741" s="169" t="s">
        <v>2713</v>
      </c>
    </row>
    <row r="1742" spans="2:23" x14ac:dyDescent="0.25">
      <c r="B1742" s="169" t="s">
        <v>95</v>
      </c>
      <c r="C1742" s="169" t="s">
        <v>38</v>
      </c>
      <c r="D1742" s="169" t="s">
        <v>5689</v>
      </c>
      <c r="E1742" s="169" t="s">
        <v>6143</v>
      </c>
      <c r="F1742" s="245" t="str">
        <f t="shared" si="110"/>
        <v>Dhoz 71</v>
      </c>
      <c r="G1742" s="169" t="s">
        <v>329</v>
      </c>
      <c r="I1742" s="169" t="str">
        <f t="shared" si="108"/>
        <v>L08_GHV_003E_DE_ISL</v>
      </c>
      <c r="J1742" s="169" t="s">
        <v>9228</v>
      </c>
      <c r="K1742" s="169">
        <f>IFERROR(MATCH(J1742,'Final List'!$B$4:$B$252,0),0)</f>
        <v>0</v>
      </c>
      <c r="L1742" s="169">
        <f>IFERROR(MATCH(J1742,'Final List'!$D$4:$D$252,0),0)</f>
        <v>0</v>
      </c>
      <c r="M1742" s="169">
        <f>IFERROR(MATCH(J1742,'Final List'!$F$4:$F$251,0),0)</f>
        <v>0</v>
      </c>
      <c r="N1742" s="169">
        <f>IFERROR(MATCH(J1742,'Final List'!$H$4:$H$252,0),0)</f>
        <v>0</v>
      </c>
      <c r="O1742" s="169">
        <f>IFERROR(MATCH(J1742,'Final List'!$J$4:$J$252,0),0)</f>
        <v>0</v>
      </c>
      <c r="P1742" s="169">
        <f>IFERROR(MATCH(J1742,'Final List'!$L$4:$L$252,0),0)</f>
        <v>0</v>
      </c>
      <c r="Q1742" s="169">
        <f>IFERROR(MATCH(J1742,'Final List'!$N$4:$N$252,0),0)</f>
        <v>0</v>
      </c>
      <c r="R1742" s="169">
        <f>IFERROR(MATCH(J1742,'Final List'!$P$4:$P$252,0),0)</f>
        <v>0</v>
      </c>
      <c r="S1742" s="169">
        <f t="shared" si="111"/>
        <v>0</v>
      </c>
      <c r="V1742" s="169" t="str">
        <f t="shared" si="109"/>
        <v>OY-YOY 1</v>
      </c>
      <c r="W1742" s="169" t="s">
        <v>2708</v>
      </c>
    </row>
    <row r="1743" spans="2:23" x14ac:dyDescent="0.25">
      <c r="B1743" s="169" t="s">
        <v>95</v>
      </c>
      <c r="C1743" s="169" t="s">
        <v>45</v>
      </c>
      <c r="D1743" s="169" t="s">
        <v>218</v>
      </c>
      <c r="E1743" s="169" t="s">
        <v>60</v>
      </c>
      <c r="F1743" s="245" t="str">
        <f t="shared" si="110"/>
        <v>Dhoz 71</v>
      </c>
      <c r="G1743" s="169" t="s">
        <v>942</v>
      </c>
      <c r="I1743" s="169" t="str">
        <f t="shared" si="108"/>
        <v>L08_DPVE_062E_DE</v>
      </c>
      <c r="J1743" s="169" t="s">
        <v>9542</v>
      </c>
      <c r="K1743" s="169">
        <f>IFERROR(MATCH(J1743,'Final List'!$B$4:$B$252,0),0)</f>
        <v>0</v>
      </c>
      <c r="L1743" s="169">
        <f>IFERROR(MATCH(J1743,'Final List'!$D$4:$D$252,0),0)</f>
        <v>0</v>
      </c>
      <c r="M1743" s="169">
        <f>IFERROR(MATCH(J1743,'Final List'!$F$4:$F$251,0),0)</f>
        <v>0</v>
      </c>
      <c r="N1743" s="169">
        <f>IFERROR(MATCH(J1743,'Final List'!$H$4:$H$252,0),0)</f>
        <v>0</v>
      </c>
      <c r="O1743" s="169">
        <f>IFERROR(MATCH(J1743,'Final List'!$J$4:$J$252,0),0)</f>
        <v>0</v>
      </c>
      <c r="P1743" s="169">
        <f>IFERROR(MATCH(J1743,'Final List'!$L$4:$L$252,0),0)</f>
        <v>0</v>
      </c>
      <c r="Q1743" s="169">
        <f>IFERROR(MATCH(J1743,'Final List'!$N$4:$N$252,0),0)</f>
        <v>0</v>
      </c>
      <c r="R1743" s="169">
        <f>IFERROR(MATCH(J1743,'Final List'!$P$4:$P$252,0),0)</f>
        <v>0</v>
      </c>
      <c r="S1743" s="169">
        <f t="shared" si="111"/>
        <v>0</v>
      </c>
      <c r="V1743" s="169" t="str">
        <f t="shared" si="109"/>
        <v>AGLOLO 3</v>
      </c>
      <c r="W1743" s="169" t="s">
        <v>2708</v>
      </c>
    </row>
    <row r="1744" spans="2:23" x14ac:dyDescent="0.25">
      <c r="B1744" s="169" t="s">
        <v>94</v>
      </c>
      <c r="C1744" s="169" t="s">
        <v>42</v>
      </c>
      <c r="D1744" s="169" t="s">
        <v>7301</v>
      </c>
      <c r="E1744" s="169" t="s">
        <v>221</v>
      </c>
      <c r="F1744" s="245" t="str">
        <f t="shared" si="110"/>
        <v>RobC 80</v>
      </c>
      <c r="G1744" s="169" t="s">
        <v>8199</v>
      </c>
      <c r="I1744" s="169" t="str">
        <f t="shared" si="108"/>
        <v>L07_JV_010W_WINZE STOPE</v>
      </c>
      <c r="J1744" s="169" t="s">
        <v>9234</v>
      </c>
      <c r="K1744" s="169">
        <f>IFERROR(MATCH(J1744,'Final List'!$B$4:$B$252,0),0)</f>
        <v>0</v>
      </c>
      <c r="L1744" s="169">
        <f>IFERROR(MATCH(J1744,'Final List'!$D$4:$D$252,0),0)</f>
        <v>0</v>
      </c>
      <c r="M1744" s="169">
        <f>IFERROR(MATCH(J1744,'Final List'!$F$4:$F$251,0),0)</f>
        <v>0</v>
      </c>
      <c r="N1744" s="169">
        <f>IFERROR(MATCH(J1744,'Final List'!$H$4:$H$252,0),0)</f>
        <v>0</v>
      </c>
      <c r="O1744" s="169">
        <f>IFERROR(MATCH(J1744,'Final List'!$J$4:$J$252,0),0)</f>
        <v>0</v>
      </c>
      <c r="P1744" s="169">
        <f>IFERROR(MATCH(J1744,'Final List'!$L$4:$L$252,0),0)</f>
        <v>0</v>
      </c>
      <c r="Q1744" s="169">
        <f>IFERROR(MATCH(J1744,'Final List'!$N$4:$N$252,0),0)</f>
        <v>0</v>
      </c>
      <c r="R1744" s="169">
        <f>IFERROR(MATCH(J1744,'Final List'!$P$4:$P$252,0),0)</f>
        <v>0</v>
      </c>
      <c r="S1744" s="169">
        <f t="shared" si="111"/>
        <v>0</v>
      </c>
      <c r="T1744" s="169" t="s">
        <v>68</v>
      </c>
      <c r="V1744" s="169" t="str">
        <f t="shared" si="109"/>
        <v>SHEPHERD AT 1</v>
      </c>
      <c r="W1744" s="169" t="s">
        <v>2719</v>
      </c>
    </row>
    <row r="1745" spans="2:23" x14ac:dyDescent="0.25">
      <c r="B1745" s="169" t="s">
        <v>258</v>
      </c>
      <c r="C1745" s="169" t="s">
        <v>45</v>
      </c>
      <c r="D1745" s="169" t="s">
        <v>5631</v>
      </c>
      <c r="E1745" s="169" t="s">
        <v>61</v>
      </c>
      <c r="F1745" s="245" t="str">
        <f t="shared" si="110"/>
        <v>Dhoz 71</v>
      </c>
      <c r="G1745" s="169" t="s">
        <v>372</v>
      </c>
      <c r="I1745" s="169" t="str">
        <f t="shared" si="108"/>
        <v>L10_DPVE_020E_DW</v>
      </c>
      <c r="J1745" s="169" t="s">
        <v>9236</v>
      </c>
      <c r="K1745" s="169">
        <f>IFERROR(MATCH(J1745,'Final List'!$B$4:$B$252,0),0)</f>
        <v>0</v>
      </c>
      <c r="L1745" s="169">
        <f>IFERROR(MATCH(J1745,'Final List'!$D$4:$D$252,0),0)</f>
        <v>0</v>
      </c>
      <c r="M1745" s="169">
        <f>IFERROR(MATCH(J1745,'Final List'!$F$4:$F$251,0),0)</f>
        <v>0</v>
      </c>
      <c r="N1745" s="169">
        <f>IFERROR(MATCH(J1745,'Final List'!$H$4:$H$252,0),0)</f>
        <v>0</v>
      </c>
      <c r="O1745" s="169">
        <f>IFERROR(MATCH(J1745,'Final List'!$J$4:$J$252,0),0)</f>
        <v>0</v>
      </c>
      <c r="P1745" s="169">
        <f>IFERROR(MATCH(J1745,'Final List'!$L$4:$L$252,0),0)</f>
        <v>0</v>
      </c>
      <c r="Q1745" s="169">
        <f>IFERROR(MATCH(J1745,'Final List'!$N$4:$N$252,0),0)</f>
        <v>0</v>
      </c>
      <c r="R1745" s="169">
        <f>IFERROR(MATCH(J1745,'Final List'!$P$4:$P$252,0),0)</f>
        <v>0</v>
      </c>
      <c r="S1745" s="169">
        <f t="shared" si="111"/>
        <v>0</v>
      </c>
      <c r="V1745" s="169" t="str">
        <f t="shared" si="109"/>
        <v>TAÑEZA 4</v>
      </c>
      <c r="W1745" s="169" t="s">
        <v>8896</v>
      </c>
    </row>
    <row r="1746" spans="2:23" x14ac:dyDescent="0.25">
      <c r="B1746" s="169" t="s">
        <v>1166</v>
      </c>
      <c r="C1746" s="169" t="s">
        <v>42</v>
      </c>
      <c r="D1746" s="169" t="s">
        <v>178</v>
      </c>
      <c r="E1746" s="169" t="s">
        <v>36</v>
      </c>
      <c r="F1746" s="245" t="str">
        <f t="shared" si="110"/>
        <v>StpS 77</v>
      </c>
      <c r="G1746" s="169" t="s">
        <v>6928</v>
      </c>
      <c r="I1746" s="169" t="str">
        <f t="shared" si="108"/>
        <v>L11_JV_048E_STOPE</v>
      </c>
      <c r="J1746" s="169" t="s">
        <v>9239</v>
      </c>
      <c r="K1746" s="169">
        <f>IFERROR(MATCH(J1746,'Final List'!$B$4:$B$252,0),0)</f>
        <v>0</v>
      </c>
      <c r="L1746" s="169">
        <f>IFERROR(MATCH(J1746,'Final List'!$D$4:$D$252,0),0)</f>
        <v>0</v>
      </c>
      <c r="M1746" s="169">
        <f>IFERROR(MATCH(J1746,'Final List'!$F$4:$F$251,0),0)</f>
        <v>0</v>
      </c>
      <c r="N1746" s="169">
        <f>IFERROR(MATCH(J1746,'Final List'!$H$4:$H$252,0),0)</f>
        <v>0</v>
      </c>
      <c r="O1746" s="169">
        <f>IFERROR(MATCH(J1746,'Final List'!$J$4:$J$252,0),0)</f>
        <v>0</v>
      </c>
      <c r="P1746" s="169">
        <f>IFERROR(MATCH(J1746,'Final List'!$L$4:$L$252,0),0)</f>
        <v>0</v>
      </c>
      <c r="Q1746" s="169">
        <f>IFERROR(MATCH(J1746,'Final List'!$N$4:$N$252,0),0)</f>
        <v>0</v>
      </c>
      <c r="R1746" s="169">
        <f>IFERROR(MATCH(J1746,'Final List'!$P$4:$P$252,0),0)</f>
        <v>0</v>
      </c>
      <c r="S1746" s="169">
        <f t="shared" si="111"/>
        <v>0</v>
      </c>
      <c r="T1746" s="169" t="s">
        <v>68</v>
      </c>
      <c r="V1746" s="169" t="str">
        <f t="shared" si="109"/>
        <v>DUHIG, P5</v>
      </c>
      <c r="W1746" s="169" t="s">
        <v>2711</v>
      </c>
    </row>
    <row r="1747" spans="2:23" x14ac:dyDescent="0.25">
      <c r="B1747" s="169" t="s">
        <v>1166</v>
      </c>
      <c r="C1747" s="169" t="s">
        <v>87</v>
      </c>
      <c r="D1747" s="169" t="s">
        <v>160</v>
      </c>
      <c r="E1747" s="169" t="s">
        <v>63</v>
      </c>
      <c r="F1747" s="245" t="str">
        <f t="shared" si="110"/>
        <v>Dhoz 71</v>
      </c>
      <c r="G1747" s="169" t="s">
        <v>464</v>
      </c>
      <c r="H1747" s="169" t="s">
        <v>474</v>
      </c>
      <c r="I1747" s="169" t="str">
        <f t="shared" si="108"/>
        <v>L11_NONE_042E_XCS</v>
      </c>
      <c r="J1747" s="169" t="s">
        <v>9240</v>
      </c>
      <c r="K1747" s="169">
        <f>IFERROR(MATCH(J1747,'Final List'!$B$4:$B$252,0),0)</f>
        <v>0</v>
      </c>
      <c r="L1747" s="169">
        <f>IFERROR(MATCH(J1747,'Final List'!$D$4:$D$252,0),0)</f>
        <v>0</v>
      </c>
      <c r="M1747" s="169">
        <f>IFERROR(MATCH(J1747,'Final List'!$F$4:$F$251,0),0)</f>
        <v>0</v>
      </c>
      <c r="N1747" s="169">
        <f>IFERROR(MATCH(J1747,'Final List'!$H$4:$H$252,0),0)</f>
        <v>0</v>
      </c>
      <c r="O1747" s="169">
        <f>IFERROR(MATCH(J1747,'Final List'!$J$4:$J$252,0),0)</f>
        <v>0</v>
      </c>
      <c r="P1747" s="169">
        <f>IFERROR(MATCH(J1747,'Final List'!$L$4:$L$252,0),0)</f>
        <v>0</v>
      </c>
      <c r="Q1747" s="169">
        <f>IFERROR(MATCH(J1747,'Final List'!$N$4:$N$252,0),0)</f>
        <v>0</v>
      </c>
      <c r="R1747" s="169">
        <f>IFERROR(MATCH(J1747,'Final List'!$P$4:$P$252,0),0)</f>
        <v>0</v>
      </c>
      <c r="S1747" s="169">
        <f t="shared" si="111"/>
        <v>0</v>
      </c>
      <c r="V1747" s="169" t="str">
        <f t="shared" si="109"/>
        <v>TORMIS 1</v>
      </c>
      <c r="W1747" s="169" t="s">
        <v>8898</v>
      </c>
    </row>
    <row r="1748" spans="2:23" x14ac:dyDescent="0.25">
      <c r="B1748" s="169" t="s">
        <v>93</v>
      </c>
      <c r="C1748" s="169" t="s">
        <v>57</v>
      </c>
      <c r="D1748" s="169" t="s">
        <v>117</v>
      </c>
      <c r="E1748" s="169" t="s">
        <v>62</v>
      </c>
      <c r="F1748" s="245" t="str">
        <f t="shared" si="110"/>
        <v>RobC 80</v>
      </c>
      <c r="G1748" s="169" t="s">
        <v>5980</v>
      </c>
      <c r="I1748" s="169" t="str">
        <f t="shared" si="108"/>
        <v>L06_JVSPLIT_006W_ROBBING</v>
      </c>
      <c r="J1748" s="169" t="s">
        <v>9242</v>
      </c>
      <c r="K1748" s="169">
        <f>IFERROR(MATCH(J1748,'Final List'!$B$4:$B$252,0),0)</f>
        <v>0</v>
      </c>
      <c r="L1748" s="169">
        <f>IFERROR(MATCH(J1748,'Final List'!$D$4:$D$252,0),0)</f>
        <v>0</v>
      </c>
      <c r="M1748" s="169">
        <f>IFERROR(MATCH(J1748,'Final List'!$F$4:$F$251,0),0)</f>
        <v>0</v>
      </c>
      <c r="N1748" s="169">
        <f>IFERROR(MATCH(J1748,'Final List'!$H$4:$H$252,0),0)</f>
        <v>0</v>
      </c>
      <c r="O1748" s="169">
        <f>IFERROR(MATCH(J1748,'Final List'!$J$4:$J$252,0),0)</f>
        <v>0</v>
      </c>
      <c r="P1748" s="169">
        <f>IFERROR(MATCH(J1748,'Final List'!$L$4:$L$252,0),0)</f>
        <v>0</v>
      </c>
      <c r="Q1748" s="169">
        <f>IFERROR(MATCH(J1748,'Final List'!$N$4:$N$252,0),0)</f>
        <v>0</v>
      </c>
      <c r="R1748" s="169">
        <f>IFERROR(MATCH(J1748,'Final List'!$P$4:$P$252,0),0)</f>
        <v>0</v>
      </c>
      <c r="S1748" s="169">
        <f t="shared" si="111"/>
        <v>0</v>
      </c>
      <c r="T1748" s="169" t="s">
        <v>48</v>
      </c>
      <c r="V1748" s="169" t="str">
        <f t="shared" si="109"/>
        <v xml:space="preserve">CARIKITAN 2 </v>
      </c>
      <c r="W1748" s="169" t="s">
        <v>236</v>
      </c>
    </row>
    <row r="1749" spans="2:23" x14ac:dyDescent="0.25">
      <c r="B1749" s="169" t="s">
        <v>93</v>
      </c>
      <c r="C1749" s="169" t="s">
        <v>87</v>
      </c>
      <c r="D1749" s="169" t="s">
        <v>5844</v>
      </c>
      <c r="E1749" s="169" t="s">
        <v>63</v>
      </c>
      <c r="F1749" s="245" t="str">
        <f t="shared" si="110"/>
        <v>Dhoz 71</v>
      </c>
      <c r="G1749" s="169" t="s">
        <v>862</v>
      </c>
      <c r="I1749" s="169" t="str">
        <f t="shared" si="108"/>
        <v>L06_NONE_009W_XCS</v>
      </c>
      <c r="J1749" s="169" t="s">
        <v>9258</v>
      </c>
      <c r="K1749" s="169">
        <f>IFERROR(MATCH(J1749,'Final List'!$B$4:$B$252,0),0)</f>
        <v>0</v>
      </c>
      <c r="L1749" s="169">
        <f>IFERROR(MATCH(J1749,'Final List'!$D$4:$D$252,0),0)</f>
        <v>0</v>
      </c>
      <c r="M1749" s="169">
        <f>IFERROR(MATCH(J1749,'Final List'!$F$4:$F$251,0),0)</f>
        <v>0</v>
      </c>
      <c r="N1749" s="169">
        <f>IFERROR(MATCH(J1749,'Final List'!$H$4:$H$252,0),0)</f>
        <v>0</v>
      </c>
      <c r="O1749" s="169">
        <f>IFERROR(MATCH(J1749,'Final List'!$J$4:$J$252,0),0)</f>
        <v>0</v>
      </c>
      <c r="P1749" s="169">
        <f>IFERROR(MATCH(J1749,'Final List'!$L$4:$L$252,0),0)</f>
        <v>0</v>
      </c>
      <c r="Q1749" s="169">
        <f>IFERROR(MATCH(J1749,'Final List'!$N$4:$N$252,0),0)</f>
        <v>0</v>
      </c>
      <c r="R1749" s="169">
        <f>IFERROR(MATCH(J1749,'Final List'!$P$4:$P$252,0),0)</f>
        <v>0</v>
      </c>
      <c r="S1749" s="169">
        <f t="shared" si="111"/>
        <v>0</v>
      </c>
      <c r="V1749" s="169" t="str">
        <f t="shared" si="109"/>
        <v>REBOTE 1</v>
      </c>
      <c r="W1749" s="169" t="s">
        <v>8897</v>
      </c>
    </row>
    <row r="1750" spans="2:23" x14ac:dyDescent="0.25">
      <c r="B1750" s="169" t="s">
        <v>91</v>
      </c>
      <c r="C1750" s="169" t="s">
        <v>42</v>
      </c>
      <c r="D1750" s="169" t="s">
        <v>7451</v>
      </c>
      <c r="E1750" s="169" t="s">
        <v>61</v>
      </c>
      <c r="F1750" s="245" t="str">
        <f t="shared" si="110"/>
        <v>Dhoz 71</v>
      </c>
      <c r="G1750" s="169" t="s">
        <v>7250</v>
      </c>
      <c r="H1750" s="169" t="s">
        <v>5713</v>
      </c>
      <c r="I1750" s="169" t="str">
        <f t="shared" si="108"/>
        <v>L04_JV_040W_DW</v>
      </c>
      <c r="J1750" s="169" t="s">
        <v>9244</v>
      </c>
      <c r="K1750" s="169">
        <f>IFERROR(MATCH(J1750,'Final List'!$B$4:$B$252,0),0)</f>
        <v>0</v>
      </c>
      <c r="L1750" s="169">
        <f>IFERROR(MATCH(J1750,'Final List'!$D$4:$D$252,0),0)</f>
        <v>0</v>
      </c>
      <c r="M1750" s="169">
        <f>IFERROR(MATCH(J1750,'Final List'!$F$4:$F$251,0),0)</f>
        <v>0</v>
      </c>
      <c r="N1750" s="169">
        <f>IFERROR(MATCH(J1750,'Final List'!$H$4:$H$252,0),0)</f>
        <v>0</v>
      </c>
      <c r="O1750" s="169">
        <f>IFERROR(MATCH(J1750,'Final List'!$J$4:$J$252,0),0)</f>
        <v>0</v>
      </c>
      <c r="P1750" s="169">
        <f>IFERROR(MATCH(J1750,'Final List'!$L$4:$L$252,0),0)</f>
        <v>0</v>
      </c>
      <c r="Q1750" s="169">
        <f>IFERROR(MATCH(J1750,'Final List'!$N$4:$N$252,0),0)</f>
        <v>0</v>
      </c>
      <c r="R1750" s="169">
        <f>IFERROR(MATCH(J1750,'Final List'!$P$4:$P$252,0),0)</f>
        <v>0</v>
      </c>
      <c r="S1750" s="169">
        <f t="shared" si="111"/>
        <v>0</v>
      </c>
      <c r="V1750" s="169" t="str">
        <f t="shared" si="109"/>
        <v>SHEPHERD AL 1</v>
      </c>
      <c r="W1750" s="169" t="s">
        <v>8895</v>
      </c>
    </row>
    <row r="1751" spans="2:23" x14ac:dyDescent="0.25">
      <c r="B1751" s="169" t="s">
        <v>93</v>
      </c>
      <c r="C1751" s="169" t="s">
        <v>42</v>
      </c>
      <c r="D1751" s="169" t="s">
        <v>5614</v>
      </c>
      <c r="E1751" s="169" t="s">
        <v>62</v>
      </c>
      <c r="F1751" s="245" t="str">
        <f t="shared" si="110"/>
        <v>RobS 79</v>
      </c>
      <c r="G1751" s="169" t="s">
        <v>349</v>
      </c>
      <c r="I1751" s="169" t="str">
        <f t="shared" si="108"/>
        <v>L06_JV_055E_ROBBING</v>
      </c>
      <c r="J1751" s="169" t="s">
        <v>706</v>
      </c>
      <c r="K1751" s="169">
        <f>IFERROR(MATCH(J1751,'Final List'!$B$4:$B$252,0),0)</f>
        <v>0</v>
      </c>
      <c r="L1751" s="169">
        <f>IFERROR(MATCH(J1751,'Final List'!$D$4:$D$252,0),0)</f>
        <v>0</v>
      </c>
      <c r="M1751" s="169">
        <f>IFERROR(MATCH(J1751,'Final List'!$F$4:$F$251,0),0)</f>
        <v>0</v>
      </c>
      <c r="N1751" s="169">
        <f>IFERROR(MATCH(J1751,'Final List'!$H$4:$H$252,0),0)</f>
        <v>0</v>
      </c>
      <c r="O1751" s="169">
        <f>IFERROR(MATCH(J1751,'Final List'!$J$4:$J$252,0),0)</f>
        <v>0</v>
      </c>
      <c r="P1751" s="169">
        <f>IFERROR(MATCH(J1751,'Final List'!$L$4:$L$252,0),0)</f>
        <v>0</v>
      </c>
      <c r="Q1751" s="169">
        <f>IFERROR(MATCH(J1751,'Final List'!$N$4:$N$252,0),0)</f>
        <v>0</v>
      </c>
      <c r="R1751" s="169">
        <f>IFERROR(MATCH(J1751,'Final List'!$P$4:$P$252,0),0)</f>
        <v>0</v>
      </c>
      <c r="S1751" s="169">
        <f t="shared" si="111"/>
        <v>0</v>
      </c>
      <c r="T1751" s="169" t="s">
        <v>68</v>
      </c>
      <c r="V1751" s="169" t="str">
        <f t="shared" si="109"/>
        <v>QUIJANO 2</v>
      </c>
      <c r="W1751" s="169" t="s">
        <v>2707</v>
      </c>
    </row>
    <row r="1752" spans="2:23" x14ac:dyDescent="0.25">
      <c r="B1752" s="169" t="s">
        <v>93</v>
      </c>
      <c r="C1752" s="169" t="s">
        <v>42</v>
      </c>
      <c r="D1752" s="169" t="s">
        <v>5940</v>
      </c>
      <c r="E1752" s="169" t="s">
        <v>62</v>
      </c>
      <c r="F1752" s="245" t="str">
        <f t="shared" si="110"/>
        <v>RobS 79</v>
      </c>
      <c r="G1752" s="169" t="s">
        <v>936</v>
      </c>
      <c r="I1752" s="169" t="str">
        <f t="shared" si="108"/>
        <v>L06_JV_022W_ROBBING</v>
      </c>
      <c r="J1752" s="169" t="s">
        <v>9254</v>
      </c>
      <c r="K1752" s="169">
        <f>IFERROR(MATCH(J1752,'Final List'!$B$4:$B$252,0),0)</f>
        <v>0</v>
      </c>
      <c r="L1752" s="169">
        <f>IFERROR(MATCH(J1752,'Final List'!$D$4:$D$252,0),0)</f>
        <v>0</v>
      </c>
      <c r="M1752" s="169">
        <f>IFERROR(MATCH(J1752,'Final List'!$F$4:$F$251,0),0)</f>
        <v>0</v>
      </c>
      <c r="N1752" s="169">
        <f>IFERROR(MATCH(J1752,'Final List'!$H$4:$H$252,0),0)</f>
        <v>0</v>
      </c>
      <c r="O1752" s="169">
        <f>IFERROR(MATCH(J1752,'Final List'!$J$4:$J$252,0),0)</f>
        <v>0</v>
      </c>
      <c r="P1752" s="169">
        <f>IFERROR(MATCH(J1752,'Final List'!$L$4:$L$252,0),0)</f>
        <v>0</v>
      </c>
      <c r="Q1752" s="169">
        <f>IFERROR(MATCH(J1752,'Final List'!$N$4:$N$252,0),0)</f>
        <v>0</v>
      </c>
      <c r="R1752" s="169">
        <f>IFERROR(MATCH(J1752,'Final List'!$P$4:$P$252,0),0)</f>
        <v>0</v>
      </c>
      <c r="S1752" s="169">
        <f t="shared" si="111"/>
        <v>0</v>
      </c>
      <c r="T1752" s="169" t="s">
        <v>68</v>
      </c>
      <c r="V1752" s="169" t="str">
        <f t="shared" si="109"/>
        <v>GUNAY 2</v>
      </c>
      <c r="W1752" s="169" t="s">
        <v>2707</v>
      </c>
    </row>
    <row r="1753" spans="2:23" x14ac:dyDescent="0.25">
      <c r="B1753" s="169" t="s">
        <v>93</v>
      </c>
      <c r="C1753" s="169" t="s">
        <v>42</v>
      </c>
      <c r="D1753" s="169" t="s">
        <v>104</v>
      </c>
      <c r="E1753" s="169" t="s">
        <v>19</v>
      </c>
      <c r="F1753" s="245" t="str">
        <f t="shared" si="110"/>
        <v>DVR 72</v>
      </c>
      <c r="G1753" s="169" t="s">
        <v>577</v>
      </c>
      <c r="I1753" s="169" t="str">
        <f t="shared" si="108"/>
        <v>L06_JV_029W_RAISE</v>
      </c>
      <c r="J1753" s="169" t="s">
        <v>9256</v>
      </c>
      <c r="K1753" s="169">
        <f>IFERROR(MATCH(J1753,'Final List'!$B$4:$B$252,0),0)</f>
        <v>0</v>
      </c>
      <c r="L1753" s="169">
        <f>IFERROR(MATCH(J1753,'Final List'!$D$4:$D$252,0),0)</f>
        <v>0</v>
      </c>
      <c r="M1753" s="169">
        <f>IFERROR(MATCH(J1753,'Final List'!$F$4:$F$251,0),0)</f>
        <v>0</v>
      </c>
      <c r="N1753" s="169">
        <f>IFERROR(MATCH(J1753,'Final List'!$H$4:$H$252,0),0)</f>
        <v>0</v>
      </c>
      <c r="O1753" s="169">
        <f>IFERROR(MATCH(J1753,'Final List'!$J$4:$J$252,0),0)</f>
        <v>0</v>
      </c>
      <c r="P1753" s="169">
        <f>IFERROR(MATCH(J1753,'Final List'!$L$4:$L$252,0),0)</f>
        <v>0</v>
      </c>
      <c r="Q1753" s="169">
        <f>IFERROR(MATCH(J1753,'Final List'!$N$4:$N$252,0),0)</f>
        <v>0</v>
      </c>
      <c r="R1753" s="169">
        <f>IFERROR(MATCH(J1753,'Final List'!$P$4:$P$252,0),0)</f>
        <v>0</v>
      </c>
      <c r="S1753" s="169">
        <f t="shared" si="111"/>
        <v>0</v>
      </c>
      <c r="V1753" s="169" t="str">
        <f t="shared" si="109"/>
        <v>CARIKITAN 1</v>
      </c>
      <c r="W1753" s="169" t="s">
        <v>2715</v>
      </c>
    </row>
    <row r="1754" spans="2:23" x14ac:dyDescent="0.25">
      <c r="B1754" s="169" t="s">
        <v>93</v>
      </c>
      <c r="C1754" s="169" t="s">
        <v>42</v>
      </c>
      <c r="D1754" s="169" t="s">
        <v>195</v>
      </c>
      <c r="E1754" s="169" t="s">
        <v>62</v>
      </c>
      <c r="F1754" s="245" t="str">
        <f t="shared" si="110"/>
        <v>RobS 79</v>
      </c>
      <c r="G1754" s="169" t="s">
        <v>9352</v>
      </c>
      <c r="H1754" t="s">
        <v>936</v>
      </c>
      <c r="I1754" s="169" t="str">
        <f t="shared" si="108"/>
        <v>L06_JV_008W_ROBBING</v>
      </c>
      <c r="J1754" s="169" t="s">
        <v>9257</v>
      </c>
      <c r="K1754" s="169">
        <f>IFERROR(MATCH(J1754,'Final List'!$B$4:$B$252,0),0)</f>
        <v>0</v>
      </c>
      <c r="L1754" s="169">
        <f>IFERROR(MATCH(J1754,'Final List'!$D$4:$D$252,0),0)</f>
        <v>0</v>
      </c>
      <c r="M1754" s="169">
        <f>IFERROR(MATCH(J1754,'Final List'!$F$4:$F$251,0),0)</f>
        <v>0</v>
      </c>
      <c r="N1754" s="169">
        <f>IFERROR(MATCH(J1754,'Final List'!$H$4:$H$252,0),0)</f>
        <v>0</v>
      </c>
      <c r="O1754" s="169">
        <f>IFERROR(MATCH(J1754,'Final List'!$J$4:$J$252,0),0)</f>
        <v>0</v>
      </c>
      <c r="P1754" s="169">
        <f>IFERROR(MATCH(J1754,'Final List'!$L$4:$L$252,0),0)</f>
        <v>0</v>
      </c>
      <c r="Q1754" s="169">
        <f>IFERROR(MATCH(J1754,'Final List'!$N$4:$N$252,0),0)</f>
        <v>0</v>
      </c>
      <c r="R1754" s="169">
        <f>IFERROR(MATCH(J1754,'Final List'!$P$4:$P$252,0),0)</f>
        <v>0</v>
      </c>
      <c r="S1754" s="169">
        <f t="shared" si="111"/>
        <v>0</v>
      </c>
      <c r="T1754" s="169" t="s">
        <v>68</v>
      </c>
      <c r="V1754" s="169" t="str">
        <f t="shared" si="109"/>
        <v>GUNAY 2</v>
      </c>
      <c r="W1754" s="169" t="s">
        <v>2707</v>
      </c>
    </row>
    <row r="1755" spans="2:23" x14ac:dyDescent="0.25">
      <c r="B1755" s="169" t="s">
        <v>1166</v>
      </c>
      <c r="C1755" s="169" t="s">
        <v>45</v>
      </c>
      <c r="D1755" s="169" t="s">
        <v>5741</v>
      </c>
      <c r="E1755" s="169" t="s">
        <v>19</v>
      </c>
      <c r="F1755" s="245" t="str">
        <f t="shared" si="110"/>
        <v>DVR 72</v>
      </c>
      <c r="G1755" s="169" t="s">
        <v>340</v>
      </c>
      <c r="I1755" s="169" t="str">
        <f t="shared" si="108"/>
        <v>L11_DPVE_035E_RAISE</v>
      </c>
      <c r="J1755" s="169" t="s">
        <v>9259</v>
      </c>
      <c r="K1755" s="169">
        <f>IFERROR(MATCH(J1755,'Final List'!$B$4:$B$252,0),0)</f>
        <v>0</v>
      </c>
      <c r="L1755" s="169">
        <f>IFERROR(MATCH(J1755,'Final List'!$D$4:$D$252,0),0)</f>
        <v>0</v>
      </c>
      <c r="M1755" s="169">
        <f>IFERROR(MATCH(J1755,'Final List'!$F$4:$F$251,0),0)</f>
        <v>0</v>
      </c>
      <c r="N1755" s="169">
        <f>IFERROR(MATCH(J1755,'Final List'!$H$4:$H$252,0),0)</f>
        <v>0</v>
      </c>
      <c r="O1755" s="169">
        <f>IFERROR(MATCH(J1755,'Final List'!$J$4:$J$252,0),0)</f>
        <v>0</v>
      </c>
      <c r="P1755" s="169">
        <f>IFERROR(MATCH(J1755,'Final List'!$L$4:$L$252,0),0)</f>
        <v>0</v>
      </c>
      <c r="Q1755" s="169">
        <f>IFERROR(MATCH(J1755,'Final List'!$N$4:$N$252,0),0)</f>
        <v>0</v>
      </c>
      <c r="R1755" s="169">
        <f>IFERROR(MATCH(J1755,'Final List'!$P$4:$P$252,0),0)</f>
        <v>0</v>
      </c>
      <c r="S1755" s="169">
        <f t="shared" si="111"/>
        <v>0</v>
      </c>
      <c r="V1755" s="169" t="str">
        <f t="shared" si="109"/>
        <v>COMAINGKING</v>
      </c>
      <c r="W1755" s="169" t="s">
        <v>2715</v>
      </c>
    </row>
    <row r="1756" spans="2:23" x14ac:dyDescent="0.25">
      <c r="B1756" s="169" t="s">
        <v>95</v>
      </c>
      <c r="C1756" s="169" t="s">
        <v>56</v>
      </c>
      <c r="D1756" s="169" t="s">
        <v>165</v>
      </c>
      <c r="E1756" s="169" t="s">
        <v>441</v>
      </c>
      <c r="F1756" s="245" t="str">
        <f t="shared" si="110"/>
        <v>RobC 80</v>
      </c>
      <c r="G1756" s="169" t="s">
        <v>583</v>
      </c>
      <c r="I1756" s="169" t="str">
        <f t="shared" si="108"/>
        <v>L08_GHVFW_056E_WINZE STOPE PREP</v>
      </c>
      <c r="J1756" s="169" t="s">
        <v>9260</v>
      </c>
      <c r="K1756" s="169">
        <f>IFERROR(MATCH(J1756,'Final List'!$B$4:$B$252,0),0)</f>
        <v>0</v>
      </c>
      <c r="L1756" s="169">
        <f>IFERROR(MATCH(J1756,'Final List'!$D$4:$D$252,0),0)</f>
        <v>0</v>
      </c>
      <c r="M1756" s="169">
        <f>IFERROR(MATCH(J1756,'Final List'!$F$4:$F$251,0),0)</f>
        <v>0</v>
      </c>
      <c r="N1756" s="169">
        <f>IFERROR(MATCH(J1756,'Final List'!$H$4:$H$252,0),0)</f>
        <v>0</v>
      </c>
      <c r="O1756" s="169">
        <f>IFERROR(MATCH(J1756,'Final List'!$J$4:$J$252,0),0)</f>
        <v>0</v>
      </c>
      <c r="P1756" s="169">
        <f>IFERROR(MATCH(J1756,'Final List'!$L$4:$L$252,0),0)</f>
        <v>0</v>
      </c>
      <c r="Q1756" s="169">
        <f>IFERROR(MATCH(J1756,'Final List'!$N$4:$N$252,0),0)</f>
        <v>0</v>
      </c>
      <c r="R1756" s="169">
        <f>IFERROR(MATCH(J1756,'Final List'!$P$4:$P$252,0),0)</f>
        <v>0</v>
      </c>
      <c r="S1756" s="169">
        <f t="shared" si="111"/>
        <v>0</v>
      </c>
      <c r="T1756" s="169" t="s">
        <v>68</v>
      </c>
      <c r="V1756" s="169" t="str">
        <f t="shared" si="109"/>
        <v>VILLARANTE 1</v>
      </c>
      <c r="W1756" s="169" t="s">
        <v>2716</v>
      </c>
    </row>
    <row r="1757" spans="2:23" x14ac:dyDescent="0.25">
      <c r="B1757" s="169" t="s">
        <v>92</v>
      </c>
      <c r="C1757" s="169" t="s">
        <v>57</v>
      </c>
      <c r="D1757" s="169" t="s">
        <v>106</v>
      </c>
      <c r="E1757" s="169" t="s">
        <v>60</v>
      </c>
      <c r="F1757" s="245" t="str">
        <f t="shared" si="110"/>
        <v>Dhoz 71</v>
      </c>
      <c r="G1757" s="169" t="s">
        <v>2969</v>
      </c>
      <c r="I1757" s="169" t="str">
        <f t="shared" ref="I1757:I1820" si="112">CONCATENATE(B1757,"_",C1757,"_",D1757,"_",E1757)</f>
        <v>L05_JVSPLIT_033W_DE</v>
      </c>
      <c r="J1757" s="169" t="s">
        <v>9316</v>
      </c>
      <c r="K1757" s="169">
        <f>IFERROR(MATCH(J1757,'Final List'!$B$4:$B$252,0),0)</f>
        <v>0</v>
      </c>
      <c r="L1757" s="169">
        <f>IFERROR(MATCH(J1757,'Final List'!$D$4:$D$252,0),0)</f>
        <v>0</v>
      </c>
      <c r="M1757" s="169">
        <f>IFERROR(MATCH(J1757,'Final List'!$F$4:$F$251,0),0)</f>
        <v>0</v>
      </c>
      <c r="N1757" s="169">
        <f>IFERROR(MATCH(J1757,'Final List'!$H$4:$H$252,0),0)</f>
        <v>0</v>
      </c>
      <c r="O1757" s="169">
        <f>IFERROR(MATCH(J1757,'Final List'!$J$4:$J$252,0),0)</f>
        <v>0</v>
      </c>
      <c r="P1757" s="169">
        <f>IFERROR(MATCH(J1757,'Final List'!$L$4:$L$252,0),0)</f>
        <v>0</v>
      </c>
      <c r="Q1757" s="169">
        <f>IFERROR(MATCH(J1757,'Final List'!$N$4:$N$252,0),0)</f>
        <v>0</v>
      </c>
      <c r="R1757" s="169">
        <f>IFERROR(MATCH(J1757,'Final List'!$P$4:$P$252,0),0)</f>
        <v>0</v>
      </c>
      <c r="S1757" s="169">
        <f t="shared" si="111"/>
        <v>0</v>
      </c>
      <c r="V1757" s="169" t="str">
        <f t="shared" si="109"/>
        <v>SAMBERE 1</v>
      </c>
      <c r="W1757" s="169" t="s">
        <v>8895</v>
      </c>
    </row>
    <row r="1758" spans="2:23" x14ac:dyDescent="0.25">
      <c r="B1758" s="169" t="s">
        <v>93</v>
      </c>
      <c r="C1758" s="169" t="s">
        <v>43</v>
      </c>
      <c r="D1758" s="169" t="s">
        <v>6033</v>
      </c>
      <c r="E1758" s="169" t="s">
        <v>61</v>
      </c>
      <c r="F1758" s="245" t="str">
        <f t="shared" si="110"/>
        <v>Dhoz 71</v>
      </c>
      <c r="G1758" s="169" t="s">
        <v>936</v>
      </c>
      <c r="I1758" s="169" t="str">
        <f t="shared" si="112"/>
        <v>L06_GHVSPLIT_013E_DW</v>
      </c>
      <c r="J1758" s="169" t="s">
        <v>9278</v>
      </c>
      <c r="K1758" s="169">
        <f>IFERROR(MATCH(J1758,'Final List'!$B$4:$B$252,0),0)</f>
        <v>0</v>
      </c>
      <c r="L1758" s="169">
        <f>IFERROR(MATCH(J1758,'Final List'!$D$4:$D$252,0),0)</f>
        <v>0</v>
      </c>
      <c r="M1758" s="169">
        <f>IFERROR(MATCH(J1758,'Final List'!$F$4:$F$251,0),0)</f>
        <v>0</v>
      </c>
      <c r="N1758" s="169">
        <f>IFERROR(MATCH(J1758,'Final List'!$H$4:$H$252,0),0)</f>
        <v>0</v>
      </c>
      <c r="O1758" s="169">
        <f>IFERROR(MATCH(J1758,'Final List'!$J$4:$J$252,0),0)</f>
        <v>0</v>
      </c>
      <c r="P1758" s="169">
        <f>IFERROR(MATCH(J1758,'Final List'!$L$4:$L$252,0),0)</f>
        <v>0</v>
      </c>
      <c r="Q1758" s="169">
        <f>IFERROR(MATCH(J1758,'Final List'!$N$4:$N$252,0),0)</f>
        <v>0</v>
      </c>
      <c r="R1758" s="169">
        <f>IFERROR(MATCH(J1758,'Final List'!$P$4:$P$252,0),0)</f>
        <v>0</v>
      </c>
      <c r="S1758" s="169">
        <f t="shared" si="111"/>
        <v>0</v>
      </c>
      <c r="V1758" s="169" t="str">
        <f t="shared" si="109"/>
        <v>GUNAY 2</v>
      </c>
      <c r="W1758" s="169" t="s">
        <v>8895</v>
      </c>
    </row>
    <row r="1759" spans="2:23" x14ac:dyDescent="0.25">
      <c r="B1759" s="169" t="s">
        <v>258</v>
      </c>
      <c r="C1759" s="169" t="s">
        <v>45</v>
      </c>
      <c r="D1759" s="169" t="s">
        <v>284</v>
      </c>
      <c r="E1759" s="169" t="s">
        <v>36</v>
      </c>
      <c r="F1759" s="245" t="str">
        <f t="shared" si="110"/>
        <v>StpS 77</v>
      </c>
      <c r="G1759" s="169" t="s">
        <v>5700</v>
      </c>
      <c r="I1759" s="169" t="str">
        <f t="shared" si="112"/>
        <v>L10_DPVE_061E_STOPE</v>
      </c>
      <c r="J1759" s="169" t="s">
        <v>9263</v>
      </c>
      <c r="K1759" s="169">
        <f>IFERROR(MATCH(J1759,'Final List'!$B$4:$B$252,0),0)</f>
        <v>0</v>
      </c>
      <c r="L1759" s="169">
        <f>IFERROR(MATCH(J1759,'Final List'!$D$4:$D$252,0),0)</f>
        <v>0</v>
      </c>
      <c r="M1759" s="169">
        <f>IFERROR(MATCH(J1759,'Final List'!$F$4:$F$251,0),0)</f>
        <v>0</v>
      </c>
      <c r="N1759" s="169">
        <f>IFERROR(MATCH(J1759,'Final List'!$H$4:$H$252,0),0)</f>
        <v>0</v>
      </c>
      <c r="O1759" s="169">
        <f>IFERROR(MATCH(J1759,'Final List'!$J$4:$J$252,0),0)</f>
        <v>0</v>
      </c>
      <c r="P1759" s="169">
        <f>IFERROR(MATCH(J1759,'Final List'!$L$4:$L$252,0),0)</f>
        <v>0</v>
      </c>
      <c r="Q1759" s="169">
        <f>IFERROR(MATCH(J1759,'Final List'!$N$4:$N$252,0),0)</f>
        <v>0</v>
      </c>
      <c r="R1759" s="169">
        <f>IFERROR(MATCH(J1759,'Final List'!$P$4:$P$252,0),0)</f>
        <v>0</v>
      </c>
      <c r="S1759" s="169">
        <f t="shared" si="111"/>
        <v>0</v>
      </c>
      <c r="T1759" s="169" t="s">
        <v>68</v>
      </c>
      <c r="V1759" s="169" t="str">
        <f t="shared" si="109"/>
        <v>LARGO 1</v>
      </c>
      <c r="W1759" s="169" t="s">
        <v>2713</v>
      </c>
    </row>
    <row r="1760" spans="2:23" x14ac:dyDescent="0.25">
      <c r="B1760" s="169" t="s">
        <v>96</v>
      </c>
      <c r="C1760" s="169" t="s">
        <v>45</v>
      </c>
      <c r="D1760" s="169" t="s">
        <v>7915</v>
      </c>
      <c r="E1760" s="169" t="s">
        <v>211</v>
      </c>
      <c r="F1760" s="245" t="str">
        <f t="shared" si="110"/>
        <v>StpS 77</v>
      </c>
      <c r="G1760" s="169" t="s">
        <v>9266</v>
      </c>
      <c r="I1760" s="169" t="str">
        <f t="shared" si="112"/>
        <v>L09_DPVE_083E_STOPE PREP</v>
      </c>
      <c r="J1760" s="169" t="s">
        <v>9265</v>
      </c>
      <c r="K1760" s="169">
        <f>IFERROR(MATCH(J1760,'Final List'!$B$4:$B$252,0),0)</f>
        <v>0</v>
      </c>
      <c r="L1760" s="169">
        <f>IFERROR(MATCH(J1760,'Final List'!$D$4:$D$252,0),0)</f>
        <v>0</v>
      </c>
      <c r="M1760" s="169">
        <f>IFERROR(MATCH(J1760,'Final List'!$F$4:$F$251,0),0)</f>
        <v>0</v>
      </c>
      <c r="N1760" s="169">
        <f>IFERROR(MATCH(J1760,'Final List'!$H$4:$H$252,0),0)</f>
        <v>0</v>
      </c>
      <c r="O1760" s="169">
        <f>IFERROR(MATCH(J1760,'Final List'!$J$4:$J$252,0),0)</f>
        <v>0</v>
      </c>
      <c r="P1760" s="169">
        <f>IFERROR(MATCH(J1760,'Final List'!$L$4:$L$252,0),0)</f>
        <v>0</v>
      </c>
      <c r="Q1760" s="169">
        <f>IFERROR(MATCH(J1760,'Final List'!$N$4:$N$252,0),0)</f>
        <v>0</v>
      </c>
      <c r="R1760" s="169">
        <f>IFERROR(MATCH(J1760,'Final List'!$P$4:$P$252,0),0)</f>
        <v>0</v>
      </c>
      <c r="S1760" s="169">
        <f t="shared" si="111"/>
        <v>0</v>
      </c>
      <c r="T1760" s="169" t="s">
        <v>68</v>
      </c>
      <c r="V1760" s="169" t="str">
        <f t="shared" si="109"/>
        <v>PASIT NORMAN 3</v>
      </c>
      <c r="W1760" s="169" t="s">
        <v>2712</v>
      </c>
    </row>
    <row r="1761" spans="2:23" x14ac:dyDescent="0.25">
      <c r="B1761" s="169" t="s">
        <v>96</v>
      </c>
      <c r="C1761" s="169" t="s">
        <v>38</v>
      </c>
      <c r="D1761" s="169" t="s">
        <v>5835</v>
      </c>
      <c r="E1761" s="169" t="s">
        <v>441</v>
      </c>
      <c r="F1761" s="245" t="str">
        <f t="shared" si="110"/>
        <v>RobC 80</v>
      </c>
      <c r="G1761" s="169" t="s">
        <v>364</v>
      </c>
      <c r="I1761" s="169" t="str">
        <f t="shared" si="112"/>
        <v>L09_GHV_003W_WINZE STOPE PREP</v>
      </c>
      <c r="J1761" s="169" t="s">
        <v>9268</v>
      </c>
      <c r="K1761" s="169">
        <f>IFERROR(MATCH(J1761,'Final List'!$B$4:$B$252,0),0)</f>
        <v>0</v>
      </c>
      <c r="L1761" s="169">
        <f>IFERROR(MATCH(J1761,'Final List'!$D$4:$D$252,0),0)</f>
        <v>0</v>
      </c>
      <c r="M1761" s="169">
        <f>IFERROR(MATCH(J1761,'Final List'!$F$4:$F$251,0),0)</f>
        <v>0</v>
      </c>
      <c r="N1761" s="169">
        <f>IFERROR(MATCH(J1761,'Final List'!$H$4:$H$252,0),0)</f>
        <v>0</v>
      </c>
      <c r="O1761" s="169">
        <f>IFERROR(MATCH(J1761,'Final List'!$J$4:$J$252,0),0)</f>
        <v>0</v>
      </c>
      <c r="P1761" s="169">
        <f>IFERROR(MATCH(J1761,'Final List'!$L$4:$L$252,0),0)</f>
        <v>0</v>
      </c>
      <c r="Q1761" s="169">
        <f>IFERROR(MATCH(J1761,'Final List'!$N$4:$N$252,0),0)</f>
        <v>0</v>
      </c>
      <c r="R1761" s="169">
        <f>IFERROR(MATCH(J1761,'Final List'!$P$4:$P$252,0),0)</f>
        <v>0</v>
      </c>
      <c r="S1761" s="169">
        <f t="shared" si="111"/>
        <v>0</v>
      </c>
      <c r="T1761" s="169" t="s">
        <v>68</v>
      </c>
      <c r="V1761" s="169" t="str">
        <f t="shared" si="109"/>
        <v>BABOR 3</v>
      </c>
      <c r="W1761" s="169" t="s">
        <v>2716</v>
      </c>
    </row>
    <row r="1762" spans="2:23" x14ac:dyDescent="0.25">
      <c r="B1762" s="169" t="s">
        <v>96</v>
      </c>
      <c r="C1762" s="169" t="s">
        <v>45</v>
      </c>
      <c r="D1762" s="169" t="s">
        <v>247</v>
      </c>
      <c r="E1762" s="169" t="s">
        <v>6154</v>
      </c>
      <c r="F1762" s="245" t="str">
        <f t="shared" si="110"/>
        <v>Dhoz 71</v>
      </c>
      <c r="G1762" s="169" t="s">
        <v>362</v>
      </c>
      <c r="I1762" s="169" t="str">
        <f t="shared" si="112"/>
        <v>L09_DPVE_080E_DW_ISL</v>
      </c>
      <c r="J1762" s="169" t="s">
        <v>9270</v>
      </c>
      <c r="K1762" s="169">
        <f>IFERROR(MATCH(J1762,'Final List'!$B$4:$B$252,0),0)</f>
        <v>0</v>
      </c>
      <c r="L1762" s="169">
        <f>IFERROR(MATCH(J1762,'Final List'!$D$4:$D$252,0),0)</f>
        <v>0</v>
      </c>
      <c r="M1762" s="169">
        <f>IFERROR(MATCH(J1762,'Final List'!$F$4:$F$251,0),0)</f>
        <v>0</v>
      </c>
      <c r="N1762" s="169">
        <f>IFERROR(MATCH(J1762,'Final List'!$H$4:$H$252,0),0)</f>
        <v>0</v>
      </c>
      <c r="O1762" s="169">
        <f>IFERROR(MATCH(J1762,'Final List'!$J$4:$J$252,0),0)</f>
        <v>0</v>
      </c>
      <c r="P1762" s="169">
        <f>IFERROR(MATCH(J1762,'Final List'!$L$4:$L$252,0),0)</f>
        <v>0</v>
      </c>
      <c r="Q1762" s="169">
        <f>IFERROR(MATCH(J1762,'Final List'!$N$4:$N$252,0),0)</f>
        <v>0</v>
      </c>
      <c r="R1762" s="169">
        <f>IFERROR(MATCH(J1762,'Final List'!$P$4:$P$252,0),0)</f>
        <v>0</v>
      </c>
      <c r="S1762" s="169">
        <f t="shared" si="111"/>
        <v>0</v>
      </c>
      <c r="V1762" s="169" t="str">
        <f t="shared" si="109"/>
        <v>BABOR 1</v>
      </c>
      <c r="W1762" s="169" t="s">
        <v>2708</v>
      </c>
    </row>
    <row r="1763" spans="2:23" x14ac:dyDescent="0.25">
      <c r="B1763" s="169" t="s">
        <v>258</v>
      </c>
      <c r="C1763" s="169" t="s">
        <v>59</v>
      </c>
      <c r="D1763" s="169" t="s">
        <v>109</v>
      </c>
      <c r="E1763" s="169" t="s">
        <v>61</v>
      </c>
      <c r="F1763" s="245" t="str">
        <f t="shared" si="110"/>
        <v>Dhoz 71</v>
      </c>
      <c r="G1763" s="169" t="s">
        <v>318</v>
      </c>
      <c r="I1763" s="169" t="str">
        <f t="shared" si="112"/>
        <v>L10_GHVHW_002W_DW</v>
      </c>
      <c r="J1763" s="169" t="s">
        <v>9275</v>
      </c>
      <c r="K1763" s="169">
        <f>IFERROR(MATCH(J1763,'Final List'!$B$4:$B$252,0),0)</f>
        <v>0</v>
      </c>
      <c r="L1763" s="169">
        <f>IFERROR(MATCH(J1763,'Final List'!$D$4:$D$252,0),0)</f>
        <v>0</v>
      </c>
      <c r="M1763" s="169">
        <f>IFERROR(MATCH(J1763,'Final List'!$F$4:$F$251,0),0)</f>
        <v>0</v>
      </c>
      <c r="N1763" s="169">
        <f>IFERROR(MATCH(J1763,'Final List'!$H$4:$H$252,0),0)</f>
        <v>0</v>
      </c>
      <c r="O1763" s="169">
        <f>IFERROR(MATCH(J1763,'Final List'!$J$4:$J$252,0),0)</f>
        <v>0</v>
      </c>
      <c r="P1763" s="169">
        <f>IFERROR(MATCH(J1763,'Final List'!$L$4:$L$252,0),0)</f>
        <v>0</v>
      </c>
      <c r="Q1763" s="169">
        <f>IFERROR(MATCH(J1763,'Final List'!$N$4:$N$252,0),0)</f>
        <v>0</v>
      </c>
      <c r="R1763" s="169">
        <f>IFERROR(MATCH(J1763,'Final List'!$P$4:$P$252,0),0)</f>
        <v>0</v>
      </c>
      <c r="S1763" s="169">
        <f t="shared" si="111"/>
        <v>0</v>
      </c>
      <c r="V1763" s="169" t="str">
        <f t="shared" si="109"/>
        <v>PARAGUYA 3</v>
      </c>
      <c r="W1763" s="169" t="s">
        <v>8896</v>
      </c>
    </row>
    <row r="1764" spans="2:23" x14ac:dyDescent="0.25">
      <c r="B1764" s="169" t="s">
        <v>93</v>
      </c>
      <c r="C1764" s="169" t="s">
        <v>59</v>
      </c>
      <c r="D1764" s="169" t="s">
        <v>6941</v>
      </c>
      <c r="E1764" s="169" t="s">
        <v>19</v>
      </c>
      <c r="F1764" s="245" t="str">
        <f t="shared" si="110"/>
        <v>DVR 72</v>
      </c>
      <c r="G1764" s="169" t="s">
        <v>2459</v>
      </c>
      <c r="H1764" s="169" t="s">
        <v>349</v>
      </c>
      <c r="I1764" s="169" t="str">
        <f t="shared" si="112"/>
        <v>L06_GHVHW_031W_RAISE</v>
      </c>
      <c r="J1764" s="169" t="s">
        <v>9276</v>
      </c>
      <c r="K1764" s="169">
        <f>IFERROR(MATCH(J1764,'Final List'!$B$4:$B$252,0),0)</f>
        <v>0</v>
      </c>
      <c r="L1764" s="169">
        <f>IFERROR(MATCH(J1764,'Final List'!$D$4:$D$252,0),0)</f>
        <v>0</v>
      </c>
      <c r="M1764" s="169">
        <f>IFERROR(MATCH(J1764,'Final List'!$F$4:$F$251,0),0)</f>
        <v>0</v>
      </c>
      <c r="N1764" s="169">
        <f>IFERROR(MATCH(J1764,'Final List'!$H$4:$H$252,0),0)</f>
        <v>0</v>
      </c>
      <c r="O1764" s="169">
        <f>IFERROR(MATCH(J1764,'Final List'!$J$4:$J$252,0),0)</f>
        <v>0</v>
      </c>
      <c r="P1764" s="169">
        <f>IFERROR(MATCH(J1764,'Final List'!$L$4:$L$252,0),0)</f>
        <v>0</v>
      </c>
      <c r="Q1764" s="169">
        <f>IFERROR(MATCH(J1764,'Final List'!$N$4:$N$252,0),0)</f>
        <v>0</v>
      </c>
      <c r="R1764" s="169">
        <f>IFERROR(MATCH(J1764,'Final List'!$P$4:$P$252,0),0)</f>
        <v>0</v>
      </c>
      <c r="S1764" s="169">
        <f t="shared" si="111"/>
        <v>0</v>
      </c>
      <c r="V1764" s="169" t="str">
        <f t="shared" si="109"/>
        <v>QUIJANO 2</v>
      </c>
      <c r="W1764" s="169" t="s">
        <v>2715</v>
      </c>
    </row>
    <row r="1765" spans="2:23" x14ac:dyDescent="0.25">
      <c r="B1765" s="169" t="s">
        <v>96</v>
      </c>
      <c r="C1765" s="169" t="s">
        <v>55</v>
      </c>
      <c r="D1765" s="169" t="s">
        <v>110</v>
      </c>
      <c r="E1765" s="169" t="s">
        <v>19</v>
      </c>
      <c r="F1765" s="245" t="str">
        <f t="shared" si="110"/>
        <v>DVR 72</v>
      </c>
      <c r="G1765" s="169" t="s">
        <v>336</v>
      </c>
      <c r="H1765" s="169" t="s">
        <v>8201</v>
      </c>
      <c r="I1765" s="169" t="str">
        <f t="shared" si="112"/>
        <v>L09_JVFW_004E_RAISE</v>
      </c>
      <c r="J1765" s="169" t="s">
        <v>9449</v>
      </c>
      <c r="K1765" s="169">
        <f>IFERROR(MATCH(J1765,'Final List'!$B$4:$B$252,0),0)</f>
        <v>0</v>
      </c>
      <c r="L1765" s="169">
        <f>IFERROR(MATCH(J1765,'Final List'!$D$4:$D$252,0),0)</f>
        <v>0</v>
      </c>
      <c r="M1765" s="169">
        <f>IFERROR(MATCH(J1765,'Final List'!$F$4:$F$251,0),0)</f>
        <v>0</v>
      </c>
      <c r="N1765" s="169">
        <f>IFERROR(MATCH(J1765,'Final List'!$H$4:$H$252,0),0)</f>
        <v>0</v>
      </c>
      <c r="O1765" s="169">
        <f>IFERROR(MATCH(J1765,'Final List'!$J$4:$J$252,0),0)</f>
        <v>0</v>
      </c>
      <c r="P1765" s="169">
        <f>IFERROR(MATCH(J1765,'Final List'!$L$4:$L$252,0),0)</f>
        <v>0</v>
      </c>
      <c r="Q1765" s="169">
        <f>IFERROR(MATCH(J1765,'Final List'!$N$4:$N$252,0),0)</f>
        <v>0</v>
      </c>
      <c r="R1765" s="169">
        <f>IFERROR(MATCH(J1765,'Final List'!$P$4:$P$252,0),0)</f>
        <v>0</v>
      </c>
      <c r="S1765" s="169">
        <f t="shared" si="111"/>
        <v>0</v>
      </c>
      <c r="V1765" s="169" t="str">
        <f t="shared" si="109"/>
        <v>PANSIT, NORMAN 1</v>
      </c>
      <c r="W1765" s="169" t="s">
        <v>2715</v>
      </c>
    </row>
    <row r="1766" spans="2:23" x14ac:dyDescent="0.25">
      <c r="B1766" s="169" t="s">
        <v>258</v>
      </c>
      <c r="C1766" s="169" t="s">
        <v>57</v>
      </c>
      <c r="D1766" s="169" t="s">
        <v>160</v>
      </c>
      <c r="E1766" s="169" t="s">
        <v>19</v>
      </c>
      <c r="F1766" s="245" t="str">
        <f t="shared" si="110"/>
        <v>DVR 72</v>
      </c>
      <c r="G1766" s="169" t="s">
        <v>375</v>
      </c>
      <c r="I1766" s="169" t="str">
        <f t="shared" si="112"/>
        <v>L10_JVSPLIT_042E_RAISE</v>
      </c>
      <c r="J1766" s="169" t="s">
        <v>9281</v>
      </c>
      <c r="K1766" s="169">
        <f>IFERROR(MATCH(J1766,'Final List'!$B$4:$B$252,0),0)</f>
        <v>0</v>
      </c>
      <c r="L1766" s="169">
        <f>IFERROR(MATCH(J1766,'Final List'!$D$4:$D$252,0),0)</f>
        <v>0</v>
      </c>
      <c r="M1766" s="169">
        <f>IFERROR(MATCH(J1766,'Final List'!$F$4:$F$251,0),0)</f>
        <v>0</v>
      </c>
      <c r="N1766" s="169">
        <f>IFERROR(MATCH(J1766,'Final List'!$H$4:$H$252,0),0)</f>
        <v>0</v>
      </c>
      <c r="O1766" s="169">
        <f>IFERROR(MATCH(J1766,'Final List'!$J$4:$J$252,0),0)</f>
        <v>0</v>
      </c>
      <c r="P1766" s="169">
        <f>IFERROR(MATCH(J1766,'Final List'!$L$4:$L$252,0),0)</f>
        <v>0</v>
      </c>
      <c r="Q1766" s="169">
        <f>IFERROR(MATCH(J1766,'Final List'!$N$4:$N$252,0),0)</f>
        <v>0</v>
      </c>
      <c r="R1766" s="169">
        <f>IFERROR(MATCH(J1766,'Final List'!$P$4:$P$252,0),0)</f>
        <v>0</v>
      </c>
      <c r="S1766" s="169">
        <f t="shared" si="111"/>
        <v>0</v>
      </c>
      <c r="V1766" s="169" t="str">
        <f t="shared" si="109"/>
        <v>TAÑEZA 7</v>
      </c>
      <c r="W1766" s="169" t="s">
        <v>2715</v>
      </c>
    </row>
    <row r="1767" spans="2:23" x14ac:dyDescent="0.25">
      <c r="B1767" s="169" t="s">
        <v>96</v>
      </c>
      <c r="C1767" s="169" t="s">
        <v>45</v>
      </c>
      <c r="D1767" s="169" t="s">
        <v>284</v>
      </c>
      <c r="E1767" s="169" t="s">
        <v>20</v>
      </c>
      <c r="F1767" s="245" t="str">
        <f t="shared" si="110"/>
        <v>DVW 74</v>
      </c>
      <c r="G1767" s="169" t="s">
        <v>746</v>
      </c>
      <c r="I1767" s="169" t="str">
        <f t="shared" si="112"/>
        <v>L09_DPVE_061E_WINZE</v>
      </c>
      <c r="J1767" s="169" t="s">
        <v>9430</v>
      </c>
      <c r="K1767" s="169">
        <f>IFERROR(MATCH(J1767,'Final List'!$B$4:$B$252,0),0)</f>
        <v>0</v>
      </c>
      <c r="L1767" s="169">
        <f>IFERROR(MATCH(J1767,'Final List'!$D$4:$D$252,0),0)</f>
        <v>0</v>
      </c>
      <c r="M1767" s="169">
        <f>IFERROR(MATCH(J1767,'Final List'!$F$4:$F$251,0),0)</f>
        <v>0</v>
      </c>
      <c r="N1767" s="169">
        <f>IFERROR(MATCH(J1767,'Final List'!$H$4:$H$252,0),0)</f>
        <v>0</v>
      </c>
      <c r="O1767" s="169">
        <f>IFERROR(MATCH(J1767,'Final List'!$J$4:$J$252,0),0)</f>
        <v>0</v>
      </c>
      <c r="P1767" s="169">
        <f>IFERROR(MATCH(J1767,'Final List'!$L$4:$L$252,0),0)</f>
        <v>0</v>
      </c>
      <c r="Q1767" s="169">
        <f>IFERROR(MATCH(J1767,'Final List'!$N$4:$N$252,0),0)</f>
        <v>0</v>
      </c>
      <c r="R1767" s="169">
        <f>IFERROR(MATCH(J1767,'Final List'!$P$4:$P$252,0),0)</f>
        <v>0</v>
      </c>
      <c r="S1767" s="169">
        <f t="shared" si="111"/>
        <v>0</v>
      </c>
      <c r="V1767" s="169" t="str">
        <f t="shared" si="109"/>
        <v>CANOY 1</v>
      </c>
      <c r="W1767" s="169" t="s">
        <v>2706</v>
      </c>
    </row>
    <row r="1768" spans="2:23" x14ac:dyDescent="0.25">
      <c r="B1768" s="169" t="s">
        <v>96</v>
      </c>
      <c r="C1768" s="169" t="s">
        <v>38</v>
      </c>
      <c r="D1768" s="169" t="s">
        <v>173</v>
      </c>
      <c r="E1768" s="169" t="s">
        <v>20</v>
      </c>
      <c r="F1768" s="245" t="str">
        <f t="shared" si="110"/>
        <v>DVW 74</v>
      </c>
      <c r="G1768" s="169" t="s">
        <v>350</v>
      </c>
      <c r="H1768" s="169" t="s">
        <v>936</v>
      </c>
      <c r="I1768" s="169" t="str">
        <f t="shared" si="112"/>
        <v>L09_GHV_049E_WINZE</v>
      </c>
      <c r="J1768" s="169" t="s">
        <v>9282</v>
      </c>
      <c r="K1768" s="169">
        <f>IFERROR(MATCH(J1768,'Final List'!$B$4:$B$252,0),0)</f>
        <v>0</v>
      </c>
      <c r="L1768" s="169">
        <f>IFERROR(MATCH(J1768,'Final List'!$D$4:$D$252,0),0)</f>
        <v>0</v>
      </c>
      <c r="M1768" s="169">
        <f>IFERROR(MATCH(J1768,'Final List'!$F$4:$F$251,0),0)</f>
        <v>0</v>
      </c>
      <c r="N1768" s="169">
        <f>IFERROR(MATCH(J1768,'Final List'!$H$4:$H$252,0),0)</f>
        <v>0</v>
      </c>
      <c r="O1768" s="169">
        <f>IFERROR(MATCH(J1768,'Final List'!$J$4:$J$252,0),0)</f>
        <v>0</v>
      </c>
      <c r="P1768" s="169">
        <f>IFERROR(MATCH(J1768,'Final List'!$L$4:$L$252,0),0)</f>
        <v>0</v>
      </c>
      <c r="Q1768" s="169">
        <f>IFERROR(MATCH(J1768,'Final List'!$N$4:$N$252,0),0)</f>
        <v>0</v>
      </c>
      <c r="R1768" s="169">
        <f>IFERROR(MATCH(J1768,'Final List'!$P$4:$P$252,0),0)</f>
        <v>0</v>
      </c>
      <c r="S1768" s="169">
        <f t="shared" si="111"/>
        <v>0</v>
      </c>
      <c r="V1768" s="169" t="str">
        <f t="shared" si="109"/>
        <v>GUNAY 2</v>
      </c>
      <c r="W1768" s="169" t="s">
        <v>2706</v>
      </c>
    </row>
    <row r="1769" spans="2:23" x14ac:dyDescent="0.25">
      <c r="B1769" s="169" t="s">
        <v>96</v>
      </c>
      <c r="C1769" s="169" t="s">
        <v>56</v>
      </c>
      <c r="D1769" s="169" t="s">
        <v>179</v>
      </c>
      <c r="E1769" s="169" t="s">
        <v>20</v>
      </c>
      <c r="F1769" s="245" t="str">
        <f t="shared" si="110"/>
        <v>DVW 74</v>
      </c>
      <c r="G1769" s="169" t="s">
        <v>2970</v>
      </c>
      <c r="I1769" s="169" t="str">
        <f t="shared" si="112"/>
        <v>L09_GHVFW_050E_WINZE</v>
      </c>
      <c r="J1769" s="169" t="s">
        <v>9283</v>
      </c>
      <c r="K1769" s="169">
        <f>IFERROR(MATCH(J1769,'Final List'!$B$4:$B$252,0),0)</f>
        <v>0</v>
      </c>
      <c r="L1769" s="169">
        <f>IFERROR(MATCH(J1769,'Final List'!$D$4:$D$252,0),0)</f>
        <v>0</v>
      </c>
      <c r="M1769" s="169">
        <f>IFERROR(MATCH(J1769,'Final List'!$F$4:$F$251,0),0)</f>
        <v>0</v>
      </c>
      <c r="N1769" s="169">
        <f>IFERROR(MATCH(J1769,'Final List'!$H$4:$H$252,0),0)</f>
        <v>0</v>
      </c>
      <c r="O1769" s="169">
        <f>IFERROR(MATCH(J1769,'Final List'!$J$4:$J$252,0),0)</f>
        <v>0</v>
      </c>
      <c r="P1769" s="169">
        <f>IFERROR(MATCH(J1769,'Final List'!$L$4:$L$252,0),0)</f>
        <v>0</v>
      </c>
      <c r="Q1769" s="169">
        <f>IFERROR(MATCH(J1769,'Final List'!$N$4:$N$252,0),0)</f>
        <v>0</v>
      </c>
      <c r="R1769" s="169">
        <f>IFERROR(MATCH(J1769,'Final List'!$P$4:$P$252,0),0)</f>
        <v>0</v>
      </c>
      <c r="S1769" s="169">
        <f t="shared" si="111"/>
        <v>0</v>
      </c>
      <c r="V1769" s="169" t="str">
        <f t="shared" si="109"/>
        <v>FABROA 2</v>
      </c>
      <c r="W1769" s="169" t="s">
        <v>2706</v>
      </c>
    </row>
    <row r="1770" spans="2:23" x14ac:dyDescent="0.25">
      <c r="B1770" s="169" t="s">
        <v>1166</v>
      </c>
      <c r="C1770" s="169" t="s">
        <v>55</v>
      </c>
      <c r="D1770" s="169" t="s">
        <v>284</v>
      </c>
      <c r="E1770" s="169" t="s">
        <v>19</v>
      </c>
      <c r="F1770" s="245" t="str">
        <f t="shared" si="110"/>
        <v>DVR 72</v>
      </c>
      <c r="G1770" s="169" t="s">
        <v>355</v>
      </c>
      <c r="I1770" s="169" t="str">
        <f t="shared" si="112"/>
        <v>L11_JVFW_061E_RAISE</v>
      </c>
      <c r="J1770" s="169" t="s">
        <v>9288</v>
      </c>
      <c r="K1770" s="169">
        <f>IFERROR(MATCH(J1770,'Final List'!$B$4:$B$252,0),0)</f>
        <v>0</v>
      </c>
      <c r="L1770" s="169">
        <f>IFERROR(MATCH(J1770,'Final List'!$D$4:$D$252,0),0)</f>
        <v>0</v>
      </c>
      <c r="M1770" s="169">
        <f>IFERROR(MATCH(J1770,'Final List'!$F$4:$F$251,0),0)</f>
        <v>0</v>
      </c>
      <c r="N1770" s="169">
        <f>IFERROR(MATCH(J1770,'Final List'!$H$4:$H$252,0),0)</f>
        <v>0</v>
      </c>
      <c r="O1770" s="169">
        <f>IFERROR(MATCH(J1770,'Final List'!$J$4:$J$252,0),0)</f>
        <v>0</v>
      </c>
      <c r="P1770" s="169">
        <f>IFERROR(MATCH(J1770,'Final List'!$L$4:$L$252,0),0)</f>
        <v>0</v>
      </c>
      <c r="Q1770" s="169">
        <f>IFERROR(MATCH(J1770,'Final List'!$N$4:$N$252,0),0)</f>
        <v>0</v>
      </c>
      <c r="R1770" s="169">
        <f>IFERROR(MATCH(J1770,'Final List'!$P$4:$P$252,0),0)</f>
        <v>0</v>
      </c>
      <c r="S1770" s="169">
        <f t="shared" si="111"/>
        <v>0</v>
      </c>
      <c r="V1770" s="169" t="str">
        <f t="shared" si="109"/>
        <v>BAÑEZ 2</v>
      </c>
      <c r="W1770" s="169" t="s">
        <v>2715</v>
      </c>
    </row>
    <row r="1771" spans="2:23" x14ac:dyDescent="0.25">
      <c r="B1771" s="169" t="s">
        <v>91</v>
      </c>
      <c r="C1771" s="169" t="s">
        <v>44</v>
      </c>
      <c r="D1771" s="169" t="s">
        <v>6983</v>
      </c>
      <c r="E1771" s="169" t="s">
        <v>61</v>
      </c>
      <c r="F1771" s="245" t="str">
        <f t="shared" si="110"/>
        <v>Dhoz 71</v>
      </c>
      <c r="G1771" s="169" t="s">
        <v>8193</v>
      </c>
      <c r="I1771" s="169" t="str">
        <f t="shared" si="112"/>
        <v>L04_CV_001E_DW</v>
      </c>
      <c r="J1771" s="169" t="s">
        <v>9293</v>
      </c>
      <c r="K1771" s="169">
        <f>IFERROR(MATCH(J1771,'Final List'!$B$4:$B$252,0),0)</f>
        <v>0</v>
      </c>
      <c r="L1771" s="169">
        <f>IFERROR(MATCH(J1771,'Final List'!$D$4:$D$252,0),0)</f>
        <v>0</v>
      </c>
      <c r="M1771" s="169">
        <f>IFERROR(MATCH(J1771,'Final List'!$F$4:$F$251,0),0)</f>
        <v>0</v>
      </c>
      <c r="N1771" s="169">
        <f>IFERROR(MATCH(J1771,'Final List'!$H$4:$H$252,0),0)</f>
        <v>0</v>
      </c>
      <c r="O1771" s="169">
        <f>IFERROR(MATCH(J1771,'Final List'!$J$4:$J$252,0),0)</f>
        <v>0</v>
      </c>
      <c r="P1771" s="169">
        <f>IFERROR(MATCH(J1771,'Final List'!$L$4:$L$252,0),0)</f>
        <v>0</v>
      </c>
      <c r="Q1771" s="169">
        <f>IFERROR(MATCH(J1771,'Final List'!$N$4:$N$252,0),0)</f>
        <v>0</v>
      </c>
      <c r="R1771" s="169">
        <f>IFERROR(MATCH(J1771,'Final List'!$P$4:$P$252,0),0)</f>
        <v>0</v>
      </c>
      <c r="S1771" s="169">
        <f t="shared" si="111"/>
        <v>0</v>
      </c>
      <c r="V1771" s="169" t="str">
        <f t="shared" si="109"/>
        <v>SHEPHERD AR 1</v>
      </c>
      <c r="W1771" s="169" t="s">
        <v>8895</v>
      </c>
    </row>
    <row r="1772" spans="2:23" x14ac:dyDescent="0.25">
      <c r="B1772" s="169" t="s">
        <v>92</v>
      </c>
      <c r="C1772" s="169" t="s">
        <v>87</v>
      </c>
      <c r="D1772" s="169" t="s">
        <v>5975</v>
      </c>
      <c r="E1772" s="169" t="s">
        <v>63</v>
      </c>
      <c r="F1772" s="245" t="str">
        <f t="shared" si="110"/>
        <v>Dhoz 71</v>
      </c>
      <c r="G1772" s="169" t="s">
        <v>5699</v>
      </c>
      <c r="I1772" s="169" t="str">
        <f t="shared" si="112"/>
        <v>L05_NONE_028E_XCS</v>
      </c>
      <c r="J1772" s="169" t="s">
        <v>1264</v>
      </c>
      <c r="K1772" s="169">
        <f>IFERROR(MATCH(J1772,'Final List'!$B$4:$B$252,0),0)</f>
        <v>0</v>
      </c>
      <c r="L1772" s="169">
        <f>IFERROR(MATCH(J1772,'Final List'!$D$4:$D$252,0),0)</f>
        <v>0</v>
      </c>
      <c r="M1772" s="169">
        <f>IFERROR(MATCH(J1772,'Final List'!$F$4:$F$251,0),0)</f>
        <v>0</v>
      </c>
      <c r="N1772" s="169">
        <f>IFERROR(MATCH(J1772,'Final List'!$H$4:$H$252,0),0)</f>
        <v>0</v>
      </c>
      <c r="O1772" s="169">
        <f>IFERROR(MATCH(J1772,'Final List'!$J$4:$J$252,0),0)</f>
        <v>0</v>
      </c>
      <c r="P1772" s="169">
        <f>IFERROR(MATCH(J1772,'Final List'!$L$4:$L$252,0),0)</f>
        <v>0</v>
      </c>
      <c r="Q1772" s="169">
        <f>IFERROR(MATCH(J1772,'Final List'!$N$4:$N$252,0),0)</f>
        <v>0</v>
      </c>
      <c r="R1772" s="169">
        <f>IFERROR(MATCH(J1772,'Final List'!$P$4:$P$252,0),0)</f>
        <v>0</v>
      </c>
      <c r="S1772" s="169">
        <f t="shared" si="111"/>
        <v>0</v>
      </c>
      <c r="V1772" s="169" t="str">
        <f t="shared" si="109"/>
        <v>PARAN 2</v>
      </c>
      <c r="W1772" s="169" t="s">
        <v>2714</v>
      </c>
    </row>
    <row r="1773" spans="2:23" x14ac:dyDescent="0.25">
      <c r="B1773" s="169" t="s">
        <v>94</v>
      </c>
      <c r="C1773" s="169" t="s">
        <v>45</v>
      </c>
      <c r="D1773" s="169" t="s">
        <v>6033</v>
      </c>
      <c r="E1773" s="169" t="s">
        <v>221</v>
      </c>
      <c r="F1773" s="245" t="str">
        <f t="shared" si="110"/>
        <v>RobC 80</v>
      </c>
      <c r="G1773" s="169" t="s">
        <v>5921</v>
      </c>
      <c r="I1773" s="169" t="str">
        <f t="shared" si="112"/>
        <v>L07_DPVE_013E_WINZE STOPE</v>
      </c>
      <c r="J1773" s="169" t="s">
        <v>9304</v>
      </c>
      <c r="K1773" s="169">
        <f>IFERROR(MATCH(J1773,'Final List'!$B$4:$B$252,0),0)</f>
        <v>0</v>
      </c>
      <c r="L1773" s="169">
        <f>IFERROR(MATCH(J1773,'Final List'!$D$4:$D$252,0),0)</f>
        <v>0</v>
      </c>
      <c r="M1773" s="169">
        <f>IFERROR(MATCH(J1773,'Final List'!$F$4:$F$251,0),0)</f>
        <v>0</v>
      </c>
      <c r="N1773" s="169">
        <f>IFERROR(MATCH(J1773,'Final List'!$H$4:$H$252,0),0)</f>
        <v>0</v>
      </c>
      <c r="O1773" s="169">
        <f>IFERROR(MATCH(J1773,'Final List'!$J$4:$J$252,0),0)</f>
        <v>0</v>
      </c>
      <c r="P1773" s="169">
        <f>IFERROR(MATCH(J1773,'Final List'!$L$4:$L$252,0),0)</f>
        <v>0</v>
      </c>
      <c r="Q1773" s="169">
        <f>IFERROR(MATCH(J1773,'Final List'!$N$4:$N$252,0),0)</f>
        <v>0</v>
      </c>
      <c r="R1773" s="169">
        <f>IFERROR(MATCH(J1773,'Final List'!$P$4:$P$252,0),0)</f>
        <v>0</v>
      </c>
      <c r="S1773" s="169">
        <f t="shared" si="111"/>
        <v>0</v>
      </c>
      <c r="T1773" s="169" t="s">
        <v>68</v>
      </c>
      <c r="V1773" s="169" t="str">
        <f t="shared" si="109"/>
        <v>TURRA 2</v>
      </c>
      <c r="W1773" s="169" t="s">
        <v>2705</v>
      </c>
    </row>
    <row r="1774" spans="2:23" x14ac:dyDescent="0.25">
      <c r="B1774" s="169" t="s">
        <v>1166</v>
      </c>
      <c r="C1774" s="169" t="s">
        <v>55</v>
      </c>
      <c r="D1774" s="169" t="s">
        <v>173</v>
      </c>
      <c r="E1774" s="169" t="s">
        <v>61</v>
      </c>
      <c r="F1774" s="245" t="str">
        <f t="shared" si="110"/>
        <v>Dhoz 71</v>
      </c>
      <c r="G1774" s="169" t="s">
        <v>862</v>
      </c>
      <c r="H1774" s="169" t="s">
        <v>10131</v>
      </c>
      <c r="I1774" s="169" t="str">
        <f t="shared" si="112"/>
        <v>L11_JVFW_049E_DW</v>
      </c>
      <c r="J1774" s="169" t="s">
        <v>10446</v>
      </c>
      <c r="K1774" s="169">
        <f>IFERROR(MATCH(J1774,'Final List'!$B$4:$B$252,0),0)</f>
        <v>0</v>
      </c>
      <c r="L1774" s="169">
        <f>IFERROR(MATCH(J1774,'Final List'!$D$4:$D$252,0),0)</f>
        <v>0</v>
      </c>
      <c r="M1774" s="169">
        <f>IFERROR(MATCH(J1774,'Final List'!$F$4:$F$251,0),0)</f>
        <v>0</v>
      </c>
      <c r="N1774" s="169">
        <f>IFERROR(MATCH(J1774,'Final List'!$H$4:$H$252,0),0)</f>
        <v>0</v>
      </c>
      <c r="O1774" s="169">
        <f>IFERROR(MATCH(J1774,'Final List'!$J$4:$J$252,0),0)</f>
        <v>0</v>
      </c>
      <c r="P1774" s="169">
        <f>IFERROR(MATCH(J1774,'Final List'!$L$4:$L$252,0),0)</f>
        <v>0</v>
      </c>
      <c r="Q1774" s="169">
        <f>IFERROR(MATCH(J1774,'Final List'!$N$4:$N$252,0),0)</f>
        <v>0</v>
      </c>
      <c r="R1774" s="169">
        <f>IFERROR(MATCH(J1774,'Final List'!$P$4:$P$252,0),0)</f>
        <v>0</v>
      </c>
      <c r="S1774" s="169">
        <f t="shared" si="111"/>
        <v>0</v>
      </c>
      <c r="V1774" s="169" t="str">
        <f t="shared" si="109"/>
        <v>ALEÑAR 2.</v>
      </c>
      <c r="W1774" s="169" t="s">
        <v>8896</v>
      </c>
    </row>
    <row r="1775" spans="2:23" x14ac:dyDescent="0.25">
      <c r="B1775" s="169" t="s">
        <v>91</v>
      </c>
      <c r="C1775" s="169" t="s">
        <v>87</v>
      </c>
      <c r="D1775" s="169" t="s">
        <v>6983</v>
      </c>
      <c r="E1775" s="169" t="s">
        <v>37</v>
      </c>
      <c r="F1775" s="245" t="str">
        <f t="shared" si="110"/>
        <v>Dhoz 71</v>
      </c>
      <c r="G1775" s="169" t="s">
        <v>8193</v>
      </c>
      <c r="I1775" s="169" t="str">
        <f t="shared" si="112"/>
        <v>L04_NONE_001E_XCN</v>
      </c>
      <c r="J1775" s="169" t="s">
        <v>9310</v>
      </c>
      <c r="K1775" s="169">
        <f>IFERROR(MATCH(J1775,'Final List'!$B$4:$B$252,0),0)</f>
        <v>0</v>
      </c>
      <c r="L1775" s="169">
        <f>IFERROR(MATCH(J1775,'Final List'!$D$4:$D$252,0),0)</f>
        <v>0</v>
      </c>
      <c r="M1775" s="169">
        <f>IFERROR(MATCH(J1775,'Final List'!$F$4:$F$251,0),0)</f>
        <v>0</v>
      </c>
      <c r="N1775" s="169">
        <f>IFERROR(MATCH(J1775,'Final List'!$H$4:$H$252,0),0)</f>
        <v>0</v>
      </c>
      <c r="O1775" s="169">
        <f>IFERROR(MATCH(J1775,'Final List'!$J$4:$J$252,0),0)</f>
        <v>0</v>
      </c>
      <c r="P1775" s="169">
        <f>IFERROR(MATCH(J1775,'Final List'!$L$4:$L$252,0),0)</f>
        <v>0</v>
      </c>
      <c r="Q1775" s="169">
        <f>IFERROR(MATCH(J1775,'Final List'!$N$4:$N$252,0),0)</f>
        <v>0</v>
      </c>
      <c r="R1775" s="169">
        <f>IFERROR(MATCH(J1775,'Final List'!$P$4:$P$252,0),0)</f>
        <v>0</v>
      </c>
      <c r="S1775" s="169">
        <f t="shared" si="111"/>
        <v>0</v>
      </c>
      <c r="V1775" s="169" t="str">
        <f t="shared" si="109"/>
        <v>SHEPHERD AR 1</v>
      </c>
      <c r="W1775" s="169" t="s">
        <v>8897</v>
      </c>
    </row>
    <row r="1776" spans="2:23" x14ac:dyDescent="0.25">
      <c r="B1776" s="169" t="s">
        <v>1166</v>
      </c>
      <c r="C1776" s="169" t="s">
        <v>57</v>
      </c>
      <c r="D1776" s="169" t="s">
        <v>197</v>
      </c>
      <c r="E1776" s="169" t="s">
        <v>61</v>
      </c>
      <c r="F1776" s="245" t="str">
        <f t="shared" si="110"/>
        <v>Dhoz 71</v>
      </c>
      <c r="G1776" s="169" t="s">
        <v>342</v>
      </c>
      <c r="H1776" s="169" t="s">
        <v>862</v>
      </c>
      <c r="I1776" s="169" t="str">
        <f t="shared" si="112"/>
        <v>L11_JVSPLIT_070E_DW</v>
      </c>
      <c r="J1776" s="169" t="s">
        <v>9311</v>
      </c>
      <c r="K1776" s="169">
        <f>IFERROR(MATCH(J1776,'Final List'!$B$4:$B$252,0),0)</f>
        <v>0</v>
      </c>
      <c r="L1776" s="169">
        <f>IFERROR(MATCH(J1776,'Final List'!$D$4:$D$252,0),0)</f>
        <v>0</v>
      </c>
      <c r="M1776" s="169">
        <f>IFERROR(MATCH(J1776,'Final List'!$F$4:$F$251,0),0)</f>
        <v>0</v>
      </c>
      <c r="N1776" s="169">
        <f>IFERROR(MATCH(J1776,'Final List'!$H$4:$H$252,0),0)</f>
        <v>0</v>
      </c>
      <c r="O1776" s="169">
        <f>IFERROR(MATCH(J1776,'Final List'!$J$4:$J$252,0),0)</f>
        <v>0</v>
      </c>
      <c r="P1776" s="169">
        <f>IFERROR(MATCH(J1776,'Final List'!$L$4:$L$252,0),0)</f>
        <v>0</v>
      </c>
      <c r="Q1776" s="169">
        <f>IFERROR(MATCH(J1776,'Final List'!$N$4:$N$252,0),0)</f>
        <v>0</v>
      </c>
      <c r="R1776" s="169">
        <f>IFERROR(MATCH(J1776,'Final List'!$P$4:$P$252,0),0)</f>
        <v>0</v>
      </c>
      <c r="S1776" s="169">
        <f t="shared" si="111"/>
        <v>0</v>
      </c>
      <c r="V1776" s="169" t="str">
        <f t="shared" si="109"/>
        <v>REBOTE 1</v>
      </c>
      <c r="W1776" s="169" t="s">
        <v>8896</v>
      </c>
    </row>
    <row r="1777" spans="2:23" x14ac:dyDescent="0.25">
      <c r="B1777" s="169" t="s">
        <v>92</v>
      </c>
      <c r="C1777" s="169" t="s">
        <v>42</v>
      </c>
      <c r="D1777" s="169" t="s">
        <v>5631</v>
      </c>
      <c r="E1777" s="169" t="s">
        <v>211</v>
      </c>
      <c r="F1777" s="245" t="str">
        <f t="shared" si="110"/>
        <v>StpS 77</v>
      </c>
      <c r="G1777" s="169" t="s">
        <v>554</v>
      </c>
      <c r="I1777" s="169" t="str">
        <f t="shared" si="112"/>
        <v>L05_JV_020E_STOPE PREP</v>
      </c>
      <c r="J1777" s="169" t="s">
        <v>9328</v>
      </c>
      <c r="K1777" s="169">
        <f>IFERROR(MATCH(J1777,'Final List'!$B$4:$B$252,0),0)</f>
        <v>0</v>
      </c>
      <c r="L1777" s="169">
        <f>IFERROR(MATCH(J1777,'Final List'!$D$4:$D$252,0),0)</f>
        <v>0</v>
      </c>
      <c r="M1777" s="169">
        <f>IFERROR(MATCH(J1777,'Final List'!$F$4:$F$251,0),0)</f>
        <v>0</v>
      </c>
      <c r="N1777" s="169">
        <f>IFERROR(MATCH(J1777,'Final List'!$H$4:$H$252,0),0)</f>
        <v>0</v>
      </c>
      <c r="O1777" s="169">
        <f>IFERROR(MATCH(J1777,'Final List'!$J$4:$J$252,0),0)</f>
        <v>0</v>
      </c>
      <c r="P1777" s="169">
        <f>IFERROR(MATCH(J1777,'Final List'!$L$4:$L$252,0),0)</f>
        <v>0</v>
      </c>
      <c r="Q1777" s="169">
        <f>IFERROR(MATCH(J1777,'Final List'!$N$4:$N$252,0),0)</f>
        <v>0</v>
      </c>
      <c r="R1777" s="169">
        <f>IFERROR(MATCH(J1777,'Final List'!$P$4:$P$252,0),0)</f>
        <v>0</v>
      </c>
      <c r="S1777" s="169">
        <f t="shared" si="111"/>
        <v>0</v>
      </c>
      <c r="T1777" s="169" t="s">
        <v>68</v>
      </c>
      <c r="V1777" s="169" t="str">
        <f t="shared" si="109"/>
        <v>PANCIT, NOEL 1</v>
      </c>
      <c r="W1777" s="169" t="s">
        <v>2712</v>
      </c>
    </row>
    <row r="1778" spans="2:23" x14ac:dyDescent="0.25">
      <c r="B1778" s="169" t="s">
        <v>93</v>
      </c>
      <c r="C1778" s="169" t="s">
        <v>42</v>
      </c>
      <c r="D1778" s="169" t="s">
        <v>159</v>
      </c>
      <c r="E1778" s="169" t="s">
        <v>62</v>
      </c>
      <c r="F1778" s="245" t="str">
        <f t="shared" si="110"/>
        <v>RobS 79</v>
      </c>
      <c r="G1778" s="169" t="s">
        <v>378</v>
      </c>
      <c r="I1778" s="169" t="str">
        <f t="shared" si="112"/>
        <v>L06_JV_023E_ROBBING</v>
      </c>
      <c r="J1778" s="169" t="s">
        <v>9317</v>
      </c>
      <c r="K1778" s="169">
        <f>IFERROR(MATCH(J1778,'Final List'!$B$4:$B$252,0),0)</f>
        <v>0</v>
      </c>
      <c r="L1778" s="169">
        <f>IFERROR(MATCH(J1778,'Final List'!$D$4:$D$252,0),0)</f>
        <v>0</v>
      </c>
      <c r="M1778" s="169">
        <f>IFERROR(MATCH(J1778,'Final List'!$F$4:$F$251,0),0)</f>
        <v>0</v>
      </c>
      <c r="N1778" s="169">
        <f>IFERROR(MATCH(J1778,'Final List'!$H$4:$H$252,0),0)</f>
        <v>0</v>
      </c>
      <c r="O1778" s="169">
        <f>IFERROR(MATCH(J1778,'Final List'!$J$4:$J$252,0),0)</f>
        <v>0</v>
      </c>
      <c r="P1778" s="169">
        <f>IFERROR(MATCH(J1778,'Final List'!$L$4:$L$252,0),0)</f>
        <v>0</v>
      </c>
      <c r="Q1778" s="169">
        <f>IFERROR(MATCH(J1778,'Final List'!$N$4:$N$252,0),0)</f>
        <v>0</v>
      </c>
      <c r="R1778" s="169">
        <f>IFERROR(MATCH(J1778,'Final List'!$P$4:$P$252,0),0)</f>
        <v>0</v>
      </c>
      <c r="S1778" s="169">
        <f t="shared" si="111"/>
        <v>0</v>
      </c>
      <c r="T1778" s="169" t="s">
        <v>68</v>
      </c>
      <c r="V1778" s="169" t="str">
        <f t="shared" si="109"/>
        <v>GUNAY 1</v>
      </c>
      <c r="W1778" s="169" t="s">
        <v>2707</v>
      </c>
    </row>
    <row r="1779" spans="2:23" x14ac:dyDescent="0.25">
      <c r="B1779" s="169" t="s">
        <v>96</v>
      </c>
      <c r="C1779" s="169" t="s">
        <v>87</v>
      </c>
      <c r="D1779" s="169" t="s">
        <v>141</v>
      </c>
      <c r="E1779" s="169" t="s">
        <v>37</v>
      </c>
      <c r="F1779" s="245" t="str">
        <f t="shared" si="110"/>
        <v>Dhoz 71</v>
      </c>
      <c r="G1779" s="169" t="s">
        <v>5101</v>
      </c>
      <c r="I1779" s="169" t="str">
        <f t="shared" si="112"/>
        <v>L09_NONE_029E_XCN</v>
      </c>
      <c r="J1779" s="169" t="s">
        <v>1270</v>
      </c>
      <c r="K1779" s="169">
        <f>IFERROR(MATCH(J1779,'Final List'!$B$4:$B$252,0),0)</f>
        <v>0</v>
      </c>
      <c r="L1779" s="169">
        <f>IFERROR(MATCH(J1779,'Final List'!$D$4:$D$252,0),0)</f>
        <v>0</v>
      </c>
      <c r="M1779" s="169">
        <f>IFERROR(MATCH(J1779,'Final List'!$F$4:$F$251,0),0)</f>
        <v>0</v>
      </c>
      <c r="N1779" s="169">
        <f>IFERROR(MATCH(J1779,'Final List'!$H$4:$H$252,0),0)</f>
        <v>0</v>
      </c>
      <c r="O1779" s="169">
        <f>IFERROR(MATCH(J1779,'Final List'!$J$4:$J$252,0),0)</f>
        <v>0</v>
      </c>
      <c r="P1779" s="169">
        <f>IFERROR(MATCH(J1779,'Final List'!$L$4:$L$252,0),0)</f>
        <v>0</v>
      </c>
      <c r="Q1779" s="169">
        <f>IFERROR(MATCH(J1779,'Final List'!$N$4:$N$252,0),0)</f>
        <v>0</v>
      </c>
      <c r="R1779" s="169">
        <f>IFERROR(MATCH(J1779,'Final List'!$P$4:$P$252,0),0)</f>
        <v>0</v>
      </c>
      <c r="S1779" s="169">
        <f t="shared" si="111"/>
        <v>0</v>
      </c>
      <c r="V1779" s="169" t="str">
        <f t="shared" si="109"/>
        <v>DELOS REYES V3</v>
      </c>
      <c r="W1779" s="169" t="s">
        <v>8898</v>
      </c>
    </row>
    <row r="1780" spans="2:23" x14ac:dyDescent="0.25">
      <c r="B1780" s="169" t="s">
        <v>91</v>
      </c>
      <c r="C1780" s="169" t="s">
        <v>57</v>
      </c>
      <c r="D1780" s="169" t="s">
        <v>147</v>
      </c>
      <c r="E1780" s="169" t="s">
        <v>60</v>
      </c>
      <c r="F1780" s="245" t="str">
        <f t="shared" si="110"/>
        <v>Dhoz 71</v>
      </c>
      <c r="G1780" s="169" t="s">
        <v>5713</v>
      </c>
      <c r="I1780" s="169" t="str">
        <f t="shared" si="112"/>
        <v>L04_JVSPLIT_024E_DE</v>
      </c>
      <c r="J1780" s="169" t="s">
        <v>9321</v>
      </c>
      <c r="K1780" s="169">
        <f>IFERROR(MATCH(J1780,'Final List'!$B$4:$B$252,0),0)</f>
        <v>0</v>
      </c>
      <c r="L1780" s="169">
        <f>IFERROR(MATCH(J1780,'Final List'!$D$4:$D$252,0),0)</f>
        <v>0</v>
      </c>
      <c r="M1780" s="169">
        <f>IFERROR(MATCH(J1780,'Final List'!$F$4:$F$251,0),0)</f>
        <v>0</v>
      </c>
      <c r="N1780" s="169">
        <f>IFERROR(MATCH(J1780,'Final List'!$H$4:$H$252,0),0)</f>
        <v>0</v>
      </c>
      <c r="O1780" s="169">
        <f>IFERROR(MATCH(J1780,'Final List'!$J$4:$J$252,0),0)</f>
        <v>0</v>
      </c>
      <c r="P1780" s="169">
        <f>IFERROR(MATCH(J1780,'Final List'!$L$4:$L$252,0),0)</f>
        <v>0</v>
      </c>
      <c r="Q1780" s="169">
        <f>IFERROR(MATCH(J1780,'Final List'!$N$4:$N$252,0),0)</f>
        <v>0</v>
      </c>
      <c r="R1780" s="169">
        <f>IFERROR(MATCH(J1780,'Final List'!$P$4:$P$252,0),0)</f>
        <v>0</v>
      </c>
      <c r="S1780" s="169">
        <f t="shared" si="111"/>
        <v>0</v>
      </c>
      <c r="V1780" s="169" t="str">
        <f t="shared" si="109"/>
        <v>SHEPHERD AL 1</v>
      </c>
      <c r="W1780" s="169" t="s">
        <v>8895</v>
      </c>
    </row>
    <row r="1781" spans="2:23" x14ac:dyDescent="0.25">
      <c r="B1781" s="169" t="s">
        <v>91</v>
      </c>
      <c r="C1781" s="169" t="s">
        <v>44</v>
      </c>
      <c r="D1781" s="169" t="s">
        <v>6864</v>
      </c>
      <c r="E1781" s="169" t="s">
        <v>20</v>
      </c>
      <c r="F1781" s="245" t="str">
        <f t="shared" si="110"/>
        <v>DVW 74</v>
      </c>
      <c r="G1781" s="169" t="s">
        <v>5715</v>
      </c>
      <c r="H1781" s="169" t="s">
        <v>10123</v>
      </c>
      <c r="I1781" s="169" t="str">
        <f t="shared" si="112"/>
        <v>L04_CV_006E_WINZE</v>
      </c>
      <c r="J1781" s="169" t="s">
        <v>9326</v>
      </c>
      <c r="K1781" s="169">
        <f>IFERROR(MATCH(J1781,'Final List'!$B$4:$B$252,0),0)</f>
        <v>0</v>
      </c>
      <c r="L1781" s="169">
        <f>IFERROR(MATCH(J1781,'Final List'!$D$4:$D$252,0),0)</f>
        <v>0</v>
      </c>
      <c r="M1781" s="169">
        <f>IFERROR(MATCH(J1781,'Final List'!$F$4:$F$251,0),0)</f>
        <v>0</v>
      </c>
      <c r="N1781" s="169">
        <f>IFERROR(MATCH(J1781,'Final List'!$H$4:$H$252,0),0)</f>
        <v>0</v>
      </c>
      <c r="O1781" s="169">
        <f>IFERROR(MATCH(J1781,'Final List'!$J$4:$J$252,0),0)</f>
        <v>0</v>
      </c>
      <c r="P1781" s="169">
        <f>IFERROR(MATCH(J1781,'Final List'!$L$4:$L$252,0),0)</f>
        <v>0</v>
      </c>
      <c r="Q1781" s="169">
        <f>IFERROR(MATCH(J1781,'Final List'!$N$4:$N$252,0),0)</f>
        <v>0</v>
      </c>
      <c r="R1781" s="169">
        <f>IFERROR(MATCH(J1781,'Final List'!$P$4:$P$252,0),0)</f>
        <v>0</v>
      </c>
      <c r="S1781" s="169">
        <f t="shared" si="111"/>
        <v>0</v>
      </c>
      <c r="V1781" s="169" t="str">
        <f t="shared" si="109"/>
        <v>MARTINEZ, DN 4</v>
      </c>
      <c r="W1781" s="169" t="s">
        <v>2706</v>
      </c>
    </row>
    <row r="1782" spans="2:23" x14ac:dyDescent="0.25">
      <c r="B1782" s="169" t="s">
        <v>96</v>
      </c>
      <c r="C1782" s="169" t="s">
        <v>38</v>
      </c>
      <c r="D1782" s="169" t="s">
        <v>132</v>
      </c>
      <c r="E1782" s="169" t="s">
        <v>20</v>
      </c>
      <c r="F1782" s="245" t="str">
        <f t="shared" si="110"/>
        <v>DVW 74</v>
      </c>
      <c r="G1782" s="169" t="s">
        <v>363</v>
      </c>
      <c r="I1782" s="169" t="str">
        <f t="shared" si="112"/>
        <v>L09_GHV_033E_WINZE</v>
      </c>
      <c r="J1782" s="169" t="s">
        <v>4317</v>
      </c>
      <c r="K1782" s="169">
        <f>IFERROR(MATCH(J1782,'Final List'!$B$4:$B$252,0),0)</f>
        <v>0</v>
      </c>
      <c r="L1782" s="169">
        <f>IFERROR(MATCH(J1782,'Final List'!$D$4:$D$252,0),0)</f>
        <v>0</v>
      </c>
      <c r="M1782" s="169">
        <f>IFERROR(MATCH(J1782,'Final List'!$F$4:$F$251,0),0)</f>
        <v>0</v>
      </c>
      <c r="N1782" s="169">
        <f>IFERROR(MATCH(J1782,'Final List'!$H$4:$H$252,0),0)</f>
        <v>0</v>
      </c>
      <c r="O1782" s="169">
        <f>IFERROR(MATCH(J1782,'Final List'!$J$4:$J$252,0),0)</f>
        <v>0</v>
      </c>
      <c r="P1782" s="169">
        <f>IFERROR(MATCH(J1782,'Final List'!$L$4:$L$252,0),0)</f>
        <v>0</v>
      </c>
      <c r="Q1782" s="169">
        <f>IFERROR(MATCH(J1782,'Final List'!$N$4:$N$252,0),0)</f>
        <v>0</v>
      </c>
      <c r="R1782" s="169">
        <f>IFERROR(MATCH(J1782,'Final List'!$P$4:$P$252,0),0)</f>
        <v>0</v>
      </c>
      <c r="S1782" s="169">
        <f t="shared" si="111"/>
        <v>0</v>
      </c>
      <c r="V1782" s="169" t="str">
        <f t="shared" si="109"/>
        <v>BABOR 2</v>
      </c>
      <c r="W1782" s="169" t="s">
        <v>2706</v>
      </c>
    </row>
    <row r="1783" spans="2:23" x14ac:dyDescent="0.25">
      <c r="B1783" s="169" t="s">
        <v>95</v>
      </c>
      <c r="C1783" s="169" t="s">
        <v>56</v>
      </c>
      <c r="D1783" s="169" t="s">
        <v>122</v>
      </c>
      <c r="E1783" s="169" t="s">
        <v>62</v>
      </c>
      <c r="F1783" s="245" t="str">
        <f t="shared" si="110"/>
        <v>RobS 79</v>
      </c>
      <c r="G1783" s="169" t="s">
        <v>5708</v>
      </c>
      <c r="H1783" s="169" t="s">
        <v>521</v>
      </c>
      <c r="I1783" s="169" t="str">
        <f t="shared" si="112"/>
        <v>L08_GHVFW_025E_ROBBING</v>
      </c>
      <c r="J1783" s="169" t="s">
        <v>9331</v>
      </c>
      <c r="K1783" s="169">
        <f>IFERROR(MATCH(J1783,'Final List'!$B$4:$B$252,0),0)</f>
        <v>0</v>
      </c>
      <c r="L1783" s="169">
        <f>IFERROR(MATCH(J1783,'Final List'!$D$4:$D$252,0),0)</f>
        <v>0</v>
      </c>
      <c r="M1783" s="169">
        <f>IFERROR(MATCH(J1783,'Final List'!$F$4:$F$251,0),0)</f>
        <v>0</v>
      </c>
      <c r="N1783" s="169">
        <f>IFERROR(MATCH(J1783,'Final List'!$H$4:$H$252,0),0)</f>
        <v>0</v>
      </c>
      <c r="O1783" s="169">
        <f>IFERROR(MATCH(J1783,'Final List'!$J$4:$J$252,0),0)</f>
        <v>0</v>
      </c>
      <c r="P1783" s="169">
        <f>IFERROR(MATCH(J1783,'Final List'!$L$4:$L$252,0),0)</f>
        <v>0</v>
      </c>
      <c r="Q1783" s="169">
        <f>IFERROR(MATCH(J1783,'Final List'!$N$4:$N$252,0),0)</f>
        <v>0</v>
      </c>
      <c r="R1783" s="169">
        <f>IFERROR(MATCH(J1783,'Final List'!$P$4:$P$252,0),0)</f>
        <v>0</v>
      </c>
      <c r="S1783" s="169">
        <f t="shared" si="111"/>
        <v>0</v>
      </c>
      <c r="T1783" s="169" t="s">
        <v>68</v>
      </c>
      <c r="V1783" s="169" t="str">
        <f t="shared" si="109"/>
        <v>LERIO 4</v>
      </c>
      <c r="W1783" s="169" t="s">
        <v>2707</v>
      </c>
    </row>
    <row r="1784" spans="2:23" x14ac:dyDescent="0.25">
      <c r="B1784" s="169" t="s">
        <v>258</v>
      </c>
      <c r="C1784" s="169" t="s">
        <v>56</v>
      </c>
      <c r="D1784" s="169" t="s">
        <v>178</v>
      </c>
      <c r="E1784" s="169" t="s">
        <v>61</v>
      </c>
      <c r="F1784" s="245" t="str">
        <f t="shared" si="110"/>
        <v>Dhoz 71</v>
      </c>
      <c r="G1784" s="169" t="s">
        <v>371</v>
      </c>
      <c r="I1784" s="169" t="str">
        <f t="shared" si="112"/>
        <v>L10_GHVFW_048E_DW</v>
      </c>
      <c r="J1784" s="169" t="s">
        <v>9332</v>
      </c>
      <c r="K1784" s="169">
        <f>IFERROR(MATCH(J1784,'Final List'!$B$4:$B$252,0),0)</f>
        <v>0</v>
      </c>
      <c r="L1784" s="169">
        <f>IFERROR(MATCH(J1784,'Final List'!$D$4:$D$252,0),0)</f>
        <v>0</v>
      </c>
      <c r="M1784" s="169">
        <f>IFERROR(MATCH(J1784,'Final List'!$F$4:$F$251,0),0)</f>
        <v>0</v>
      </c>
      <c r="N1784" s="169">
        <f>IFERROR(MATCH(J1784,'Final List'!$H$4:$H$252,0),0)</f>
        <v>0</v>
      </c>
      <c r="O1784" s="169">
        <f>IFERROR(MATCH(J1784,'Final List'!$J$4:$J$252,0),0)</f>
        <v>0</v>
      </c>
      <c r="P1784" s="169">
        <f>IFERROR(MATCH(J1784,'Final List'!$L$4:$L$252,0),0)</f>
        <v>0</v>
      </c>
      <c r="Q1784" s="169">
        <f>IFERROR(MATCH(J1784,'Final List'!$N$4:$N$252,0),0)</f>
        <v>0</v>
      </c>
      <c r="R1784" s="169">
        <f>IFERROR(MATCH(J1784,'Final List'!$P$4:$P$252,0),0)</f>
        <v>0</v>
      </c>
      <c r="S1784" s="169">
        <f t="shared" si="111"/>
        <v>0</v>
      </c>
      <c r="V1784" s="169" t="str">
        <f t="shared" si="109"/>
        <v>TAÑEZA 3</v>
      </c>
      <c r="W1784" s="169" t="s">
        <v>8896</v>
      </c>
    </row>
    <row r="1785" spans="2:23" x14ac:dyDescent="0.25">
      <c r="B1785" s="169" t="s">
        <v>96</v>
      </c>
      <c r="C1785" s="169" t="s">
        <v>55</v>
      </c>
      <c r="D1785" s="169" t="s">
        <v>117</v>
      </c>
      <c r="E1785" s="169" t="s">
        <v>61</v>
      </c>
      <c r="F1785" s="245" t="str">
        <f t="shared" si="110"/>
        <v>Dhoz 71</v>
      </c>
      <c r="G1785" s="169" t="s">
        <v>336</v>
      </c>
      <c r="H1785" s="169" t="s">
        <v>1661</v>
      </c>
      <c r="I1785" s="169" t="str">
        <f t="shared" si="112"/>
        <v>L09_JVFW_006W_DW</v>
      </c>
      <c r="J1785" s="169" t="s">
        <v>9335</v>
      </c>
      <c r="K1785" s="169">
        <f>IFERROR(MATCH(J1785,'Final List'!$B$4:$B$252,0),0)</f>
        <v>0</v>
      </c>
      <c r="L1785" s="169">
        <f>IFERROR(MATCH(J1785,'Final List'!$D$4:$D$252,0),0)</f>
        <v>0</v>
      </c>
      <c r="M1785" s="169">
        <f>IFERROR(MATCH(J1785,'Final List'!$F$4:$F$251,0),0)</f>
        <v>0</v>
      </c>
      <c r="N1785" s="169">
        <f>IFERROR(MATCH(J1785,'Final List'!$H$4:$H$252,0),0)</f>
        <v>0</v>
      </c>
      <c r="O1785" s="169">
        <f>IFERROR(MATCH(J1785,'Final List'!$J$4:$J$252,0),0)</f>
        <v>0</v>
      </c>
      <c r="P1785" s="169">
        <f>IFERROR(MATCH(J1785,'Final List'!$L$4:$L$252,0),0)</f>
        <v>0</v>
      </c>
      <c r="Q1785" s="169">
        <f>IFERROR(MATCH(J1785,'Final List'!$N$4:$N$252,0),0)</f>
        <v>0</v>
      </c>
      <c r="R1785" s="169">
        <f>IFERROR(MATCH(J1785,'Final List'!$P$4:$P$252,0),0)</f>
        <v>0</v>
      </c>
      <c r="S1785" s="169">
        <f t="shared" si="111"/>
        <v>0</v>
      </c>
      <c r="V1785" s="169" t="str">
        <f t="shared" si="109"/>
        <v>DELOS REYES V2</v>
      </c>
      <c r="W1785" s="169" t="s">
        <v>8896</v>
      </c>
    </row>
    <row r="1786" spans="2:23" x14ac:dyDescent="0.25">
      <c r="B1786" s="169" t="s">
        <v>93</v>
      </c>
      <c r="C1786" s="169" t="s">
        <v>38</v>
      </c>
      <c r="D1786" s="169" t="s">
        <v>5835</v>
      </c>
      <c r="E1786" s="169" t="s">
        <v>62</v>
      </c>
      <c r="F1786" s="245" t="str">
        <f t="shared" si="110"/>
        <v>RobS 79</v>
      </c>
      <c r="G1786" s="169" t="s">
        <v>7889</v>
      </c>
      <c r="I1786" s="169" t="str">
        <f t="shared" si="112"/>
        <v>L06_GHV_003W_ROBBING</v>
      </c>
      <c r="J1786" s="169" t="s">
        <v>9339</v>
      </c>
      <c r="K1786" s="169">
        <f>IFERROR(MATCH(J1786,'Final List'!$B$4:$B$252,0),0)</f>
        <v>0</v>
      </c>
      <c r="L1786" s="169">
        <f>IFERROR(MATCH(J1786,'Final List'!$D$4:$D$252,0),0)</f>
        <v>0</v>
      </c>
      <c r="M1786" s="169">
        <f>IFERROR(MATCH(J1786,'Final List'!$F$4:$F$251,0),0)</f>
        <v>0</v>
      </c>
      <c r="N1786" s="169">
        <f>IFERROR(MATCH(J1786,'Final List'!$H$4:$H$252,0),0)</f>
        <v>0</v>
      </c>
      <c r="O1786" s="169">
        <f>IFERROR(MATCH(J1786,'Final List'!$J$4:$J$252,0),0)</f>
        <v>0</v>
      </c>
      <c r="P1786" s="169">
        <f>IFERROR(MATCH(J1786,'Final List'!$L$4:$L$252,0),0)</f>
        <v>0</v>
      </c>
      <c r="Q1786" s="169">
        <f>IFERROR(MATCH(J1786,'Final List'!$N$4:$N$252,0),0)</f>
        <v>0</v>
      </c>
      <c r="R1786" s="169">
        <f>IFERROR(MATCH(J1786,'Final List'!$P$4:$P$252,0),0)</f>
        <v>0</v>
      </c>
      <c r="S1786" s="169">
        <f t="shared" si="111"/>
        <v>0</v>
      </c>
      <c r="T1786" s="169" t="s">
        <v>68</v>
      </c>
      <c r="V1786" s="169" t="str">
        <f t="shared" si="109"/>
        <v>GONZALEZ 1</v>
      </c>
      <c r="W1786" s="169" t="s">
        <v>2707</v>
      </c>
    </row>
    <row r="1787" spans="2:23" x14ac:dyDescent="0.25">
      <c r="B1787" s="169" t="s">
        <v>258</v>
      </c>
      <c r="C1787" s="169" t="s">
        <v>56</v>
      </c>
      <c r="D1787" s="169" t="s">
        <v>5781</v>
      </c>
      <c r="E1787" s="169" t="s">
        <v>19</v>
      </c>
      <c r="F1787" s="245" t="str">
        <f t="shared" si="110"/>
        <v>DVR 72</v>
      </c>
      <c r="G1787" s="169" t="s">
        <v>9353</v>
      </c>
      <c r="H1787" s="169" t="s">
        <v>5701</v>
      </c>
      <c r="I1787" s="169" t="str">
        <f t="shared" si="112"/>
        <v>L10_GHVFW_051E_RAISE</v>
      </c>
      <c r="J1787" s="169" t="s">
        <v>9417</v>
      </c>
      <c r="K1787" s="169">
        <f>IFERROR(MATCH(J1787,'Final List'!$B$4:$B$252,0),0)</f>
        <v>0</v>
      </c>
      <c r="L1787" s="169">
        <f>IFERROR(MATCH(J1787,'Final List'!$D$4:$D$252,0),0)</f>
        <v>0</v>
      </c>
      <c r="M1787" s="169">
        <f>IFERROR(MATCH(J1787,'Final List'!$F$4:$F$251,0),0)</f>
        <v>0</v>
      </c>
      <c r="N1787" s="169">
        <f>IFERROR(MATCH(J1787,'Final List'!$H$4:$H$252,0),0)</f>
        <v>0</v>
      </c>
      <c r="O1787" s="169">
        <f>IFERROR(MATCH(J1787,'Final List'!$J$4:$J$252,0),0)</f>
        <v>0</v>
      </c>
      <c r="P1787" s="169">
        <f>IFERROR(MATCH(J1787,'Final List'!$L$4:$L$252,0),0)</f>
        <v>0</v>
      </c>
      <c r="Q1787" s="169">
        <f>IFERROR(MATCH(J1787,'Final List'!$N$4:$N$252,0),0)</f>
        <v>0</v>
      </c>
      <c r="R1787" s="169">
        <f>IFERROR(MATCH(J1787,'Final List'!$P$4:$P$252,0),0)</f>
        <v>0</v>
      </c>
      <c r="S1787" s="169">
        <f t="shared" si="111"/>
        <v>0</v>
      </c>
      <c r="V1787" s="169" t="str">
        <f t="shared" si="109"/>
        <v>LARGO 2</v>
      </c>
      <c r="W1787" s="169" t="s">
        <v>2715</v>
      </c>
    </row>
    <row r="1788" spans="2:23" x14ac:dyDescent="0.25">
      <c r="B1788" s="169" t="s">
        <v>1166</v>
      </c>
      <c r="C1788" s="169" t="s">
        <v>43</v>
      </c>
      <c r="D1788" s="169" t="s">
        <v>170</v>
      </c>
      <c r="E1788" s="169" t="s">
        <v>19</v>
      </c>
      <c r="F1788" s="245" t="str">
        <f t="shared" si="110"/>
        <v>DVR 72</v>
      </c>
      <c r="G1788" s="169" t="s">
        <v>6933</v>
      </c>
      <c r="H1788" s="169" t="s">
        <v>341</v>
      </c>
      <c r="I1788" s="169" t="str">
        <f t="shared" si="112"/>
        <v>L11_GHVSPLIT_071E_RAISE</v>
      </c>
      <c r="J1788" s="169" t="s">
        <v>9920</v>
      </c>
      <c r="K1788" s="169">
        <f>IFERROR(MATCH(J1788,'Final List'!$B$4:$B$252,0),0)</f>
        <v>0</v>
      </c>
      <c r="L1788" s="169">
        <f>IFERROR(MATCH(J1788,'Final List'!$D$4:$D$252,0),0)</f>
        <v>0</v>
      </c>
      <c r="M1788" s="169">
        <f>IFERROR(MATCH(J1788,'Final List'!$F$4:$F$251,0),0)</f>
        <v>0</v>
      </c>
      <c r="N1788" s="169">
        <f>IFERROR(MATCH(J1788,'Final List'!$H$4:$H$252,0),0)</f>
        <v>0</v>
      </c>
      <c r="O1788" s="169">
        <f>IFERROR(MATCH(J1788,'Final List'!$J$4:$J$252,0),0)</f>
        <v>0</v>
      </c>
      <c r="P1788" s="169">
        <f>IFERROR(MATCH(J1788,'Final List'!$L$4:$L$252,0),0)</f>
        <v>0</v>
      </c>
      <c r="Q1788" s="169">
        <f>IFERROR(MATCH(J1788,'Final List'!$N$4:$N$252,0),0)</f>
        <v>0</v>
      </c>
      <c r="R1788" s="169">
        <f>IFERROR(MATCH(J1788,'Final List'!$P$4:$P$252,0),0)</f>
        <v>0</v>
      </c>
      <c r="S1788" s="169">
        <f t="shared" si="111"/>
        <v>0</v>
      </c>
      <c r="V1788" s="169" t="str">
        <f t="shared" si="109"/>
        <v>BADBADON 1</v>
      </c>
      <c r="W1788" s="169" t="s">
        <v>2715</v>
      </c>
    </row>
    <row r="1789" spans="2:23" x14ac:dyDescent="0.25">
      <c r="B1789" s="169" t="s">
        <v>1166</v>
      </c>
      <c r="C1789" s="169" t="s">
        <v>59</v>
      </c>
      <c r="D1789" s="169" t="s">
        <v>167</v>
      </c>
      <c r="E1789" s="169" t="s">
        <v>36</v>
      </c>
      <c r="F1789" s="245" t="str">
        <f t="shared" si="110"/>
        <v>StpS 77</v>
      </c>
      <c r="G1789" s="169" t="s">
        <v>342</v>
      </c>
      <c r="H1789" s="169" t="s">
        <v>742</v>
      </c>
      <c r="I1789" s="169" t="str">
        <f t="shared" si="112"/>
        <v>L11_GHVHW_058E_STOPE</v>
      </c>
      <c r="J1789" s="169" t="s">
        <v>9347</v>
      </c>
      <c r="K1789" s="169">
        <f>IFERROR(MATCH(J1789,'Final List'!$B$4:$B$252,0),0)</f>
        <v>0</v>
      </c>
      <c r="L1789" s="169">
        <f>IFERROR(MATCH(J1789,'Final List'!$D$4:$D$252,0),0)</f>
        <v>0</v>
      </c>
      <c r="M1789" s="169">
        <f>IFERROR(MATCH(J1789,'Final List'!$F$4:$F$251,0),0)</f>
        <v>0</v>
      </c>
      <c r="N1789" s="169">
        <f>IFERROR(MATCH(J1789,'Final List'!$H$4:$H$252,0),0)</f>
        <v>0</v>
      </c>
      <c r="O1789" s="169">
        <f>IFERROR(MATCH(J1789,'Final List'!$J$4:$J$252,0),0)</f>
        <v>0</v>
      </c>
      <c r="P1789" s="169">
        <f>IFERROR(MATCH(J1789,'Final List'!$L$4:$L$252,0),0)</f>
        <v>0</v>
      </c>
      <c r="Q1789" s="169">
        <f>IFERROR(MATCH(J1789,'Final List'!$N$4:$N$252,0),0)</f>
        <v>0</v>
      </c>
      <c r="R1789" s="169">
        <f>IFERROR(MATCH(J1789,'Final List'!$P$4:$P$252,0),0)</f>
        <v>0</v>
      </c>
      <c r="S1789" s="169">
        <f t="shared" si="111"/>
        <v>0</v>
      </c>
      <c r="T1789" s="169" t="s">
        <v>68</v>
      </c>
      <c r="V1789" s="169" t="str">
        <f t="shared" si="109"/>
        <v>REBOTE 2</v>
      </c>
      <c r="W1789" s="169" t="s">
        <v>2713</v>
      </c>
    </row>
    <row r="1790" spans="2:23" x14ac:dyDescent="0.25">
      <c r="B1790" s="169" t="s">
        <v>1166</v>
      </c>
      <c r="C1790" s="169" t="s">
        <v>87</v>
      </c>
      <c r="D1790" s="169" t="s">
        <v>176</v>
      </c>
      <c r="E1790" s="169" t="s">
        <v>72</v>
      </c>
      <c r="F1790" s="245" t="str">
        <f t="shared" si="110"/>
        <v>Dhoz 71</v>
      </c>
      <c r="G1790" s="169" t="s">
        <v>385</v>
      </c>
      <c r="I1790" s="169" t="str">
        <f t="shared" si="112"/>
        <v>L11_NONE_057E_CHAMBER</v>
      </c>
      <c r="J1790" s="169" t="s">
        <v>9355</v>
      </c>
      <c r="K1790" s="169">
        <f>IFERROR(MATCH(J1790,'Final List'!$B$4:$B$252,0),0)</f>
        <v>0</v>
      </c>
      <c r="L1790" s="169">
        <f>IFERROR(MATCH(J1790,'Final List'!$D$4:$D$252,0),0)</f>
        <v>0</v>
      </c>
      <c r="M1790" s="169">
        <f>IFERROR(MATCH(J1790,'Final List'!$F$4:$F$251,0),0)</f>
        <v>0</v>
      </c>
      <c r="N1790" s="169">
        <f>IFERROR(MATCH(J1790,'Final List'!$H$4:$H$252,0),0)</f>
        <v>0</v>
      </c>
      <c r="O1790" s="169">
        <f>IFERROR(MATCH(J1790,'Final List'!$J$4:$J$252,0),0)</f>
        <v>0</v>
      </c>
      <c r="P1790" s="169">
        <f>IFERROR(MATCH(J1790,'Final List'!$L$4:$L$252,0),0)</f>
        <v>0</v>
      </c>
      <c r="Q1790" s="169">
        <f>IFERROR(MATCH(J1790,'Final List'!$N$4:$N$252,0),0)</f>
        <v>0</v>
      </c>
      <c r="R1790" s="169">
        <f>IFERROR(MATCH(J1790,'Final List'!$P$4:$P$252,0),0)</f>
        <v>0</v>
      </c>
      <c r="S1790" s="169">
        <f t="shared" si="111"/>
        <v>0</v>
      </c>
      <c r="V1790" s="169" t="str">
        <f t="shared" si="109"/>
        <v>SILVOZA 1</v>
      </c>
      <c r="W1790" s="169" t="s">
        <v>2714</v>
      </c>
    </row>
    <row r="1791" spans="2:23" x14ac:dyDescent="0.25">
      <c r="B1791" s="169" t="s">
        <v>91</v>
      </c>
      <c r="C1791" s="169" t="s">
        <v>87</v>
      </c>
      <c r="D1791" s="169" t="s">
        <v>97</v>
      </c>
      <c r="E1791" s="169" t="s">
        <v>63</v>
      </c>
      <c r="F1791" s="245" t="str">
        <f t="shared" si="110"/>
        <v>Dhoz 71</v>
      </c>
      <c r="G1791" s="169" t="s">
        <v>9350</v>
      </c>
      <c r="I1791" s="169" t="str">
        <f t="shared" si="112"/>
        <v>L04_NONE_012W_XCS</v>
      </c>
      <c r="J1791" s="169" t="s">
        <v>9357</v>
      </c>
      <c r="K1791" s="169">
        <f>IFERROR(MATCH(J1791,'Final List'!$B$4:$B$252,0),0)</f>
        <v>0</v>
      </c>
      <c r="L1791" s="169">
        <f>IFERROR(MATCH(J1791,'Final List'!$D$4:$D$252,0),0)</f>
        <v>0</v>
      </c>
      <c r="M1791" s="169">
        <f>IFERROR(MATCH(J1791,'Final List'!$F$4:$F$251,0),0)</f>
        <v>0</v>
      </c>
      <c r="N1791" s="169">
        <f>IFERROR(MATCH(J1791,'Final List'!$H$4:$H$252,0),0)</f>
        <v>0</v>
      </c>
      <c r="O1791" s="169">
        <f>IFERROR(MATCH(J1791,'Final List'!$J$4:$J$252,0),0)</f>
        <v>0</v>
      </c>
      <c r="P1791" s="169">
        <f>IFERROR(MATCH(J1791,'Final List'!$L$4:$L$252,0),0)</f>
        <v>0</v>
      </c>
      <c r="Q1791" s="169">
        <f>IFERROR(MATCH(J1791,'Final List'!$N$4:$N$252,0),0)</f>
        <v>0</v>
      </c>
      <c r="R1791" s="169">
        <f>IFERROR(MATCH(J1791,'Final List'!$P$4:$P$252,0),0)</f>
        <v>0</v>
      </c>
      <c r="S1791" s="169">
        <f t="shared" si="111"/>
        <v>0</v>
      </c>
      <c r="V1791" s="169" t="str">
        <f t="shared" si="109"/>
        <v>SHEPHERD AQ 1</v>
      </c>
      <c r="W1791" s="169" t="s">
        <v>8897</v>
      </c>
    </row>
    <row r="1792" spans="2:23" x14ac:dyDescent="0.25">
      <c r="B1792" s="169" t="s">
        <v>1166</v>
      </c>
      <c r="C1792" s="169" t="s">
        <v>55</v>
      </c>
      <c r="D1792" s="169" t="s">
        <v>218</v>
      </c>
      <c r="E1792" s="169" t="s">
        <v>211</v>
      </c>
      <c r="F1792" s="245" t="str">
        <f t="shared" si="110"/>
        <v>StpS 77</v>
      </c>
      <c r="G1792" s="169" t="s">
        <v>454</v>
      </c>
      <c r="I1792" s="169" t="str">
        <f t="shared" si="112"/>
        <v>L11_JVFW_062E_STOPE PREP</v>
      </c>
      <c r="J1792" s="169" t="s">
        <v>9362</v>
      </c>
      <c r="K1792" s="169">
        <f>IFERROR(MATCH(J1792,'Final List'!$B$4:$B$252,0),0)</f>
        <v>0</v>
      </c>
      <c r="L1792" s="169">
        <f>IFERROR(MATCH(J1792,'Final List'!$D$4:$D$252,0),0)</f>
        <v>0</v>
      </c>
      <c r="M1792" s="169">
        <f>IFERROR(MATCH(J1792,'Final List'!$F$4:$F$251,0),0)</f>
        <v>0</v>
      </c>
      <c r="N1792" s="169">
        <f>IFERROR(MATCH(J1792,'Final List'!$H$4:$H$252,0),0)</f>
        <v>0</v>
      </c>
      <c r="O1792" s="169">
        <f>IFERROR(MATCH(J1792,'Final List'!$J$4:$J$252,0),0)</f>
        <v>0</v>
      </c>
      <c r="P1792" s="169">
        <f>IFERROR(MATCH(J1792,'Final List'!$L$4:$L$252,0),0)</f>
        <v>0</v>
      </c>
      <c r="Q1792" s="169">
        <f>IFERROR(MATCH(J1792,'Final List'!$N$4:$N$252,0),0)</f>
        <v>0</v>
      </c>
      <c r="R1792" s="169">
        <f>IFERROR(MATCH(J1792,'Final List'!$P$4:$P$252,0),0)</f>
        <v>0</v>
      </c>
      <c r="S1792" s="169">
        <f t="shared" si="111"/>
        <v>0</v>
      </c>
      <c r="T1792" s="169" t="s">
        <v>68</v>
      </c>
      <c r="V1792" s="169" t="str">
        <f t="shared" si="109"/>
        <v>BAÑEZ 8</v>
      </c>
      <c r="W1792" s="169" t="s">
        <v>2712</v>
      </c>
    </row>
    <row r="1793" spans="2:23" x14ac:dyDescent="0.25">
      <c r="B1793" s="169" t="s">
        <v>1166</v>
      </c>
      <c r="C1793" s="169" t="s">
        <v>42</v>
      </c>
      <c r="D1793" s="169" t="s">
        <v>5781</v>
      </c>
      <c r="E1793" s="169" t="s">
        <v>60</v>
      </c>
      <c r="F1793" s="245" t="str">
        <f t="shared" si="110"/>
        <v>Dhoz 71</v>
      </c>
      <c r="G1793" s="169" t="s">
        <v>9884</v>
      </c>
      <c r="I1793" s="169" t="str">
        <f t="shared" si="112"/>
        <v>L11_JV_051E_DE</v>
      </c>
      <c r="J1793" s="169" t="s">
        <v>10337</v>
      </c>
      <c r="K1793" s="169">
        <f>IFERROR(MATCH(J1793,'Final List'!$B$4:$B$252,0),0)</f>
        <v>0</v>
      </c>
      <c r="L1793" s="169">
        <f>IFERROR(MATCH(J1793,'Final List'!$D$4:$D$252,0),0)</f>
        <v>0</v>
      </c>
      <c r="M1793" s="169">
        <f>IFERROR(MATCH(J1793,'Final List'!$F$4:$F$251,0),0)</f>
        <v>0</v>
      </c>
      <c r="N1793" s="169">
        <f>IFERROR(MATCH(J1793,'Final List'!$H$4:$H$252,0),0)</f>
        <v>0</v>
      </c>
      <c r="O1793" s="169">
        <f>IFERROR(MATCH(J1793,'Final List'!$J$4:$J$252,0),0)</f>
        <v>0</v>
      </c>
      <c r="P1793" s="169">
        <f>IFERROR(MATCH(J1793,'Final List'!$L$4:$L$252,0),0)</f>
        <v>0</v>
      </c>
      <c r="Q1793" s="169">
        <f>IFERROR(MATCH(J1793,'Final List'!$N$4:$N$252,0),0)</f>
        <v>0</v>
      </c>
      <c r="R1793" s="169">
        <f>IFERROR(MATCH(J1793,'Final List'!$P$4:$P$252,0),0)</f>
        <v>0</v>
      </c>
      <c r="S1793" s="169">
        <f t="shared" si="111"/>
        <v>0</v>
      </c>
      <c r="V1793" s="169" t="str">
        <f t="shared" si="109"/>
        <v>APA 1</v>
      </c>
      <c r="W1793" s="169" t="s">
        <v>8896</v>
      </c>
    </row>
    <row r="1794" spans="2:23" x14ac:dyDescent="0.25">
      <c r="B1794" s="169" t="s">
        <v>96</v>
      </c>
      <c r="C1794" s="169" t="s">
        <v>87</v>
      </c>
      <c r="D1794" s="169" t="s">
        <v>5614</v>
      </c>
      <c r="E1794" s="169" t="s">
        <v>8605</v>
      </c>
      <c r="F1794" s="245" t="str">
        <f t="shared" si="110"/>
        <v>Dhoz 71</v>
      </c>
      <c r="G1794" s="169" t="s">
        <v>9898</v>
      </c>
      <c r="H1794" s="169" t="s">
        <v>363</v>
      </c>
      <c r="I1794" s="169" t="str">
        <f t="shared" si="112"/>
        <v>L09_NONE_055E_REHAB</v>
      </c>
      <c r="J1794" s="169" t="s">
        <v>9409</v>
      </c>
      <c r="K1794" s="169">
        <f>IFERROR(MATCH(J1794,'Final List'!$B$4:$B$252,0),0)</f>
        <v>0</v>
      </c>
      <c r="L1794" s="169">
        <f>IFERROR(MATCH(J1794,'Final List'!$D$4:$D$252,0),0)</f>
        <v>0</v>
      </c>
      <c r="M1794" s="169">
        <f>IFERROR(MATCH(J1794,'Final List'!$F$4:$F$251,0),0)</f>
        <v>0</v>
      </c>
      <c r="N1794" s="169">
        <f>IFERROR(MATCH(J1794,'Final List'!$H$4:$H$252,0),0)</f>
        <v>0</v>
      </c>
      <c r="O1794" s="169">
        <f>IFERROR(MATCH(J1794,'Final List'!$J$4:$J$252,0),0)</f>
        <v>0</v>
      </c>
      <c r="P1794" s="169">
        <f>IFERROR(MATCH(J1794,'Final List'!$L$4:$L$252,0),0)</f>
        <v>0</v>
      </c>
      <c r="Q1794" s="169">
        <f>IFERROR(MATCH(J1794,'Final List'!$N$4:$N$252,0),0)</f>
        <v>0</v>
      </c>
      <c r="R1794" s="169">
        <f>IFERROR(MATCH(J1794,'Final List'!$P$4:$P$252,0),0)</f>
        <v>0</v>
      </c>
      <c r="S1794" s="169">
        <f t="shared" si="111"/>
        <v>0</v>
      </c>
      <c r="V1794" s="169" t="str">
        <f t="shared" ref="V1794:V1857" si="113">IF(H1794="",G1794,H1794)</f>
        <v>BABOR 2</v>
      </c>
      <c r="W1794" s="169" t="s">
        <v>2714</v>
      </c>
    </row>
    <row r="1795" spans="2:23" x14ac:dyDescent="0.25">
      <c r="B1795" s="169" t="s">
        <v>258</v>
      </c>
      <c r="C1795" s="169" t="s">
        <v>38</v>
      </c>
      <c r="D1795" s="169" t="s">
        <v>198</v>
      </c>
      <c r="E1795" s="169" t="s">
        <v>62</v>
      </c>
      <c r="F1795" s="245" t="str">
        <f t="shared" ref="F1795:F1858" si="114">IF(OR(E1795="XCN",E1795="DE",E1795="DW",E1795="DN",E1795="XCS",E1795="XCE",E1795="XCW",E1795="SUMP",E1795="BYPASS",E1795="CHAMBER",E1795="DRAIN HOLE",E1795="DRILLING CHAMBER",E1795="DE_ISL",E1795="DW_ISL",E1795="REHAB"),"Dhoz 71",IF(OR(E1795="RAISE",E1795="RAISE_ISL"),"DVR 72",IF(E1795="ALIMAK","DVA 73",IF(E1795="WINZE","DVW 74",IF(E1795="SHAFT","DVS 75",IF(AND(E1795="WINZE STOPE",T1795="S"),"RobC 80",IF(AND(E1795="STOPE",T1795="S"),"StpS 77",IF(AND(E1795="WINZE STOPE",T1795="L"),"RobC 80",IF(AND(E1795="STOPE",T1795="L"),"StpL 78",IF(AND(E1795="WINZE STOPE PREP",T1795="S"),"RobC 80",IF(AND(E1795="STOPE PREP",T1795="S"),"StpS 77",IF(AND(E1795="WINZE STOPE PREP",T1795="L"),"RobC 80",IF(AND(E1795="STOPE PREP",T1795="L"),"StpL 78",IF(AND(E1795="ROBBING",T1795="L"),"RobC 80",IF(AND(E1795="ROBBING",T1795="S"),"RobS 79",0)))))))))))))))</f>
        <v>RobS 79</v>
      </c>
      <c r="G1795" s="169" t="s">
        <v>318</v>
      </c>
      <c r="H1795" s="169" t="s">
        <v>319</v>
      </c>
      <c r="I1795" s="169" t="str">
        <f t="shared" si="112"/>
        <v>L10_GHV_069E_ROBBING</v>
      </c>
      <c r="J1795" s="169" t="s">
        <v>10989</v>
      </c>
      <c r="K1795" s="169">
        <f>IFERROR(MATCH(J1795,'Final List'!$B$4:$B$252,0),0)</f>
        <v>0</v>
      </c>
      <c r="L1795" s="169">
        <f>IFERROR(MATCH(J1795,'Final List'!$D$4:$D$252,0),0)</f>
        <v>0</v>
      </c>
      <c r="M1795" s="169">
        <f>IFERROR(MATCH(J1795,'Final List'!$F$4:$F$251,0),0)</f>
        <v>0</v>
      </c>
      <c r="N1795" s="169">
        <f>IFERROR(MATCH(J1795,'Final List'!$H$4:$H$252,0),0)</f>
        <v>0</v>
      </c>
      <c r="O1795" s="169">
        <f>IFERROR(MATCH(J1795,'Final List'!$J$4:$J$252,0),0)</f>
        <v>0</v>
      </c>
      <c r="P1795" s="169">
        <f>IFERROR(MATCH(J1795,'Final List'!$L$4:$L$252,0),0)</f>
        <v>0</v>
      </c>
      <c r="Q1795" s="169">
        <f>IFERROR(MATCH(J1795,'Final List'!$N$4:$N$252,0),0)</f>
        <v>0</v>
      </c>
      <c r="R1795" s="169">
        <f>IFERROR(MATCH(J1795,'Final List'!$P$4:$P$252,0),0)</f>
        <v>0</v>
      </c>
      <c r="S1795" s="169">
        <f t="shared" ref="S1795:S1858" si="115">SUM(K1795:R1795)</f>
        <v>0</v>
      </c>
      <c r="T1795" s="169" t="s">
        <v>68</v>
      </c>
      <c r="V1795" s="169" t="str">
        <f t="shared" si="113"/>
        <v>PARAGUYA 4</v>
      </c>
      <c r="W1795" s="169" t="s">
        <v>2707</v>
      </c>
    </row>
    <row r="1796" spans="2:23" x14ac:dyDescent="0.25">
      <c r="B1796" s="169" t="s">
        <v>8904</v>
      </c>
      <c r="C1796" s="169" t="s">
        <v>57</v>
      </c>
      <c r="D1796" s="169" t="s">
        <v>171</v>
      </c>
      <c r="E1796" s="169" t="s">
        <v>19</v>
      </c>
      <c r="F1796" s="245" t="str">
        <f t="shared" si="114"/>
        <v>DVR 72</v>
      </c>
      <c r="G1796" s="169" t="s">
        <v>9366</v>
      </c>
      <c r="I1796" s="169" t="str">
        <f t="shared" si="112"/>
        <v>L03_JVSPLIT_015W_RAISE</v>
      </c>
      <c r="J1796" s="169" t="s">
        <v>9365</v>
      </c>
      <c r="K1796" s="169">
        <f>IFERROR(MATCH(J1796,'Final List'!$B$4:$B$252,0),0)</f>
        <v>0</v>
      </c>
      <c r="L1796" s="169">
        <f>IFERROR(MATCH(J1796,'Final List'!$D$4:$D$252,0),0)</f>
        <v>0</v>
      </c>
      <c r="M1796" s="169">
        <f>IFERROR(MATCH(J1796,'Final List'!$F$4:$F$251,0),0)</f>
        <v>0</v>
      </c>
      <c r="N1796" s="169">
        <f>IFERROR(MATCH(J1796,'Final List'!$H$4:$H$252,0),0)</f>
        <v>0</v>
      </c>
      <c r="O1796" s="169">
        <f>IFERROR(MATCH(J1796,'Final List'!$J$4:$J$252,0),0)</f>
        <v>0</v>
      </c>
      <c r="P1796" s="169">
        <f>IFERROR(MATCH(J1796,'Final List'!$L$4:$L$252,0),0)</f>
        <v>0</v>
      </c>
      <c r="Q1796" s="169">
        <f>IFERROR(MATCH(J1796,'Final List'!$N$4:$N$252,0),0)</f>
        <v>0</v>
      </c>
      <c r="R1796" s="169">
        <f>IFERROR(MATCH(J1796,'Final List'!$P$4:$P$252,0),0)</f>
        <v>0</v>
      </c>
      <c r="S1796" s="169">
        <f t="shared" si="115"/>
        <v>0</v>
      </c>
      <c r="V1796" s="169" t="str">
        <f t="shared" si="113"/>
        <v>FERNANDEZ, RM 2</v>
      </c>
      <c r="W1796" s="169" t="s">
        <v>2715</v>
      </c>
    </row>
    <row r="1797" spans="2:23" x14ac:dyDescent="0.25">
      <c r="B1797" s="169" t="s">
        <v>94</v>
      </c>
      <c r="C1797" s="169" t="s">
        <v>57</v>
      </c>
      <c r="D1797" s="169" t="s">
        <v>171</v>
      </c>
      <c r="E1797" s="169" t="s">
        <v>221</v>
      </c>
      <c r="F1797" s="245" t="str">
        <f t="shared" si="114"/>
        <v>RobC 80</v>
      </c>
      <c r="G1797" s="169" t="s">
        <v>344</v>
      </c>
      <c r="I1797" s="169" t="str">
        <f t="shared" si="112"/>
        <v>L07_JVSPLIT_015W_WINZE STOPE</v>
      </c>
      <c r="J1797" s="169" t="s">
        <v>9368</v>
      </c>
      <c r="K1797" s="169">
        <f>IFERROR(MATCH(J1797,'Final List'!$B$4:$B$252,0),0)</f>
        <v>0</v>
      </c>
      <c r="L1797" s="169">
        <f>IFERROR(MATCH(J1797,'Final List'!$D$4:$D$252,0),0)</f>
        <v>0</v>
      </c>
      <c r="M1797" s="169">
        <f>IFERROR(MATCH(J1797,'Final List'!$F$4:$F$251,0),0)</f>
        <v>0</v>
      </c>
      <c r="N1797" s="169">
        <f>IFERROR(MATCH(J1797,'Final List'!$H$4:$H$252,0),0)</f>
        <v>0</v>
      </c>
      <c r="O1797" s="169">
        <f>IFERROR(MATCH(J1797,'Final List'!$J$4:$J$252,0),0)</f>
        <v>0</v>
      </c>
      <c r="P1797" s="169">
        <f>IFERROR(MATCH(J1797,'Final List'!$L$4:$L$252,0),0)</f>
        <v>0</v>
      </c>
      <c r="Q1797" s="169">
        <f>IFERROR(MATCH(J1797,'Final List'!$N$4:$N$252,0),0)</f>
        <v>0</v>
      </c>
      <c r="R1797" s="169">
        <f>IFERROR(MATCH(J1797,'Final List'!$P$4:$P$252,0),0)</f>
        <v>0</v>
      </c>
      <c r="S1797" s="169">
        <f t="shared" si="115"/>
        <v>0</v>
      </c>
      <c r="T1797" s="169" t="s">
        <v>68</v>
      </c>
      <c r="V1797" s="169" t="str">
        <f t="shared" si="113"/>
        <v>UDLOS 1</v>
      </c>
      <c r="W1797" s="169" t="s">
        <v>2719</v>
      </c>
    </row>
    <row r="1798" spans="2:23" x14ac:dyDescent="0.25">
      <c r="B1798" s="169" t="s">
        <v>93</v>
      </c>
      <c r="C1798" s="169" t="s">
        <v>57</v>
      </c>
      <c r="D1798" s="169" t="s">
        <v>108</v>
      </c>
      <c r="E1798" s="169" t="s">
        <v>62</v>
      </c>
      <c r="F1798" s="245" t="str">
        <f t="shared" si="114"/>
        <v>RobS 79</v>
      </c>
      <c r="G1798" s="169" t="s">
        <v>5980</v>
      </c>
      <c r="I1798" s="169" t="str">
        <f t="shared" si="112"/>
        <v>L06_JVSPLIT_007W_ROBBING</v>
      </c>
      <c r="J1798" s="169" t="s">
        <v>9371</v>
      </c>
      <c r="K1798" s="169">
        <f>IFERROR(MATCH(J1798,'Final List'!$B$4:$B$252,0),0)</f>
        <v>0</v>
      </c>
      <c r="L1798" s="169">
        <f>IFERROR(MATCH(J1798,'Final List'!$D$4:$D$252,0),0)</f>
        <v>0</v>
      </c>
      <c r="M1798" s="169">
        <f>IFERROR(MATCH(J1798,'Final List'!$F$4:$F$251,0),0)</f>
        <v>0</v>
      </c>
      <c r="N1798" s="169">
        <f>IFERROR(MATCH(J1798,'Final List'!$H$4:$H$252,0),0)</f>
        <v>0</v>
      </c>
      <c r="O1798" s="169">
        <f>IFERROR(MATCH(J1798,'Final List'!$J$4:$J$252,0),0)</f>
        <v>0</v>
      </c>
      <c r="P1798" s="169">
        <f>IFERROR(MATCH(J1798,'Final List'!$L$4:$L$252,0),0)</f>
        <v>0</v>
      </c>
      <c r="Q1798" s="169">
        <f>IFERROR(MATCH(J1798,'Final List'!$N$4:$N$252,0),0)</f>
        <v>0</v>
      </c>
      <c r="R1798" s="169">
        <f>IFERROR(MATCH(J1798,'Final List'!$P$4:$P$252,0),0)</f>
        <v>0</v>
      </c>
      <c r="S1798" s="169">
        <f t="shared" si="115"/>
        <v>0</v>
      </c>
      <c r="T1798" s="169" t="s">
        <v>68</v>
      </c>
      <c r="V1798" s="169" t="str">
        <f t="shared" si="113"/>
        <v xml:space="preserve">CARIKITAN 2 </v>
      </c>
      <c r="W1798" s="169" t="s">
        <v>2707</v>
      </c>
    </row>
    <row r="1799" spans="2:23" x14ac:dyDescent="0.25">
      <c r="B1799" s="169" t="s">
        <v>95</v>
      </c>
      <c r="C1799" s="169" t="s">
        <v>57</v>
      </c>
      <c r="D1799" s="169" t="s">
        <v>119</v>
      </c>
      <c r="E1799" s="169" t="s">
        <v>61</v>
      </c>
      <c r="F1799" s="245" t="str">
        <f t="shared" si="114"/>
        <v>Dhoz 71</v>
      </c>
      <c r="G1799" s="169" t="s">
        <v>6936</v>
      </c>
      <c r="I1799" s="169" t="str">
        <f t="shared" si="112"/>
        <v>L08_JVSPLIT_012E_DW</v>
      </c>
      <c r="J1799" s="169" t="s">
        <v>9373</v>
      </c>
      <c r="K1799" s="169">
        <f>IFERROR(MATCH(J1799,'Final List'!$B$4:$B$252,0),0)</f>
        <v>0</v>
      </c>
      <c r="L1799" s="169">
        <f>IFERROR(MATCH(J1799,'Final List'!$D$4:$D$252,0),0)</f>
        <v>0</v>
      </c>
      <c r="M1799" s="169">
        <f>IFERROR(MATCH(J1799,'Final List'!$F$4:$F$251,0),0)</f>
        <v>0</v>
      </c>
      <c r="N1799" s="169">
        <f>IFERROR(MATCH(J1799,'Final List'!$H$4:$H$252,0),0)</f>
        <v>0</v>
      </c>
      <c r="O1799" s="169">
        <f>IFERROR(MATCH(J1799,'Final List'!$J$4:$J$252,0),0)</f>
        <v>0</v>
      </c>
      <c r="P1799" s="169">
        <f>IFERROR(MATCH(J1799,'Final List'!$L$4:$L$252,0),0)</f>
        <v>0</v>
      </c>
      <c r="Q1799" s="169">
        <f>IFERROR(MATCH(J1799,'Final List'!$N$4:$N$252,0),0)</f>
        <v>0</v>
      </c>
      <c r="R1799" s="169">
        <f>IFERROR(MATCH(J1799,'Final List'!$P$4:$P$252,0),0)</f>
        <v>0</v>
      </c>
      <c r="S1799" s="169">
        <f t="shared" si="115"/>
        <v>0</v>
      </c>
      <c r="V1799" s="169" t="str">
        <f t="shared" si="113"/>
        <v>OSWAY 1</v>
      </c>
      <c r="W1799" s="169" t="s">
        <v>8895</v>
      </c>
    </row>
    <row r="1800" spans="2:23" x14ac:dyDescent="0.25">
      <c r="B1800" s="169" t="s">
        <v>94</v>
      </c>
      <c r="C1800" s="169" t="s">
        <v>56</v>
      </c>
      <c r="D1800" s="169" t="s">
        <v>99</v>
      </c>
      <c r="E1800" s="169" t="s">
        <v>62</v>
      </c>
      <c r="F1800" s="245" t="str">
        <f t="shared" si="114"/>
        <v>RobS 79</v>
      </c>
      <c r="G1800" s="169" t="s">
        <v>2970</v>
      </c>
      <c r="I1800" s="169" t="str">
        <f t="shared" si="112"/>
        <v>L07_GHVFW_028W_ROBBING</v>
      </c>
      <c r="J1800" s="169" t="s">
        <v>9374</v>
      </c>
      <c r="K1800" s="169">
        <f>IFERROR(MATCH(J1800,'Final List'!$B$4:$B$252,0),0)</f>
        <v>0</v>
      </c>
      <c r="L1800" s="169">
        <f>IFERROR(MATCH(J1800,'Final List'!$D$4:$D$252,0),0)</f>
        <v>0</v>
      </c>
      <c r="M1800" s="169">
        <f>IFERROR(MATCH(J1800,'Final List'!$F$4:$F$251,0),0)</f>
        <v>0</v>
      </c>
      <c r="N1800" s="169">
        <f>IFERROR(MATCH(J1800,'Final List'!$H$4:$H$252,0),0)</f>
        <v>0</v>
      </c>
      <c r="O1800" s="169">
        <f>IFERROR(MATCH(J1800,'Final List'!$J$4:$J$252,0),0)</f>
        <v>0</v>
      </c>
      <c r="P1800" s="169">
        <f>IFERROR(MATCH(J1800,'Final List'!$L$4:$L$252,0),0)</f>
        <v>0</v>
      </c>
      <c r="Q1800" s="169">
        <f>IFERROR(MATCH(J1800,'Final List'!$N$4:$N$252,0),0)</f>
        <v>0</v>
      </c>
      <c r="R1800" s="169">
        <f>IFERROR(MATCH(J1800,'Final List'!$P$4:$P$252,0),0)</f>
        <v>0</v>
      </c>
      <c r="S1800" s="169">
        <f t="shared" si="115"/>
        <v>0</v>
      </c>
      <c r="T1800" s="169" t="s">
        <v>68</v>
      </c>
      <c r="V1800" s="169" t="str">
        <f t="shared" si="113"/>
        <v>FABROA 2</v>
      </c>
      <c r="W1800" s="169" t="s">
        <v>2707</v>
      </c>
    </row>
    <row r="1801" spans="2:23" x14ac:dyDescent="0.25">
      <c r="B1801" s="169" t="s">
        <v>95</v>
      </c>
      <c r="C1801" s="169" t="s">
        <v>45</v>
      </c>
      <c r="D1801" s="169" t="s">
        <v>130</v>
      </c>
      <c r="E1801" s="169" t="s">
        <v>60</v>
      </c>
      <c r="F1801" s="245" t="str">
        <f t="shared" si="114"/>
        <v>Dhoz 71</v>
      </c>
      <c r="G1801" s="169" t="s">
        <v>367</v>
      </c>
      <c r="H1801" s="169" t="s">
        <v>380</v>
      </c>
      <c r="I1801" s="169" t="str">
        <f t="shared" si="112"/>
        <v>L08_DPVE_036E_DE</v>
      </c>
      <c r="J1801" s="169" t="s">
        <v>9381</v>
      </c>
      <c r="K1801" s="169">
        <f>IFERROR(MATCH(J1801,'Final List'!$B$4:$B$252,0),0)</f>
        <v>0</v>
      </c>
      <c r="L1801" s="169">
        <f>IFERROR(MATCH(J1801,'Final List'!$D$4:$D$252,0),0)</f>
        <v>0</v>
      </c>
      <c r="M1801" s="169">
        <f>IFERROR(MATCH(J1801,'Final List'!$F$4:$F$251,0),0)</f>
        <v>0</v>
      </c>
      <c r="N1801" s="169">
        <f>IFERROR(MATCH(J1801,'Final List'!$H$4:$H$252,0),0)</f>
        <v>0</v>
      </c>
      <c r="O1801" s="169">
        <f>IFERROR(MATCH(J1801,'Final List'!$J$4:$J$252,0),0)</f>
        <v>0</v>
      </c>
      <c r="P1801" s="169">
        <f>IFERROR(MATCH(J1801,'Final List'!$L$4:$L$252,0),0)</f>
        <v>0</v>
      </c>
      <c r="Q1801" s="169">
        <f>IFERROR(MATCH(J1801,'Final List'!$N$4:$N$252,0),0)</f>
        <v>0</v>
      </c>
      <c r="R1801" s="169">
        <f>IFERROR(MATCH(J1801,'Final List'!$P$4:$P$252,0),0)</f>
        <v>0</v>
      </c>
      <c r="S1801" s="169">
        <f t="shared" si="115"/>
        <v>0</v>
      </c>
      <c r="V1801" s="169" t="str">
        <f t="shared" si="113"/>
        <v>AGLOLO 1</v>
      </c>
      <c r="W1801" s="169" t="s">
        <v>8895</v>
      </c>
    </row>
    <row r="1802" spans="2:23" x14ac:dyDescent="0.25">
      <c r="B1802" s="169" t="s">
        <v>258</v>
      </c>
      <c r="C1802" s="169" t="s">
        <v>87</v>
      </c>
      <c r="D1802" s="169" t="s">
        <v>5604</v>
      </c>
      <c r="E1802" s="169" t="s">
        <v>37</v>
      </c>
      <c r="F1802" s="245" t="str">
        <f t="shared" si="114"/>
        <v>Dhoz 71</v>
      </c>
      <c r="G1802" s="169" t="s">
        <v>318</v>
      </c>
      <c r="I1802" s="169" t="str">
        <f t="shared" si="112"/>
        <v>L10_NONE_063E_XCN</v>
      </c>
      <c r="J1802" s="169" t="s">
        <v>2534</v>
      </c>
      <c r="K1802" s="169">
        <f>IFERROR(MATCH(J1802,'Final List'!$B$4:$B$252,0),0)</f>
        <v>0</v>
      </c>
      <c r="L1802" s="169">
        <f>IFERROR(MATCH(J1802,'Final List'!$D$4:$D$252,0),0)</f>
        <v>0</v>
      </c>
      <c r="M1802" s="169">
        <f>IFERROR(MATCH(J1802,'Final List'!$F$4:$F$251,0),0)</f>
        <v>0</v>
      </c>
      <c r="N1802" s="169">
        <f>IFERROR(MATCH(J1802,'Final List'!$H$4:$H$252,0),0)</f>
        <v>0</v>
      </c>
      <c r="O1802" s="169">
        <f>IFERROR(MATCH(J1802,'Final List'!$J$4:$J$252,0),0)</f>
        <v>0</v>
      </c>
      <c r="P1802" s="169">
        <f>IFERROR(MATCH(J1802,'Final List'!$L$4:$L$252,0),0)</f>
        <v>0</v>
      </c>
      <c r="Q1802" s="169">
        <f>IFERROR(MATCH(J1802,'Final List'!$N$4:$N$252,0),0)</f>
        <v>0</v>
      </c>
      <c r="R1802" s="169">
        <f>IFERROR(MATCH(J1802,'Final List'!$P$4:$P$252,0),0)</f>
        <v>0</v>
      </c>
      <c r="S1802" s="169">
        <f t="shared" si="115"/>
        <v>0</v>
      </c>
      <c r="V1802" s="169" t="str">
        <f t="shared" si="113"/>
        <v>PARAGUYA 3</v>
      </c>
      <c r="W1802" s="169" t="s">
        <v>8898</v>
      </c>
    </row>
    <row r="1803" spans="2:23" x14ac:dyDescent="0.25">
      <c r="B1803" s="169" t="s">
        <v>92</v>
      </c>
      <c r="C1803" s="169" t="s">
        <v>45</v>
      </c>
      <c r="D1803" s="169" t="s">
        <v>5781</v>
      </c>
      <c r="E1803" s="169" t="s">
        <v>221</v>
      </c>
      <c r="F1803" s="245" t="str">
        <f t="shared" si="114"/>
        <v>RobC 80</v>
      </c>
      <c r="G1803" s="169" t="s">
        <v>8195</v>
      </c>
      <c r="I1803" s="169" t="str">
        <f t="shared" si="112"/>
        <v>L05_DPVE_051E_WINZE STOPE</v>
      </c>
      <c r="J1803" s="169" t="s">
        <v>9386</v>
      </c>
      <c r="K1803" s="169">
        <f>IFERROR(MATCH(J1803,'Final List'!$B$4:$B$252,0),0)</f>
        <v>0</v>
      </c>
      <c r="L1803" s="169">
        <f>IFERROR(MATCH(J1803,'Final List'!$D$4:$D$252,0),0)</f>
        <v>0</v>
      </c>
      <c r="M1803" s="169">
        <f>IFERROR(MATCH(J1803,'Final List'!$F$4:$F$251,0),0)</f>
        <v>0</v>
      </c>
      <c r="N1803" s="169">
        <f>IFERROR(MATCH(J1803,'Final List'!$H$4:$H$252,0),0)</f>
        <v>0</v>
      </c>
      <c r="O1803" s="169">
        <f>IFERROR(MATCH(J1803,'Final List'!$J$4:$J$252,0),0)</f>
        <v>0</v>
      </c>
      <c r="P1803" s="169">
        <f>IFERROR(MATCH(J1803,'Final List'!$L$4:$L$252,0),0)</f>
        <v>0</v>
      </c>
      <c r="Q1803" s="169">
        <f>IFERROR(MATCH(J1803,'Final List'!$N$4:$N$252,0),0)</f>
        <v>0</v>
      </c>
      <c r="R1803" s="169">
        <f>IFERROR(MATCH(J1803,'Final List'!$P$4:$P$252,0),0)</f>
        <v>0</v>
      </c>
      <c r="S1803" s="169">
        <f t="shared" si="115"/>
        <v>0</v>
      </c>
      <c r="T1803" s="169" t="s">
        <v>68</v>
      </c>
      <c r="V1803" s="169" t="str">
        <f t="shared" si="113"/>
        <v>FERNANDEZ, RG 2</v>
      </c>
      <c r="W1803" s="169" t="s">
        <v>2705</v>
      </c>
    </row>
    <row r="1804" spans="2:23" x14ac:dyDescent="0.25">
      <c r="B1804" s="169" t="s">
        <v>95</v>
      </c>
      <c r="C1804" s="169" t="s">
        <v>38</v>
      </c>
      <c r="D1804" s="169" t="s">
        <v>5689</v>
      </c>
      <c r="E1804" s="169" t="s">
        <v>6154</v>
      </c>
      <c r="F1804" s="245" t="str">
        <f t="shared" si="114"/>
        <v>Dhoz 71</v>
      </c>
      <c r="G1804" s="169" t="s">
        <v>329</v>
      </c>
      <c r="H1804" s="169" t="s">
        <v>472</v>
      </c>
      <c r="I1804" s="169" t="str">
        <f t="shared" si="112"/>
        <v>L08_GHV_003E_DW_ISL</v>
      </c>
      <c r="J1804" s="169" t="s">
        <v>9387</v>
      </c>
      <c r="K1804" s="169">
        <f>IFERROR(MATCH(J1804,'Final List'!$B$4:$B$252,0),0)</f>
        <v>0</v>
      </c>
      <c r="L1804" s="169">
        <f>IFERROR(MATCH(J1804,'Final List'!$D$4:$D$252,0),0)</f>
        <v>0</v>
      </c>
      <c r="M1804" s="169">
        <f>IFERROR(MATCH(J1804,'Final List'!$F$4:$F$251,0),0)</f>
        <v>0</v>
      </c>
      <c r="N1804" s="169">
        <f>IFERROR(MATCH(J1804,'Final List'!$H$4:$H$252,0),0)</f>
        <v>0</v>
      </c>
      <c r="O1804" s="169">
        <f>IFERROR(MATCH(J1804,'Final List'!$J$4:$J$252,0),0)</f>
        <v>0</v>
      </c>
      <c r="P1804" s="169">
        <f>IFERROR(MATCH(J1804,'Final List'!$L$4:$L$252,0),0)</f>
        <v>0</v>
      </c>
      <c r="Q1804" s="169">
        <f>IFERROR(MATCH(J1804,'Final List'!$N$4:$N$252,0),0)</f>
        <v>0</v>
      </c>
      <c r="R1804" s="169">
        <f>IFERROR(MATCH(J1804,'Final List'!$P$4:$P$252,0),0)</f>
        <v>0</v>
      </c>
      <c r="S1804" s="169">
        <f t="shared" si="115"/>
        <v>0</v>
      </c>
      <c r="V1804" s="169" t="str">
        <f t="shared" si="113"/>
        <v>LERIO 3</v>
      </c>
      <c r="W1804" s="169" t="s">
        <v>2708</v>
      </c>
    </row>
    <row r="1805" spans="2:23" x14ac:dyDescent="0.25">
      <c r="B1805" s="169" t="s">
        <v>92</v>
      </c>
      <c r="C1805" s="169" t="s">
        <v>41</v>
      </c>
      <c r="D1805" s="169" t="s">
        <v>5741</v>
      </c>
      <c r="E1805" s="169" t="s">
        <v>62</v>
      </c>
      <c r="F1805" s="245" t="str">
        <f t="shared" si="114"/>
        <v>RobS 79</v>
      </c>
      <c r="G1805" s="169" t="s">
        <v>450</v>
      </c>
      <c r="I1805" s="169" t="str">
        <f t="shared" si="112"/>
        <v>L05_CTV_035E_ROBBING</v>
      </c>
      <c r="J1805" s="169" t="s">
        <v>9403</v>
      </c>
      <c r="K1805" s="169">
        <f>IFERROR(MATCH(J1805,'Final List'!$B$4:$B$252,0),0)</f>
        <v>0</v>
      </c>
      <c r="L1805" s="169">
        <f>IFERROR(MATCH(J1805,'Final List'!$D$4:$D$252,0),0)</f>
        <v>0</v>
      </c>
      <c r="M1805" s="169">
        <f>IFERROR(MATCH(J1805,'Final List'!$F$4:$F$251,0),0)</f>
        <v>0</v>
      </c>
      <c r="N1805" s="169">
        <f>IFERROR(MATCH(J1805,'Final List'!$H$4:$H$252,0),0)</f>
        <v>0</v>
      </c>
      <c r="O1805" s="169">
        <f>IFERROR(MATCH(J1805,'Final List'!$J$4:$J$252,0),0)</f>
        <v>0</v>
      </c>
      <c r="P1805" s="169">
        <f>IFERROR(MATCH(J1805,'Final List'!$L$4:$L$252,0),0)</f>
        <v>0</v>
      </c>
      <c r="Q1805" s="169">
        <f>IFERROR(MATCH(J1805,'Final List'!$N$4:$N$252,0),0)</f>
        <v>0</v>
      </c>
      <c r="R1805" s="169">
        <f>IFERROR(MATCH(J1805,'Final List'!$P$4:$P$252,0),0)</f>
        <v>0</v>
      </c>
      <c r="S1805" s="169">
        <f t="shared" si="115"/>
        <v>0</v>
      </c>
      <c r="T1805" s="169" t="s">
        <v>68</v>
      </c>
      <c r="V1805" s="169" t="str">
        <f t="shared" si="113"/>
        <v>BAYOBAY 1</v>
      </c>
      <c r="W1805" s="169" t="s">
        <v>2707</v>
      </c>
    </row>
    <row r="1806" spans="2:23" x14ac:dyDescent="0.25">
      <c r="B1806" s="169" t="s">
        <v>258</v>
      </c>
      <c r="C1806" s="169" t="s">
        <v>45</v>
      </c>
      <c r="D1806" s="169" t="s">
        <v>143</v>
      </c>
      <c r="E1806" s="169" t="s">
        <v>61</v>
      </c>
      <c r="F1806" s="245" t="str">
        <f t="shared" si="114"/>
        <v>Dhoz 71</v>
      </c>
      <c r="G1806" s="169" t="s">
        <v>372</v>
      </c>
      <c r="I1806" s="169" t="str">
        <f t="shared" si="112"/>
        <v>L10_DPVE_032E_DW</v>
      </c>
      <c r="J1806" s="169" t="s">
        <v>9391</v>
      </c>
      <c r="K1806" s="169">
        <f>IFERROR(MATCH(J1806,'Final List'!$B$4:$B$252,0),0)</f>
        <v>0</v>
      </c>
      <c r="L1806" s="169">
        <f>IFERROR(MATCH(J1806,'Final List'!$D$4:$D$252,0),0)</f>
        <v>0</v>
      </c>
      <c r="M1806" s="169">
        <f>IFERROR(MATCH(J1806,'Final List'!$F$4:$F$251,0),0)</f>
        <v>0</v>
      </c>
      <c r="N1806" s="169">
        <f>IFERROR(MATCH(J1806,'Final List'!$H$4:$H$252,0),0)</f>
        <v>0</v>
      </c>
      <c r="O1806" s="169">
        <f>IFERROR(MATCH(J1806,'Final List'!$J$4:$J$252,0),0)</f>
        <v>0</v>
      </c>
      <c r="P1806" s="169">
        <f>IFERROR(MATCH(J1806,'Final List'!$L$4:$L$252,0),0)</f>
        <v>0</v>
      </c>
      <c r="Q1806" s="169">
        <f>IFERROR(MATCH(J1806,'Final List'!$N$4:$N$252,0),0)</f>
        <v>0</v>
      </c>
      <c r="R1806" s="169">
        <f>IFERROR(MATCH(J1806,'Final List'!$P$4:$P$252,0),0)</f>
        <v>0</v>
      </c>
      <c r="S1806" s="169">
        <f t="shared" si="115"/>
        <v>0</v>
      </c>
      <c r="V1806" s="169" t="str">
        <f t="shared" si="113"/>
        <v>TAÑEZA 4</v>
      </c>
      <c r="W1806" s="169" t="s">
        <v>8896</v>
      </c>
    </row>
    <row r="1807" spans="2:23" x14ac:dyDescent="0.25">
      <c r="B1807" s="169" t="s">
        <v>258</v>
      </c>
      <c r="C1807" s="169" t="s">
        <v>38</v>
      </c>
      <c r="D1807" s="169" t="s">
        <v>5602</v>
      </c>
      <c r="E1807" s="169" t="s">
        <v>19</v>
      </c>
      <c r="F1807" s="245" t="str">
        <f t="shared" si="114"/>
        <v>DVR 72</v>
      </c>
      <c r="G1807" s="169" t="s">
        <v>6926</v>
      </c>
      <c r="H1807" s="169" t="s">
        <v>369</v>
      </c>
      <c r="I1807" s="169" t="str">
        <f t="shared" si="112"/>
        <v>L10_GHV_053E_RAISE</v>
      </c>
      <c r="J1807" s="169" t="s">
        <v>9394</v>
      </c>
      <c r="K1807" s="169">
        <f>IFERROR(MATCH(J1807,'Final List'!$B$4:$B$252,0),0)</f>
        <v>0</v>
      </c>
      <c r="L1807" s="169">
        <f>IFERROR(MATCH(J1807,'Final List'!$D$4:$D$252,0),0)</f>
        <v>0</v>
      </c>
      <c r="M1807" s="169">
        <f>IFERROR(MATCH(J1807,'Final List'!$F$4:$F$251,0),0)</f>
        <v>0</v>
      </c>
      <c r="N1807" s="169">
        <f>IFERROR(MATCH(J1807,'Final List'!$H$4:$H$252,0),0)</f>
        <v>0</v>
      </c>
      <c r="O1807" s="169">
        <f>IFERROR(MATCH(J1807,'Final List'!$J$4:$J$252,0),0)</f>
        <v>0</v>
      </c>
      <c r="P1807" s="169">
        <f>IFERROR(MATCH(J1807,'Final List'!$L$4:$L$252,0),0)</f>
        <v>0</v>
      </c>
      <c r="Q1807" s="169">
        <f>IFERROR(MATCH(J1807,'Final List'!$N$4:$N$252,0),0)</f>
        <v>0</v>
      </c>
      <c r="R1807" s="169">
        <f>IFERROR(MATCH(J1807,'Final List'!$P$4:$P$252,0),0)</f>
        <v>0</v>
      </c>
      <c r="S1807" s="169">
        <f t="shared" si="115"/>
        <v>0</v>
      </c>
      <c r="V1807" s="169" t="str">
        <f t="shared" si="113"/>
        <v>TAÑEZA 1</v>
      </c>
      <c r="W1807" s="169" t="s">
        <v>2715</v>
      </c>
    </row>
    <row r="1808" spans="2:23" x14ac:dyDescent="0.25">
      <c r="B1808" s="169" t="s">
        <v>258</v>
      </c>
      <c r="C1808" s="169" t="s">
        <v>45</v>
      </c>
      <c r="D1808" s="169" t="s">
        <v>5742</v>
      </c>
      <c r="E1808" s="169" t="s">
        <v>19</v>
      </c>
      <c r="F1808" s="245" t="str">
        <f t="shared" si="114"/>
        <v>DVR 72</v>
      </c>
      <c r="G1808" s="169" t="s">
        <v>369</v>
      </c>
      <c r="I1808" s="169" t="str">
        <f t="shared" si="112"/>
        <v>L10_DPVE_040E_RAISE</v>
      </c>
      <c r="J1808" s="169" t="s">
        <v>5743</v>
      </c>
      <c r="K1808" s="169">
        <f>IFERROR(MATCH(J1808,'Final List'!$B$4:$B$252,0),0)</f>
        <v>0</v>
      </c>
      <c r="L1808" s="169">
        <f>IFERROR(MATCH(J1808,'Final List'!$D$4:$D$252,0),0)</f>
        <v>0</v>
      </c>
      <c r="M1808" s="169">
        <f>IFERROR(MATCH(J1808,'Final List'!$F$4:$F$251,0),0)</f>
        <v>0</v>
      </c>
      <c r="N1808" s="169">
        <f>IFERROR(MATCH(J1808,'Final List'!$H$4:$H$252,0),0)</f>
        <v>0</v>
      </c>
      <c r="O1808" s="169">
        <f>IFERROR(MATCH(J1808,'Final List'!$J$4:$J$252,0),0)</f>
        <v>0</v>
      </c>
      <c r="P1808" s="169">
        <f>IFERROR(MATCH(J1808,'Final List'!$L$4:$L$252,0),0)</f>
        <v>0</v>
      </c>
      <c r="Q1808" s="169">
        <f>IFERROR(MATCH(J1808,'Final List'!$N$4:$N$252,0),0)</f>
        <v>0</v>
      </c>
      <c r="R1808" s="169">
        <f>IFERROR(MATCH(J1808,'Final List'!$P$4:$P$252,0),0)</f>
        <v>0</v>
      </c>
      <c r="S1808" s="169">
        <f t="shared" si="115"/>
        <v>0</v>
      </c>
      <c r="V1808" s="169" t="str">
        <f t="shared" si="113"/>
        <v>TAÑEZA 1</v>
      </c>
      <c r="W1808" s="169" t="s">
        <v>2715</v>
      </c>
    </row>
    <row r="1809" spans="2:23" x14ac:dyDescent="0.25">
      <c r="B1809" s="169" t="s">
        <v>1166</v>
      </c>
      <c r="C1809" s="169" t="s">
        <v>55</v>
      </c>
      <c r="D1809" s="169" t="s">
        <v>179</v>
      </c>
      <c r="E1809" s="169" t="s">
        <v>60</v>
      </c>
      <c r="F1809" s="245" t="str">
        <f t="shared" si="114"/>
        <v>Dhoz 71</v>
      </c>
      <c r="G1809" s="169" t="s">
        <v>2459</v>
      </c>
      <c r="I1809" s="169" t="str">
        <f t="shared" si="112"/>
        <v>L11_JVFW_050E_DE</v>
      </c>
      <c r="J1809" s="169" t="s">
        <v>9619</v>
      </c>
      <c r="K1809" s="169">
        <f>IFERROR(MATCH(J1809,'Final List'!$B$4:$B$252,0),0)</f>
        <v>0</v>
      </c>
      <c r="L1809" s="169">
        <f>IFERROR(MATCH(J1809,'Final List'!$D$4:$D$252,0),0)</f>
        <v>0</v>
      </c>
      <c r="M1809" s="169">
        <f>IFERROR(MATCH(J1809,'Final List'!$F$4:$F$251,0),0)</f>
        <v>0</v>
      </c>
      <c r="N1809" s="169">
        <f>IFERROR(MATCH(J1809,'Final List'!$H$4:$H$252,0),0)</f>
        <v>0</v>
      </c>
      <c r="O1809" s="169">
        <f>IFERROR(MATCH(J1809,'Final List'!$J$4:$J$252,0),0)</f>
        <v>0</v>
      </c>
      <c r="P1809" s="169">
        <f>IFERROR(MATCH(J1809,'Final List'!$L$4:$L$252,0),0)</f>
        <v>0</v>
      </c>
      <c r="Q1809" s="169">
        <f>IFERROR(MATCH(J1809,'Final List'!$N$4:$N$252,0),0)</f>
        <v>0</v>
      </c>
      <c r="R1809" s="169">
        <f>IFERROR(MATCH(J1809,'Final List'!$P$4:$P$252,0),0)</f>
        <v>0</v>
      </c>
      <c r="S1809" s="169">
        <f t="shared" si="115"/>
        <v>0</v>
      </c>
      <c r="V1809" s="169" t="str">
        <f t="shared" si="113"/>
        <v>REBOTE 3</v>
      </c>
      <c r="W1809" s="169" t="s">
        <v>8896</v>
      </c>
    </row>
    <row r="1810" spans="2:23" x14ac:dyDescent="0.25">
      <c r="B1810" s="169" t="s">
        <v>95</v>
      </c>
      <c r="C1810" s="169" t="s">
        <v>87</v>
      </c>
      <c r="D1810" s="169" t="s">
        <v>5741</v>
      </c>
      <c r="E1810" s="169" t="s">
        <v>37</v>
      </c>
      <c r="F1810" s="245" t="str">
        <f t="shared" si="114"/>
        <v>Dhoz 71</v>
      </c>
      <c r="G1810" s="169" t="s">
        <v>560</v>
      </c>
      <c r="H1810" s="169" t="s">
        <v>389</v>
      </c>
      <c r="I1810" s="169" t="str">
        <f t="shared" si="112"/>
        <v>L08_NONE_035E_XCN</v>
      </c>
      <c r="J1810" s="169" t="s">
        <v>9398</v>
      </c>
      <c r="K1810" s="169">
        <f>IFERROR(MATCH(J1810,'Final List'!$B$4:$B$252,0),0)</f>
        <v>0</v>
      </c>
      <c r="L1810" s="169">
        <f>IFERROR(MATCH(J1810,'Final List'!$D$4:$D$252,0),0)</f>
        <v>0</v>
      </c>
      <c r="M1810" s="169">
        <f>IFERROR(MATCH(J1810,'Final List'!$F$4:$F$251,0),0)</f>
        <v>0</v>
      </c>
      <c r="N1810" s="169">
        <f>IFERROR(MATCH(J1810,'Final List'!$H$4:$H$252,0),0)</f>
        <v>0</v>
      </c>
      <c r="O1810" s="169">
        <f>IFERROR(MATCH(J1810,'Final List'!$J$4:$J$252,0),0)</f>
        <v>0</v>
      </c>
      <c r="P1810" s="169">
        <f>IFERROR(MATCH(J1810,'Final List'!$L$4:$L$252,0),0)</f>
        <v>0</v>
      </c>
      <c r="Q1810" s="169">
        <f>IFERROR(MATCH(J1810,'Final List'!$N$4:$N$252,0),0)</f>
        <v>0</v>
      </c>
      <c r="R1810" s="169">
        <f>IFERROR(MATCH(J1810,'Final List'!$P$4:$P$252,0),0)</f>
        <v>0</v>
      </c>
      <c r="S1810" s="169">
        <f t="shared" si="115"/>
        <v>0</v>
      </c>
      <c r="V1810" s="169" t="str">
        <f t="shared" si="113"/>
        <v>CAPPUYO 1</v>
      </c>
      <c r="W1810" s="169" t="s">
        <v>8897</v>
      </c>
    </row>
    <row r="1811" spans="2:23" x14ac:dyDescent="0.25">
      <c r="B1811" s="169" t="s">
        <v>1166</v>
      </c>
      <c r="C1811" s="169" t="s">
        <v>45</v>
      </c>
      <c r="D1811" s="169" t="s">
        <v>180</v>
      </c>
      <c r="E1811" s="169" t="s">
        <v>19</v>
      </c>
      <c r="F1811" s="245" t="str">
        <f t="shared" si="114"/>
        <v>DVR 72</v>
      </c>
      <c r="G1811" s="169" t="s">
        <v>6932</v>
      </c>
      <c r="H1811" s="169" t="s">
        <v>862</v>
      </c>
      <c r="I1811" s="169" t="str">
        <f t="shared" si="112"/>
        <v>L11_DPVE_041E_RAISE</v>
      </c>
      <c r="J1811" s="169" t="s">
        <v>9399</v>
      </c>
      <c r="K1811" s="169">
        <f>IFERROR(MATCH(J1811,'Final List'!$B$4:$B$252,0),0)</f>
        <v>0</v>
      </c>
      <c r="L1811" s="169">
        <f>IFERROR(MATCH(J1811,'Final List'!$D$4:$D$252,0),0)</f>
        <v>0</v>
      </c>
      <c r="M1811" s="169">
        <f>IFERROR(MATCH(J1811,'Final List'!$F$4:$F$251,0),0)</f>
        <v>0</v>
      </c>
      <c r="N1811" s="169">
        <f>IFERROR(MATCH(J1811,'Final List'!$H$4:$H$252,0),0)</f>
        <v>0</v>
      </c>
      <c r="O1811" s="169">
        <f>IFERROR(MATCH(J1811,'Final List'!$J$4:$J$252,0),0)</f>
        <v>0</v>
      </c>
      <c r="P1811" s="169">
        <f>IFERROR(MATCH(J1811,'Final List'!$L$4:$L$252,0),0)</f>
        <v>0</v>
      </c>
      <c r="Q1811" s="169">
        <f>IFERROR(MATCH(J1811,'Final List'!$N$4:$N$252,0),0)</f>
        <v>0</v>
      </c>
      <c r="R1811" s="169">
        <f>IFERROR(MATCH(J1811,'Final List'!$P$4:$P$252,0),0)</f>
        <v>0</v>
      </c>
      <c r="S1811" s="169">
        <f t="shared" si="115"/>
        <v>0</v>
      </c>
      <c r="V1811" s="169" t="str">
        <f t="shared" si="113"/>
        <v>REBOTE 1</v>
      </c>
      <c r="W1811" s="169" t="s">
        <v>2715</v>
      </c>
    </row>
    <row r="1812" spans="2:23" x14ac:dyDescent="0.25">
      <c r="B1812" s="169" t="s">
        <v>1166</v>
      </c>
      <c r="C1812" s="169" t="s">
        <v>38</v>
      </c>
      <c r="D1812" s="169" t="s">
        <v>164</v>
      </c>
      <c r="E1812" s="292" t="s">
        <v>36</v>
      </c>
      <c r="F1812" s="245" t="str">
        <f t="shared" si="114"/>
        <v>StpS 77</v>
      </c>
      <c r="G1812" s="169" t="s">
        <v>352</v>
      </c>
      <c r="H1812" s="169" t="s">
        <v>9899</v>
      </c>
      <c r="I1812" s="169" t="str">
        <f t="shared" si="112"/>
        <v>L11_GHV_064E_STOPE</v>
      </c>
      <c r="J1812" s="169" t="s">
        <v>9401</v>
      </c>
      <c r="K1812" s="169">
        <f>IFERROR(MATCH(J1812,'Final List'!$B$4:$B$252,0),0)</f>
        <v>0</v>
      </c>
      <c r="L1812" s="169">
        <f>IFERROR(MATCH(J1812,'Final List'!$D$4:$D$252,0),0)</f>
        <v>0</v>
      </c>
      <c r="M1812" s="169">
        <f>IFERROR(MATCH(J1812,'Final List'!$F$4:$F$251,0),0)</f>
        <v>0</v>
      </c>
      <c r="N1812" s="169">
        <f>IFERROR(MATCH(J1812,'Final List'!$H$4:$H$252,0),0)</f>
        <v>0</v>
      </c>
      <c r="O1812" s="169">
        <f>IFERROR(MATCH(J1812,'Final List'!$J$4:$J$252,0),0)</f>
        <v>0</v>
      </c>
      <c r="P1812" s="169">
        <f>IFERROR(MATCH(J1812,'Final List'!$L$4:$L$252,0),0)</f>
        <v>0</v>
      </c>
      <c r="Q1812" s="169">
        <f>IFERROR(MATCH(J1812,'Final List'!$N$4:$N$252,0),0)</f>
        <v>0</v>
      </c>
      <c r="R1812" s="169">
        <f>IFERROR(MATCH(J1812,'Final List'!$P$4:$P$252,0),0)</f>
        <v>0</v>
      </c>
      <c r="S1812" s="169">
        <f t="shared" si="115"/>
        <v>0</v>
      </c>
      <c r="T1812" s="169" t="s">
        <v>68</v>
      </c>
      <c r="V1812" s="169" t="str">
        <f t="shared" si="113"/>
        <v xml:space="preserve">MAPAYO 1 </v>
      </c>
      <c r="W1812" s="169" t="s">
        <v>2713</v>
      </c>
    </row>
    <row r="1813" spans="2:23" x14ac:dyDescent="0.25">
      <c r="B1813" s="169" t="s">
        <v>258</v>
      </c>
      <c r="C1813" s="169" t="s">
        <v>55</v>
      </c>
      <c r="D1813" s="169" t="s">
        <v>201</v>
      </c>
      <c r="E1813" s="169" t="s">
        <v>62</v>
      </c>
      <c r="F1813" s="245" t="str">
        <f t="shared" si="114"/>
        <v>RobS 79</v>
      </c>
      <c r="G1813" s="169" t="s">
        <v>6927</v>
      </c>
      <c r="I1813" s="169" t="str">
        <f t="shared" si="112"/>
        <v>L10_JVFW_067E_ROBBING</v>
      </c>
      <c r="J1813" s="169" t="s">
        <v>9418</v>
      </c>
      <c r="K1813" s="169">
        <f>IFERROR(MATCH(J1813,'Final List'!$B$4:$B$252,0),0)</f>
        <v>0</v>
      </c>
      <c r="L1813" s="169">
        <f>IFERROR(MATCH(J1813,'Final List'!$D$4:$D$252,0),0)</f>
        <v>0</v>
      </c>
      <c r="M1813" s="169">
        <f>IFERROR(MATCH(J1813,'Final List'!$F$4:$F$251,0),0)</f>
        <v>0</v>
      </c>
      <c r="N1813" s="169">
        <f>IFERROR(MATCH(J1813,'Final List'!$H$4:$H$252,0),0)</f>
        <v>0</v>
      </c>
      <c r="O1813" s="169">
        <f>IFERROR(MATCH(J1813,'Final List'!$J$4:$J$252,0),0)</f>
        <v>0</v>
      </c>
      <c r="P1813" s="169">
        <f>IFERROR(MATCH(J1813,'Final List'!$L$4:$L$252,0),0)</f>
        <v>0</v>
      </c>
      <c r="Q1813" s="169">
        <f>IFERROR(MATCH(J1813,'Final List'!$N$4:$N$252,0),0)</f>
        <v>0</v>
      </c>
      <c r="R1813" s="169">
        <f>IFERROR(MATCH(J1813,'Final List'!$P$4:$P$252,0),0)</f>
        <v>0</v>
      </c>
      <c r="S1813" s="169">
        <f t="shared" si="115"/>
        <v>0</v>
      </c>
      <c r="T1813" s="169" t="s">
        <v>68</v>
      </c>
      <c r="V1813" s="169" t="str">
        <f t="shared" si="113"/>
        <v>DUHIG, R2</v>
      </c>
      <c r="W1813" s="169" t="s">
        <v>2707</v>
      </c>
    </row>
    <row r="1814" spans="2:23" x14ac:dyDescent="0.25">
      <c r="B1814" s="169" t="s">
        <v>96</v>
      </c>
      <c r="C1814" s="169" t="s">
        <v>42</v>
      </c>
      <c r="D1814" s="169" t="s">
        <v>169</v>
      </c>
      <c r="E1814" s="169" t="s">
        <v>62</v>
      </c>
      <c r="F1814" s="245" t="str">
        <f t="shared" si="114"/>
        <v>RobS 79</v>
      </c>
      <c r="G1814" s="169" t="s">
        <v>336</v>
      </c>
      <c r="I1814" s="169" t="str">
        <f t="shared" si="112"/>
        <v>L09_JV_065E_ROBBING</v>
      </c>
      <c r="J1814" s="169" t="s">
        <v>9423</v>
      </c>
      <c r="K1814" s="169">
        <f>IFERROR(MATCH(J1814,'Final List'!$B$4:$B$252,0),0)</f>
        <v>0</v>
      </c>
      <c r="L1814" s="169">
        <f>IFERROR(MATCH(J1814,'Final List'!$D$4:$D$252,0),0)</f>
        <v>0</v>
      </c>
      <c r="M1814" s="169">
        <f>IFERROR(MATCH(J1814,'Final List'!$F$4:$F$251,0),0)</f>
        <v>0</v>
      </c>
      <c r="N1814" s="169">
        <f>IFERROR(MATCH(J1814,'Final List'!$H$4:$H$252,0),0)</f>
        <v>0</v>
      </c>
      <c r="O1814" s="169">
        <f>IFERROR(MATCH(J1814,'Final List'!$J$4:$J$252,0),0)</f>
        <v>0</v>
      </c>
      <c r="P1814" s="169">
        <f>IFERROR(MATCH(J1814,'Final List'!$L$4:$L$252,0),0)</f>
        <v>0</v>
      </c>
      <c r="Q1814" s="169">
        <f>IFERROR(MATCH(J1814,'Final List'!$N$4:$N$252,0),0)</f>
        <v>0</v>
      </c>
      <c r="R1814" s="169">
        <f>IFERROR(MATCH(J1814,'Final List'!$P$4:$P$252,0),0)</f>
        <v>0</v>
      </c>
      <c r="S1814" s="169">
        <f t="shared" si="115"/>
        <v>0</v>
      </c>
      <c r="T1814" s="169" t="s">
        <v>68</v>
      </c>
      <c r="V1814" s="169" t="str">
        <f t="shared" si="113"/>
        <v>BALANGHIG 1</v>
      </c>
      <c r="W1814" s="169" t="s">
        <v>2707</v>
      </c>
    </row>
    <row r="1815" spans="2:23" x14ac:dyDescent="0.25">
      <c r="B1815" s="169" t="s">
        <v>96</v>
      </c>
      <c r="C1815" s="169" t="s">
        <v>57</v>
      </c>
      <c r="D1815" s="169" t="s">
        <v>166</v>
      </c>
      <c r="E1815" s="169" t="s">
        <v>62</v>
      </c>
      <c r="F1815" s="245" t="str">
        <f t="shared" si="114"/>
        <v>RobS 79</v>
      </c>
      <c r="G1815" s="169" t="s">
        <v>348</v>
      </c>
      <c r="I1815" s="169" t="str">
        <f t="shared" si="112"/>
        <v>L09_JVSPLIT_068E_ROBBING</v>
      </c>
      <c r="J1815" s="169" t="s">
        <v>9424</v>
      </c>
      <c r="K1815" s="169">
        <f>IFERROR(MATCH(J1815,'Final List'!$B$4:$B$252,0),0)</f>
        <v>0</v>
      </c>
      <c r="L1815" s="169">
        <f>IFERROR(MATCH(J1815,'Final List'!$D$4:$D$252,0),0)</f>
        <v>0</v>
      </c>
      <c r="M1815" s="169">
        <f>IFERROR(MATCH(J1815,'Final List'!$F$4:$F$251,0),0)</f>
        <v>0</v>
      </c>
      <c r="N1815" s="169">
        <f>IFERROR(MATCH(J1815,'Final List'!$H$4:$H$252,0),0)</f>
        <v>0</v>
      </c>
      <c r="O1815" s="169">
        <f>IFERROR(MATCH(J1815,'Final List'!$J$4:$J$252,0),0)</f>
        <v>0</v>
      </c>
      <c r="P1815" s="169">
        <f>IFERROR(MATCH(J1815,'Final List'!$L$4:$L$252,0),0)</f>
        <v>0</v>
      </c>
      <c r="Q1815" s="169">
        <f>IFERROR(MATCH(J1815,'Final List'!$N$4:$N$252,0),0)</f>
        <v>0</v>
      </c>
      <c r="R1815" s="169">
        <f>IFERROR(MATCH(J1815,'Final List'!$P$4:$P$252,0),0)</f>
        <v>0</v>
      </c>
      <c r="S1815" s="169">
        <f t="shared" si="115"/>
        <v>0</v>
      </c>
      <c r="T1815" s="169" t="s">
        <v>68</v>
      </c>
      <c r="V1815" s="169" t="str">
        <f t="shared" si="113"/>
        <v>QUIJANO 3</v>
      </c>
      <c r="W1815" s="169" t="s">
        <v>2707</v>
      </c>
    </row>
    <row r="1816" spans="2:23" x14ac:dyDescent="0.25">
      <c r="B1816" s="169" t="s">
        <v>258</v>
      </c>
      <c r="C1816" s="169" t="s">
        <v>87</v>
      </c>
      <c r="D1816" s="169" t="s">
        <v>9427</v>
      </c>
      <c r="E1816" s="169" t="s">
        <v>37</v>
      </c>
      <c r="F1816" s="245" t="str">
        <f t="shared" si="114"/>
        <v>Dhoz 71</v>
      </c>
      <c r="G1816" s="169" t="s">
        <v>354</v>
      </c>
      <c r="I1816" s="169" t="str">
        <f t="shared" si="112"/>
        <v>L10_NONE_091E_XCN</v>
      </c>
      <c r="J1816" s="169" t="s">
        <v>9426</v>
      </c>
      <c r="K1816" s="169">
        <f>IFERROR(MATCH(J1816,'Final List'!$B$4:$B$252,0),0)</f>
        <v>0</v>
      </c>
      <c r="L1816" s="169">
        <f>IFERROR(MATCH(J1816,'Final List'!$D$4:$D$252,0),0)</f>
        <v>0</v>
      </c>
      <c r="M1816" s="169">
        <f>IFERROR(MATCH(J1816,'Final List'!$F$4:$F$251,0),0)</f>
        <v>0</v>
      </c>
      <c r="N1816" s="169">
        <f>IFERROR(MATCH(J1816,'Final List'!$H$4:$H$252,0),0)</f>
        <v>0</v>
      </c>
      <c r="O1816" s="169">
        <f>IFERROR(MATCH(J1816,'Final List'!$J$4:$J$252,0),0)</f>
        <v>0</v>
      </c>
      <c r="P1816" s="169">
        <f>IFERROR(MATCH(J1816,'Final List'!$L$4:$L$252,0),0)</f>
        <v>0</v>
      </c>
      <c r="Q1816" s="169">
        <f>IFERROR(MATCH(J1816,'Final List'!$N$4:$N$252,0),0)</f>
        <v>0</v>
      </c>
      <c r="R1816" s="169">
        <f>IFERROR(MATCH(J1816,'Final List'!$P$4:$P$252,0),0)</f>
        <v>0</v>
      </c>
      <c r="S1816" s="169">
        <f t="shared" si="115"/>
        <v>0</v>
      </c>
      <c r="V1816" s="169" t="str">
        <f t="shared" si="113"/>
        <v>BAÑEZ 3</v>
      </c>
      <c r="W1816" s="169" t="s">
        <v>8898</v>
      </c>
    </row>
    <row r="1817" spans="2:23" x14ac:dyDescent="0.25">
      <c r="B1817" s="169" t="s">
        <v>8904</v>
      </c>
      <c r="C1817" s="169" t="s">
        <v>87</v>
      </c>
      <c r="D1817" s="169" t="s">
        <v>140</v>
      </c>
      <c r="E1817" s="169" t="s">
        <v>63</v>
      </c>
      <c r="F1817" s="245" t="str">
        <f t="shared" si="114"/>
        <v>Dhoz 71</v>
      </c>
      <c r="G1817" s="169" t="s">
        <v>9349</v>
      </c>
      <c r="I1817" s="169" t="str">
        <f t="shared" si="112"/>
        <v>L03_NONE_005W_XCS</v>
      </c>
      <c r="J1817" s="169" t="s">
        <v>9433</v>
      </c>
      <c r="K1817" s="169">
        <f>IFERROR(MATCH(J1817,'Final List'!$B$4:$B$252,0),0)</f>
        <v>0</v>
      </c>
      <c r="L1817" s="169">
        <f>IFERROR(MATCH(J1817,'Final List'!$D$4:$D$252,0),0)</f>
        <v>0</v>
      </c>
      <c r="M1817" s="169">
        <f>IFERROR(MATCH(J1817,'Final List'!$F$4:$F$251,0),0)</f>
        <v>0</v>
      </c>
      <c r="N1817" s="169">
        <f>IFERROR(MATCH(J1817,'Final List'!$H$4:$H$252,0),0)</f>
        <v>0</v>
      </c>
      <c r="O1817" s="169">
        <f>IFERROR(MATCH(J1817,'Final List'!$J$4:$J$252,0),0)</f>
        <v>0</v>
      </c>
      <c r="P1817" s="169">
        <f>IFERROR(MATCH(J1817,'Final List'!$L$4:$L$252,0),0)</f>
        <v>0</v>
      </c>
      <c r="Q1817" s="169">
        <f>IFERROR(MATCH(J1817,'Final List'!$N$4:$N$252,0),0)</f>
        <v>0</v>
      </c>
      <c r="R1817" s="169">
        <f>IFERROR(MATCH(J1817,'Final List'!$P$4:$P$252,0),0)</f>
        <v>0</v>
      </c>
      <c r="S1817" s="169">
        <f t="shared" si="115"/>
        <v>0</v>
      </c>
      <c r="V1817" s="169" t="str">
        <f t="shared" si="113"/>
        <v>FERNANDEZ, RM 3</v>
      </c>
      <c r="W1817" s="169" t="s">
        <v>8897</v>
      </c>
    </row>
    <row r="1818" spans="2:23" x14ac:dyDescent="0.25">
      <c r="B1818" s="169" t="s">
        <v>91</v>
      </c>
      <c r="C1818" s="169" t="s">
        <v>57</v>
      </c>
      <c r="D1818" s="169" t="s">
        <v>147</v>
      </c>
      <c r="E1818" s="169" t="s">
        <v>62</v>
      </c>
      <c r="F1818" s="245" t="str">
        <f t="shared" si="114"/>
        <v>RobS 79</v>
      </c>
      <c r="G1818" s="169" t="s">
        <v>5713</v>
      </c>
      <c r="I1818" s="169" t="str">
        <f t="shared" si="112"/>
        <v>L04_JVSPLIT_024E_ROBBING</v>
      </c>
      <c r="J1818" s="169" t="s">
        <v>9429</v>
      </c>
      <c r="K1818" s="169">
        <f>IFERROR(MATCH(J1818,'Final List'!$B$4:$B$252,0),0)</f>
        <v>0</v>
      </c>
      <c r="L1818" s="169">
        <f>IFERROR(MATCH(J1818,'Final List'!$D$4:$D$252,0),0)</f>
        <v>0</v>
      </c>
      <c r="M1818" s="169">
        <f>IFERROR(MATCH(J1818,'Final List'!$F$4:$F$251,0),0)</f>
        <v>0</v>
      </c>
      <c r="N1818" s="169">
        <f>IFERROR(MATCH(J1818,'Final List'!$H$4:$H$252,0),0)</f>
        <v>0</v>
      </c>
      <c r="O1818" s="169">
        <f>IFERROR(MATCH(J1818,'Final List'!$J$4:$J$252,0),0)</f>
        <v>0</v>
      </c>
      <c r="P1818" s="169">
        <f>IFERROR(MATCH(J1818,'Final List'!$L$4:$L$252,0),0)</f>
        <v>0</v>
      </c>
      <c r="Q1818" s="169">
        <f>IFERROR(MATCH(J1818,'Final List'!$N$4:$N$252,0),0)</f>
        <v>0</v>
      </c>
      <c r="R1818" s="169">
        <f>IFERROR(MATCH(J1818,'Final List'!$P$4:$P$252,0),0)</f>
        <v>0</v>
      </c>
      <c r="S1818" s="169">
        <f t="shared" si="115"/>
        <v>0</v>
      </c>
      <c r="T1818" s="169" t="s">
        <v>68</v>
      </c>
      <c r="V1818" s="169" t="str">
        <f t="shared" si="113"/>
        <v>SHEPHERD AL 1</v>
      </c>
      <c r="W1818" s="169" t="s">
        <v>2707</v>
      </c>
    </row>
    <row r="1819" spans="2:23" x14ac:dyDescent="0.25">
      <c r="B1819" s="169" t="s">
        <v>93</v>
      </c>
      <c r="C1819" s="169" t="s">
        <v>59</v>
      </c>
      <c r="D1819" s="169" t="s">
        <v>107</v>
      </c>
      <c r="E1819" s="169" t="s">
        <v>19</v>
      </c>
      <c r="F1819" s="245" t="str">
        <f t="shared" si="114"/>
        <v>DVR 72</v>
      </c>
      <c r="G1819" s="169" t="s">
        <v>349</v>
      </c>
      <c r="I1819" s="169" t="str">
        <f t="shared" si="112"/>
        <v>L06_GHVHW_032W_RAISE</v>
      </c>
      <c r="J1819" s="169" t="s">
        <v>9492</v>
      </c>
      <c r="K1819" s="169">
        <f>IFERROR(MATCH(J1819,'Final List'!$B$4:$B$252,0),0)</f>
        <v>0</v>
      </c>
      <c r="L1819" s="169">
        <f>IFERROR(MATCH(J1819,'Final List'!$D$4:$D$252,0),0)</f>
        <v>0</v>
      </c>
      <c r="M1819" s="169">
        <f>IFERROR(MATCH(J1819,'Final List'!$F$4:$F$251,0),0)</f>
        <v>0</v>
      </c>
      <c r="N1819" s="169">
        <f>IFERROR(MATCH(J1819,'Final List'!$H$4:$H$252,0),0)</f>
        <v>0</v>
      </c>
      <c r="O1819" s="169">
        <f>IFERROR(MATCH(J1819,'Final List'!$J$4:$J$252,0),0)</f>
        <v>0</v>
      </c>
      <c r="P1819" s="169">
        <f>IFERROR(MATCH(J1819,'Final List'!$L$4:$L$252,0),0)</f>
        <v>0</v>
      </c>
      <c r="Q1819" s="169">
        <f>IFERROR(MATCH(J1819,'Final List'!$N$4:$N$252,0),0)</f>
        <v>0</v>
      </c>
      <c r="R1819" s="169">
        <f>IFERROR(MATCH(J1819,'Final List'!$P$4:$P$252,0),0)</f>
        <v>0</v>
      </c>
      <c r="S1819" s="169">
        <f t="shared" si="115"/>
        <v>0</v>
      </c>
      <c r="V1819" s="169" t="str">
        <f t="shared" si="113"/>
        <v>QUIJANO 2</v>
      </c>
      <c r="W1819" s="169" t="s">
        <v>2715</v>
      </c>
    </row>
    <row r="1820" spans="2:23" x14ac:dyDescent="0.25">
      <c r="B1820" s="169" t="s">
        <v>93</v>
      </c>
      <c r="C1820" s="169" t="s">
        <v>42</v>
      </c>
      <c r="D1820" s="169" t="s">
        <v>111</v>
      </c>
      <c r="E1820" s="169" t="s">
        <v>20</v>
      </c>
      <c r="F1820" s="245" t="str">
        <f t="shared" si="114"/>
        <v>DVW 74</v>
      </c>
      <c r="G1820" s="169" t="s">
        <v>526</v>
      </c>
      <c r="I1820" s="169" t="str">
        <f t="shared" si="112"/>
        <v>L06_JV_004W_WINZE</v>
      </c>
      <c r="J1820" s="169" t="s">
        <v>9434</v>
      </c>
      <c r="K1820" s="169">
        <f>IFERROR(MATCH(J1820,'Final List'!$B$4:$B$252,0),0)</f>
        <v>0</v>
      </c>
      <c r="L1820" s="169">
        <f>IFERROR(MATCH(J1820,'Final List'!$D$4:$D$252,0),0)</f>
        <v>0</v>
      </c>
      <c r="M1820" s="169">
        <f>IFERROR(MATCH(J1820,'Final List'!$F$4:$F$251,0),0)</f>
        <v>0</v>
      </c>
      <c r="N1820" s="169">
        <f>IFERROR(MATCH(J1820,'Final List'!$H$4:$H$252,0),0)</f>
        <v>0</v>
      </c>
      <c r="O1820" s="169">
        <f>IFERROR(MATCH(J1820,'Final List'!$J$4:$J$252,0),0)</f>
        <v>0</v>
      </c>
      <c r="P1820" s="169">
        <f>IFERROR(MATCH(J1820,'Final List'!$L$4:$L$252,0),0)</f>
        <v>0</v>
      </c>
      <c r="Q1820" s="169">
        <f>IFERROR(MATCH(J1820,'Final List'!$N$4:$N$252,0),0)</f>
        <v>0</v>
      </c>
      <c r="R1820" s="169">
        <f>IFERROR(MATCH(J1820,'Final List'!$P$4:$P$252,0),0)</f>
        <v>0</v>
      </c>
      <c r="S1820" s="169">
        <f t="shared" si="115"/>
        <v>0</v>
      </c>
      <c r="V1820" s="169" t="str">
        <f t="shared" si="113"/>
        <v>CARIKITAN 2</v>
      </c>
      <c r="W1820" s="169" t="s">
        <v>2706</v>
      </c>
    </row>
    <row r="1821" spans="2:23" x14ac:dyDescent="0.25">
      <c r="B1821" s="169" t="s">
        <v>95</v>
      </c>
      <c r="C1821" s="169" t="s">
        <v>56</v>
      </c>
      <c r="D1821" s="169" t="s">
        <v>165</v>
      </c>
      <c r="E1821" s="169" t="s">
        <v>221</v>
      </c>
      <c r="F1821" s="245" t="str">
        <f t="shared" si="114"/>
        <v>RobC 80</v>
      </c>
      <c r="G1821" s="169" t="s">
        <v>583</v>
      </c>
      <c r="I1821" s="169" t="str">
        <f t="shared" ref="I1821:I1884" si="116">CONCATENATE(B1821,"_",C1821,"_",D1821,"_",E1821)</f>
        <v>L08_GHVFW_056E_WINZE STOPE</v>
      </c>
      <c r="J1821" s="169" t="s">
        <v>9437</v>
      </c>
      <c r="K1821" s="169">
        <f>IFERROR(MATCH(J1821,'Final List'!$B$4:$B$252,0),0)</f>
        <v>0</v>
      </c>
      <c r="L1821" s="169">
        <f>IFERROR(MATCH(J1821,'Final List'!$D$4:$D$252,0),0)</f>
        <v>0</v>
      </c>
      <c r="M1821" s="169">
        <f>IFERROR(MATCH(J1821,'Final List'!$F$4:$F$251,0),0)</f>
        <v>0</v>
      </c>
      <c r="N1821" s="169">
        <f>IFERROR(MATCH(J1821,'Final List'!$H$4:$H$252,0),0)</f>
        <v>0</v>
      </c>
      <c r="O1821" s="169">
        <f>IFERROR(MATCH(J1821,'Final List'!$J$4:$J$252,0),0)</f>
        <v>0</v>
      </c>
      <c r="P1821" s="169">
        <f>IFERROR(MATCH(J1821,'Final List'!$L$4:$L$252,0),0)</f>
        <v>0</v>
      </c>
      <c r="Q1821" s="169">
        <f>IFERROR(MATCH(J1821,'Final List'!$N$4:$N$252,0),0)</f>
        <v>0</v>
      </c>
      <c r="R1821" s="169">
        <f>IFERROR(MATCH(J1821,'Final List'!$P$4:$P$252,0),0)</f>
        <v>0</v>
      </c>
      <c r="S1821" s="169">
        <f t="shared" si="115"/>
        <v>0</v>
      </c>
      <c r="T1821" s="169" t="s">
        <v>68</v>
      </c>
      <c r="V1821" s="169" t="str">
        <f t="shared" si="113"/>
        <v>VILLARANTE 1</v>
      </c>
      <c r="W1821" s="169" t="s">
        <v>2719</v>
      </c>
    </row>
    <row r="1822" spans="2:23" x14ac:dyDescent="0.25">
      <c r="B1822" s="169" t="s">
        <v>8904</v>
      </c>
      <c r="C1822" s="169" t="s">
        <v>8753</v>
      </c>
      <c r="D1822" s="169" t="s">
        <v>5835</v>
      </c>
      <c r="E1822" s="169" t="s">
        <v>62</v>
      </c>
      <c r="F1822" s="245" t="str">
        <f t="shared" si="114"/>
        <v>RobS 79</v>
      </c>
      <c r="G1822" s="169" t="s">
        <v>9349</v>
      </c>
      <c r="I1822" s="169" t="str">
        <f t="shared" si="116"/>
        <v>L03_RYV_003W_ROBBING</v>
      </c>
      <c r="J1822" s="169" t="s">
        <v>9444</v>
      </c>
      <c r="K1822" s="169">
        <f>IFERROR(MATCH(J1822,'Final List'!$B$4:$B$252,0),0)</f>
        <v>0</v>
      </c>
      <c r="L1822" s="169">
        <f>IFERROR(MATCH(J1822,'Final List'!$D$4:$D$252,0),0)</f>
        <v>0</v>
      </c>
      <c r="M1822" s="169">
        <f>IFERROR(MATCH(J1822,'Final List'!$F$4:$F$251,0),0)</f>
        <v>0</v>
      </c>
      <c r="N1822" s="169">
        <f>IFERROR(MATCH(J1822,'Final List'!$H$4:$H$252,0),0)</f>
        <v>0</v>
      </c>
      <c r="O1822" s="169">
        <f>IFERROR(MATCH(J1822,'Final List'!$J$4:$J$252,0),0)</f>
        <v>0</v>
      </c>
      <c r="P1822" s="169">
        <f>IFERROR(MATCH(J1822,'Final List'!$L$4:$L$252,0),0)</f>
        <v>0</v>
      </c>
      <c r="Q1822" s="169">
        <f>IFERROR(MATCH(J1822,'Final List'!$N$4:$N$252,0),0)</f>
        <v>0</v>
      </c>
      <c r="R1822" s="169">
        <f>IFERROR(MATCH(J1822,'Final List'!$P$4:$P$252,0),0)</f>
        <v>0</v>
      </c>
      <c r="S1822" s="169">
        <f t="shared" si="115"/>
        <v>0</v>
      </c>
      <c r="T1822" s="169" t="s">
        <v>68</v>
      </c>
      <c r="V1822" s="169" t="str">
        <f t="shared" si="113"/>
        <v>FERNANDEZ, RM 3</v>
      </c>
      <c r="W1822" s="169" t="s">
        <v>2707</v>
      </c>
    </row>
    <row r="1823" spans="2:23" x14ac:dyDescent="0.25">
      <c r="B1823" s="169" t="s">
        <v>96</v>
      </c>
      <c r="C1823" s="169" t="s">
        <v>55</v>
      </c>
      <c r="D1823" s="169" t="s">
        <v>197</v>
      </c>
      <c r="E1823" s="169" t="s">
        <v>20</v>
      </c>
      <c r="F1823" s="245" t="str">
        <f t="shared" si="114"/>
        <v>DVW 74</v>
      </c>
      <c r="G1823" s="169" t="s">
        <v>2970</v>
      </c>
      <c r="H1823" s="169" t="s">
        <v>5717</v>
      </c>
      <c r="I1823" s="169" t="str">
        <f t="shared" si="116"/>
        <v>L09_JVFW_070E_WINZE</v>
      </c>
      <c r="J1823" s="169" t="s">
        <v>9457</v>
      </c>
      <c r="K1823" s="169">
        <f>IFERROR(MATCH(J1823,'Final List'!$B$4:$B$252,0),0)</f>
        <v>0</v>
      </c>
      <c r="L1823" s="169">
        <f>IFERROR(MATCH(J1823,'Final List'!$D$4:$D$252,0),0)</f>
        <v>0</v>
      </c>
      <c r="M1823" s="169">
        <f>IFERROR(MATCH(J1823,'Final List'!$F$4:$F$251,0),0)</f>
        <v>0</v>
      </c>
      <c r="N1823" s="169">
        <f>IFERROR(MATCH(J1823,'Final List'!$H$4:$H$252,0),0)</f>
        <v>0</v>
      </c>
      <c r="O1823" s="169">
        <f>IFERROR(MATCH(J1823,'Final List'!$J$4:$J$252,0),0)</f>
        <v>0</v>
      </c>
      <c r="P1823" s="169">
        <f>IFERROR(MATCH(J1823,'Final List'!$L$4:$L$252,0),0)</f>
        <v>0</v>
      </c>
      <c r="Q1823" s="169">
        <f>IFERROR(MATCH(J1823,'Final List'!$N$4:$N$252,0),0)</f>
        <v>0</v>
      </c>
      <c r="R1823" s="169">
        <f>IFERROR(MATCH(J1823,'Final List'!$P$4:$P$252,0),0)</f>
        <v>0</v>
      </c>
      <c r="S1823" s="169">
        <f t="shared" si="115"/>
        <v>0</v>
      </c>
      <c r="V1823" s="169" t="str">
        <f t="shared" si="113"/>
        <v>SHEPHERD AC 1</v>
      </c>
      <c r="W1823" s="169" t="s">
        <v>2706</v>
      </c>
    </row>
    <row r="1824" spans="2:23" x14ac:dyDescent="0.25">
      <c r="B1824" s="169" t="s">
        <v>258</v>
      </c>
      <c r="C1824" s="169" t="s">
        <v>45</v>
      </c>
      <c r="D1824" s="169" t="s">
        <v>146</v>
      </c>
      <c r="E1824" s="169" t="s">
        <v>61</v>
      </c>
      <c r="F1824" s="245" t="str">
        <f t="shared" si="114"/>
        <v>Dhoz 71</v>
      </c>
      <c r="G1824" s="169" t="s">
        <v>370</v>
      </c>
      <c r="H1824" s="169" t="s">
        <v>10603</v>
      </c>
      <c r="I1824" s="169" t="str">
        <f t="shared" si="116"/>
        <v>L10_DPVE_030E_DW</v>
      </c>
      <c r="J1824" s="169" t="s">
        <v>10672</v>
      </c>
      <c r="K1824" s="169">
        <f>IFERROR(MATCH(J1824,'Final List'!$B$4:$B$252,0),0)</f>
        <v>0</v>
      </c>
      <c r="L1824" s="169">
        <f>IFERROR(MATCH(J1824,'Final List'!$D$4:$D$252,0),0)</f>
        <v>0</v>
      </c>
      <c r="M1824" s="169">
        <f>IFERROR(MATCH(J1824,'Final List'!$F$4:$F$251,0),0)</f>
        <v>0</v>
      </c>
      <c r="N1824" s="169">
        <f>IFERROR(MATCH(J1824,'Final List'!$H$4:$H$252,0),0)</f>
        <v>0</v>
      </c>
      <c r="O1824" s="169">
        <f>IFERROR(MATCH(J1824,'Final List'!$J$4:$J$252,0),0)</f>
        <v>0</v>
      </c>
      <c r="P1824" s="169">
        <f>IFERROR(MATCH(J1824,'Final List'!$L$4:$L$252,0),0)</f>
        <v>0</v>
      </c>
      <c r="Q1824" s="169">
        <f>IFERROR(MATCH(J1824,'Final List'!$N$4:$N$252,0),0)</f>
        <v>0</v>
      </c>
      <c r="R1824" s="169">
        <f>IFERROR(MATCH(J1824,'Final List'!$P$4:$P$252,0),0)</f>
        <v>0</v>
      </c>
      <c r="S1824" s="169">
        <f t="shared" si="115"/>
        <v>0</v>
      </c>
      <c r="V1824" s="169" t="str">
        <f t="shared" si="113"/>
        <v xml:space="preserve">MONTEBON </v>
      </c>
      <c r="W1824" s="169" t="s">
        <v>8896</v>
      </c>
    </row>
    <row r="1825" spans="2:23" x14ac:dyDescent="0.25">
      <c r="B1825" s="169" t="s">
        <v>95</v>
      </c>
      <c r="C1825" s="169" t="s">
        <v>45</v>
      </c>
      <c r="D1825" s="169" t="s">
        <v>169</v>
      </c>
      <c r="E1825" s="169" t="s">
        <v>20</v>
      </c>
      <c r="F1825" s="245" t="str">
        <f t="shared" si="114"/>
        <v>DVW 74</v>
      </c>
      <c r="G1825" s="169" t="s">
        <v>305</v>
      </c>
      <c r="I1825" s="169" t="str">
        <f t="shared" si="116"/>
        <v>L08_DPVE_065E_WINZE</v>
      </c>
      <c r="J1825" s="169" t="s">
        <v>9447</v>
      </c>
      <c r="K1825" s="169">
        <f>IFERROR(MATCH(J1825,'Final List'!$B$4:$B$252,0),0)</f>
        <v>0</v>
      </c>
      <c r="L1825" s="169">
        <f>IFERROR(MATCH(J1825,'Final List'!$D$4:$D$252,0),0)</f>
        <v>0</v>
      </c>
      <c r="M1825" s="169">
        <f>IFERROR(MATCH(J1825,'Final List'!$F$4:$F$251,0),0)</f>
        <v>0</v>
      </c>
      <c r="N1825" s="169">
        <f>IFERROR(MATCH(J1825,'Final List'!$H$4:$H$252,0),0)</f>
        <v>0</v>
      </c>
      <c r="O1825" s="169">
        <f>IFERROR(MATCH(J1825,'Final List'!$J$4:$J$252,0),0)</f>
        <v>0</v>
      </c>
      <c r="P1825" s="169">
        <f>IFERROR(MATCH(J1825,'Final List'!$L$4:$L$252,0),0)</f>
        <v>0</v>
      </c>
      <c r="Q1825" s="169">
        <f>IFERROR(MATCH(J1825,'Final List'!$N$4:$N$252,0),0)</f>
        <v>0</v>
      </c>
      <c r="R1825" s="169">
        <f>IFERROR(MATCH(J1825,'Final List'!$P$4:$P$252,0),0)</f>
        <v>0</v>
      </c>
      <c r="S1825" s="169">
        <f t="shared" si="115"/>
        <v>0</v>
      </c>
      <c r="V1825" s="169" t="str">
        <f t="shared" si="113"/>
        <v>CABONITA 1</v>
      </c>
      <c r="W1825" s="169" t="s">
        <v>2706</v>
      </c>
    </row>
    <row r="1826" spans="2:23" x14ac:dyDescent="0.25">
      <c r="B1826" s="169" t="s">
        <v>258</v>
      </c>
      <c r="C1826" s="169" t="s">
        <v>45</v>
      </c>
      <c r="D1826" s="169" t="s">
        <v>5912</v>
      </c>
      <c r="E1826" s="169" t="s">
        <v>211</v>
      </c>
      <c r="F1826" s="245" t="str">
        <f t="shared" si="114"/>
        <v>StpS 77</v>
      </c>
      <c r="G1826" s="169" t="s">
        <v>9474</v>
      </c>
      <c r="H1826" s="169" t="s">
        <v>10895</v>
      </c>
      <c r="I1826" s="169" t="str">
        <f t="shared" si="116"/>
        <v>L10_DPVE_019E_STOPE PREP</v>
      </c>
      <c r="J1826" s="169" t="s">
        <v>9835</v>
      </c>
      <c r="K1826" s="169">
        <f>IFERROR(MATCH(J1826,'Final List'!$B$4:$B$252,0),0)</f>
        <v>0</v>
      </c>
      <c r="L1826" s="169">
        <f>IFERROR(MATCH(J1826,'Final List'!$D$4:$D$252,0),0)</f>
        <v>0</v>
      </c>
      <c r="M1826" s="169">
        <f>IFERROR(MATCH(J1826,'Final List'!$F$4:$F$251,0),0)</f>
        <v>0</v>
      </c>
      <c r="N1826" s="169">
        <f>IFERROR(MATCH(J1826,'Final List'!$H$4:$H$252,0),0)</f>
        <v>0</v>
      </c>
      <c r="O1826" s="169">
        <f>IFERROR(MATCH(J1826,'Final List'!$J$4:$J$252,0),0)</f>
        <v>0</v>
      </c>
      <c r="P1826" s="169">
        <f>IFERROR(MATCH(J1826,'Final List'!$L$4:$L$252,0),0)</f>
        <v>0</v>
      </c>
      <c r="Q1826" s="169">
        <f>IFERROR(MATCH(J1826,'Final List'!$N$4:$N$252,0),0)</f>
        <v>0</v>
      </c>
      <c r="R1826" s="169">
        <f>IFERROR(MATCH(J1826,'Final List'!$P$4:$P$252,0),0)</f>
        <v>0</v>
      </c>
      <c r="S1826" s="169">
        <f t="shared" si="115"/>
        <v>0</v>
      </c>
      <c r="T1826" s="169" t="s">
        <v>68</v>
      </c>
      <c r="V1826" s="169" t="str">
        <f t="shared" si="113"/>
        <v>SHEPHERD BC 1</v>
      </c>
      <c r="W1826" s="169" t="s">
        <v>2712</v>
      </c>
    </row>
    <row r="1827" spans="2:23" x14ac:dyDescent="0.25">
      <c r="B1827" s="169" t="s">
        <v>1166</v>
      </c>
      <c r="C1827" s="169" t="s">
        <v>38</v>
      </c>
      <c r="D1827" s="169" t="s">
        <v>175</v>
      </c>
      <c r="E1827" s="169" t="s">
        <v>211</v>
      </c>
      <c r="F1827" s="245" t="str">
        <f t="shared" si="114"/>
        <v>StpS 77</v>
      </c>
      <c r="G1827" s="169" t="s">
        <v>742</v>
      </c>
      <c r="I1827" s="169" t="str">
        <f t="shared" si="116"/>
        <v>L11_GHV_060E_STOPE PREP</v>
      </c>
      <c r="J1827" s="169" t="s">
        <v>9453</v>
      </c>
      <c r="K1827" s="169">
        <f>IFERROR(MATCH(J1827,'Final List'!$B$4:$B$252,0),0)</f>
        <v>0</v>
      </c>
      <c r="L1827" s="169">
        <f>IFERROR(MATCH(J1827,'Final List'!$D$4:$D$252,0),0)</f>
        <v>0</v>
      </c>
      <c r="M1827" s="169">
        <f>IFERROR(MATCH(J1827,'Final List'!$F$4:$F$251,0),0)</f>
        <v>0</v>
      </c>
      <c r="N1827" s="169">
        <f>IFERROR(MATCH(J1827,'Final List'!$H$4:$H$252,0),0)</f>
        <v>0</v>
      </c>
      <c r="O1827" s="169">
        <f>IFERROR(MATCH(J1827,'Final List'!$J$4:$J$252,0),0)</f>
        <v>0</v>
      </c>
      <c r="P1827" s="169">
        <f>IFERROR(MATCH(J1827,'Final List'!$L$4:$L$252,0),0)</f>
        <v>0</v>
      </c>
      <c r="Q1827" s="169">
        <f>IFERROR(MATCH(J1827,'Final List'!$N$4:$N$252,0),0)</f>
        <v>0</v>
      </c>
      <c r="R1827" s="169">
        <f>IFERROR(MATCH(J1827,'Final List'!$P$4:$P$252,0),0)</f>
        <v>0</v>
      </c>
      <c r="S1827" s="169">
        <f t="shared" si="115"/>
        <v>0</v>
      </c>
      <c r="T1827" s="169" t="s">
        <v>68</v>
      </c>
      <c r="V1827" s="169" t="str">
        <f t="shared" si="113"/>
        <v>REBOTE 2</v>
      </c>
      <c r="W1827" s="169" t="s">
        <v>2712</v>
      </c>
    </row>
    <row r="1828" spans="2:23" x14ac:dyDescent="0.25">
      <c r="B1828" s="169" t="s">
        <v>8904</v>
      </c>
      <c r="C1828" s="169" t="s">
        <v>41</v>
      </c>
      <c r="D1828" s="169" t="s">
        <v>5888</v>
      </c>
      <c r="E1828" s="169" t="s">
        <v>61</v>
      </c>
      <c r="F1828" s="245" t="str">
        <f t="shared" si="114"/>
        <v>Dhoz 71</v>
      </c>
      <c r="G1828" s="169" t="s">
        <v>9455</v>
      </c>
      <c r="I1828" s="169" t="str">
        <f t="shared" si="116"/>
        <v>L03_CTV_024W_DW</v>
      </c>
      <c r="J1828" s="169" t="s">
        <v>9454</v>
      </c>
      <c r="K1828" s="169">
        <f>IFERROR(MATCH(J1828,'Final List'!$B$4:$B$252,0),0)</f>
        <v>0</v>
      </c>
      <c r="L1828" s="169">
        <f>IFERROR(MATCH(J1828,'Final List'!$D$4:$D$252,0),0)</f>
        <v>0</v>
      </c>
      <c r="M1828" s="169">
        <f>IFERROR(MATCH(J1828,'Final List'!$F$4:$F$251,0),0)</f>
        <v>0</v>
      </c>
      <c r="N1828" s="169">
        <f>IFERROR(MATCH(J1828,'Final List'!$H$4:$H$252,0),0)</f>
        <v>0</v>
      </c>
      <c r="O1828" s="169">
        <f>IFERROR(MATCH(J1828,'Final List'!$J$4:$J$252,0),0)</f>
        <v>0</v>
      </c>
      <c r="P1828" s="169">
        <f>IFERROR(MATCH(J1828,'Final List'!$L$4:$L$252,0),0)</f>
        <v>0</v>
      </c>
      <c r="Q1828" s="169">
        <f>IFERROR(MATCH(J1828,'Final List'!$N$4:$N$252,0),0)</f>
        <v>0</v>
      </c>
      <c r="R1828" s="169">
        <f>IFERROR(MATCH(J1828,'Final List'!$P$4:$P$252,0),0)</f>
        <v>0</v>
      </c>
      <c r="S1828" s="169">
        <f t="shared" si="115"/>
        <v>0</v>
      </c>
      <c r="V1828" s="169" t="str">
        <f t="shared" si="113"/>
        <v>FERNANDEZ, RM 4</v>
      </c>
      <c r="W1828" s="169" t="s">
        <v>8895</v>
      </c>
    </row>
    <row r="1829" spans="2:23" x14ac:dyDescent="0.25">
      <c r="B1829" s="169" t="s">
        <v>258</v>
      </c>
      <c r="C1829" s="169" t="s">
        <v>87</v>
      </c>
      <c r="D1829" s="169" t="s">
        <v>9640</v>
      </c>
      <c r="E1829" s="169" t="s">
        <v>37</v>
      </c>
      <c r="F1829" s="245" t="str">
        <f t="shared" si="114"/>
        <v>Dhoz 71</v>
      </c>
      <c r="G1829" s="169" t="s">
        <v>296</v>
      </c>
      <c r="H1829" s="169" t="s">
        <v>451</v>
      </c>
      <c r="I1829" s="169" t="str">
        <f t="shared" si="116"/>
        <v>L10_NONE_094E_XCN</v>
      </c>
      <c r="J1829" s="169" t="s">
        <v>10386</v>
      </c>
      <c r="K1829" s="169">
        <f>IFERROR(MATCH(J1829,'Final List'!$B$4:$B$252,0),0)</f>
        <v>0</v>
      </c>
      <c r="L1829" s="169">
        <f>IFERROR(MATCH(J1829,'Final List'!$D$4:$D$252,0),0)</f>
        <v>0</v>
      </c>
      <c r="M1829" s="169">
        <f>IFERROR(MATCH(J1829,'Final List'!$F$4:$F$251,0),0)</f>
        <v>0</v>
      </c>
      <c r="N1829" s="169">
        <f>IFERROR(MATCH(J1829,'Final List'!$H$4:$H$252,0),0)</f>
        <v>0</v>
      </c>
      <c r="O1829" s="169">
        <f>IFERROR(MATCH(J1829,'Final List'!$J$4:$J$252,0),0)</f>
        <v>0</v>
      </c>
      <c r="P1829" s="169">
        <f>IFERROR(MATCH(J1829,'Final List'!$L$4:$L$252,0),0)</f>
        <v>0</v>
      </c>
      <c r="Q1829" s="169">
        <f>IFERROR(MATCH(J1829,'Final List'!$N$4:$N$252,0),0)</f>
        <v>0</v>
      </c>
      <c r="R1829" s="169">
        <f>IFERROR(MATCH(J1829,'Final List'!$P$4:$P$252,0),0)</f>
        <v>0</v>
      </c>
      <c r="S1829" s="169">
        <f t="shared" si="115"/>
        <v>0</v>
      </c>
      <c r="V1829" s="169" t="str">
        <f t="shared" si="113"/>
        <v>BELICAN 2</v>
      </c>
      <c r="W1829" s="169" t="s">
        <v>8898</v>
      </c>
    </row>
    <row r="1830" spans="2:23" x14ac:dyDescent="0.25">
      <c r="B1830" s="169" t="s">
        <v>258</v>
      </c>
      <c r="C1830" s="169" t="s">
        <v>45</v>
      </c>
      <c r="D1830" s="169" t="s">
        <v>130</v>
      </c>
      <c r="E1830" s="169" t="s">
        <v>62</v>
      </c>
      <c r="F1830" s="245" t="str">
        <f t="shared" si="114"/>
        <v>RobS 79</v>
      </c>
      <c r="G1830" s="169" t="s">
        <v>374</v>
      </c>
      <c r="H1830" s="169" t="s">
        <v>6927</v>
      </c>
      <c r="I1830" s="169" t="str">
        <f t="shared" si="116"/>
        <v>L10_DPVE_036E_ROBBING</v>
      </c>
      <c r="J1830" s="169" t="s">
        <v>9458</v>
      </c>
      <c r="K1830" s="169">
        <f>IFERROR(MATCH(J1830,'Final List'!$B$4:$B$252,0),0)</f>
        <v>0</v>
      </c>
      <c r="L1830" s="169">
        <f>IFERROR(MATCH(J1830,'Final List'!$D$4:$D$252,0),0)</f>
        <v>0</v>
      </c>
      <c r="M1830" s="169">
        <f>IFERROR(MATCH(J1830,'Final List'!$F$4:$F$251,0),0)</f>
        <v>0</v>
      </c>
      <c r="N1830" s="169">
        <f>IFERROR(MATCH(J1830,'Final List'!$H$4:$H$252,0),0)</f>
        <v>0</v>
      </c>
      <c r="O1830" s="169">
        <f>IFERROR(MATCH(J1830,'Final List'!$J$4:$J$252,0),0)</f>
        <v>0</v>
      </c>
      <c r="P1830" s="169">
        <f>IFERROR(MATCH(J1830,'Final List'!$L$4:$L$252,0),0)</f>
        <v>0</v>
      </c>
      <c r="Q1830" s="169">
        <f>IFERROR(MATCH(J1830,'Final List'!$N$4:$N$252,0),0)</f>
        <v>0</v>
      </c>
      <c r="R1830" s="169">
        <f>IFERROR(MATCH(J1830,'Final List'!$P$4:$P$252,0),0)</f>
        <v>0</v>
      </c>
      <c r="S1830" s="169">
        <f t="shared" si="115"/>
        <v>0</v>
      </c>
      <c r="T1830" s="169" t="s">
        <v>68</v>
      </c>
      <c r="V1830" s="169" t="str">
        <f t="shared" si="113"/>
        <v>DUHIG, R2</v>
      </c>
      <c r="W1830" s="169" t="s">
        <v>2707</v>
      </c>
    </row>
    <row r="1831" spans="2:23" x14ac:dyDescent="0.25">
      <c r="B1831" s="169" t="s">
        <v>258</v>
      </c>
      <c r="C1831" s="169" t="s">
        <v>87</v>
      </c>
      <c r="D1831" s="169" t="s">
        <v>162</v>
      </c>
      <c r="E1831" s="169" t="s">
        <v>37</v>
      </c>
      <c r="F1831" s="245" t="str">
        <f t="shared" si="114"/>
        <v>Dhoz 71</v>
      </c>
      <c r="G1831" s="169" t="s">
        <v>451</v>
      </c>
      <c r="H1831" s="169" t="s">
        <v>5715</v>
      </c>
      <c r="I1831" s="169" t="str">
        <f t="shared" si="116"/>
        <v>L10_NONE_008E_XCN</v>
      </c>
      <c r="J1831" s="169" t="s">
        <v>9463</v>
      </c>
      <c r="K1831" s="169">
        <f>IFERROR(MATCH(J1831,'Final List'!$B$4:$B$252,0),0)</f>
        <v>0</v>
      </c>
      <c r="L1831" s="169">
        <f>IFERROR(MATCH(J1831,'Final List'!$D$4:$D$252,0),0)</f>
        <v>0</v>
      </c>
      <c r="M1831" s="169">
        <f>IFERROR(MATCH(J1831,'Final List'!$F$4:$F$251,0),0)</f>
        <v>0</v>
      </c>
      <c r="N1831" s="169">
        <f>IFERROR(MATCH(J1831,'Final List'!$H$4:$H$252,0),0)</f>
        <v>0</v>
      </c>
      <c r="O1831" s="169">
        <f>IFERROR(MATCH(J1831,'Final List'!$J$4:$J$252,0),0)</f>
        <v>0</v>
      </c>
      <c r="P1831" s="169">
        <f>IFERROR(MATCH(J1831,'Final List'!$L$4:$L$252,0),0)</f>
        <v>0</v>
      </c>
      <c r="Q1831" s="169">
        <f>IFERROR(MATCH(J1831,'Final List'!$N$4:$N$252,0),0)</f>
        <v>0</v>
      </c>
      <c r="R1831" s="169">
        <f>IFERROR(MATCH(J1831,'Final List'!$P$4:$P$252,0),0)</f>
        <v>0</v>
      </c>
      <c r="S1831" s="169">
        <f t="shared" si="115"/>
        <v>0</v>
      </c>
      <c r="V1831" s="169" t="str">
        <f t="shared" si="113"/>
        <v>MARTINEZ, RON 1</v>
      </c>
      <c r="W1831" s="169" t="s">
        <v>8898</v>
      </c>
    </row>
    <row r="1832" spans="2:23" x14ac:dyDescent="0.25">
      <c r="B1832" s="169" t="s">
        <v>258</v>
      </c>
      <c r="C1832" s="169" t="s">
        <v>56</v>
      </c>
      <c r="D1832" s="169" t="s">
        <v>218</v>
      </c>
      <c r="E1832" s="169" t="s">
        <v>211</v>
      </c>
      <c r="F1832" s="245" t="str">
        <f t="shared" si="114"/>
        <v>StpS 77</v>
      </c>
      <c r="G1832" s="169" t="s">
        <v>303</v>
      </c>
      <c r="I1832" s="169" t="str">
        <f t="shared" si="116"/>
        <v>L10_GHVFW_062E_STOPE PREP</v>
      </c>
      <c r="J1832" s="169" t="s">
        <v>9483</v>
      </c>
      <c r="K1832" s="169">
        <f>IFERROR(MATCH(J1832,'Final List'!$B$4:$B$252,0),0)</f>
        <v>0</v>
      </c>
      <c r="L1832" s="169">
        <f>IFERROR(MATCH(J1832,'Final List'!$D$4:$D$252,0),0)</f>
        <v>0</v>
      </c>
      <c r="M1832" s="169">
        <f>IFERROR(MATCH(J1832,'Final List'!$F$4:$F$251,0),0)</f>
        <v>0</v>
      </c>
      <c r="N1832" s="169">
        <f>IFERROR(MATCH(J1832,'Final List'!$H$4:$H$252,0),0)</f>
        <v>0</v>
      </c>
      <c r="O1832" s="169">
        <f>IFERROR(MATCH(J1832,'Final List'!$J$4:$J$252,0),0)</f>
        <v>0</v>
      </c>
      <c r="P1832" s="169">
        <f>IFERROR(MATCH(J1832,'Final List'!$L$4:$L$252,0),0)</f>
        <v>0</v>
      </c>
      <c r="Q1832" s="169">
        <f>IFERROR(MATCH(J1832,'Final List'!$N$4:$N$252,0),0)</f>
        <v>0</v>
      </c>
      <c r="R1832" s="169">
        <f>IFERROR(MATCH(J1832,'Final List'!$P$4:$P$252,0),0)</f>
        <v>0</v>
      </c>
      <c r="S1832" s="169">
        <f t="shared" si="115"/>
        <v>0</v>
      </c>
      <c r="T1832" s="169" t="s">
        <v>68</v>
      </c>
      <c r="V1832" s="169" t="str">
        <f t="shared" si="113"/>
        <v>BELICAN 1</v>
      </c>
      <c r="W1832" s="169" t="s">
        <v>2712</v>
      </c>
    </row>
    <row r="1833" spans="2:23" x14ac:dyDescent="0.25">
      <c r="B1833" s="169" t="s">
        <v>96</v>
      </c>
      <c r="C1833" s="169" t="s">
        <v>45</v>
      </c>
      <c r="D1833" s="169" t="s">
        <v>130</v>
      </c>
      <c r="E1833" s="169" t="s">
        <v>20</v>
      </c>
      <c r="F1833" s="245" t="str">
        <f t="shared" si="114"/>
        <v>DVW 74</v>
      </c>
      <c r="G1833" s="169" t="s">
        <v>401</v>
      </c>
      <c r="H1833" s="169" t="s">
        <v>9422</v>
      </c>
      <c r="I1833" s="169" t="str">
        <f t="shared" si="116"/>
        <v>L09_DPVE_036E_WINZE</v>
      </c>
      <c r="J1833" s="169" t="s">
        <v>9464</v>
      </c>
      <c r="K1833" s="169">
        <f>IFERROR(MATCH(J1833,'Final List'!$B$4:$B$252,0),0)</f>
        <v>0</v>
      </c>
      <c r="L1833" s="169">
        <f>IFERROR(MATCH(J1833,'Final List'!$D$4:$D$252,0),0)</f>
        <v>0</v>
      </c>
      <c r="M1833" s="169">
        <f>IFERROR(MATCH(J1833,'Final List'!$F$4:$F$251,0),0)</f>
        <v>0</v>
      </c>
      <c r="N1833" s="169">
        <f>IFERROR(MATCH(J1833,'Final List'!$H$4:$H$252,0),0)</f>
        <v>0</v>
      </c>
      <c r="O1833" s="169">
        <f>IFERROR(MATCH(J1833,'Final List'!$J$4:$J$252,0),0)</f>
        <v>0</v>
      </c>
      <c r="P1833" s="169">
        <f>IFERROR(MATCH(J1833,'Final List'!$L$4:$L$252,0),0)</f>
        <v>0</v>
      </c>
      <c r="Q1833" s="169">
        <f>IFERROR(MATCH(J1833,'Final List'!$N$4:$N$252,0),0)</f>
        <v>0</v>
      </c>
      <c r="R1833" s="169">
        <f>IFERROR(MATCH(J1833,'Final List'!$P$4:$P$252,0),0)</f>
        <v>0</v>
      </c>
      <c r="S1833" s="169">
        <f t="shared" si="115"/>
        <v>0</v>
      </c>
      <c r="V1833" s="169" t="str">
        <f t="shared" si="113"/>
        <v>SHEPHERD AY 1</v>
      </c>
      <c r="W1833" s="169" t="s">
        <v>2706</v>
      </c>
    </row>
    <row r="1834" spans="2:23" x14ac:dyDescent="0.25">
      <c r="B1834" s="169" t="s">
        <v>96</v>
      </c>
      <c r="C1834" s="169" t="s">
        <v>45</v>
      </c>
      <c r="D1834" s="169" t="s">
        <v>6114</v>
      </c>
      <c r="E1834" s="169" t="s">
        <v>62</v>
      </c>
      <c r="F1834" s="245" t="str">
        <f t="shared" si="114"/>
        <v>RobS 79</v>
      </c>
      <c r="G1834" s="169" t="s">
        <v>8201</v>
      </c>
      <c r="I1834" s="169" t="str">
        <f t="shared" si="116"/>
        <v>L09_DPVE_078E_ROBBING</v>
      </c>
      <c r="J1834" s="169" t="s">
        <v>9468</v>
      </c>
      <c r="K1834" s="169">
        <f>IFERROR(MATCH(J1834,'Final List'!$B$4:$B$252,0),0)</f>
        <v>0</v>
      </c>
      <c r="L1834" s="169">
        <f>IFERROR(MATCH(J1834,'Final List'!$D$4:$D$252,0),0)</f>
        <v>0</v>
      </c>
      <c r="M1834" s="169">
        <f>IFERROR(MATCH(J1834,'Final List'!$F$4:$F$251,0),0)</f>
        <v>0</v>
      </c>
      <c r="N1834" s="169">
        <f>IFERROR(MATCH(J1834,'Final List'!$H$4:$H$252,0),0)</f>
        <v>0</v>
      </c>
      <c r="O1834" s="169">
        <f>IFERROR(MATCH(J1834,'Final List'!$J$4:$J$252,0),0)</f>
        <v>0</v>
      </c>
      <c r="P1834" s="169">
        <f>IFERROR(MATCH(J1834,'Final List'!$L$4:$L$252,0),0)</f>
        <v>0</v>
      </c>
      <c r="Q1834" s="169">
        <f>IFERROR(MATCH(J1834,'Final List'!$N$4:$N$252,0),0)</f>
        <v>0</v>
      </c>
      <c r="R1834" s="169">
        <f>IFERROR(MATCH(J1834,'Final List'!$P$4:$P$252,0),0)</f>
        <v>0</v>
      </c>
      <c r="S1834" s="169">
        <f t="shared" si="115"/>
        <v>0</v>
      </c>
      <c r="T1834" s="169" t="s">
        <v>68</v>
      </c>
      <c r="V1834" s="169" t="str">
        <f t="shared" si="113"/>
        <v>PANSIT, NORMAN 1</v>
      </c>
      <c r="W1834" s="169" t="s">
        <v>2707</v>
      </c>
    </row>
    <row r="1835" spans="2:23" x14ac:dyDescent="0.25">
      <c r="B1835" s="169" t="s">
        <v>96</v>
      </c>
      <c r="C1835" s="169" t="s">
        <v>59</v>
      </c>
      <c r="D1835" s="169" t="s">
        <v>113</v>
      </c>
      <c r="E1835" s="169" t="s">
        <v>61</v>
      </c>
      <c r="F1835" s="245" t="str">
        <f t="shared" si="114"/>
        <v>Dhoz 71</v>
      </c>
      <c r="G1835" s="169" t="s">
        <v>394</v>
      </c>
      <c r="H1835" s="169" t="s">
        <v>1661</v>
      </c>
      <c r="I1835" s="169" t="str">
        <f t="shared" si="116"/>
        <v>L09_GHVHW_001W_DW</v>
      </c>
      <c r="J1835" s="169" t="s">
        <v>7925</v>
      </c>
      <c r="K1835" s="169">
        <f>IFERROR(MATCH(J1835,'Final List'!$B$4:$B$252,0),0)</f>
        <v>0</v>
      </c>
      <c r="L1835" s="169">
        <f>IFERROR(MATCH(J1835,'Final List'!$D$4:$D$252,0),0)</f>
        <v>0</v>
      </c>
      <c r="M1835" s="169">
        <f>IFERROR(MATCH(J1835,'Final List'!$F$4:$F$251,0),0)</f>
        <v>0</v>
      </c>
      <c r="N1835" s="169">
        <f>IFERROR(MATCH(J1835,'Final List'!$H$4:$H$252,0),0)</f>
        <v>0</v>
      </c>
      <c r="O1835" s="169">
        <f>IFERROR(MATCH(J1835,'Final List'!$J$4:$J$252,0),0)</f>
        <v>0</v>
      </c>
      <c r="P1835" s="169">
        <f>IFERROR(MATCH(J1835,'Final List'!$L$4:$L$252,0),0)</f>
        <v>0</v>
      </c>
      <c r="Q1835" s="169">
        <f>IFERROR(MATCH(J1835,'Final List'!$N$4:$N$252,0),0)</f>
        <v>0</v>
      </c>
      <c r="R1835" s="169">
        <f>IFERROR(MATCH(J1835,'Final List'!$P$4:$P$252,0),0)</f>
        <v>0</v>
      </c>
      <c r="S1835" s="169">
        <f t="shared" si="115"/>
        <v>0</v>
      </c>
      <c r="V1835" s="169" t="str">
        <f t="shared" si="113"/>
        <v>DELOS REYES V2</v>
      </c>
      <c r="W1835" s="169" t="s">
        <v>8896</v>
      </c>
    </row>
    <row r="1836" spans="2:23" x14ac:dyDescent="0.25">
      <c r="B1836" s="169" t="s">
        <v>92</v>
      </c>
      <c r="C1836" s="169" t="s">
        <v>42</v>
      </c>
      <c r="D1836" s="169" t="s">
        <v>5631</v>
      </c>
      <c r="E1836" s="169" t="s">
        <v>36</v>
      </c>
      <c r="F1836" s="245" t="str">
        <f t="shared" si="114"/>
        <v>StpS 77</v>
      </c>
      <c r="G1836" s="169" t="s">
        <v>554</v>
      </c>
      <c r="I1836" s="169" t="str">
        <f t="shared" si="116"/>
        <v>L05_JV_020E_STOPE</v>
      </c>
      <c r="J1836" s="169" t="s">
        <v>9472</v>
      </c>
      <c r="K1836" s="169">
        <f>IFERROR(MATCH(J1836,'Final List'!$B$4:$B$252,0),0)</f>
        <v>0</v>
      </c>
      <c r="L1836" s="169">
        <f>IFERROR(MATCH(J1836,'Final List'!$D$4:$D$252,0),0)</f>
        <v>0</v>
      </c>
      <c r="M1836" s="169">
        <f>IFERROR(MATCH(J1836,'Final List'!$F$4:$F$251,0),0)</f>
        <v>0</v>
      </c>
      <c r="N1836" s="169">
        <f>IFERROR(MATCH(J1836,'Final List'!$H$4:$H$252,0),0)</f>
        <v>0</v>
      </c>
      <c r="O1836" s="169">
        <f>IFERROR(MATCH(J1836,'Final List'!$J$4:$J$252,0),0)</f>
        <v>0</v>
      </c>
      <c r="P1836" s="169">
        <f>IFERROR(MATCH(J1836,'Final List'!$L$4:$L$252,0),0)</f>
        <v>0</v>
      </c>
      <c r="Q1836" s="169">
        <f>IFERROR(MATCH(J1836,'Final List'!$N$4:$N$252,0),0)</f>
        <v>0</v>
      </c>
      <c r="R1836" s="169">
        <f>IFERROR(MATCH(J1836,'Final List'!$P$4:$P$252,0),0)</f>
        <v>0</v>
      </c>
      <c r="S1836" s="169">
        <f t="shared" si="115"/>
        <v>0</v>
      </c>
      <c r="T1836" s="169" t="s">
        <v>68</v>
      </c>
      <c r="V1836" s="169" t="str">
        <f t="shared" si="113"/>
        <v>PANCIT, NOEL 1</v>
      </c>
      <c r="W1836" s="169" t="s">
        <v>2713</v>
      </c>
    </row>
    <row r="1837" spans="2:23" x14ac:dyDescent="0.25">
      <c r="B1837" s="169" t="s">
        <v>91</v>
      </c>
      <c r="C1837" s="169" t="s">
        <v>44</v>
      </c>
      <c r="D1837" s="169" t="s">
        <v>97</v>
      </c>
      <c r="E1837" s="169" t="s">
        <v>62</v>
      </c>
      <c r="F1837" s="245" t="str">
        <f t="shared" si="114"/>
        <v>RobS 79</v>
      </c>
      <c r="G1837" s="169" t="s">
        <v>9269</v>
      </c>
      <c r="I1837" s="169" t="str">
        <f t="shared" si="116"/>
        <v>L04_CV_012W_ROBBING</v>
      </c>
      <c r="J1837" s="169" t="s">
        <v>919</v>
      </c>
      <c r="K1837" s="169">
        <f>IFERROR(MATCH(J1837,'Final List'!$B$4:$B$252,0),0)</f>
        <v>0</v>
      </c>
      <c r="L1837" s="169">
        <f>IFERROR(MATCH(J1837,'Final List'!$D$4:$D$252,0),0)</f>
        <v>0</v>
      </c>
      <c r="M1837" s="169">
        <f>IFERROR(MATCH(J1837,'Final List'!$F$4:$F$251,0),0)</f>
        <v>0</v>
      </c>
      <c r="N1837" s="169">
        <f>IFERROR(MATCH(J1837,'Final List'!$H$4:$H$252,0),0)</f>
        <v>0</v>
      </c>
      <c r="O1837" s="169">
        <f>IFERROR(MATCH(J1837,'Final List'!$J$4:$J$252,0),0)</f>
        <v>0</v>
      </c>
      <c r="P1837" s="169">
        <f>IFERROR(MATCH(J1837,'Final List'!$L$4:$L$252,0),0)</f>
        <v>0</v>
      </c>
      <c r="Q1837" s="169">
        <f>IFERROR(MATCH(J1837,'Final List'!$N$4:$N$252,0),0)</f>
        <v>0</v>
      </c>
      <c r="R1837" s="169">
        <f>IFERROR(MATCH(J1837,'Final List'!$P$4:$P$252,0),0)</f>
        <v>0</v>
      </c>
      <c r="S1837" s="169">
        <f t="shared" si="115"/>
        <v>0</v>
      </c>
      <c r="T1837" s="169" t="s">
        <v>68</v>
      </c>
      <c r="V1837" s="169" t="str">
        <f t="shared" si="113"/>
        <v>SHEPHERD AR 2</v>
      </c>
      <c r="W1837" s="169" t="s">
        <v>2707</v>
      </c>
    </row>
    <row r="1838" spans="2:23" x14ac:dyDescent="0.25">
      <c r="B1838" s="169" t="s">
        <v>96</v>
      </c>
      <c r="C1838" s="169" t="s">
        <v>45</v>
      </c>
      <c r="D1838" s="169" t="s">
        <v>247</v>
      </c>
      <c r="E1838" s="169" t="s">
        <v>15047</v>
      </c>
      <c r="F1838" s="245" t="str">
        <f>IF(OR(E1838="XCN",E1838="DE",E1838="DW",E1838="DN",E1838="XCS",E1838="XCE",E1838="XCW",E1838="SUMP",E1838="BYPASS",E1838="CHAMBER",E1838="DRAIN HOLE",E1838="DRILLING CHAMBER",E1838="DE_ISL",E1838="DW_ISL",E1838="REHAB",E1838="DE_ISL",E1838="DE_ISL_B",E1838="DW_ISL_B",E1838="DW_ISL_A",E1838="DE_ISL_A"),"Dhoz 71",IF(OR(E1838="RAISE",E1838="RAISE_ISL"),"DVR 72",IF(E1838="ALIMAK","DVA 73",IF(E1838="WINZE","DVW 74",IF(E1838="SHAFT","DVS 75",IF(AND(E1838="WINZE STOPE",T1838="S"),"RobC 80",IF(AND(E1838="STOPE",T1838="S"),"StpS 77",IF(AND(E1838="WINZE STOPE",T1838="L"),"RobC 80",IF(AND(E1838="STOPE",T1838="L"),"StpL 78",IF(AND(E1838="WINZE STOPE PREP",T1838="S"),"RobC 80",IF(AND(E1838="STOPE PREP",T1838="S"),"StpS 77",IF(AND(E1838="WINZE STOPE PREP",T1838="L"),"RobC 80",IF(AND(E1838="STOPE PREP",T1838="L"),"StpL 78",IF(AND(E1838="ROBBING",T1838="L"),"RobC 80",IF(AND(E1838="ROBBING",T1838="S"),"RobS 79",0)))))))))))))))</f>
        <v>Dhoz 71</v>
      </c>
      <c r="G1838" s="169" t="s">
        <v>362</v>
      </c>
      <c r="I1838" s="169" t="str">
        <f t="shared" si="116"/>
        <v>L09_DPVE_080E_DE_ISL_B</v>
      </c>
      <c r="J1838" s="169" t="s">
        <v>9568</v>
      </c>
      <c r="K1838" s="169">
        <f>IFERROR(MATCH(J1838,'Final List'!$B$4:$B$252,0),0)</f>
        <v>0</v>
      </c>
      <c r="L1838" s="169">
        <f>IFERROR(MATCH(J1838,'Final List'!$D$4:$D$252,0),0)</f>
        <v>0</v>
      </c>
      <c r="M1838" s="169">
        <f>IFERROR(MATCH(J1838,'Final List'!$F$4:$F$251,0),0)</f>
        <v>0</v>
      </c>
      <c r="N1838" s="169">
        <f>IFERROR(MATCH(J1838,'Final List'!$H$4:$H$252,0),0)</f>
        <v>0</v>
      </c>
      <c r="O1838" s="169">
        <f>IFERROR(MATCH(J1838,'Final List'!$J$4:$J$252,0),0)</f>
        <v>0</v>
      </c>
      <c r="P1838" s="169">
        <f>IFERROR(MATCH(J1838,'Final List'!$L$4:$L$252,0),0)</f>
        <v>0</v>
      </c>
      <c r="Q1838" s="169">
        <f>IFERROR(MATCH(J1838,'Final List'!$N$4:$N$252,0),0)</f>
        <v>0</v>
      </c>
      <c r="R1838" s="169">
        <f>IFERROR(MATCH(J1838,'Final List'!$P$4:$P$252,0),0)</f>
        <v>0</v>
      </c>
      <c r="S1838" s="169">
        <f t="shared" si="115"/>
        <v>0</v>
      </c>
      <c r="V1838" s="169" t="str">
        <f t="shared" si="113"/>
        <v>BABOR 1</v>
      </c>
      <c r="W1838" s="169" t="s">
        <v>8896</v>
      </c>
    </row>
    <row r="1839" spans="2:23" x14ac:dyDescent="0.25">
      <c r="B1839" s="169" t="s">
        <v>93</v>
      </c>
      <c r="C1839" s="169" t="s">
        <v>42</v>
      </c>
      <c r="D1839" s="169" t="s">
        <v>112</v>
      </c>
      <c r="E1839" s="169" t="s">
        <v>62</v>
      </c>
      <c r="F1839" s="245" t="str">
        <f t="shared" si="114"/>
        <v>RobS 79</v>
      </c>
      <c r="G1839" s="169" t="s">
        <v>936</v>
      </c>
      <c r="I1839" s="169" t="str">
        <f t="shared" si="116"/>
        <v>L06_JV_018E_ROBBING</v>
      </c>
      <c r="J1839" s="169" t="s">
        <v>9493</v>
      </c>
      <c r="K1839" s="169">
        <f>IFERROR(MATCH(J1839,'Final List'!$B$4:$B$252,0),0)</f>
        <v>0</v>
      </c>
      <c r="L1839" s="169">
        <f>IFERROR(MATCH(J1839,'Final List'!$D$4:$D$252,0),0)</f>
        <v>0</v>
      </c>
      <c r="M1839" s="169">
        <f>IFERROR(MATCH(J1839,'Final List'!$F$4:$F$251,0),0)</f>
        <v>0</v>
      </c>
      <c r="N1839" s="169">
        <f>IFERROR(MATCH(J1839,'Final List'!$H$4:$H$252,0),0)</f>
        <v>0</v>
      </c>
      <c r="O1839" s="169">
        <f>IFERROR(MATCH(J1839,'Final List'!$J$4:$J$252,0),0)</f>
        <v>0</v>
      </c>
      <c r="P1839" s="169">
        <f>IFERROR(MATCH(J1839,'Final List'!$L$4:$L$252,0),0)</f>
        <v>0</v>
      </c>
      <c r="Q1839" s="169">
        <f>IFERROR(MATCH(J1839,'Final List'!$N$4:$N$252,0),0)</f>
        <v>0</v>
      </c>
      <c r="R1839" s="169">
        <f>IFERROR(MATCH(J1839,'Final List'!$P$4:$P$252,0),0)</f>
        <v>0</v>
      </c>
      <c r="S1839" s="169">
        <f t="shared" si="115"/>
        <v>0</v>
      </c>
      <c r="T1839" s="169" t="s">
        <v>68</v>
      </c>
      <c r="V1839" s="169" t="str">
        <f t="shared" si="113"/>
        <v>GUNAY 2</v>
      </c>
      <c r="W1839" s="169" t="s">
        <v>2707</v>
      </c>
    </row>
    <row r="1840" spans="2:23" x14ac:dyDescent="0.25">
      <c r="B1840" s="169" t="s">
        <v>92</v>
      </c>
      <c r="C1840" s="169" t="s">
        <v>45</v>
      </c>
      <c r="D1840" s="169" t="s">
        <v>144</v>
      </c>
      <c r="E1840" s="169" t="s">
        <v>221</v>
      </c>
      <c r="F1840" s="245" t="str">
        <f t="shared" si="114"/>
        <v>RobC 80</v>
      </c>
      <c r="G1840" s="169" t="s">
        <v>551</v>
      </c>
      <c r="I1840" s="169" t="str">
        <f t="shared" si="116"/>
        <v>L05_DPVE_043E_WINZE STOPE</v>
      </c>
      <c r="J1840" s="169" t="s">
        <v>9480</v>
      </c>
      <c r="K1840" s="169">
        <f>IFERROR(MATCH(J1840,'Final List'!$B$4:$B$252,0),0)</f>
        <v>0</v>
      </c>
      <c r="L1840" s="169">
        <f>IFERROR(MATCH(J1840,'Final List'!$D$4:$D$252,0),0)</f>
        <v>0</v>
      </c>
      <c r="M1840" s="169">
        <f>IFERROR(MATCH(J1840,'Final List'!$F$4:$F$251,0),0)</f>
        <v>0</v>
      </c>
      <c r="N1840" s="169">
        <f>IFERROR(MATCH(J1840,'Final List'!$H$4:$H$252,0),0)</f>
        <v>0</v>
      </c>
      <c r="O1840" s="169">
        <f>IFERROR(MATCH(J1840,'Final List'!$J$4:$J$252,0),0)</f>
        <v>0</v>
      </c>
      <c r="P1840" s="169">
        <f>IFERROR(MATCH(J1840,'Final List'!$L$4:$L$252,0),0)</f>
        <v>0</v>
      </c>
      <c r="Q1840" s="169">
        <f>IFERROR(MATCH(J1840,'Final List'!$N$4:$N$252,0),0)</f>
        <v>0</v>
      </c>
      <c r="R1840" s="169">
        <f>IFERROR(MATCH(J1840,'Final List'!$P$4:$P$252,0),0)</f>
        <v>0</v>
      </c>
      <c r="S1840" s="169">
        <f t="shared" si="115"/>
        <v>0</v>
      </c>
      <c r="T1840" s="169" t="s">
        <v>68</v>
      </c>
      <c r="V1840" s="169" t="str">
        <f t="shared" si="113"/>
        <v>PANCIT, NOEL 3</v>
      </c>
      <c r="W1840" s="169" t="s">
        <v>2719</v>
      </c>
    </row>
    <row r="1841" spans="2:23" x14ac:dyDescent="0.25">
      <c r="B1841" s="169" t="s">
        <v>258</v>
      </c>
      <c r="C1841" s="169" t="s">
        <v>57</v>
      </c>
      <c r="D1841" s="169" t="s">
        <v>160</v>
      </c>
      <c r="E1841" s="169" t="s">
        <v>211</v>
      </c>
      <c r="F1841" s="245" t="str">
        <f t="shared" si="114"/>
        <v>StpS 77</v>
      </c>
      <c r="G1841" s="169" t="s">
        <v>375</v>
      </c>
      <c r="I1841" s="169" t="str">
        <f t="shared" si="116"/>
        <v>L10_JVSPLIT_042E_STOPE PREP</v>
      </c>
      <c r="J1841" s="169" t="s">
        <v>9482</v>
      </c>
      <c r="K1841" s="169">
        <f>IFERROR(MATCH(J1841,'Final List'!$B$4:$B$252,0),0)</f>
        <v>0</v>
      </c>
      <c r="L1841" s="169">
        <f>IFERROR(MATCH(J1841,'Final List'!$D$4:$D$252,0),0)</f>
        <v>0</v>
      </c>
      <c r="M1841" s="169">
        <f>IFERROR(MATCH(J1841,'Final List'!$F$4:$F$251,0),0)</f>
        <v>0</v>
      </c>
      <c r="N1841" s="169">
        <f>IFERROR(MATCH(J1841,'Final List'!$H$4:$H$252,0),0)</f>
        <v>0</v>
      </c>
      <c r="O1841" s="169">
        <f>IFERROR(MATCH(J1841,'Final List'!$J$4:$J$252,0),0)</f>
        <v>0</v>
      </c>
      <c r="P1841" s="169">
        <f>IFERROR(MATCH(J1841,'Final List'!$L$4:$L$252,0),0)</f>
        <v>0</v>
      </c>
      <c r="Q1841" s="169">
        <f>IFERROR(MATCH(J1841,'Final List'!$N$4:$N$252,0),0)</f>
        <v>0</v>
      </c>
      <c r="R1841" s="169">
        <f>IFERROR(MATCH(J1841,'Final List'!$P$4:$P$252,0),0)</f>
        <v>0</v>
      </c>
      <c r="S1841" s="169">
        <f t="shared" si="115"/>
        <v>0</v>
      </c>
      <c r="T1841" s="169" t="s">
        <v>68</v>
      </c>
      <c r="V1841" s="169" t="str">
        <f t="shared" si="113"/>
        <v>TAÑEZA 7</v>
      </c>
      <c r="W1841" s="169" t="s">
        <v>2712</v>
      </c>
    </row>
    <row r="1842" spans="2:23" x14ac:dyDescent="0.25">
      <c r="B1842" s="169" t="s">
        <v>95</v>
      </c>
      <c r="C1842" s="169" t="s">
        <v>45</v>
      </c>
      <c r="D1842" s="169" t="s">
        <v>870</v>
      </c>
      <c r="E1842" s="169" t="s">
        <v>441</v>
      </c>
      <c r="F1842" s="245" t="str">
        <f t="shared" si="114"/>
        <v>RobC 80</v>
      </c>
      <c r="G1842" s="169" t="s">
        <v>6925</v>
      </c>
      <c r="I1842" s="169" t="str">
        <f t="shared" si="116"/>
        <v>L08_DPVE_073E_WINZE STOPE PREP</v>
      </c>
      <c r="J1842" s="169" t="s">
        <v>9486</v>
      </c>
      <c r="K1842" s="169">
        <f>IFERROR(MATCH(J1842,'Final List'!$B$4:$B$252,0),0)</f>
        <v>0</v>
      </c>
      <c r="L1842" s="169">
        <f>IFERROR(MATCH(J1842,'Final List'!$D$4:$D$252,0),0)</f>
        <v>0</v>
      </c>
      <c r="M1842" s="169">
        <f>IFERROR(MATCH(J1842,'Final List'!$F$4:$F$251,0),0)</f>
        <v>0</v>
      </c>
      <c r="N1842" s="169">
        <f>IFERROR(MATCH(J1842,'Final List'!$H$4:$H$252,0),0)</f>
        <v>0</v>
      </c>
      <c r="O1842" s="169">
        <f>IFERROR(MATCH(J1842,'Final List'!$J$4:$J$252,0),0)</f>
        <v>0</v>
      </c>
      <c r="P1842" s="169">
        <f>IFERROR(MATCH(J1842,'Final List'!$L$4:$L$252,0),0)</f>
        <v>0</v>
      </c>
      <c r="Q1842" s="169">
        <f>IFERROR(MATCH(J1842,'Final List'!$N$4:$N$252,0),0)</f>
        <v>0</v>
      </c>
      <c r="R1842" s="169">
        <f>IFERROR(MATCH(J1842,'Final List'!$P$4:$P$252,0),0)</f>
        <v>0</v>
      </c>
      <c r="S1842" s="169">
        <f t="shared" si="115"/>
        <v>0</v>
      </c>
      <c r="T1842" s="169" t="s">
        <v>68</v>
      </c>
      <c r="V1842" s="169" t="str">
        <f t="shared" si="113"/>
        <v>CAPUYAN 1</v>
      </c>
      <c r="W1842" s="169" t="s">
        <v>2716</v>
      </c>
    </row>
    <row r="1843" spans="2:23" x14ac:dyDescent="0.25">
      <c r="B1843" s="169" t="s">
        <v>258</v>
      </c>
      <c r="C1843" s="169" t="s">
        <v>56</v>
      </c>
      <c r="D1843" s="169" t="s">
        <v>142</v>
      </c>
      <c r="E1843" s="169" t="s">
        <v>211</v>
      </c>
      <c r="F1843" s="245" t="str">
        <f t="shared" si="114"/>
        <v>StpS 77</v>
      </c>
      <c r="G1843" s="169" t="s">
        <v>296</v>
      </c>
      <c r="I1843" s="169" t="str">
        <f t="shared" si="116"/>
        <v>L10_GHVFW_038E_STOPE PREP</v>
      </c>
      <c r="J1843" s="169" t="s">
        <v>9487</v>
      </c>
      <c r="K1843" s="169">
        <f>IFERROR(MATCH(J1843,'Final List'!$B$4:$B$252,0),0)</f>
        <v>0</v>
      </c>
      <c r="L1843" s="169">
        <f>IFERROR(MATCH(J1843,'Final List'!$D$4:$D$252,0),0)</f>
        <v>0</v>
      </c>
      <c r="M1843" s="169">
        <f>IFERROR(MATCH(J1843,'Final List'!$F$4:$F$251,0),0)</f>
        <v>0</v>
      </c>
      <c r="N1843" s="169">
        <f>IFERROR(MATCH(J1843,'Final List'!$H$4:$H$252,0),0)</f>
        <v>0</v>
      </c>
      <c r="O1843" s="169">
        <f>IFERROR(MATCH(J1843,'Final List'!$J$4:$J$252,0),0)</f>
        <v>0</v>
      </c>
      <c r="P1843" s="169">
        <f>IFERROR(MATCH(J1843,'Final List'!$L$4:$L$252,0),0)</f>
        <v>0</v>
      </c>
      <c r="Q1843" s="169">
        <f>IFERROR(MATCH(J1843,'Final List'!$N$4:$N$252,0),0)</f>
        <v>0</v>
      </c>
      <c r="R1843" s="169">
        <f>IFERROR(MATCH(J1843,'Final List'!$P$4:$P$252,0),0)</f>
        <v>0</v>
      </c>
      <c r="S1843" s="169">
        <f t="shared" si="115"/>
        <v>0</v>
      </c>
      <c r="T1843" s="169" t="s">
        <v>68</v>
      </c>
      <c r="V1843" s="169" t="str">
        <f t="shared" si="113"/>
        <v>MONTEBON 2</v>
      </c>
      <c r="W1843" s="169" t="s">
        <v>2712</v>
      </c>
    </row>
    <row r="1844" spans="2:23" x14ac:dyDescent="0.25">
      <c r="B1844" s="169" t="s">
        <v>95</v>
      </c>
      <c r="C1844" s="169" t="s">
        <v>45</v>
      </c>
      <c r="D1844" s="169" t="s">
        <v>218</v>
      </c>
      <c r="E1844" s="169" t="s">
        <v>6154</v>
      </c>
      <c r="F1844" s="245" t="str">
        <f t="shared" si="114"/>
        <v>Dhoz 71</v>
      </c>
      <c r="G1844" s="169" t="s">
        <v>942</v>
      </c>
      <c r="I1844" s="169" t="str">
        <f t="shared" si="116"/>
        <v>L08_DPVE_062E_DW_ISL</v>
      </c>
      <c r="J1844" s="169" t="s">
        <v>9489</v>
      </c>
      <c r="K1844" s="169">
        <f>IFERROR(MATCH(J1844,'Final List'!$B$4:$B$252,0),0)</f>
        <v>0</v>
      </c>
      <c r="L1844" s="169">
        <f>IFERROR(MATCH(J1844,'Final List'!$D$4:$D$252,0),0)</f>
        <v>0</v>
      </c>
      <c r="M1844" s="169">
        <f>IFERROR(MATCH(J1844,'Final List'!$F$4:$F$251,0),0)</f>
        <v>0</v>
      </c>
      <c r="N1844" s="169">
        <f>IFERROR(MATCH(J1844,'Final List'!$H$4:$H$252,0),0)</f>
        <v>0</v>
      </c>
      <c r="O1844" s="169">
        <f>IFERROR(MATCH(J1844,'Final List'!$J$4:$J$252,0),0)</f>
        <v>0</v>
      </c>
      <c r="P1844" s="169">
        <f>IFERROR(MATCH(J1844,'Final List'!$L$4:$L$252,0),0)</f>
        <v>0</v>
      </c>
      <c r="Q1844" s="169">
        <f>IFERROR(MATCH(J1844,'Final List'!$N$4:$N$252,0),0)</f>
        <v>0</v>
      </c>
      <c r="R1844" s="169">
        <f>IFERROR(MATCH(J1844,'Final List'!$P$4:$P$252,0),0)</f>
        <v>0</v>
      </c>
      <c r="S1844" s="169">
        <f t="shared" si="115"/>
        <v>0</v>
      </c>
      <c r="T1844" s="169" t="s">
        <v>68</v>
      </c>
      <c r="V1844" s="169" t="str">
        <f t="shared" si="113"/>
        <v>AGLOLO 3</v>
      </c>
      <c r="W1844" s="169" t="s">
        <v>2708</v>
      </c>
    </row>
    <row r="1845" spans="2:23" x14ac:dyDescent="0.25">
      <c r="B1845" s="169" t="s">
        <v>96</v>
      </c>
      <c r="C1845" s="169" t="s">
        <v>45</v>
      </c>
      <c r="D1845" s="169" t="s">
        <v>7915</v>
      </c>
      <c r="E1845" s="169" t="s">
        <v>36</v>
      </c>
      <c r="F1845" s="245" t="str">
        <f t="shared" si="114"/>
        <v>StpS 77</v>
      </c>
      <c r="G1845" s="169" t="s">
        <v>8203</v>
      </c>
      <c r="I1845" s="169" t="str">
        <f t="shared" si="116"/>
        <v>L09_DPVE_083E_STOPE</v>
      </c>
      <c r="J1845" s="169" t="s">
        <v>9497</v>
      </c>
      <c r="K1845" s="169">
        <f>IFERROR(MATCH(J1845,'Final List'!$B$4:$B$252,0),0)</f>
        <v>0</v>
      </c>
      <c r="L1845" s="169">
        <f>IFERROR(MATCH(J1845,'Final List'!$D$4:$D$252,0),0)</f>
        <v>0</v>
      </c>
      <c r="M1845" s="169">
        <f>IFERROR(MATCH(J1845,'Final List'!$F$4:$F$251,0),0)</f>
        <v>0</v>
      </c>
      <c r="N1845" s="169">
        <f>IFERROR(MATCH(J1845,'Final List'!$H$4:$H$252,0),0)</f>
        <v>0</v>
      </c>
      <c r="O1845" s="169">
        <f>IFERROR(MATCH(J1845,'Final List'!$J$4:$J$252,0),0)</f>
        <v>0</v>
      </c>
      <c r="P1845" s="169">
        <f>IFERROR(MATCH(J1845,'Final List'!$L$4:$L$252,0),0)</f>
        <v>0</v>
      </c>
      <c r="Q1845" s="169">
        <f>IFERROR(MATCH(J1845,'Final List'!$N$4:$N$252,0),0)</f>
        <v>0</v>
      </c>
      <c r="R1845" s="169">
        <f>IFERROR(MATCH(J1845,'Final List'!$P$4:$P$252,0),0)</f>
        <v>0</v>
      </c>
      <c r="S1845" s="169">
        <f t="shared" si="115"/>
        <v>0</v>
      </c>
      <c r="T1845" s="169" t="s">
        <v>68</v>
      </c>
      <c r="V1845" s="169" t="str">
        <f t="shared" si="113"/>
        <v>PANSIT, NORMAN 3</v>
      </c>
      <c r="W1845" s="169" t="s">
        <v>2713</v>
      </c>
    </row>
    <row r="1846" spans="2:23" x14ac:dyDescent="0.25">
      <c r="B1846" s="169" t="s">
        <v>96</v>
      </c>
      <c r="C1846" s="169" t="s">
        <v>45</v>
      </c>
      <c r="D1846" s="169" t="s">
        <v>165</v>
      </c>
      <c r="E1846" s="169" t="s">
        <v>62</v>
      </c>
      <c r="F1846" s="245" t="str">
        <f t="shared" si="114"/>
        <v>RobS 79</v>
      </c>
      <c r="G1846" s="169" t="s">
        <v>362</v>
      </c>
      <c r="I1846" s="169" t="str">
        <f t="shared" si="116"/>
        <v>L09_DPVE_056E_ROBBING</v>
      </c>
      <c r="J1846" s="169" t="s">
        <v>9498</v>
      </c>
      <c r="K1846" s="169">
        <f>IFERROR(MATCH(J1846,'Final List'!$B$4:$B$252,0),0)</f>
        <v>0</v>
      </c>
      <c r="L1846" s="169">
        <f>IFERROR(MATCH(J1846,'Final List'!$D$4:$D$252,0),0)</f>
        <v>0</v>
      </c>
      <c r="M1846" s="169">
        <f>IFERROR(MATCH(J1846,'Final List'!$F$4:$F$251,0),0)</f>
        <v>0</v>
      </c>
      <c r="N1846" s="169">
        <f>IFERROR(MATCH(J1846,'Final List'!$H$4:$H$252,0),0)</f>
        <v>0</v>
      </c>
      <c r="O1846" s="169">
        <f>IFERROR(MATCH(J1846,'Final List'!$J$4:$J$252,0),0)</f>
        <v>0</v>
      </c>
      <c r="P1846" s="169">
        <f>IFERROR(MATCH(J1846,'Final List'!$L$4:$L$252,0),0)</f>
        <v>0</v>
      </c>
      <c r="Q1846" s="169">
        <f>IFERROR(MATCH(J1846,'Final List'!$N$4:$N$252,0),0)</f>
        <v>0</v>
      </c>
      <c r="R1846" s="169">
        <f>IFERROR(MATCH(J1846,'Final List'!$P$4:$P$252,0),0)</f>
        <v>0</v>
      </c>
      <c r="S1846" s="169">
        <f t="shared" si="115"/>
        <v>0</v>
      </c>
      <c r="T1846" s="169" t="s">
        <v>68</v>
      </c>
      <c r="V1846" s="169" t="str">
        <f t="shared" si="113"/>
        <v>BABOR 1</v>
      </c>
      <c r="W1846" s="169" t="s">
        <v>2707</v>
      </c>
    </row>
    <row r="1847" spans="2:23" x14ac:dyDescent="0.25">
      <c r="B1847" s="169" t="s">
        <v>93</v>
      </c>
      <c r="C1847" s="169" t="s">
        <v>57</v>
      </c>
      <c r="D1847" s="169" t="s">
        <v>5912</v>
      </c>
      <c r="E1847" s="169" t="s">
        <v>60</v>
      </c>
      <c r="F1847" s="245" t="str">
        <f t="shared" si="114"/>
        <v>Dhoz 71</v>
      </c>
      <c r="G1847" s="169" t="s">
        <v>936</v>
      </c>
      <c r="I1847" s="169" t="str">
        <f t="shared" si="116"/>
        <v>L06_JVSPLIT_019E_DE</v>
      </c>
      <c r="J1847" s="169" t="s">
        <v>9500</v>
      </c>
      <c r="K1847" s="169">
        <f>IFERROR(MATCH(J1847,'Final List'!$B$4:$B$252,0),0)</f>
        <v>0</v>
      </c>
      <c r="L1847" s="169">
        <f>IFERROR(MATCH(J1847,'Final List'!$D$4:$D$252,0),0)</f>
        <v>0</v>
      </c>
      <c r="M1847" s="169">
        <f>IFERROR(MATCH(J1847,'Final List'!$F$4:$F$251,0),0)</f>
        <v>0</v>
      </c>
      <c r="N1847" s="169">
        <f>IFERROR(MATCH(J1847,'Final List'!$H$4:$H$252,0),0)</f>
        <v>0</v>
      </c>
      <c r="O1847" s="169">
        <f>IFERROR(MATCH(J1847,'Final List'!$J$4:$J$252,0),0)</f>
        <v>0</v>
      </c>
      <c r="P1847" s="169">
        <f>IFERROR(MATCH(J1847,'Final List'!$L$4:$L$252,0),0)</f>
        <v>0</v>
      </c>
      <c r="Q1847" s="169">
        <f>IFERROR(MATCH(J1847,'Final List'!$N$4:$N$252,0),0)</f>
        <v>0</v>
      </c>
      <c r="R1847" s="169">
        <f>IFERROR(MATCH(J1847,'Final List'!$P$4:$P$252,0),0)</f>
        <v>0</v>
      </c>
      <c r="S1847" s="169">
        <f t="shared" si="115"/>
        <v>0</v>
      </c>
      <c r="V1847" s="169" t="str">
        <f t="shared" si="113"/>
        <v>GUNAY 2</v>
      </c>
      <c r="W1847" s="169" t="s">
        <v>8895</v>
      </c>
    </row>
    <row r="1848" spans="2:23" x14ac:dyDescent="0.25">
      <c r="B1848" s="169" t="s">
        <v>1166</v>
      </c>
      <c r="C1848" s="169" t="s">
        <v>55</v>
      </c>
      <c r="D1848" s="169" t="s">
        <v>289</v>
      </c>
      <c r="E1848" s="169" t="s">
        <v>61</v>
      </c>
      <c r="F1848" s="245" t="str">
        <f t="shared" si="114"/>
        <v>Dhoz 71</v>
      </c>
      <c r="G1848" s="169" t="s">
        <v>353</v>
      </c>
      <c r="I1848" s="169" t="str">
        <f t="shared" si="116"/>
        <v>L11_JVFW_059E_DW</v>
      </c>
      <c r="J1848" s="169" t="s">
        <v>9569</v>
      </c>
      <c r="K1848" s="169">
        <f>IFERROR(MATCH(J1848,'Final List'!$B$4:$B$252,0),0)</f>
        <v>0</v>
      </c>
      <c r="L1848" s="169">
        <f>IFERROR(MATCH(J1848,'Final List'!$D$4:$D$252,0),0)</f>
        <v>0</v>
      </c>
      <c r="M1848" s="169">
        <f>IFERROR(MATCH(J1848,'Final List'!$F$4:$F$251,0),0)</f>
        <v>0</v>
      </c>
      <c r="N1848" s="169">
        <f>IFERROR(MATCH(J1848,'Final List'!$H$4:$H$252,0),0)</f>
        <v>0</v>
      </c>
      <c r="O1848" s="169">
        <f>IFERROR(MATCH(J1848,'Final List'!$J$4:$J$252,0),0)</f>
        <v>0</v>
      </c>
      <c r="P1848" s="169">
        <f>IFERROR(MATCH(J1848,'Final List'!$L$4:$L$252,0),0)</f>
        <v>0</v>
      </c>
      <c r="Q1848" s="169">
        <f>IFERROR(MATCH(J1848,'Final List'!$N$4:$N$252,0),0)</f>
        <v>0</v>
      </c>
      <c r="R1848" s="169">
        <f>IFERROR(MATCH(J1848,'Final List'!$P$4:$P$252,0),0)</f>
        <v>0</v>
      </c>
      <c r="S1848" s="169">
        <f t="shared" si="115"/>
        <v>0</v>
      </c>
      <c r="V1848" s="169" t="str">
        <f t="shared" si="113"/>
        <v>BAÑEZ 4</v>
      </c>
      <c r="W1848" s="169" t="s">
        <v>8896</v>
      </c>
    </row>
    <row r="1849" spans="2:23" x14ac:dyDescent="0.25">
      <c r="B1849" s="169" t="s">
        <v>92</v>
      </c>
      <c r="C1849" s="169" t="s">
        <v>41</v>
      </c>
      <c r="D1849" s="169" t="s">
        <v>145</v>
      </c>
      <c r="E1849" s="169" t="s">
        <v>61</v>
      </c>
      <c r="F1849" s="245" t="str">
        <f t="shared" si="114"/>
        <v>Dhoz 71</v>
      </c>
      <c r="G1849" s="169" t="s">
        <v>538</v>
      </c>
      <c r="I1849" s="169" t="str">
        <f t="shared" si="116"/>
        <v>L05_CTV_009E_DW</v>
      </c>
      <c r="J1849" s="169" t="s">
        <v>9549</v>
      </c>
      <c r="K1849" s="169">
        <f>IFERROR(MATCH(J1849,'Final List'!$B$4:$B$252,0),0)</f>
        <v>0</v>
      </c>
      <c r="L1849" s="169">
        <f>IFERROR(MATCH(J1849,'Final List'!$D$4:$D$252,0),0)</f>
        <v>0</v>
      </c>
      <c r="M1849" s="169">
        <f>IFERROR(MATCH(J1849,'Final List'!$F$4:$F$251,0),0)</f>
        <v>0</v>
      </c>
      <c r="N1849" s="169">
        <f>IFERROR(MATCH(J1849,'Final List'!$H$4:$H$252,0),0)</f>
        <v>0</v>
      </c>
      <c r="O1849" s="169">
        <f>IFERROR(MATCH(J1849,'Final List'!$J$4:$J$252,0),0)</f>
        <v>0</v>
      </c>
      <c r="P1849" s="169">
        <f>IFERROR(MATCH(J1849,'Final List'!$L$4:$L$252,0),0)</f>
        <v>0</v>
      </c>
      <c r="Q1849" s="169">
        <f>IFERROR(MATCH(J1849,'Final List'!$N$4:$N$252,0),0)</f>
        <v>0</v>
      </c>
      <c r="R1849" s="169">
        <f>IFERROR(MATCH(J1849,'Final List'!$P$4:$P$252,0),0)</f>
        <v>0</v>
      </c>
      <c r="S1849" s="169">
        <f t="shared" si="115"/>
        <v>0</v>
      </c>
      <c r="V1849" s="169" t="str">
        <f t="shared" si="113"/>
        <v>PANCIT, NOEL 4</v>
      </c>
      <c r="W1849" s="169" t="s">
        <v>8895</v>
      </c>
    </row>
    <row r="1850" spans="2:23" x14ac:dyDescent="0.25">
      <c r="B1850" s="169" t="s">
        <v>92</v>
      </c>
      <c r="C1850" s="169" t="s">
        <v>57</v>
      </c>
      <c r="D1850" s="169" t="s">
        <v>134</v>
      </c>
      <c r="E1850" s="169" t="s">
        <v>221</v>
      </c>
      <c r="F1850" s="245" t="str">
        <f t="shared" si="114"/>
        <v>RobC 80</v>
      </c>
      <c r="G1850" s="169" t="s">
        <v>5698</v>
      </c>
      <c r="I1850" s="169" t="str">
        <f t="shared" si="116"/>
        <v>L05_JVSPLIT_016W_WINZE STOPE</v>
      </c>
      <c r="J1850" s="169" t="s">
        <v>9504</v>
      </c>
      <c r="K1850" s="169">
        <f>IFERROR(MATCH(J1850,'Final List'!$B$4:$B$252,0),0)</f>
        <v>0</v>
      </c>
      <c r="L1850" s="169">
        <f>IFERROR(MATCH(J1850,'Final List'!$D$4:$D$252,0),0)</f>
        <v>0</v>
      </c>
      <c r="M1850" s="169">
        <f>IFERROR(MATCH(J1850,'Final List'!$F$4:$F$251,0),0)</f>
        <v>0</v>
      </c>
      <c r="N1850" s="169">
        <f>IFERROR(MATCH(J1850,'Final List'!$H$4:$H$252,0),0)</f>
        <v>0</v>
      </c>
      <c r="O1850" s="169">
        <f>IFERROR(MATCH(J1850,'Final List'!$J$4:$J$252,0),0)</f>
        <v>0</v>
      </c>
      <c r="P1850" s="169">
        <f>IFERROR(MATCH(J1850,'Final List'!$L$4:$L$252,0),0)</f>
        <v>0</v>
      </c>
      <c r="Q1850" s="169">
        <f>IFERROR(MATCH(J1850,'Final List'!$N$4:$N$252,0),0)</f>
        <v>0</v>
      </c>
      <c r="R1850" s="169">
        <f>IFERROR(MATCH(J1850,'Final List'!$P$4:$P$252,0),0)</f>
        <v>0</v>
      </c>
      <c r="S1850" s="169">
        <f t="shared" si="115"/>
        <v>0</v>
      </c>
      <c r="T1850" s="169" t="s">
        <v>68</v>
      </c>
      <c r="V1850" s="169" t="str">
        <f t="shared" si="113"/>
        <v>PARAN 1</v>
      </c>
      <c r="W1850" s="169" t="s">
        <v>2719</v>
      </c>
    </row>
    <row r="1851" spans="2:23" x14ac:dyDescent="0.25">
      <c r="B1851" s="169" t="s">
        <v>95</v>
      </c>
      <c r="C1851" s="169" t="s">
        <v>57</v>
      </c>
      <c r="D1851" s="169" t="s">
        <v>119</v>
      </c>
      <c r="E1851" s="169" t="s">
        <v>60</v>
      </c>
      <c r="F1851" s="245" t="str">
        <f t="shared" si="114"/>
        <v>Dhoz 71</v>
      </c>
      <c r="G1851" s="169" t="s">
        <v>6936</v>
      </c>
      <c r="I1851" s="169" t="str">
        <f t="shared" si="116"/>
        <v>L08_JVSPLIT_012E_DE</v>
      </c>
      <c r="J1851" s="169" t="s">
        <v>9506</v>
      </c>
      <c r="K1851" s="169">
        <f>IFERROR(MATCH(J1851,'Final List'!$B$4:$B$252,0),0)</f>
        <v>0</v>
      </c>
      <c r="L1851" s="169">
        <f>IFERROR(MATCH(J1851,'Final List'!$D$4:$D$252,0),0)</f>
        <v>0</v>
      </c>
      <c r="M1851" s="169">
        <f>IFERROR(MATCH(J1851,'Final List'!$F$4:$F$251,0),0)</f>
        <v>0</v>
      </c>
      <c r="N1851" s="169">
        <f>IFERROR(MATCH(J1851,'Final List'!$H$4:$H$252,0),0)</f>
        <v>0</v>
      </c>
      <c r="O1851" s="169">
        <f>IFERROR(MATCH(J1851,'Final List'!$J$4:$J$252,0),0)</f>
        <v>0</v>
      </c>
      <c r="P1851" s="169">
        <f>IFERROR(MATCH(J1851,'Final List'!$L$4:$L$252,0),0)</f>
        <v>0</v>
      </c>
      <c r="Q1851" s="169">
        <f>IFERROR(MATCH(J1851,'Final List'!$N$4:$N$252,0),0)</f>
        <v>0</v>
      </c>
      <c r="R1851" s="169">
        <f>IFERROR(MATCH(J1851,'Final List'!$P$4:$P$252,0),0)</f>
        <v>0</v>
      </c>
      <c r="S1851" s="169">
        <f t="shared" si="115"/>
        <v>0</v>
      </c>
      <c r="V1851" s="169" t="str">
        <f t="shared" si="113"/>
        <v>OSWAY 1</v>
      </c>
      <c r="W1851" s="169" t="s">
        <v>8895</v>
      </c>
    </row>
    <row r="1852" spans="2:23" x14ac:dyDescent="0.25">
      <c r="B1852" s="169" t="s">
        <v>92</v>
      </c>
      <c r="C1852" s="169" t="s">
        <v>45</v>
      </c>
      <c r="D1852" s="169" t="s">
        <v>135</v>
      </c>
      <c r="E1852" s="169" t="s">
        <v>6143</v>
      </c>
      <c r="F1852" s="245" t="str">
        <f t="shared" si="114"/>
        <v>Dhoz 71</v>
      </c>
      <c r="G1852" s="169" t="s">
        <v>1577</v>
      </c>
      <c r="I1852" s="169" t="str">
        <f t="shared" si="116"/>
        <v>L05_DPVE_034E_DE_ISL</v>
      </c>
      <c r="J1852" s="169" t="s">
        <v>9508</v>
      </c>
      <c r="K1852" s="169">
        <f>IFERROR(MATCH(J1852,'Final List'!$B$4:$B$252,0),0)</f>
        <v>0</v>
      </c>
      <c r="L1852" s="169">
        <f>IFERROR(MATCH(J1852,'Final List'!$D$4:$D$252,0),0)</f>
        <v>0</v>
      </c>
      <c r="M1852" s="169">
        <f>IFERROR(MATCH(J1852,'Final List'!$F$4:$F$251,0),0)</f>
        <v>0</v>
      </c>
      <c r="N1852" s="169">
        <f>IFERROR(MATCH(J1852,'Final List'!$H$4:$H$252,0),0)</f>
        <v>0</v>
      </c>
      <c r="O1852" s="169">
        <f>IFERROR(MATCH(J1852,'Final List'!$J$4:$J$252,0),0)</f>
        <v>0</v>
      </c>
      <c r="P1852" s="169">
        <f>IFERROR(MATCH(J1852,'Final List'!$L$4:$L$252,0),0)</f>
        <v>0</v>
      </c>
      <c r="Q1852" s="169">
        <f>IFERROR(MATCH(J1852,'Final List'!$N$4:$N$252,0),0)</f>
        <v>0</v>
      </c>
      <c r="R1852" s="169">
        <f>IFERROR(MATCH(J1852,'Final List'!$P$4:$P$252,0),0)</f>
        <v>0</v>
      </c>
      <c r="S1852" s="169">
        <f t="shared" si="115"/>
        <v>0</v>
      </c>
      <c r="V1852" s="169" t="str">
        <f t="shared" si="113"/>
        <v>PANCIT, NOEL 2</v>
      </c>
      <c r="W1852" s="169" t="s">
        <v>2708</v>
      </c>
    </row>
    <row r="1853" spans="2:23" x14ac:dyDescent="0.25">
      <c r="B1853" s="169" t="s">
        <v>95</v>
      </c>
      <c r="C1853" s="169" t="s">
        <v>38</v>
      </c>
      <c r="D1853" s="169" t="s">
        <v>5604</v>
      </c>
      <c r="E1853" s="169" t="s">
        <v>62</v>
      </c>
      <c r="F1853" s="245" t="str">
        <f t="shared" si="114"/>
        <v>RobS 79</v>
      </c>
      <c r="G1853" s="169" t="s">
        <v>5708</v>
      </c>
      <c r="H1853" s="169" t="s">
        <v>521</v>
      </c>
      <c r="I1853" s="169" t="str">
        <f t="shared" si="116"/>
        <v>L08_GHV_063E_ROBBING</v>
      </c>
      <c r="J1853" s="169" t="s">
        <v>9518</v>
      </c>
      <c r="K1853" s="169">
        <f>IFERROR(MATCH(J1853,'Final List'!$B$4:$B$252,0),0)</f>
        <v>0</v>
      </c>
      <c r="L1853" s="169">
        <f>IFERROR(MATCH(J1853,'Final List'!$D$4:$D$252,0),0)</f>
        <v>0</v>
      </c>
      <c r="M1853" s="169">
        <f>IFERROR(MATCH(J1853,'Final List'!$F$4:$F$251,0),0)</f>
        <v>0</v>
      </c>
      <c r="N1853" s="169">
        <f>IFERROR(MATCH(J1853,'Final List'!$H$4:$H$252,0),0)</f>
        <v>0</v>
      </c>
      <c r="O1853" s="169">
        <f>IFERROR(MATCH(J1853,'Final List'!$J$4:$J$252,0),0)</f>
        <v>0</v>
      </c>
      <c r="P1853" s="169">
        <f>IFERROR(MATCH(J1853,'Final List'!$L$4:$L$252,0),0)</f>
        <v>0</v>
      </c>
      <c r="Q1853" s="169">
        <f>IFERROR(MATCH(J1853,'Final List'!$N$4:$N$252,0),0)</f>
        <v>0</v>
      </c>
      <c r="R1853" s="169">
        <f>IFERROR(MATCH(J1853,'Final List'!$P$4:$P$252,0),0)</f>
        <v>0</v>
      </c>
      <c r="S1853" s="169">
        <f t="shared" si="115"/>
        <v>0</v>
      </c>
      <c r="T1853" s="169" t="s">
        <v>68</v>
      </c>
      <c r="V1853" s="169" t="str">
        <f t="shared" si="113"/>
        <v>LERIO 4</v>
      </c>
      <c r="W1853" s="169" t="s">
        <v>2707</v>
      </c>
    </row>
    <row r="1854" spans="2:23" x14ac:dyDescent="0.25">
      <c r="B1854" s="169" t="s">
        <v>93</v>
      </c>
      <c r="C1854" s="169" t="s">
        <v>45</v>
      </c>
      <c r="D1854" s="169" t="s">
        <v>167</v>
      </c>
      <c r="E1854" s="169" t="s">
        <v>61</v>
      </c>
      <c r="F1854" s="245" t="str">
        <f t="shared" si="114"/>
        <v>Dhoz 71</v>
      </c>
      <c r="G1854" s="169" t="s">
        <v>353</v>
      </c>
      <c r="H1854" s="169" t="s">
        <v>350</v>
      </c>
      <c r="I1854" s="169" t="str">
        <f t="shared" si="116"/>
        <v>L06_DPVE_058E_DW</v>
      </c>
      <c r="J1854" s="169" t="s">
        <v>1675</v>
      </c>
      <c r="K1854" s="169">
        <f>IFERROR(MATCH(J1854,'Final List'!$B$4:$B$252,0),0)</f>
        <v>0</v>
      </c>
      <c r="L1854" s="169">
        <f>IFERROR(MATCH(J1854,'Final List'!$D$4:$D$252,0),0)</f>
        <v>0</v>
      </c>
      <c r="M1854" s="169">
        <f>IFERROR(MATCH(J1854,'Final List'!$F$4:$F$251,0),0)</f>
        <v>0</v>
      </c>
      <c r="N1854" s="169">
        <f>IFERROR(MATCH(J1854,'Final List'!$H$4:$H$252,0),0)</f>
        <v>0</v>
      </c>
      <c r="O1854" s="169">
        <f>IFERROR(MATCH(J1854,'Final List'!$J$4:$J$252,0),0)</f>
        <v>0</v>
      </c>
      <c r="P1854" s="169">
        <f>IFERROR(MATCH(J1854,'Final List'!$L$4:$L$252,0),0)</f>
        <v>0</v>
      </c>
      <c r="Q1854" s="169">
        <f>IFERROR(MATCH(J1854,'Final List'!$N$4:$N$252,0),0)</f>
        <v>0</v>
      </c>
      <c r="R1854" s="169">
        <f>IFERROR(MATCH(J1854,'Final List'!$P$4:$P$252,0),0)</f>
        <v>0</v>
      </c>
      <c r="S1854" s="169">
        <f t="shared" si="115"/>
        <v>0</v>
      </c>
      <c r="V1854" s="169" t="str">
        <f t="shared" si="113"/>
        <v>QUIJANO 1</v>
      </c>
      <c r="W1854" s="169" t="s">
        <v>8895</v>
      </c>
    </row>
    <row r="1855" spans="2:23" x14ac:dyDescent="0.25">
      <c r="B1855" s="169" t="s">
        <v>258</v>
      </c>
      <c r="C1855" s="169" t="s">
        <v>45</v>
      </c>
      <c r="D1855" s="169" t="s">
        <v>143</v>
      </c>
      <c r="E1855" s="169" t="s">
        <v>19</v>
      </c>
      <c r="F1855" s="245" t="str">
        <f t="shared" si="114"/>
        <v>DVR 72</v>
      </c>
      <c r="G1855" s="169" t="s">
        <v>372</v>
      </c>
      <c r="H1855" s="169" t="s">
        <v>10603</v>
      </c>
      <c r="I1855" s="169" t="str">
        <f t="shared" si="116"/>
        <v>L10_DPVE_032E_RAISE</v>
      </c>
      <c r="J1855" s="169" t="s">
        <v>9519</v>
      </c>
      <c r="K1855" s="169">
        <f>IFERROR(MATCH(J1855,'Final List'!$B$4:$B$252,0),0)</f>
        <v>0</v>
      </c>
      <c r="L1855" s="169">
        <f>IFERROR(MATCH(J1855,'Final List'!$D$4:$D$252,0),0)</f>
        <v>0</v>
      </c>
      <c r="M1855" s="169">
        <f>IFERROR(MATCH(J1855,'Final List'!$F$4:$F$251,0),0)</f>
        <v>0</v>
      </c>
      <c r="N1855" s="169">
        <f>IFERROR(MATCH(J1855,'Final List'!$H$4:$H$252,0),0)</f>
        <v>0</v>
      </c>
      <c r="O1855" s="169">
        <f>IFERROR(MATCH(J1855,'Final List'!$J$4:$J$252,0),0)</f>
        <v>0</v>
      </c>
      <c r="P1855" s="169">
        <f>IFERROR(MATCH(J1855,'Final List'!$L$4:$L$252,0),0)</f>
        <v>0</v>
      </c>
      <c r="Q1855" s="169">
        <f>IFERROR(MATCH(J1855,'Final List'!$N$4:$N$252,0),0)</f>
        <v>0</v>
      </c>
      <c r="R1855" s="169">
        <f>IFERROR(MATCH(J1855,'Final List'!$P$4:$P$252,0),0)</f>
        <v>0</v>
      </c>
      <c r="S1855" s="169">
        <f t="shared" si="115"/>
        <v>0</v>
      </c>
      <c r="V1855" s="169" t="str">
        <f t="shared" si="113"/>
        <v xml:space="preserve">MONTEBON </v>
      </c>
      <c r="W1855" s="169" t="s">
        <v>2715</v>
      </c>
    </row>
    <row r="1856" spans="2:23" x14ac:dyDescent="0.25">
      <c r="B1856" s="169" t="s">
        <v>93</v>
      </c>
      <c r="C1856" s="169" t="s">
        <v>42</v>
      </c>
      <c r="D1856" s="169" t="s">
        <v>106</v>
      </c>
      <c r="E1856" s="169" t="s">
        <v>19</v>
      </c>
      <c r="F1856" s="245" t="str">
        <f t="shared" si="114"/>
        <v>DVR 72</v>
      </c>
      <c r="G1856" s="169" t="s">
        <v>577</v>
      </c>
      <c r="I1856" s="169" t="str">
        <f t="shared" si="116"/>
        <v>L06_JV_033W_RAISE</v>
      </c>
      <c r="J1856" s="169" t="s">
        <v>9521</v>
      </c>
      <c r="K1856" s="169">
        <f>IFERROR(MATCH(J1856,'Final List'!$B$4:$B$252,0),0)</f>
        <v>0</v>
      </c>
      <c r="L1856" s="169">
        <f>IFERROR(MATCH(J1856,'Final List'!$D$4:$D$252,0),0)</f>
        <v>0</v>
      </c>
      <c r="M1856" s="169">
        <f>IFERROR(MATCH(J1856,'Final List'!$F$4:$F$251,0),0)</f>
        <v>0</v>
      </c>
      <c r="N1856" s="169">
        <f>IFERROR(MATCH(J1856,'Final List'!$H$4:$H$252,0),0)</f>
        <v>0</v>
      </c>
      <c r="O1856" s="169">
        <f>IFERROR(MATCH(J1856,'Final List'!$J$4:$J$252,0),0)</f>
        <v>0</v>
      </c>
      <c r="P1856" s="169">
        <f>IFERROR(MATCH(J1856,'Final List'!$L$4:$L$252,0),0)</f>
        <v>0</v>
      </c>
      <c r="Q1856" s="169">
        <f>IFERROR(MATCH(J1856,'Final List'!$N$4:$N$252,0),0)</f>
        <v>0</v>
      </c>
      <c r="R1856" s="169">
        <f>IFERROR(MATCH(J1856,'Final List'!$P$4:$P$252,0),0)</f>
        <v>0</v>
      </c>
      <c r="S1856" s="169">
        <f t="shared" si="115"/>
        <v>0</v>
      </c>
      <c r="V1856" s="169" t="str">
        <f t="shared" si="113"/>
        <v>CARIKITAN 1</v>
      </c>
      <c r="W1856" s="169" t="s">
        <v>2715</v>
      </c>
    </row>
    <row r="1857" spans="2:23" x14ac:dyDescent="0.25">
      <c r="B1857" s="169" t="s">
        <v>93</v>
      </c>
      <c r="C1857" s="169" t="s">
        <v>59</v>
      </c>
      <c r="D1857" s="169" t="s">
        <v>6068</v>
      </c>
      <c r="E1857" s="169" t="s">
        <v>60</v>
      </c>
      <c r="F1857" s="245" t="str">
        <f t="shared" si="114"/>
        <v>Dhoz 71</v>
      </c>
      <c r="G1857" s="169" t="s">
        <v>5717</v>
      </c>
      <c r="I1857" s="169" t="str">
        <f t="shared" si="116"/>
        <v>L06_GHVHW_035W_DE</v>
      </c>
      <c r="J1857" s="169" t="s">
        <v>8910</v>
      </c>
      <c r="K1857" s="169">
        <f>IFERROR(MATCH(J1857,'Final List'!$B$4:$B$252,0),0)</f>
        <v>0</v>
      </c>
      <c r="L1857" s="169">
        <f>IFERROR(MATCH(J1857,'Final List'!$D$4:$D$252,0),0)</f>
        <v>0</v>
      </c>
      <c r="M1857" s="169">
        <f>IFERROR(MATCH(J1857,'Final List'!$F$4:$F$251,0),0)</f>
        <v>0</v>
      </c>
      <c r="N1857" s="169">
        <f>IFERROR(MATCH(J1857,'Final List'!$H$4:$H$252,0),0)</f>
        <v>0</v>
      </c>
      <c r="O1857" s="169">
        <f>IFERROR(MATCH(J1857,'Final List'!$J$4:$J$252,0),0)</f>
        <v>0</v>
      </c>
      <c r="P1857" s="169">
        <f>IFERROR(MATCH(J1857,'Final List'!$L$4:$L$252,0),0)</f>
        <v>0</v>
      </c>
      <c r="Q1857" s="169">
        <f>IFERROR(MATCH(J1857,'Final List'!$N$4:$N$252,0),0)</f>
        <v>0</v>
      </c>
      <c r="R1857" s="169">
        <f>IFERROR(MATCH(J1857,'Final List'!$P$4:$P$252,0),0)</f>
        <v>0</v>
      </c>
      <c r="S1857" s="169">
        <f t="shared" si="115"/>
        <v>0</v>
      </c>
      <c r="V1857" s="169" t="str">
        <f t="shared" si="113"/>
        <v>SHEPHERD AC 1</v>
      </c>
      <c r="W1857" s="169" t="s">
        <v>8895</v>
      </c>
    </row>
    <row r="1858" spans="2:23" x14ac:dyDescent="0.25">
      <c r="B1858" s="169" t="s">
        <v>91</v>
      </c>
      <c r="C1858" s="169" t="s">
        <v>57</v>
      </c>
      <c r="D1858" s="169" t="s">
        <v>122</v>
      </c>
      <c r="E1858" s="169" t="s">
        <v>62</v>
      </c>
      <c r="F1858" s="245" t="str">
        <f t="shared" si="114"/>
        <v>RobS 79</v>
      </c>
      <c r="G1858" s="169" t="s">
        <v>5713</v>
      </c>
      <c r="I1858" s="169" t="str">
        <f t="shared" si="116"/>
        <v>L04_JVSPLIT_025E_ROBBING</v>
      </c>
      <c r="J1858" s="169" t="s">
        <v>9524</v>
      </c>
      <c r="K1858" s="169">
        <f>IFERROR(MATCH(J1858,'Final List'!$B$4:$B$252,0),0)</f>
        <v>0</v>
      </c>
      <c r="L1858" s="169">
        <f>IFERROR(MATCH(J1858,'Final List'!$D$4:$D$252,0),0)</f>
        <v>0</v>
      </c>
      <c r="M1858" s="169">
        <f>IFERROR(MATCH(J1858,'Final List'!$F$4:$F$251,0),0)</f>
        <v>0</v>
      </c>
      <c r="N1858" s="169">
        <f>IFERROR(MATCH(J1858,'Final List'!$H$4:$H$252,0),0)</f>
        <v>0</v>
      </c>
      <c r="O1858" s="169">
        <f>IFERROR(MATCH(J1858,'Final List'!$J$4:$J$252,0),0)</f>
        <v>0</v>
      </c>
      <c r="P1858" s="169">
        <f>IFERROR(MATCH(J1858,'Final List'!$L$4:$L$252,0),0)</f>
        <v>0</v>
      </c>
      <c r="Q1858" s="169">
        <f>IFERROR(MATCH(J1858,'Final List'!$N$4:$N$252,0),0)</f>
        <v>0</v>
      </c>
      <c r="R1858" s="169">
        <f>IFERROR(MATCH(J1858,'Final List'!$P$4:$P$252,0),0)</f>
        <v>0</v>
      </c>
      <c r="S1858" s="169">
        <f t="shared" si="115"/>
        <v>0</v>
      </c>
      <c r="T1858" s="169" t="s">
        <v>68</v>
      </c>
      <c r="V1858" s="169" t="str">
        <f t="shared" ref="V1858:V1921" si="117">IF(H1858="",G1858,H1858)</f>
        <v>SHEPHERD AL 1</v>
      </c>
      <c r="W1858" s="169" t="s">
        <v>2707</v>
      </c>
    </row>
    <row r="1859" spans="2:23" x14ac:dyDescent="0.25">
      <c r="B1859" s="169" t="s">
        <v>1166</v>
      </c>
      <c r="C1859" s="169" t="s">
        <v>55</v>
      </c>
      <c r="D1859" s="169" t="s">
        <v>218</v>
      </c>
      <c r="E1859" s="169" t="s">
        <v>36</v>
      </c>
      <c r="F1859" s="245" t="str">
        <f t="shared" ref="F1859:F1922" si="118">IF(OR(E1859="XCN",E1859="DE",E1859="DW",E1859="DN",E1859="XCS",E1859="XCE",E1859="XCW",E1859="SUMP",E1859="BYPASS",E1859="CHAMBER",E1859="DRAIN HOLE",E1859="DRILLING CHAMBER",E1859="DE_ISL",E1859="DW_ISL",E1859="REHAB"),"Dhoz 71",IF(OR(E1859="RAISE",E1859="RAISE_ISL"),"DVR 72",IF(E1859="ALIMAK","DVA 73",IF(E1859="WINZE","DVW 74",IF(E1859="SHAFT","DVS 75",IF(AND(E1859="WINZE STOPE",T1859="S"),"RobC 80",IF(AND(E1859="STOPE",T1859="S"),"StpS 77",IF(AND(E1859="WINZE STOPE",T1859="L"),"RobC 80",IF(AND(E1859="STOPE",T1859="L"),"StpL 78",IF(AND(E1859="WINZE STOPE PREP",T1859="S"),"RobC 80",IF(AND(E1859="STOPE PREP",T1859="S"),"StpS 77",IF(AND(E1859="WINZE STOPE PREP",T1859="L"),"RobC 80",IF(AND(E1859="STOPE PREP",T1859="L"),"StpL 78",IF(AND(E1859="ROBBING",T1859="L"),"RobC 80",IF(AND(E1859="ROBBING",T1859="S"),"RobS 79",0)))))))))))))))</f>
        <v>StpS 77</v>
      </c>
      <c r="G1859" s="169" t="s">
        <v>454</v>
      </c>
      <c r="I1859" s="169" t="str">
        <f t="shared" si="116"/>
        <v>L11_JVFW_062E_STOPE</v>
      </c>
      <c r="J1859" s="169" t="s">
        <v>9532</v>
      </c>
      <c r="K1859" s="169">
        <f>IFERROR(MATCH(J1859,'Final List'!$B$4:$B$252,0),0)</f>
        <v>0</v>
      </c>
      <c r="L1859" s="169">
        <f>IFERROR(MATCH(J1859,'Final List'!$D$4:$D$252,0),0)</f>
        <v>0</v>
      </c>
      <c r="M1859" s="169">
        <f>IFERROR(MATCH(J1859,'Final List'!$F$4:$F$251,0),0)</f>
        <v>0</v>
      </c>
      <c r="N1859" s="169">
        <f>IFERROR(MATCH(J1859,'Final List'!$H$4:$H$252,0),0)</f>
        <v>0</v>
      </c>
      <c r="O1859" s="169">
        <f>IFERROR(MATCH(J1859,'Final List'!$J$4:$J$252,0),0)</f>
        <v>0</v>
      </c>
      <c r="P1859" s="169">
        <f>IFERROR(MATCH(J1859,'Final List'!$L$4:$L$252,0),0)</f>
        <v>0</v>
      </c>
      <c r="Q1859" s="169">
        <f>IFERROR(MATCH(J1859,'Final List'!$N$4:$N$252,0),0)</f>
        <v>0</v>
      </c>
      <c r="R1859" s="169">
        <f>IFERROR(MATCH(J1859,'Final List'!$P$4:$P$252,0),0)</f>
        <v>0</v>
      </c>
      <c r="S1859" s="169">
        <f t="shared" ref="S1859:S1922" si="119">SUM(K1859:R1859)</f>
        <v>0</v>
      </c>
      <c r="T1859" s="169" t="s">
        <v>68</v>
      </c>
      <c r="V1859" s="169" t="str">
        <f t="shared" si="117"/>
        <v>BAÑEZ 8</v>
      </c>
      <c r="W1859" s="169" t="s">
        <v>2713</v>
      </c>
    </row>
    <row r="1860" spans="2:23" x14ac:dyDescent="0.25">
      <c r="B1860" s="169" t="s">
        <v>1166</v>
      </c>
      <c r="C1860" s="169" t="s">
        <v>56</v>
      </c>
      <c r="D1860" s="169" t="s">
        <v>177</v>
      </c>
      <c r="E1860" s="169" t="s">
        <v>36</v>
      </c>
      <c r="F1860" s="245" t="str">
        <f t="shared" si="118"/>
        <v>StpS 77</v>
      </c>
      <c r="G1860" s="169" t="s">
        <v>452</v>
      </c>
      <c r="I1860" s="169" t="str">
        <f t="shared" si="116"/>
        <v>L11_GHVFW_054E_STOPE</v>
      </c>
      <c r="J1860" s="169" t="s">
        <v>9919</v>
      </c>
      <c r="K1860" s="169">
        <f>IFERROR(MATCH(J1860,'Final List'!$B$4:$B$252,0),0)</f>
        <v>0</v>
      </c>
      <c r="L1860" s="169">
        <f>IFERROR(MATCH(J1860,'Final List'!$D$4:$D$252,0),0)</f>
        <v>0</v>
      </c>
      <c r="M1860" s="169">
        <f>IFERROR(MATCH(J1860,'Final List'!$F$4:$F$251,0),0)</f>
        <v>0</v>
      </c>
      <c r="N1860" s="169">
        <f>IFERROR(MATCH(J1860,'Final List'!$H$4:$H$252,0),0)</f>
        <v>0</v>
      </c>
      <c r="O1860" s="169">
        <f>IFERROR(MATCH(J1860,'Final List'!$J$4:$J$252,0),0)</f>
        <v>0</v>
      </c>
      <c r="P1860" s="169">
        <f>IFERROR(MATCH(J1860,'Final List'!$L$4:$L$252,0),0)</f>
        <v>0</v>
      </c>
      <c r="Q1860" s="169">
        <f>IFERROR(MATCH(J1860,'Final List'!$N$4:$N$252,0),0)</f>
        <v>0</v>
      </c>
      <c r="R1860" s="169">
        <f>IFERROR(MATCH(J1860,'Final List'!$P$4:$P$252,0),0)</f>
        <v>0</v>
      </c>
      <c r="S1860" s="169">
        <f t="shared" si="119"/>
        <v>0</v>
      </c>
      <c r="T1860" s="169" t="s">
        <v>68</v>
      </c>
      <c r="V1860" s="169" t="str">
        <f t="shared" si="117"/>
        <v>BAÑEZ 6</v>
      </c>
      <c r="W1860" s="169" t="s">
        <v>2713</v>
      </c>
    </row>
    <row r="1861" spans="2:23" x14ac:dyDescent="0.25">
      <c r="B1861" s="169" t="s">
        <v>94</v>
      </c>
      <c r="C1861" s="169" t="s">
        <v>57</v>
      </c>
      <c r="D1861" s="169" t="s">
        <v>6833</v>
      </c>
      <c r="E1861" s="169" t="s">
        <v>9987</v>
      </c>
      <c r="F1861" s="245" t="s">
        <v>15343</v>
      </c>
      <c r="G1861" s="169" t="s">
        <v>344</v>
      </c>
      <c r="I1861" s="169" t="str">
        <f t="shared" si="116"/>
        <v xml:space="preserve">L07_JVSPLIT_017W_WINZE STOPE </v>
      </c>
      <c r="J1861" s="169" t="s">
        <v>9985</v>
      </c>
      <c r="K1861" s="169">
        <f>IFERROR(MATCH(J1861,'Final List'!$B$4:$B$252,0),0)</f>
        <v>0</v>
      </c>
      <c r="L1861" s="169">
        <f>IFERROR(MATCH(J1861,'Final List'!$D$4:$D$252,0),0)</f>
        <v>0</v>
      </c>
      <c r="M1861" s="169">
        <f>IFERROR(MATCH(J1861,'Final List'!$F$4:$F$251,0),0)</f>
        <v>0</v>
      </c>
      <c r="N1861" s="169">
        <f>IFERROR(MATCH(J1861,'Final List'!$H$4:$H$252,0),0)</f>
        <v>0</v>
      </c>
      <c r="O1861" s="169">
        <f>IFERROR(MATCH(J1861,'Final List'!$J$4:$J$252,0),0)</f>
        <v>0</v>
      </c>
      <c r="P1861" s="169">
        <f>IFERROR(MATCH(J1861,'Final List'!$L$4:$L$252,0),0)</f>
        <v>0</v>
      </c>
      <c r="Q1861" s="169">
        <f>IFERROR(MATCH(J1861,'Final List'!$N$4:$N$252,0),0)</f>
        <v>0</v>
      </c>
      <c r="R1861" s="169">
        <f>IFERROR(MATCH(J1861,'Final List'!$P$4:$P$252,0),0)</f>
        <v>0</v>
      </c>
      <c r="S1861" s="169">
        <f t="shared" si="119"/>
        <v>0</v>
      </c>
      <c r="T1861" s="169" t="s">
        <v>68</v>
      </c>
      <c r="V1861" s="169" t="str">
        <f t="shared" si="117"/>
        <v>UDLOS 1</v>
      </c>
      <c r="W1861" s="169" t="s">
        <v>2719</v>
      </c>
    </row>
    <row r="1862" spans="2:23" x14ac:dyDescent="0.25">
      <c r="B1862" s="169" t="s">
        <v>258</v>
      </c>
      <c r="C1862" s="169" t="s">
        <v>39</v>
      </c>
      <c r="D1862" s="169" t="s">
        <v>164</v>
      </c>
      <c r="E1862" s="169" t="s">
        <v>61</v>
      </c>
      <c r="F1862" s="245" t="str">
        <f t="shared" si="118"/>
        <v>Dhoz 71</v>
      </c>
      <c r="G1862" s="169" t="s">
        <v>6851</v>
      </c>
      <c r="I1862" s="169" t="str">
        <f t="shared" si="116"/>
        <v>L10_JVHW_064E_DW</v>
      </c>
      <c r="J1862" s="169" t="s">
        <v>9534</v>
      </c>
      <c r="K1862" s="169">
        <f>IFERROR(MATCH(J1862,'Final List'!$B$4:$B$252,0),0)</f>
        <v>0</v>
      </c>
      <c r="L1862" s="169">
        <f>IFERROR(MATCH(J1862,'Final List'!$D$4:$D$252,0),0)</f>
        <v>0</v>
      </c>
      <c r="M1862" s="169">
        <f>IFERROR(MATCH(J1862,'Final List'!$F$4:$F$251,0),0)</f>
        <v>0</v>
      </c>
      <c r="N1862" s="169">
        <f>IFERROR(MATCH(J1862,'Final List'!$H$4:$H$252,0),0)</f>
        <v>0</v>
      </c>
      <c r="O1862" s="169">
        <f>IFERROR(MATCH(J1862,'Final List'!$J$4:$J$252,0),0)</f>
        <v>0</v>
      </c>
      <c r="P1862" s="169">
        <f>IFERROR(MATCH(J1862,'Final List'!$L$4:$L$252,0),0)</f>
        <v>0</v>
      </c>
      <c r="Q1862" s="169">
        <f>IFERROR(MATCH(J1862,'Final List'!$N$4:$N$252,0),0)</f>
        <v>0</v>
      </c>
      <c r="R1862" s="169">
        <f>IFERROR(MATCH(J1862,'Final List'!$P$4:$P$252,0),0)</f>
        <v>0</v>
      </c>
      <c r="S1862" s="169">
        <f t="shared" si="119"/>
        <v>0</v>
      </c>
      <c r="V1862" s="169" t="str">
        <f t="shared" si="117"/>
        <v>OLIVEROS 5</v>
      </c>
      <c r="W1862" s="169" t="s">
        <v>8896</v>
      </c>
    </row>
    <row r="1863" spans="2:23" x14ac:dyDescent="0.25">
      <c r="B1863" s="169" t="s">
        <v>258</v>
      </c>
      <c r="C1863" s="169" t="s">
        <v>45</v>
      </c>
      <c r="D1863" s="169" t="s">
        <v>9537</v>
      </c>
      <c r="E1863" s="169" t="s">
        <v>61</v>
      </c>
      <c r="F1863" s="245" t="str">
        <f t="shared" si="118"/>
        <v>Dhoz 71</v>
      </c>
      <c r="G1863" s="169" t="s">
        <v>13277</v>
      </c>
      <c r="I1863" s="169" t="str">
        <f t="shared" si="116"/>
        <v>L10_DPVE_093E_DW</v>
      </c>
      <c r="J1863" s="169" t="s">
        <v>9536</v>
      </c>
      <c r="K1863" s="169">
        <f>IFERROR(MATCH(J1863,'Final List'!$B$4:$B$252,0),0)</f>
        <v>0</v>
      </c>
      <c r="L1863" s="169">
        <f>IFERROR(MATCH(J1863,'Final List'!$D$4:$D$252,0),0)</f>
        <v>0</v>
      </c>
      <c r="M1863" s="169">
        <f>IFERROR(MATCH(J1863,'Final List'!$F$4:$F$251,0),0)</f>
        <v>0</v>
      </c>
      <c r="N1863" s="169">
        <f>IFERROR(MATCH(J1863,'Final List'!$H$4:$H$252,0),0)</f>
        <v>0</v>
      </c>
      <c r="O1863" s="169">
        <f>IFERROR(MATCH(J1863,'Final List'!$J$4:$J$252,0),0)</f>
        <v>0</v>
      </c>
      <c r="P1863" s="169">
        <f>IFERROR(MATCH(J1863,'Final List'!$L$4:$L$252,0),0)</f>
        <v>0</v>
      </c>
      <c r="Q1863" s="169">
        <f>IFERROR(MATCH(J1863,'Final List'!$N$4:$N$252,0),0)</f>
        <v>0</v>
      </c>
      <c r="R1863" s="169">
        <f>IFERROR(MATCH(J1863,'Final List'!$P$4:$P$252,0),0)</f>
        <v>0</v>
      </c>
      <c r="S1863" s="169">
        <f t="shared" si="119"/>
        <v>0</v>
      </c>
      <c r="V1863" s="169" t="str">
        <f t="shared" si="117"/>
        <v>NITRO CC</v>
      </c>
      <c r="W1863" s="169" t="s">
        <v>8896</v>
      </c>
    </row>
    <row r="1864" spans="2:23" x14ac:dyDescent="0.25">
      <c r="B1864" s="169" t="s">
        <v>93</v>
      </c>
      <c r="C1864" s="169" t="s">
        <v>42</v>
      </c>
      <c r="D1864" s="169" t="s">
        <v>131</v>
      </c>
      <c r="E1864" s="169" t="s">
        <v>20</v>
      </c>
      <c r="F1864" s="245" t="str">
        <f t="shared" si="118"/>
        <v>DVW 74</v>
      </c>
      <c r="G1864" s="169" t="s">
        <v>9352</v>
      </c>
      <c r="I1864" s="169" t="str">
        <f t="shared" si="116"/>
        <v>L06_JV_011E_WINZE</v>
      </c>
      <c r="J1864" s="169" t="s">
        <v>9538</v>
      </c>
      <c r="K1864" s="169">
        <f>IFERROR(MATCH(J1864,'Final List'!$B$4:$B$252,0),0)</f>
        <v>0</v>
      </c>
      <c r="L1864" s="169">
        <f>IFERROR(MATCH(J1864,'Final List'!$D$4:$D$252,0),0)</f>
        <v>0</v>
      </c>
      <c r="M1864" s="169">
        <f>IFERROR(MATCH(J1864,'Final List'!$F$4:$F$251,0),0)</f>
        <v>0</v>
      </c>
      <c r="N1864" s="169">
        <f>IFERROR(MATCH(J1864,'Final List'!$H$4:$H$252,0),0)</f>
        <v>0</v>
      </c>
      <c r="O1864" s="169">
        <f>IFERROR(MATCH(J1864,'Final List'!$J$4:$J$252,0),0)</f>
        <v>0</v>
      </c>
      <c r="P1864" s="169">
        <f>IFERROR(MATCH(J1864,'Final List'!$L$4:$L$252,0),0)</f>
        <v>0</v>
      </c>
      <c r="Q1864" s="169">
        <f>IFERROR(MATCH(J1864,'Final List'!$N$4:$N$252,0),0)</f>
        <v>0</v>
      </c>
      <c r="R1864" s="169">
        <f>IFERROR(MATCH(J1864,'Final List'!$P$4:$P$252,0),0)</f>
        <v>0</v>
      </c>
      <c r="S1864" s="169">
        <f t="shared" si="119"/>
        <v>0</v>
      </c>
      <c r="V1864" s="169" t="str">
        <f t="shared" si="117"/>
        <v>SHEPHERD AA 1</v>
      </c>
      <c r="W1864" s="169" t="s">
        <v>2706</v>
      </c>
    </row>
    <row r="1865" spans="2:23" x14ac:dyDescent="0.25">
      <c r="B1865" s="169" t="s">
        <v>94</v>
      </c>
      <c r="C1865" s="169" t="s">
        <v>45</v>
      </c>
      <c r="D1865" s="169" t="s">
        <v>6033</v>
      </c>
      <c r="E1865" s="169" t="s">
        <v>62</v>
      </c>
      <c r="F1865" s="245" t="str">
        <f t="shared" si="118"/>
        <v>RobC 80</v>
      </c>
      <c r="G1865" s="169" t="s">
        <v>2971</v>
      </c>
      <c r="I1865" s="169" t="str">
        <f t="shared" si="116"/>
        <v>L07_DPVE_013E_ROBBING</v>
      </c>
      <c r="J1865" s="169" t="s">
        <v>9539</v>
      </c>
      <c r="K1865" s="169">
        <f>IFERROR(MATCH(J1865,'Final List'!$B$4:$B$252,0),0)</f>
        <v>0</v>
      </c>
      <c r="L1865" s="169">
        <f>IFERROR(MATCH(J1865,'Final List'!$D$4:$D$252,0),0)</f>
        <v>0</v>
      </c>
      <c r="M1865" s="169">
        <f>IFERROR(MATCH(J1865,'Final List'!$F$4:$F$251,0),0)</f>
        <v>0</v>
      </c>
      <c r="N1865" s="169">
        <f>IFERROR(MATCH(J1865,'Final List'!$H$4:$H$252,0),0)</f>
        <v>0</v>
      </c>
      <c r="O1865" s="169">
        <f>IFERROR(MATCH(J1865,'Final List'!$J$4:$J$252,0),0)</f>
        <v>0</v>
      </c>
      <c r="P1865" s="169">
        <f>IFERROR(MATCH(J1865,'Final List'!$L$4:$L$252,0),0)</f>
        <v>0</v>
      </c>
      <c r="Q1865" s="169">
        <f>IFERROR(MATCH(J1865,'Final List'!$N$4:$N$252,0),0)</f>
        <v>0</v>
      </c>
      <c r="R1865" s="169">
        <f>IFERROR(MATCH(J1865,'Final List'!$P$4:$P$252,0),0)</f>
        <v>0</v>
      </c>
      <c r="S1865" s="169">
        <f t="shared" si="119"/>
        <v>0</v>
      </c>
      <c r="T1865" s="169" t="s">
        <v>48</v>
      </c>
      <c r="V1865" s="169" t="str">
        <f t="shared" si="117"/>
        <v>FABROA 3</v>
      </c>
      <c r="W1865" s="169" t="s">
        <v>236</v>
      </c>
    </row>
    <row r="1866" spans="2:23" x14ac:dyDescent="0.25">
      <c r="B1866" s="169" t="s">
        <v>94</v>
      </c>
      <c r="C1866" s="169" t="s">
        <v>42</v>
      </c>
      <c r="D1866" s="169" t="s">
        <v>160</v>
      </c>
      <c r="E1866" s="169" t="s">
        <v>62</v>
      </c>
      <c r="F1866" s="245" t="str">
        <f t="shared" si="118"/>
        <v>RobS 79</v>
      </c>
      <c r="G1866" s="169" t="s">
        <v>5921</v>
      </c>
      <c r="I1866" s="169" t="str">
        <f t="shared" si="116"/>
        <v>L07_JV_042E_ROBBING</v>
      </c>
      <c r="J1866" s="169" t="s">
        <v>9540</v>
      </c>
      <c r="K1866" s="169">
        <f>IFERROR(MATCH(J1866,'Final List'!$B$4:$B$252,0),0)</f>
        <v>0</v>
      </c>
      <c r="L1866" s="169">
        <f>IFERROR(MATCH(J1866,'Final List'!$D$4:$D$252,0),0)</f>
        <v>0</v>
      </c>
      <c r="M1866" s="169">
        <f>IFERROR(MATCH(J1866,'Final List'!$F$4:$F$251,0),0)</f>
        <v>0</v>
      </c>
      <c r="N1866" s="169">
        <f>IFERROR(MATCH(J1866,'Final List'!$H$4:$H$252,0),0)</f>
        <v>0</v>
      </c>
      <c r="O1866" s="169">
        <f>IFERROR(MATCH(J1866,'Final List'!$J$4:$J$252,0),0)</f>
        <v>0</v>
      </c>
      <c r="P1866" s="169">
        <f>IFERROR(MATCH(J1866,'Final List'!$L$4:$L$252,0),0)</f>
        <v>0</v>
      </c>
      <c r="Q1866" s="169">
        <f>IFERROR(MATCH(J1866,'Final List'!$N$4:$N$252,0),0)</f>
        <v>0</v>
      </c>
      <c r="R1866" s="169">
        <f>IFERROR(MATCH(J1866,'Final List'!$P$4:$P$252,0),0)</f>
        <v>0</v>
      </c>
      <c r="S1866" s="169">
        <f t="shared" si="119"/>
        <v>0</v>
      </c>
      <c r="T1866" s="169" t="s">
        <v>68</v>
      </c>
      <c r="V1866" s="169" t="str">
        <f t="shared" si="117"/>
        <v>TURRA 2</v>
      </c>
      <c r="W1866" s="169" t="s">
        <v>2707</v>
      </c>
    </row>
    <row r="1867" spans="2:23" x14ac:dyDescent="0.25">
      <c r="B1867" s="169" t="s">
        <v>95</v>
      </c>
      <c r="C1867" s="169" t="s">
        <v>38</v>
      </c>
      <c r="D1867" s="169" t="s">
        <v>146</v>
      </c>
      <c r="E1867" s="169" t="s">
        <v>62</v>
      </c>
      <c r="F1867" s="245" t="str">
        <f t="shared" si="118"/>
        <v>RobC 80</v>
      </c>
      <c r="G1867" s="169" t="s">
        <v>367</v>
      </c>
      <c r="I1867" s="169" t="str">
        <f t="shared" si="116"/>
        <v>L08_GHV_030E_ROBBING</v>
      </c>
      <c r="J1867" s="169" t="s">
        <v>9541</v>
      </c>
      <c r="K1867" s="169">
        <f>IFERROR(MATCH(J1867,'Final List'!$B$4:$B$252,0),0)</f>
        <v>0</v>
      </c>
      <c r="L1867" s="169">
        <f>IFERROR(MATCH(J1867,'Final List'!$D$4:$D$252,0),0)</f>
        <v>0</v>
      </c>
      <c r="M1867" s="169">
        <f>IFERROR(MATCH(J1867,'Final List'!$F$4:$F$251,0),0)</f>
        <v>0</v>
      </c>
      <c r="N1867" s="169">
        <f>IFERROR(MATCH(J1867,'Final List'!$H$4:$H$252,0),0)</f>
        <v>0</v>
      </c>
      <c r="O1867" s="169">
        <f>IFERROR(MATCH(J1867,'Final List'!$J$4:$J$252,0),0)</f>
        <v>0</v>
      </c>
      <c r="P1867" s="169">
        <f>IFERROR(MATCH(J1867,'Final List'!$L$4:$L$252,0),0)</f>
        <v>0</v>
      </c>
      <c r="Q1867" s="169">
        <f>IFERROR(MATCH(J1867,'Final List'!$N$4:$N$252,0),0)</f>
        <v>0</v>
      </c>
      <c r="R1867" s="169">
        <f>IFERROR(MATCH(J1867,'Final List'!$P$4:$P$252,0),0)</f>
        <v>0</v>
      </c>
      <c r="S1867" s="169">
        <f t="shared" si="119"/>
        <v>0</v>
      </c>
      <c r="T1867" s="169" t="s">
        <v>48</v>
      </c>
      <c r="V1867" s="169" t="str">
        <f t="shared" si="117"/>
        <v>LERIO 1</v>
      </c>
      <c r="W1867" s="169" t="s">
        <v>236</v>
      </c>
    </row>
    <row r="1868" spans="2:23" x14ac:dyDescent="0.25">
      <c r="B1868" s="169" t="s">
        <v>95</v>
      </c>
      <c r="C1868" s="169" t="s">
        <v>45</v>
      </c>
      <c r="D1868" s="169" t="s">
        <v>218</v>
      </c>
      <c r="E1868" s="169" t="s">
        <v>6143</v>
      </c>
      <c r="F1868" s="245" t="str">
        <f t="shared" si="118"/>
        <v>Dhoz 71</v>
      </c>
      <c r="G1868" s="169" t="s">
        <v>942</v>
      </c>
      <c r="I1868" s="169" t="str">
        <f t="shared" si="116"/>
        <v>L08_DPVE_062E_DE_ISL</v>
      </c>
      <c r="J1868" s="169" t="s">
        <v>9229</v>
      </c>
      <c r="K1868" s="169">
        <f>IFERROR(MATCH(J1868,'Final List'!$B$4:$B$252,0),0)</f>
        <v>0</v>
      </c>
      <c r="L1868" s="169">
        <f>IFERROR(MATCH(J1868,'Final List'!$D$4:$D$252,0),0)</f>
        <v>0</v>
      </c>
      <c r="M1868" s="169">
        <f>IFERROR(MATCH(J1868,'Final List'!$F$4:$F$251,0),0)</f>
        <v>0</v>
      </c>
      <c r="N1868" s="169">
        <f>IFERROR(MATCH(J1868,'Final List'!$H$4:$H$252,0),0)</f>
        <v>0</v>
      </c>
      <c r="O1868" s="169">
        <f>IFERROR(MATCH(J1868,'Final List'!$J$4:$J$252,0),0)</f>
        <v>0</v>
      </c>
      <c r="P1868" s="169">
        <f>IFERROR(MATCH(J1868,'Final List'!$L$4:$L$252,0),0)</f>
        <v>0</v>
      </c>
      <c r="Q1868" s="169">
        <f>IFERROR(MATCH(J1868,'Final List'!$N$4:$N$252,0),0)</f>
        <v>0</v>
      </c>
      <c r="R1868" s="169">
        <f>IFERROR(MATCH(J1868,'Final List'!$P$4:$P$252,0),0)</f>
        <v>0</v>
      </c>
      <c r="S1868" s="169">
        <f t="shared" si="119"/>
        <v>0</v>
      </c>
      <c r="V1868" s="169" t="str">
        <f t="shared" si="117"/>
        <v>AGLOLO 3</v>
      </c>
      <c r="W1868" s="169" t="s">
        <v>2708</v>
      </c>
    </row>
    <row r="1869" spans="2:23" x14ac:dyDescent="0.25">
      <c r="B1869" s="169" t="s">
        <v>1167</v>
      </c>
      <c r="C1869" s="169" t="s">
        <v>43</v>
      </c>
      <c r="D1869" s="169" t="s">
        <v>218</v>
      </c>
      <c r="E1869" s="169" t="s">
        <v>60</v>
      </c>
      <c r="F1869" s="245" t="str">
        <f t="shared" si="118"/>
        <v>Dhoz 71</v>
      </c>
      <c r="G1869" s="169" t="s">
        <v>9440</v>
      </c>
      <c r="H1869" s="169" t="s">
        <v>6930</v>
      </c>
      <c r="I1869" s="169" t="str">
        <f t="shared" si="116"/>
        <v>L12_GHVSPLIT_062E_DE</v>
      </c>
      <c r="J1869" s="169" t="s">
        <v>11043</v>
      </c>
      <c r="K1869" s="169">
        <f>IFERROR(MATCH(J1869,'Final List'!$B$4:$B$252,0),0)</f>
        <v>0</v>
      </c>
      <c r="L1869" s="169">
        <f>IFERROR(MATCH(J1869,'Final List'!$D$4:$D$252,0),0)</f>
        <v>0</v>
      </c>
      <c r="M1869" s="169">
        <f>IFERROR(MATCH(J1869,'Final List'!$F$4:$F$251,0),0)</f>
        <v>0</v>
      </c>
      <c r="N1869" s="169">
        <f>IFERROR(MATCH(J1869,'Final List'!$H$4:$H$252,0),0)</f>
        <v>0</v>
      </c>
      <c r="O1869" s="169">
        <f>IFERROR(MATCH(J1869,'Final List'!$J$4:$J$252,0),0)</f>
        <v>0</v>
      </c>
      <c r="P1869" s="169">
        <f>IFERROR(MATCH(J1869,'Final List'!$L$4:$L$252,0),0)</f>
        <v>0</v>
      </c>
      <c r="Q1869" s="169">
        <f>IFERROR(MATCH(J1869,'Final List'!$N$4:$N$252,0),0)</f>
        <v>0</v>
      </c>
      <c r="R1869" s="169">
        <f>IFERROR(MATCH(J1869,'Final List'!$P$4:$P$252,0),0)</f>
        <v>0</v>
      </c>
      <c r="S1869" s="169">
        <f t="shared" si="119"/>
        <v>0</v>
      </c>
      <c r="V1869" s="169" t="str">
        <f t="shared" si="117"/>
        <v>DUHIG, P1</v>
      </c>
      <c r="W1869" s="169" t="s">
        <v>8896</v>
      </c>
    </row>
    <row r="1870" spans="2:23" x14ac:dyDescent="0.25">
      <c r="B1870" s="169" t="s">
        <v>8904</v>
      </c>
      <c r="C1870" s="169" t="s">
        <v>57</v>
      </c>
      <c r="D1870" s="169" t="s">
        <v>134</v>
      </c>
      <c r="E1870" s="169" t="s">
        <v>19</v>
      </c>
      <c r="F1870" s="245" t="str">
        <f t="shared" si="118"/>
        <v>DVR 72</v>
      </c>
      <c r="G1870" s="169" t="s">
        <v>9366</v>
      </c>
      <c r="I1870" s="169" t="str">
        <f t="shared" si="116"/>
        <v>L03_JVSPLIT_016W_RAISE</v>
      </c>
      <c r="J1870" s="169" t="s">
        <v>9544</v>
      </c>
      <c r="K1870" s="169">
        <f>IFERROR(MATCH(J1870,'Final List'!$B$4:$B$252,0),0)</f>
        <v>0</v>
      </c>
      <c r="L1870" s="169">
        <f>IFERROR(MATCH(J1870,'Final List'!$D$4:$D$252,0),0)</f>
        <v>0</v>
      </c>
      <c r="M1870" s="169">
        <f>IFERROR(MATCH(J1870,'Final List'!$F$4:$F$251,0),0)</f>
        <v>0</v>
      </c>
      <c r="N1870" s="169">
        <f>IFERROR(MATCH(J1870,'Final List'!$H$4:$H$252,0),0)</f>
        <v>0</v>
      </c>
      <c r="O1870" s="169">
        <f>IFERROR(MATCH(J1870,'Final List'!$J$4:$J$252,0),0)</f>
        <v>0</v>
      </c>
      <c r="P1870" s="169">
        <f>IFERROR(MATCH(J1870,'Final List'!$L$4:$L$252,0),0)</f>
        <v>0</v>
      </c>
      <c r="Q1870" s="169">
        <f>IFERROR(MATCH(J1870,'Final List'!$N$4:$N$252,0),0)</f>
        <v>0</v>
      </c>
      <c r="R1870" s="169">
        <f>IFERROR(MATCH(J1870,'Final List'!$P$4:$P$252,0),0)</f>
        <v>0</v>
      </c>
      <c r="S1870" s="169">
        <f t="shared" si="119"/>
        <v>0</v>
      </c>
      <c r="V1870" s="169" t="str">
        <f t="shared" si="117"/>
        <v>FERNANDEZ, RM 2</v>
      </c>
      <c r="W1870" s="169" t="s">
        <v>2715</v>
      </c>
    </row>
    <row r="1871" spans="2:23" x14ac:dyDescent="0.25">
      <c r="B1871" s="169" t="s">
        <v>92</v>
      </c>
      <c r="C1871" s="169" t="s">
        <v>42</v>
      </c>
      <c r="D1871" s="169" t="s">
        <v>128</v>
      </c>
      <c r="E1871" s="169" t="s">
        <v>61</v>
      </c>
      <c r="F1871" s="245" t="str">
        <f t="shared" si="118"/>
        <v>Dhoz 71</v>
      </c>
      <c r="G1871" s="169" t="s">
        <v>5706</v>
      </c>
      <c r="I1871" s="169" t="str">
        <f t="shared" si="116"/>
        <v>L05_JV_027E_DW</v>
      </c>
      <c r="J1871" s="169" t="s">
        <v>9545</v>
      </c>
      <c r="K1871" s="169">
        <f>IFERROR(MATCH(J1871,'Final List'!$B$4:$B$252,0),0)</f>
        <v>0</v>
      </c>
      <c r="L1871" s="169">
        <f>IFERROR(MATCH(J1871,'Final List'!$D$4:$D$252,0),0)</f>
        <v>0</v>
      </c>
      <c r="M1871" s="169">
        <f>IFERROR(MATCH(J1871,'Final List'!$F$4:$F$251,0),0)</f>
        <v>0</v>
      </c>
      <c r="N1871" s="169">
        <f>IFERROR(MATCH(J1871,'Final List'!$H$4:$H$252,0),0)</f>
        <v>0</v>
      </c>
      <c r="O1871" s="169">
        <f>IFERROR(MATCH(J1871,'Final List'!$J$4:$J$252,0),0)</f>
        <v>0</v>
      </c>
      <c r="P1871" s="169">
        <f>IFERROR(MATCH(J1871,'Final List'!$L$4:$L$252,0),0)</f>
        <v>0</v>
      </c>
      <c r="Q1871" s="169">
        <f>IFERROR(MATCH(J1871,'Final List'!$N$4:$N$252,0),0)</f>
        <v>0</v>
      </c>
      <c r="R1871" s="169">
        <f>IFERROR(MATCH(J1871,'Final List'!$P$4:$P$252,0),0)</f>
        <v>0</v>
      </c>
      <c r="S1871" s="169">
        <f t="shared" si="119"/>
        <v>0</v>
      </c>
      <c r="V1871" s="169" t="str">
        <f t="shared" si="117"/>
        <v>SHEPHERD AF 1</v>
      </c>
      <c r="W1871" s="169" t="s">
        <v>8895</v>
      </c>
    </row>
    <row r="1872" spans="2:23" x14ac:dyDescent="0.25">
      <c r="B1872" s="169" t="s">
        <v>92</v>
      </c>
      <c r="C1872" s="169" t="s">
        <v>45</v>
      </c>
      <c r="D1872" s="169" t="s">
        <v>5723</v>
      </c>
      <c r="E1872" s="169" t="s">
        <v>19</v>
      </c>
      <c r="F1872" s="245" t="str">
        <f t="shared" si="118"/>
        <v>DVR 72</v>
      </c>
      <c r="G1872" s="169" t="s">
        <v>450</v>
      </c>
      <c r="I1872" s="169" t="str">
        <f t="shared" si="116"/>
        <v>L05_DPVE_046E_RAISE</v>
      </c>
      <c r="J1872" s="169" t="s">
        <v>5727</v>
      </c>
      <c r="K1872" s="169">
        <f>IFERROR(MATCH(J1872,'Final List'!$B$4:$B$252,0),0)</f>
        <v>0</v>
      </c>
      <c r="L1872" s="169">
        <f>IFERROR(MATCH(J1872,'Final List'!$D$4:$D$252,0),0)</f>
        <v>0</v>
      </c>
      <c r="M1872" s="169">
        <f>IFERROR(MATCH(J1872,'Final List'!$F$4:$F$251,0),0)</f>
        <v>0</v>
      </c>
      <c r="N1872" s="169">
        <f>IFERROR(MATCH(J1872,'Final List'!$H$4:$H$252,0),0)</f>
        <v>0</v>
      </c>
      <c r="O1872" s="169">
        <f>IFERROR(MATCH(J1872,'Final List'!$J$4:$J$252,0),0)</f>
        <v>0</v>
      </c>
      <c r="P1872" s="169">
        <f>IFERROR(MATCH(J1872,'Final List'!$L$4:$L$252,0),0)</f>
        <v>0</v>
      </c>
      <c r="Q1872" s="169">
        <f>IFERROR(MATCH(J1872,'Final List'!$N$4:$N$252,0),0)</f>
        <v>0</v>
      </c>
      <c r="R1872" s="169">
        <f>IFERROR(MATCH(J1872,'Final List'!$P$4:$P$252,0),0)</f>
        <v>0</v>
      </c>
      <c r="S1872" s="169">
        <f t="shared" si="119"/>
        <v>0</v>
      </c>
      <c r="V1872" s="169" t="str">
        <f t="shared" si="117"/>
        <v>BAYOBAY 1</v>
      </c>
      <c r="W1872" s="169" t="s">
        <v>2715</v>
      </c>
    </row>
    <row r="1873" spans="2:23" x14ac:dyDescent="0.25">
      <c r="B1873" s="169" t="s">
        <v>96</v>
      </c>
      <c r="C1873" s="169" t="s">
        <v>56</v>
      </c>
      <c r="D1873" s="169" t="s">
        <v>173</v>
      </c>
      <c r="E1873" s="169" t="s">
        <v>19</v>
      </c>
      <c r="F1873" s="245" t="str">
        <f t="shared" si="118"/>
        <v>DVR 72</v>
      </c>
      <c r="G1873" s="169" t="s">
        <v>8202</v>
      </c>
      <c r="I1873" s="169" t="str">
        <f t="shared" si="116"/>
        <v>L09_GHVFW_049E_RAISE</v>
      </c>
      <c r="J1873" s="169" t="s">
        <v>7510</v>
      </c>
      <c r="K1873" s="169">
        <f>IFERROR(MATCH(J1873,'Final List'!$B$4:$B$252,0),0)</f>
        <v>0</v>
      </c>
      <c r="L1873" s="169">
        <f>IFERROR(MATCH(J1873,'Final List'!$D$4:$D$252,0),0)</f>
        <v>0</v>
      </c>
      <c r="M1873" s="169">
        <f>IFERROR(MATCH(J1873,'Final List'!$F$4:$F$251,0),0)</f>
        <v>0</v>
      </c>
      <c r="N1873" s="169">
        <f>IFERROR(MATCH(J1873,'Final List'!$H$4:$H$252,0),0)</f>
        <v>0</v>
      </c>
      <c r="O1873" s="169">
        <f>IFERROR(MATCH(J1873,'Final List'!$J$4:$J$252,0),0)</f>
        <v>0</v>
      </c>
      <c r="P1873" s="169">
        <f>IFERROR(MATCH(J1873,'Final List'!$L$4:$L$252,0),0)</f>
        <v>0</v>
      </c>
      <c r="Q1873" s="169">
        <f>IFERROR(MATCH(J1873,'Final List'!$N$4:$N$252,0),0)</f>
        <v>0</v>
      </c>
      <c r="R1873" s="169">
        <f>IFERROR(MATCH(J1873,'Final List'!$P$4:$P$252,0),0)</f>
        <v>0</v>
      </c>
      <c r="S1873" s="169">
        <f t="shared" si="119"/>
        <v>0</v>
      </c>
      <c r="V1873" s="169" t="str">
        <f t="shared" si="117"/>
        <v>PANSIT, NORMAN 2</v>
      </c>
      <c r="W1873" s="169" t="s">
        <v>2715</v>
      </c>
    </row>
    <row r="1874" spans="2:23" x14ac:dyDescent="0.25">
      <c r="B1874" s="169" t="s">
        <v>93</v>
      </c>
      <c r="C1874" s="169" t="s">
        <v>38</v>
      </c>
      <c r="D1874" s="169" t="s">
        <v>114</v>
      </c>
      <c r="E1874" s="169" t="s">
        <v>62</v>
      </c>
      <c r="F1874" s="245" t="str">
        <f t="shared" si="118"/>
        <v>RobS 79</v>
      </c>
      <c r="G1874" s="169" t="s">
        <v>577</v>
      </c>
      <c r="I1874" s="169" t="str">
        <f t="shared" si="116"/>
        <v>L06_GHV_025W_ROBBING</v>
      </c>
      <c r="J1874" s="169" t="s">
        <v>9550</v>
      </c>
      <c r="K1874" s="169">
        <f>IFERROR(MATCH(J1874,'Final List'!$B$4:$B$252,0),0)</f>
        <v>0</v>
      </c>
      <c r="L1874" s="169">
        <f>IFERROR(MATCH(J1874,'Final List'!$D$4:$D$252,0),0)</f>
        <v>0</v>
      </c>
      <c r="M1874" s="169">
        <f>IFERROR(MATCH(J1874,'Final List'!$F$4:$F$251,0),0)</f>
        <v>0</v>
      </c>
      <c r="N1874" s="169">
        <f>IFERROR(MATCH(J1874,'Final List'!$H$4:$H$252,0),0)</f>
        <v>0</v>
      </c>
      <c r="O1874" s="169">
        <f>IFERROR(MATCH(J1874,'Final List'!$J$4:$J$252,0),0)</f>
        <v>0</v>
      </c>
      <c r="P1874" s="169">
        <f>IFERROR(MATCH(J1874,'Final List'!$L$4:$L$252,0),0)</f>
        <v>0</v>
      </c>
      <c r="Q1874" s="169">
        <f>IFERROR(MATCH(J1874,'Final List'!$N$4:$N$252,0),0)</f>
        <v>0</v>
      </c>
      <c r="R1874" s="169">
        <f>IFERROR(MATCH(J1874,'Final List'!$P$4:$P$252,0),0)</f>
        <v>0</v>
      </c>
      <c r="S1874" s="169">
        <f t="shared" si="119"/>
        <v>0</v>
      </c>
      <c r="T1874" s="169" t="s">
        <v>68</v>
      </c>
      <c r="V1874" s="169" t="str">
        <f t="shared" si="117"/>
        <v>CARIKITAN 1</v>
      </c>
      <c r="W1874" s="169" t="s">
        <v>2707</v>
      </c>
    </row>
    <row r="1875" spans="2:23" x14ac:dyDescent="0.25">
      <c r="B1875" s="169" t="s">
        <v>96</v>
      </c>
      <c r="C1875" s="169" t="s">
        <v>45</v>
      </c>
      <c r="D1875" s="169" t="s">
        <v>141</v>
      </c>
      <c r="E1875" s="169" t="s">
        <v>60</v>
      </c>
      <c r="F1875" s="245" t="str">
        <f t="shared" si="118"/>
        <v>Dhoz 71</v>
      </c>
      <c r="G1875" s="169" t="s">
        <v>5101</v>
      </c>
      <c r="H1875" s="169" t="s">
        <v>6621</v>
      </c>
      <c r="I1875" s="169" t="str">
        <f t="shared" si="116"/>
        <v>L09_DPVE_029E_DE</v>
      </c>
      <c r="J1875" s="169" t="s">
        <v>9552</v>
      </c>
      <c r="K1875" s="169">
        <f>IFERROR(MATCH(J1875,'Final List'!$B$4:$B$252,0),0)</f>
        <v>0</v>
      </c>
      <c r="L1875" s="169">
        <f>IFERROR(MATCH(J1875,'Final List'!$D$4:$D$252,0),0)</f>
        <v>0</v>
      </c>
      <c r="M1875" s="169">
        <f>IFERROR(MATCH(J1875,'Final List'!$F$4:$F$251,0),0)</f>
        <v>0</v>
      </c>
      <c r="N1875" s="169">
        <f>IFERROR(MATCH(J1875,'Final List'!$H$4:$H$252,0),0)</f>
        <v>0</v>
      </c>
      <c r="O1875" s="169">
        <f>IFERROR(MATCH(J1875,'Final List'!$J$4:$J$252,0),0)</f>
        <v>0</v>
      </c>
      <c r="P1875" s="169">
        <f>IFERROR(MATCH(J1875,'Final List'!$L$4:$L$252,0),0)</f>
        <v>0</v>
      </c>
      <c r="Q1875" s="169">
        <f>IFERROR(MATCH(J1875,'Final List'!$N$4:$N$252,0),0)</f>
        <v>0</v>
      </c>
      <c r="R1875" s="169">
        <f>IFERROR(MATCH(J1875,'Final List'!$P$4:$P$252,0),0)</f>
        <v>0</v>
      </c>
      <c r="S1875" s="169">
        <f t="shared" si="119"/>
        <v>0</v>
      </c>
      <c r="V1875" s="169" t="str">
        <f t="shared" si="117"/>
        <v>DELOS REYES V1</v>
      </c>
      <c r="W1875" s="169" t="s">
        <v>8896</v>
      </c>
    </row>
    <row r="1876" spans="2:23" ht="14.25" customHeight="1" x14ac:dyDescent="0.25">
      <c r="B1876" s="169" t="s">
        <v>95</v>
      </c>
      <c r="C1876" s="169" t="s">
        <v>45</v>
      </c>
      <c r="D1876" s="169" t="s">
        <v>164</v>
      </c>
      <c r="E1876" s="169" t="s">
        <v>20</v>
      </c>
      <c r="F1876" s="245" t="str">
        <f t="shared" si="118"/>
        <v>DVW 74</v>
      </c>
      <c r="G1876" s="169" t="s">
        <v>676</v>
      </c>
      <c r="I1876" s="169" t="str">
        <f t="shared" si="116"/>
        <v>L08_DPVE_064E_WINZE</v>
      </c>
      <c r="J1876" s="169" t="s">
        <v>9554</v>
      </c>
      <c r="K1876" s="169">
        <f>IFERROR(MATCH(J1876,'Final List'!$B$4:$B$252,0),0)</f>
        <v>0</v>
      </c>
      <c r="L1876" s="169">
        <f>IFERROR(MATCH(J1876,'Final List'!$D$4:$D$252,0),0)</f>
        <v>0</v>
      </c>
      <c r="M1876" s="169">
        <f>IFERROR(MATCH(J1876,'Final List'!$F$4:$F$251,0),0)</f>
        <v>0</v>
      </c>
      <c r="N1876" s="169">
        <f>IFERROR(MATCH(J1876,'Final List'!$H$4:$H$252,0),0)</f>
        <v>0</v>
      </c>
      <c r="O1876" s="169">
        <f>IFERROR(MATCH(J1876,'Final List'!$J$4:$J$252,0),0)</f>
        <v>0</v>
      </c>
      <c r="P1876" s="169">
        <f>IFERROR(MATCH(J1876,'Final List'!$L$4:$L$252,0),0)</f>
        <v>0</v>
      </c>
      <c r="Q1876" s="169">
        <f>IFERROR(MATCH(J1876,'Final List'!$N$4:$N$252,0),0)</f>
        <v>0</v>
      </c>
      <c r="R1876" s="169">
        <f>IFERROR(MATCH(J1876,'Final List'!$P$4:$P$252,0),0)</f>
        <v>0</v>
      </c>
      <c r="S1876" s="169">
        <f t="shared" si="119"/>
        <v>0</v>
      </c>
      <c r="V1876" s="169" t="str">
        <f t="shared" si="117"/>
        <v>OY-YOY 2</v>
      </c>
      <c r="W1876" s="169" t="s">
        <v>2706</v>
      </c>
    </row>
    <row r="1877" spans="2:23" x14ac:dyDescent="0.25">
      <c r="B1877" s="169" t="s">
        <v>1166</v>
      </c>
      <c r="C1877" s="169" t="s">
        <v>56</v>
      </c>
      <c r="D1877" s="169" t="s">
        <v>133</v>
      </c>
      <c r="E1877" s="169" t="s">
        <v>61</v>
      </c>
      <c r="F1877" s="245" t="str">
        <f t="shared" si="118"/>
        <v>Dhoz 71</v>
      </c>
      <c r="G1877" s="169" t="s">
        <v>475</v>
      </c>
      <c r="H1877" s="169" t="s">
        <v>10131</v>
      </c>
      <c r="I1877" s="169" t="str">
        <f t="shared" si="116"/>
        <v>L11_GHVFW_037E_DW</v>
      </c>
      <c r="J1877" s="169" t="s">
        <v>10589</v>
      </c>
      <c r="K1877" s="169">
        <f>IFERROR(MATCH(J1877,'Final List'!$B$4:$B$252,0),0)</f>
        <v>0</v>
      </c>
      <c r="L1877" s="169">
        <f>IFERROR(MATCH(J1877,'Final List'!$D$4:$D$252,0),0)</f>
        <v>0</v>
      </c>
      <c r="M1877" s="169">
        <f>IFERROR(MATCH(J1877,'Final List'!$F$4:$F$251,0),0)</f>
        <v>0</v>
      </c>
      <c r="N1877" s="169">
        <f>IFERROR(MATCH(J1877,'Final List'!$H$4:$H$252,0),0)</f>
        <v>0</v>
      </c>
      <c r="O1877" s="169">
        <f>IFERROR(MATCH(J1877,'Final List'!$J$4:$J$252,0),0)</f>
        <v>0</v>
      </c>
      <c r="P1877" s="169">
        <f>IFERROR(MATCH(J1877,'Final List'!$L$4:$L$252,0),0)</f>
        <v>0</v>
      </c>
      <c r="Q1877" s="169">
        <f>IFERROR(MATCH(J1877,'Final List'!$N$4:$N$252,0),0)</f>
        <v>0</v>
      </c>
      <c r="R1877" s="169">
        <f>IFERROR(MATCH(J1877,'Final List'!$P$4:$P$252,0),0)</f>
        <v>0</v>
      </c>
      <c r="S1877" s="169">
        <f t="shared" si="119"/>
        <v>0</v>
      </c>
      <c r="V1877" s="169" t="str">
        <f t="shared" si="117"/>
        <v>ALEÑAR 2.</v>
      </c>
      <c r="W1877" s="169" t="s">
        <v>8896</v>
      </c>
    </row>
    <row r="1878" spans="2:23" x14ac:dyDescent="0.25">
      <c r="B1878" s="169" t="s">
        <v>258</v>
      </c>
      <c r="C1878" s="169" t="s">
        <v>57</v>
      </c>
      <c r="D1878" s="169" t="s">
        <v>160</v>
      </c>
      <c r="E1878" s="169" t="s">
        <v>36</v>
      </c>
      <c r="F1878" s="245" t="str">
        <f t="shared" si="118"/>
        <v>StpS 77</v>
      </c>
      <c r="G1878" s="169" t="s">
        <v>375</v>
      </c>
      <c r="I1878" s="169" t="str">
        <f t="shared" si="116"/>
        <v>L10_JVSPLIT_042E_STOPE</v>
      </c>
      <c r="J1878" s="169" t="s">
        <v>9556</v>
      </c>
      <c r="K1878" s="169">
        <f>IFERROR(MATCH(J1878,'Final List'!$B$4:$B$252,0),0)</f>
        <v>0</v>
      </c>
      <c r="L1878" s="169">
        <f>IFERROR(MATCH(J1878,'Final List'!$D$4:$D$252,0),0)</f>
        <v>0</v>
      </c>
      <c r="M1878" s="169">
        <f>IFERROR(MATCH(J1878,'Final List'!$F$4:$F$251,0),0)</f>
        <v>0</v>
      </c>
      <c r="N1878" s="169">
        <f>IFERROR(MATCH(J1878,'Final List'!$H$4:$H$252,0),0)</f>
        <v>0</v>
      </c>
      <c r="O1878" s="169">
        <f>IFERROR(MATCH(J1878,'Final List'!$J$4:$J$252,0),0)</f>
        <v>0</v>
      </c>
      <c r="P1878" s="169">
        <f>IFERROR(MATCH(J1878,'Final List'!$L$4:$L$252,0),0)</f>
        <v>0</v>
      </c>
      <c r="Q1878" s="169">
        <f>IFERROR(MATCH(J1878,'Final List'!$N$4:$N$252,0),0)</f>
        <v>0</v>
      </c>
      <c r="R1878" s="169">
        <f>IFERROR(MATCH(J1878,'Final List'!$P$4:$P$252,0),0)</f>
        <v>0</v>
      </c>
      <c r="S1878" s="169">
        <f t="shared" si="119"/>
        <v>0</v>
      </c>
      <c r="T1878" s="169" t="s">
        <v>68</v>
      </c>
      <c r="V1878" s="169" t="str">
        <f t="shared" si="117"/>
        <v>TAÑEZA 7</v>
      </c>
      <c r="W1878" s="169" t="s">
        <v>2713</v>
      </c>
    </row>
    <row r="1879" spans="2:23" x14ac:dyDescent="0.25">
      <c r="B1879" s="169" t="s">
        <v>96</v>
      </c>
      <c r="C1879" s="169" t="s">
        <v>45</v>
      </c>
      <c r="D1879" s="169" t="s">
        <v>133</v>
      </c>
      <c r="E1879" s="169" t="s">
        <v>19</v>
      </c>
      <c r="F1879" s="245" t="str">
        <f t="shared" si="118"/>
        <v>DVR 72</v>
      </c>
      <c r="G1879" s="169" t="s">
        <v>9422</v>
      </c>
      <c r="I1879" s="169" t="str">
        <f t="shared" si="116"/>
        <v>L09_DPVE_037E_RAISE</v>
      </c>
      <c r="J1879" s="169" t="s">
        <v>9557</v>
      </c>
      <c r="K1879" s="169">
        <f>IFERROR(MATCH(J1879,'Final List'!$B$4:$B$252,0),0)</f>
        <v>0</v>
      </c>
      <c r="L1879" s="169">
        <f>IFERROR(MATCH(J1879,'Final List'!$D$4:$D$252,0),0)</f>
        <v>0</v>
      </c>
      <c r="M1879" s="169">
        <f>IFERROR(MATCH(J1879,'Final List'!$F$4:$F$251,0),0)</f>
        <v>0</v>
      </c>
      <c r="N1879" s="169">
        <f>IFERROR(MATCH(J1879,'Final List'!$H$4:$H$252,0),0)</f>
        <v>0</v>
      </c>
      <c r="O1879" s="169">
        <f>IFERROR(MATCH(J1879,'Final List'!$J$4:$J$252,0),0)</f>
        <v>0</v>
      </c>
      <c r="P1879" s="169">
        <f>IFERROR(MATCH(J1879,'Final List'!$L$4:$L$252,0),0)</f>
        <v>0</v>
      </c>
      <c r="Q1879" s="169">
        <f>IFERROR(MATCH(J1879,'Final List'!$N$4:$N$252,0),0)</f>
        <v>0</v>
      </c>
      <c r="R1879" s="169">
        <f>IFERROR(MATCH(J1879,'Final List'!$P$4:$P$252,0),0)</f>
        <v>0</v>
      </c>
      <c r="S1879" s="169">
        <f t="shared" si="119"/>
        <v>0</v>
      </c>
      <c r="V1879" s="169" t="str">
        <f t="shared" si="117"/>
        <v>SHEPHERD AY 1</v>
      </c>
      <c r="W1879" s="169" t="s">
        <v>2715</v>
      </c>
    </row>
    <row r="1880" spans="2:23" x14ac:dyDescent="0.25">
      <c r="B1880" s="169" t="s">
        <v>258</v>
      </c>
      <c r="C1880" s="169" t="s">
        <v>56</v>
      </c>
      <c r="D1880" s="169" t="s">
        <v>5614</v>
      </c>
      <c r="E1880" s="169" t="s">
        <v>19</v>
      </c>
      <c r="F1880" s="245" t="str">
        <f t="shared" si="118"/>
        <v>DVR 72</v>
      </c>
      <c r="G1880" s="169" t="s">
        <v>1905</v>
      </c>
      <c r="I1880" s="169" t="str">
        <f t="shared" si="116"/>
        <v>L10_GHVFW_055E_RAISE</v>
      </c>
      <c r="J1880" s="169" t="s">
        <v>9558</v>
      </c>
      <c r="K1880" s="169">
        <f>IFERROR(MATCH(J1880,'Final List'!$B$4:$B$252,0),0)</f>
        <v>0</v>
      </c>
      <c r="L1880" s="169">
        <f>IFERROR(MATCH(J1880,'Final List'!$D$4:$D$252,0),0)</f>
        <v>0</v>
      </c>
      <c r="M1880" s="169">
        <f>IFERROR(MATCH(J1880,'Final List'!$F$4:$F$251,0),0)</f>
        <v>0</v>
      </c>
      <c r="N1880" s="169">
        <f>IFERROR(MATCH(J1880,'Final List'!$H$4:$H$252,0),0)</f>
        <v>0</v>
      </c>
      <c r="O1880" s="169">
        <f>IFERROR(MATCH(J1880,'Final List'!$J$4:$J$252,0),0)</f>
        <v>0</v>
      </c>
      <c r="P1880" s="169">
        <f>IFERROR(MATCH(J1880,'Final List'!$L$4:$L$252,0),0)</f>
        <v>0</v>
      </c>
      <c r="Q1880" s="169">
        <f>IFERROR(MATCH(J1880,'Final List'!$N$4:$N$252,0),0)</f>
        <v>0</v>
      </c>
      <c r="R1880" s="169">
        <f>IFERROR(MATCH(J1880,'Final List'!$P$4:$P$252,0),0)</f>
        <v>0</v>
      </c>
      <c r="S1880" s="169">
        <f t="shared" si="119"/>
        <v>0</v>
      </c>
      <c r="V1880" s="169" t="str">
        <f t="shared" si="117"/>
        <v>MONTEBON 1</v>
      </c>
      <c r="W1880" s="169" t="s">
        <v>2715</v>
      </c>
    </row>
    <row r="1881" spans="2:23" x14ac:dyDescent="0.25">
      <c r="B1881" s="169" t="s">
        <v>92</v>
      </c>
      <c r="C1881" s="169" t="s">
        <v>41</v>
      </c>
      <c r="D1881" s="169" t="s">
        <v>129</v>
      </c>
      <c r="E1881" s="169" t="s">
        <v>61</v>
      </c>
      <c r="F1881" s="245" t="str">
        <f t="shared" si="118"/>
        <v>Dhoz 71</v>
      </c>
      <c r="G1881" s="169" t="s">
        <v>538</v>
      </c>
      <c r="I1881" s="169" t="str">
        <f t="shared" si="116"/>
        <v>L05_CTV_010E_DW</v>
      </c>
      <c r="J1881" s="169" t="s">
        <v>9561</v>
      </c>
      <c r="K1881" s="169">
        <f>IFERROR(MATCH(J1881,'Final List'!$B$4:$B$252,0),0)</f>
        <v>0</v>
      </c>
      <c r="L1881" s="169">
        <f>IFERROR(MATCH(J1881,'Final List'!$D$4:$D$252,0),0)</f>
        <v>0</v>
      </c>
      <c r="M1881" s="169">
        <f>IFERROR(MATCH(J1881,'Final List'!$F$4:$F$251,0),0)</f>
        <v>0</v>
      </c>
      <c r="N1881" s="169">
        <f>IFERROR(MATCH(J1881,'Final List'!$H$4:$H$252,0),0)</f>
        <v>0</v>
      </c>
      <c r="O1881" s="169">
        <f>IFERROR(MATCH(J1881,'Final List'!$J$4:$J$252,0),0)</f>
        <v>0</v>
      </c>
      <c r="P1881" s="169">
        <f>IFERROR(MATCH(J1881,'Final List'!$L$4:$L$252,0),0)</f>
        <v>0</v>
      </c>
      <c r="Q1881" s="169">
        <f>IFERROR(MATCH(J1881,'Final List'!$N$4:$N$252,0),0)</f>
        <v>0</v>
      </c>
      <c r="R1881" s="169">
        <f>IFERROR(MATCH(J1881,'Final List'!$P$4:$P$252,0),0)</f>
        <v>0</v>
      </c>
      <c r="S1881" s="169">
        <f t="shared" si="119"/>
        <v>0</v>
      </c>
      <c r="V1881" s="169" t="str">
        <f t="shared" si="117"/>
        <v>PANCIT, NOEL 4</v>
      </c>
      <c r="W1881" s="169" t="s">
        <v>8895</v>
      </c>
    </row>
    <row r="1882" spans="2:23" x14ac:dyDescent="0.25">
      <c r="B1882" s="169" t="s">
        <v>91</v>
      </c>
      <c r="C1882" s="169" t="s">
        <v>8753</v>
      </c>
      <c r="D1882" s="169" t="s">
        <v>6983</v>
      </c>
      <c r="E1882" s="169" t="s">
        <v>61</v>
      </c>
      <c r="F1882" s="245" t="str">
        <f t="shared" si="118"/>
        <v>Dhoz 71</v>
      </c>
      <c r="G1882" s="169" t="s">
        <v>8193</v>
      </c>
      <c r="I1882" s="169" t="str">
        <f t="shared" si="116"/>
        <v>L04_RYV_001E_DW</v>
      </c>
      <c r="J1882" s="169" t="s">
        <v>9563</v>
      </c>
      <c r="K1882" s="169">
        <f>IFERROR(MATCH(J1882,'Final List'!$B$4:$B$252,0),0)</f>
        <v>0</v>
      </c>
      <c r="L1882" s="169">
        <f>IFERROR(MATCH(J1882,'Final List'!$D$4:$D$252,0),0)</f>
        <v>0</v>
      </c>
      <c r="M1882" s="169">
        <f>IFERROR(MATCH(J1882,'Final List'!$F$4:$F$251,0),0)</f>
        <v>0</v>
      </c>
      <c r="N1882" s="169">
        <f>IFERROR(MATCH(J1882,'Final List'!$H$4:$H$252,0),0)</f>
        <v>0</v>
      </c>
      <c r="O1882" s="169">
        <f>IFERROR(MATCH(J1882,'Final List'!$J$4:$J$252,0),0)</f>
        <v>0</v>
      </c>
      <c r="P1882" s="169">
        <f>IFERROR(MATCH(J1882,'Final List'!$L$4:$L$252,0),0)</f>
        <v>0</v>
      </c>
      <c r="Q1882" s="169">
        <f>IFERROR(MATCH(J1882,'Final List'!$N$4:$N$252,0),0)</f>
        <v>0</v>
      </c>
      <c r="R1882" s="169">
        <f>IFERROR(MATCH(J1882,'Final List'!$P$4:$P$252,0),0)</f>
        <v>0</v>
      </c>
      <c r="S1882" s="169">
        <f t="shared" si="119"/>
        <v>0</v>
      </c>
      <c r="V1882" s="169" t="str">
        <f t="shared" si="117"/>
        <v>SHEPHERD AR 1</v>
      </c>
      <c r="W1882" s="169" t="s">
        <v>8895</v>
      </c>
    </row>
    <row r="1883" spans="2:23" x14ac:dyDescent="0.25">
      <c r="B1883" s="169" t="s">
        <v>91</v>
      </c>
      <c r="C1883" s="169" t="s">
        <v>41</v>
      </c>
      <c r="D1883" s="169" t="s">
        <v>5940</v>
      </c>
      <c r="E1883" s="169" t="s">
        <v>62</v>
      </c>
      <c r="F1883" s="245" t="str">
        <f t="shared" si="118"/>
        <v>RobC 80</v>
      </c>
      <c r="G1883" s="169" t="s">
        <v>9885</v>
      </c>
      <c r="I1883" s="169" t="str">
        <f t="shared" si="116"/>
        <v>L04_CTV_022W_ROBBING</v>
      </c>
      <c r="J1883" s="169" t="s">
        <v>9565</v>
      </c>
      <c r="K1883" s="169">
        <f>IFERROR(MATCH(J1883,'Final List'!$B$4:$B$252,0),0)</f>
        <v>0</v>
      </c>
      <c r="L1883" s="169">
        <f>IFERROR(MATCH(J1883,'Final List'!$D$4:$D$252,0),0)</f>
        <v>0</v>
      </c>
      <c r="M1883" s="169">
        <f>IFERROR(MATCH(J1883,'Final List'!$F$4:$F$251,0),0)</f>
        <v>0</v>
      </c>
      <c r="N1883" s="169">
        <f>IFERROR(MATCH(J1883,'Final List'!$H$4:$H$252,0),0)</f>
        <v>0</v>
      </c>
      <c r="O1883" s="169">
        <f>IFERROR(MATCH(J1883,'Final List'!$J$4:$J$252,0),0)</f>
        <v>0</v>
      </c>
      <c r="P1883" s="169">
        <f>IFERROR(MATCH(J1883,'Final List'!$L$4:$L$252,0),0)</f>
        <v>0</v>
      </c>
      <c r="Q1883" s="169">
        <f>IFERROR(MATCH(J1883,'Final List'!$N$4:$N$252,0),0)</f>
        <v>0</v>
      </c>
      <c r="R1883" s="169">
        <f>IFERROR(MATCH(J1883,'Final List'!$P$4:$P$252,0),0)</f>
        <v>0</v>
      </c>
      <c r="S1883" s="169">
        <f t="shared" si="119"/>
        <v>0</v>
      </c>
      <c r="T1883" s="169" t="s">
        <v>48</v>
      </c>
      <c r="V1883" s="169" t="str">
        <f t="shared" si="117"/>
        <v>CAYMAN 2</v>
      </c>
      <c r="W1883" s="169" t="s">
        <v>236</v>
      </c>
    </row>
    <row r="1884" spans="2:23" x14ac:dyDescent="0.25">
      <c r="B1884" s="169" t="s">
        <v>96</v>
      </c>
      <c r="C1884" s="169" t="s">
        <v>45</v>
      </c>
      <c r="D1884" s="169" t="s">
        <v>247</v>
      </c>
      <c r="E1884" s="169" t="s">
        <v>6143</v>
      </c>
      <c r="F1884" s="245" t="str">
        <f t="shared" si="118"/>
        <v>Dhoz 71</v>
      </c>
      <c r="G1884" s="169" t="s">
        <v>2970</v>
      </c>
      <c r="H1884" s="169" t="s">
        <v>8201</v>
      </c>
      <c r="I1884" s="169" t="str">
        <f t="shared" si="116"/>
        <v>L09_DPVE_080E_DE_ISL</v>
      </c>
      <c r="J1884" s="169" t="s">
        <v>9478</v>
      </c>
      <c r="K1884" s="169">
        <f>IFERROR(MATCH(J1884,'Final List'!$B$4:$B$252,0),0)</f>
        <v>0</v>
      </c>
      <c r="L1884" s="169">
        <f>IFERROR(MATCH(J1884,'Final List'!$D$4:$D$252,0),0)</f>
        <v>0</v>
      </c>
      <c r="M1884" s="169">
        <f>IFERROR(MATCH(J1884,'Final List'!$F$4:$F$251,0),0)</f>
        <v>0</v>
      </c>
      <c r="N1884" s="169">
        <f>IFERROR(MATCH(J1884,'Final List'!$H$4:$H$252,0),0)</f>
        <v>0</v>
      </c>
      <c r="O1884" s="169">
        <f>IFERROR(MATCH(J1884,'Final List'!$J$4:$J$252,0),0)</f>
        <v>0</v>
      </c>
      <c r="P1884" s="169">
        <f>IFERROR(MATCH(J1884,'Final List'!$L$4:$L$252,0),0)</f>
        <v>0</v>
      </c>
      <c r="Q1884" s="169">
        <f>IFERROR(MATCH(J1884,'Final List'!$N$4:$N$252,0),0)</f>
        <v>0</v>
      </c>
      <c r="R1884" s="169">
        <f>IFERROR(MATCH(J1884,'Final List'!$P$4:$P$252,0),0)</f>
        <v>0</v>
      </c>
      <c r="S1884" s="169">
        <f t="shared" si="119"/>
        <v>0</v>
      </c>
      <c r="V1884" s="169" t="str">
        <f t="shared" si="117"/>
        <v>PANSIT, NORMAN 1</v>
      </c>
      <c r="W1884" s="169" t="s">
        <v>2708</v>
      </c>
    </row>
    <row r="1885" spans="2:23" x14ac:dyDescent="0.25">
      <c r="B1885" s="169" t="s">
        <v>1166</v>
      </c>
      <c r="C1885" s="169" t="s">
        <v>56</v>
      </c>
      <c r="D1885" s="169" t="s">
        <v>5614</v>
      </c>
      <c r="E1885" s="169" t="s">
        <v>60</v>
      </c>
      <c r="F1885" s="245" t="str">
        <f t="shared" si="118"/>
        <v>Dhoz 71</v>
      </c>
      <c r="G1885" s="169" t="s">
        <v>464</v>
      </c>
      <c r="H1885" s="169" t="s">
        <v>474</v>
      </c>
      <c r="I1885" s="169" t="s">
        <v>9581</v>
      </c>
      <c r="J1885" s="169" t="s">
        <v>9581</v>
      </c>
      <c r="K1885" s="169">
        <f>IFERROR(MATCH(J1885,'Final List'!$B$4:$B$252,0),0)</f>
        <v>0</v>
      </c>
      <c r="L1885" s="169">
        <f>IFERROR(MATCH(J1885,'Final List'!$D$4:$D$252,0),0)</f>
        <v>0</v>
      </c>
      <c r="M1885" s="169">
        <f>IFERROR(MATCH(J1885,'Final List'!$F$4:$F$251,0),0)</f>
        <v>0</v>
      </c>
      <c r="N1885" s="169">
        <f>IFERROR(MATCH(J1885,'Final List'!$H$4:$H$252,0),0)</f>
        <v>0</v>
      </c>
      <c r="O1885" s="169">
        <f>IFERROR(MATCH(J1885,'Final List'!$J$4:$J$252,0),0)</f>
        <v>0</v>
      </c>
      <c r="P1885" s="169">
        <f>IFERROR(MATCH(J1885,'Final List'!$L$4:$L$252,0),0)</f>
        <v>0</v>
      </c>
      <c r="Q1885" s="169">
        <f>IFERROR(MATCH(J1885,'Final List'!$N$4:$N$252,0),0)</f>
        <v>0</v>
      </c>
      <c r="R1885" s="169">
        <f>IFERROR(MATCH(J1885,'Final List'!$P$4:$P$252,0),0)</f>
        <v>0</v>
      </c>
      <c r="S1885" s="169">
        <f t="shared" si="119"/>
        <v>0</v>
      </c>
      <c r="V1885" s="169" t="str">
        <f t="shared" si="117"/>
        <v>TORMIS 1</v>
      </c>
      <c r="W1885" s="169" t="s">
        <v>8896</v>
      </c>
    </row>
    <row r="1886" spans="2:23" x14ac:dyDescent="0.25">
      <c r="B1886" s="169" t="s">
        <v>258</v>
      </c>
      <c r="C1886" s="169" t="s">
        <v>56</v>
      </c>
      <c r="D1886" s="169" t="s">
        <v>142</v>
      </c>
      <c r="E1886" s="169" t="s">
        <v>36</v>
      </c>
      <c r="F1886" s="245" t="str">
        <f t="shared" si="118"/>
        <v>StpS 77</v>
      </c>
      <c r="G1886" s="169" t="s">
        <v>296</v>
      </c>
      <c r="I1886" s="169" t="str">
        <f t="shared" ref="I1886:I1903" si="120">CONCATENATE(B1886,"_",C1886,"_",D1886,"_",E1886)</f>
        <v>L10_GHVFW_038E_STOPE</v>
      </c>
      <c r="J1886" s="169" t="s">
        <v>9573</v>
      </c>
      <c r="K1886" s="169">
        <f>IFERROR(MATCH(J1886,'Final List'!$B$4:$B$252,0),0)</f>
        <v>0</v>
      </c>
      <c r="L1886" s="169">
        <f>IFERROR(MATCH(J1886,'Final List'!$D$4:$D$252,0),0)</f>
        <v>0</v>
      </c>
      <c r="M1886" s="169">
        <f>IFERROR(MATCH(J1886,'Final List'!$F$4:$F$251,0),0)</f>
        <v>0</v>
      </c>
      <c r="N1886" s="169">
        <f>IFERROR(MATCH(J1886,'Final List'!$H$4:$H$252,0),0)</f>
        <v>0</v>
      </c>
      <c r="O1886" s="169">
        <f>IFERROR(MATCH(J1886,'Final List'!$J$4:$J$252,0),0)</f>
        <v>0</v>
      </c>
      <c r="P1886" s="169">
        <f>IFERROR(MATCH(J1886,'Final List'!$L$4:$L$252,0),0)</f>
        <v>0</v>
      </c>
      <c r="Q1886" s="169">
        <f>IFERROR(MATCH(J1886,'Final List'!$N$4:$N$252,0),0)</f>
        <v>0</v>
      </c>
      <c r="R1886" s="169">
        <f>IFERROR(MATCH(J1886,'Final List'!$P$4:$P$252,0),0)</f>
        <v>0</v>
      </c>
      <c r="S1886" s="169">
        <f t="shared" si="119"/>
        <v>0</v>
      </c>
      <c r="T1886" s="169" t="s">
        <v>68</v>
      </c>
      <c r="V1886" s="169" t="str">
        <f t="shared" si="117"/>
        <v>MONTEBON 2</v>
      </c>
      <c r="W1886" s="169" t="s">
        <v>2713</v>
      </c>
    </row>
    <row r="1887" spans="2:23" x14ac:dyDescent="0.25">
      <c r="B1887" s="169" t="s">
        <v>96</v>
      </c>
      <c r="C1887" s="169" t="s">
        <v>38</v>
      </c>
      <c r="D1887" s="169" t="s">
        <v>5835</v>
      </c>
      <c r="E1887" s="169" t="s">
        <v>221</v>
      </c>
      <c r="F1887" s="245" t="str">
        <f t="shared" si="118"/>
        <v>RobC 80</v>
      </c>
      <c r="G1887" s="169" t="s">
        <v>364</v>
      </c>
      <c r="I1887" s="169" t="str">
        <f t="shared" si="120"/>
        <v>L09_GHV_003W_WINZE STOPE</v>
      </c>
      <c r="J1887" s="169" t="s">
        <v>9576</v>
      </c>
      <c r="K1887" s="169">
        <f>IFERROR(MATCH(J1887,'Final List'!$B$4:$B$252,0),0)</f>
        <v>0</v>
      </c>
      <c r="L1887" s="169">
        <f>IFERROR(MATCH(J1887,'Final List'!$D$4:$D$252,0),0)</f>
        <v>0</v>
      </c>
      <c r="M1887" s="169">
        <f>IFERROR(MATCH(J1887,'Final List'!$F$4:$F$251,0),0)</f>
        <v>0</v>
      </c>
      <c r="N1887" s="169">
        <f>IFERROR(MATCH(J1887,'Final List'!$H$4:$H$252,0),0)</f>
        <v>0</v>
      </c>
      <c r="O1887" s="169">
        <f>IFERROR(MATCH(J1887,'Final List'!$J$4:$J$252,0),0)</f>
        <v>0</v>
      </c>
      <c r="P1887" s="169">
        <f>IFERROR(MATCH(J1887,'Final List'!$L$4:$L$252,0),0)</f>
        <v>0</v>
      </c>
      <c r="Q1887" s="169">
        <f>IFERROR(MATCH(J1887,'Final List'!$N$4:$N$252,0),0)</f>
        <v>0</v>
      </c>
      <c r="R1887" s="169">
        <f>IFERROR(MATCH(J1887,'Final List'!$P$4:$P$252,0),0)</f>
        <v>0</v>
      </c>
      <c r="S1887" s="169">
        <f t="shared" si="119"/>
        <v>0</v>
      </c>
      <c r="T1887" s="169" t="s">
        <v>68</v>
      </c>
      <c r="V1887" s="169" t="str">
        <f t="shared" si="117"/>
        <v>BABOR 3</v>
      </c>
      <c r="W1887" s="169" t="s">
        <v>2719</v>
      </c>
    </row>
    <row r="1888" spans="2:23" x14ac:dyDescent="0.25">
      <c r="B1888" s="169" t="s">
        <v>94</v>
      </c>
      <c r="C1888" s="169" t="s">
        <v>42</v>
      </c>
      <c r="D1888" s="169" t="s">
        <v>7301</v>
      </c>
      <c r="E1888" s="169" t="s">
        <v>62</v>
      </c>
      <c r="F1888" s="245" t="str">
        <f t="shared" si="118"/>
        <v>RobS 79</v>
      </c>
      <c r="G1888" s="169" t="s">
        <v>8199</v>
      </c>
      <c r="I1888" s="169" t="str">
        <f t="shared" si="120"/>
        <v>L07_JV_010W_ROBBING</v>
      </c>
      <c r="J1888" s="169" t="s">
        <v>9578</v>
      </c>
      <c r="K1888" s="169">
        <f>IFERROR(MATCH(J1888,'Final List'!$B$4:$B$252,0),0)</f>
        <v>0</v>
      </c>
      <c r="L1888" s="169">
        <f>IFERROR(MATCH(J1888,'Final List'!$D$4:$D$252,0),0)</f>
        <v>0</v>
      </c>
      <c r="M1888" s="169">
        <f>IFERROR(MATCH(J1888,'Final List'!$F$4:$F$251,0),0)</f>
        <v>0</v>
      </c>
      <c r="N1888" s="169">
        <f>IFERROR(MATCH(J1888,'Final List'!$H$4:$H$252,0),0)</f>
        <v>0</v>
      </c>
      <c r="O1888" s="169">
        <f>IFERROR(MATCH(J1888,'Final List'!$J$4:$J$252,0),0)</f>
        <v>0</v>
      </c>
      <c r="P1888" s="169">
        <f>IFERROR(MATCH(J1888,'Final List'!$L$4:$L$252,0),0)</f>
        <v>0</v>
      </c>
      <c r="Q1888" s="169">
        <f>IFERROR(MATCH(J1888,'Final List'!$N$4:$N$252,0),0)</f>
        <v>0</v>
      </c>
      <c r="R1888" s="169">
        <f>IFERROR(MATCH(J1888,'Final List'!$P$4:$P$252,0),0)</f>
        <v>0</v>
      </c>
      <c r="S1888" s="169">
        <f t="shared" si="119"/>
        <v>0</v>
      </c>
      <c r="T1888" s="169" t="s">
        <v>68</v>
      </c>
      <c r="V1888" s="169" t="str">
        <f t="shared" si="117"/>
        <v>SHEPHERD AT 1</v>
      </c>
      <c r="W1888" s="169" t="s">
        <v>2707</v>
      </c>
    </row>
    <row r="1889" spans="2:23" x14ac:dyDescent="0.25">
      <c r="B1889" s="169" t="s">
        <v>93</v>
      </c>
      <c r="C1889" s="169" t="s">
        <v>38</v>
      </c>
      <c r="D1889" s="169" t="s">
        <v>102</v>
      </c>
      <c r="E1889" s="169" t="s">
        <v>61</v>
      </c>
      <c r="F1889" s="245" t="str">
        <f t="shared" si="118"/>
        <v>Dhoz 71</v>
      </c>
      <c r="G1889" s="169" t="s">
        <v>349</v>
      </c>
      <c r="I1889" s="169" t="str">
        <f t="shared" si="120"/>
        <v>L06_GHV_034W_DW</v>
      </c>
      <c r="J1889" s="169" t="s">
        <v>9579</v>
      </c>
      <c r="K1889" s="169">
        <f>IFERROR(MATCH(J1889,'Final List'!$B$4:$B$252,0),0)</f>
        <v>0</v>
      </c>
      <c r="L1889" s="169">
        <f>IFERROR(MATCH(J1889,'Final List'!$D$4:$D$252,0),0)</f>
        <v>0</v>
      </c>
      <c r="M1889" s="169">
        <f>IFERROR(MATCH(J1889,'Final List'!$F$4:$F$251,0),0)</f>
        <v>0</v>
      </c>
      <c r="N1889" s="169">
        <f>IFERROR(MATCH(J1889,'Final List'!$H$4:$H$252,0),0)</f>
        <v>0</v>
      </c>
      <c r="O1889" s="169">
        <f>IFERROR(MATCH(J1889,'Final List'!$J$4:$J$252,0),0)</f>
        <v>0</v>
      </c>
      <c r="P1889" s="169">
        <f>IFERROR(MATCH(J1889,'Final List'!$L$4:$L$252,0),0)</f>
        <v>0</v>
      </c>
      <c r="Q1889" s="169">
        <f>IFERROR(MATCH(J1889,'Final List'!$N$4:$N$252,0),0)</f>
        <v>0</v>
      </c>
      <c r="R1889" s="169">
        <f>IFERROR(MATCH(J1889,'Final List'!$P$4:$P$252,0),0)</f>
        <v>0</v>
      </c>
      <c r="S1889" s="169">
        <f t="shared" si="119"/>
        <v>0</v>
      </c>
      <c r="V1889" s="169" t="str">
        <f t="shared" si="117"/>
        <v>QUIJANO 2</v>
      </c>
      <c r="W1889" s="169" t="s">
        <v>8895</v>
      </c>
    </row>
    <row r="1890" spans="2:23" x14ac:dyDescent="0.25">
      <c r="B1890" s="169" t="s">
        <v>96</v>
      </c>
      <c r="C1890" s="169" t="s">
        <v>45</v>
      </c>
      <c r="D1890" s="169" t="s">
        <v>148</v>
      </c>
      <c r="E1890" s="169" t="s">
        <v>36</v>
      </c>
      <c r="F1890" s="245" t="str">
        <f t="shared" si="118"/>
        <v>StpS 77</v>
      </c>
      <c r="G1890" s="169" t="s">
        <v>9422</v>
      </c>
      <c r="H1890" s="169" t="s">
        <v>337</v>
      </c>
      <c r="I1890" s="169" t="str">
        <f t="shared" si="120"/>
        <v>L09_DPVE_039E_STOPE</v>
      </c>
      <c r="J1890" s="169" t="s">
        <v>9802</v>
      </c>
      <c r="K1890" s="169">
        <f>IFERROR(MATCH(J1890,'Final List'!$B$4:$B$252,0),0)</f>
        <v>0</v>
      </c>
      <c r="L1890" s="169">
        <f>IFERROR(MATCH(J1890,'Final List'!$D$4:$D$252,0),0)</f>
        <v>0</v>
      </c>
      <c r="M1890" s="169">
        <f>IFERROR(MATCH(J1890,'Final List'!$F$4:$F$251,0),0)</f>
        <v>0</v>
      </c>
      <c r="N1890" s="169">
        <f>IFERROR(MATCH(J1890,'Final List'!$H$4:$H$252,0),0)</f>
        <v>0</v>
      </c>
      <c r="O1890" s="169">
        <f>IFERROR(MATCH(J1890,'Final List'!$J$4:$J$252,0),0)</f>
        <v>0</v>
      </c>
      <c r="P1890" s="169">
        <f>IFERROR(MATCH(J1890,'Final List'!$L$4:$L$252,0),0)</f>
        <v>0</v>
      </c>
      <c r="Q1890" s="169">
        <f>IFERROR(MATCH(J1890,'Final List'!$N$4:$N$252,0),0)</f>
        <v>0</v>
      </c>
      <c r="R1890" s="169">
        <f>IFERROR(MATCH(J1890,'Final List'!$P$4:$P$252,0),0)</f>
        <v>0</v>
      </c>
      <c r="S1890" s="169">
        <f t="shared" si="119"/>
        <v>0</v>
      </c>
      <c r="T1890" s="169" t="s">
        <v>68</v>
      </c>
      <c r="V1890" s="169" t="str">
        <f t="shared" si="117"/>
        <v>BALANGHIG 2</v>
      </c>
      <c r="W1890" s="169" t="s">
        <v>2713</v>
      </c>
    </row>
    <row r="1891" spans="2:23" x14ac:dyDescent="0.25">
      <c r="B1891" s="169" t="s">
        <v>91</v>
      </c>
      <c r="C1891" s="169" t="s">
        <v>55</v>
      </c>
      <c r="D1891" s="169" t="s">
        <v>162</v>
      </c>
      <c r="E1891" s="169" t="s">
        <v>62</v>
      </c>
      <c r="F1891" s="245" t="str">
        <f t="shared" si="118"/>
        <v>RobS 79</v>
      </c>
      <c r="G1891" s="169" t="s">
        <v>7876</v>
      </c>
      <c r="I1891" s="169" t="str">
        <f t="shared" si="120"/>
        <v>L04_JVFW_008E_ROBBING</v>
      </c>
      <c r="J1891" s="169" t="s">
        <v>9587</v>
      </c>
      <c r="K1891" s="169">
        <f>IFERROR(MATCH(J1891,'Final List'!$B$4:$B$252,0),0)</f>
        <v>0</v>
      </c>
      <c r="L1891" s="169">
        <f>IFERROR(MATCH(J1891,'Final List'!$D$4:$D$252,0),0)</f>
        <v>0</v>
      </c>
      <c r="M1891" s="169">
        <f>IFERROR(MATCH(J1891,'Final List'!$F$4:$F$251,0),0)</f>
        <v>0</v>
      </c>
      <c r="N1891" s="169">
        <f>IFERROR(MATCH(J1891,'Final List'!$H$4:$H$252,0),0)</f>
        <v>0</v>
      </c>
      <c r="O1891" s="169">
        <f>IFERROR(MATCH(J1891,'Final List'!$J$4:$J$252,0),0)</f>
        <v>0</v>
      </c>
      <c r="P1891" s="169">
        <f>IFERROR(MATCH(J1891,'Final List'!$L$4:$L$252,0),0)</f>
        <v>0</v>
      </c>
      <c r="Q1891" s="169">
        <f>IFERROR(MATCH(J1891,'Final List'!$N$4:$N$252,0),0)</f>
        <v>0</v>
      </c>
      <c r="R1891" s="169">
        <f>IFERROR(MATCH(J1891,'Final List'!$P$4:$P$252,0),0)</f>
        <v>0</v>
      </c>
      <c r="S1891" s="169">
        <f t="shared" si="119"/>
        <v>0</v>
      </c>
      <c r="T1891" s="169" t="s">
        <v>68</v>
      </c>
      <c r="V1891" s="169" t="str">
        <f t="shared" si="117"/>
        <v>SHEPHERD AL 2</v>
      </c>
      <c r="W1891" s="169" t="s">
        <v>2707</v>
      </c>
    </row>
    <row r="1892" spans="2:23" x14ac:dyDescent="0.25">
      <c r="B1892" s="169" t="s">
        <v>258</v>
      </c>
      <c r="C1892" s="169" t="s">
        <v>56</v>
      </c>
      <c r="D1892" s="169" t="s">
        <v>178</v>
      </c>
      <c r="E1892" s="169" t="s">
        <v>60</v>
      </c>
      <c r="F1892" s="245" t="str">
        <f t="shared" si="118"/>
        <v>Dhoz 71</v>
      </c>
      <c r="G1892" s="169" t="s">
        <v>372</v>
      </c>
      <c r="I1892" s="169" t="str">
        <f t="shared" si="120"/>
        <v>L10_GHVFW_048E_DE</v>
      </c>
      <c r="J1892" s="169" t="s">
        <v>9594</v>
      </c>
      <c r="K1892" s="169">
        <f>IFERROR(MATCH(J1892,'Final List'!$B$4:$B$252,0),0)</f>
        <v>0</v>
      </c>
      <c r="L1892" s="169">
        <f>IFERROR(MATCH(J1892,'Final List'!$D$4:$D$252,0),0)</f>
        <v>0</v>
      </c>
      <c r="M1892" s="169">
        <f>IFERROR(MATCH(J1892,'Final List'!$F$4:$F$251,0),0)</f>
        <v>0</v>
      </c>
      <c r="N1892" s="169">
        <f>IFERROR(MATCH(J1892,'Final List'!$H$4:$H$252,0),0)</f>
        <v>0</v>
      </c>
      <c r="O1892" s="169">
        <f>IFERROR(MATCH(J1892,'Final List'!$J$4:$J$252,0),0)</f>
        <v>0</v>
      </c>
      <c r="P1892" s="169">
        <f>IFERROR(MATCH(J1892,'Final List'!$L$4:$L$252,0),0)</f>
        <v>0</v>
      </c>
      <c r="Q1892" s="169">
        <f>IFERROR(MATCH(J1892,'Final List'!$N$4:$N$252,0),0)</f>
        <v>0</v>
      </c>
      <c r="R1892" s="169">
        <f>IFERROR(MATCH(J1892,'Final List'!$P$4:$P$252,0),0)</f>
        <v>0</v>
      </c>
      <c r="S1892" s="169">
        <f t="shared" si="119"/>
        <v>0</v>
      </c>
      <c r="V1892" s="169" t="str">
        <f t="shared" si="117"/>
        <v>TAÑEZA 4</v>
      </c>
      <c r="W1892" s="169" t="s">
        <v>8896</v>
      </c>
    </row>
    <row r="1893" spans="2:23" x14ac:dyDescent="0.25">
      <c r="B1893" s="169" t="s">
        <v>258</v>
      </c>
      <c r="C1893" s="169" t="s">
        <v>56</v>
      </c>
      <c r="D1893" s="169" t="s">
        <v>177</v>
      </c>
      <c r="E1893" s="169" t="s">
        <v>19</v>
      </c>
      <c r="F1893" s="245" t="str">
        <f t="shared" si="118"/>
        <v>DVR 72</v>
      </c>
      <c r="G1893" s="169" t="s">
        <v>5701</v>
      </c>
      <c r="I1893" s="169" t="str">
        <f t="shared" si="120"/>
        <v>L10_GHVFW_054E_RAISE</v>
      </c>
      <c r="J1893" s="169" t="s">
        <v>9706</v>
      </c>
      <c r="K1893" s="169">
        <f>IFERROR(MATCH(J1893,'Final List'!$B$4:$B$252,0),0)</f>
        <v>0</v>
      </c>
      <c r="L1893" s="169">
        <f>IFERROR(MATCH(J1893,'Final List'!$D$4:$D$252,0),0)</f>
        <v>0</v>
      </c>
      <c r="M1893" s="169">
        <f>IFERROR(MATCH(J1893,'Final List'!$F$4:$F$251,0),0)</f>
        <v>0</v>
      </c>
      <c r="N1893" s="169">
        <f>IFERROR(MATCH(J1893,'Final List'!$H$4:$H$252,0),0)</f>
        <v>0</v>
      </c>
      <c r="O1893" s="169">
        <f>IFERROR(MATCH(J1893,'Final List'!$J$4:$J$252,0),0)</f>
        <v>0</v>
      </c>
      <c r="P1893" s="169">
        <f>IFERROR(MATCH(J1893,'Final List'!$L$4:$L$252,0),0)</f>
        <v>0</v>
      </c>
      <c r="Q1893" s="169">
        <f>IFERROR(MATCH(J1893,'Final List'!$N$4:$N$252,0),0)</f>
        <v>0</v>
      </c>
      <c r="R1893" s="169">
        <f>IFERROR(MATCH(J1893,'Final List'!$P$4:$P$252,0),0)</f>
        <v>0</v>
      </c>
      <c r="S1893" s="169">
        <f t="shared" si="119"/>
        <v>0</v>
      </c>
      <c r="V1893" s="169" t="str">
        <f t="shared" si="117"/>
        <v>LARGO 2</v>
      </c>
      <c r="W1893" s="169" t="s">
        <v>2715</v>
      </c>
    </row>
    <row r="1894" spans="2:23" x14ac:dyDescent="0.25">
      <c r="B1894" s="169" t="s">
        <v>93</v>
      </c>
      <c r="C1894" s="169" t="s">
        <v>45</v>
      </c>
      <c r="D1894" s="169" t="s">
        <v>176</v>
      </c>
      <c r="E1894" s="169" t="s">
        <v>20</v>
      </c>
      <c r="F1894" s="245" t="str">
        <f t="shared" si="118"/>
        <v>DVW 74</v>
      </c>
      <c r="G1894" s="169" t="s">
        <v>350</v>
      </c>
      <c r="I1894" s="169" t="str">
        <f t="shared" si="120"/>
        <v>L06_DPVE_057E_WINZE</v>
      </c>
      <c r="J1894" s="169" t="s">
        <v>9597</v>
      </c>
      <c r="K1894" s="169">
        <f>IFERROR(MATCH(J1894,'Final List'!$B$4:$B$252,0),0)</f>
        <v>0</v>
      </c>
      <c r="L1894" s="169">
        <f>IFERROR(MATCH(J1894,'Final List'!$D$4:$D$252,0),0)</f>
        <v>0</v>
      </c>
      <c r="M1894" s="169">
        <f>IFERROR(MATCH(J1894,'Final List'!$F$4:$F$251,0),0)</f>
        <v>0</v>
      </c>
      <c r="N1894" s="169">
        <f>IFERROR(MATCH(J1894,'Final List'!$H$4:$H$252,0),0)</f>
        <v>0</v>
      </c>
      <c r="O1894" s="169">
        <f>IFERROR(MATCH(J1894,'Final List'!$J$4:$J$252,0),0)</f>
        <v>0</v>
      </c>
      <c r="P1894" s="169">
        <f>IFERROR(MATCH(J1894,'Final List'!$L$4:$L$252,0),0)</f>
        <v>0</v>
      </c>
      <c r="Q1894" s="169">
        <f>IFERROR(MATCH(J1894,'Final List'!$N$4:$N$252,0),0)</f>
        <v>0</v>
      </c>
      <c r="R1894" s="169">
        <f>IFERROR(MATCH(J1894,'Final List'!$P$4:$P$252,0),0)</f>
        <v>0</v>
      </c>
      <c r="S1894" s="169">
        <f t="shared" si="119"/>
        <v>0</v>
      </c>
      <c r="V1894" s="169" t="str">
        <f t="shared" si="117"/>
        <v>QUIJANO 1</v>
      </c>
      <c r="W1894" s="169" t="s">
        <v>2706</v>
      </c>
    </row>
    <row r="1895" spans="2:23" x14ac:dyDescent="0.25">
      <c r="B1895" s="169" t="s">
        <v>96</v>
      </c>
      <c r="C1895" s="169" t="s">
        <v>45</v>
      </c>
      <c r="D1895" s="169" t="s">
        <v>7025</v>
      </c>
      <c r="E1895" s="169" t="s">
        <v>62</v>
      </c>
      <c r="F1895" s="245" t="str">
        <f t="shared" si="118"/>
        <v>RobS 79</v>
      </c>
      <c r="G1895" s="169" t="s">
        <v>350</v>
      </c>
      <c r="H1895" s="169" t="s">
        <v>1510</v>
      </c>
      <c r="I1895" s="169" t="str">
        <f t="shared" si="120"/>
        <v>L09_DPVE_082E_ROBBING</v>
      </c>
      <c r="J1895" s="169" t="s">
        <v>9598</v>
      </c>
      <c r="K1895" s="169">
        <f>IFERROR(MATCH(J1895,'Final List'!$B$4:$B$252,0),0)</f>
        <v>0</v>
      </c>
      <c r="L1895" s="169">
        <f>IFERROR(MATCH(J1895,'Final List'!$D$4:$D$252,0),0)</f>
        <v>0</v>
      </c>
      <c r="M1895" s="169">
        <f>IFERROR(MATCH(J1895,'Final List'!$F$4:$F$251,0),0)</f>
        <v>0</v>
      </c>
      <c r="N1895" s="169">
        <f>IFERROR(MATCH(J1895,'Final List'!$H$4:$H$252,0),0)</f>
        <v>0</v>
      </c>
      <c r="O1895" s="169">
        <f>IFERROR(MATCH(J1895,'Final List'!$J$4:$J$252,0),0)</f>
        <v>0</v>
      </c>
      <c r="P1895" s="169">
        <f>IFERROR(MATCH(J1895,'Final List'!$L$4:$L$252,0),0)</f>
        <v>0</v>
      </c>
      <c r="Q1895" s="169">
        <f>IFERROR(MATCH(J1895,'Final List'!$N$4:$N$252,0),0)</f>
        <v>0</v>
      </c>
      <c r="R1895" s="169">
        <f>IFERROR(MATCH(J1895,'Final List'!$P$4:$P$252,0),0)</f>
        <v>0</v>
      </c>
      <c r="S1895" s="169">
        <f t="shared" si="119"/>
        <v>0</v>
      </c>
      <c r="T1895" s="169" t="s">
        <v>68</v>
      </c>
      <c r="V1895" s="169" t="str">
        <f t="shared" si="117"/>
        <v>DELOS REYES</v>
      </c>
      <c r="W1895" s="169" t="s">
        <v>2707</v>
      </c>
    </row>
    <row r="1896" spans="2:23" x14ac:dyDescent="0.25">
      <c r="B1896" s="169" t="s">
        <v>91</v>
      </c>
      <c r="C1896" s="169" t="s">
        <v>59</v>
      </c>
      <c r="D1896" s="169" t="s">
        <v>9599</v>
      </c>
      <c r="E1896" s="169" t="s">
        <v>62</v>
      </c>
      <c r="F1896" s="245" t="str">
        <f t="shared" si="118"/>
        <v>RobS 79</v>
      </c>
      <c r="G1896" s="169" t="s">
        <v>9350</v>
      </c>
      <c r="I1896" s="169" t="str">
        <f t="shared" si="120"/>
        <v>L04_GHVHW_050W_ROBBING</v>
      </c>
      <c r="J1896" s="169" t="s">
        <v>9596</v>
      </c>
      <c r="K1896" s="169">
        <f>IFERROR(MATCH(J1896,'Final List'!$B$4:$B$252,0),0)</f>
        <v>0</v>
      </c>
      <c r="L1896" s="169">
        <f>IFERROR(MATCH(J1896,'Final List'!$D$4:$D$252,0),0)</f>
        <v>0</v>
      </c>
      <c r="M1896" s="169">
        <f>IFERROR(MATCH(J1896,'Final List'!$F$4:$F$251,0),0)</f>
        <v>0</v>
      </c>
      <c r="N1896" s="169">
        <f>IFERROR(MATCH(J1896,'Final List'!$H$4:$H$252,0),0)</f>
        <v>0</v>
      </c>
      <c r="O1896" s="169">
        <f>IFERROR(MATCH(J1896,'Final List'!$J$4:$J$252,0),0)</f>
        <v>0</v>
      </c>
      <c r="P1896" s="169">
        <f>IFERROR(MATCH(J1896,'Final List'!$L$4:$L$252,0),0)</f>
        <v>0</v>
      </c>
      <c r="Q1896" s="169">
        <f>IFERROR(MATCH(J1896,'Final List'!$N$4:$N$252,0),0)</f>
        <v>0</v>
      </c>
      <c r="R1896" s="169">
        <f>IFERROR(MATCH(J1896,'Final List'!$P$4:$P$252,0),0)</f>
        <v>0</v>
      </c>
      <c r="S1896" s="169">
        <f t="shared" si="119"/>
        <v>0</v>
      </c>
      <c r="T1896" s="169" t="s">
        <v>68</v>
      </c>
      <c r="V1896" s="169" t="str">
        <f t="shared" si="117"/>
        <v>SHEPHERD AQ 1</v>
      </c>
      <c r="W1896" s="169" t="s">
        <v>2707</v>
      </c>
    </row>
    <row r="1897" spans="2:23" x14ac:dyDescent="0.25">
      <c r="B1897" s="169" t="s">
        <v>95</v>
      </c>
      <c r="C1897" s="169" t="s">
        <v>45</v>
      </c>
      <c r="D1897" s="169" t="s">
        <v>870</v>
      </c>
      <c r="E1897" s="169" t="s">
        <v>221</v>
      </c>
      <c r="F1897" s="245" t="str">
        <f t="shared" si="118"/>
        <v>RobC 80</v>
      </c>
      <c r="G1897" s="169" t="s">
        <v>6925</v>
      </c>
      <c r="I1897" s="169" t="str">
        <f t="shared" si="120"/>
        <v>L08_DPVE_073E_WINZE STOPE</v>
      </c>
      <c r="J1897" s="169" t="s">
        <v>9601</v>
      </c>
      <c r="K1897" s="169">
        <f>IFERROR(MATCH(J1897,'Final List'!$B$4:$B$252,0),0)</f>
        <v>0</v>
      </c>
      <c r="L1897" s="169">
        <f>IFERROR(MATCH(J1897,'Final List'!$D$4:$D$252,0),0)</f>
        <v>0</v>
      </c>
      <c r="M1897" s="169">
        <f>IFERROR(MATCH(J1897,'Final List'!$F$4:$F$251,0),0)</f>
        <v>0</v>
      </c>
      <c r="N1897" s="169">
        <f>IFERROR(MATCH(J1897,'Final List'!$H$4:$H$252,0),0)</f>
        <v>0</v>
      </c>
      <c r="O1897" s="169">
        <f>IFERROR(MATCH(J1897,'Final List'!$J$4:$J$252,0),0)</f>
        <v>0</v>
      </c>
      <c r="P1897" s="169">
        <f>IFERROR(MATCH(J1897,'Final List'!$L$4:$L$252,0),0)</f>
        <v>0</v>
      </c>
      <c r="Q1897" s="169">
        <f>IFERROR(MATCH(J1897,'Final List'!$N$4:$N$252,0),0)</f>
        <v>0</v>
      </c>
      <c r="R1897" s="169">
        <f>IFERROR(MATCH(J1897,'Final List'!$P$4:$P$252,0),0)</f>
        <v>0</v>
      </c>
      <c r="S1897" s="169">
        <f t="shared" si="119"/>
        <v>0</v>
      </c>
      <c r="T1897" s="169" t="s">
        <v>68</v>
      </c>
      <c r="V1897" s="169" t="str">
        <f t="shared" si="117"/>
        <v>CAPUYAN 1</v>
      </c>
      <c r="W1897" s="169" t="s">
        <v>2719</v>
      </c>
    </row>
    <row r="1898" spans="2:23" x14ac:dyDescent="0.25">
      <c r="B1898" s="169" t="s">
        <v>95</v>
      </c>
      <c r="C1898" s="169" t="s">
        <v>57</v>
      </c>
      <c r="D1898" s="169" t="s">
        <v>119</v>
      </c>
      <c r="E1898" s="169" t="s">
        <v>19</v>
      </c>
      <c r="F1898" s="245" t="str">
        <f t="shared" si="118"/>
        <v>DVR 72</v>
      </c>
      <c r="G1898" s="169" t="s">
        <v>6936</v>
      </c>
      <c r="I1898" s="169" t="str">
        <f t="shared" si="120"/>
        <v>L08_JVSPLIT_012E_RAISE</v>
      </c>
      <c r="J1898" s="169" t="s">
        <v>9602</v>
      </c>
      <c r="K1898" s="169">
        <f>IFERROR(MATCH(J1898,'Final List'!$B$4:$B$252,0),0)</f>
        <v>0</v>
      </c>
      <c r="L1898" s="169">
        <f>IFERROR(MATCH(J1898,'Final List'!$D$4:$D$252,0),0)</f>
        <v>0</v>
      </c>
      <c r="M1898" s="169">
        <f>IFERROR(MATCH(J1898,'Final List'!$F$4:$F$251,0),0)</f>
        <v>0</v>
      </c>
      <c r="N1898" s="169">
        <f>IFERROR(MATCH(J1898,'Final List'!$H$4:$H$252,0),0)</f>
        <v>0</v>
      </c>
      <c r="O1898" s="169">
        <f>IFERROR(MATCH(J1898,'Final List'!$J$4:$J$252,0),0)</f>
        <v>0</v>
      </c>
      <c r="P1898" s="169">
        <f>IFERROR(MATCH(J1898,'Final List'!$L$4:$L$252,0),0)</f>
        <v>0</v>
      </c>
      <c r="Q1898" s="169">
        <f>IFERROR(MATCH(J1898,'Final List'!$N$4:$N$252,0),0)</f>
        <v>0</v>
      </c>
      <c r="R1898" s="169">
        <f>IFERROR(MATCH(J1898,'Final List'!$P$4:$P$252,0),0)</f>
        <v>0</v>
      </c>
      <c r="S1898" s="169">
        <f t="shared" si="119"/>
        <v>0</v>
      </c>
      <c r="V1898" s="169" t="str">
        <f t="shared" si="117"/>
        <v>OSWAY 1</v>
      </c>
      <c r="W1898" s="169" t="s">
        <v>2715</v>
      </c>
    </row>
    <row r="1899" spans="2:23" x14ac:dyDescent="0.25">
      <c r="B1899" s="169" t="s">
        <v>258</v>
      </c>
      <c r="C1899" s="169" t="s">
        <v>56</v>
      </c>
      <c r="D1899" s="169" t="s">
        <v>218</v>
      </c>
      <c r="E1899" s="169" t="s">
        <v>36</v>
      </c>
      <c r="F1899" s="245" t="str">
        <f t="shared" si="118"/>
        <v>StpS 77</v>
      </c>
      <c r="G1899" s="169" t="s">
        <v>303</v>
      </c>
      <c r="I1899" s="169" t="str">
        <f t="shared" si="120"/>
        <v>L10_GHVFW_062E_STOPE</v>
      </c>
      <c r="J1899" s="169" t="s">
        <v>9605</v>
      </c>
      <c r="K1899" s="169">
        <f>IFERROR(MATCH(J1899,'Final List'!$B$4:$B$252,0),0)</f>
        <v>0</v>
      </c>
      <c r="L1899" s="169">
        <f>IFERROR(MATCH(J1899,'Final List'!$D$4:$D$252,0),0)</f>
        <v>0</v>
      </c>
      <c r="M1899" s="169">
        <f>IFERROR(MATCH(J1899,'Final List'!$F$4:$F$251,0),0)</f>
        <v>0</v>
      </c>
      <c r="N1899" s="169">
        <f>IFERROR(MATCH(J1899,'Final List'!$H$4:$H$252,0),0)</f>
        <v>0</v>
      </c>
      <c r="O1899" s="169">
        <f>IFERROR(MATCH(J1899,'Final List'!$J$4:$J$252,0),0)</f>
        <v>0</v>
      </c>
      <c r="P1899" s="169">
        <f>IFERROR(MATCH(J1899,'Final List'!$L$4:$L$252,0),0)</f>
        <v>0</v>
      </c>
      <c r="Q1899" s="169">
        <f>IFERROR(MATCH(J1899,'Final List'!$N$4:$N$252,0),0)</f>
        <v>0</v>
      </c>
      <c r="R1899" s="169">
        <f>IFERROR(MATCH(J1899,'Final List'!$P$4:$P$252,0),0)</f>
        <v>0</v>
      </c>
      <c r="S1899" s="169">
        <f t="shared" si="119"/>
        <v>0</v>
      </c>
      <c r="T1899" s="169" t="s">
        <v>68</v>
      </c>
      <c r="V1899" s="169" t="str">
        <f t="shared" si="117"/>
        <v>BELICAN 1</v>
      </c>
      <c r="W1899" s="169" t="s">
        <v>2713</v>
      </c>
    </row>
    <row r="1900" spans="2:23" x14ac:dyDescent="0.25">
      <c r="B1900" s="169" t="s">
        <v>96</v>
      </c>
      <c r="C1900" s="169" t="s">
        <v>42</v>
      </c>
      <c r="D1900" s="169" t="s">
        <v>5781</v>
      </c>
      <c r="E1900" s="169" t="s">
        <v>62</v>
      </c>
      <c r="F1900" s="245" t="str">
        <f t="shared" si="118"/>
        <v>RobS 79</v>
      </c>
      <c r="G1900" t="s">
        <v>349</v>
      </c>
      <c r="I1900" s="169" t="str">
        <f t="shared" si="120"/>
        <v>L09_JV_051E_ROBBING</v>
      </c>
      <c r="J1900" s="169" t="s">
        <v>9611</v>
      </c>
      <c r="K1900" s="169">
        <f>IFERROR(MATCH(J1900,'Final List'!$B$4:$B$252,0),0)</f>
        <v>0</v>
      </c>
      <c r="L1900" s="169">
        <f>IFERROR(MATCH(J1900,'Final List'!$D$4:$D$252,0),0)</f>
        <v>0</v>
      </c>
      <c r="M1900" s="169">
        <f>IFERROR(MATCH(J1900,'Final List'!$F$4:$F$251,0),0)</f>
        <v>0</v>
      </c>
      <c r="N1900" s="169">
        <f>IFERROR(MATCH(J1900,'Final List'!$H$4:$H$252,0),0)</f>
        <v>0</v>
      </c>
      <c r="O1900" s="169">
        <f>IFERROR(MATCH(J1900,'Final List'!$J$4:$J$252,0),0)</f>
        <v>0</v>
      </c>
      <c r="P1900" s="169">
        <f>IFERROR(MATCH(J1900,'Final List'!$L$4:$L$252,0),0)</f>
        <v>0</v>
      </c>
      <c r="Q1900" s="169">
        <f>IFERROR(MATCH(J1900,'Final List'!$N$4:$N$252,0),0)</f>
        <v>0</v>
      </c>
      <c r="R1900" s="169">
        <f>IFERROR(MATCH(J1900,'Final List'!$P$4:$P$252,0),0)</f>
        <v>109</v>
      </c>
      <c r="S1900" s="169">
        <f t="shared" si="119"/>
        <v>109</v>
      </c>
      <c r="T1900" s="169" t="s">
        <v>68</v>
      </c>
      <c r="V1900" s="169" t="str">
        <f t="shared" si="117"/>
        <v>QUIJANO 2</v>
      </c>
      <c r="W1900" s="169" t="s">
        <v>2707</v>
      </c>
    </row>
    <row r="1901" spans="2:23" x14ac:dyDescent="0.25">
      <c r="B1901" s="169" t="s">
        <v>96</v>
      </c>
      <c r="C1901" s="169" t="s">
        <v>45</v>
      </c>
      <c r="D1901" s="169" t="s">
        <v>146</v>
      </c>
      <c r="E1901" s="169" t="s">
        <v>61</v>
      </c>
      <c r="F1901" s="245" t="str">
        <f t="shared" si="118"/>
        <v>Dhoz 71</v>
      </c>
      <c r="G1901" s="169" t="s">
        <v>9412</v>
      </c>
      <c r="I1901" s="169" t="str">
        <f t="shared" si="120"/>
        <v>L09_DPVE_030E_DW</v>
      </c>
      <c r="J1901" s="169" t="s">
        <v>9612</v>
      </c>
      <c r="K1901" s="169">
        <f>IFERROR(MATCH(J1901,'Final List'!$B$4:$B$252,0),0)</f>
        <v>0</v>
      </c>
      <c r="L1901" s="169">
        <f>IFERROR(MATCH(J1901,'Final List'!$D$4:$D$252,0),0)</f>
        <v>0</v>
      </c>
      <c r="M1901" s="169">
        <f>IFERROR(MATCH(J1901,'Final List'!$F$4:$F$251,0),0)</f>
        <v>0</v>
      </c>
      <c r="N1901" s="169">
        <f>IFERROR(MATCH(J1901,'Final List'!$H$4:$H$252,0),0)</f>
        <v>0</v>
      </c>
      <c r="O1901" s="169">
        <f>IFERROR(MATCH(J1901,'Final List'!$J$4:$J$252,0),0)</f>
        <v>0</v>
      </c>
      <c r="P1901" s="169">
        <f>IFERROR(MATCH(J1901,'Final List'!$L$4:$L$252,0),0)</f>
        <v>0</v>
      </c>
      <c r="Q1901" s="169">
        <f>IFERROR(MATCH(J1901,'Final List'!$N$4:$N$252,0),0)</f>
        <v>0</v>
      </c>
      <c r="R1901" s="169">
        <f>IFERROR(MATCH(J1901,'Final List'!$P$4:$P$252,0),0)</f>
        <v>0</v>
      </c>
      <c r="S1901" s="169">
        <f t="shared" si="119"/>
        <v>0</v>
      </c>
      <c r="V1901" s="169" t="str">
        <f t="shared" si="117"/>
        <v xml:space="preserve">DELOS REYES V1 </v>
      </c>
      <c r="W1901" s="169" t="s">
        <v>8896</v>
      </c>
    </row>
    <row r="1902" spans="2:23" x14ac:dyDescent="0.25">
      <c r="B1902" s="169" t="s">
        <v>93</v>
      </c>
      <c r="C1902" s="169" t="s">
        <v>38</v>
      </c>
      <c r="D1902" s="169" t="s">
        <v>102</v>
      </c>
      <c r="E1902" s="169" t="s">
        <v>62</v>
      </c>
      <c r="F1902" s="245" t="str">
        <f t="shared" si="118"/>
        <v>RobS 79</v>
      </c>
      <c r="G1902" s="169" t="s">
        <v>349</v>
      </c>
      <c r="I1902" s="169" t="str">
        <f t="shared" si="120"/>
        <v>L06_GHV_034W_ROBBING</v>
      </c>
      <c r="J1902" s="169" t="s">
        <v>9613</v>
      </c>
      <c r="K1902" s="169">
        <f>IFERROR(MATCH(J1902,'Final List'!$B$4:$B$252,0),0)</f>
        <v>0</v>
      </c>
      <c r="L1902" s="169">
        <f>IFERROR(MATCH(J1902,'Final List'!$D$4:$D$252,0),0)</f>
        <v>0</v>
      </c>
      <c r="M1902" s="169">
        <f>IFERROR(MATCH(J1902,'Final List'!$F$4:$F$251,0),0)</f>
        <v>0</v>
      </c>
      <c r="N1902" s="169">
        <f>IFERROR(MATCH(J1902,'Final List'!$H$4:$H$252,0),0)</f>
        <v>0</v>
      </c>
      <c r="O1902" s="169">
        <f>IFERROR(MATCH(J1902,'Final List'!$J$4:$J$252,0),0)</f>
        <v>0</v>
      </c>
      <c r="P1902" s="169">
        <f>IFERROR(MATCH(J1902,'Final List'!$L$4:$L$252,0),0)</f>
        <v>0</v>
      </c>
      <c r="Q1902" s="169">
        <f>IFERROR(MATCH(J1902,'Final List'!$N$4:$N$252,0),0)</f>
        <v>0</v>
      </c>
      <c r="R1902" s="169">
        <f>IFERROR(MATCH(J1902,'Final List'!$P$4:$P$252,0),0)</f>
        <v>0</v>
      </c>
      <c r="S1902" s="169">
        <f t="shared" si="119"/>
        <v>0</v>
      </c>
      <c r="T1902" s="169" t="s">
        <v>68</v>
      </c>
      <c r="V1902" s="169" t="str">
        <f t="shared" si="117"/>
        <v>QUIJANO 2</v>
      </c>
      <c r="W1902" s="169" t="s">
        <v>2707</v>
      </c>
    </row>
    <row r="1903" spans="2:23" x14ac:dyDescent="0.25">
      <c r="B1903" s="169" t="s">
        <v>92</v>
      </c>
      <c r="C1903" s="169" t="s">
        <v>42</v>
      </c>
      <c r="D1903" s="169" t="s">
        <v>111</v>
      </c>
      <c r="E1903" s="169" t="s">
        <v>20</v>
      </c>
      <c r="F1903" s="245" t="str">
        <f t="shared" si="118"/>
        <v>DVW 74</v>
      </c>
      <c r="G1903" s="169" t="s">
        <v>5698</v>
      </c>
      <c r="I1903" s="169" t="str">
        <f t="shared" si="120"/>
        <v>L05_JV_004W_WINZE</v>
      </c>
      <c r="J1903" s="169" t="s">
        <v>9615</v>
      </c>
      <c r="K1903" s="169">
        <f>IFERROR(MATCH(J1903,'Final List'!$B$4:$B$252,0),0)</f>
        <v>0</v>
      </c>
      <c r="L1903" s="169">
        <f>IFERROR(MATCH(J1903,'Final List'!$D$4:$D$252,0),0)</f>
        <v>0</v>
      </c>
      <c r="M1903" s="169">
        <f>IFERROR(MATCH(J1903,'Final List'!$F$4:$F$251,0),0)</f>
        <v>0</v>
      </c>
      <c r="N1903" s="169">
        <f>IFERROR(MATCH(J1903,'Final List'!$H$4:$H$252,0),0)</f>
        <v>0</v>
      </c>
      <c r="O1903" s="169">
        <f>IFERROR(MATCH(J1903,'Final List'!$J$4:$J$252,0),0)</f>
        <v>0</v>
      </c>
      <c r="P1903" s="169">
        <f>IFERROR(MATCH(J1903,'Final List'!$L$4:$L$252,0),0)</f>
        <v>0</v>
      </c>
      <c r="Q1903" s="169">
        <f>IFERROR(MATCH(J1903,'Final List'!$N$4:$N$252,0),0)</f>
        <v>0</v>
      </c>
      <c r="R1903" s="169">
        <f>IFERROR(MATCH(J1903,'Final List'!$P$4:$P$252,0),0)</f>
        <v>0</v>
      </c>
      <c r="S1903" s="169">
        <f t="shared" si="119"/>
        <v>0</v>
      </c>
      <c r="V1903" s="169" t="str">
        <f t="shared" si="117"/>
        <v>PARAN 1</v>
      </c>
      <c r="W1903" s="169" t="s">
        <v>2706</v>
      </c>
    </row>
    <row r="1904" spans="2:23" x14ac:dyDescent="0.25">
      <c r="B1904" s="169" t="s">
        <v>94</v>
      </c>
      <c r="C1904" s="169" t="s">
        <v>39</v>
      </c>
      <c r="D1904" s="169" t="s">
        <v>180</v>
      </c>
      <c r="E1904" s="169" t="s">
        <v>62</v>
      </c>
      <c r="F1904" s="245" t="str">
        <f t="shared" si="118"/>
        <v>RobS 79</v>
      </c>
      <c r="G1904" s="169" t="s">
        <v>344</v>
      </c>
      <c r="I1904" s="169" t="s">
        <v>9643</v>
      </c>
      <c r="J1904" s="169" t="s">
        <v>9643</v>
      </c>
      <c r="K1904" s="169">
        <f>IFERROR(MATCH(J1904,'Final List'!$B$4:$B$252,0),0)</f>
        <v>0</v>
      </c>
      <c r="L1904" s="169">
        <f>IFERROR(MATCH(J1904,'Final List'!$D$4:$D$252,0),0)</f>
        <v>0</v>
      </c>
      <c r="M1904" s="169">
        <f>IFERROR(MATCH(J1904,'Final List'!$F$4:$F$251,0),0)</f>
        <v>0</v>
      </c>
      <c r="N1904" s="169">
        <f>IFERROR(MATCH(J1904,'Final List'!$H$4:$H$252,0),0)</f>
        <v>0</v>
      </c>
      <c r="O1904" s="169">
        <f>IFERROR(MATCH(J1904,'Final List'!$J$4:$J$252,0),0)</f>
        <v>0</v>
      </c>
      <c r="P1904" s="169">
        <f>IFERROR(MATCH(J1904,'Final List'!$L$4:$L$252,0),0)</f>
        <v>0</v>
      </c>
      <c r="Q1904" s="169">
        <f>IFERROR(MATCH(J1904,'Final List'!$N$4:$N$252,0),0)</f>
        <v>0</v>
      </c>
      <c r="R1904" s="169">
        <f>IFERROR(MATCH(J1904,'Final List'!$P$4:$P$252,0),0)</f>
        <v>0</v>
      </c>
      <c r="S1904" s="169">
        <f t="shared" si="119"/>
        <v>0</v>
      </c>
      <c r="T1904" s="169" t="s">
        <v>68</v>
      </c>
      <c r="V1904" s="169" t="str">
        <f t="shared" si="117"/>
        <v>UDLOS 1</v>
      </c>
      <c r="W1904" s="169" t="s">
        <v>2707</v>
      </c>
    </row>
    <row r="1905" spans="2:23" x14ac:dyDescent="0.25">
      <c r="B1905" s="169" t="s">
        <v>92</v>
      </c>
      <c r="C1905" s="169" t="s">
        <v>45</v>
      </c>
      <c r="D1905" s="169" t="s">
        <v>135</v>
      </c>
      <c r="E1905" s="169" t="s">
        <v>62</v>
      </c>
      <c r="F1905" s="245" t="str">
        <f t="shared" si="118"/>
        <v>RobS 79</v>
      </c>
      <c r="G1905" s="169" t="s">
        <v>1577</v>
      </c>
      <c r="I1905" s="169" t="str">
        <f t="shared" ref="I1905:I1968" si="121">CONCATENATE(B1905,"_",C1905,"_",D1905,"_",E1905)</f>
        <v>L05_DPVE_034E_ROBBING</v>
      </c>
      <c r="J1905" s="169" t="s">
        <v>9625</v>
      </c>
      <c r="K1905" s="169">
        <f>IFERROR(MATCH(J1905,'Final List'!$B$4:$B$252,0),0)</f>
        <v>0</v>
      </c>
      <c r="L1905" s="169">
        <f>IFERROR(MATCH(J1905,'Final List'!$D$4:$D$252,0),0)</f>
        <v>0</v>
      </c>
      <c r="M1905" s="169">
        <f>IFERROR(MATCH(J1905,'Final List'!$F$4:$F$251,0),0)</f>
        <v>0</v>
      </c>
      <c r="N1905" s="169">
        <f>IFERROR(MATCH(J1905,'Final List'!$H$4:$H$252,0),0)</f>
        <v>0</v>
      </c>
      <c r="O1905" s="169">
        <f>IFERROR(MATCH(J1905,'Final List'!$J$4:$J$252,0),0)</f>
        <v>0</v>
      </c>
      <c r="P1905" s="169">
        <f>IFERROR(MATCH(J1905,'Final List'!$L$4:$L$252,0),0)</f>
        <v>0</v>
      </c>
      <c r="Q1905" s="169">
        <f>IFERROR(MATCH(J1905,'Final List'!$N$4:$N$252,0),0)</f>
        <v>0</v>
      </c>
      <c r="R1905" s="169">
        <f>IFERROR(MATCH(J1905,'Final List'!$P$4:$P$252,0),0)</f>
        <v>0</v>
      </c>
      <c r="S1905" s="169">
        <f t="shared" si="119"/>
        <v>0</v>
      </c>
      <c r="T1905" s="169" t="s">
        <v>68</v>
      </c>
      <c r="V1905" s="169" t="str">
        <f t="shared" si="117"/>
        <v>PANCIT, NOEL 2</v>
      </c>
      <c r="W1905" s="169" t="s">
        <v>2707</v>
      </c>
    </row>
    <row r="1906" spans="2:23" x14ac:dyDescent="0.25">
      <c r="B1906" s="169" t="s">
        <v>95</v>
      </c>
      <c r="C1906" s="169" t="s">
        <v>38</v>
      </c>
      <c r="D1906" s="169" t="s">
        <v>5689</v>
      </c>
      <c r="E1906" s="169" t="s">
        <v>221</v>
      </c>
      <c r="F1906" s="245" t="str">
        <f t="shared" si="118"/>
        <v>RobC 80</v>
      </c>
      <c r="G1906" s="169" t="s">
        <v>472</v>
      </c>
      <c r="I1906" s="169" t="str">
        <f t="shared" si="121"/>
        <v>L08_GHV_003E_WINZE STOPE</v>
      </c>
      <c r="J1906" s="169" t="s">
        <v>9761</v>
      </c>
      <c r="K1906" s="169">
        <f>IFERROR(MATCH(J1906,'Final List'!$B$4:$B$252,0),0)</f>
        <v>0</v>
      </c>
      <c r="L1906" s="169">
        <f>IFERROR(MATCH(J1906,'Final List'!$D$4:$D$252,0),0)</f>
        <v>0</v>
      </c>
      <c r="M1906" s="169">
        <f>IFERROR(MATCH(J1906,'Final List'!$F$4:$F$251,0),0)</f>
        <v>0</v>
      </c>
      <c r="N1906" s="169">
        <f>IFERROR(MATCH(J1906,'Final List'!$H$4:$H$252,0),0)</f>
        <v>0</v>
      </c>
      <c r="O1906" s="169">
        <f>IFERROR(MATCH(J1906,'Final List'!$J$4:$J$252,0),0)</f>
        <v>0</v>
      </c>
      <c r="P1906" s="169">
        <f>IFERROR(MATCH(J1906,'Final List'!$L$4:$L$252,0),0)</f>
        <v>0</v>
      </c>
      <c r="Q1906" s="169">
        <f>IFERROR(MATCH(J1906,'Final List'!$N$4:$N$252,0),0)</f>
        <v>0</v>
      </c>
      <c r="R1906" s="169">
        <f>IFERROR(MATCH(J1906,'Final List'!$P$4:$P$252,0),0)</f>
        <v>0</v>
      </c>
      <c r="S1906" s="169">
        <f t="shared" si="119"/>
        <v>0</v>
      </c>
      <c r="T1906" s="169" t="s">
        <v>68</v>
      </c>
      <c r="V1906" s="169" t="str">
        <f t="shared" si="117"/>
        <v>LERIO 3</v>
      </c>
      <c r="W1906" s="169" t="s">
        <v>2719</v>
      </c>
    </row>
    <row r="1907" spans="2:23" x14ac:dyDescent="0.25">
      <c r="B1907" s="169" t="s">
        <v>258</v>
      </c>
      <c r="C1907" s="169" t="s">
        <v>45</v>
      </c>
      <c r="D1907" s="169" t="s">
        <v>179</v>
      </c>
      <c r="E1907" s="169" t="s">
        <v>19</v>
      </c>
      <c r="F1907" s="245" t="str">
        <f t="shared" si="118"/>
        <v>DVR 72</v>
      </c>
      <c r="G1907" s="169" t="s">
        <v>370</v>
      </c>
      <c r="I1907" s="169" t="str">
        <f t="shared" si="121"/>
        <v>L10_DPVE_050E_RAISE</v>
      </c>
      <c r="J1907" s="169" t="s">
        <v>9631</v>
      </c>
      <c r="K1907" s="169">
        <f>IFERROR(MATCH(J1907,'Final List'!$B$4:$B$252,0),0)</f>
        <v>0</v>
      </c>
      <c r="L1907" s="169">
        <f>IFERROR(MATCH(J1907,'Final List'!$D$4:$D$252,0),0)</f>
        <v>0</v>
      </c>
      <c r="M1907" s="169">
        <f>IFERROR(MATCH(J1907,'Final List'!$F$4:$F$251,0),0)</f>
        <v>0</v>
      </c>
      <c r="N1907" s="169">
        <f>IFERROR(MATCH(J1907,'Final List'!$H$4:$H$252,0),0)</f>
        <v>0</v>
      </c>
      <c r="O1907" s="169">
        <f>IFERROR(MATCH(J1907,'Final List'!$J$4:$J$252,0),0)</f>
        <v>0</v>
      </c>
      <c r="P1907" s="169">
        <f>IFERROR(MATCH(J1907,'Final List'!$L$4:$L$252,0),0)</f>
        <v>0</v>
      </c>
      <c r="Q1907" s="169">
        <f>IFERROR(MATCH(J1907,'Final List'!$N$4:$N$252,0),0)</f>
        <v>0</v>
      </c>
      <c r="R1907" s="169">
        <f>IFERROR(MATCH(J1907,'Final List'!$P$4:$P$252,0),0)</f>
        <v>0</v>
      </c>
      <c r="S1907" s="169">
        <f t="shared" si="119"/>
        <v>0</v>
      </c>
      <c r="V1907" s="169" t="str">
        <f t="shared" si="117"/>
        <v>TAÑEZA 2</v>
      </c>
      <c r="W1907" s="169" t="s">
        <v>2715</v>
      </c>
    </row>
    <row r="1908" spans="2:23" x14ac:dyDescent="0.25">
      <c r="B1908" s="169" t="s">
        <v>91</v>
      </c>
      <c r="C1908" s="169" t="s">
        <v>42</v>
      </c>
      <c r="D1908" s="169" t="s">
        <v>5615</v>
      </c>
      <c r="E1908" s="169" t="s">
        <v>19</v>
      </c>
      <c r="F1908" s="245" t="str">
        <f t="shared" si="118"/>
        <v>DVR 72</v>
      </c>
      <c r="G1908" s="169" t="s">
        <v>5715</v>
      </c>
      <c r="I1908" s="169" t="str">
        <f t="shared" si="121"/>
        <v>L04_JV_042W_RAISE</v>
      </c>
      <c r="J1908" s="169" t="s">
        <v>9633</v>
      </c>
      <c r="K1908" s="169">
        <f>IFERROR(MATCH(J1908,'Final List'!$B$4:$B$252,0),0)</f>
        <v>0</v>
      </c>
      <c r="L1908" s="169">
        <f>IFERROR(MATCH(J1908,'Final List'!$D$4:$D$252,0),0)</f>
        <v>0</v>
      </c>
      <c r="M1908" s="169">
        <f>IFERROR(MATCH(J1908,'Final List'!$F$4:$F$251,0),0)</f>
        <v>0</v>
      </c>
      <c r="N1908" s="169">
        <f>IFERROR(MATCH(J1908,'Final List'!$H$4:$H$252,0),0)</f>
        <v>0</v>
      </c>
      <c r="O1908" s="169">
        <f>IFERROR(MATCH(J1908,'Final List'!$J$4:$J$252,0),0)</f>
        <v>0</v>
      </c>
      <c r="P1908" s="169">
        <f>IFERROR(MATCH(J1908,'Final List'!$L$4:$L$252,0),0)</f>
        <v>0</v>
      </c>
      <c r="Q1908" s="169">
        <f>IFERROR(MATCH(J1908,'Final List'!$N$4:$N$252,0),0)</f>
        <v>0</v>
      </c>
      <c r="R1908" s="169">
        <f>IFERROR(MATCH(J1908,'Final List'!$P$4:$P$252,0),0)</f>
        <v>0</v>
      </c>
      <c r="S1908" s="169">
        <f t="shared" si="119"/>
        <v>0</v>
      </c>
      <c r="V1908" s="169" t="str">
        <f t="shared" si="117"/>
        <v>MARTINEZ, RON 1</v>
      </c>
      <c r="W1908" s="169" t="s">
        <v>2715</v>
      </c>
    </row>
    <row r="1909" spans="2:23" x14ac:dyDescent="0.25">
      <c r="B1909" s="169" t="s">
        <v>91</v>
      </c>
      <c r="C1909" s="169" t="s">
        <v>44</v>
      </c>
      <c r="D1909" s="169" t="s">
        <v>109</v>
      </c>
      <c r="E1909" s="169" t="s">
        <v>62</v>
      </c>
      <c r="F1909" s="245" t="str">
        <f t="shared" si="118"/>
        <v>RobS 79</v>
      </c>
      <c r="G1909" s="169" t="s">
        <v>5714</v>
      </c>
      <c r="I1909" s="169" t="str">
        <f t="shared" si="121"/>
        <v>L04_CV_002W_ROBBING</v>
      </c>
      <c r="J1909" s="169" t="s">
        <v>9634</v>
      </c>
      <c r="K1909" s="169">
        <f>IFERROR(MATCH(J1909,'Final List'!$B$4:$B$252,0),0)</f>
        <v>0</v>
      </c>
      <c r="L1909" s="169">
        <f>IFERROR(MATCH(J1909,'Final List'!$D$4:$D$252,0),0)</f>
        <v>0</v>
      </c>
      <c r="M1909" s="169">
        <f>IFERROR(MATCH(J1909,'Final List'!$F$4:$F$251,0),0)</f>
        <v>0</v>
      </c>
      <c r="N1909" s="169">
        <f>IFERROR(MATCH(J1909,'Final List'!$H$4:$H$252,0),0)</f>
        <v>0</v>
      </c>
      <c r="O1909" s="169">
        <f>IFERROR(MATCH(J1909,'Final List'!$J$4:$J$252,0),0)</f>
        <v>0</v>
      </c>
      <c r="P1909" s="169">
        <f>IFERROR(MATCH(J1909,'Final List'!$L$4:$L$252,0),0)</f>
        <v>0</v>
      </c>
      <c r="Q1909" s="169">
        <f>IFERROR(MATCH(J1909,'Final List'!$N$4:$N$252,0),0)</f>
        <v>0</v>
      </c>
      <c r="R1909" s="169">
        <f>IFERROR(MATCH(J1909,'Final List'!$P$4:$P$252,0),0)</f>
        <v>0</v>
      </c>
      <c r="S1909" s="169">
        <f t="shared" si="119"/>
        <v>0</v>
      </c>
      <c r="T1909" s="169" t="s">
        <v>68</v>
      </c>
      <c r="V1909" s="169" t="str">
        <f t="shared" si="117"/>
        <v>MARTINEZ, RON 2</v>
      </c>
      <c r="W1909" s="169" t="s">
        <v>2707</v>
      </c>
    </row>
    <row r="1910" spans="2:23" x14ac:dyDescent="0.25">
      <c r="B1910" s="169" t="s">
        <v>96</v>
      </c>
      <c r="C1910" s="169" t="s">
        <v>87</v>
      </c>
      <c r="D1910" s="169" t="s">
        <v>195</v>
      </c>
      <c r="E1910" s="169" t="s">
        <v>63</v>
      </c>
      <c r="F1910" s="245" t="str">
        <f t="shared" si="118"/>
        <v>Dhoz 71</v>
      </c>
      <c r="G1910" s="169" t="s">
        <v>1661</v>
      </c>
      <c r="I1910" s="169" t="str">
        <f t="shared" si="121"/>
        <v>L09_NONE_008W_XCS</v>
      </c>
      <c r="J1910" s="169" t="s">
        <v>9635</v>
      </c>
      <c r="K1910" s="169">
        <f>IFERROR(MATCH(J1910,'Final List'!$B$4:$B$252,0),0)</f>
        <v>0</v>
      </c>
      <c r="L1910" s="169">
        <f>IFERROR(MATCH(J1910,'Final List'!$D$4:$D$252,0),0)</f>
        <v>0</v>
      </c>
      <c r="M1910" s="169">
        <f>IFERROR(MATCH(J1910,'Final List'!$F$4:$F$251,0),0)</f>
        <v>0</v>
      </c>
      <c r="N1910" s="169">
        <f>IFERROR(MATCH(J1910,'Final List'!$H$4:$H$252,0),0)</f>
        <v>0</v>
      </c>
      <c r="O1910" s="169">
        <f>IFERROR(MATCH(J1910,'Final List'!$J$4:$J$252,0),0)</f>
        <v>0</v>
      </c>
      <c r="P1910" s="169">
        <f>IFERROR(MATCH(J1910,'Final List'!$L$4:$L$252,0),0)</f>
        <v>0</v>
      </c>
      <c r="Q1910" s="169">
        <f>IFERROR(MATCH(J1910,'Final List'!$N$4:$N$252,0),0)</f>
        <v>0</v>
      </c>
      <c r="R1910" s="169">
        <f>IFERROR(MATCH(J1910,'Final List'!$P$4:$P$252,0),0)</f>
        <v>0</v>
      </c>
      <c r="S1910" s="169">
        <f t="shared" si="119"/>
        <v>0</v>
      </c>
      <c r="V1910" s="169" t="str">
        <f t="shared" si="117"/>
        <v>DELOS REYES V2</v>
      </c>
      <c r="W1910" s="169" t="s">
        <v>8898</v>
      </c>
    </row>
    <row r="1911" spans="2:23" x14ac:dyDescent="0.25">
      <c r="B1911" s="169" t="s">
        <v>258</v>
      </c>
      <c r="C1911" s="169" t="s">
        <v>45</v>
      </c>
      <c r="D1911" s="169" t="s">
        <v>9640</v>
      </c>
      <c r="E1911" s="169" t="s">
        <v>60</v>
      </c>
      <c r="F1911" s="245" t="str">
        <f t="shared" si="118"/>
        <v>Dhoz 71</v>
      </c>
      <c r="G1911" s="169" t="s">
        <v>488</v>
      </c>
      <c r="I1911" s="169" t="str">
        <f t="shared" si="121"/>
        <v>L10_DPVE_094E_DE</v>
      </c>
      <c r="J1911" s="169" t="s">
        <v>9639</v>
      </c>
      <c r="K1911" s="169">
        <f>IFERROR(MATCH(J1911,'Final List'!$B$4:$B$252,0),0)</f>
        <v>0</v>
      </c>
      <c r="L1911" s="169">
        <f>IFERROR(MATCH(J1911,'Final List'!$D$4:$D$252,0),0)</f>
        <v>0</v>
      </c>
      <c r="M1911" s="169">
        <f>IFERROR(MATCH(J1911,'Final List'!$F$4:$F$251,0),0)</f>
        <v>0</v>
      </c>
      <c r="N1911" s="169">
        <f>IFERROR(MATCH(J1911,'Final List'!$H$4:$H$252,0),0)</f>
        <v>0</v>
      </c>
      <c r="O1911" s="169">
        <f>IFERROR(MATCH(J1911,'Final List'!$J$4:$J$252,0),0)</f>
        <v>0</v>
      </c>
      <c r="P1911" s="169">
        <f>IFERROR(MATCH(J1911,'Final List'!$L$4:$L$252,0),0)</f>
        <v>0</v>
      </c>
      <c r="Q1911" s="169">
        <f>IFERROR(MATCH(J1911,'Final List'!$N$4:$N$252,0),0)</f>
        <v>0</v>
      </c>
      <c r="R1911" s="169">
        <f>IFERROR(MATCH(J1911,'Final List'!$P$4:$P$252,0),0)</f>
        <v>0</v>
      </c>
      <c r="S1911" s="169">
        <f t="shared" si="119"/>
        <v>0</v>
      </c>
      <c r="V1911" s="169" t="str">
        <f t="shared" si="117"/>
        <v>BAÑEZ 9</v>
      </c>
      <c r="W1911" s="169" t="s">
        <v>8896</v>
      </c>
    </row>
    <row r="1912" spans="2:23" x14ac:dyDescent="0.25">
      <c r="B1912" s="169" t="s">
        <v>92</v>
      </c>
      <c r="C1912" s="169" t="s">
        <v>57</v>
      </c>
      <c r="D1912" s="169" t="s">
        <v>6139</v>
      </c>
      <c r="E1912" s="169" t="s">
        <v>19</v>
      </c>
      <c r="F1912" s="245" t="str">
        <f t="shared" si="118"/>
        <v>DVR 72</v>
      </c>
      <c r="G1912" s="169" t="s">
        <v>2969</v>
      </c>
      <c r="H1912" s="169" t="s">
        <v>9730</v>
      </c>
      <c r="I1912" s="169" t="str">
        <f t="shared" si="121"/>
        <v>L05_JVSPLIT_030W_RAISE</v>
      </c>
      <c r="J1912" s="169" t="s">
        <v>9642</v>
      </c>
      <c r="K1912" s="169">
        <f>IFERROR(MATCH(J1912,'Final List'!$B$4:$B$252,0),0)</f>
        <v>0</v>
      </c>
      <c r="L1912" s="169">
        <f>IFERROR(MATCH(J1912,'Final List'!$D$4:$D$252,0),0)</f>
        <v>0</v>
      </c>
      <c r="M1912" s="169">
        <f>IFERROR(MATCH(J1912,'Final List'!$F$4:$F$251,0),0)</f>
        <v>0</v>
      </c>
      <c r="N1912" s="169">
        <f>IFERROR(MATCH(J1912,'Final List'!$H$4:$H$252,0),0)</f>
        <v>0</v>
      </c>
      <c r="O1912" s="169">
        <f>IFERROR(MATCH(J1912,'Final List'!$J$4:$J$252,0),0)</f>
        <v>0</v>
      </c>
      <c r="P1912" s="169">
        <f>IFERROR(MATCH(J1912,'Final List'!$L$4:$L$252,0),0)</f>
        <v>0</v>
      </c>
      <c r="Q1912" s="169">
        <f>IFERROR(MATCH(J1912,'Final List'!$N$4:$N$252,0),0)</f>
        <v>0</v>
      </c>
      <c r="R1912" s="169">
        <f>IFERROR(MATCH(J1912,'Final List'!$P$4:$P$252,0),0)</f>
        <v>0</v>
      </c>
      <c r="S1912" s="169">
        <f t="shared" si="119"/>
        <v>0</v>
      </c>
      <c r="V1912" s="169" t="str">
        <f t="shared" si="117"/>
        <v>SHEPHERD AQ 4</v>
      </c>
      <c r="W1912" s="169" t="s">
        <v>2715</v>
      </c>
    </row>
    <row r="1913" spans="2:23" x14ac:dyDescent="0.25">
      <c r="B1913" s="169" t="s">
        <v>94</v>
      </c>
      <c r="C1913" s="169" t="s">
        <v>45</v>
      </c>
      <c r="D1913" s="169" t="s">
        <v>172</v>
      </c>
      <c r="E1913" s="169" t="s">
        <v>62</v>
      </c>
      <c r="F1913" s="245" t="str">
        <f t="shared" si="118"/>
        <v>RobS 79</v>
      </c>
      <c r="G1913" s="169" t="s">
        <v>9645</v>
      </c>
      <c r="H1913" s="169" t="s">
        <v>577</v>
      </c>
      <c r="I1913" s="169" t="str">
        <f t="shared" si="121"/>
        <v>L07_DPVE_045E_ROBBING</v>
      </c>
      <c r="J1913" s="169" t="s">
        <v>9644</v>
      </c>
      <c r="K1913" s="169">
        <f>IFERROR(MATCH(J1913,'Final List'!$B$4:$B$252,0),0)</f>
        <v>0</v>
      </c>
      <c r="L1913" s="169">
        <f>IFERROR(MATCH(J1913,'Final List'!$D$4:$D$252,0),0)</f>
        <v>0</v>
      </c>
      <c r="M1913" s="169">
        <f>IFERROR(MATCH(J1913,'Final List'!$F$4:$F$251,0),0)</f>
        <v>0</v>
      </c>
      <c r="N1913" s="169">
        <f>IFERROR(MATCH(J1913,'Final List'!$H$4:$H$252,0),0)</f>
        <v>0</v>
      </c>
      <c r="O1913" s="169">
        <f>IFERROR(MATCH(J1913,'Final List'!$J$4:$J$252,0),0)</f>
        <v>0</v>
      </c>
      <c r="P1913" s="169">
        <f>IFERROR(MATCH(J1913,'Final List'!$L$4:$L$252,0),0)</f>
        <v>0</v>
      </c>
      <c r="Q1913" s="169">
        <f>IFERROR(MATCH(J1913,'Final List'!$N$4:$N$252,0),0)</f>
        <v>0</v>
      </c>
      <c r="R1913" s="169">
        <f>IFERROR(MATCH(J1913,'Final List'!$P$4:$P$252,0),0)</f>
        <v>0</v>
      </c>
      <c r="S1913" s="169">
        <f t="shared" si="119"/>
        <v>0</v>
      </c>
      <c r="T1913" s="169" t="s">
        <v>68</v>
      </c>
      <c r="V1913" s="169" t="str">
        <f t="shared" si="117"/>
        <v>CARIKITAN 1</v>
      </c>
      <c r="W1913" s="169" t="s">
        <v>2707</v>
      </c>
    </row>
    <row r="1914" spans="2:23" x14ac:dyDescent="0.25">
      <c r="B1914" s="169" t="s">
        <v>93</v>
      </c>
      <c r="C1914" s="169" t="s">
        <v>42</v>
      </c>
      <c r="D1914" s="169" t="s">
        <v>119</v>
      </c>
      <c r="E1914" s="169" t="s">
        <v>62</v>
      </c>
      <c r="F1914" s="245" t="str">
        <f t="shared" si="118"/>
        <v>RobS 79</v>
      </c>
      <c r="G1914" s="169" t="s">
        <v>379</v>
      </c>
      <c r="I1914" s="169" t="str">
        <f t="shared" si="121"/>
        <v>L06_JV_012E_ROBBING</v>
      </c>
      <c r="J1914" s="169" t="s">
        <v>9647</v>
      </c>
      <c r="K1914" s="169">
        <f>IFERROR(MATCH(J1914,'Final List'!$B$4:$B$252,0),0)</f>
        <v>0</v>
      </c>
      <c r="L1914" s="169">
        <f>IFERROR(MATCH(J1914,'Final List'!$D$4:$D$252,0),0)</f>
        <v>0</v>
      </c>
      <c r="M1914" s="169">
        <f>IFERROR(MATCH(J1914,'Final List'!$F$4:$F$251,0),0)</f>
        <v>0</v>
      </c>
      <c r="N1914" s="169">
        <f>IFERROR(MATCH(J1914,'Final List'!$H$4:$H$252,0),0)</f>
        <v>0</v>
      </c>
      <c r="O1914" s="169">
        <f>IFERROR(MATCH(J1914,'Final List'!$J$4:$J$252,0),0)</f>
        <v>0</v>
      </c>
      <c r="P1914" s="169">
        <f>IFERROR(MATCH(J1914,'Final List'!$L$4:$L$252,0),0)</f>
        <v>0</v>
      </c>
      <c r="Q1914" s="169">
        <f>IFERROR(MATCH(J1914,'Final List'!$N$4:$N$252,0),0)</f>
        <v>0</v>
      </c>
      <c r="R1914" s="169">
        <f>IFERROR(MATCH(J1914,'Final List'!$P$4:$P$252,0),0)</f>
        <v>0</v>
      </c>
      <c r="S1914" s="169">
        <f t="shared" si="119"/>
        <v>0</v>
      </c>
      <c r="T1914" s="169" t="s">
        <v>68</v>
      </c>
      <c r="V1914" s="169" t="str">
        <f t="shared" si="117"/>
        <v>GUNAY 3</v>
      </c>
      <c r="W1914" s="169" t="s">
        <v>2707</v>
      </c>
    </row>
    <row r="1915" spans="2:23" x14ac:dyDescent="0.25">
      <c r="B1915" s="169" t="s">
        <v>91</v>
      </c>
      <c r="C1915" s="169" t="s">
        <v>44</v>
      </c>
      <c r="D1915" s="169" t="s">
        <v>5835</v>
      </c>
      <c r="E1915" s="169" t="s">
        <v>19</v>
      </c>
      <c r="F1915" s="245" t="str">
        <f t="shared" si="118"/>
        <v>DVR 72</v>
      </c>
      <c r="G1915" s="169" t="s">
        <v>5714</v>
      </c>
      <c r="I1915" s="169" t="str">
        <f t="shared" si="121"/>
        <v>L04_CV_003W_RAISE</v>
      </c>
      <c r="J1915" s="169" t="s">
        <v>9648</v>
      </c>
      <c r="K1915" s="169">
        <f>IFERROR(MATCH(J1915,'Final List'!$B$4:$B$252,0),0)</f>
        <v>0</v>
      </c>
      <c r="L1915" s="169">
        <f>IFERROR(MATCH(J1915,'Final List'!$D$4:$D$252,0),0)</f>
        <v>0</v>
      </c>
      <c r="M1915" s="169">
        <f>IFERROR(MATCH(J1915,'Final List'!$F$4:$F$251,0),0)</f>
        <v>0</v>
      </c>
      <c r="N1915" s="169">
        <f>IFERROR(MATCH(J1915,'Final List'!$H$4:$H$252,0),0)</f>
        <v>0</v>
      </c>
      <c r="O1915" s="169">
        <f>IFERROR(MATCH(J1915,'Final List'!$J$4:$J$252,0),0)</f>
        <v>0</v>
      </c>
      <c r="P1915" s="169">
        <f>IFERROR(MATCH(J1915,'Final List'!$L$4:$L$252,0),0)</f>
        <v>0</v>
      </c>
      <c r="Q1915" s="169">
        <f>IFERROR(MATCH(J1915,'Final List'!$N$4:$N$252,0),0)</f>
        <v>0</v>
      </c>
      <c r="R1915" s="169">
        <f>IFERROR(MATCH(J1915,'Final List'!$P$4:$P$252,0),0)</f>
        <v>0</v>
      </c>
      <c r="S1915" s="169">
        <f t="shared" si="119"/>
        <v>0</v>
      </c>
      <c r="V1915" s="169" t="str">
        <f t="shared" si="117"/>
        <v>MARTINEZ, RON 2</v>
      </c>
      <c r="W1915" s="169" t="s">
        <v>2715</v>
      </c>
    </row>
    <row r="1916" spans="2:23" x14ac:dyDescent="0.25">
      <c r="B1916" s="169" t="s">
        <v>8904</v>
      </c>
      <c r="C1916" s="169" t="s">
        <v>8753</v>
      </c>
      <c r="D1916" s="169" t="s">
        <v>7301</v>
      </c>
      <c r="E1916" s="169" t="s">
        <v>62</v>
      </c>
      <c r="F1916" s="245" t="str">
        <f t="shared" si="118"/>
        <v>RobS 79</v>
      </c>
      <c r="G1916" s="169" t="s">
        <v>10062</v>
      </c>
      <c r="I1916" s="169" t="str">
        <f t="shared" si="121"/>
        <v>L03_RYV_010W_ROBBING</v>
      </c>
      <c r="J1916" s="169" t="s">
        <v>9646</v>
      </c>
      <c r="K1916" s="169">
        <f>IFERROR(MATCH(J1916,'Final List'!$B$4:$B$252,0),0)</f>
        <v>0</v>
      </c>
      <c r="L1916" s="169">
        <f>IFERROR(MATCH(J1916,'Final List'!$D$4:$D$252,0),0)</f>
        <v>0</v>
      </c>
      <c r="M1916" s="169">
        <f>IFERROR(MATCH(J1916,'Final List'!$F$4:$F$251,0),0)</f>
        <v>0</v>
      </c>
      <c r="N1916" s="169">
        <f>IFERROR(MATCH(J1916,'Final List'!$H$4:$H$252,0),0)</f>
        <v>0</v>
      </c>
      <c r="O1916" s="169">
        <f>IFERROR(MATCH(J1916,'Final List'!$J$4:$J$252,0),0)</f>
        <v>0</v>
      </c>
      <c r="P1916" s="169">
        <f>IFERROR(MATCH(J1916,'Final List'!$L$4:$L$252,0),0)</f>
        <v>0</v>
      </c>
      <c r="Q1916" s="169">
        <f>IFERROR(MATCH(J1916,'Final List'!$N$4:$N$252,0),0)</f>
        <v>0</v>
      </c>
      <c r="R1916" s="169">
        <f>IFERROR(MATCH(J1916,'Final List'!$P$4:$P$252,0),0)</f>
        <v>0</v>
      </c>
      <c r="S1916" s="169">
        <f t="shared" si="119"/>
        <v>0</v>
      </c>
      <c r="T1916" s="169" t="s">
        <v>68</v>
      </c>
      <c r="V1916" s="169" t="str">
        <f t="shared" si="117"/>
        <v>FERNANDEZ, RM 6</v>
      </c>
      <c r="W1916" s="169" t="s">
        <v>2707</v>
      </c>
    </row>
    <row r="1917" spans="2:23" x14ac:dyDescent="0.25">
      <c r="B1917" s="169" t="s">
        <v>92</v>
      </c>
      <c r="C1917" s="169" t="s">
        <v>45</v>
      </c>
      <c r="D1917" s="169" t="s">
        <v>178</v>
      </c>
      <c r="E1917" s="169" t="s">
        <v>221</v>
      </c>
      <c r="F1917" s="245" t="str">
        <f t="shared" si="118"/>
        <v>RobC 80</v>
      </c>
      <c r="G1917" s="169" t="s">
        <v>8194</v>
      </c>
      <c r="H1917" s="169" t="s">
        <v>10079</v>
      </c>
      <c r="I1917" s="169" t="str">
        <f t="shared" si="121"/>
        <v>L05_DPVE_048E_WINZE STOPE</v>
      </c>
      <c r="J1917" s="169" t="s">
        <v>9755</v>
      </c>
      <c r="K1917" s="169">
        <f>IFERROR(MATCH(J1917,'Final List'!$B$4:$B$252,0),0)</f>
        <v>0</v>
      </c>
      <c r="L1917" s="169">
        <f>IFERROR(MATCH(J1917,'Final List'!$D$4:$D$252,0),0)</f>
        <v>0</v>
      </c>
      <c r="M1917" s="169">
        <f>IFERROR(MATCH(J1917,'Final List'!$F$4:$F$251,0),0)</f>
        <v>0</v>
      </c>
      <c r="N1917" s="169">
        <f>IFERROR(MATCH(J1917,'Final List'!$H$4:$H$252,0),0)</f>
        <v>0</v>
      </c>
      <c r="O1917" s="169">
        <f>IFERROR(MATCH(J1917,'Final List'!$J$4:$J$252,0),0)</f>
        <v>0</v>
      </c>
      <c r="P1917" s="169">
        <f>IFERROR(MATCH(J1917,'Final List'!$L$4:$L$252,0),0)</f>
        <v>0</v>
      </c>
      <c r="Q1917" s="169">
        <f>IFERROR(MATCH(J1917,'Final List'!$N$4:$N$252,0),0)</f>
        <v>0</v>
      </c>
      <c r="R1917" s="169">
        <f>IFERROR(MATCH(J1917,'Final List'!$P$4:$P$252,0),0)</f>
        <v>0</v>
      </c>
      <c r="S1917" s="169">
        <f t="shared" si="119"/>
        <v>0</v>
      </c>
      <c r="T1917" s="169" t="s">
        <v>68</v>
      </c>
      <c r="V1917" s="169" t="str">
        <f t="shared" si="117"/>
        <v>PANCIT, NOEL 5,</v>
      </c>
      <c r="W1917" s="169" t="s">
        <v>2705</v>
      </c>
    </row>
    <row r="1918" spans="2:23" x14ac:dyDescent="0.25">
      <c r="B1918" s="169" t="s">
        <v>96</v>
      </c>
      <c r="C1918" s="169" t="s">
        <v>59</v>
      </c>
      <c r="D1918" s="169" t="s">
        <v>140</v>
      </c>
      <c r="E1918" s="169" t="s">
        <v>19</v>
      </c>
      <c r="F1918" s="245" t="str">
        <f t="shared" si="118"/>
        <v>DVR 72</v>
      </c>
      <c r="G1918" s="169" t="s">
        <v>1661</v>
      </c>
      <c r="H1918" s="169" t="s">
        <v>745</v>
      </c>
      <c r="I1918" s="169" t="str">
        <f t="shared" si="121"/>
        <v>L09_GHVHW_005W_RAISE</v>
      </c>
      <c r="J1918" s="169" t="s">
        <v>9654</v>
      </c>
      <c r="K1918" s="169">
        <f>IFERROR(MATCH(J1918,'Final List'!$B$4:$B$252,0),0)</f>
        <v>0</v>
      </c>
      <c r="L1918" s="169">
        <f>IFERROR(MATCH(J1918,'Final List'!$D$4:$D$252,0),0)</f>
        <v>0</v>
      </c>
      <c r="M1918" s="169">
        <f>IFERROR(MATCH(J1918,'Final List'!$F$4:$F$251,0),0)</f>
        <v>0</v>
      </c>
      <c r="N1918" s="169">
        <f>IFERROR(MATCH(J1918,'Final List'!$H$4:$H$252,0),0)</f>
        <v>0</v>
      </c>
      <c r="O1918" s="169">
        <f>IFERROR(MATCH(J1918,'Final List'!$J$4:$J$252,0),0)</f>
        <v>0</v>
      </c>
      <c r="P1918" s="169">
        <f>IFERROR(MATCH(J1918,'Final List'!$L$4:$L$252,0),0)</f>
        <v>0</v>
      </c>
      <c r="Q1918" s="169">
        <f>IFERROR(MATCH(J1918,'Final List'!$N$4:$N$252,0),0)</f>
        <v>0</v>
      </c>
      <c r="R1918" s="169">
        <f>IFERROR(MATCH(J1918,'Final List'!$P$4:$P$252,0),0)</f>
        <v>0</v>
      </c>
      <c r="S1918" s="169">
        <f t="shared" si="119"/>
        <v>0</v>
      </c>
      <c r="V1918" s="169" t="str">
        <f t="shared" si="117"/>
        <v>CANOY 2</v>
      </c>
      <c r="W1918" s="169" t="s">
        <v>2715</v>
      </c>
    </row>
    <row r="1919" spans="2:23" x14ac:dyDescent="0.25">
      <c r="B1919" s="169" t="s">
        <v>96</v>
      </c>
      <c r="C1919" s="169" t="s">
        <v>45</v>
      </c>
      <c r="D1919" s="169" t="s">
        <v>8279</v>
      </c>
      <c r="E1919" s="169" t="s">
        <v>19</v>
      </c>
      <c r="F1919" s="245" t="str">
        <f t="shared" si="118"/>
        <v>DVR 72</v>
      </c>
      <c r="G1919" s="169" t="s">
        <v>382</v>
      </c>
      <c r="H1919" s="169" t="s">
        <v>9753</v>
      </c>
      <c r="I1919" s="169" t="str">
        <f t="shared" si="121"/>
        <v>L09_DPVE_090E_RAISE</v>
      </c>
      <c r="J1919" s="169" t="s">
        <v>9655</v>
      </c>
      <c r="K1919" s="169">
        <f>IFERROR(MATCH(J1919,'Final List'!$B$4:$B$252,0),0)</f>
        <v>0</v>
      </c>
      <c r="L1919" s="169">
        <f>IFERROR(MATCH(J1919,'Final List'!$D$4:$D$252,0),0)</f>
        <v>0</v>
      </c>
      <c r="M1919" s="169">
        <f>IFERROR(MATCH(J1919,'Final List'!$F$4:$F$251,0),0)</f>
        <v>0</v>
      </c>
      <c r="N1919" s="169">
        <f>IFERROR(MATCH(J1919,'Final List'!$H$4:$H$252,0),0)</f>
        <v>0</v>
      </c>
      <c r="O1919" s="169">
        <f>IFERROR(MATCH(J1919,'Final List'!$J$4:$J$252,0),0)</f>
        <v>0</v>
      </c>
      <c r="P1919" s="169">
        <f>IFERROR(MATCH(J1919,'Final List'!$L$4:$L$252,0),0)</f>
        <v>0</v>
      </c>
      <c r="Q1919" s="169">
        <f>IFERROR(MATCH(J1919,'Final List'!$N$4:$N$252,0),0)</f>
        <v>0</v>
      </c>
      <c r="R1919" s="169">
        <f>IFERROR(MATCH(J1919,'Final List'!$P$4:$P$252,0),0)</f>
        <v>0</v>
      </c>
      <c r="S1919" s="169">
        <f t="shared" si="119"/>
        <v>0</v>
      </c>
      <c r="V1919" s="169" t="str">
        <f t="shared" si="117"/>
        <v>CAPUYAN 2</v>
      </c>
      <c r="W1919" s="169" t="s">
        <v>2715</v>
      </c>
    </row>
    <row r="1920" spans="2:23" x14ac:dyDescent="0.25">
      <c r="B1920" s="169" t="s">
        <v>93</v>
      </c>
      <c r="C1920" s="169" t="s">
        <v>42</v>
      </c>
      <c r="D1920" s="169" t="s">
        <v>106</v>
      </c>
      <c r="E1920" s="169" t="s">
        <v>62</v>
      </c>
      <c r="F1920" s="245" t="str">
        <f t="shared" si="118"/>
        <v>RobS 79</v>
      </c>
      <c r="G1920" s="169" t="s">
        <v>577</v>
      </c>
      <c r="I1920" s="169" t="str">
        <f t="shared" si="121"/>
        <v>L06_JV_033W_ROBBING</v>
      </c>
      <c r="J1920" s="169" t="s">
        <v>9656</v>
      </c>
      <c r="K1920" s="169">
        <f>IFERROR(MATCH(J1920,'Final List'!$B$4:$B$252,0),0)</f>
        <v>0</v>
      </c>
      <c r="L1920" s="169">
        <f>IFERROR(MATCH(J1920,'Final List'!$D$4:$D$252,0),0)</f>
        <v>0</v>
      </c>
      <c r="M1920" s="169">
        <f>IFERROR(MATCH(J1920,'Final List'!$F$4:$F$251,0),0)</f>
        <v>0</v>
      </c>
      <c r="N1920" s="169">
        <f>IFERROR(MATCH(J1920,'Final List'!$H$4:$H$252,0),0)</f>
        <v>0</v>
      </c>
      <c r="O1920" s="169">
        <f>IFERROR(MATCH(J1920,'Final List'!$J$4:$J$252,0),0)</f>
        <v>0</v>
      </c>
      <c r="P1920" s="169">
        <f>IFERROR(MATCH(J1920,'Final List'!$L$4:$L$252,0),0)</f>
        <v>0</v>
      </c>
      <c r="Q1920" s="169">
        <f>IFERROR(MATCH(J1920,'Final List'!$N$4:$N$252,0),0)</f>
        <v>0</v>
      </c>
      <c r="R1920" s="169">
        <f>IFERROR(MATCH(J1920,'Final List'!$P$4:$P$252,0),0)</f>
        <v>0</v>
      </c>
      <c r="S1920" s="169">
        <f t="shared" si="119"/>
        <v>0</v>
      </c>
      <c r="T1920" s="169" t="s">
        <v>68</v>
      </c>
      <c r="V1920" s="169" t="str">
        <f t="shared" si="117"/>
        <v>CARIKITAN 1</v>
      </c>
      <c r="W1920" s="169" t="s">
        <v>2707</v>
      </c>
    </row>
    <row r="1921" spans="2:23" x14ac:dyDescent="0.25">
      <c r="B1921" s="169" t="s">
        <v>258</v>
      </c>
      <c r="C1921" s="169" t="s">
        <v>45</v>
      </c>
      <c r="D1921" s="169" t="s">
        <v>112</v>
      </c>
      <c r="E1921" s="169" t="s">
        <v>19</v>
      </c>
      <c r="F1921" s="245" t="str">
        <f t="shared" si="118"/>
        <v>DVR 72</v>
      </c>
      <c r="G1921" s="169" t="s">
        <v>4</v>
      </c>
      <c r="I1921" s="169" t="str">
        <f t="shared" si="121"/>
        <v>L10_DPVE_018E_RAISE</v>
      </c>
      <c r="J1921" s="169" t="s">
        <v>9657</v>
      </c>
      <c r="K1921" s="169">
        <f>IFERROR(MATCH(J1921,'Final List'!$B$4:$B$252,0),0)</f>
        <v>0</v>
      </c>
      <c r="L1921" s="169">
        <f>IFERROR(MATCH(J1921,'Final List'!$D$4:$D$252,0),0)</f>
        <v>0</v>
      </c>
      <c r="M1921" s="169">
        <f>IFERROR(MATCH(J1921,'Final List'!$F$4:$F$251,0),0)</f>
        <v>0</v>
      </c>
      <c r="N1921" s="169">
        <f>IFERROR(MATCH(J1921,'Final List'!$H$4:$H$252,0),0)</f>
        <v>0</v>
      </c>
      <c r="O1921" s="169">
        <f>IFERROR(MATCH(J1921,'Final List'!$J$4:$J$252,0),0)</f>
        <v>0</v>
      </c>
      <c r="P1921" s="169">
        <f>IFERROR(MATCH(J1921,'Final List'!$L$4:$L$252,0),0)</f>
        <v>0</v>
      </c>
      <c r="Q1921" s="169">
        <f>IFERROR(MATCH(J1921,'Final List'!$N$4:$N$252,0),0)</f>
        <v>0</v>
      </c>
      <c r="R1921" s="169">
        <f>IFERROR(MATCH(J1921,'Final List'!$P$4:$P$252,0),0)</f>
        <v>0</v>
      </c>
      <c r="S1921" s="169">
        <f t="shared" si="119"/>
        <v>0</v>
      </c>
      <c r="V1921" s="169" t="str">
        <f t="shared" si="117"/>
        <v>MONTEBON</v>
      </c>
      <c r="W1921" s="169" t="s">
        <v>2715</v>
      </c>
    </row>
    <row r="1922" spans="2:23" x14ac:dyDescent="0.25">
      <c r="B1922" s="169" t="s">
        <v>92</v>
      </c>
      <c r="C1922" s="169" t="s">
        <v>45</v>
      </c>
      <c r="D1922" s="169" t="s">
        <v>5742</v>
      </c>
      <c r="E1922" s="169" t="s">
        <v>19</v>
      </c>
      <c r="F1922" s="245" t="str">
        <f t="shared" si="118"/>
        <v>DVR 72</v>
      </c>
      <c r="G1922" s="169" t="s">
        <v>538</v>
      </c>
      <c r="I1922" s="169" t="str">
        <f t="shared" si="121"/>
        <v>L05_DPVE_040E_RAISE</v>
      </c>
      <c r="J1922" s="169" t="s">
        <v>4142</v>
      </c>
      <c r="K1922" s="169">
        <f>IFERROR(MATCH(J1922,'Final List'!$B$4:$B$252,0),0)</f>
        <v>0</v>
      </c>
      <c r="L1922" s="169">
        <f>IFERROR(MATCH(J1922,'Final List'!$D$4:$D$252,0),0)</f>
        <v>0</v>
      </c>
      <c r="M1922" s="169">
        <f>IFERROR(MATCH(J1922,'Final List'!$F$4:$F$251,0),0)</f>
        <v>0</v>
      </c>
      <c r="N1922" s="169">
        <f>IFERROR(MATCH(J1922,'Final List'!$H$4:$H$252,0),0)</f>
        <v>0</v>
      </c>
      <c r="O1922" s="169">
        <f>IFERROR(MATCH(J1922,'Final List'!$J$4:$J$252,0),0)</f>
        <v>0</v>
      </c>
      <c r="P1922" s="169">
        <f>IFERROR(MATCH(J1922,'Final List'!$L$4:$L$252,0),0)</f>
        <v>0</v>
      </c>
      <c r="Q1922" s="169">
        <f>IFERROR(MATCH(J1922,'Final List'!$N$4:$N$252,0),0)</f>
        <v>0</v>
      </c>
      <c r="R1922" s="169">
        <f>IFERROR(MATCH(J1922,'Final List'!$P$4:$P$252,0),0)</f>
        <v>0</v>
      </c>
      <c r="S1922" s="169">
        <f t="shared" si="119"/>
        <v>0</v>
      </c>
      <c r="V1922" s="169" t="str">
        <f t="shared" ref="V1922:V1985" si="122">IF(H1922="",G1922,H1922)</f>
        <v>PANCIT, NOEL 4</v>
      </c>
      <c r="W1922" s="169" t="s">
        <v>2715</v>
      </c>
    </row>
    <row r="1923" spans="2:23" x14ac:dyDescent="0.25">
      <c r="B1923" s="169" t="s">
        <v>258</v>
      </c>
      <c r="C1923" s="169" t="s">
        <v>55</v>
      </c>
      <c r="D1923" s="169" t="s">
        <v>165</v>
      </c>
      <c r="E1923" s="169" t="s">
        <v>62</v>
      </c>
      <c r="F1923" s="245" t="str">
        <f t="shared" ref="F1923:F1986" si="123">IF(OR(E1923="XCN",E1923="DE",E1923="DW",E1923="DN",E1923="XCS",E1923="XCE",E1923="XCW",E1923="SUMP",E1923="BYPASS",E1923="CHAMBER",E1923="DRAIN HOLE",E1923="DRILLING CHAMBER",E1923="DE_ISL",E1923="DW_ISL",E1923="REHAB"),"Dhoz 71",IF(OR(E1923="RAISE",E1923="RAISE_ISL"),"DVR 72",IF(E1923="ALIMAK","DVA 73",IF(E1923="WINZE","DVW 74",IF(E1923="SHAFT","DVS 75",IF(AND(E1923="WINZE STOPE",T1923="S"),"RobC 80",IF(AND(E1923="STOPE",T1923="S"),"StpS 77",IF(AND(E1923="WINZE STOPE",T1923="L"),"RobC 80",IF(AND(E1923="STOPE",T1923="L"),"StpL 78",IF(AND(E1923="WINZE STOPE PREP",T1923="S"),"RobC 80",IF(AND(E1923="STOPE PREP",T1923="S"),"StpS 77",IF(AND(E1923="WINZE STOPE PREP",T1923="L"),"RobC 80",IF(AND(E1923="STOPE PREP",T1923="L"),"StpL 78",IF(AND(E1923="ROBBING",T1923="L"),"RobC 80",IF(AND(E1923="ROBBING",T1923="S"),"RobS 79",0)))))))))))))))</f>
        <v>RobS 79</v>
      </c>
      <c r="G1923" s="169" t="s">
        <v>6927</v>
      </c>
      <c r="I1923" s="169" t="str">
        <f t="shared" si="121"/>
        <v>L10_JVFW_056E_ROBBING</v>
      </c>
      <c r="J1923" s="169" t="s">
        <v>9658</v>
      </c>
      <c r="K1923" s="169">
        <f>IFERROR(MATCH(J1923,'Final List'!$B$4:$B$252,0),0)</f>
        <v>0</v>
      </c>
      <c r="L1923" s="169">
        <f>IFERROR(MATCH(J1923,'Final List'!$D$4:$D$252,0),0)</f>
        <v>0</v>
      </c>
      <c r="M1923" s="169">
        <f>IFERROR(MATCH(J1923,'Final List'!$F$4:$F$251,0),0)</f>
        <v>0</v>
      </c>
      <c r="N1923" s="169">
        <f>IFERROR(MATCH(J1923,'Final List'!$H$4:$H$252,0),0)</f>
        <v>0</v>
      </c>
      <c r="O1923" s="169">
        <f>IFERROR(MATCH(J1923,'Final List'!$J$4:$J$252,0),0)</f>
        <v>0</v>
      </c>
      <c r="P1923" s="169">
        <f>IFERROR(MATCH(J1923,'Final List'!$L$4:$L$252,0),0)</f>
        <v>0</v>
      </c>
      <c r="Q1923" s="169">
        <f>IFERROR(MATCH(J1923,'Final List'!$N$4:$N$252,0),0)</f>
        <v>0</v>
      </c>
      <c r="R1923" s="169">
        <f>IFERROR(MATCH(J1923,'Final List'!$P$4:$P$252,0),0)</f>
        <v>0</v>
      </c>
      <c r="S1923" s="169">
        <f t="shared" ref="S1923:S1986" si="124">SUM(K1923:R1923)</f>
        <v>0</v>
      </c>
      <c r="T1923" s="169" t="s">
        <v>68</v>
      </c>
      <c r="V1923" s="169" t="str">
        <f t="shared" si="122"/>
        <v>DUHIG, R2</v>
      </c>
      <c r="W1923" s="169" t="s">
        <v>2707</v>
      </c>
    </row>
    <row r="1924" spans="2:23" x14ac:dyDescent="0.25">
      <c r="B1924" s="169" t="s">
        <v>258</v>
      </c>
      <c r="C1924" s="169" t="s">
        <v>45</v>
      </c>
      <c r="D1924" s="169" t="s">
        <v>5604</v>
      </c>
      <c r="E1924" s="169" t="s">
        <v>60</v>
      </c>
      <c r="F1924" s="245" t="str">
        <f t="shared" si="123"/>
        <v>Dhoz 71</v>
      </c>
      <c r="G1924" s="169" t="s">
        <v>5701</v>
      </c>
      <c r="I1924" s="169" t="str">
        <f t="shared" si="121"/>
        <v>L10_DPVE_063E_DE</v>
      </c>
      <c r="J1924" s="169" t="s">
        <v>5603</v>
      </c>
      <c r="K1924" s="169">
        <f>IFERROR(MATCH(J1924,'Final List'!$B$4:$B$252,0),0)</f>
        <v>0</v>
      </c>
      <c r="L1924" s="169">
        <f>IFERROR(MATCH(J1924,'Final List'!$D$4:$D$252,0),0)</f>
        <v>0</v>
      </c>
      <c r="M1924" s="169">
        <f>IFERROR(MATCH(J1924,'Final List'!$F$4:$F$251,0),0)</f>
        <v>0</v>
      </c>
      <c r="N1924" s="169">
        <f>IFERROR(MATCH(J1924,'Final List'!$H$4:$H$252,0),0)</f>
        <v>0</v>
      </c>
      <c r="O1924" s="169">
        <f>IFERROR(MATCH(J1924,'Final List'!$J$4:$J$252,0),0)</f>
        <v>0</v>
      </c>
      <c r="P1924" s="169">
        <f>IFERROR(MATCH(J1924,'Final List'!$L$4:$L$252,0),0)</f>
        <v>0</v>
      </c>
      <c r="Q1924" s="169">
        <f>IFERROR(MATCH(J1924,'Final List'!$N$4:$N$252,0),0)</f>
        <v>0</v>
      </c>
      <c r="R1924" s="169">
        <f>IFERROR(MATCH(J1924,'Final List'!$P$4:$P$252,0),0)</f>
        <v>0</v>
      </c>
      <c r="S1924" s="169">
        <f t="shared" si="124"/>
        <v>0</v>
      </c>
      <c r="V1924" s="169" t="str">
        <f t="shared" si="122"/>
        <v>LARGO 2</v>
      </c>
      <c r="W1924" s="169" t="s">
        <v>8896</v>
      </c>
    </row>
    <row r="1925" spans="2:23" x14ac:dyDescent="0.25">
      <c r="B1925" s="169" t="s">
        <v>258</v>
      </c>
      <c r="C1925" s="169" t="s">
        <v>45</v>
      </c>
      <c r="D1925" s="169" t="s">
        <v>7915</v>
      </c>
      <c r="E1925" s="169" t="s">
        <v>60</v>
      </c>
      <c r="F1925" s="245" t="str">
        <f t="shared" si="123"/>
        <v>Dhoz 71</v>
      </c>
      <c r="G1925" s="169" t="s">
        <v>319</v>
      </c>
      <c r="H1925" s="169" t="s">
        <v>10805</v>
      </c>
      <c r="I1925" s="169" t="str">
        <f t="shared" si="121"/>
        <v>L10_DPVE_083E_DE</v>
      </c>
      <c r="J1925" s="169" t="s">
        <v>8169</v>
      </c>
      <c r="K1925" s="169">
        <f>IFERROR(MATCH(J1925,'Final List'!$B$4:$B$252,0),0)</f>
        <v>0</v>
      </c>
      <c r="L1925" s="169">
        <f>IFERROR(MATCH(J1925,'Final List'!$D$4:$D$252,0),0)</f>
        <v>0</v>
      </c>
      <c r="M1925" s="169">
        <f>IFERROR(MATCH(J1925,'Final List'!$F$4:$F$251,0),0)</f>
        <v>0</v>
      </c>
      <c r="N1925" s="169">
        <f>IFERROR(MATCH(J1925,'Final List'!$H$4:$H$252,0),0)</f>
        <v>0</v>
      </c>
      <c r="O1925" s="169">
        <f>IFERROR(MATCH(J1925,'Final List'!$J$4:$J$252,0),0)</f>
        <v>0</v>
      </c>
      <c r="P1925" s="169">
        <f>IFERROR(MATCH(J1925,'Final List'!$L$4:$L$252,0),0)</f>
        <v>0</v>
      </c>
      <c r="Q1925" s="169">
        <f>IFERROR(MATCH(J1925,'Final List'!$N$4:$N$252,0),0)</f>
        <v>0</v>
      </c>
      <c r="R1925" s="169">
        <f>IFERROR(MATCH(J1925,'Final List'!$P$4:$P$252,0),0)</f>
        <v>0</v>
      </c>
      <c r="S1925" s="169">
        <f t="shared" si="124"/>
        <v>0</v>
      </c>
      <c r="V1925" s="169" t="str">
        <f t="shared" si="122"/>
        <v>SHEPHERD BD 1</v>
      </c>
      <c r="W1925" s="169" t="s">
        <v>8896</v>
      </c>
    </row>
    <row r="1926" spans="2:23" x14ac:dyDescent="0.25">
      <c r="B1926" s="169" t="s">
        <v>91</v>
      </c>
      <c r="C1926" s="169" t="s">
        <v>56</v>
      </c>
      <c r="D1926" s="169" t="s">
        <v>129</v>
      </c>
      <c r="E1926" s="169" t="s">
        <v>62</v>
      </c>
      <c r="F1926" s="245" t="str">
        <f t="shared" si="123"/>
        <v>RobC 80</v>
      </c>
      <c r="G1926" s="169" t="s">
        <v>310</v>
      </c>
      <c r="I1926" s="169" t="str">
        <f t="shared" si="121"/>
        <v>L04_GHVFW_010E_ROBBING</v>
      </c>
      <c r="J1926" s="169" t="s">
        <v>9664</v>
      </c>
      <c r="K1926" s="169">
        <f>IFERROR(MATCH(J1926,'Final List'!$B$4:$B$252,0),0)</f>
        <v>0</v>
      </c>
      <c r="L1926" s="169">
        <f>IFERROR(MATCH(J1926,'Final List'!$D$4:$D$252,0),0)</f>
        <v>0</v>
      </c>
      <c r="M1926" s="169">
        <f>IFERROR(MATCH(J1926,'Final List'!$F$4:$F$251,0),0)</f>
        <v>0</v>
      </c>
      <c r="N1926" s="169">
        <f>IFERROR(MATCH(J1926,'Final List'!$H$4:$H$252,0),0)</f>
        <v>0</v>
      </c>
      <c r="O1926" s="169">
        <f>IFERROR(MATCH(J1926,'Final List'!$J$4:$J$252,0),0)</f>
        <v>0</v>
      </c>
      <c r="P1926" s="169">
        <f>IFERROR(MATCH(J1926,'Final List'!$L$4:$L$252,0),0)</f>
        <v>0</v>
      </c>
      <c r="Q1926" s="169">
        <f>IFERROR(MATCH(J1926,'Final List'!$N$4:$N$252,0),0)</f>
        <v>0</v>
      </c>
      <c r="R1926" s="169">
        <f>IFERROR(MATCH(J1926,'Final List'!$P$4:$P$252,0),0)</f>
        <v>0</v>
      </c>
      <c r="S1926" s="169">
        <f t="shared" si="124"/>
        <v>0</v>
      </c>
      <c r="T1926" s="169" t="s">
        <v>48</v>
      </c>
      <c r="V1926" s="169" t="str">
        <f t="shared" si="122"/>
        <v>MARTINEZ DN 1</v>
      </c>
      <c r="W1926" s="169" t="s">
        <v>236</v>
      </c>
    </row>
    <row r="1927" spans="2:23" x14ac:dyDescent="0.25">
      <c r="B1927" s="169" t="s">
        <v>91</v>
      </c>
      <c r="C1927" s="169" t="s">
        <v>87</v>
      </c>
      <c r="D1927" s="169" t="s">
        <v>6714</v>
      </c>
      <c r="E1927" s="169" t="s">
        <v>70</v>
      </c>
      <c r="F1927" s="245" t="str">
        <f t="shared" si="123"/>
        <v>Dhoz 71</v>
      </c>
      <c r="G1927" s="169" t="s">
        <v>315</v>
      </c>
      <c r="I1927" s="169" t="str">
        <f t="shared" si="121"/>
        <v>L04_NONE_037W_SUMP</v>
      </c>
      <c r="J1927" s="169" t="s">
        <v>9666</v>
      </c>
      <c r="K1927" s="169">
        <f>IFERROR(MATCH(J1927,'Final List'!$B$4:$B$252,0),0)</f>
        <v>0</v>
      </c>
      <c r="L1927" s="169">
        <f>IFERROR(MATCH(J1927,'Final List'!$D$4:$D$252,0),0)</f>
        <v>0</v>
      </c>
      <c r="M1927" s="169">
        <f>IFERROR(MATCH(J1927,'Final List'!$F$4:$F$251,0),0)</f>
        <v>0</v>
      </c>
      <c r="N1927" s="169">
        <f>IFERROR(MATCH(J1927,'Final List'!$H$4:$H$252,0),0)</f>
        <v>0</v>
      </c>
      <c r="O1927" s="169">
        <f>IFERROR(MATCH(J1927,'Final List'!$J$4:$J$252,0),0)</f>
        <v>0</v>
      </c>
      <c r="P1927" s="169">
        <f>IFERROR(MATCH(J1927,'Final List'!$L$4:$L$252,0),0)</f>
        <v>0</v>
      </c>
      <c r="Q1927" s="169">
        <f>IFERROR(MATCH(J1927,'Final List'!$N$4:$N$252,0),0)</f>
        <v>0</v>
      </c>
      <c r="R1927" s="169">
        <f>IFERROR(MATCH(J1927,'Final List'!$P$4:$P$252,0),0)</f>
        <v>0</v>
      </c>
      <c r="S1927" s="169">
        <f t="shared" si="124"/>
        <v>0</v>
      </c>
      <c r="V1927" s="169" t="str">
        <f t="shared" si="122"/>
        <v>NACARIO 1</v>
      </c>
      <c r="W1927" s="169" t="s">
        <v>2714</v>
      </c>
    </row>
    <row r="1928" spans="2:23" x14ac:dyDescent="0.25">
      <c r="B1928" s="169" t="s">
        <v>93</v>
      </c>
      <c r="C1928" s="169" t="s">
        <v>45</v>
      </c>
      <c r="D1928" s="169" t="s">
        <v>6033</v>
      </c>
      <c r="E1928" s="169" t="s">
        <v>62</v>
      </c>
      <c r="F1928" s="245" t="str">
        <f t="shared" si="123"/>
        <v>RobC 80</v>
      </c>
      <c r="G1928" s="169" t="s">
        <v>378</v>
      </c>
      <c r="I1928" s="169" t="str">
        <f t="shared" si="121"/>
        <v>L06_DPVE_013E_ROBBING</v>
      </c>
      <c r="J1928" s="169" t="s">
        <v>9669</v>
      </c>
      <c r="K1928" s="169">
        <f>IFERROR(MATCH(J1928,'Final List'!$B$4:$B$252,0),0)</f>
        <v>0</v>
      </c>
      <c r="L1928" s="169">
        <f>IFERROR(MATCH(J1928,'Final List'!$D$4:$D$252,0),0)</f>
        <v>0</v>
      </c>
      <c r="M1928" s="169">
        <f>IFERROR(MATCH(J1928,'Final List'!$F$4:$F$251,0),0)</f>
        <v>0</v>
      </c>
      <c r="N1928" s="169">
        <f>IFERROR(MATCH(J1928,'Final List'!$H$4:$H$252,0),0)</f>
        <v>0</v>
      </c>
      <c r="O1928" s="169">
        <f>IFERROR(MATCH(J1928,'Final List'!$J$4:$J$252,0),0)</f>
        <v>0</v>
      </c>
      <c r="P1928" s="169">
        <f>IFERROR(MATCH(J1928,'Final List'!$L$4:$L$252,0),0)</f>
        <v>0</v>
      </c>
      <c r="Q1928" s="169">
        <f>IFERROR(MATCH(J1928,'Final List'!$N$4:$N$252,0),0)</f>
        <v>0</v>
      </c>
      <c r="R1928" s="169">
        <f>IFERROR(MATCH(J1928,'Final List'!$P$4:$P$252,0),0)</f>
        <v>0</v>
      </c>
      <c r="S1928" s="169">
        <f t="shared" si="124"/>
        <v>0</v>
      </c>
      <c r="T1928" s="169" t="s">
        <v>48</v>
      </c>
      <c r="V1928" s="169" t="str">
        <f t="shared" si="122"/>
        <v>GUNAY 1</v>
      </c>
      <c r="W1928" s="169" t="s">
        <v>236</v>
      </c>
    </row>
    <row r="1929" spans="2:23" x14ac:dyDescent="0.25">
      <c r="B1929" s="169" t="s">
        <v>96</v>
      </c>
      <c r="C1929" s="169" t="s">
        <v>45</v>
      </c>
      <c r="D1929" s="169" t="s">
        <v>284</v>
      </c>
      <c r="E1929" s="169" t="s">
        <v>6154</v>
      </c>
      <c r="F1929" s="245" t="str">
        <f t="shared" si="123"/>
        <v>Dhoz 71</v>
      </c>
      <c r="G1929" s="169" t="s">
        <v>349</v>
      </c>
      <c r="I1929" s="169" t="str">
        <f t="shared" si="121"/>
        <v>L09_DPVE_061E_DW_ISL</v>
      </c>
      <c r="J1929" s="169" t="s">
        <v>9676</v>
      </c>
      <c r="K1929" s="169">
        <f>IFERROR(MATCH(J1929,'Final List'!$B$4:$B$252,0),0)</f>
        <v>0</v>
      </c>
      <c r="L1929" s="169">
        <f>IFERROR(MATCH(J1929,'Final List'!$D$4:$D$252,0),0)</f>
        <v>0</v>
      </c>
      <c r="M1929" s="169">
        <f>IFERROR(MATCH(J1929,'Final List'!$F$4:$F$251,0),0)</f>
        <v>0</v>
      </c>
      <c r="N1929" s="169">
        <f>IFERROR(MATCH(J1929,'Final List'!$H$4:$H$252,0),0)</f>
        <v>0</v>
      </c>
      <c r="O1929" s="169">
        <f>IFERROR(MATCH(J1929,'Final List'!$J$4:$J$252,0),0)</f>
        <v>0</v>
      </c>
      <c r="P1929" s="169">
        <f>IFERROR(MATCH(J1929,'Final List'!$L$4:$L$252,0),0)</f>
        <v>0</v>
      </c>
      <c r="Q1929" s="169">
        <f>IFERROR(MATCH(J1929,'Final List'!$N$4:$N$252,0),0)</f>
        <v>0</v>
      </c>
      <c r="R1929" s="169">
        <f>IFERROR(MATCH(J1929,'Final List'!$P$4:$P$252,0),0)</f>
        <v>0</v>
      </c>
      <c r="S1929" s="169">
        <f t="shared" si="124"/>
        <v>0</v>
      </c>
      <c r="V1929" s="169" t="str">
        <f t="shared" si="122"/>
        <v>QUIJANO 2</v>
      </c>
      <c r="W1929" s="169" t="s">
        <v>8896</v>
      </c>
    </row>
    <row r="1930" spans="2:23" x14ac:dyDescent="0.25">
      <c r="B1930" s="169" t="s">
        <v>91</v>
      </c>
      <c r="C1930" s="169" t="s">
        <v>41</v>
      </c>
      <c r="D1930" s="169" t="s">
        <v>5669</v>
      </c>
      <c r="E1930" s="169" t="s">
        <v>62</v>
      </c>
      <c r="F1930" s="245" t="str">
        <f t="shared" si="123"/>
        <v>RobS 79</v>
      </c>
      <c r="G1930" s="169" t="s">
        <v>9883</v>
      </c>
      <c r="H1930" s="169" t="s">
        <v>10123</v>
      </c>
      <c r="I1930" s="169" t="str">
        <f t="shared" si="121"/>
        <v>L04_CTV_027W_ROBBING</v>
      </c>
      <c r="J1930" s="169" t="s">
        <v>9678</v>
      </c>
      <c r="K1930" s="169">
        <f>IFERROR(MATCH(J1930,'Final List'!$B$4:$B$252,0),0)</f>
        <v>0</v>
      </c>
      <c r="L1930" s="169">
        <f>IFERROR(MATCH(J1930,'Final List'!$D$4:$D$252,0),0)</f>
        <v>0</v>
      </c>
      <c r="M1930" s="169">
        <f>IFERROR(MATCH(J1930,'Final List'!$F$4:$F$251,0),0)</f>
        <v>0</v>
      </c>
      <c r="N1930" s="169">
        <f>IFERROR(MATCH(J1930,'Final List'!$H$4:$H$252,0),0)</f>
        <v>0</v>
      </c>
      <c r="O1930" s="169">
        <f>IFERROR(MATCH(J1930,'Final List'!$J$4:$J$252,0),0)</f>
        <v>0</v>
      </c>
      <c r="P1930" s="169">
        <f>IFERROR(MATCH(J1930,'Final List'!$L$4:$L$252,0),0)</f>
        <v>0</v>
      </c>
      <c r="Q1930" s="169">
        <f>IFERROR(MATCH(J1930,'Final List'!$N$4:$N$252,0),0)</f>
        <v>0</v>
      </c>
      <c r="R1930" s="169">
        <f>IFERROR(MATCH(J1930,'Final List'!$P$4:$P$252,0),0)</f>
        <v>0</v>
      </c>
      <c r="S1930" s="169">
        <f t="shared" si="124"/>
        <v>0</v>
      </c>
      <c r="T1930" s="169" t="s">
        <v>68</v>
      </c>
      <c r="V1930" s="169" t="str">
        <f t="shared" si="122"/>
        <v>MARTINEZ, DN 4</v>
      </c>
      <c r="W1930" s="169" t="s">
        <v>2707</v>
      </c>
    </row>
    <row r="1931" spans="2:23" x14ac:dyDescent="0.25">
      <c r="B1931" s="169" t="s">
        <v>93</v>
      </c>
      <c r="C1931" s="169" t="s">
        <v>42</v>
      </c>
      <c r="D1931" s="169" t="s">
        <v>111</v>
      </c>
      <c r="E1931" s="169" t="s">
        <v>6154</v>
      </c>
      <c r="F1931" s="245" t="str">
        <f t="shared" si="123"/>
        <v>Dhoz 71</v>
      </c>
      <c r="G1931" s="169" t="s">
        <v>526</v>
      </c>
      <c r="I1931" s="169" t="str">
        <f t="shared" si="121"/>
        <v>L06_JV_004W_DW_ISL</v>
      </c>
      <c r="J1931" s="169" t="s">
        <v>9683</v>
      </c>
      <c r="K1931" s="169">
        <f>IFERROR(MATCH(J1931,'Final List'!$B$4:$B$252,0),0)</f>
        <v>0</v>
      </c>
      <c r="L1931" s="169">
        <f>IFERROR(MATCH(J1931,'Final List'!$D$4:$D$252,0),0)</f>
        <v>0</v>
      </c>
      <c r="M1931" s="169">
        <f>IFERROR(MATCH(J1931,'Final List'!$F$4:$F$251,0),0)</f>
        <v>0</v>
      </c>
      <c r="N1931" s="169">
        <f>IFERROR(MATCH(J1931,'Final List'!$H$4:$H$252,0),0)</f>
        <v>0</v>
      </c>
      <c r="O1931" s="169">
        <f>IFERROR(MATCH(J1931,'Final List'!$J$4:$J$252,0),0)</f>
        <v>0</v>
      </c>
      <c r="P1931" s="169">
        <f>IFERROR(MATCH(J1931,'Final List'!$L$4:$L$252,0),0)</f>
        <v>0</v>
      </c>
      <c r="Q1931" s="169">
        <f>IFERROR(MATCH(J1931,'Final List'!$N$4:$N$252,0),0)</f>
        <v>0</v>
      </c>
      <c r="R1931" s="169">
        <f>IFERROR(MATCH(J1931,'Final List'!$P$4:$P$252,0),0)</f>
        <v>0</v>
      </c>
      <c r="S1931" s="169">
        <f t="shared" si="124"/>
        <v>0</v>
      </c>
      <c r="V1931" s="169" t="str">
        <f t="shared" si="122"/>
        <v>CARIKITAN 2</v>
      </c>
      <c r="W1931" s="169" t="s">
        <v>2708</v>
      </c>
    </row>
    <row r="1932" spans="2:23" x14ac:dyDescent="0.25">
      <c r="B1932" s="169" t="s">
        <v>93</v>
      </c>
      <c r="C1932" s="169" t="s">
        <v>87</v>
      </c>
      <c r="D1932" s="169" t="s">
        <v>595</v>
      </c>
      <c r="E1932" s="169" t="s">
        <v>63</v>
      </c>
      <c r="F1932" s="245" t="str">
        <f t="shared" si="123"/>
        <v>Dhoz 71</v>
      </c>
      <c r="G1932" s="169" t="s">
        <v>5717</v>
      </c>
      <c r="I1932" s="169" t="str">
        <f t="shared" si="121"/>
        <v>L06_NONE_072E_XCS</v>
      </c>
      <c r="J1932" s="169" t="s">
        <v>9684</v>
      </c>
      <c r="K1932" s="169">
        <f>IFERROR(MATCH(J1932,'Final List'!$B$4:$B$252,0),0)</f>
        <v>0</v>
      </c>
      <c r="L1932" s="169">
        <f>IFERROR(MATCH(J1932,'Final List'!$D$4:$D$252,0),0)</f>
        <v>0</v>
      </c>
      <c r="M1932" s="169">
        <f>IFERROR(MATCH(J1932,'Final List'!$F$4:$F$251,0),0)</f>
        <v>0</v>
      </c>
      <c r="N1932" s="169">
        <f>IFERROR(MATCH(J1932,'Final List'!$H$4:$H$252,0),0)</f>
        <v>0</v>
      </c>
      <c r="O1932" s="169">
        <f>IFERROR(MATCH(J1932,'Final List'!$J$4:$J$252,0),0)</f>
        <v>0</v>
      </c>
      <c r="P1932" s="169">
        <f>IFERROR(MATCH(J1932,'Final List'!$L$4:$L$252,0),0)</f>
        <v>0</v>
      </c>
      <c r="Q1932" s="169">
        <f>IFERROR(MATCH(J1932,'Final List'!$N$4:$N$252,0),0)</f>
        <v>0</v>
      </c>
      <c r="R1932" s="169">
        <f>IFERROR(MATCH(J1932,'Final List'!$P$4:$P$252,0),0)</f>
        <v>0</v>
      </c>
      <c r="S1932" s="169">
        <f t="shared" si="124"/>
        <v>0</v>
      </c>
      <c r="V1932" s="169" t="str">
        <f t="shared" si="122"/>
        <v>SHEPHERD AC 1</v>
      </c>
      <c r="W1932" s="169" t="s">
        <v>8897</v>
      </c>
    </row>
    <row r="1933" spans="2:23" x14ac:dyDescent="0.25">
      <c r="B1933" s="169" t="s">
        <v>92</v>
      </c>
      <c r="C1933" s="169" t="s">
        <v>57</v>
      </c>
      <c r="D1933" s="169" t="s">
        <v>171</v>
      </c>
      <c r="E1933" s="169" t="s">
        <v>62</v>
      </c>
      <c r="F1933" s="245" t="str">
        <f t="shared" si="123"/>
        <v>RobS 79</v>
      </c>
      <c r="G1933" s="169" t="s">
        <v>8197</v>
      </c>
      <c r="I1933" s="169" t="str">
        <f t="shared" si="121"/>
        <v>L05_JVSPLIT_015W_ROBBING</v>
      </c>
      <c r="J1933" s="169" t="s">
        <v>9687</v>
      </c>
      <c r="K1933" s="169">
        <f>IFERROR(MATCH(J1933,'Final List'!$B$4:$B$252,0),0)</f>
        <v>0</v>
      </c>
      <c r="L1933" s="169">
        <f>IFERROR(MATCH(J1933,'Final List'!$D$4:$D$252,0),0)</f>
        <v>0</v>
      </c>
      <c r="M1933" s="169">
        <f>IFERROR(MATCH(J1933,'Final List'!$F$4:$F$251,0),0)</f>
        <v>0</v>
      </c>
      <c r="N1933" s="169">
        <f>IFERROR(MATCH(J1933,'Final List'!$H$4:$H$252,0),0)</f>
        <v>0</v>
      </c>
      <c r="O1933" s="169">
        <f>IFERROR(MATCH(J1933,'Final List'!$J$4:$J$252,0),0)</f>
        <v>0</v>
      </c>
      <c r="P1933" s="169">
        <f>IFERROR(MATCH(J1933,'Final List'!$L$4:$L$252,0),0)</f>
        <v>0</v>
      </c>
      <c r="Q1933" s="169">
        <f>IFERROR(MATCH(J1933,'Final List'!$N$4:$N$252,0),0)</f>
        <v>0</v>
      </c>
      <c r="R1933" s="169">
        <f>IFERROR(MATCH(J1933,'Final List'!$P$4:$P$252,0),0)</f>
        <v>0</v>
      </c>
      <c r="S1933" s="169">
        <f t="shared" si="124"/>
        <v>0</v>
      </c>
      <c r="T1933" s="169" t="s">
        <v>68</v>
      </c>
      <c r="V1933" s="169" t="str">
        <f t="shared" si="122"/>
        <v>PANCIT, NOEL  1</v>
      </c>
      <c r="W1933" s="169" t="s">
        <v>2707</v>
      </c>
    </row>
    <row r="1934" spans="2:23" x14ac:dyDescent="0.25">
      <c r="B1934" s="169" t="s">
        <v>96</v>
      </c>
      <c r="C1934" s="169" t="s">
        <v>38</v>
      </c>
      <c r="D1934" s="169" t="s">
        <v>132</v>
      </c>
      <c r="E1934" s="169" t="s">
        <v>10035</v>
      </c>
      <c r="F1934" s="245" t="s">
        <v>15359</v>
      </c>
      <c r="G1934" s="169" t="s">
        <v>363</v>
      </c>
      <c r="I1934" s="169" t="str">
        <f t="shared" si="121"/>
        <v xml:space="preserve">L09_GHV_033E_WINZE  </v>
      </c>
      <c r="J1934" s="169" t="s">
        <v>10036</v>
      </c>
      <c r="K1934" s="169">
        <f>IFERROR(MATCH(J1934,'Final List'!$B$4:$B$252,0),0)</f>
        <v>0</v>
      </c>
      <c r="L1934" s="169">
        <f>IFERROR(MATCH(J1934,'Final List'!$D$4:$D$252,0),0)</f>
        <v>0</v>
      </c>
      <c r="M1934" s="169">
        <f>IFERROR(MATCH(J1934,'Final List'!$F$4:$F$251,0),0)</f>
        <v>0</v>
      </c>
      <c r="N1934" s="169">
        <f>IFERROR(MATCH(J1934,'Final List'!$H$4:$H$252,0),0)</f>
        <v>0</v>
      </c>
      <c r="O1934" s="169">
        <f>IFERROR(MATCH(J1934,'Final List'!$J$4:$J$252,0),0)</f>
        <v>0</v>
      </c>
      <c r="P1934" s="169">
        <f>IFERROR(MATCH(J1934,'Final List'!$L$4:$L$252,0),0)</f>
        <v>0</v>
      </c>
      <c r="Q1934" s="169">
        <f>IFERROR(MATCH(J1934,'Final List'!$N$4:$N$252,0),0)</f>
        <v>0</v>
      </c>
      <c r="R1934" s="169">
        <f>IFERROR(MATCH(J1934,'Final List'!$P$4:$P$252,0),0)</f>
        <v>0</v>
      </c>
      <c r="S1934" s="169">
        <f t="shared" si="124"/>
        <v>0</v>
      </c>
      <c r="V1934" s="169" t="str">
        <f t="shared" si="122"/>
        <v>BABOR 2</v>
      </c>
      <c r="W1934" s="169" t="s">
        <v>2706</v>
      </c>
    </row>
    <row r="1935" spans="2:23" x14ac:dyDescent="0.25">
      <c r="B1935" s="169" t="s">
        <v>258</v>
      </c>
      <c r="C1935" s="169" t="s">
        <v>56</v>
      </c>
      <c r="D1935" s="169" t="s">
        <v>178</v>
      </c>
      <c r="E1935" s="169" t="s">
        <v>211</v>
      </c>
      <c r="F1935" s="245" t="str">
        <f t="shared" si="123"/>
        <v>StpS 77</v>
      </c>
      <c r="G1935" s="169" t="s">
        <v>372</v>
      </c>
      <c r="I1935" s="169" t="str">
        <f t="shared" si="121"/>
        <v>L10_GHVFW_048E_STOPE PREP</v>
      </c>
      <c r="J1935" s="169" t="s">
        <v>9689</v>
      </c>
      <c r="K1935" s="169">
        <f>IFERROR(MATCH(J1935,'Final List'!$B$4:$B$252,0),0)</f>
        <v>0</v>
      </c>
      <c r="L1935" s="169">
        <f>IFERROR(MATCH(J1935,'Final List'!$D$4:$D$252,0),0)</f>
        <v>0</v>
      </c>
      <c r="M1935" s="169">
        <f>IFERROR(MATCH(J1935,'Final List'!$F$4:$F$251,0),0)</f>
        <v>0</v>
      </c>
      <c r="N1935" s="169">
        <f>IFERROR(MATCH(J1935,'Final List'!$H$4:$H$252,0),0)</f>
        <v>0</v>
      </c>
      <c r="O1935" s="169">
        <f>IFERROR(MATCH(J1935,'Final List'!$J$4:$J$252,0),0)</f>
        <v>0</v>
      </c>
      <c r="P1935" s="169">
        <f>IFERROR(MATCH(J1935,'Final List'!$L$4:$L$252,0),0)</f>
        <v>0</v>
      </c>
      <c r="Q1935" s="169">
        <f>IFERROR(MATCH(J1935,'Final List'!$N$4:$N$252,0),0)</f>
        <v>0</v>
      </c>
      <c r="R1935" s="169">
        <f>IFERROR(MATCH(J1935,'Final List'!$P$4:$P$252,0),0)</f>
        <v>0</v>
      </c>
      <c r="S1935" s="169">
        <f t="shared" si="124"/>
        <v>0</v>
      </c>
      <c r="T1935" s="169" t="s">
        <v>68</v>
      </c>
      <c r="V1935" s="169" t="str">
        <f t="shared" si="122"/>
        <v>TAÑEZA 4</v>
      </c>
      <c r="W1935" s="169" t="s">
        <v>2712</v>
      </c>
    </row>
    <row r="1936" spans="2:23" x14ac:dyDescent="0.25">
      <c r="B1936" s="169" t="s">
        <v>96</v>
      </c>
      <c r="C1936" s="169" t="s">
        <v>45</v>
      </c>
      <c r="D1936" s="169" t="s">
        <v>112</v>
      </c>
      <c r="E1936" s="169" t="s">
        <v>36</v>
      </c>
      <c r="F1936" s="245" t="str">
        <f t="shared" si="123"/>
        <v>StpS 77</v>
      </c>
      <c r="G1936" s="169" t="s">
        <v>337</v>
      </c>
      <c r="H1936" s="169" t="s">
        <v>9875</v>
      </c>
      <c r="I1936" s="169" t="str">
        <f t="shared" si="121"/>
        <v>L09_DPVE_018E_STOPE</v>
      </c>
      <c r="J1936" s="169" t="s">
        <v>9794</v>
      </c>
      <c r="K1936" s="169">
        <f>IFERROR(MATCH(J1936,'Final List'!$B$4:$B$252,0),0)</f>
        <v>0</v>
      </c>
      <c r="L1936" s="169">
        <f>IFERROR(MATCH(J1936,'Final List'!$D$4:$D$252,0),0)</f>
        <v>0</v>
      </c>
      <c r="M1936" s="169">
        <f>IFERROR(MATCH(J1936,'Final List'!$F$4:$F$251,0),0)</f>
        <v>0</v>
      </c>
      <c r="N1936" s="169">
        <f>IFERROR(MATCH(J1936,'Final List'!$H$4:$H$252,0),0)</f>
        <v>0</v>
      </c>
      <c r="O1936" s="169">
        <f>IFERROR(MATCH(J1936,'Final List'!$J$4:$J$252,0),0)</f>
        <v>0</v>
      </c>
      <c r="P1936" s="169">
        <f>IFERROR(MATCH(J1936,'Final List'!$L$4:$L$252,0),0)</f>
        <v>0</v>
      </c>
      <c r="Q1936" s="169">
        <f>IFERROR(MATCH(J1936,'Final List'!$N$4:$N$252,0),0)</f>
        <v>0</v>
      </c>
      <c r="R1936" s="169">
        <f>IFERROR(MATCH(J1936,'Final List'!$P$4:$P$252,0),0)</f>
        <v>0</v>
      </c>
      <c r="S1936" s="169">
        <f t="shared" si="124"/>
        <v>0</v>
      </c>
      <c r="T1936" s="169" t="s">
        <v>68</v>
      </c>
      <c r="V1936" s="169" t="str">
        <f t="shared" si="122"/>
        <v xml:space="preserve">SHEPHERD AY 1 </v>
      </c>
      <c r="W1936" s="169" t="s">
        <v>2719</v>
      </c>
    </row>
    <row r="1937" spans="2:23" x14ac:dyDescent="0.25">
      <c r="B1937" s="169" t="s">
        <v>93</v>
      </c>
      <c r="C1937" s="169" t="s">
        <v>42</v>
      </c>
      <c r="D1937" s="169" t="s">
        <v>108</v>
      </c>
      <c r="E1937" s="169" t="s">
        <v>62</v>
      </c>
      <c r="F1937" s="245" t="str">
        <f t="shared" si="123"/>
        <v>RobS 79</v>
      </c>
      <c r="G1937" s="169" t="s">
        <v>936</v>
      </c>
      <c r="I1937" s="169" t="str">
        <f t="shared" si="121"/>
        <v>L06_JV_007W_ROBBING</v>
      </c>
      <c r="J1937" s="169" t="s">
        <v>9693</v>
      </c>
      <c r="K1937" s="169">
        <f>IFERROR(MATCH(J1937,'Final List'!$B$4:$B$252,0),0)</f>
        <v>0</v>
      </c>
      <c r="L1937" s="169">
        <f>IFERROR(MATCH(J1937,'Final List'!$D$4:$D$252,0),0)</f>
        <v>0</v>
      </c>
      <c r="M1937" s="169">
        <f>IFERROR(MATCH(J1937,'Final List'!$F$4:$F$251,0),0)</f>
        <v>0</v>
      </c>
      <c r="N1937" s="169">
        <f>IFERROR(MATCH(J1937,'Final List'!$H$4:$H$252,0),0)</f>
        <v>0</v>
      </c>
      <c r="O1937" s="169">
        <f>IFERROR(MATCH(J1937,'Final List'!$J$4:$J$252,0),0)</f>
        <v>0</v>
      </c>
      <c r="P1937" s="169">
        <f>IFERROR(MATCH(J1937,'Final List'!$L$4:$L$252,0),0)</f>
        <v>0</v>
      </c>
      <c r="Q1937" s="169">
        <f>IFERROR(MATCH(J1937,'Final List'!$N$4:$N$252,0),0)</f>
        <v>0</v>
      </c>
      <c r="R1937" s="169">
        <f>IFERROR(MATCH(J1937,'Final List'!$P$4:$P$252,0),0)</f>
        <v>0</v>
      </c>
      <c r="S1937" s="169">
        <f t="shared" si="124"/>
        <v>0</v>
      </c>
      <c r="T1937" s="169" t="s">
        <v>68</v>
      </c>
      <c r="V1937" s="169" t="str">
        <f t="shared" si="122"/>
        <v>GUNAY 2</v>
      </c>
      <c r="W1937" s="169" t="s">
        <v>2707</v>
      </c>
    </row>
    <row r="1938" spans="2:23" x14ac:dyDescent="0.25">
      <c r="B1938" s="169" t="s">
        <v>93</v>
      </c>
      <c r="C1938" s="169" t="s">
        <v>38</v>
      </c>
      <c r="D1938" s="169" t="s">
        <v>107</v>
      </c>
      <c r="E1938" s="169" t="s">
        <v>62</v>
      </c>
      <c r="F1938" s="245" t="str">
        <f t="shared" si="123"/>
        <v>RobC 80</v>
      </c>
      <c r="G1938" s="169" t="s">
        <v>349</v>
      </c>
      <c r="I1938" s="169" t="str">
        <f t="shared" si="121"/>
        <v>L06_GHV_032W_ROBBING</v>
      </c>
      <c r="J1938" s="169" t="s">
        <v>9699</v>
      </c>
      <c r="K1938" s="169">
        <f>IFERROR(MATCH(J1938,'Final List'!$B$4:$B$252,0),0)</f>
        <v>0</v>
      </c>
      <c r="L1938" s="169">
        <f>IFERROR(MATCH(J1938,'Final List'!$D$4:$D$252,0),0)</f>
        <v>0</v>
      </c>
      <c r="M1938" s="169">
        <f>IFERROR(MATCH(J1938,'Final List'!$F$4:$F$251,0),0)</f>
        <v>0</v>
      </c>
      <c r="N1938" s="169">
        <f>IFERROR(MATCH(J1938,'Final List'!$H$4:$H$252,0),0)</f>
        <v>0</v>
      </c>
      <c r="O1938" s="169">
        <f>IFERROR(MATCH(J1938,'Final List'!$J$4:$J$252,0),0)</f>
        <v>0</v>
      </c>
      <c r="P1938" s="169">
        <f>IFERROR(MATCH(J1938,'Final List'!$L$4:$L$252,0),0)</f>
        <v>0</v>
      </c>
      <c r="Q1938" s="169">
        <f>IFERROR(MATCH(J1938,'Final List'!$N$4:$N$252,0),0)</f>
        <v>0</v>
      </c>
      <c r="R1938" s="169">
        <f>IFERROR(MATCH(J1938,'Final List'!$P$4:$P$252,0),0)</f>
        <v>0</v>
      </c>
      <c r="S1938" s="169">
        <f t="shared" si="124"/>
        <v>0</v>
      </c>
      <c r="T1938" s="169" t="s">
        <v>48</v>
      </c>
      <c r="V1938" s="169" t="str">
        <f t="shared" si="122"/>
        <v>QUIJANO 2</v>
      </c>
      <c r="W1938" s="169" t="s">
        <v>236</v>
      </c>
    </row>
    <row r="1939" spans="2:23" x14ac:dyDescent="0.25">
      <c r="B1939" s="169" t="s">
        <v>94</v>
      </c>
      <c r="C1939" s="169" t="s">
        <v>39</v>
      </c>
      <c r="D1939" s="169" t="s">
        <v>144</v>
      </c>
      <c r="E1939" s="169" t="s">
        <v>62</v>
      </c>
      <c r="F1939" s="245" t="str">
        <f t="shared" si="123"/>
        <v>RobS 79</v>
      </c>
      <c r="G1939" s="169" t="s">
        <v>344</v>
      </c>
      <c r="I1939" s="169" t="str">
        <f t="shared" si="121"/>
        <v>L07_JVHW_043E_ROBBING</v>
      </c>
      <c r="J1939" s="169" t="s">
        <v>9700</v>
      </c>
      <c r="K1939" s="169">
        <f>IFERROR(MATCH(J1939,'Final List'!$B$4:$B$252,0),0)</f>
        <v>0</v>
      </c>
      <c r="L1939" s="169">
        <f>IFERROR(MATCH(J1939,'Final List'!$D$4:$D$252,0),0)</f>
        <v>0</v>
      </c>
      <c r="M1939" s="169">
        <f>IFERROR(MATCH(J1939,'Final List'!$F$4:$F$251,0),0)</f>
        <v>0</v>
      </c>
      <c r="N1939" s="169">
        <f>IFERROR(MATCH(J1939,'Final List'!$H$4:$H$252,0),0)</f>
        <v>0</v>
      </c>
      <c r="O1939" s="169">
        <f>IFERROR(MATCH(J1939,'Final List'!$J$4:$J$252,0),0)</f>
        <v>0</v>
      </c>
      <c r="P1939" s="169">
        <f>IFERROR(MATCH(J1939,'Final List'!$L$4:$L$252,0),0)</f>
        <v>0</v>
      </c>
      <c r="Q1939" s="169">
        <f>IFERROR(MATCH(J1939,'Final List'!$N$4:$N$252,0),0)</f>
        <v>0</v>
      </c>
      <c r="R1939" s="169">
        <f>IFERROR(MATCH(J1939,'Final List'!$P$4:$P$252,0),0)</f>
        <v>0</v>
      </c>
      <c r="S1939" s="169">
        <f t="shared" si="124"/>
        <v>0</v>
      </c>
      <c r="T1939" s="169" t="s">
        <v>68</v>
      </c>
      <c r="V1939" s="169" t="str">
        <f t="shared" si="122"/>
        <v>UDLOS 1</v>
      </c>
      <c r="W1939" s="169" t="s">
        <v>2707</v>
      </c>
    </row>
    <row r="1940" spans="2:23" x14ac:dyDescent="0.25">
      <c r="B1940" s="169" t="s">
        <v>92</v>
      </c>
      <c r="C1940" s="169" t="s">
        <v>45</v>
      </c>
      <c r="D1940" s="169" t="s">
        <v>168</v>
      </c>
      <c r="E1940" s="169" t="s">
        <v>62</v>
      </c>
      <c r="F1940" s="245" t="str">
        <f t="shared" si="123"/>
        <v>RobS 79</v>
      </c>
      <c r="G1940" s="169" t="s">
        <v>450</v>
      </c>
      <c r="I1940" s="169" t="str">
        <f t="shared" si="121"/>
        <v>L05_DPVE_047E_ROBBING</v>
      </c>
      <c r="J1940" s="169" t="s">
        <v>9705</v>
      </c>
      <c r="K1940" s="169">
        <f>IFERROR(MATCH(J1940,'Final List'!$B$4:$B$252,0),0)</f>
        <v>0</v>
      </c>
      <c r="L1940" s="169">
        <f>IFERROR(MATCH(J1940,'Final List'!$D$4:$D$252,0),0)</f>
        <v>0</v>
      </c>
      <c r="M1940" s="169">
        <f>IFERROR(MATCH(J1940,'Final List'!$F$4:$F$251,0),0)</f>
        <v>0</v>
      </c>
      <c r="N1940" s="169">
        <f>IFERROR(MATCH(J1940,'Final List'!$H$4:$H$252,0),0)</f>
        <v>0</v>
      </c>
      <c r="O1940" s="169">
        <f>IFERROR(MATCH(J1940,'Final List'!$J$4:$J$252,0),0)</f>
        <v>0</v>
      </c>
      <c r="P1940" s="169">
        <f>IFERROR(MATCH(J1940,'Final List'!$L$4:$L$252,0),0)</f>
        <v>0</v>
      </c>
      <c r="Q1940" s="169">
        <f>IFERROR(MATCH(J1940,'Final List'!$N$4:$N$252,0),0)</f>
        <v>0</v>
      </c>
      <c r="R1940" s="169">
        <f>IFERROR(MATCH(J1940,'Final List'!$P$4:$P$252,0),0)</f>
        <v>0</v>
      </c>
      <c r="S1940" s="169">
        <f t="shared" si="124"/>
        <v>0</v>
      </c>
      <c r="T1940" s="169" t="s">
        <v>68</v>
      </c>
      <c r="V1940" s="169" t="str">
        <f t="shared" si="122"/>
        <v>BAYOBAY 1</v>
      </c>
      <c r="W1940" s="169" t="s">
        <v>2707</v>
      </c>
    </row>
    <row r="1941" spans="2:23" x14ac:dyDescent="0.25">
      <c r="B1941" s="169" t="s">
        <v>92</v>
      </c>
      <c r="C1941" s="169" t="s">
        <v>42</v>
      </c>
      <c r="D1941" s="169" t="s">
        <v>5975</v>
      </c>
      <c r="E1941" s="169" t="s">
        <v>62</v>
      </c>
      <c r="F1941" s="245" t="str">
        <f t="shared" si="123"/>
        <v>RobS 79</v>
      </c>
      <c r="G1941" s="169" t="s">
        <v>5706</v>
      </c>
      <c r="I1941" s="169" t="str">
        <f t="shared" si="121"/>
        <v>L05_JV_028E_ROBBING</v>
      </c>
      <c r="J1941" s="169" t="s">
        <v>9704</v>
      </c>
      <c r="K1941" s="169">
        <f>IFERROR(MATCH(J1941,'Final List'!$B$4:$B$252,0),0)</f>
        <v>0</v>
      </c>
      <c r="L1941" s="169">
        <f>IFERROR(MATCH(J1941,'Final List'!$D$4:$D$252,0),0)</f>
        <v>0</v>
      </c>
      <c r="M1941" s="169">
        <f>IFERROR(MATCH(J1941,'Final List'!$F$4:$F$251,0),0)</f>
        <v>0</v>
      </c>
      <c r="N1941" s="169">
        <f>IFERROR(MATCH(J1941,'Final List'!$H$4:$H$252,0),0)</f>
        <v>0</v>
      </c>
      <c r="O1941" s="169">
        <f>IFERROR(MATCH(J1941,'Final List'!$J$4:$J$252,0),0)</f>
        <v>0</v>
      </c>
      <c r="P1941" s="169">
        <f>IFERROR(MATCH(J1941,'Final List'!$L$4:$L$252,0),0)</f>
        <v>0</v>
      </c>
      <c r="Q1941" s="169">
        <f>IFERROR(MATCH(J1941,'Final List'!$N$4:$N$252,0),0)</f>
        <v>0</v>
      </c>
      <c r="R1941" s="169">
        <f>IFERROR(MATCH(J1941,'Final List'!$P$4:$P$252,0),0)</f>
        <v>0</v>
      </c>
      <c r="S1941" s="169">
        <f t="shared" si="124"/>
        <v>0</v>
      </c>
      <c r="T1941" s="169" t="s">
        <v>68</v>
      </c>
      <c r="V1941" s="169" t="str">
        <f t="shared" si="122"/>
        <v>SHEPHERD AF 1</v>
      </c>
      <c r="W1941" s="169" t="s">
        <v>2707</v>
      </c>
    </row>
    <row r="1942" spans="2:23" x14ac:dyDescent="0.25">
      <c r="B1942" s="169" t="s">
        <v>95</v>
      </c>
      <c r="C1942" s="169" t="s">
        <v>56</v>
      </c>
      <c r="D1942" s="169" t="s">
        <v>135</v>
      </c>
      <c r="E1942" s="169" t="s">
        <v>61</v>
      </c>
      <c r="F1942" s="245" t="str">
        <f t="shared" si="123"/>
        <v>Dhoz 71</v>
      </c>
      <c r="G1942" s="169" t="s">
        <v>6936</v>
      </c>
      <c r="I1942" s="169" t="str">
        <f t="shared" si="121"/>
        <v>L08_GHVFW_034E_DW</v>
      </c>
      <c r="J1942" s="169" t="s">
        <v>9738</v>
      </c>
      <c r="K1942" s="169">
        <f>IFERROR(MATCH(J1942,'Final List'!$B$4:$B$252,0),0)</f>
        <v>0</v>
      </c>
      <c r="L1942" s="169">
        <f>IFERROR(MATCH(J1942,'Final List'!$D$4:$D$252,0),0)</f>
        <v>0</v>
      </c>
      <c r="M1942" s="169">
        <f>IFERROR(MATCH(J1942,'Final List'!$F$4:$F$251,0),0)</f>
        <v>0</v>
      </c>
      <c r="N1942" s="169">
        <f>IFERROR(MATCH(J1942,'Final List'!$H$4:$H$252,0),0)</f>
        <v>0</v>
      </c>
      <c r="O1942" s="169">
        <f>IFERROR(MATCH(J1942,'Final List'!$J$4:$J$252,0),0)</f>
        <v>0</v>
      </c>
      <c r="P1942" s="169">
        <f>IFERROR(MATCH(J1942,'Final List'!$L$4:$L$252,0),0)</f>
        <v>0</v>
      </c>
      <c r="Q1942" s="169">
        <f>IFERROR(MATCH(J1942,'Final List'!$N$4:$N$252,0),0)</f>
        <v>0</v>
      </c>
      <c r="R1942" s="169">
        <f>IFERROR(MATCH(J1942,'Final List'!$P$4:$P$252,0),0)</f>
        <v>0</v>
      </c>
      <c r="S1942" s="169">
        <f t="shared" si="124"/>
        <v>0</v>
      </c>
      <c r="V1942" s="169" t="str">
        <f t="shared" si="122"/>
        <v>OSWAY 1</v>
      </c>
      <c r="W1942" s="169" t="s">
        <v>8895</v>
      </c>
    </row>
    <row r="1943" spans="2:23" x14ac:dyDescent="0.25">
      <c r="B1943" s="169" t="s">
        <v>258</v>
      </c>
      <c r="C1943" s="169" t="s">
        <v>45</v>
      </c>
      <c r="D1943" s="169" t="s">
        <v>170</v>
      </c>
      <c r="E1943" s="169" t="s">
        <v>60</v>
      </c>
      <c r="F1943" s="245" t="str">
        <f t="shared" si="123"/>
        <v>Dhoz 71</v>
      </c>
      <c r="G1943" s="169" t="s">
        <v>5703</v>
      </c>
      <c r="I1943" s="169" t="str">
        <f t="shared" si="121"/>
        <v>L10_DPVE_071E_DE</v>
      </c>
      <c r="J1943" s="169" t="s">
        <v>9709</v>
      </c>
      <c r="K1943" s="169">
        <f>IFERROR(MATCH(J1943,'Final List'!$B$4:$B$252,0),0)</f>
        <v>0</v>
      </c>
      <c r="L1943" s="169">
        <f>IFERROR(MATCH(J1943,'Final List'!$D$4:$D$252,0),0)</f>
        <v>0</v>
      </c>
      <c r="M1943" s="169">
        <f>IFERROR(MATCH(J1943,'Final List'!$F$4:$F$251,0),0)</f>
        <v>0</v>
      </c>
      <c r="N1943" s="169">
        <f>IFERROR(MATCH(J1943,'Final List'!$H$4:$H$252,0),0)</f>
        <v>0</v>
      </c>
      <c r="O1943" s="169">
        <f>IFERROR(MATCH(J1943,'Final List'!$J$4:$J$252,0),0)</f>
        <v>0</v>
      </c>
      <c r="P1943" s="169">
        <f>IFERROR(MATCH(J1943,'Final List'!$L$4:$L$252,0),0)</f>
        <v>0</v>
      </c>
      <c r="Q1943" s="169">
        <f>IFERROR(MATCH(J1943,'Final List'!$N$4:$N$252,0),0)</f>
        <v>0</v>
      </c>
      <c r="R1943" s="169">
        <f>IFERROR(MATCH(J1943,'Final List'!$P$4:$P$252,0),0)</f>
        <v>0</v>
      </c>
      <c r="S1943" s="169">
        <f t="shared" si="124"/>
        <v>0</v>
      </c>
      <c r="V1943" s="169" t="str">
        <f t="shared" si="122"/>
        <v>OLIVEROS 2</v>
      </c>
      <c r="W1943" s="169" t="s">
        <v>8896</v>
      </c>
    </row>
    <row r="1944" spans="2:23" x14ac:dyDescent="0.25">
      <c r="B1944" s="169" t="s">
        <v>258</v>
      </c>
      <c r="C1944" s="169" t="s">
        <v>45</v>
      </c>
      <c r="D1944" s="169" t="s">
        <v>5631</v>
      </c>
      <c r="E1944" s="169" t="s">
        <v>36</v>
      </c>
      <c r="F1944" s="245" t="str">
        <f t="shared" si="123"/>
        <v>StpS 77</v>
      </c>
      <c r="G1944" s="169" t="s">
        <v>9475</v>
      </c>
      <c r="I1944" s="169" t="str">
        <f t="shared" si="121"/>
        <v>L10_DPVE_020E_STOPE</v>
      </c>
      <c r="J1944" s="169" t="s">
        <v>9712</v>
      </c>
      <c r="K1944" s="169">
        <f>IFERROR(MATCH(J1944,'Final List'!$B$4:$B$252,0),0)</f>
        <v>0</v>
      </c>
      <c r="L1944" s="169">
        <f>IFERROR(MATCH(J1944,'Final List'!$D$4:$D$252,0),0)</f>
        <v>0</v>
      </c>
      <c r="M1944" s="169">
        <f>IFERROR(MATCH(J1944,'Final List'!$F$4:$F$251,0),0)</f>
        <v>0</v>
      </c>
      <c r="N1944" s="169">
        <f>IFERROR(MATCH(J1944,'Final List'!$H$4:$H$252,0),0)</f>
        <v>0</v>
      </c>
      <c r="O1944" s="169">
        <f>IFERROR(MATCH(J1944,'Final List'!$J$4:$J$252,0),0)</f>
        <v>0</v>
      </c>
      <c r="P1944" s="169">
        <f>IFERROR(MATCH(J1944,'Final List'!$L$4:$L$252,0),0)</f>
        <v>0</v>
      </c>
      <c r="Q1944" s="169">
        <f>IFERROR(MATCH(J1944,'Final List'!$N$4:$N$252,0),0)</f>
        <v>0</v>
      </c>
      <c r="R1944" s="169">
        <f>IFERROR(MATCH(J1944,'Final List'!$P$4:$P$252,0),0)</f>
        <v>0</v>
      </c>
      <c r="S1944" s="169">
        <f t="shared" si="124"/>
        <v>0</v>
      </c>
      <c r="T1944" s="169" t="s">
        <v>68</v>
      </c>
      <c r="V1944" s="169" t="str">
        <f t="shared" si="122"/>
        <v>SHEPHERD AX 1</v>
      </c>
      <c r="W1944" s="169" t="s">
        <v>2713</v>
      </c>
    </row>
    <row r="1945" spans="2:23" x14ac:dyDescent="0.25">
      <c r="B1945" s="169" t="s">
        <v>258</v>
      </c>
      <c r="C1945" s="169" t="s">
        <v>59</v>
      </c>
      <c r="D1945" s="169" t="s">
        <v>109</v>
      </c>
      <c r="E1945" s="169" t="s">
        <v>19</v>
      </c>
      <c r="F1945" s="245" t="str">
        <f t="shared" si="123"/>
        <v>DVR 72</v>
      </c>
      <c r="G1945" s="169" t="s">
        <v>318</v>
      </c>
      <c r="I1945" s="169" t="str">
        <f t="shared" si="121"/>
        <v>L10_GHVHW_002W_RAISE</v>
      </c>
      <c r="J1945" s="169" t="s">
        <v>9708</v>
      </c>
      <c r="K1945" s="169">
        <f>IFERROR(MATCH(J1945,'Final List'!$B$4:$B$252,0),0)</f>
        <v>0</v>
      </c>
      <c r="L1945" s="169">
        <f>IFERROR(MATCH(J1945,'Final List'!$D$4:$D$252,0),0)</f>
        <v>0</v>
      </c>
      <c r="M1945" s="169">
        <f>IFERROR(MATCH(J1945,'Final List'!$F$4:$F$251,0),0)</f>
        <v>0</v>
      </c>
      <c r="N1945" s="169">
        <f>IFERROR(MATCH(J1945,'Final List'!$H$4:$H$252,0),0)</f>
        <v>0</v>
      </c>
      <c r="O1945" s="169">
        <f>IFERROR(MATCH(J1945,'Final List'!$J$4:$J$252,0),0)</f>
        <v>0</v>
      </c>
      <c r="P1945" s="169">
        <f>IFERROR(MATCH(J1945,'Final List'!$L$4:$L$252,0),0)</f>
        <v>0</v>
      </c>
      <c r="Q1945" s="169">
        <f>IFERROR(MATCH(J1945,'Final List'!$N$4:$N$252,0),0)</f>
        <v>0</v>
      </c>
      <c r="R1945" s="169">
        <f>IFERROR(MATCH(J1945,'Final List'!$P$4:$P$252,0),0)</f>
        <v>0</v>
      </c>
      <c r="S1945" s="169">
        <f t="shared" si="124"/>
        <v>0</v>
      </c>
      <c r="V1945" s="169" t="str">
        <f t="shared" si="122"/>
        <v>PARAGUYA 3</v>
      </c>
      <c r="W1945" s="169" t="s">
        <v>2715</v>
      </c>
    </row>
    <row r="1946" spans="2:23" x14ac:dyDescent="0.25">
      <c r="B1946" s="169" t="s">
        <v>91</v>
      </c>
      <c r="C1946" s="169" t="s">
        <v>8753</v>
      </c>
      <c r="D1946" s="169" t="s">
        <v>6983</v>
      </c>
      <c r="E1946" s="169" t="s">
        <v>19</v>
      </c>
      <c r="F1946" s="245" t="str">
        <f t="shared" si="123"/>
        <v>DVR 72</v>
      </c>
      <c r="G1946" s="169" t="s">
        <v>9884</v>
      </c>
      <c r="I1946" s="169" t="str">
        <f t="shared" si="121"/>
        <v>L04_RYV_001E_RAISE</v>
      </c>
      <c r="J1946" s="169" t="s">
        <v>9716</v>
      </c>
      <c r="K1946" s="169">
        <f>IFERROR(MATCH(J1946,'Final List'!$B$4:$B$252,0),0)</f>
        <v>0</v>
      </c>
      <c r="L1946" s="169">
        <f>IFERROR(MATCH(J1946,'Final List'!$D$4:$D$252,0),0)</f>
        <v>0</v>
      </c>
      <c r="M1946" s="169">
        <f>IFERROR(MATCH(J1946,'Final List'!$F$4:$F$251,0),0)</f>
        <v>0</v>
      </c>
      <c r="N1946" s="169">
        <f>IFERROR(MATCH(J1946,'Final List'!$H$4:$H$252,0),0)</f>
        <v>0</v>
      </c>
      <c r="O1946" s="169">
        <f>IFERROR(MATCH(J1946,'Final List'!$J$4:$J$252,0),0)</f>
        <v>0</v>
      </c>
      <c r="P1946" s="169">
        <f>IFERROR(MATCH(J1946,'Final List'!$L$4:$L$252,0),0)</f>
        <v>0</v>
      </c>
      <c r="Q1946" s="169">
        <f>IFERROR(MATCH(J1946,'Final List'!$N$4:$N$252,0),0)</f>
        <v>0</v>
      </c>
      <c r="R1946" s="169">
        <f>IFERROR(MATCH(J1946,'Final List'!$P$4:$P$252,0),0)</f>
        <v>0</v>
      </c>
      <c r="S1946" s="169">
        <f t="shared" si="124"/>
        <v>0</v>
      </c>
      <c r="V1946" s="169" t="str">
        <f t="shared" si="122"/>
        <v>APA 1</v>
      </c>
      <c r="W1946" s="169" t="s">
        <v>2715</v>
      </c>
    </row>
    <row r="1947" spans="2:23" x14ac:dyDescent="0.25">
      <c r="B1947" s="169" t="s">
        <v>258</v>
      </c>
      <c r="C1947" s="169" t="s">
        <v>57</v>
      </c>
      <c r="D1947" s="169" t="s">
        <v>197</v>
      </c>
      <c r="E1947" s="169" t="s">
        <v>62</v>
      </c>
      <c r="F1947" s="245" t="str">
        <f t="shared" si="123"/>
        <v>RobS 79</v>
      </c>
      <c r="G1947" s="169" t="s">
        <v>318</v>
      </c>
      <c r="I1947" s="169" t="str">
        <f t="shared" si="121"/>
        <v>L10_JVSPLIT_070E_ROBBING</v>
      </c>
      <c r="J1947" s="169" t="s">
        <v>9717</v>
      </c>
      <c r="K1947" s="169">
        <f>IFERROR(MATCH(J1947,'Final List'!$B$4:$B$252,0),0)</f>
        <v>0</v>
      </c>
      <c r="L1947" s="169">
        <f>IFERROR(MATCH(J1947,'Final List'!$D$4:$D$252,0),0)</f>
        <v>0</v>
      </c>
      <c r="M1947" s="169">
        <f>IFERROR(MATCH(J1947,'Final List'!$F$4:$F$251,0),0)</f>
        <v>0</v>
      </c>
      <c r="N1947" s="169">
        <f>IFERROR(MATCH(J1947,'Final List'!$H$4:$H$252,0),0)</f>
        <v>0</v>
      </c>
      <c r="O1947" s="169">
        <f>IFERROR(MATCH(J1947,'Final List'!$J$4:$J$252,0),0)</f>
        <v>0</v>
      </c>
      <c r="P1947" s="169">
        <f>IFERROR(MATCH(J1947,'Final List'!$L$4:$L$252,0),0)</f>
        <v>0</v>
      </c>
      <c r="Q1947" s="169">
        <f>IFERROR(MATCH(J1947,'Final List'!$N$4:$N$252,0),0)</f>
        <v>0</v>
      </c>
      <c r="R1947" s="169">
        <f>IFERROR(MATCH(J1947,'Final List'!$P$4:$P$252,0),0)</f>
        <v>0</v>
      </c>
      <c r="S1947" s="169">
        <f t="shared" si="124"/>
        <v>0</v>
      </c>
      <c r="T1947" s="169" t="s">
        <v>68</v>
      </c>
      <c r="V1947" s="169" t="str">
        <f t="shared" si="122"/>
        <v>PARAGUYA 3</v>
      </c>
      <c r="W1947" s="169" t="s">
        <v>2707</v>
      </c>
    </row>
    <row r="1948" spans="2:23" x14ac:dyDescent="0.25">
      <c r="B1948" s="169" t="s">
        <v>91</v>
      </c>
      <c r="C1948" s="169" t="s">
        <v>41</v>
      </c>
      <c r="D1948" s="169" t="s">
        <v>97</v>
      </c>
      <c r="E1948" s="169" t="s">
        <v>62</v>
      </c>
      <c r="F1948" s="245" t="str">
        <f t="shared" si="123"/>
        <v>RobS 79</v>
      </c>
      <c r="G1948" s="169" t="s">
        <v>10087</v>
      </c>
      <c r="I1948" s="169" t="str">
        <f t="shared" si="121"/>
        <v>L04_CTV_012W_ROBBING</v>
      </c>
      <c r="J1948" s="169" t="s">
        <v>9719</v>
      </c>
      <c r="K1948" s="169">
        <f>IFERROR(MATCH(J1948,'Final List'!$B$4:$B$252,0),0)</f>
        <v>0</v>
      </c>
      <c r="L1948" s="169">
        <f>IFERROR(MATCH(J1948,'Final List'!$D$4:$D$252,0),0)</f>
        <v>0</v>
      </c>
      <c r="M1948" s="169">
        <f>IFERROR(MATCH(J1948,'Final List'!$F$4:$F$251,0),0)</f>
        <v>0</v>
      </c>
      <c r="N1948" s="169">
        <f>IFERROR(MATCH(J1948,'Final List'!$H$4:$H$252,0),0)</f>
        <v>0</v>
      </c>
      <c r="O1948" s="169">
        <f>IFERROR(MATCH(J1948,'Final List'!$J$4:$J$252,0),0)</f>
        <v>0</v>
      </c>
      <c r="P1948" s="169">
        <f>IFERROR(MATCH(J1948,'Final List'!$L$4:$L$252,0),0)</f>
        <v>0</v>
      </c>
      <c r="Q1948" s="169">
        <f>IFERROR(MATCH(J1948,'Final List'!$N$4:$N$252,0),0)</f>
        <v>0</v>
      </c>
      <c r="R1948" s="169">
        <f>IFERROR(MATCH(J1948,'Final List'!$P$4:$P$252,0),0)</f>
        <v>0</v>
      </c>
      <c r="S1948" s="169">
        <f t="shared" si="124"/>
        <v>0</v>
      </c>
      <c r="T1948" s="169" t="s">
        <v>68</v>
      </c>
      <c r="V1948" s="169" t="str">
        <f t="shared" si="122"/>
        <v>MARTINEZ, DN 3</v>
      </c>
      <c r="W1948" s="169" t="s">
        <v>2707</v>
      </c>
    </row>
    <row r="1949" spans="2:23" x14ac:dyDescent="0.25">
      <c r="B1949" s="169" t="s">
        <v>96</v>
      </c>
      <c r="C1949" s="169" t="s">
        <v>45</v>
      </c>
      <c r="D1949" s="169" t="s">
        <v>5975</v>
      </c>
      <c r="E1949" s="169" t="s">
        <v>61</v>
      </c>
      <c r="F1949" s="245" t="str">
        <f t="shared" si="123"/>
        <v>Dhoz 71</v>
      </c>
      <c r="G1949" s="169" t="s">
        <v>9412</v>
      </c>
      <c r="H1949" s="169" t="s">
        <v>5101</v>
      </c>
      <c r="I1949" s="169" t="str">
        <f t="shared" si="121"/>
        <v>L09_DPVE_028E_DW</v>
      </c>
      <c r="J1949" s="169" t="s">
        <v>9721</v>
      </c>
      <c r="K1949" s="169">
        <f>IFERROR(MATCH(J1949,'Final List'!$B$4:$B$252,0),0)</f>
        <v>0</v>
      </c>
      <c r="L1949" s="169">
        <f>IFERROR(MATCH(J1949,'Final List'!$D$4:$D$252,0),0)</f>
        <v>0</v>
      </c>
      <c r="M1949" s="169">
        <f>IFERROR(MATCH(J1949,'Final List'!$F$4:$F$251,0),0)</f>
        <v>0</v>
      </c>
      <c r="N1949" s="169">
        <f>IFERROR(MATCH(J1949,'Final List'!$H$4:$H$252,0),0)</f>
        <v>0</v>
      </c>
      <c r="O1949" s="169">
        <f>IFERROR(MATCH(J1949,'Final List'!$J$4:$J$252,0),0)</f>
        <v>0</v>
      </c>
      <c r="P1949" s="169">
        <f>IFERROR(MATCH(J1949,'Final List'!$L$4:$L$252,0),0)</f>
        <v>0</v>
      </c>
      <c r="Q1949" s="169">
        <f>IFERROR(MATCH(J1949,'Final List'!$N$4:$N$252,0),0)</f>
        <v>0</v>
      </c>
      <c r="R1949" s="169">
        <f>IFERROR(MATCH(J1949,'Final List'!$P$4:$P$252,0),0)</f>
        <v>0</v>
      </c>
      <c r="S1949" s="169">
        <f t="shared" si="124"/>
        <v>0</v>
      </c>
      <c r="V1949" s="169" t="str">
        <f t="shared" si="122"/>
        <v>DELOS REYES V3</v>
      </c>
      <c r="W1949" s="169" t="s">
        <v>8896</v>
      </c>
    </row>
    <row r="1950" spans="2:23" x14ac:dyDescent="0.25">
      <c r="B1950" s="169" t="s">
        <v>96</v>
      </c>
      <c r="C1950" s="169" t="s">
        <v>45</v>
      </c>
      <c r="D1950" s="169" t="s">
        <v>5889</v>
      </c>
      <c r="E1950" s="169" t="s">
        <v>6143</v>
      </c>
      <c r="F1950" s="245" t="str">
        <f t="shared" si="123"/>
        <v>Dhoz 71</v>
      </c>
      <c r="G1950" s="169" t="s">
        <v>2972</v>
      </c>
      <c r="I1950" s="169" t="str">
        <f t="shared" si="121"/>
        <v>L09_DPVE_077E_DE_ISL</v>
      </c>
      <c r="J1950" s="169" t="s">
        <v>11705</v>
      </c>
      <c r="K1950" s="169">
        <f>IFERROR(MATCH(J1950,'Final List'!$B$4:$B$252,0),0)</f>
        <v>0</v>
      </c>
      <c r="L1950" s="169">
        <f>IFERROR(MATCH(J1950,'Final List'!$D$4:$D$252,0),0)</f>
        <v>0</v>
      </c>
      <c r="M1950" s="169">
        <f>IFERROR(MATCH(J1950,'Final List'!$F$4:$F$251,0),0)</f>
        <v>0</v>
      </c>
      <c r="N1950" s="169">
        <f>IFERROR(MATCH(J1950,'Final List'!$H$4:$H$252,0),0)</f>
        <v>0</v>
      </c>
      <c r="O1950" s="169">
        <f>IFERROR(MATCH(J1950,'Final List'!$J$4:$J$252,0),0)</f>
        <v>0</v>
      </c>
      <c r="P1950" s="169">
        <f>IFERROR(MATCH(J1950,'Final List'!$L$4:$L$252,0),0)</f>
        <v>0</v>
      </c>
      <c r="Q1950" s="169">
        <f>IFERROR(MATCH(J1950,'Final List'!$N$4:$N$252,0),0)</f>
        <v>0</v>
      </c>
      <c r="R1950" s="169">
        <f>IFERROR(MATCH(J1950,'Final List'!$P$4:$P$252,0),0)</f>
        <v>0</v>
      </c>
      <c r="S1950" s="169">
        <f t="shared" si="124"/>
        <v>0</v>
      </c>
      <c r="V1950" s="169" t="str">
        <f t="shared" si="122"/>
        <v>FABROA 1</v>
      </c>
      <c r="W1950" s="169" t="s">
        <v>2708</v>
      </c>
    </row>
    <row r="1951" spans="2:23" x14ac:dyDescent="0.25">
      <c r="B1951" s="169" t="s">
        <v>96</v>
      </c>
      <c r="C1951" s="169" t="s">
        <v>45</v>
      </c>
      <c r="D1951" s="169" t="s">
        <v>167</v>
      </c>
      <c r="E1951" s="169" t="s">
        <v>20</v>
      </c>
      <c r="F1951" s="245" t="str">
        <f t="shared" si="123"/>
        <v>DVW 74</v>
      </c>
      <c r="G1951" s="169" t="s">
        <v>617</v>
      </c>
      <c r="H1951" s="169" t="s">
        <v>6027</v>
      </c>
      <c r="I1951" s="169" t="str">
        <f t="shared" si="121"/>
        <v>L09_DPVE_058E_WINZE</v>
      </c>
      <c r="J1951" s="169" t="s">
        <v>9727</v>
      </c>
      <c r="K1951" s="169">
        <f>IFERROR(MATCH(J1951,'Final List'!$B$4:$B$252,0),0)</f>
        <v>0</v>
      </c>
      <c r="L1951" s="169">
        <f>IFERROR(MATCH(J1951,'Final List'!$D$4:$D$252,0),0)</f>
        <v>0</v>
      </c>
      <c r="M1951" s="169">
        <f>IFERROR(MATCH(J1951,'Final List'!$F$4:$F$251,0),0)</f>
        <v>0</v>
      </c>
      <c r="N1951" s="169">
        <f>IFERROR(MATCH(J1951,'Final List'!$H$4:$H$252,0),0)</f>
        <v>0</v>
      </c>
      <c r="O1951" s="169">
        <f>IFERROR(MATCH(J1951,'Final List'!$J$4:$J$252,0),0)</f>
        <v>0</v>
      </c>
      <c r="P1951" s="169">
        <f>IFERROR(MATCH(J1951,'Final List'!$L$4:$L$252,0),0)</f>
        <v>0</v>
      </c>
      <c r="Q1951" s="169">
        <f>IFERROR(MATCH(J1951,'Final List'!$N$4:$N$252,0),0)</f>
        <v>0</v>
      </c>
      <c r="R1951" s="169">
        <f>IFERROR(MATCH(J1951,'Final List'!$P$4:$P$252,0),0)</f>
        <v>0</v>
      </c>
      <c r="S1951" s="169">
        <f t="shared" si="124"/>
        <v>0</v>
      </c>
      <c r="V1951" s="169" t="str">
        <f t="shared" si="122"/>
        <v>GUNAY 4</v>
      </c>
      <c r="W1951" s="169" t="s">
        <v>2706</v>
      </c>
    </row>
    <row r="1952" spans="2:23" x14ac:dyDescent="0.25">
      <c r="B1952" s="169" t="s">
        <v>258</v>
      </c>
      <c r="C1952" s="169" t="s">
        <v>45</v>
      </c>
      <c r="D1952" s="169" t="s">
        <v>145</v>
      </c>
      <c r="E1952" s="169" t="s">
        <v>60</v>
      </c>
      <c r="F1952" s="245" t="str">
        <f t="shared" si="123"/>
        <v>Dhoz 71</v>
      </c>
      <c r="G1952" s="169" t="s">
        <v>9959</v>
      </c>
      <c r="I1952" s="169" t="str">
        <f t="shared" si="121"/>
        <v>L10_DPVE_009E_DE</v>
      </c>
      <c r="J1952" s="169" t="s">
        <v>9732</v>
      </c>
      <c r="K1952" s="169">
        <f>IFERROR(MATCH(J1952,'Final List'!$B$4:$B$252,0),0)</f>
        <v>0</v>
      </c>
      <c r="L1952" s="169">
        <f>IFERROR(MATCH(J1952,'Final List'!$D$4:$D$252,0),0)</f>
        <v>0</v>
      </c>
      <c r="M1952" s="169">
        <f>IFERROR(MATCH(J1952,'Final List'!$F$4:$F$251,0),0)</f>
        <v>0</v>
      </c>
      <c r="N1952" s="169">
        <f>IFERROR(MATCH(J1952,'Final List'!$H$4:$H$252,0),0)</f>
        <v>0</v>
      </c>
      <c r="O1952" s="169">
        <f>IFERROR(MATCH(J1952,'Final List'!$J$4:$J$252,0),0)</f>
        <v>0</v>
      </c>
      <c r="P1952" s="169">
        <f>IFERROR(MATCH(J1952,'Final List'!$L$4:$L$252,0),0)</f>
        <v>0</v>
      </c>
      <c r="Q1952" s="169">
        <f>IFERROR(MATCH(J1952,'Final List'!$N$4:$N$252,0),0)</f>
        <v>0</v>
      </c>
      <c r="R1952" s="169">
        <f>IFERROR(MATCH(J1952,'Final List'!$P$4:$P$252,0),0)</f>
        <v>0</v>
      </c>
      <c r="S1952" s="169">
        <f t="shared" si="124"/>
        <v>0</v>
      </c>
      <c r="V1952" s="169" t="str">
        <f t="shared" si="122"/>
        <v>SHEPHERD BC</v>
      </c>
      <c r="W1952" s="169" t="s">
        <v>8896</v>
      </c>
    </row>
    <row r="1953" spans="2:23" x14ac:dyDescent="0.25">
      <c r="B1953" s="169" t="s">
        <v>93</v>
      </c>
      <c r="C1953" s="169" t="s">
        <v>45</v>
      </c>
      <c r="D1953" s="169" t="s">
        <v>119</v>
      </c>
      <c r="E1953" s="169" t="s">
        <v>62</v>
      </c>
      <c r="F1953" s="245" t="str">
        <f t="shared" si="123"/>
        <v>RobS 79</v>
      </c>
      <c r="G1953" s="169" t="s">
        <v>378</v>
      </c>
      <c r="I1953" s="169" t="str">
        <f t="shared" si="121"/>
        <v>L06_DPVE_012E_ROBBING</v>
      </c>
      <c r="J1953" s="169" t="s">
        <v>9728</v>
      </c>
      <c r="K1953" s="169">
        <f>IFERROR(MATCH(J1953,'Final List'!$B$4:$B$252,0),0)</f>
        <v>0</v>
      </c>
      <c r="L1953" s="169">
        <f>IFERROR(MATCH(J1953,'Final List'!$D$4:$D$252,0),0)</f>
        <v>0</v>
      </c>
      <c r="M1953" s="169">
        <f>IFERROR(MATCH(J1953,'Final List'!$F$4:$F$251,0),0)</f>
        <v>0</v>
      </c>
      <c r="N1953" s="169">
        <f>IFERROR(MATCH(J1953,'Final List'!$H$4:$H$252,0),0)</f>
        <v>0</v>
      </c>
      <c r="O1953" s="169">
        <f>IFERROR(MATCH(J1953,'Final List'!$J$4:$J$252,0),0)</f>
        <v>0</v>
      </c>
      <c r="P1953" s="169">
        <f>IFERROR(MATCH(J1953,'Final List'!$L$4:$L$252,0),0)</f>
        <v>0</v>
      </c>
      <c r="Q1953" s="169">
        <f>IFERROR(MATCH(J1953,'Final List'!$N$4:$N$252,0),0)</f>
        <v>0</v>
      </c>
      <c r="R1953" s="169">
        <f>IFERROR(MATCH(J1953,'Final List'!$P$4:$P$252,0),0)</f>
        <v>0</v>
      </c>
      <c r="S1953" s="169">
        <f t="shared" si="124"/>
        <v>0</v>
      </c>
      <c r="T1953" s="169" t="s">
        <v>68</v>
      </c>
      <c r="V1953" s="169" t="str">
        <f t="shared" si="122"/>
        <v>GUNAY 1</v>
      </c>
      <c r="W1953" s="169" t="s">
        <v>2707</v>
      </c>
    </row>
    <row r="1954" spans="2:23" x14ac:dyDescent="0.25">
      <c r="B1954" s="169" t="s">
        <v>96</v>
      </c>
      <c r="C1954" s="169" t="s">
        <v>57</v>
      </c>
      <c r="D1954" s="169" t="s">
        <v>197</v>
      </c>
      <c r="E1954" s="169" t="s">
        <v>62</v>
      </c>
      <c r="F1954" s="245" t="str">
        <f t="shared" si="123"/>
        <v>RobS 79</v>
      </c>
      <c r="G1954" s="169" t="s">
        <v>8200</v>
      </c>
      <c r="H1954" s="169" t="s">
        <v>379</v>
      </c>
      <c r="I1954" s="169" t="str">
        <f t="shared" si="121"/>
        <v>L09_JVSPLIT_070E_ROBBING</v>
      </c>
      <c r="J1954" s="169" t="s">
        <v>9739</v>
      </c>
      <c r="K1954" s="169">
        <f>IFERROR(MATCH(J1954,'Final List'!$B$4:$B$252,0),0)</f>
        <v>0</v>
      </c>
      <c r="L1954" s="169">
        <f>IFERROR(MATCH(J1954,'Final List'!$D$4:$D$252,0),0)</f>
        <v>0</v>
      </c>
      <c r="M1954" s="169">
        <f>IFERROR(MATCH(J1954,'Final List'!$F$4:$F$251,0),0)</f>
        <v>0</v>
      </c>
      <c r="N1954" s="169">
        <f>IFERROR(MATCH(J1954,'Final List'!$H$4:$H$252,0),0)</f>
        <v>0</v>
      </c>
      <c r="O1954" s="169">
        <f>IFERROR(MATCH(J1954,'Final List'!$J$4:$J$252,0),0)</f>
        <v>0</v>
      </c>
      <c r="P1954" s="169">
        <f>IFERROR(MATCH(J1954,'Final List'!$L$4:$L$252,0),0)</f>
        <v>0</v>
      </c>
      <c r="Q1954" s="169">
        <f>IFERROR(MATCH(J1954,'Final List'!$N$4:$N$252,0),0)</f>
        <v>0</v>
      </c>
      <c r="R1954" s="169">
        <f>IFERROR(MATCH(J1954,'Final List'!$P$4:$P$252,0),0)</f>
        <v>0</v>
      </c>
      <c r="S1954" s="169">
        <f t="shared" si="124"/>
        <v>0</v>
      </c>
      <c r="T1954" s="169" t="s">
        <v>68</v>
      </c>
      <c r="V1954" s="169" t="str">
        <f t="shared" si="122"/>
        <v>GUNAY 3</v>
      </c>
      <c r="W1954" s="169" t="s">
        <v>2707</v>
      </c>
    </row>
    <row r="1955" spans="2:23" x14ac:dyDescent="0.25">
      <c r="B1955" s="169" t="s">
        <v>96</v>
      </c>
      <c r="C1955" s="169" t="s">
        <v>45</v>
      </c>
      <c r="D1955" s="169" t="s">
        <v>178</v>
      </c>
      <c r="E1955" s="169" t="s">
        <v>62</v>
      </c>
      <c r="F1955" s="245" t="str">
        <f t="shared" si="123"/>
        <v>RobS 79</v>
      </c>
      <c r="G1955" s="169" t="s">
        <v>362</v>
      </c>
      <c r="I1955" s="169" t="str">
        <f t="shared" si="121"/>
        <v>L09_DPVE_048E_ROBBING</v>
      </c>
      <c r="J1955" s="169" t="s">
        <v>9740</v>
      </c>
      <c r="K1955" s="169">
        <f>IFERROR(MATCH(J1955,'Final List'!$B$4:$B$252,0),0)</f>
        <v>0</v>
      </c>
      <c r="L1955" s="169">
        <f>IFERROR(MATCH(J1955,'Final List'!$D$4:$D$252,0),0)</f>
        <v>0</v>
      </c>
      <c r="M1955" s="169">
        <f>IFERROR(MATCH(J1955,'Final List'!$F$4:$F$251,0),0)</f>
        <v>0</v>
      </c>
      <c r="N1955" s="169">
        <f>IFERROR(MATCH(J1955,'Final List'!$H$4:$H$252,0),0)</f>
        <v>0</v>
      </c>
      <c r="O1955" s="169">
        <f>IFERROR(MATCH(J1955,'Final List'!$J$4:$J$252,0),0)</f>
        <v>0</v>
      </c>
      <c r="P1955" s="169">
        <f>IFERROR(MATCH(J1955,'Final List'!$L$4:$L$252,0),0)</f>
        <v>0</v>
      </c>
      <c r="Q1955" s="169">
        <f>IFERROR(MATCH(J1955,'Final List'!$N$4:$N$252,0),0)</f>
        <v>0</v>
      </c>
      <c r="R1955" s="169">
        <f>IFERROR(MATCH(J1955,'Final List'!$P$4:$P$252,0),0)</f>
        <v>0</v>
      </c>
      <c r="S1955" s="169">
        <f t="shared" si="124"/>
        <v>0</v>
      </c>
      <c r="T1955" s="169" t="s">
        <v>68</v>
      </c>
      <c r="V1955" s="169" t="str">
        <f t="shared" si="122"/>
        <v>BABOR 1</v>
      </c>
      <c r="W1955" s="169" t="s">
        <v>2707</v>
      </c>
    </row>
    <row r="1956" spans="2:23" x14ac:dyDescent="0.25">
      <c r="B1956" s="169" t="s">
        <v>95</v>
      </c>
      <c r="C1956" s="169" t="s">
        <v>56</v>
      </c>
      <c r="D1956" s="169" t="s">
        <v>103</v>
      </c>
      <c r="E1956" s="169" t="s">
        <v>62</v>
      </c>
      <c r="F1956" s="245" t="str">
        <f t="shared" si="123"/>
        <v>RobS 79</v>
      </c>
      <c r="G1956" s="169" t="s">
        <v>521</v>
      </c>
      <c r="I1956" s="169" t="str">
        <f t="shared" si="121"/>
        <v>L08_GHVFW_005E_ROBBING</v>
      </c>
      <c r="J1956" s="169" t="s">
        <v>9743</v>
      </c>
      <c r="K1956" s="169">
        <f>IFERROR(MATCH(J1956,'Final List'!$B$4:$B$252,0),0)</f>
        <v>0</v>
      </c>
      <c r="L1956" s="169">
        <f>IFERROR(MATCH(J1956,'Final List'!$D$4:$D$252,0),0)</f>
        <v>0</v>
      </c>
      <c r="M1956" s="169">
        <f>IFERROR(MATCH(J1956,'Final List'!$F$4:$F$251,0),0)</f>
        <v>0</v>
      </c>
      <c r="N1956" s="169">
        <f>IFERROR(MATCH(J1956,'Final List'!$H$4:$H$252,0),0)</f>
        <v>0</v>
      </c>
      <c r="O1956" s="169">
        <f>IFERROR(MATCH(J1956,'Final List'!$J$4:$J$252,0),0)</f>
        <v>0</v>
      </c>
      <c r="P1956" s="169">
        <f>IFERROR(MATCH(J1956,'Final List'!$L$4:$L$252,0),0)</f>
        <v>0</v>
      </c>
      <c r="Q1956" s="169">
        <f>IFERROR(MATCH(J1956,'Final List'!$N$4:$N$252,0),0)</f>
        <v>0</v>
      </c>
      <c r="R1956" s="169">
        <f>IFERROR(MATCH(J1956,'Final List'!$P$4:$P$252,0),0)</f>
        <v>0</v>
      </c>
      <c r="S1956" s="169">
        <f t="shared" si="124"/>
        <v>0</v>
      </c>
      <c r="T1956" s="169" t="s">
        <v>68</v>
      </c>
      <c r="V1956" s="169" t="str">
        <f t="shared" si="122"/>
        <v>LERIO 4</v>
      </c>
      <c r="W1956" s="169" t="s">
        <v>2707</v>
      </c>
    </row>
    <row r="1957" spans="2:23" x14ac:dyDescent="0.25">
      <c r="B1957" s="169" t="s">
        <v>95</v>
      </c>
      <c r="C1957" s="169" t="s">
        <v>45</v>
      </c>
      <c r="D1957" s="169" t="s">
        <v>176</v>
      </c>
      <c r="E1957" s="169" t="s">
        <v>20</v>
      </c>
      <c r="F1957" s="245" t="str">
        <f t="shared" si="123"/>
        <v>DVW 74</v>
      </c>
      <c r="G1957" s="169" t="s">
        <v>380</v>
      </c>
      <c r="I1957" s="169" t="str">
        <f t="shared" si="121"/>
        <v>L08_DPVE_057E_WINZE</v>
      </c>
      <c r="J1957" s="169" t="s">
        <v>9746</v>
      </c>
      <c r="K1957" s="169">
        <f>IFERROR(MATCH(J1957,'Final List'!$B$4:$B$252,0),0)</f>
        <v>0</v>
      </c>
      <c r="L1957" s="169">
        <f>IFERROR(MATCH(J1957,'Final List'!$D$4:$D$252,0),0)</f>
        <v>0</v>
      </c>
      <c r="M1957" s="169">
        <f>IFERROR(MATCH(J1957,'Final List'!$F$4:$F$251,0),0)</f>
        <v>0</v>
      </c>
      <c r="N1957" s="169">
        <f>IFERROR(MATCH(J1957,'Final List'!$H$4:$H$252,0),0)</f>
        <v>0</v>
      </c>
      <c r="O1957" s="169">
        <f>IFERROR(MATCH(J1957,'Final List'!$J$4:$J$252,0),0)</f>
        <v>0</v>
      </c>
      <c r="P1957" s="169">
        <f>IFERROR(MATCH(J1957,'Final List'!$L$4:$L$252,0),0)</f>
        <v>0</v>
      </c>
      <c r="Q1957" s="169">
        <f>IFERROR(MATCH(J1957,'Final List'!$N$4:$N$252,0),0)</f>
        <v>0</v>
      </c>
      <c r="R1957" s="169">
        <f>IFERROR(MATCH(J1957,'Final List'!$P$4:$P$252,0),0)</f>
        <v>0</v>
      </c>
      <c r="S1957" s="169">
        <f t="shared" si="124"/>
        <v>0</v>
      </c>
      <c r="V1957" s="169" t="str">
        <f t="shared" si="122"/>
        <v>AGLOLO 1</v>
      </c>
      <c r="W1957" s="169" t="s">
        <v>2706</v>
      </c>
    </row>
    <row r="1958" spans="2:23" x14ac:dyDescent="0.25">
      <c r="B1958" s="169" t="s">
        <v>8904</v>
      </c>
      <c r="C1958" s="169" t="s">
        <v>41</v>
      </c>
      <c r="D1958" s="169" t="s">
        <v>100</v>
      </c>
      <c r="E1958" s="169" t="s">
        <v>62</v>
      </c>
      <c r="F1958" s="245" t="str">
        <f t="shared" si="123"/>
        <v>RobS 79</v>
      </c>
      <c r="G1958" s="169" t="s">
        <v>9366</v>
      </c>
      <c r="I1958" s="169" t="str">
        <f t="shared" si="121"/>
        <v>L03_CTV_020W_ROBBING</v>
      </c>
      <c r="J1958" s="169" t="s">
        <v>9747</v>
      </c>
      <c r="K1958" s="169">
        <f>IFERROR(MATCH(J1958,'Final List'!$B$4:$B$252,0),0)</f>
        <v>0</v>
      </c>
      <c r="L1958" s="169">
        <f>IFERROR(MATCH(J1958,'Final List'!$D$4:$D$252,0),0)</f>
        <v>0</v>
      </c>
      <c r="M1958" s="169">
        <f>IFERROR(MATCH(J1958,'Final List'!$F$4:$F$251,0),0)</f>
        <v>0</v>
      </c>
      <c r="N1958" s="169">
        <f>IFERROR(MATCH(J1958,'Final List'!$H$4:$H$252,0),0)</f>
        <v>0</v>
      </c>
      <c r="O1958" s="169">
        <f>IFERROR(MATCH(J1958,'Final List'!$J$4:$J$252,0),0)</f>
        <v>0</v>
      </c>
      <c r="P1958" s="169">
        <f>IFERROR(MATCH(J1958,'Final List'!$L$4:$L$252,0),0)</f>
        <v>0</v>
      </c>
      <c r="Q1958" s="169">
        <f>IFERROR(MATCH(J1958,'Final List'!$N$4:$N$252,0),0)</f>
        <v>0</v>
      </c>
      <c r="R1958" s="169">
        <f>IFERROR(MATCH(J1958,'Final List'!$P$4:$P$252,0),0)</f>
        <v>0</v>
      </c>
      <c r="S1958" s="169">
        <f t="shared" si="124"/>
        <v>0</v>
      </c>
      <c r="T1958" s="169" t="s">
        <v>68</v>
      </c>
      <c r="V1958" s="169" t="str">
        <f t="shared" si="122"/>
        <v>FERNANDEZ, RM 2</v>
      </c>
      <c r="W1958" s="169" t="s">
        <v>2707</v>
      </c>
    </row>
    <row r="1959" spans="2:23" x14ac:dyDescent="0.25">
      <c r="B1959" s="169" t="s">
        <v>258</v>
      </c>
      <c r="C1959" s="169" t="s">
        <v>45</v>
      </c>
      <c r="D1959" s="169" t="s">
        <v>159</v>
      </c>
      <c r="E1959" s="169" t="s">
        <v>62</v>
      </c>
      <c r="F1959" s="245" t="str">
        <f t="shared" si="123"/>
        <v>RobS 79</v>
      </c>
      <c r="G1959" s="169" t="s">
        <v>375</v>
      </c>
      <c r="H1959" s="169" t="s">
        <v>9964</v>
      </c>
      <c r="I1959" s="169" t="str">
        <f t="shared" si="121"/>
        <v>L10_DPVE_023E_ROBBING</v>
      </c>
      <c r="J1959" s="169" t="s">
        <v>9750</v>
      </c>
      <c r="K1959" s="169">
        <f>IFERROR(MATCH(J1959,'Final List'!$B$4:$B$252,0),0)</f>
        <v>0</v>
      </c>
      <c r="L1959" s="169">
        <f>IFERROR(MATCH(J1959,'Final List'!$D$4:$D$252,0),0)</f>
        <v>0</v>
      </c>
      <c r="M1959" s="169">
        <f>IFERROR(MATCH(J1959,'Final List'!$F$4:$F$251,0),0)</f>
        <v>0</v>
      </c>
      <c r="N1959" s="169">
        <f>IFERROR(MATCH(J1959,'Final List'!$H$4:$H$252,0),0)</f>
        <v>0</v>
      </c>
      <c r="O1959" s="169">
        <f>IFERROR(MATCH(J1959,'Final List'!$J$4:$J$252,0),0)</f>
        <v>0</v>
      </c>
      <c r="P1959" s="169">
        <f>IFERROR(MATCH(J1959,'Final List'!$L$4:$L$252,0),0)</f>
        <v>0</v>
      </c>
      <c r="Q1959" s="169">
        <f>IFERROR(MATCH(J1959,'Final List'!$N$4:$N$252,0),0)</f>
        <v>0</v>
      </c>
      <c r="R1959" s="169">
        <f>IFERROR(MATCH(J1959,'Final List'!$P$4:$P$252,0),0)</f>
        <v>0</v>
      </c>
      <c r="S1959" s="169">
        <f t="shared" si="124"/>
        <v>0</v>
      </c>
      <c r="T1959" s="169" t="s">
        <v>68</v>
      </c>
      <c r="V1959" s="169" t="str">
        <f t="shared" si="122"/>
        <v>SHEPHERD BA</v>
      </c>
      <c r="W1959" s="169" t="s">
        <v>2707</v>
      </c>
    </row>
    <row r="1960" spans="2:23" x14ac:dyDescent="0.25">
      <c r="B1960" s="169" t="s">
        <v>91</v>
      </c>
      <c r="C1960" s="169" t="s">
        <v>57</v>
      </c>
      <c r="D1960" s="169" t="s">
        <v>5975</v>
      </c>
      <c r="E1960" s="169" t="s">
        <v>62</v>
      </c>
      <c r="F1960" s="245" t="str">
        <f t="shared" si="123"/>
        <v>RobC 80</v>
      </c>
      <c r="G1960" s="169" t="s">
        <v>311</v>
      </c>
      <c r="I1960" s="169" t="str">
        <f t="shared" si="121"/>
        <v>L04_JVSPLIT_028E_ROBBING</v>
      </c>
      <c r="J1960" s="169" t="s">
        <v>9751</v>
      </c>
      <c r="K1960" s="169">
        <f>IFERROR(MATCH(J1960,'Final List'!$B$4:$B$252,0),0)</f>
        <v>0</v>
      </c>
      <c r="L1960" s="169">
        <f>IFERROR(MATCH(J1960,'Final List'!$D$4:$D$252,0),0)</f>
        <v>0</v>
      </c>
      <c r="M1960" s="169">
        <f>IFERROR(MATCH(J1960,'Final List'!$F$4:$F$251,0),0)</f>
        <v>0</v>
      </c>
      <c r="N1960" s="169">
        <f>IFERROR(MATCH(J1960,'Final List'!$H$4:$H$252,0),0)</f>
        <v>0</v>
      </c>
      <c r="O1960" s="169">
        <f>IFERROR(MATCH(J1960,'Final List'!$J$4:$J$252,0),0)</f>
        <v>0</v>
      </c>
      <c r="P1960" s="169">
        <f>IFERROR(MATCH(J1960,'Final List'!$L$4:$L$252,0),0)</f>
        <v>0</v>
      </c>
      <c r="Q1960" s="169">
        <f>IFERROR(MATCH(J1960,'Final List'!$N$4:$N$252,0),0)</f>
        <v>0</v>
      </c>
      <c r="R1960" s="169">
        <f>IFERROR(MATCH(J1960,'Final List'!$P$4:$P$252,0),0)</f>
        <v>0</v>
      </c>
      <c r="S1960" s="169">
        <f t="shared" si="124"/>
        <v>0</v>
      </c>
      <c r="T1960" s="169" t="s">
        <v>48</v>
      </c>
      <c r="V1960" s="169" t="str">
        <f t="shared" si="122"/>
        <v>MARTINEZ DN 2</v>
      </c>
      <c r="W1960" s="169" t="s">
        <v>236</v>
      </c>
    </row>
    <row r="1961" spans="2:23" x14ac:dyDescent="0.25">
      <c r="B1961" s="169" t="s">
        <v>1167</v>
      </c>
      <c r="C1961" s="169" t="s">
        <v>59</v>
      </c>
      <c r="D1961" s="169" t="s">
        <v>166</v>
      </c>
      <c r="E1961" s="169" t="s">
        <v>211</v>
      </c>
      <c r="F1961" s="245" t="str">
        <f t="shared" si="123"/>
        <v>StpS 77</v>
      </c>
      <c r="G1961" s="169" t="s">
        <v>9354</v>
      </c>
      <c r="I1961" s="169" t="str">
        <f t="shared" si="121"/>
        <v>L12_GHVHW_068E_STOPE PREP</v>
      </c>
      <c r="J1961" s="169" t="s">
        <v>9752</v>
      </c>
      <c r="K1961" s="169">
        <f>IFERROR(MATCH(J1961,'Final List'!$B$4:$B$252,0),0)</f>
        <v>0</v>
      </c>
      <c r="L1961" s="169">
        <f>IFERROR(MATCH(J1961,'Final List'!$D$4:$D$252,0),0)</f>
        <v>0</v>
      </c>
      <c r="M1961" s="169">
        <f>IFERROR(MATCH(J1961,'Final List'!$F$4:$F$251,0),0)</f>
        <v>0</v>
      </c>
      <c r="N1961" s="169">
        <f>IFERROR(MATCH(J1961,'Final List'!$H$4:$H$252,0),0)</f>
        <v>0</v>
      </c>
      <c r="O1961" s="169">
        <f>IFERROR(MATCH(J1961,'Final List'!$J$4:$J$252,0),0)</f>
        <v>0</v>
      </c>
      <c r="P1961" s="169">
        <f>IFERROR(MATCH(J1961,'Final List'!$L$4:$L$252,0),0)</f>
        <v>0</v>
      </c>
      <c r="Q1961" s="169">
        <f>IFERROR(MATCH(J1961,'Final List'!$N$4:$N$252,0),0)</f>
        <v>0</v>
      </c>
      <c r="R1961" s="169">
        <f>IFERROR(MATCH(J1961,'Final List'!$P$4:$P$252,0),0)</f>
        <v>0</v>
      </c>
      <c r="S1961" s="169">
        <f t="shared" si="124"/>
        <v>0</v>
      </c>
      <c r="T1961" s="169" t="s">
        <v>68</v>
      </c>
      <c r="V1961" s="169" t="str">
        <f t="shared" si="122"/>
        <v>DUHIG, P8</v>
      </c>
      <c r="W1961" s="169" t="s">
        <v>2712</v>
      </c>
    </row>
    <row r="1962" spans="2:23" x14ac:dyDescent="0.25">
      <c r="B1962" s="169" t="s">
        <v>93</v>
      </c>
      <c r="C1962" s="169" t="s">
        <v>42</v>
      </c>
      <c r="D1962" s="169" t="s">
        <v>118</v>
      </c>
      <c r="E1962" s="169" t="s">
        <v>62</v>
      </c>
      <c r="F1962" s="245" t="str">
        <f t="shared" si="123"/>
        <v>RobS 79</v>
      </c>
      <c r="G1962" s="169" t="s">
        <v>379</v>
      </c>
      <c r="I1962" s="169" t="str">
        <f t="shared" si="121"/>
        <v>L06_JV_014E_ROBBING</v>
      </c>
      <c r="J1962" s="169" t="s">
        <v>3230</v>
      </c>
      <c r="K1962" s="169">
        <f>IFERROR(MATCH(J1962,'Final List'!$B$4:$B$252,0),0)</f>
        <v>0</v>
      </c>
      <c r="L1962" s="169">
        <f>IFERROR(MATCH(J1962,'Final List'!$D$4:$D$252,0),0)</f>
        <v>0</v>
      </c>
      <c r="M1962" s="169">
        <f>IFERROR(MATCH(J1962,'Final List'!$F$4:$F$251,0),0)</f>
        <v>0</v>
      </c>
      <c r="N1962" s="169">
        <f>IFERROR(MATCH(J1962,'Final List'!$H$4:$H$252,0),0)</f>
        <v>0</v>
      </c>
      <c r="O1962" s="169">
        <f>IFERROR(MATCH(J1962,'Final List'!$J$4:$J$252,0),0)</f>
        <v>0</v>
      </c>
      <c r="P1962" s="169">
        <f>IFERROR(MATCH(J1962,'Final List'!$L$4:$L$252,0),0)</f>
        <v>0</v>
      </c>
      <c r="Q1962" s="169">
        <f>IFERROR(MATCH(J1962,'Final List'!$N$4:$N$252,0),0)</f>
        <v>0</v>
      </c>
      <c r="R1962" s="169">
        <f>IFERROR(MATCH(J1962,'Final List'!$P$4:$P$252,0),0)</f>
        <v>0</v>
      </c>
      <c r="S1962" s="169">
        <f t="shared" si="124"/>
        <v>0</v>
      </c>
      <c r="T1962" s="169" t="s">
        <v>68</v>
      </c>
      <c r="V1962" s="169" t="str">
        <f t="shared" si="122"/>
        <v>GUNAY 3</v>
      </c>
      <c r="W1962" s="169" t="s">
        <v>2707</v>
      </c>
    </row>
    <row r="1963" spans="2:23" x14ac:dyDescent="0.25">
      <c r="B1963" s="169" t="s">
        <v>258</v>
      </c>
      <c r="C1963" s="169" t="s">
        <v>45</v>
      </c>
      <c r="D1963" s="169" t="s">
        <v>169</v>
      </c>
      <c r="E1963" s="169" t="s">
        <v>19</v>
      </c>
      <c r="F1963" s="245" t="str">
        <f t="shared" si="123"/>
        <v>DVR 72</v>
      </c>
      <c r="G1963" s="169" t="s">
        <v>5697</v>
      </c>
      <c r="I1963" s="169" t="str">
        <f t="shared" si="121"/>
        <v>L10_DPVE_065E_RAISE</v>
      </c>
      <c r="J1963" s="169" t="s">
        <v>9758</v>
      </c>
      <c r="K1963" s="169">
        <f>IFERROR(MATCH(J1963,'Final List'!$B$4:$B$252,0),0)</f>
        <v>0</v>
      </c>
      <c r="L1963" s="169">
        <f>IFERROR(MATCH(J1963,'Final List'!$D$4:$D$252,0),0)</f>
        <v>0</v>
      </c>
      <c r="M1963" s="169">
        <f>IFERROR(MATCH(J1963,'Final List'!$F$4:$F$251,0),0)</f>
        <v>0</v>
      </c>
      <c r="N1963" s="169">
        <f>IFERROR(MATCH(J1963,'Final List'!$H$4:$H$252,0),0)</f>
        <v>0</v>
      </c>
      <c r="O1963" s="169">
        <f>IFERROR(MATCH(J1963,'Final List'!$J$4:$J$252,0),0)</f>
        <v>0</v>
      </c>
      <c r="P1963" s="169">
        <f>IFERROR(MATCH(J1963,'Final List'!$L$4:$L$252,0),0)</f>
        <v>0</v>
      </c>
      <c r="Q1963" s="169">
        <f>IFERROR(MATCH(J1963,'Final List'!$N$4:$N$252,0),0)</f>
        <v>0</v>
      </c>
      <c r="R1963" s="169">
        <f>IFERROR(MATCH(J1963,'Final List'!$P$4:$P$252,0),0)</f>
        <v>0</v>
      </c>
      <c r="S1963" s="169">
        <f t="shared" si="124"/>
        <v>0</v>
      </c>
      <c r="V1963" s="169" t="str">
        <f t="shared" si="122"/>
        <v>OLIVEROS 1</v>
      </c>
      <c r="W1963" s="169" t="s">
        <v>2715</v>
      </c>
    </row>
    <row r="1964" spans="2:23" x14ac:dyDescent="0.25">
      <c r="B1964" s="169" t="s">
        <v>96</v>
      </c>
      <c r="C1964" s="169" t="s">
        <v>45</v>
      </c>
      <c r="D1964" s="169" t="s">
        <v>166</v>
      </c>
      <c r="E1964" s="169" t="s">
        <v>62</v>
      </c>
      <c r="F1964" s="245" t="str">
        <f t="shared" si="123"/>
        <v>RobS 79</v>
      </c>
      <c r="G1964" s="169" t="s">
        <v>9763</v>
      </c>
      <c r="I1964" s="169" t="str">
        <f t="shared" si="121"/>
        <v>L09_DPVE_068E_ROBBING</v>
      </c>
      <c r="J1964" s="169" t="s">
        <v>9762</v>
      </c>
      <c r="K1964" s="169">
        <f>IFERROR(MATCH(J1964,'Final List'!$B$4:$B$252,0),0)</f>
        <v>0</v>
      </c>
      <c r="L1964" s="169">
        <f>IFERROR(MATCH(J1964,'Final List'!$D$4:$D$252,0),0)</f>
        <v>0</v>
      </c>
      <c r="M1964" s="169">
        <f>IFERROR(MATCH(J1964,'Final List'!$F$4:$F$251,0),0)</f>
        <v>0</v>
      </c>
      <c r="N1964" s="169">
        <f>IFERROR(MATCH(J1964,'Final List'!$H$4:$H$252,0),0)</f>
        <v>0</v>
      </c>
      <c r="O1964" s="169">
        <f>IFERROR(MATCH(J1964,'Final List'!$J$4:$J$252,0),0)</f>
        <v>0</v>
      </c>
      <c r="P1964" s="169">
        <f>IFERROR(MATCH(J1964,'Final List'!$L$4:$L$252,0),0)</f>
        <v>0</v>
      </c>
      <c r="Q1964" s="169">
        <f>IFERROR(MATCH(J1964,'Final List'!$N$4:$N$252,0),0)</f>
        <v>0</v>
      </c>
      <c r="R1964" s="169">
        <f>IFERROR(MATCH(J1964,'Final List'!$P$4:$P$252,0),0)</f>
        <v>0</v>
      </c>
      <c r="S1964" s="169">
        <f t="shared" si="124"/>
        <v>0</v>
      </c>
      <c r="T1964" s="169" t="s">
        <v>68</v>
      </c>
      <c r="V1964" s="169" t="str">
        <f t="shared" si="122"/>
        <v>PANSIT , NORMAN 2</v>
      </c>
      <c r="W1964" s="169" t="s">
        <v>2707</v>
      </c>
    </row>
    <row r="1965" spans="2:23" x14ac:dyDescent="0.25">
      <c r="B1965" s="169" t="s">
        <v>93</v>
      </c>
      <c r="C1965" s="169" t="s">
        <v>42</v>
      </c>
      <c r="D1965" s="169" t="s">
        <v>140</v>
      </c>
      <c r="E1965" s="169" t="s">
        <v>20</v>
      </c>
      <c r="F1965" s="245" t="str">
        <f t="shared" si="123"/>
        <v>DVW 74</v>
      </c>
      <c r="G1965" s="169" t="s">
        <v>526</v>
      </c>
      <c r="I1965" s="169" t="str">
        <f t="shared" si="121"/>
        <v>L06_JV_005W_WINZE</v>
      </c>
      <c r="J1965" s="169" t="s">
        <v>9764</v>
      </c>
      <c r="K1965" s="169">
        <f>IFERROR(MATCH(J1965,'Final List'!$B$4:$B$252,0),0)</f>
        <v>0</v>
      </c>
      <c r="L1965" s="169">
        <f>IFERROR(MATCH(J1965,'Final List'!$D$4:$D$252,0),0)</f>
        <v>0</v>
      </c>
      <c r="M1965" s="169">
        <f>IFERROR(MATCH(J1965,'Final List'!$F$4:$F$251,0),0)</f>
        <v>0</v>
      </c>
      <c r="N1965" s="169">
        <f>IFERROR(MATCH(J1965,'Final List'!$H$4:$H$252,0),0)</f>
        <v>0</v>
      </c>
      <c r="O1965" s="169">
        <f>IFERROR(MATCH(J1965,'Final List'!$J$4:$J$252,0),0)</f>
        <v>0</v>
      </c>
      <c r="P1965" s="169">
        <f>IFERROR(MATCH(J1965,'Final List'!$L$4:$L$252,0),0)</f>
        <v>0</v>
      </c>
      <c r="Q1965" s="169">
        <f>IFERROR(MATCH(J1965,'Final List'!$N$4:$N$252,0),0)</f>
        <v>0</v>
      </c>
      <c r="R1965" s="169">
        <f>IFERROR(MATCH(J1965,'Final List'!$P$4:$P$252,0),0)</f>
        <v>0</v>
      </c>
      <c r="S1965" s="169">
        <f t="shared" si="124"/>
        <v>0</v>
      </c>
      <c r="V1965" s="169" t="str">
        <f t="shared" si="122"/>
        <v>CARIKITAN 2</v>
      </c>
      <c r="W1965" s="169" t="s">
        <v>2706</v>
      </c>
    </row>
    <row r="1966" spans="2:23" x14ac:dyDescent="0.25">
      <c r="B1966" s="169" t="s">
        <v>93</v>
      </c>
      <c r="C1966" s="169" t="s">
        <v>59</v>
      </c>
      <c r="D1966" s="169" t="s">
        <v>6360</v>
      </c>
      <c r="E1966" s="169" t="s">
        <v>62</v>
      </c>
      <c r="F1966" s="245" t="str">
        <f t="shared" si="123"/>
        <v>RobS 79</v>
      </c>
      <c r="G1966" s="169" t="s">
        <v>378</v>
      </c>
      <c r="I1966" s="169" t="str">
        <f t="shared" si="121"/>
        <v>L06_GHVHW_036W_ROBBING</v>
      </c>
      <c r="J1966" s="169" t="s">
        <v>9766</v>
      </c>
      <c r="K1966" s="169">
        <f>IFERROR(MATCH(J1966,'Final List'!$B$4:$B$252,0),0)</f>
        <v>0</v>
      </c>
      <c r="L1966" s="169">
        <f>IFERROR(MATCH(J1966,'Final List'!$D$4:$D$252,0),0)</f>
        <v>0</v>
      </c>
      <c r="M1966" s="169">
        <f>IFERROR(MATCH(J1966,'Final List'!$F$4:$F$251,0),0)</f>
        <v>0</v>
      </c>
      <c r="N1966" s="169">
        <f>IFERROR(MATCH(J1966,'Final List'!$H$4:$H$252,0),0)</f>
        <v>0</v>
      </c>
      <c r="O1966" s="169">
        <f>IFERROR(MATCH(J1966,'Final List'!$J$4:$J$252,0),0)</f>
        <v>0</v>
      </c>
      <c r="P1966" s="169">
        <f>IFERROR(MATCH(J1966,'Final List'!$L$4:$L$252,0),0)</f>
        <v>0</v>
      </c>
      <c r="Q1966" s="169">
        <f>IFERROR(MATCH(J1966,'Final List'!$N$4:$N$252,0),0)</f>
        <v>0</v>
      </c>
      <c r="R1966" s="169">
        <f>IFERROR(MATCH(J1966,'Final List'!$P$4:$P$252,0),0)</f>
        <v>0</v>
      </c>
      <c r="S1966" s="169">
        <f t="shared" si="124"/>
        <v>0</v>
      </c>
      <c r="T1966" s="169" t="s">
        <v>68</v>
      </c>
      <c r="V1966" s="169" t="str">
        <f t="shared" si="122"/>
        <v>GUNAY 1</v>
      </c>
      <c r="W1966" s="169" t="s">
        <v>2707</v>
      </c>
    </row>
    <row r="1967" spans="2:23" x14ac:dyDescent="0.25">
      <c r="B1967" s="169" t="s">
        <v>94</v>
      </c>
      <c r="C1967" s="169" t="s">
        <v>39</v>
      </c>
      <c r="D1967" s="169" t="s">
        <v>148</v>
      </c>
      <c r="E1967" s="169" t="s">
        <v>62</v>
      </c>
      <c r="F1967" s="245" t="str">
        <f t="shared" si="123"/>
        <v>RobC 80</v>
      </c>
      <c r="G1967" s="169" t="s">
        <v>344</v>
      </c>
      <c r="I1967" s="169" t="str">
        <f t="shared" si="121"/>
        <v>L07_JVHW_039E_ROBBING</v>
      </c>
      <c r="J1967" s="169" t="s">
        <v>9770</v>
      </c>
      <c r="K1967" s="169">
        <f>IFERROR(MATCH(J1967,'Final List'!$B$4:$B$252,0),0)</f>
        <v>0</v>
      </c>
      <c r="L1967" s="169">
        <f>IFERROR(MATCH(J1967,'Final List'!$D$4:$D$252,0),0)</f>
        <v>0</v>
      </c>
      <c r="M1967" s="169">
        <f>IFERROR(MATCH(J1967,'Final List'!$F$4:$F$251,0),0)</f>
        <v>0</v>
      </c>
      <c r="N1967" s="169">
        <f>IFERROR(MATCH(J1967,'Final List'!$H$4:$H$252,0),0)</f>
        <v>0</v>
      </c>
      <c r="O1967" s="169">
        <f>IFERROR(MATCH(J1967,'Final List'!$J$4:$J$252,0),0)</f>
        <v>0</v>
      </c>
      <c r="P1967" s="169">
        <f>IFERROR(MATCH(J1967,'Final List'!$L$4:$L$252,0),0)</f>
        <v>0</v>
      </c>
      <c r="Q1967" s="169">
        <f>IFERROR(MATCH(J1967,'Final List'!$N$4:$N$252,0),0)</f>
        <v>0</v>
      </c>
      <c r="R1967" s="169">
        <f>IFERROR(MATCH(J1967,'Final List'!$P$4:$P$252,0),0)</f>
        <v>0</v>
      </c>
      <c r="S1967" s="169">
        <f t="shared" si="124"/>
        <v>0</v>
      </c>
      <c r="T1967" s="169" t="s">
        <v>48</v>
      </c>
      <c r="V1967" s="169" t="str">
        <f t="shared" si="122"/>
        <v>UDLOS 1</v>
      </c>
      <c r="W1967" s="169" t="s">
        <v>236</v>
      </c>
    </row>
    <row r="1968" spans="2:23" x14ac:dyDescent="0.25">
      <c r="B1968" s="169" t="s">
        <v>96</v>
      </c>
      <c r="C1968" s="169" t="s">
        <v>45</v>
      </c>
      <c r="D1968" s="169" t="s">
        <v>146</v>
      </c>
      <c r="E1968" s="169" t="s">
        <v>19</v>
      </c>
      <c r="F1968" s="245" t="str">
        <f t="shared" si="123"/>
        <v>DVR 72</v>
      </c>
      <c r="G1968" s="169" t="s">
        <v>12528</v>
      </c>
      <c r="I1968" s="169" t="str">
        <f t="shared" si="121"/>
        <v>L09_DPVE_030E_RAISE</v>
      </c>
      <c r="J1968" s="169" t="s">
        <v>9773</v>
      </c>
      <c r="K1968" s="169">
        <f>IFERROR(MATCH(J1968,'Final List'!$B$4:$B$252,0),0)</f>
        <v>0</v>
      </c>
      <c r="L1968" s="169">
        <f>IFERROR(MATCH(J1968,'Final List'!$D$4:$D$252,0),0)</f>
        <v>0</v>
      </c>
      <c r="M1968" s="169">
        <f>IFERROR(MATCH(J1968,'Final List'!$F$4:$F$251,0),0)</f>
        <v>0</v>
      </c>
      <c r="N1968" s="169">
        <f>IFERROR(MATCH(J1968,'Final List'!$H$4:$H$252,0),0)</f>
        <v>0</v>
      </c>
      <c r="O1968" s="169">
        <f>IFERROR(MATCH(J1968,'Final List'!$J$4:$J$252,0),0)</f>
        <v>0</v>
      </c>
      <c r="P1968" s="169">
        <f>IFERROR(MATCH(J1968,'Final List'!$L$4:$L$252,0),0)</f>
        <v>0</v>
      </c>
      <c r="Q1968" s="169">
        <f>IFERROR(MATCH(J1968,'Final List'!$N$4:$N$252,0),0)</f>
        <v>0</v>
      </c>
      <c r="R1968" s="169">
        <f>IFERROR(MATCH(J1968,'Final List'!$P$4:$P$252,0),0)</f>
        <v>0</v>
      </c>
      <c r="S1968" s="169">
        <f t="shared" si="124"/>
        <v>0</v>
      </c>
      <c r="V1968" s="169" t="str">
        <f t="shared" si="122"/>
        <v>NITRO AA</v>
      </c>
      <c r="W1968" s="169" t="s">
        <v>2715</v>
      </c>
    </row>
    <row r="1969" spans="2:23" x14ac:dyDescent="0.25">
      <c r="B1969" s="169" t="s">
        <v>92</v>
      </c>
      <c r="C1969" s="169" t="s">
        <v>42</v>
      </c>
      <c r="D1969" s="169" t="s">
        <v>121</v>
      </c>
      <c r="E1969" s="169" t="s">
        <v>62</v>
      </c>
      <c r="F1969" s="245" t="str">
        <f t="shared" si="123"/>
        <v>RobS 79</v>
      </c>
      <c r="G1969" s="169" t="s">
        <v>538</v>
      </c>
      <c r="I1969" s="169" t="str">
        <f t="shared" ref="I1969:I2032" si="125">CONCATENATE(B1969,"_",C1969,"_",D1969,"_",E1969)</f>
        <v>L05_JV_022E_ROBBING</v>
      </c>
      <c r="J1969" s="169" t="s">
        <v>9774</v>
      </c>
      <c r="K1969" s="169">
        <f>IFERROR(MATCH(J1969,'Final List'!$B$4:$B$252,0),0)</f>
        <v>0</v>
      </c>
      <c r="L1969" s="169">
        <f>IFERROR(MATCH(J1969,'Final List'!$D$4:$D$252,0),0)</f>
        <v>0</v>
      </c>
      <c r="M1969" s="169">
        <f>IFERROR(MATCH(J1969,'Final List'!$F$4:$F$251,0),0)</f>
        <v>0</v>
      </c>
      <c r="N1969" s="169">
        <f>IFERROR(MATCH(J1969,'Final List'!$H$4:$H$252,0),0)</f>
        <v>0</v>
      </c>
      <c r="O1969" s="169">
        <f>IFERROR(MATCH(J1969,'Final List'!$J$4:$J$252,0),0)</f>
        <v>0</v>
      </c>
      <c r="P1969" s="169">
        <f>IFERROR(MATCH(J1969,'Final List'!$L$4:$L$252,0),0)</f>
        <v>0</v>
      </c>
      <c r="Q1969" s="169">
        <f>IFERROR(MATCH(J1969,'Final List'!$N$4:$N$252,0),0)</f>
        <v>0</v>
      </c>
      <c r="R1969" s="169">
        <f>IFERROR(MATCH(J1969,'Final List'!$P$4:$P$252,0),0)</f>
        <v>0</v>
      </c>
      <c r="S1969" s="169">
        <f t="shared" si="124"/>
        <v>0</v>
      </c>
      <c r="T1969" s="169" t="s">
        <v>68</v>
      </c>
      <c r="V1969" s="169" t="str">
        <f t="shared" si="122"/>
        <v>PANCIT, NOEL 4</v>
      </c>
      <c r="W1969" s="169" t="s">
        <v>2707</v>
      </c>
    </row>
    <row r="1970" spans="2:23" x14ac:dyDescent="0.25">
      <c r="B1970" s="169" t="s">
        <v>92</v>
      </c>
      <c r="C1970" s="169" t="s">
        <v>59</v>
      </c>
      <c r="D1970" s="169" t="s">
        <v>6714</v>
      </c>
      <c r="E1970" s="169" t="s">
        <v>62</v>
      </c>
      <c r="F1970" s="245" t="str">
        <f t="shared" si="123"/>
        <v>RobS 79</v>
      </c>
      <c r="G1970" s="169" t="s">
        <v>450</v>
      </c>
      <c r="I1970" s="169" t="str">
        <f t="shared" si="125"/>
        <v>L05_GHVHW_037W_ROBBING</v>
      </c>
      <c r="J1970" s="169" t="s">
        <v>9775</v>
      </c>
      <c r="K1970" s="169">
        <f>IFERROR(MATCH(J1970,'Final List'!$B$4:$B$252,0),0)</f>
        <v>0</v>
      </c>
      <c r="L1970" s="169">
        <f>IFERROR(MATCH(J1970,'Final List'!$D$4:$D$252,0),0)</f>
        <v>0</v>
      </c>
      <c r="M1970" s="169">
        <f>IFERROR(MATCH(J1970,'Final List'!$F$4:$F$251,0),0)</f>
        <v>0</v>
      </c>
      <c r="N1970" s="169">
        <f>IFERROR(MATCH(J1970,'Final List'!$H$4:$H$252,0),0)</f>
        <v>0</v>
      </c>
      <c r="O1970" s="169">
        <f>IFERROR(MATCH(J1970,'Final List'!$J$4:$J$252,0),0)</f>
        <v>0</v>
      </c>
      <c r="P1970" s="169">
        <f>IFERROR(MATCH(J1970,'Final List'!$L$4:$L$252,0),0)</f>
        <v>0</v>
      </c>
      <c r="Q1970" s="169">
        <f>IFERROR(MATCH(J1970,'Final List'!$N$4:$N$252,0),0)</f>
        <v>0</v>
      </c>
      <c r="R1970" s="169">
        <f>IFERROR(MATCH(J1970,'Final List'!$P$4:$P$252,0),0)</f>
        <v>0</v>
      </c>
      <c r="S1970" s="169">
        <f t="shared" si="124"/>
        <v>0</v>
      </c>
      <c r="T1970" s="169" t="s">
        <v>68</v>
      </c>
      <c r="V1970" s="169" t="str">
        <f t="shared" si="122"/>
        <v>BAYOBAY 1</v>
      </c>
      <c r="W1970" s="169" t="s">
        <v>2707</v>
      </c>
    </row>
    <row r="1971" spans="2:23" x14ac:dyDescent="0.25">
      <c r="B1971" s="169" t="s">
        <v>8904</v>
      </c>
      <c r="C1971" s="169" t="s">
        <v>57</v>
      </c>
      <c r="D1971" s="169" t="s">
        <v>101</v>
      </c>
      <c r="E1971" s="169" t="s">
        <v>62</v>
      </c>
      <c r="F1971" s="245" t="str">
        <f t="shared" si="123"/>
        <v>RobS 79</v>
      </c>
      <c r="G1971" s="169" t="s">
        <v>9349</v>
      </c>
      <c r="I1971" s="169" t="str">
        <f t="shared" si="125"/>
        <v>L03_JVSPLIT_023W_ROBBING</v>
      </c>
      <c r="J1971" s="169" t="s">
        <v>9809</v>
      </c>
      <c r="K1971" s="169">
        <f>IFERROR(MATCH(J1971,'Final List'!$B$4:$B$252,0),0)</f>
        <v>0</v>
      </c>
      <c r="L1971" s="169">
        <f>IFERROR(MATCH(J1971,'Final List'!$D$4:$D$252,0),0)</f>
        <v>0</v>
      </c>
      <c r="M1971" s="169">
        <f>IFERROR(MATCH(J1971,'Final List'!$F$4:$F$251,0),0)</f>
        <v>0</v>
      </c>
      <c r="N1971" s="169">
        <f>IFERROR(MATCH(J1971,'Final List'!$H$4:$H$252,0),0)</f>
        <v>0</v>
      </c>
      <c r="O1971" s="169">
        <f>IFERROR(MATCH(J1971,'Final List'!$J$4:$J$252,0),0)</f>
        <v>0</v>
      </c>
      <c r="P1971" s="169">
        <f>IFERROR(MATCH(J1971,'Final List'!$L$4:$L$252,0),0)</f>
        <v>0</v>
      </c>
      <c r="Q1971" s="169">
        <f>IFERROR(MATCH(J1971,'Final List'!$N$4:$N$252,0),0)</f>
        <v>0</v>
      </c>
      <c r="R1971" s="169">
        <f>IFERROR(MATCH(J1971,'Final List'!$P$4:$P$252,0),0)</f>
        <v>0</v>
      </c>
      <c r="S1971" s="169">
        <f t="shared" si="124"/>
        <v>0</v>
      </c>
      <c r="T1971" s="169" t="s">
        <v>68</v>
      </c>
      <c r="V1971" s="169" t="str">
        <f t="shared" si="122"/>
        <v>FERNANDEZ, RM 3</v>
      </c>
      <c r="W1971" s="169" t="s">
        <v>2707</v>
      </c>
    </row>
    <row r="1972" spans="2:23" x14ac:dyDescent="0.25">
      <c r="B1972" s="169" t="s">
        <v>92</v>
      </c>
      <c r="C1972" s="169" t="s">
        <v>56</v>
      </c>
      <c r="D1972" s="169" t="s">
        <v>129</v>
      </c>
      <c r="E1972" s="169" t="s">
        <v>19</v>
      </c>
      <c r="F1972" s="245" t="str">
        <f t="shared" si="123"/>
        <v>DVR 72</v>
      </c>
      <c r="G1972" s="169" t="s">
        <v>9730</v>
      </c>
      <c r="I1972" s="169" t="str">
        <f t="shared" si="125"/>
        <v>L05_GHVFW_010E_RAISE</v>
      </c>
      <c r="J1972" s="169" t="s">
        <v>9787</v>
      </c>
      <c r="K1972" s="169">
        <f>IFERROR(MATCH(J1972,'Final List'!$B$4:$B$252,0),0)</f>
        <v>0</v>
      </c>
      <c r="L1972" s="169">
        <f>IFERROR(MATCH(J1972,'Final List'!$D$4:$D$252,0),0)</f>
        <v>0</v>
      </c>
      <c r="M1972" s="169">
        <f>IFERROR(MATCH(J1972,'Final List'!$F$4:$F$251,0),0)</f>
        <v>0</v>
      </c>
      <c r="N1972" s="169">
        <f>IFERROR(MATCH(J1972,'Final List'!$H$4:$H$252,0),0)</f>
        <v>0</v>
      </c>
      <c r="O1972" s="169">
        <f>IFERROR(MATCH(J1972,'Final List'!$J$4:$J$252,0),0)</f>
        <v>0</v>
      </c>
      <c r="P1972" s="169">
        <f>IFERROR(MATCH(J1972,'Final List'!$L$4:$L$252,0),0)</f>
        <v>0</v>
      </c>
      <c r="Q1972" s="169">
        <f>IFERROR(MATCH(J1972,'Final List'!$N$4:$N$252,0),0)</f>
        <v>0</v>
      </c>
      <c r="R1972" s="169">
        <f>IFERROR(MATCH(J1972,'Final List'!$P$4:$P$252,0),0)</f>
        <v>0</v>
      </c>
      <c r="S1972" s="169">
        <f t="shared" si="124"/>
        <v>0</v>
      </c>
      <c r="V1972" s="169" t="str">
        <f t="shared" si="122"/>
        <v>SHEPHERD AQ 4</v>
      </c>
      <c r="W1972" s="169" t="s">
        <v>2715</v>
      </c>
    </row>
    <row r="1973" spans="2:23" x14ac:dyDescent="0.25">
      <c r="B1973" s="169" t="s">
        <v>258</v>
      </c>
      <c r="C1973" s="169" t="s">
        <v>56</v>
      </c>
      <c r="D1973" s="169" t="s">
        <v>177</v>
      </c>
      <c r="E1973" s="169" t="s">
        <v>36</v>
      </c>
      <c r="F1973" s="245" t="str">
        <f t="shared" si="123"/>
        <v>StpS 77</v>
      </c>
      <c r="G1973" s="169" t="s">
        <v>5701</v>
      </c>
      <c r="I1973" s="169" t="str">
        <f t="shared" si="125"/>
        <v>L10_GHVFW_054E_STOPE</v>
      </c>
      <c r="J1973" s="169" t="s">
        <v>9928</v>
      </c>
      <c r="K1973" s="169">
        <f>IFERROR(MATCH(J1973,'Final List'!$B$4:$B$252,0),0)</f>
        <v>0</v>
      </c>
      <c r="L1973" s="169">
        <f>IFERROR(MATCH(J1973,'Final List'!$D$4:$D$252,0),0)</f>
        <v>0</v>
      </c>
      <c r="M1973" s="169">
        <f>IFERROR(MATCH(J1973,'Final List'!$F$4:$F$251,0),0)</f>
        <v>0</v>
      </c>
      <c r="N1973" s="169">
        <f>IFERROR(MATCH(J1973,'Final List'!$H$4:$H$252,0),0)</f>
        <v>0</v>
      </c>
      <c r="O1973" s="169">
        <f>IFERROR(MATCH(J1973,'Final List'!$J$4:$J$252,0),0)</f>
        <v>0</v>
      </c>
      <c r="P1973" s="169">
        <f>IFERROR(MATCH(J1973,'Final List'!$L$4:$L$252,0),0)</f>
        <v>0</v>
      </c>
      <c r="Q1973" s="169">
        <f>IFERROR(MATCH(J1973,'Final List'!$N$4:$N$252,0),0)</f>
        <v>0</v>
      </c>
      <c r="R1973" s="169">
        <f>IFERROR(MATCH(J1973,'Final List'!$P$4:$P$252,0),0)</f>
        <v>0</v>
      </c>
      <c r="S1973" s="169">
        <f t="shared" si="124"/>
        <v>0</v>
      </c>
      <c r="T1973" s="169" t="s">
        <v>68</v>
      </c>
      <c r="V1973" s="169" t="str">
        <f t="shared" si="122"/>
        <v>LARGO 2</v>
      </c>
      <c r="W1973" s="169" t="s">
        <v>2713</v>
      </c>
    </row>
    <row r="1974" spans="2:23" x14ac:dyDescent="0.25">
      <c r="B1974" s="169" t="s">
        <v>95</v>
      </c>
      <c r="C1974" s="169" t="s">
        <v>38</v>
      </c>
      <c r="D1974" s="169" t="s">
        <v>123</v>
      </c>
      <c r="E1974" s="169" t="s">
        <v>6143</v>
      </c>
      <c r="F1974" s="245" t="str">
        <f t="shared" si="123"/>
        <v>Dhoz 71</v>
      </c>
      <c r="G1974" s="169" t="s">
        <v>467</v>
      </c>
      <c r="I1974" s="169" t="str">
        <f t="shared" si="125"/>
        <v>L08_GHV_031E_DE_ISL</v>
      </c>
      <c r="J1974" s="169" t="s">
        <v>9782</v>
      </c>
      <c r="K1974" s="169">
        <f>IFERROR(MATCH(J1974,'Final List'!$B$4:$B$252,0),0)</f>
        <v>0</v>
      </c>
      <c r="L1974" s="169">
        <f>IFERROR(MATCH(J1974,'Final List'!$D$4:$D$252,0),0)</f>
        <v>0</v>
      </c>
      <c r="M1974" s="169">
        <f>IFERROR(MATCH(J1974,'Final List'!$F$4:$F$251,0),0)</f>
        <v>0</v>
      </c>
      <c r="N1974" s="169">
        <f>IFERROR(MATCH(J1974,'Final List'!$H$4:$H$252,0),0)</f>
        <v>0</v>
      </c>
      <c r="O1974" s="169">
        <f>IFERROR(MATCH(J1974,'Final List'!$J$4:$J$252,0),0)</f>
        <v>0</v>
      </c>
      <c r="P1974" s="169">
        <f>IFERROR(MATCH(J1974,'Final List'!$L$4:$L$252,0),0)</f>
        <v>0</v>
      </c>
      <c r="Q1974" s="169">
        <f>IFERROR(MATCH(J1974,'Final List'!$N$4:$N$252,0),0)</f>
        <v>0</v>
      </c>
      <c r="R1974" s="169">
        <f>IFERROR(MATCH(J1974,'Final List'!$P$4:$P$252,0),0)</f>
        <v>0</v>
      </c>
      <c r="S1974" s="169">
        <f t="shared" si="124"/>
        <v>0</v>
      </c>
      <c r="V1974" s="169" t="str">
        <f t="shared" si="122"/>
        <v>AGLOLO 2</v>
      </c>
      <c r="W1974" s="169" t="s">
        <v>2708</v>
      </c>
    </row>
    <row r="1975" spans="2:23" x14ac:dyDescent="0.25">
      <c r="B1975" s="169" t="s">
        <v>258</v>
      </c>
      <c r="C1975" s="169" t="s">
        <v>45</v>
      </c>
      <c r="D1975" s="169" t="s">
        <v>129</v>
      </c>
      <c r="E1975" s="169" t="s">
        <v>60</v>
      </c>
      <c r="F1975" s="245" t="str">
        <f t="shared" si="123"/>
        <v>Dhoz 71</v>
      </c>
      <c r="G1975" s="169" t="s">
        <v>371</v>
      </c>
      <c r="I1975" s="169" t="str">
        <f t="shared" si="125"/>
        <v>L10_DPVE_010E_DE</v>
      </c>
      <c r="J1975" s="169" t="s">
        <v>9784</v>
      </c>
      <c r="K1975" s="169">
        <f>IFERROR(MATCH(J1975,'Final List'!$B$4:$B$252,0),0)</f>
        <v>0</v>
      </c>
      <c r="L1975" s="169">
        <f>IFERROR(MATCH(J1975,'Final List'!$D$4:$D$252,0),0)</f>
        <v>0</v>
      </c>
      <c r="M1975" s="169">
        <f>IFERROR(MATCH(J1975,'Final List'!$F$4:$F$251,0),0)</f>
        <v>0</v>
      </c>
      <c r="N1975" s="169">
        <f>IFERROR(MATCH(J1975,'Final List'!$H$4:$H$252,0),0)</f>
        <v>0</v>
      </c>
      <c r="O1975" s="169">
        <f>IFERROR(MATCH(J1975,'Final List'!$J$4:$J$252,0),0)</f>
        <v>0</v>
      </c>
      <c r="P1975" s="169">
        <f>IFERROR(MATCH(J1975,'Final List'!$L$4:$L$252,0),0)</f>
        <v>0</v>
      </c>
      <c r="Q1975" s="169">
        <f>IFERROR(MATCH(J1975,'Final List'!$N$4:$N$252,0),0)</f>
        <v>0</v>
      </c>
      <c r="R1975" s="169">
        <f>IFERROR(MATCH(J1975,'Final List'!$P$4:$P$252,0),0)</f>
        <v>0</v>
      </c>
      <c r="S1975" s="169">
        <f t="shared" si="124"/>
        <v>0</v>
      </c>
      <c r="V1975" s="169" t="str">
        <f t="shared" si="122"/>
        <v>TAÑEZA 3</v>
      </c>
      <c r="W1975" s="169" t="s">
        <v>8896</v>
      </c>
    </row>
    <row r="1976" spans="2:23" x14ac:dyDescent="0.25">
      <c r="B1976" s="169" t="s">
        <v>96</v>
      </c>
      <c r="C1976" s="169" t="s">
        <v>45</v>
      </c>
      <c r="D1976" s="169" t="s">
        <v>141</v>
      </c>
      <c r="E1976" s="169" t="s">
        <v>6143</v>
      </c>
      <c r="F1976" s="245" t="str">
        <f t="shared" si="123"/>
        <v>Dhoz 71</v>
      </c>
      <c r="G1976" s="169" t="s">
        <v>348</v>
      </c>
      <c r="I1976" s="169" t="str">
        <f t="shared" si="125"/>
        <v>L09_DPVE_029E_DE_ISL</v>
      </c>
      <c r="J1976" s="169" t="s">
        <v>14649</v>
      </c>
      <c r="K1976" s="169">
        <f>IFERROR(MATCH(J1976,'Final List'!$B$4:$B$252,0),0)</f>
        <v>0</v>
      </c>
      <c r="L1976" s="169">
        <f>IFERROR(MATCH(J1976,'Final List'!$D$4:$D$252,0),0)</f>
        <v>0</v>
      </c>
      <c r="M1976" s="169">
        <f>IFERROR(MATCH(J1976,'Final List'!$F$4:$F$251,0),0)</f>
        <v>0</v>
      </c>
      <c r="N1976" s="169">
        <f>IFERROR(MATCH(J1976,'Final List'!$H$4:$H$252,0),0)</f>
        <v>0</v>
      </c>
      <c r="O1976" s="169">
        <f>IFERROR(MATCH(J1976,'Final List'!$J$4:$J$252,0),0)</f>
        <v>0</v>
      </c>
      <c r="P1976" s="169">
        <f>IFERROR(MATCH(J1976,'Final List'!$L$4:$L$252,0),0)</f>
        <v>0</v>
      </c>
      <c r="Q1976" s="169">
        <f>IFERROR(MATCH(J1976,'Final List'!$N$4:$N$252,0),0)</f>
        <v>0</v>
      </c>
      <c r="R1976" s="169">
        <f>IFERROR(MATCH(J1976,'Final List'!$P$4:$P$252,0),0)</f>
        <v>0</v>
      </c>
      <c r="S1976" s="169">
        <f t="shared" si="124"/>
        <v>0</v>
      </c>
      <c r="V1976" s="169" t="str">
        <f t="shared" si="122"/>
        <v>QUIJANO 3</v>
      </c>
      <c r="W1976" s="169" t="s">
        <v>2708</v>
      </c>
    </row>
    <row r="1977" spans="2:23" x14ac:dyDescent="0.25">
      <c r="B1977" s="169" t="s">
        <v>258</v>
      </c>
      <c r="C1977" s="169" t="s">
        <v>87</v>
      </c>
      <c r="D1977" s="169" t="s">
        <v>5742</v>
      </c>
      <c r="E1977" s="169" t="s">
        <v>63</v>
      </c>
      <c r="F1977" s="245" t="str">
        <f t="shared" si="123"/>
        <v>Dhoz 71</v>
      </c>
      <c r="G1977" s="169" t="s">
        <v>6927</v>
      </c>
      <c r="I1977" s="169" t="str">
        <f t="shared" si="125"/>
        <v>L10_NONE_040E_XCS</v>
      </c>
      <c r="J1977" s="169" t="s">
        <v>9803</v>
      </c>
      <c r="K1977" s="169">
        <f>IFERROR(MATCH(J1977,'Final List'!$B$4:$B$252,0),0)</f>
        <v>0</v>
      </c>
      <c r="L1977" s="169">
        <f>IFERROR(MATCH(J1977,'Final List'!$D$4:$D$252,0),0)</f>
        <v>0</v>
      </c>
      <c r="M1977" s="169">
        <f>IFERROR(MATCH(J1977,'Final List'!$F$4:$F$251,0),0)</f>
        <v>0</v>
      </c>
      <c r="N1977" s="169">
        <f>IFERROR(MATCH(J1977,'Final List'!$H$4:$H$252,0),0)</f>
        <v>0</v>
      </c>
      <c r="O1977" s="169">
        <f>IFERROR(MATCH(J1977,'Final List'!$J$4:$J$252,0),0)</f>
        <v>0</v>
      </c>
      <c r="P1977" s="169">
        <f>IFERROR(MATCH(J1977,'Final List'!$L$4:$L$252,0),0)</f>
        <v>0</v>
      </c>
      <c r="Q1977" s="169">
        <f>IFERROR(MATCH(J1977,'Final List'!$N$4:$N$252,0),0)</f>
        <v>0</v>
      </c>
      <c r="R1977" s="169">
        <f>IFERROR(MATCH(J1977,'Final List'!$P$4:$P$252,0),0)</f>
        <v>0</v>
      </c>
      <c r="S1977" s="169">
        <f t="shared" si="124"/>
        <v>0</v>
      </c>
      <c r="V1977" s="169" t="str">
        <f t="shared" si="122"/>
        <v>DUHIG, R2</v>
      </c>
      <c r="W1977" s="169" t="s">
        <v>8898</v>
      </c>
    </row>
    <row r="1978" spans="2:23" x14ac:dyDescent="0.25">
      <c r="B1978" s="169" t="s">
        <v>1166</v>
      </c>
      <c r="C1978" s="169" t="s">
        <v>56</v>
      </c>
      <c r="D1978" s="169" t="s">
        <v>172</v>
      </c>
      <c r="E1978" s="169" t="s">
        <v>19</v>
      </c>
      <c r="F1978" s="245" t="str">
        <f t="shared" si="123"/>
        <v>DVR 72</v>
      </c>
      <c r="G1978" s="169" t="s">
        <v>464</v>
      </c>
      <c r="H1978" s="169" t="s">
        <v>7513</v>
      </c>
      <c r="I1978" s="169" t="str">
        <f t="shared" si="125"/>
        <v>L11_GHVFW_045E_RAISE</v>
      </c>
      <c r="J1978" s="169" t="s">
        <v>9805</v>
      </c>
      <c r="K1978" s="169">
        <f>IFERROR(MATCH(J1978,'Final List'!$B$4:$B$252,0),0)</f>
        <v>0</v>
      </c>
      <c r="L1978" s="169">
        <f>IFERROR(MATCH(J1978,'Final List'!$D$4:$D$252,0),0)</f>
        <v>0</v>
      </c>
      <c r="M1978" s="169">
        <f>IFERROR(MATCH(J1978,'Final List'!$F$4:$F$251,0),0)</f>
        <v>0</v>
      </c>
      <c r="N1978" s="169">
        <f>IFERROR(MATCH(J1978,'Final List'!$H$4:$H$252,0),0)</f>
        <v>0</v>
      </c>
      <c r="O1978" s="169">
        <f>IFERROR(MATCH(J1978,'Final List'!$J$4:$J$252,0),0)</f>
        <v>0</v>
      </c>
      <c r="P1978" s="169">
        <f>IFERROR(MATCH(J1978,'Final List'!$L$4:$L$252,0),0)</f>
        <v>0</v>
      </c>
      <c r="Q1978" s="169">
        <f>IFERROR(MATCH(J1978,'Final List'!$N$4:$N$252,0),0)</f>
        <v>0</v>
      </c>
      <c r="R1978" s="169">
        <f>IFERROR(MATCH(J1978,'Final List'!$P$4:$P$252,0),0)</f>
        <v>0</v>
      </c>
      <c r="S1978" s="169">
        <f t="shared" si="124"/>
        <v>0</v>
      </c>
      <c r="V1978" s="169" t="str">
        <f t="shared" si="122"/>
        <v>DUHIG R1</v>
      </c>
      <c r="W1978" s="169" t="s">
        <v>2715</v>
      </c>
    </row>
    <row r="1979" spans="2:23" x14ac:dyDescent="0.25">
      <c r="B1979" s="169" t="s">
        <v>95</v>
      </c>
      <c r="C1979" s="169" t="s">
        <v>87</v>
      </c>
      <c r="D1979" s="169" t="s">
        <v>147</v>
      </c>
      <c r="E1979" s="169" t="s">
        <v>63</v>
      </c>
      <c r="F1979" s="245" t="str">
        <f t="shared" si="123"/>
        <v>Dhoz 71</v>
      </c>
      <c r="G1979" s="169" t="s">
        <v>5325</v>
      </c>
      <c r="I1979" s="169" t="str">
        <f t="shared" si="125"/>
        <v>L08_NONE_024E_XCS</v>
      </c>
      <c r="J1979" s="169" t="s">
        <v>9806</v>
      </c>
      <c r="K1979" s="169">
        <f>IFERROR(MATCH(J1979,'Final List'!$B$4:$B$252,0),0)</f>
        <v>0</v>
      </c>
      <c r="L1979" s="169">
        <f>IFERROR(MATCH(J1979,'Final List'!$D$4:$D$252,0),0)</f>
        <v>0</v>
      </c>
      <c r="M1979" s="169">
        <f>IFERROR(MATCH(J1979,'Final List'!$F$4:$F$251,0),0)</f>
        <v>0</v>
      </c>
      <c r="N1979" s="169">
        <f>IFERROR(MATCH(J1979,'Final List'!$H$4:$H$252,0),0)</f>
        <v>0</v>
      </c>
      <c r="O1979" s="169">
        <f>IFERROR(MATCH(J1979,'Final List'!$J$4:$J$252,0),0)</f>
        <v>0</v>
      </c>
      <c r="P1979" s="169">
        <f>IFERROR(MATCH(J1979,'Final List'!$L$4:$L$252,0),0)</f>
        <v>0</v>
      </c>
      <c r="Q1979" s="169">
        <f>IFERROR(MATCH(J1979,'Final List'!$N$4:$N$252,0),0)</f>
        <v>0</v>
      </c>
      <c r="R1979" s="169">
        <f>IFERROR(MATCH(J1979,'Final List'!$P$4:$P$252,0),0)</f>
        <v>0</v>
      </c>
      <c r="S1979" s="169">
        <f t="shared" si="124"/>
        <v>0</v>
      </c>
      <c r="V1979" s="169" t="str">
        <f t="shared" si="122"/>
        <v>REVITA</v>
      </c>
      <c r="W1979" s="169" t="s">
        <v>2714</v>
      </c>
    </row>
    <row r="1980" spans="2:23" x14ac:dyDescent="0.25">
      <c r="B1980" s="169" t="s">
        <v>96</v>
      </c>
      <c r="C1980" s="169" t="s">
        <v>45</v>
      </c>
      <c r="D1980" s="169" t="s">
        <v>5872</v>
      </c>
      <c r="E1980" s="169" t="s">
        <v>6154</v>
      </c>
      <c r="F1980" s="245" t="str">
        <f t="shared" si="123"/>
        <v>Dhoz 71</v>
      </c>
      <c r="G1980" s="169" t="s">
        <v>2972</v>
      </c>
      <c r="I1980" s="169" t="str">
        <f t="shared" si="125"/>
        <v>L09_DPVE_076E_DW_ISL</v>
      </c>
      <c r="J1980" s="169" t="s">
        <v>9807</v>
      </c>
      <c r="K1980" s="169">
        <f>IFERROR(MATCH(J1980,'Final List'!$B$4:$B$252,0),0)</f>
        <v>0</v>
      </c>
      <c r="L1980" s="169">
        <f>IFERROR(MATCH(J1980,'Final List'!$D$4:$D$252,0),0)</f>
        <v>0</v>
      </c>
      <c r="M1980" s="169">
        <f>IFERROR(MATCH(J1980,'Final List'!$F$4:$F$251,0),0)</f>
        <v>0</v>
      </c>
      <c r="N1980" s="169">
        <f>IFERROR(MATCH(J1980,'Final List'!$H$4:$H$252,0),0)</f>
        <v>0</v>
      </c>
      <c r="O1980" s="169">
        <f>IFERROR(MATCH(J1980,'Final List'!$J$4:$J$252,0),0)</f>
        <v>0</v>
      </c>
      <c r="P1980" s="169">
        <f>IFERROR(MATCH(J1980,'Final List'!$L$4:$L$252,0),0)</f>
        <v>0</v>
      </c>
      <c r="Q1980" s="169">
        <f>IFERROR(MATCH(J1980,'Final List'!$N$4:$N$252,0),0)</f>
        <v>0</v>
      </c>
      <c r="R1980" s="169">
        <f>IFERROR(MATCH(J1980,'Final List'!$P$4:$P$252,0),0)</f>
        <v>0</v>
      </c>
      <c r="S1980" s="169">
        <f t="shared" si="124"/>
        <v>0</v>
      </c>
      <c r="V1980" s="169" t="str">
        <f t="shared" si="122"/>
        <v>FABROA 1</v>
      </c>
      <c r="W1980" s="169" t="s">
        <v>2708</v>
      </c>
    </row>
    <row r="1981" spans="2:23" x14ac:dyDescent="0.25">
      <c r="B1981" s="169" t="s">
        <v>93</v>
      </c>
      <c r="C1981" s="169" t="s">
        <v>42</v>
      </c>
      <c r="D1981" s="169" t="s">
        <v>111</v>
      </c>
      <c r="E1981" s="169" t="s">
        <v>6143</v>
      </c>
      <c r="F1981" s="245" t="str">
        <f t="shared" si="123"/>
        <v>Dhoz 71</v>
      </c>
      <c r="G1981" s="169" t="s">
        <v>526</v>
      </c>
      <c r="I1981" s="169" t="str">
        <f t="shared" si="125"/>
        <v>L06_JV_004W_DE_ISL</v>
      </c>
      <c r="J1981" s="169" t="s">
        <v>9788</v>
      </c>
      <c r="K1981" s="169">
        <f>IFERROR(MATCH(J1981,'Final List'!$B$4:$B$252,0),0)</f>
        <v>0</v>
      </c>
      <c r="L1981" s="169">
        <f>IFERROR(MATCH(J1981,'Final List'!$D$4:$D$252,0),0)</f>
        <v>0</v>
      </c>
      <c r="M1981" s="169">
        <f>IFERROR(MATCH(J1981,'Final List'!$F$4:$F$251,0),0)</f>
        <v>0</v>
      </c>
      <c r="N1981" s="169">
        <f>IFERROR(MATCH(J1981,'Final List'!$H$4:$H$252,0),0)</f>
        <v>0</v>
      </c>
      <c r="O1981" s="169">
        <f>IFERROR(MATCH(J1981,'Final List'!$J$4:$J$252,0),0)</f>
        <v>0</v>
      </c>
      <c r="P1981" s="169">
        <f>IFERROR(MATCH(J1981,'Final List'!$L$4:$L$252,0),0)</f>
        <v>0</v>
      </c>
      <c r="Q1981" s="169">
        <f>IFERROR(MATCH(J1981,'Final List'!$N$4:$N$252,0),0)</f>
        <v>0</v>
      </c>
      <c r="R1981" s="169">
        <f>IFERROR(MATCH(J1981,'Final List'!$P$4:$P$252,0),0)</f>
        <v>0</v>
      </c>
      <c r="S1981" s="169">
        <f t="shared" si="124"/>
        <v>0</v>
      </c>
      <c r="V1981" s="169" t="str">
        <f t="shared" si="122"/>
        <v>CARIKITAN 2</v>
      </c>
      <c r="W1981" s="169" t="s">
        <v>2708</v>
      </c>
    </row>
    <row r="1982" spans="2:23" x14ac:dyDescent="0.25">
      <c r="B1982" s="169" t="s">
        <v>96</v>
      </c>
      <c r="C1982" s="169" t="s">
        <v>45</v>
      </c>
      <c r="D1982" s="169" t="s">
        <v>247</v>
      </c>
      <c r="E1982" s="169" t="s">
        <v>221</v>
      </c>
      <c r="F1982" s="245" t="str">
        <f t="shared" si="123"/>
        <v>RobC 80</v>
      </c>
      <c r="G1982" s="169" t="s">
        <v>8201</v>
      </c>
      <c r="I1982" s="169" t="str">
        <f t="shared" si="125"/>
        <v>L09_DPVE_080E_WINZE STOPE</v>
      </c>
      <c r="J1982" s="169" t="s">
        <v>9931</v>
      </c>
      <c r="K1982" s="169">
        <f>IFERROR(MATCH(J1982,'Final List'!$B$4:$B$252,0),0)</f>
        <v>0</v>
      </c>
      <c r="L1982" s="169">
        <f>IFERROR(MATCH(J1982,'Final List'!$D$4:$D$252,0),0)</f>
        <v>0</v>
      </c>
      <c r="M1982" s="169">
        <f>IFERROR(MATCH(J1982,'Final List'!$F$4:$F$251,0),0)</f>
        <v>0</v>
      </c>
      <c r="N1982" s="169">
        <f>IFERROR(MATCH(J1982,'Final List'!$H$4:$H$252,0),0)</f>
        <v>0</v>
      </c>
      <c r="O1982" s="169">
        <f>IFERROR(MATCH(J1982,'Final List'!$J$4:$J$252,0),0)</f>
        <v>0</v>
      </c>
      <c r="P1982" s="169">
        <f>IFERROR(MATCH(J1982,'Final List'!$L$4:$L$252,0),0)</f>
        <v>0</v>
      </c>
      <c r="Q1982" s="169">
        <f>IFERROR(MATCH(J1982,'Final List'!$N$4:$N$252,0),0)</f>
        <v>0</v>
      </c>
      <c r="R1982" s="169">
        <f>IFERROR(MATCH(J1982,'Final List'!$P$4:$P$252,0),0)</f>
        <v>0</v>
      </c>
      <c r="S1982" s="169">
        <f t="shared" si="124"/>
        <v>0</v>
      </c>
      <c r="T1982" s="169" t="s">
        <v>68</v>
      </c>
      <c r="V1982" s="169" t="str">
        <f t="shared" si="122"/>
        <v>PANSIT, NORMAN 1</v>
      </c>
      <c r="W1982" s="169" t="s">
        <v>2705</v>
      </c>
    </row>
    <row r="1983" spans="2:23" x14ac:dyDescent="0.25">
      <c r="B1983" s="169" t="s">
        <v>93</v>
      </c>
      <c r="C1983" s="169" t="s">
        <v>38</v>
      </c>
      <c r="D1983" s="169" t="s">
        <v>106</v>
      </c>
      <c r="E1983" s="169" t="s">
        <v>62</v>
      </c>
      <c r="F1983" s="245" t="str">
        <f t="shared" si="123"/>
        <v>RobS 79</v>
      </c>
      <c r="G1983" s="169" t="s">
        <v>1506</v>
      </c>
      <c r="I1983" s="169" t="str">
        <f t="shared" si="125"/>
        <v>L06_GHV_033W_ROBBING</v>
      </c>
      <c r="J1983" s="169" t="s">
        <v>9816</v>
      </c>
      <c r="K1983" s="169">
        <f>IFERROR(MATCH(J1983,'Final List'!$B$4:$B$252,0),0)</f>
        <v>0</v>
      </c>
      <c r="L1983" s="169">
        <f>IFERROR(MATCH(J1983,'Final List'!$D$4:$D$252,0),0)</f>
        <v>0</v>
      </c>
      <c r="M1983" s="169">
        <f>IFERROR(MATCH(J1983,'Final List'!$F$4:$F$251,0),0)</f>
        <v>0</v>
      </c>
      <c r="N1983" s="169">
        <f>IFERROR(MATCH(J1983,'Final List'!$H$4:$H$252,0),0)</f>
        <v>0</v>
      </c>
      <c r="O1983" s="169">
        <f>IFERROR(MATCH(J1983,'Final List'!$J$4:$J$252,0),0)</f>
        <v>0</v>
      </c>
      <c r="P1983" s="169">
        <f>IFERROR(MATCH(J1983,'Final List'!$L$4:$L$252,0),0)</f>
        <v>0</v>
      </c>
      <c r="Q1983" s="169">
        <f>IFERROR(MATCH(J1983,'Final List'!$N$4:$N$252,0),0)</f>
        <v>0</v>
      </c>
      <c r="R1983" s="169">
        <f>IFERROR(MATCH(J1983,'Final List'!$P$4:$P$252,0),0)</f>
        <v>0</v>
      </c>
      <c r="S1983" s="169">
        <f t="shared" si="124"/>
        <v>0</v>
      </c>
      <c r="T1983" s="169" t="s">
        <v>68</v>
      </c>
      <c r="V1983" s="169" t="str">
        <f t="shared" si="122"/>
        <v>GUNAY</v>
      </c>
      <c r="W1983" s="169" t="s">
        <v>2707</v>
      </c>
    </row>
    <row r="1984" spans="2:23" x14ac:dyDescent="0.25">
      <c r="B1984" s="169" t="s">
        <v>93</v>
      </c>
      <c r="C1984" s="169" t="s">
        <v>59</v>
      </c>
      <c r="D1984" s="169" t="s">
        <v>6068</v>
      </c>
      <c r="E1984" s="169" t="s">
        <v>62</v>
      </c>
      <c r="F1984" s="245" t="str">
        <f t="shared" si="123"/>
        <v>RobS 79</v>
      </c>
      <c r="G1984" s="169" t="s">
        <v>378</v>
      </c>
      <c r="I1984" s="169" t="str">
        <f t="shared" si="125"/>
        <v>L06_GHVHW_035W_ROBBING</v>
      </c>
      <c r="J1984" s="169" t="s">
        <v>9460</v>
      </c>
      <c r="K1984" s="169">
        <f>IFERROR(MATCH(J1984,'Final List'!$B$4:$B$252,0),0)</f>
        <v>0</v>
      </c>
      <c r="L1984" s="169">
        <f>IFERROR(MATCH(J1984,'Final List'!$D$4:$D$252,0),0)</f>
        <v>0</v>
      </c>
      <c r="M1984" s="169">
        <f>IFERROR(MATCH(J1984,'Final List'!$F$4:$F$251,0),0)</f>
        <v>0</v>
      </c>
      <c r="N1984" s="169">
        <f>IFERROR(MATCH(J1984,'Final List'!$H$4:$H$252,0),0)</f>
        <v>0</v>
      </c>
      <c r="O1984" s="169">
        <f>IFERROR(MATCH(J1984,'Final List'!$J$4:$J$252,0),0)</f>
        <v>0</v>
      </c>
      <c r="P1984" s="169">
        <f>IFERROR(MATCH(J1984,'Final List'!$L$4:$L$252,0),0)</f>
        <v>0</v>
      </c>
      <c r="Q1984" s="169">
        <f>IFERROR(MATCH(J1984,'Final List'!$N$4:$N$252,0),0)</f>
        <v>0</v>
      </c>
      <c r="R1984" s="169">
        <f>IFERROR(MATCH(J1984,'Final List'!$P$4:$P$252,0),0)</f>
        <v>0</v>
      </c>
      <c r="S1984" s="169">
        <f t="shared" si="124"/>
        <v>0</v>
      </c>
      <c r="T1984" s="169" t="s">
        <v>68</v>
      </c>
      <c r="V1984" s="169" t="str">
        <f t="shared" si="122"/>
        <v>GUNAY 1</v>
      </c>
      <c r="W1984" s="169" t="s">
        <v>2707</v>
      </c>
    </row>
    <row r="1985" spans="2:23" x14ac:dyDescent="0.25">
      <c r="B1985" s="169" t="s">
        <v>93</v>
      </c>
      <c r="C1985" s="169" t="s">
        <v>44</v>
      </c>
      <c r="D1985" s="169" t="s">
        <v>7301</v>
      </c>
      <c r="E1985" s="169" t="s">
        <v>62</v>
      </c>
      <c r="F1985" s="245" t="str">
        <f t="shared" si="123"/>
        <v>RobS 79</v>
      </c>
      <c r="G1985" s="169" t="s">
        <v>3252</v>
      </c>
      <c r="I1985" s="169" t="str">
        <f t="shared" si="125"/>
        <v>L06_CV_010W_ROBBING</v>
      </c>
      <c r="J1985" s="169" t="s">
        <v>9817</v>
      </c>
      <c r="K1985" s="169">
        <f>IFERROR(MATCH(J1985,'Final List'!$B$4:$B$252,0),0)</f>
        <v>0</v>
      </c>
      <c r="L1985" s="169">
        <f>IFERROR(MATCH(J1985,'Final List'!$D$4:$D$252,0),0)</f>
        <v>0</v>
      </c>
      <c r="M1985" s="169">
        <f>IFERROR(MATCH(J1985,'Final List'!$F$4:$F$251,0),0)</f>
        <v>0</v>
      </c>
      <c r="N1985" s="169">
        <f>IFERROR(MATCH(J1985,'Final List'!$H$4:$H$252,0),0)</f>
        <v>0</v>
      </c>
      <c r="O1985" s="169">
        <f>IFERROR(MATCH(J1985,'Final List'!$J$4:$J$252,0),0)</f>
        <v>0</v>
      </c>
      <c r="P1985" s="169">
        <f>IFERROR(MATCH(J1985,'Final List'!$L$4:$L$252,0),0)</f>
        <v>0</v>
      </c>
      <c r="Q1985" s="169">
        <f>IFERROR(MATCH(J1985,'Final List'!$N$4:$N$252,0),0)</f>
        <v>0</v>
      </c>
      <c r="R1985" s="169">
        <f>IFERROR(MATCH(J1985,'Final List'!$P$4:$P$252,0),0)</f>
        <v>0</v>
      </c>
      <c r="S1985" s="169">
        <f t="shared" si="124"/>
        <v>0</v>
      </c>
      <c r="T1985" s="169" t="s">
        <v>68</v>
      </c>
      <c r="V1985" s="169" t="str">
        <f t="shared" si="122"/>
        <v>SHEPHERD AA1</v>
      </c>
      <c r="W1985" s="169" t="s">
        <v>2707</v>
      </c>
    </row>
    <row r="1986" spans="2:23" x14ac:dyDescent="0.25">
      <c r="B1986" s="169" t="s">
        <v>93</v>
      </c>
      <c r="C1986" s="169" t="s">
        <v>42</v>
      </c>
      <c r="D1986" s="169" t="s">
        <v>5631</v>
      </c>
      <c r="E1986" s="169" t="s">
        <v>19</v>
      </c>
      <c r="F1986" s="245" t="str">
        <f t="shared" si="123"/>
        <v>DVR 72</v>
      </c>
      <c r="G1986" s="169" t="s">
        <v>936</v>
      </c>
      <c r="I1986" s="169" t="str">
        <f t="shared" si="125"/>
        <v>L06_JV_020E_RAISE</v>
      </c>
      <c r="J1986" s="169" t="s">
        <v>9818</v>
      </c>
      <c r="K1986" s="169">
        <f>IFERROR(MATCH(J1986,'Final List'!$B$4:$B$252,0),0)</f>
        <v>0</v>
      </c>
      <c r="L1986" s="169">
        <f>IFERROR(MATCH(J1986,'Final List'!$D$4:$D$252,0),0)</f>
        <v>0</v>
      </c>
      <c r="M1986" s="169">
        <f>IFERROR(MATCH(J1986,'Final List'!$F$4:$F$251,0),0)</f>
        <v>0</v>
      </c>
      <c r="N1986" s="169">
        <f>IFERROR(MATCH(J1986,'Final List'!$H$4:$H$252,0),0)</f>
        <v>0</v>
      </c>
      <c r="O1986" s="169">
        <f>IFERROR(MATCH(J1986,'Final List'!$J$4:$J$252,0),0)</f>
        <v>0</v>
      </c>
      <c r="P1986" s="169">
        <f>IFERROR(MATCH(J1986,'Final List'!$L$4:$L$252,0),0)</f>
        <v>0</v>
      </c>
      <c r="Q1986" s="169">
        <f>IFERROR(MATCH(J1986,'Final List'!$N$4:$N$252,0),0)</f>
        <v>0</v>
      </c>
      <c r="R1986" s="169">
        <f>IFERROR(MATCH(J1986,'Final List'!$P$4:$P$252,0),0)</f>
        <v>0</v>
      </c>
      <c r="S1986" s="169">
        <f t="shared" si="124"/>
        <v>0</v>
      </c>
      <c r="V1986" s="169" t="str">
        <f t="shared" ref="V1986:V2049" si="126">IF(H1986="",G1986,H1986)</f>
        <v>GUNAY 2</v>
      </c>
      <c r="W1986" s="169" t="s">
        <v>2715</v>
      </c>
    </row>
    <row r="1987" spans="2:23" x14ac:dyDescent="0.25">
      <c r="B1987" s="169" t="s">
        <v>95</v>
      </c>
      <c r="C1987" s="169" t="s">
        <v>45</v>
      </c>
      <c r="D1987" s="169" t="s">
        <v>166</v>
      </c>
      <c r="E1987" s="169" t="s">
        <v>6143</v>
      </c>
      <c r="F1987" s="245" t="str">
        <f t="shared" ref="F1987:F2050" si="127">IF(OR(E1987="XCN",E1987="DE",E1987="DW",E1987="DN",E1987="XCS",E1987="XCE",E1987="XCW",E1987="SUMP",E1987="BYPASS",E1987="CHAMBER",E1987="DRAIN HOLE",E1987="DRILLING CHAMBER",E1987="DE_ISL",E1987="DW_ISL",E1987="REHAB"),"Dhoz 71",IF(OR(E1987="RAISE",E1987="RAISE_ISL"),"DVR 72",IF(E1987="ALIMAK","DVA 73",IF(E1987="WINZE","DVW 74",IF(E1987="SHAFT","DVS 75",IF(AND(E1987="WINZE STOPE",T1987="S"),"RobC 80",IF(AND(E1987="STOPE",T1987="S"),"StpS 77",IF(AND(E1987="WINZE STOPE",T1987="L"),"RobC 80",IF(AND(E1987="STOPE",T1987="L"),"StpL 78",IF(AND(E1987="WINZE STOPE PREP",T1987="S"),"RobC 80",IF(AND(E1987="STOPE PREP",T1987="S"),"StpS 77",IF(AND(E1987="WINZE STOPE PREP",T1987="L"),"RobC 80",IF(AND(E1987="STOPE PREP",T1987="L"),"StpL 78",IF(AND(E1987="ROBBING",T1987="L"),"RobC 80",IF(AND(E1987="ROBBING",T1987="S"),"RobS 79",0)))))))))))))))</f>
        <v>Dhoz 71</v>
      </c>
      <c r="G1987" s="169" t="s">
        <v>676</v>
      </c>
      <c r="H1987" s="169" t="s">
        <v>380</v>
      </c>
      <c r="I1987" s="169" t="str">
        <f t="shared" si="125"/>
        <v>L08_DPVE_068E_DE_ISL</v>
      </c>
      <c r="J1987" s="169" t="s">
        <v>10544</v>
      </c>
      <c r="K1987" s="169">
        <f>IFERROR(MATCH(J1987,'Final List'!$B$4:$B$252,0),0)</f>
        <v>0</v>
      </c>
      <c r="L1987" s="169">
        <f>IFERROR(MATCH(J1987,'Final List'!$D$4:$D$252,0),0)</f>
        <v>0</v>
      </c>
      <c r="M1987" s="169">
        <f>IFERROR(MATCH(J1987,'Final List'!$F$4:$F$251,0),0)</f>
        <v>0</v>
      </c>
      <c r="N1987" s="169">
        <f>IFERROR(MATCH(J1987,'Final List'!$H$4:$H$252,0),0)</f>
        <v>0</v>
      </c>
      <c r="O1987" s="169">
        <f>IFERROR(MATCH(J1987,'Final List'!$J$4:$J$252,0),0)</f>
        <v>0</v>
      </c>
      <c r="P1987" s="169">
        <f>IFERROR(MATCH(J1987,'Final List'!$L$4:$L$252,0),0)</f>
        <v>0</v>
      </c>
      <c r="Q1987" s="169">
        <f>IFERROR(MATCH(J1987,'Final List'!$N$4:$N$252,0),0)</f>
        <v>0</v>
      </c>
      <c r="R1987" s="169">
        <f>IFERROR(MATCH(J1987,'Final List'!$P$4:$P$252,0),0)</f>
        <v>0</v>
      </c>
      <c r="S1987" s="169">
        <f t="shared" ref="S1987:S2050" si="128">SUM(K1987:R1987)</f>
        <v>0</v>
      </c>
      <c r="V1987" s="169" t="str">
        <f t="shared" si="126"/>
        <v>AGLOLO 1</v>
      </c>
      <c r="W1987" s="169" t="s">
        <v>2708</v>
      </c>
    </row>
    <row r="1988" spans="2:23" x14ac:dyDescent="0.25">
      <c r="B1988" s="169" t="s">
        <v>93</v>
      </c>
      <c r="C1988" s="169" t="s">
        <v>44</v>
      </c>
      <c r="D1988" s="169" t="s">
        <v>5835</v>
      </c>
      <c r="E1988" s="169" t="s">
        <v>62</v>
      </c>
      <c r="F1988" s="245" t="str">
        <f t="shared" si="127"/>
        <v>RobS 79</v>
      </c>
      <c r="G1988" s="169" t="s">
        <v>577</v>
      </c>
      <c r="I1988" s="169" t="str">
        <f t="shared" si="125"/>
        <v>L06_CV_003W_ROBBING</v>
      </c>
      <c r="J1988" s="169" t="s">
        <v>9822</v>
      </c>
      <c r="K1988" s="169">
        <f>IFERROR(MATCH(J1988,'Final List'!$B$4:$B$252,0),0)</f>
        <v>0</v>
      </c>
      <c r="L1988" s="169">
        <f>IFERROR(MATCH(J1988,'Final List'!$D$4:$D$252,0),0)</f>
        <v>0</v>
      </c>
      <c r="M1988" s="169">
        <f>IFERROR(MATCH(J1988,'Final List'!$F$4:$F$251,0),0)</f>
        <v>0</v>
      </c>
      <c r="N1988" s="169">
        <f>IFERROR(MATCH(J1988,'Final List'!$H$4:$H$252,0),0)</f>
        <v>0</v>
      </c>
      <c r="O1988" s="169">
        <f>IFERROR(MATCH(J1988,'Final List'!$J$4:$J$252,0),0)</f>
        <v>0</v>
      </c>
      <c r="P1988" s="169">
        <f>IFERROR(MATCH(J1988,'Final List'!$L$4:$L$252,0),0)</f>
        <v>0</v>
      </c>
      <c r="Q1988" s="169">
        <f>IFERROR(MATCH(J1988,'Final List'!$N$4:$N$252,0),0)</f>
        <v>0</v>
      </c>
      <c r="R1988" s="169">
        <f>IFERROR(MATCH(J1988,'Final List'!$P$4:$P$252,0),0)</f>
        <v>0</v>
      </c>
      <c r="S1988" s="169">
        <f t="shared" si="128"/>
        <v>0</v>
      </c>
      <c r="T1988" s="169" t="s">
        <v>68</v>
      </c>
      <c r="V1988" s="169" t="str">
        <f t="shared" si="126"/>
        <v>CARIKITAN 1</v>
      </c>
      <c r="W1988" s="169" t="s">
        <v>2707</v>
      </c>
    </row>
    <row r="1989" spans="2:23" x14ac:dyDescent="0.25">
      <c r="B1989" s="169" t="s">
        <v>91</v>
      </c>
      <c r="C1989" s="169" t="s">
        <v>44</v>
      </c>
      <c r="D1989" s="169" t="s">
        <v>6864</v>
      </c>
      <c r="E1989" s="169" t="s">
        <v>6143</v>
      </c>
      <c r="F1989" s="245" t="str">
        <f t="shared" si="127"/>
        <v>Dhoz 71</v>
      </c>
      <c r="G1989" s="169" t="s">
        <v>5714</v>
      </c>
      <c r="I1989" s="169" t="str">
        <f t="shared" si="125"/>
        <v>L04_CV_006E_DE_ISL</v>
      </c>
      <c r="J1989" s="169" t="s">
        <v>9824</v>
      </c>
      <c r="K1989" s="169">
        <f>IFERROR(MATCH(J1989,'Final List'!$B$4:$B$252,0),0)</f>
        <v>0</v>
      </c>
      <c r="L1989" s="169">
        <f>IFERROR(MATCH(J1989,'Final List'!$D$4:$D$252,0),0)</f>
        <v>0</v>
      </c>
      <c r="M1989" s="169">
        <f>IFERROR(MATCH(J1989,'Final List'!$F$4:$F$251,0),0)</f>
        <v>0</v>
      </c>
      <c r="N1989" s="169">
        <f>IFERROR(MATCH(J1989,'Final List'!$H$4:$H$252,0),0)</f>
        <v>0</v>
      </c>
      <c r="O1989" s="169">
        <f>IFERROR(MATCH(J1989,'Final List'!$J$4:$J$252,0),0)</f>
        <v>0</v>
      </c>
      <c r="P1989" s="169">
        <f>IFERROR(MATCH(J1989,'Final List'!$L$4:$L$252,0),0)</f>
        <v>0</v>
      </c>
      <c r="Q1989" s="169">
        <f>IFERROR(MATCH(J1989,'Final List'!$N$4:$N$252,0),0)</f>
        <v>0</v>
      </c>
      <c r="R1989" s="169">
        <f>IFERROR(MATCH(J1989,'Final List'!$P$4:$P$252,0),0)</f>
        <v>0</v>
      </c>
      <c r="S1989" s="169">
        <f t="shared" si="128"/>
        <v>0</v>
      </c>
      <c r="V1989" s="169" t="str">
        <f t="shared" si="126"/>
        <v>MARTINEZ, RON 2</v>
      </c>
      <c r="W1989" s="169" t="s">
        <v>2708</v>
      </c>
    </row>
    <row r="1990" spans="2:23" x14ac:dyDescent="0.25">
      <c r="B1990" s="169" t="s">
        <v>96</v>
      </c>
      <c r="C1990" s="169" t="s">
        <v>45</v>
      </c>
      <c r="D1990" s="169" t="s">
        <v>9827</v>
      </c>
      <c r="E1990" s="169" t="s">
        <v>36</v>
      </c>
      <c r="F1990" s="245" t="str">
        <f t="shared" si="127"/>
        <v>StpS 77</v>
      </c>
      <c r="G1990" s="169" t="s">
        <v>8200</v>
      </c>
      <c r="I1990" s="169" t="str">
        <f t="shared" si="125"/>
        <v>L09_DPVE_088E_STOPE</v>
      </c>
      <c r="J1990" s="169" t="s">
        <v>9934</v>
      </c>
      <c r="K1990" s="169">
        <f>IFERROR(MATCH(J1990,'Final List'!$B$4:$B$252,0),0)</f>
        <v>0</v>
      </c>
      <c r="L1990" s="169">
        <f>IFERROR(MATCH(J1990,'Final List'!$D$4:$D$252,0),0)</f>
        <v>0</v>
      </c>
      <c r="M1990" s="169">
        <f>IFERROR(MATCH(J1990,'Final List'!$F$4:$F$251,0),0)</f>
        <v>0</v>
      </c>
      <c r="N1990" s="169">
        <f>IFERROR(MATCH(J1990,'Final List'!$H$4:$H$252,0),0)</f>
        <v>0</v>
      </c>
      <c r="O1990" s="169">
        <f>IFERROR(MATCH(J1990,'Final List'!$J$4:$J$252,0),0)</f>
        <v>0</v>
      </c>
      <c r="P1990" s="169">
        <f>IFERROR(MATCH(J1990,'Final List'!$L$4:$L$252,0),0)</f>
        <v>0</v>
      </c>
      <c r="Q1990" s="169">
        <f>IFERROR(MATCH(J1990,'Final List'!$N$4:$N$252,0),0)</f>
        <v>0</v>
      </c>
      <c r="R1990" s="169">
        <f>IFERROR(MATCH(J1990,'Final List'!$P$4:$P$252,0),0)</f>
        <v>0</v>
      </c>
      <c r="S1990" s="169">
        <f t="shared" si="128"/>
        <v>0</v>
      </c>
      <c r="T1990" s="169" t="s">
        <v>68</v>
      </c>
      <c r="V1990" s="169" t="str">
        <f t="shared" si="126"/>
        <v>PANSIT, NORMAN 4</v>
      </c>
      <c r="W1990" s="169" t="s">
        <v>2711</v>
      </c>
    </row>
    <row r="1991" spans="2:23" x14ac:dyDescent="0.25">
      <c r="B1991" s="169" t="s">
        <v>258</v>
      </c>
      <c r="C1991" s="169" t="s">
        <v>45</v>
      </c>
      <c r="D1991" s="169" t="s">
        <v>6864</v>
      </c>
      <c r="E1991" s="169" t="s">
        <v>61</v>
      </c>
      <c r="F1991" s="245" t="str">
        <f t="shared" si="127"/>
        <v>Dhoz 71</v>
      </c>
      <c r="G1991" s="169" t="s">
        <v>370</v>
      </c>
      <c r="I1991" s="169" t="str">
        <f t="shared" si="125"/>
        <v>L10_DPVE_006E_DW</v>
      </c>
      <c r="J1991" s="169" t="s">
        <v>9828</v>
      </c>
      <c r="K1991" s="169">
        <f>IFERROR(MATCH(J1991,'Final List'!$B$4:$B$252,0),0)</f>
        <v>0</v>
      </c>
      <c r="L1991" s="169">
        <f>IFERROR(MATCH(J1991,'Final List'!$D$4:$D$252,0),0)</f>
        <v>0</v>
      </c>
      <c r="M1991" s="169">
        <f>IFERROR(MATCH(J1991,'Final List'!$F$4:$F$251,0),0)</f>
        <v>0</v>
      </c>
      <c r="N1991" s="169">
        <f>IFERROR(MATCH(J1991,'Final List'!$H$4:$H$252,0),0)</f>
        <v>0</v>
      </c>
      <c r="O1991" s="169">
        <f>IFERROR(MATCH(J1991,'Final List'!$J$4:$J$252,0),0)</f>
        <v>0</v>
      </c>
      <c r="P1991" s="169">
        <f>IFERROR(MATCH(J1991,'Final List'!$L$4:$L$252,0),0)</f>
        <v>0</v>
      </c>
      <c r="Q1991" s="169">
        <f>IFERROR(MATCH(J1991,'Final List'!$N$4:$N$252,0),0)</f>
        <v>0</v>
      </c>
      <c r="R1991" s="169">
        <f>IFERROR(MATCH(J1991,'Final List'!$P$4:$P$252,0),0)</f>
        <v>0</v>
      </c>
      <c r="S1991" s="169">
        <f t="shared" si="128"/>
        <v>0</v>
      </c>
      <c r="V1991" s="169" t="str">
        <f t="shared" si="126"/>
        <v>TAÑEZA 2</v>
      </c>
      <c r="W1991" s="169" t="s">
        <v>8896</v>
      </c>
    </row>
    <row r="1992" spans="2:23" x14ac:dyDescent="0.25">
      <c r="B1992" s="169" t="s">
        <v>92</v>
      </c>
      <c r="C1992" s="169" t="s">
        <v>45</v>
      </c>
      <c r="D1992" s="169" t="s">
        <v>5741</v>
      </c>
      <c r="E1992" s="169" t="s">
        <v>441</v>
      </c>
      <c r="F1992" s="245" t="str">
        <f t="shared" si="127"/>
        <v>RobC 80</v>
      </c>
      <c r="G1992" s="169" t="s">
        <v>1577</v>
      </c>
      <c r="I1992" s="169" t="str">
        <f t="shared" si="125"/>
        <v>L05_DPVE_035E_WINZE STOPE PREP</v>
      </c>
      <c r="J1992" s="169" t="s">
        <v>9829</v>
      </c>
      <c r="K1992" s="169">
        <f>IFERROR(MATCH(J1992,'Final List'!$B$4:$B$252,0),0)</f>
        <v>0</v>
      </c>
      <c r="L1992" s="169">
        <f>IFERROR(MATCH(J1992,'Final List'!$D$4:$D$252,0),0)</f>
        <v>0</v>
      </c>
      <c r="M1992" s="169">
        <f>IFERROR(MATCH(J1992,'Final List'!$F$4:$F$251,0),0)</f>
        <v>0</v>
      </c>
      <c r="N1992" s="169">
        <f>IFERROR(MATCH(J1992,'Final List'!$H$4:$H$252,0),0)</f>
        <v>0</v>
      </c>
      <c r="O1992" s="169">
        <f>IFERROR(MATCH(J1992,'Final List'!$J$4:$J$252,0),0)</f>
        <v>0</v>
      </c>
      <c r="P1992" s="169">
        <f>IFERROR(MATCH(J1992,'Final List'!$L$4:$L$252,0),0)</f>
        <v>0</v>
      </c>
      <c r="Q1992" s="169">
        <f>IFERROR(MATCH(J1992,'Final List'!$N$4:$N$252,0),0)</f>
        <v>0</v>
      </c>
      <c r="R1992" s="169">
        <f>IFERROR(MATCH(J1992,'Final List'!$P$4:$P$252,0),0)</f>
        <v>0</v>
      </c>
      <c r="S1992" s="169">
        <f t="shared" si="128"/>
        <v>0</v>
      </c>
      <c r="T1992" s="169" t="s">
        <v>68</v>
      </c>
      <c r="V1992" s="169" t="str">
        <f t="shared" si="126"/>
        <v>PANCIT, NOEL 2</v>
      </c>
      <c r="W1992" s="169" t="s">
        <v>2716</v>
      </c>
    </row>
    <row r="1993" spans="2:23" x14ac:dyDescent="0.25">
      <c r="B1993" s="169" t="s">
        <v>258</v>
      </c>
      <c r="C1993" s="169" t="s">
        <v>45</v>
      </c>
      <c r="D1993" s="169" t="s">
        <v>6518</v>
      </c>
      <c r="E1993" s="169" t="s">
        <v>61</v>
      </c>
      <c r="F1993" s="245" t="str">
        <f t="shared" si="127"/>
        <v>Dhoz 71</v>
      </c>
      <c r="G1993" s="169" t="s">
        <v>371</v>
      </c>
      <c r="H1993" s="169" t="s">
        <v>9964</v>
      </c>
      <c r="I1993" s="169" t="str">
        <f t="shared" si="125"/>
        <v>L10_DPVE_007E_DW</v>
      </c>
      <c r="J1993" s="169" t="s">
        <v>9831</v>
      </c>
      <c r="K1993" s="169">
        <f>IFERROR(MATCH(J1993,'Final List'!$B$4:$B$252,0),0)</f>
        <v>0</v>
      </c>
      <c r="L1993" s="169">
        <f>IFERROR(MATCH(J1993,'Final List'!$D$4:$D$252,0),0)</f>
        <v>0</v>
      </c>
      <c r="M1993" s="169">
        <f>IFERROR(MATCH(J1993,'Final List'!$F$4:$F$251,0),0)</f>
        <v>0</v>
      </c>
      <c r="N1993" s="169">
        <f>IFERROR(MATCH(J1993,'Final List'!$H$4:$H$252,0),0)</f>
        <v>0</v>
      </c>
      <c r="O1993" s="169">
        <f>IFERROR(MATCH(J1993,'Final List'!$J$4:$J$252,0),0)</f>
        <v>0</v>
      </c>
      <c r="P1993" s="169">
        <f>IFERROR(MATCH(J1993,'Final List'!$L$4:$L$252,0),0)</f>
        <v>0</v>
      </c>
      <c r="Q1993" s="169">
        <f>IFERROR(MATCH(J1993,'Final List'!$N$4:$N$252,0),0)</f>
        <v>0</v>
      </c>
      <c r="R1993" s="169">
        <f>IFERROR(MATCH(J1993,'Final List'!$P$4:$P$252,0),0)</f>
        <v>0</v>
      </c>
      <c r="S1993" s="169">
        <f t="shared" si="128"/>
        <v>0</v>
      </c>
      <c r="V1993" s="169" t="str">
        <f t="shared" si="126"/>
        <v>SHEPHERD BA</v>
      </c>
      <c r="W1993" s="169" t="s">
        <v>8896</v>
      </c>
    </row>
    <row r="1994" spans="2:23" x14ac:dyDescent="0.25">
      <c r="B1994" s="169" t="s">
        <v>258</v>
      </c>
      <c r="C1994" s="169" t="s">
        <v>56</v>
      </c>
      <c r="D1994" s="169" t="s">
        <v>165</v>
      </c>
      <c r="E1994" s="169" t="s">
        <v>60</v>
      </c>
      <c r="F1994" s="245" t="str">
        <f t="shared" si="127"/>
        <v>Dhoz 71</v>
      </c>
      <c r="G1994" s="169" t="s">
        <v>303</v>
      </c>
      <c r="H1994" s="169" t="s">
        <v>1905</v>
      </c>
      <c r="I1994" s="169" t="str">
        <f t="shared" si="125"/>
        <v>L10_GHVFW_056E_DE</v>
      </c>
      <c r="J1994" s="169" t="s">
        <v>9834</v>
      </c>
      <c r="K1994" s="169">
        <f>IFERROR(MATCH(J1994,'Final List'!$B$4:$B$252,0),0)</f>
        <v>0</v>
      </c>
      <c r="L1994" s="169">
        <f>IFERROR(MATCH(J1994,'Final List'!$D$4:$D$252,0),0)</f>
        <v>0</v>
      </c>
      <c r="M1994" s="169">
        <f>IFERROR(MATCH(J1994,'Final List'!$F$4:$F$251,0),0)</f>
        <v>0</v>
      </c>
      <c r="N1994" s="169">
        <f>IFERROR(MATCH(J1994,'Final List'!$H$4:$H$252,0),0)</f>
        <v>0</v>
      </c>
      <c r="O1994" s="169">
        <f>IFERROR(MATCH(J1994,'Final List'!$J$4:$J$252,0),0)</f>
        <v>0</v>
      </c>
      <c r="P1994" s="169">
        <f>IFERROR(MATCH(J1994,'Final List'!$L$4:$L$252,0),0)</f>
        <v>0</v>
      </c>
      <c r="Q1994" s="169">
        <f>IFERROR(MATCH(J1994,'Final List'!$N$4:$N$252,0),0)</f>
        <v>0</v>
      </c>
      <c r="R1994" s="169">
        <f>IFERROR(MATCH(J1994,'Final List'!$P$4:$P$252,0),0)</f>
        <v>0</v>
      </c>
      <c r="S1994" s="169">
        <f t="shared" si="128"/>
        <v>0</v>
      </c>
      <c r="V1994" s="169" t="str">
        <f t="shared" si="126"/>
        <v>MONTEBON 1</v>
      </c>
      <c r="W1994" s="169" t="s">
        <v>8896</v>
      </c>
    </row>
    <row r="1995" spans="2:23" x14ac:dyDescent="0.25">
      <c r="B1995" s="169" t="s">
        <v>96</v>
      </c>
      <c r="C1995" s="169" t="s">
        <v>45</v>
      </c>
      <c r="D1995" s="169" t="s">
        <v>144</v>
      </c>
      <c r="E1995" s="169" t="s">
        <v>6154</v>
      </c>
      <c r="F1995" s="245" t="str">
        <f t="shared" si="127"/>
        <v>Dhoz 71</v>
      </c>
      <c r="G1995" s="169" t="s">
        <v>9749</v>
      </c>
      <c r="I1995" s="169" t="str">
        <f t="shared" si="125"/>
        <v>L09_DPVE_043E_DW_ISL</v>
      </c>
      <c r="J1995" s="169" t="s">
        <v>10220</v>
      </c>
      <c r="K1995" s="169">
        <f>IFERROR(MATCH(J1995,'Final List'!$B$4:$B$252,0),0)</f>
        <v>0</v>
      </c>
      <c r="L1995" s="169">
        <f>IFERROR(MATCH(J1995,'Final List'!$D$4:$D$252,0),0)</f>
        <v>0</v>
      </c>
      <c r="M1995" s="169">
        <f>IFERROR(MATCH(J1995,'Final List'!$F$4:$F$251,0),0)</f>
        <v>0</v>
      </c>
      <c r="N1995" s="169">
        <f>IFERROR(MATCH(J1995,'Final List'!$H$4:$H$252,0),0)</f>
        <v>0</v>
      </c>
      <c r="O1995" s="169">
        <f>IFERROR(MATCH(J1995,'Final List'!$J$4:$J$252,0),0)</f>
        <v>0</v>
      </c>
      <c r="P1995" s="169">
        <f>IFERROR(MATCH(J1995,'Final List'!$L$4:$L$252,0),0)</f>
        <v>0</v>
      </c>
      <c r="Q1995" s="169">
        <f>IFERROR(MATCH(J1995,'Final List'!$N$4:$N$252,0),0)</f>
        <v>0</v>
      </c>
      <c r="R1995" s="169">
        <f>IFERROR(MATCH(J1995,'Final List'!$P$4:$P$252,0),0)</f>
        <v>0</v>
      </c>
      <c r="S1995" s="169">
        <f t="shared" si="128"/>
        <v>0</v>
      </c>
      <c r="V1995" s="169" t="str">
        <f t="shared" si="126"/>
        <v>MAPAYO 4</v>
      </c>
      <c r="W1995" s="169" t="s">
        <v>2708</v>
      </c>
    </row>
    <row r="1996" spans="2:23" x14ac:dyDescent="0.25">
      <c r="B1996" s="169" t="s">
        <v>94</v>
      </c>
      <c r="C1996" s="169" t="s">
        <v>39</v>
      </c>
      <c r="D1996" s="169" t="s">
        <v>142</v>
      </c>
      <c r="E1996" s="169" t="s">
        <v>62</v>
      </c>
      <c r="F1996" s="245" t="str">
        <f t="shared" si="127"/>
        <v>RobS 79</v>
      </c>
      <c r="G1996" s="169" t="s">
        <v>344</v>
      </c>
      <c r="I1996" s="169" t="str">
        <f t="shared" si="125"/>
        <v>L07_JVHW_038E_ROBBING</v>
      </c>
      <c r="J1996" s="169" t="s">
        <v>9836</v>
      </c>
      <c r="K1996" s="169">
        <f>IFERROR(MATCH(J1996,'Final List'!$B$4:$B$252,0),0)</f>
        <v>0</v>
      </c>
      <c r="L1996" s="169">
        <f>IFERROR(MATCH(J1996,'Final List'!$D$4:$D$252,0),0)</f>
        <v>0</v>
      </c>
      <c r="M1996" s="169">
        <f>IFERROR(MATCH(J1996,'Final List'!$F$4:$F$251,0),0)</f>
        <v>0</v>
      </c>
      <c r="N1996" s="169">
        <f>IFERROR(MATCH(J1996,'Final List'!$H$4:$H$252,0),0)</f>
        <v>0</v>
      </c>
      <c r="O1996" s="169">
        <f>IFERROR(MATCH(J1996,'Final List'!$J$4:$J$252,0),0)</f>
        <v>0</v>
      </c>
      <c r="P1996" s="169">
        <f>IFERROR(MATCH(J1996,'Final List'!$L$4:$L$252,0),0)</f>
        <v>0</v>
      </c>
      <c r="Q1996" s="169">
        <f>IFERROR(MATCH(J1996,'Final List'!$N$4:$N$252,0),0)</f>
        <v>0</v>
      </c>
      <c r="R1996" s="169">
        <f>IFERROR(MATCH(J1996,'Final List'!$P$4:$P$252,0),0)</f>
        <v>0</v>
      </c>
      <c r="S1996" s="169">
        <f t="shared" si="128"/>
        <v>0</v>
      </c>
      <c r="T1996" s="169" t="s">
        <v>68</v>
      </c>
      <c r="V1996" s="169" t="str">
        <f t="shared" si="126"/>
        <v>UDLOS 1</v>
      </c>
      <c r="W1996" s="169" t="s">
        <v>2707</v>
      </c>
    </row>
    <row r="1997" spans="2:23" x14ac:dyDescent="0.25">
      <c r="B1997" s="169" t="s">
        <v>93</v>
      </c>
      <c r="C1997" s="169" t="s">
        <v>45</v>
      </c>
      <c r="D1997" s="169" t="s">
        <v>167</v>
      </c>
      <c r="E1997" s="169" t="s">
        <v>62</v>
      </c>
      <c r="F1997" s="245" t="str">
        <f t="shared" si="127"/>
        <v>RobC 80</v>
      </c>
      <c r="G1997" s="169" t="s">
        <v>350</v>
      </c>
      <c r="I1997" s="169" t="str">
        <f t="shared" si="125"/>
        <v>L06_DPVE_058E_ROBBING</v>
      </c>
      <c r="J1997" s="169" t="s">
        <v>9838</v>
      </c>
      <c r="K1997" s="169">
        <f>IFERROR(MATCH(J1997,'Final List'!$B$4:$B$252,0),0)</f>
        <v>0</v>
      </c>
      <c r="L1997" s="169">
        <f>IFERROR(MATCH(J1997,'Final List'!$D$4:$D$252,0),0)</f>
        <v>0</v>
      </c>
      <c r="M1997" s="169">
        <f>IFERROR(MATCH(J1997,'Final List'!$F$4:$F$251,0),0)</f>
        <v>0</v>
      </c>
      <c r="N1997" s="169">
        <f>IFERROR(MATCH(J1997,'Final List'!$H$4:$H$252,0),0)</f>
        <v>0</v>
      </c>
      <c r="O1997" s="169">
        <f>IFERROR(MATCH(J1997,'Final List'!$J$4:$J$252,0),0)</f>
        <v>0</v>
      </c>
      <c r="P1997" s="169">
        <f>IFERROR(MATCH(J1997,'Final List'!$L$4:$L$252,0),0)</f>
        <v>0</v>
      </c>
      <c r="Q1997" s="169">
        <f>IFERROR(MATCH(J1997,'Final List'!$N$4:$N$252,0),0)</f>
        <v>0</v>
      </c>
      <c r="R1997" s="169">
        <f>IFERROR(MATCH(J1997,'Final List'!$P$4:$P$252,0),0)</f>
        <v>0</v>
      </c>
      <c r="S1997" s="169">
        <f t="shared" si="128"/>
        <v>0</v>
      </c>
      <c r="T1997" s="169" t="s">
        <v>48</v>
      </c>
      <c r="V1997" s="169" t="str">
        <f t="shared" si="126"/>
        <v>QUIJANO 1</v>
      </c>
      <c r="W1997" s="169" t="s">
        <v>236</v>
      </c>
    </row>
    <row r="1998" spans="2:23" x14ac:dyDescent="0.25">
      <c r="B1998" s="169" t="s">
        <v>91</v>
      </c>
      <c r="C1998" s="169" t="s">
        <v>42</v>
      </c>
      <c r="D1998" s="169" t="s">
        <v>103</v>
      </c>
      <c r="E1998" s="169" t="s">
        <v>61</v>
      </c>
      <c r="F1998" s="245" t="str">
        <f t="shared" si="127"/>
        <v>Dhoz 71</v>
      </c>
      <c r="G1998" s="169" t="s">
        <v>7876</v>
      </c>
      <c r="I1998" s="169" t="str">
        <f t="shared" si="125"/>
        <v>L04_JV_005E_DW</v>
      </c>
      <c r="J1998" s="169" t="s">
        <v>9839</v>
      </c>
      <c r="K1998" s="169">
        <f>IFERROR(MATCH(J1998,'Final List'!$B$4:$B$252,0),0)</f>
        <v>0</v>
      </c>
      <c r="L1998" s="169">
        <f>IFERROR(MATCH(J1998,'Final List'!$D$4:$D$252,0),0)</f>
        <v>0</v>
      </c>
      <c r="M1998" s="169">
        <f>IFERROR(MATCH(J1998,'Final List'!$F$4:$F$251,0),0)</f>
        <v>0</v>
      </c>
      <c r="N1998" s="169">
        <f>IFERROR(MATCH(J1998,'Final List'!$H$4:$H$252,0),0)</f>
        <v>0</v>
      </c>
      <c r="O1998" s="169">
        <f>IFERROR(MATCH(J1998,'Final List'!$J$4:$J$252,0),0)</f>
        <v>0</v>
      </c>
      <c r="P1998" s="169">
        <f>IFERROR(MATCH(J1998,'Final List'!$L$4:$L$252,0),0)</f>
        <v>0</v>
      </c>
      <c r="Q1998" s="169">
        <f>IFERROR(MATCH(J1998,'Final List'!$N$4:$N$252,0),0)</f>
        <v>0</v>
      </c>
      <c r="R1998" s="169">
        <f>IFERROR(MATCH(J1998,'Final List'!$P$4:$P$252,0),0)</f>
        <v>0</v>
      </c>
      <c r="S1998" s="169">
        <f t="shared" si="128"/>
        <v>0</v>
      </c>
      <c r="V1998" s="169" t="str">
        <f t="shared" si="126"/>
        <v>SHEPHERD AL 2</v>
      </c>
      <c r="W1998" s="169" t="s">
        <v>8895</v>
      </c>
    </row>
    <row r="1999" spans="2:23" x14ac:dyDescent="0.25">
      <c r="B1999" s="169" t="s">
        <v>92</v>
      </c>
      <c r="C1999" s="169" t="s">
        <v>45</v>
      </c>
      <c r="D1999" s="169" t="s">
        <v>132</v>
      </c>
      <c r="E1999" s="169" t="s">
        <v>61</v>
      </c>
      <c r="F1999" s="245" t="str">
        <f t="shared" si="127"/>
        <v>Dhoz 71</v>
      </c>
      <c r="G1999" s="169" t="s">
        <v>5699</v>
      </c>
      <c r="I1999" s="169" t="str">
        <f t="shared" si="125"/>
        <v>L05_DPVE_033E_DW</v>
      </c>
      <c r="J1999" s="169" t="s">
        <v>9842</v>
      </c>
      <c r="K1999" s="169">
        <f>IFERROR(MATCH(J1999,'Final List'!$B$4:$B$252,0),0)</f>
        <v>0</v>
      </c>
      <c r="L1999" s="169">
        <f>IFERROR(MATCH(J1999,'Final List'!$D$4:$D$252,0),0)</f>
        <v>0</v>
      </c>
      <c r="M1999" s="169">
        <f>IFERROR(MATCH(J1999,'Final List'!$F$4:$F$251,0),0)</f>
        <v>0</v>
      </c>
      <c r="N1999" s="169">
        <f>IFERROR(MATCH(J1999,'Final List'!$H$4:$H$252,0),0)</f>
        <v>0</v>
      </c>
      <c r="O1999" s="169">
        <f>IFERROR(MATCH(J1999,'Final List'!$J$4:$J$252,0),0)</f>
        <v>0</v>
      </c>
      <c r="P1999" s="169">
        <f>IFERROR(MATCH(J1999,'Final List'!$L$4:$L$252,0),0)</f>
        <v>0</v>
      </c>
      <c r="Q1999" s="169">
        <f>IFERROR(MATCH(J1999,'Final List'!$N$4:$N$252,0),0)</f>
        <v>0</v>
      </c>
      <c r="R1999" s="169">
        <f>IFERROR(MATCH(J1999,'Final List'!$P$4:$P$252,0),0)</f>
        <v>0</v>
      </c>
      <c r="S1999" s="169">
        <f t="shared" si="128"/>
        <v>0</v>
      </c>
      <c r="V1999" s="169" t="str">
        <f t="shared" si="126"/>
        <v>PARAN 2</v>
      </c>
      <c r="W1999" s="169" t="s">
        <v>8895</v>
      </c>
    </row>
    <row r="2000" spans="2:23" x14ac:dyDescent="0.25">
      <c r="B2000" s="169" t="s">
        <v>94</v>
      </c>
      <c r="C2000" s="169" t="s">
        <v>56</v>
      </c>
      <c r="D2000" s="169" t="s">
        <v>205</v>
      </c>
      <c r="E2000" s="169" t="s">
        <v>62</v>
      </c>
      <c r="F2000" s="245" t="str">
        <f t="shared" si="127"/>
        <v>RobC 80</v>
      </c>
      <c r="G2000" s="169" t="s">
        <v>2971</v>
      </c>
      <c r="I2000" s="169" t="str">
        <f t="shared" si="125"/>
        <v>L07_GHVFW_066E_ROBBING</v>
      </c>
      <c r="J2000" s="169" t="s">
        <v>9844</v>
      </c>
      <c r="K2000" s="169">
        <f>IFERROR(MATCH(J2000,'Final List'!$B$4:$B$252,0),0)</f>
        <v>0</v>
      </c>
      <c r="L2000" s="169">
        <f>IFERROR(MATCH(J2000,'Final List'!$D$4:$D$252,0),0)</f>
        <v>0</v>
      </c>
      <c r="M2000" s="169">
        <f>IFERROR(MATCH(J2000,'Final List'!$F$4:$F$251,0),0)</f>
        <v>0</v>
      </c>
      <c r="N2000" s="169">
        <f>IFERROR(MATCH(J2000,'Final List'!$H$4:$H$252,0),0)</f>
        <v>0</v>
      </c>
      <c r="O2000" s="169">
        <f>IFERROR(MATCH(J2000,'Final List'!$J$4:$J$252,0),0)</f>
        <v>0</v>
      </c>
      <c r="P2000" s="169">
        <f>IFERROR(MATCH(J2000,'Final List'!$L$4:$L$252,0),0)</f>
        <v>0</v>
      </c>
      <c r="Q2000" s="169">
        <f>IFERROR(MATCH(J2000,'Final List'!$N$4:$N$252,0),0)</f>
        <v>0</v>
      </c>
      <c r="R2000" s="169">
        <f>IFERROR(MATCH(J2000,'Final List'!$P$4:$P$252,0),0)</f>
        <v>0</v>
      </c>
      <c r="S2000" s="169">
        <f t="shared" si="128"/>
        <v>0</v>
      </c>
      <c r="T2000" s="169" t="s">
        <v>48</v>
      </c>
      <c r="V2000" s="169" t="str">
        <f t="shared" si="126"/>
        <v>FABROA 3</v>
      </c>
      <c r="W2000" s="169" t="s">
        <v>236</v>
      </c>
    </row>
    <row r="2001" spans="2:23" x14ac:dyDescent="0.25">
      <c r="B2001" s="169" t="s">
        <v>96</v>
      </c>
      <c r="C2001" s="169" t="s">
        <v>45</v>
      </c>
      <c r="D2001" s="169" t="s">
        <v>284</v>
      </c>
      <c r="E2001" s="169" t="s">
        <v>6143</v>
      </c>
      <c r="F2001" s="245" t="str">
        <f t="shared" si="127"/>
        <v>Dhoz 71</v>
      </c>
      <c r="G2001" s="169" t="s">
        <v>746</v>
      </c>
      <c r="H2001" s="169" t="s">
        <v>349</v>
      </c>
      <c r="I2001" s="169" t="str">
        <f t="shared" si="125"/>
        <v>L09_DPVE_061E_DE_ISL</v>
      </c>
      <c r="J2001" s="169" t="s">
        <v>9843</v>
      </c>
      <c r="K2001" s="169">
        <f>IFERROR(MATCH(J2001,'Final List'!$B$4:$B$252,0),0)</f>
        <v>0</v>
      </c>
      <c r="L2001" s="169">
        <f>IFERROR(MATCH(J2001,'Final List'!$D$4:$D$252,0),0)</f>
        <v>0</v>
      </c>
      <c r="M2001" s="169">
        <f>IFERROR(MATCH(J2001,'Final List'!$F$4:$F$251,0),0)</f>
        <v>0</v>
      </c>
      <c r="N2001" s="169">
        <f>IFERROR(MATCH(J2001,'Final List'!$H$4:$H$252,0),0)</f>
        <v>0</v>
      </c>
      <c r="O2001" s="169">
        <f>IFERROR(MATCH(J2001,'Final List'!$J$4:$J$252,0),0)</f>
        <v>0</v>
      </c>
      <c r="P2001" s="169">
        <f>IFERROR(MATCH(J2001,'Final List'!$L$4:$L$252,0),0)</f>
        <v>0</v>
      </c>
      <c r="Q2001" s="169">
        <f>IFERROR(MATCH(J2001,'Final List'!$N$4:$N$252,0),0)</f>
        <v>0</v>
      </c>
      <c r="R2001" s="169">
        <f>IFERROR(MATCH(J2001,'Final List'!$P$4:$P$252,0),0)</f>
        <v>0</v>
      </c>
      <c r="S2001" s="169">
        <f t="shared" si="128"/>
        <v>0</v>
      </c>
      <c r="V2001" s="169" t="str">
        <f t="shared" si="126"/>
        <v>QUIJANO 2</v>
      </c>
      <c r="W2001" s="169" t="s">
        <v>2708</v>
      </c>
    </row>
    <row r="2002" spans="2:23" x14ac:dyDescent="0.25">
      <c r="B2002" s="169" t="s">
        <v>258</v>
      </c>
      <c r="C2002" s="169" t="s">
        <v>45</v>
      </c>
      <c r="D2002" s="169" t="s">
        <v>9847</v>
      </c>
      <c r="E2002" s="169" t="s">
        <v>60</v>
      </c>
      <c r="F2002" s="245" t="str">
        <f t="shared" si="127"/>
        <v>Dhoz 71</v>
      </c>
      <c r="G2002" s="169" t="s">
        <v>451</v>
      </c>
      <c r="H2002" s="169" t="s">
        <v>362</v>
      </c>
      <c r="I2002" s="169" t="str">
        <f t="shared" si="125"/>
        <v>L10_DPVE_095E_DE</v>
      </c>
      <c r="J2002" s="169" t="s">
        <v>9846</v>
      </c>
      <c r="K2002" s="169">
        <f>IFERROR(MATCH(J2002,'Final List'!$B$4:$B$252,0),0)</f>
        <v>0</v>
      </c>
      <c r="L2002" s="169">
        <f>IFERROR(MATCH(J2002,'Final List'!$D$4:$D$252,0),0)</f>
        <v>0</v>
      </c>
      <c r="M2002" s="169">
        <f>IFERROR(MATCH(J2002,'Final List'!$F$4:$F$251,0),0)</f>
        <v>0</v>
      </c>
      <c r="N2002" s="169">
        <f>IFERROR(MATCH(J2002,'Final List'!$H$4:$H$252,0),0)</f>
        <v>0</v>
      </c>
      <c r="O2002" s="169">
        <f>IFERROR(MATCH(J2002,'Final List'!$J$4:$J$252,0),0)</f>
        <v>0</v>
      </c>
      <c r="P2002" s="169">
        <f>IFERROR(MATCH(J2002,'Final List'!$L$4:$L$252,0),0)</f>
        <v>0</v>
      </c>
      <c r="Q2002" s="169">
        <f>IFERROR(MATCH(J2002,'Final List'!$N$4:$N$252,0),0)</f>
        <v>0</v>
      </c>
      <c r="R2002" s="169">
        <f>IFERROR(MATCH(J2002,'Final List'!$P$4:$P$252,0),0)</f>
        <v>0</v>
      </c>
      <c r="S2002" s="169">
        <f t="shared" si="128"/>
        <v>0</v>
      </c>
      <c r="V2002" s="169" t="str">
        <f t="shared" si="126"/>
        <v>BABOR 1</v>
      </c>
      <c r="W2002" s="169" t="s">
        <v>8896</v>
      </c>
    </row>
    <row r="2003" spans="2:23" x14ac:dyDescent="0.25">
      <c r="B2003" s="169" t="s">
        <v>93</v>
      </c>
      <c r="C2003" s="169" t="s">
        <v>44</v>
      </c>
      <c r="D2003" s="169" t="s">
        <v>140</v>
      </c>
      <c r="E2003" s="169" t="s">
        <v>62</v>
      </c>
      <c r="F2003" s="245" t="str">
        <f t="shared" si="127"/>
        <v>RobS 79</v>
      </c>
      <c r="G2003" s="169" t="s">
        <v>577</v>
      </c>
      <c r="I2003" s="169" t="str">
        <f t="shared" si="125"/>
        <v>L06_CV_005W_ROBBING</v>
      </c>
      <c r="J2003" s="169" t="s">
        <v>4099</v>
      </c>
      <c r="K2003" s="169">
        <f>IFERROR(MATCH(J2003,'Final List'!$B$4:$B$252,0),0)</f>
        <v>0</v>
      </c>
      <c r="L2003" s="169">
        <f>IFERROR(MATCH(J2003,'Final List'!$D$4:$D$252,0),0)</f>
        <v>0</v>
      </c>
      <c r="M2003" s="169">
        <f>IFERROR(MATCH(J2003,'Final List'!$F$4:$F$251,0),0)</f>
        <v>0</v>
      </c>
      <c r="N2003" s="169">
        <f>IFERROR(MATCH(J2003,'Final List'!$H$4:$H$252,0),0)</f>
        <v>0</v>
      </c>
      <c r="O2003" s="169">
        <f>IFERROR(MATCH(J2003,'Final List'!$J$4:$J$252,0),0)</f>
        <v>0</v>
      </c>
      <c r="P2003" s="169">
        <f>IFERROR(MATCH(J2003,'Final List'!$L$4:$L$252,0),0)</f>
        <v>0</v>
      </c>
      <c r="Q2003" s="169">
        <f>IFERROR(MATCH(J2003,'Final List'!$N$4:$N$252,0),0)</f>
        <v>0</v>
      </c>
      <c r="R2003" s="169">
        <f>IFERROR(MATCH(J2003,'Final List'!$P$4:$P$252,0),0)</f>
        <v>0</v>
      </c>
      <c r="S2003" s="169">
        <f t="shared" si="128"/>
        <v>0</v>
      </c>
      <c r="T2003" s="169" t="s">
        <v>68</v>
      </c>
      <c r="V2003" s="169" t="str">
        <f t="shared" si="126"/>
        <v>CARIKITAN 1</v>
      </c>
      <c r="W2003" s="169" t="s">
        <v>2707</v>
      </c>
    </row>
    <row r="2004" spans="2:23" x14ac:dyDescent="0.25">
      <c r="B2004" s="169" t="s">
        <v>96</v>
      </c>
      <c r="C2004" s="169" t="s">
        <v>59</v>
      </c>
      <c r="D2004" s="169" t="s">
        <v>7301</v>
      </c>
      <c r="E2004" s="169" t="s">
        <v>61</v>
      </c>
      <c r="F2004" s="245" t="str">
        <f t="shared" si="127"/>
        <v>Dhoz 71</v>
      </c>
      <c r="G2004" s="169" t="s">
        <v>1661</v>
      </c>
      <c r="I2004" s="169" t="str">
        <f t="shared" si="125"/>
        <v>L09_GHVHW_010W_DW</v>
      </c>
      <c r="J2004" s="169" t="s">
        <v>9856</v>
      </c>
      <c r="K2004" s="169">
        <f>IFERROR(MATCH(J2004,'Final List'!$B$4:$B$252,0),0)</f>
        <v>0</v>
      </c>
      <c r="L2004" s="169">
        <f>IFERROR(MATCH(J2004,'Final List'!$D$4:$D$252,0),0)</f>
        <v>0</v>
      </c>
      <c r="M2004" s="169">
        <f>IFERROR(MATCH(J2004,'Final List'!$F$4:$F$251,0),0)</f>
        <v>0</v>
      </c>
      <c r="N2004" s="169">
        <f>IFERROR(MATCH(J2004,'Final List'!$H$4:$H$252,0),0)</f>
        <v>0</v>
      </c>
      <c r="O2004" s="169">
        <f>IFERROR(MATCH(J2004,'Final List'!$J$4:$J$252,0),0)</f>
        <v>0</v>
      </c>
      <c r="P2004" s="169">
        <f>IFERROR(MATCH(J2004,'Final List'!$L$4:$L$252,0),0)</f>
        <v>0</v>
      </c>
      <c r="Q2004" s="169">
        <f>IFERROR(MATCH(J2004,'Final List'!$N$4:$N$252,0),0)</f>
        <v>0</v>
      </c>
      <c r="R2004" s="169">
        <f>IFERROR(MATCH(J2004,'Final List'!$P$4:$P$252,0),0)</f>
        <v>0</v>
      </c>
      <c r="S2004" s="169">
        <f t="shared" si="128"/>
        <v>0</v>
      </c>
      <c r="V2004" s="169" t="str">
        <f t="shared" si="126"/>
        <v>DELOS REYES V2</v>
      </c>
      <c r="W2004" s="169" t="s">
        <v>8896</v>
      </c>
    </row>
    <row r="2005" spans="2:23" x14ac:dyDescent="0.25">
      <c r="B2005" s="169" t="s">
        <v>258</v>
      </c>
      <c r="C2005" s="169" t="s">
        <v>56</v>
      </c>
      <c r="D2005" s="169" t="s">
        <v>178</v>
      </c>
      <c r="E2005" s="169" t="s">
        <v>36</v>
      </c>
      <c r="F2005" s="245" t="str">
        <f t="shared" si="127"/>
        <v>StpS 77</v>
      </c>
      <c r="G2005" s="169" t="s">
        <v>372</v>
      </c>
      <c r="H2005" s="169" t="s">
        <v>9965</v>
      </c>
      <c r="I2005" s="169" t="str">
        <f t="shared" si="125"/>
        <v>L10_GHVFW_048E_STOPE</v>
      </c>
      <c r="J2005" s="169" t="s">
        <v>9858</v>
      </c>
      <c r="K2005" s="169">
        <f>IFERROR(MATCH(J2005,'Final List'!$B$4:$B$252,0),0)</f>
        <v>0</v>
      </c>
      <c r="L2005" s="169">
        <f>IFERROR(MATCH(J2005,'Final List'!$D$4:$D$252,0),0)</f>
        <v>0</v>
      </c>
      <c r="M2005" s="169">
        <f>IFERROR(MATCH(J2005,'Final List'!$F$4:$F$251,0),0)</f>
        <v>0</v>
      </c>
      <c r="N2005" s="169">
        <f>IFERROR(MATCH(J2005,'Final List'!$H$4:$H$252,0),0)</f>
        <v>0</v>
      </c>
      <c r="O2005" s="169">
        <f>IFERROR(MATCH(J2005,'Final List'!$J$4:$J$252,0),0)</f>
        <v>0</v>
      </c>
      <c r="P2005" s="169">
        <f>IFERROR(MATCH(J2005,'Final List'!$L$4:$L$252,0),0)</f>
        <v>0</v>
      </c>
      <c r="Q2005" s="169">
        <f>IFERROR(MATCH(J2005,'Final List'!$N$4:$N$252,0),0)</f>
        <v>0</v>
      </c>
      <c r="R2005" s="169">
        <f>IFERROR(MATCH(J2005,'Final List'!$P$4:$P$252,0),0)</f>
        <v>0</v>
      </c>
      <c r="S2005" s="169">
        <f t="shared" si="128"/>
        <v>0</v>
      </c>
      <c r="T2005" s="169" t="s">
        <v>68</v>
      </c>
      <c r="V2005" s="169" t="str">
        <f t="shared" si="126"/>
        <v>SHEPHERD BB</v>
      </c>
      <c r="W2005" s="169" t="s">
        <v>2713</v>
      </c>
    </row>
    <row r="2006" spans="2:23" x14ac:dyDescent="0.25">
      <c r="B2006" s="169" t="s">
        <v>92</v>
      </c>
      <c r="C2006" s="169" t="s">
        <v>45</v>
      </c>
      <c r="D2006" s="169" t="s">
        <v>172</v>
      </c>
      <c r="E2006" s="169" t="s">
        <v>19</v>
      </c>
      <c r="F2006" s="245" t="str">
        <f t="shared" si="127"/>
        <v>DVR 72</v>
      </c>
      <c r="G2006" s="169" t="s">
        <v>9730</v>
      </c>
      <c r="H2006" s="169" t="s">
        <v>5707</v>
      </c>
      <c r="I2006" s="169" t="str">
        <f t="shared" si="125"/>
        <v>L05_DPVE_045E_RAISE</v>
      </c>
      <c r="J2006" s="169" t="s">
        <v>4905</v>
      </c>
      <c r="K2006" s="169">
        <f>IFERROR(MATCH(J2006,'Final List'!$B$4:$B$252,0),0)</f>
        <v>0</v>
      </c>
      <c r="L2006" s="169">
        <f>IFERROR(MATCH(J2006,'Final List'!$D$4:$D$252,0),0)</f>
        <v>0</v>
      </c>
      <c r="M2006" s="169">
        <f>IFERROR(MATCH(J2006,'Final List'!$F$4:$F$251,0),0)</f>
        <v>0</v>
      </c>
      <c r="N2006" s="169">
        <f>IFERROR(MATCH(J2006,'Final List'!$H$4:$H$252,0),0)</f>
        <v>0</v>
      </c>
      <c r="O2006" s="169">
        <f>IFERROR(MATCH(J2006,'Final List'!$J$4:$J$252,0),0)</f>
        <v>0</v>
      </c>
      <c r="P2006" s="169">
        <f>IFERROR(MATCH(J2006,'Final List'!$L$4:$L$252,0),0)</f>
        <v>0</v>
      </c>
      <c r="Q2006" s="169">
        <f>IFERROR(MATCH(J2006,'Final List'!$N$4:$N$252,0),0)</f>
        <v>0</v>
      </c>
      <c r="R2006" s="169">
        <f>IFERROR(MATCH(J2006,'Final List'!$P$4:$P$252,0),0)</f>
        <v>0</v>
      </c>
      <c r="S2006" s="169">
        <f t="shared" si="128"/>
        <v>0</v>
      </c>
      <c r="V2006" s="169" t="str">
        <f t="shared" si="126"/>
        <v>SHEPHERD AF 2</v>
      </c>
      <c r="W2006" s="169" t="s">
        <v>2715</v>
      </c>
    </row>
    <row r="2007" spans="2:23" x14ac:dyDescent="0.25">
      <c r="B2007" s="169" t="s">
        <v>96</v>
      </c>
      <c r="C2007" s="169" t="s">
        <v>38</v>
      </c>
      <c r="D2007" s="169" t="s">
        <v>132</v>
      </c>
      <c r="E2007" s="169" t="s">
        <v>221</v>
      </c>
      <c r="F2007" s="245" t="str">
        <f t="shared" si="127"/>
        <v>RobC 80</v>
      </c>
      <c r="G2007" s="169" t="s">
        <v>363</v>
      </c>
      <c r="I2007" s="169" t="str">
        <f t="shared" si="125"/>
        <v>L09_GHV_033E_WINZE STOPE</v>
      </c>
      <c r="J2007" s="169" t="s">
        <v>8643</v>
      </c>
      <c r="K2007" s="169">
        <f>IFERROR(MATCH(J2007,'Final List'!$B$4:$B$252,0),0)</f>
        <v>0</v>
      </c>
      <c r="L2007" s="169">
        <f>IFERROR(MATCH(J2007,'Final List'!$D$4:$D$252,0),0)</f>
        <v>0</v>
      </c>
      <c r="M2007" s="169">
        <f>IFERROR(MATCH(J2007,'Final List'!$F$4:$F$251,0),0)</f>
        <v>0</v>
      </c>
      <c r="N2007" s="169">
        <f>IFERROR(MATCH(J2007,'Final List'!$H$4:$H$252,0),0)</f>
        <v>0</v>
      </c>
      <c r="O2007" s="169">
        <f>IFERROR(MATCH(J2007,'Final List'!$J$4:$J$252,0),0)</f>
        <v>0</v>
      </c>
      <c r="P2007" s="169">
        <f>IFERROR(MATCH(J2007,'Final List'!$L$4:$L$252,0),0)</f>
        <v>0</v>
      </c>
      <c r="Q2007" s="169">
        <f>IFERROR(MATCH(J2007,'Final List'!$N$4:$N$252,0),0)</f>
        <v>0</v>
      </c>
      <c r="R2007" s="169">
        <f>IFERROR(MATCH(J2007,'Final List'!$P$4:$P$252,0),0)</f>
        <v>0</v>
      </c>
      <c r="S2007" s="169">
        <f t="shared" si="128"/>
        <v>0</v>
      </c>
      <c r="T2007" s="169" t="s">
        <v>68</v>
      </c>
      <c r="V2007" s="169" t="str">
        <f t="shared" si="126"/>
        <v>BABOR 2</v>
      </c>
      <c r="W2007" s="169" t="s">
        <v>2719</v>
      </c>
    </row>
    <row r="2008" spans="2:23" x14ac:dyDescent="0.25">
      <c r="B2008" s="169" t="s">
        <v>8904</v>
      </c>
      <c r="C2008" s="169" t="s">
        <v>41</v>
      </c>
      <c r="D2008" s="169" t="s">
        <v>134</v>
      </c>
      <c r="E2008" s="169" t="s">
        <v>62</v>
      </c>
      <c r="F2008" s="245" t="str">
        <f t="shared" si="127"/>
        <v>RobS 79</v>
      </c>
      <c r="G2008" s="169" t="s">
        <v>9455</v>
      </c>
      <c r="I2008" s="169" t="str">
        <f t="shared" si="125"/>
        <v>L03_CTV_016W_ROBBING</v>
      </c>
      <c r="J2008" s="169" t="s">
        <v>9996</v>
      </c>
      <c r="K2008" s="169">
        <f>IFERROR(MATCH(J2008,'Final List'!$B$4:$B$252,0),0)</f>
        <v>0</v>
      </c>
      <c r="L2008" s="169">
        <f>IFERROR(MATCH(J2008,'Final List'!$D$4:$D$252,0),0)</f>
        <v>0</v>
      </c>
      <c r="M2008" s="169">
        <f>IFERROR(MATCH(J2008,'Final List'!$F$4:$F$251,0),0)</f>
        <v>0</v>
      </c>
      <c r="N2008" s="169">
        <f>IFERROR(MATCH(J2008,'Final List'!$H$4:$H$252,0),0)</f>
        <v>0</v>
      </c>
      <c r="O2008" s="169">
        <f>IFERROR(MATCH(J2008,'Final List'!$J$4:$J$252,0),0)</f>
        <v>0</v>
      </c>
      <c r="P2008" s="169">
        <f>IFERROR(MATCH(J2008,'Final List'!$L$4:$L$252,0),0)</f>
        <v>0</v>
      </c>
      <c r="Q2008" s="169">
        <f>IFERROR(MATCH(J2008,'Final List'!$N$4:$N$252,0),0)</f>
        <v>0</v>
      </c>
      <c r="R2008" s="169">
        <f>IFERROR(MATCH(J2008,'Final List'!$P$4:$P$252,0),0)</f>
        <v>0</v>
      </c>
      <c r="S2008" s="169">
        <f t="shared" si="128"/>
        <v>0</v>
      </c>
      <c r="T2008" s="169" t="s">
        <v>68</v>
      </c>
      <c r="V2008" s="169" t="str">
        <f t="shared" si="126"/>
        <v>FERNANDEZ, RM 4</v>
      </c>
      <c r="W2008" s="169" t="s">
        <v>2707</v>
      </c>
    </row>
    <row r="2009" spans="2:23" x14ac:dyDescent="0.25">
      <c r="B2009" s="169" t="s">
        <v>95</v>
      </c>
      <c r="C2009" s="169" t="s">
        <v>43</v>
      </c>
      <c r="D2009" s="169" t="s">
        <v>98</v>
      </c>
      <c r="E2009" s="169" t="s">
        <v>19</v>
      </c>
      <c r="F2009" s="245" t="str">
        <f t="shared" si="127"/>
        <v>DVR 72</v>
      </c>
      <c r="G2009" s="169" t="s">
        <v>942</v>
      </c>
      <c r="I2009" s="169" t="str">
        <f t="shared" si="125"/>
        <v>L08_GHVSPLIT_014W_RAISE</v>
      </c>
      <c r="J2009" s="169" t="s">
        <v>9862</v>
      </c>
      <c r="K2009" s="169">
        <f>IFERROR(MATCH(J2009,'Final List'!$B$4:$B$252,0),0)</f>
        <v>0</v>
      </c>
      <c r="L2009" s="169">
        <f>IFERROR(MATCH(J2009,'Final List'!$D$4:$D$252,0),0)</f>
        <v>0</v>
      </c>
      <c r="M2009" s="169">
        <f>IFERROR(MATCH(J2009,'Final List'!$F$4:$F$251,0),0)</f>
        <v>0</v>
      </c>
      <c r="N2009" s="169">
        <f>IFERROR(MATCH(J2009,'Final List'!$H$4:$H$252,0),0)</f>
        <v>0</v>
      </c>
      <c r="O2009" s="169">
        <f>IFERROR(MATCH(J2009,'Final List'!$J$4:$J$252,0),0)</f>
        <v>0</v>
      </c>
      <c r="P2009" s="169">
        <f>IFERROR(MATCH(J2009,'Final List'!$L$4:$L$252,0),0)</f>
        <v>0</v>
      </c>
      <c r="Q2009" s="169">
        <f>IFERROR(MATCH(J2009,'Final List'!$N$4:$N$252,0),0)</f>
        <v>0</v>
      </c>
      <c r="R2009" s="169">
        <f>IFERROR(MATCH(J2009,'Final List'!$P$4:$P$252,0),0)</f>
        <v>0</v>
      </c>
      <c r="S2009" s="169">
        <f t="shared" si="128"/>
        <v>0</v>
      </c>
      <c r="V2009" s="169" t="str">
        <f t="shared" si="126"/>
        <v>AGLOLO 3</v>
      </c>
      <c r="W2009" s="169" t="s">
        <v>2715</v>
      </c>
    </row>
    <row r="2010" spans="2:23" x14ac:dyDescent="0.25">
      <c r="B2010" s="169" t="s">
        <v>96</v>
      </c>
      <c r="C2010" s="169" t="s">
        <v>38</v>
      </c>
      <c r="D2010" s="169" t="s">
        <v>5604</v>
      </c>
      <c r="E2010" s="169" t="s">
        <v>19</v>
      </c>
      <c r="F2010" s="245" t="str">
        <f t="shared" si="127"/>
        <v>DVR 72</v>
      </c>
      <c r="G2010" s="169" t="s">
        <v>9753</v>
      </c>
      <c r="I2010" s="169" t="str">
        <f t="shared" si="125"/>
        <v>L09_GHV_063E_RAISE</v>
      </c>
      <c r="J2010" s="169" t="s">
        <v>9863</v>
      </c>
      <c r="K2010" s="169">
        <f>IFERROR(MATCH(J2010,'Final List'!$B$4:$B$252,0),0)</f>
        <v>0</v>
      </c>
      <c r="L2010" s="169">
        <f>IFERROR(MATCH(J2010,'Final List'!$D$4:$D$252,0),0)</f>
        <v>0</v>
      </c>
      <c r="M2010" s="169">
        <f>IFERROR(MATCH(J2010,'Final List'!$F$4:$F$251,0),0)</f>
        <v>0</v>
      </c>
      <c r="N2010" s="169">
        <f>IFERROR(MATCH(J2010,'Final List'!$H$4:$H$252,0),0)</f>
        <v>0</v>
      </c>
      <c r="O2010" s="169">
        <f>IFERROR(MATCH(J2010,'Final List'!$J$4:$J$252,0),0)</f>
        <v>0</v>
      </c>
      <c r="P2010" s="169">
        <f>IFERROR(MATCH(J2010,'Final List'!$L$4:$L$252,0),0)</f>
        <v>0</v>
      </c>
      <c r="Q2010" s="169">
        <f>IFERROR(MATCH(J2010,'Final List'!$N$4:$N$252,0),0)</f>
        <v>0</v>
      </c>
      <c r="R2010" s="169">
        <f>IFERROR(MATCH(J2010,'Final List'!$P$4:$P$252,0),0)</f>
        <v>0</v>
      </c>
      <c r="S2010" s="169">
        <f t="shared" si="128"/>
        <v>0</v>
      </c>
      <c r="V2010" s="169" t="str">
        <f t="shared" si="126"/>
        <v>CAPUYAN 2</v>
      </c>
      <c r="W2010" s="169" t="s">
        <v>2715</v>
      </c>
    </row>
    <row r="2011" spans="2:23" x14ac:dyDescent="0.25">
      <c r="B2011" s="169" t="s">
        <v>91</v>
      </c>
      <c r="C2011" s="169" t="s">
        <v>56</v>
      </c>
      <c r="D2011" s="169" t="s">
        <v>131</v>
      </c>
      <c r="E2011" s="169" t="s">
        <v>62</v>
      </c>
      <c r="F2011" s="245" t="str">
        <f t="shared" si="127"/>
        <v>RobS 79</v>
      </c>
      <c r="G2011" s="169" t="s">
        <v>310</v>
      </c>
      <c r="I2011" s="169" t="str">
        <f t="shared" si="125"/>
        <v>L04_GHVFW_011E_ROBBING</v>
      </c>
      <c r="J2011" s="169" t="s">
        <v>9878</v>
      </c>
      <c r="K2011" s="169">
        <f>IFERROR(MATCH(J2011,'Final List'!$B$4:$B$252,0),0)</f>
        <v>0</v>
      </c>
      <c r="L2011" s="169">
        <f>IFERROR(MATCH(J2011,'Final List'!$D$4:$D$252,0),0)</f>
        <v>0</v>
      </c>
      <c r="M2011" s="169">
        <f>IFERROR(MATCH(J2011,'Final List'!$F$4:$F$251,0),0)</f>
        <v>0</v>
      </c>
      <c r="N2011" s="169">
        <f>IFERROR(MATCH(J2011,'Final List'!$H$4:$H$252,0),0)</f>
        <v>0</v>
      </c>
      <c r="O2011" s="169">
        <f>IFERROR(MATCH(J2011,'Final List'!$J$4:$J$252,0),0)</f>
        <v>0</v>
      </c>
      <c r="P2011" s="169">
        <f>IFERROR(MATCH(J2011,'Final List'!$L$4:$L$252,0),0)</f>
        <v>0</v>
      </c>
      <c r="Q2011" s="169">
        <f>IFERROR(MATCH(J2011,'Final List'!$N$4:$N$252,0),0)</f>
        <v>0</v>
      </c>
      <c r="R2011" s="169">
        <f>IFERROR(MATCH(J2011,'Final List'!$P$4:$P$252,0),0)</f>
        <v>0</v>
      </c>
      <c r="S2011" s="169">
        <f t="shared" si="128"/>
        <v>0</v>
      </c>
      <c r="T2011" s="169" t="s">
        <v>68</v>
      </c>
      <c r="V2011" s="169" t="str">
        <f t="shared" si="126"/>
        <v>MARTINEZ DN 1</v>
      </c>
      <c r="W2011" s="169" t="s">
        <v>2707</v>
      </c>
    </row>
    <row r="2012" spans="2:23" x14ac:dyDescent="0.25">
      <c r="B2012" s="169" t="s">
        <v>8904</v>
      </c>
      <c r="C2012" s="169" t="s">
        <v>8753</v>
      </c>
      <c r="D2012" s="169" t="s">
        <v>108</v>
      </c>
      <c r="E2012" s="169" t="s">
        <v>20</v>
      </c>
      <c r="F2012" s="245" t="str">
        <f t="shared" si="127"/>
        <v>DVW 74</v>
      </c>
      <c r="G2012" s="169" t="s">
        <v>9880</v>
      </c>
      <c r="I2012" s="169" t="str">
        <f t="shared" si="125"/>
        <v>L03_RYV_007W_WINZE</v>
      </c>
      <c r="J2012" s="169" t="s">
        <v>9879</v>
      </c>
      <c r="K2012" s="169">
        <f>IFERROR(MATCH(J2012,'Final List'!$B$4:$B$252,0),0)</f>
        <v>0</v>
      </c>
      <c r="L2012" s="169">
        <f>IFERROR(MATCH(J2012,'Final List'!$D$4:$D$252,0),0)</f>
        <v>0</v>
      </c>
      <c r="M2012" s="169">
        <f>IFERROR(MATCH(J2012,'Final List'!$F$4:$F$251,0),0)</f>
        <v>0</v>
      </c>
      <c r="N2012" s="169">
        <f>IFERROR(MATCH(J2012,'Final List'!$H$4:$H$252,0),0)</f>
        <v>0</v>
      </c>
      <c r="O2012" s="169">
        <f>IFERROR(MATCH(J2012,'Final List'!$J$4:$J$252,0),0)</f>
        <v>0</v>
      </c>
      <c r="P2012" s="169">
        <f>IFERROR(MATCH(J2012,'Final List'!$L$4:$L$252,0),0)</f>
        <v>0</v>
      </c>
      <c r="Q2012" s="169">
        <f>IFERROR(MATCH(J2012,'Final List'!$N$4:$N$252,0),0)</f>
        <v>0</v>
      </c>
      <c r="R2012" s="169">
        <f>IFERROR(MATCH(J2012,'Final List'!$P$4:$P$252,0),0)</f>
        <v>0</v>
      </c>
      <c r="S2012" s="169">
        <f t="shared" si="128"/>
        <v>0</v>
      </c>
      <c r="V2012" s="169" t="str">
        <f t="shared" si="126"/>
        <v xml:space="preserve">FERNANDEZ, RM 5 </v>
      </c>
      <c r="W2012" s="169" t="s">
        <v>2706</v>
      </c>
    </row>
    <row r="2013" spans="2:23" x14ac:dyDescent="0.25">
      <c r="B2013" s="169" t="s">
        <v>258</v>
      </c>
      <c r="C2013" s="169" t="s">
        <v>45</v>
      </c>
      <c r="D2013" s="169" t="s">
        <v>9156</v>
      </c>
      <c r="E2013" s="169" t="s">
        <v>19</v>
      </c>
      <c r="F2013" s="245" t="str">
        <f t="shared" si="127"/>
        <v>DVR 72</v>
      </c>
      <c r="G2013" s="169" t="s">
        <v>356</v>
      </c>
      <c r="I2013" s="169" t="str">
        <f t="shared" si="125"/>
        <v>L10_DPVE_092E_RAISE</v>
      </c>
      <c r="J2013" s="169" t="s">
        <v>9888</v>
      </c>
      <c r="K2013" s="169">
        <f>IFERROR(MATCH(J2013,'Final List'!$B$4:$B$252,0),0)</f>
        <v>0</v>
      </c>
      <c r="L2013" s="169">
        <f>IFERROR(MATCH(J2013,'Final List'!$D$4:$D$252,0),0)</f>
        <v>0</v>
      </c>
      <c r="M2013" s="169">
        <f>IFERROR(MATCH(J2013,'Final List'!$F$4:$F$251,0),0)</f>
        <v>0</v>
      </c>
      <c r="N2013" s="169">
        <f>IFERROR(MATCH(J2013,'Final List'!$H$4:$H$252,0),0)</f>
        <v>0</v>
      </c>
      <c r="O2013" s="169">
        <f>IFERROR(MATCH(J2013,'Final List'!$J$4:$J$252,0),0)</f>
        <v>0</v>
      </c>
      <c r="P2013" s="169">
        <f>IFERROR(MATCH(J2013,'Final List'!$L$4:$L$252,0),0)</f>
        <v>0</v>
      </c>
      <c r="Q2013" s="169">
        <f>IFERROR(MATCH(J2013,'Final List'!$N$4:$N$252,0),0)</f>
        <v>0</v>
      </c>
      <c r="R2013" s="169">
        <f>IFERROR(MATCH(J2013,'Final List'!$P$4:$P$252,0),0)</f>
        <v>0</v>
      </c>
      <c r="S2013" s="169">
        <f t="shared" si="128"/>
        <v>0</v>
      </c>
      <c r="V2013" s="169" t="str">
        <f t="shared" si="126"/>
        <v>BAÑEZ 1</v>
      </c>
      <c r="W2013" s="169" t="s">
        <v>2715</v>
      </c>
    </row>
    <row r="2014" spans="2:23" x14ac:dyDescent="0.25">
      <c r="B2014" s="169" t="s">
        <v>92</v>
      </c>
      <c r="C2014" s="169" t="s">
        <v>87</v>
      </c>
      <c r="D2014" s="169" t="s">
        <v>143</v>
      </c>
      <c r="E2014" s="169" t="s">
        <v>19</v>
      </c>
      <c r="F2014" s="245" t="str">
        <f t="shared" si="127"/>
        <v>DVR 72</v>
      </c>
      <c r="G2014" s="169" t="s">
        <v>511</v>
      </c>
      <c r="I2014" s="169" t="str">
        <f t="shared" si="125"/>
        <v>L05_NONE_032E_RAISE</v>
      </c>
      <c r="J2014" s="169" t="s">
        <v>9892</v>
      </c>
      <c r="K2014" s="169">
        <f>IFERROR(MATCH(J2014,'Final List'!$B$4:$B$252,0),0)</f>
        <v>0</v>
      </c>
      <c r="L2014" s="169">
        <f>IFERROR(MATCH(J2014,'Final List'!$D$4:$D$252,0),0)</f>
        <v>0</v>
      </c>
      <c r="M2014" s="169">
        <f>IFERROR(MATCH(J2014,'Final List'!$F$4:$F$251,0),0)</f>
        <v>0</v>
      </c>
      <c r="N2014" s="169">
        <f>IFERROR(MATCH(J2014,'Final List'!$H$4:$H$252,0),0)</f>
        <v>0</v>
      </c>
      <c r="O2014" s="169">
        <f>IFERROR(MATCH(J2014,'Final List'!$J$4:$J$252,0),0)</f>
        <v>0</v>
      </c>
      <c r="P2014" s="169">
        <f>IFERROR(MATCH(J2014,'Final List'!$L$4:$L$252,0),0)</f>
        <v>0</v>
      </c>
      <c r="Q2014" s="169">
        <f>IFERROR(MATCH(J2014,'Final List'!$N$4:$N$252,0),0)</f>
        <v>0</v>
      </c>
      <c r="R2014" s="169">
        <f>IFERROR(MATCH(J2014,'Final List'!$P$4:$P$252,0),0)</f>
        <v>0</v>
      </c>
      <c r="S2014" s="169">
        <f t="shared" si="128"/>
        <v>0</v>
      </c>
      <c r="V2014" s="169" t="str">
        <f t="shared" si="126"/>
        <v>PMC MINERS 1</v>
      </c>
      <c r="W2014" s="169" t="s">
        <v>2714</v>
      </c>
    </row>
    <row r="2015" spans="2:23" x14ac:dyDescent="0.25">
      <c r="B2015" s="169" t="s">
        <v>92</v>
      </c>
      <c r="C2015" s="169" t="s">
        <v>87</v>
      </c>
      <c r="D2015" s="169" t="s">
        <v>179</v>
      </c>
      <c r="E2015" s="169" t="s">
        <v>37</v>
      </c>
      <c r="F2015" s="245" t="str">
        <f t="shared" si="127"/>
        <v>Dhoz 71</v>
      </c>
      <c r="G2015" s="169" t="s">
        <v>5699</v>
      </c>
      <c r="I2015" s="169" t="str">
        <f t="shared" si="125"/>
        <v>L05_NONE_050E_XCN</v>
      </c>
      <c r="J2015" s="169" t="s">
        <v>9893</v>
      </c>
      <c r="K2015" s="169">
        <f>IFERROR(MATCH(J2015,'Final List'!$B$4:$B$252,0),0)</f>
        <v>0</v>
      </c>
      <c r="L2015" s="169">
        <f>IFERROR(MATCH(J2015,'Final List'!$D$4:$D$252,0),0)</f>
        <v>0</v>
      </c>
      <c r="M2015" s="169">
        <f>IFERROR(MATCH(J2015,'Final List'!$F$4:$F$251,0),0)</f>
        <v>0</v>
      </c>
      <c r="N2015" s="169">
        <f>IFERROR(MATCH(J2015,'Final List'!$H$4:$H$252,0),0)</f>
        <v>0</v>
      </c>
      <c r="O2015" s="169">
        <f>IFERROR(MATCH(J2015,'Final List'!$J$4:$J$252,0),0)</f>
        <v>0</v>
      </c>
      <c r="P2015" s="169">
        <f>IFERROR(MATCH(J2015,'Final List'!$L$4:$L$252,0),0)</f>
        <v>0</v>
      </c>
      <c r="Q2015" s="169">
        <f>IFERROR(MATCH(J2015,'Final List'!$N$4:$N$252,0),0)</f>
        <v>0</v>
      </c>
      <c r="R2015" s="169">
        <f>IFERROR(MATCH(J2015,'Final List'!$P$4:$P$252,0),0)</f>
        <v>0</v>
      </c>
      <c r="S2015" s="169">
        <f t="shared" si="128"/>
        <v>0</v>
      </c>
      <c r="V2015" s="169" t="str">
        <f t="shared" si="126"/>
        <v>PARAN 2</v>
      </c>
      <c r="W2015" s="169" t="s">
        <v>8897</v>
      </c>
    </row>
    <row r="2016" spans="2:23" x14ac:dyDescent="0.25">
      <c r="B2016" s="169" t="s">
        <v>258</v>
      </c>
      <c r="C2016" s="169" t="s">
        <v>45</v>
      </c>
      <c r="D2016" s="169" t="s">
        <v>103</v>
      </c>
      <c r="E2016" s="169" t="s">
        <v>19</v>
      </c>
      <c r="F2016" s="245" t="str">
        <f t="shared" si="127"/>
        <v>DVR 72</v>
      </c>
      <c r="G2016" s="169" t="s">
        <v>374</v>
      </c>
      <c r="H2016" s="169" t="s">
        <v>9959</v>
      </c>
      <c r="I2016" s="169" t="str">
        <f t="shared" si="125"/>
        <v>L10_DPVE_005E_RAISE</v>
      </c>
      <c r="J2016" s="169" t="s">
        <v>9894</v>
      </c>
      <c r="K2016" s="169">
        <f>IFERROR(MATCH(J2016,'Final List'!$B$4:$B$252,0),0)</f>
        <v>0</v>
      </c>
      <c r="L2016" s="169">
        <f>IFERROR(MATCH(J2016,'Final List'!$D$4:$D$252,0),0)</f>
        <v>0</v>
      </c>
      <c r="M2016" s="169">
        <f>IFERROR(MATCH(J2016,'Final List'!$F$4:$F$251,0),0)</f>
        <v>0</v>
      </c>
      <c r="N2016" s="169">
        <f>IFERROR(MATCH(J2016,'Final List'!$H$4:$H$252,0),0)</f>
        <v>0</v>
      </c>
      <c r="O2016" s="169">
        <f>IFERROR(MATCH(J2016,'Final List'!$J$4:$J$252,0),0)</f>
        <v>0</v>
      </c>
      <c r="P2016" s="169">
        <f>IFERROR(MATCH(J2016,'Final List'!$L$4:$L$252,0),0)</f>
        <v>0</v>
      </c>
      <c r="Q2016" s="169">
        <f>IFERROR(MATCH(J2016,'Final List'!$N$4:$N$252,0),0)</f>
        <v>0</v>
      </c>
      <c r="R2016" s="169">
        <f>IFERROR(MATCH(J2016,'Final List'!$P$4:$P$252,0),0)</f>
        <v>0</v>
      </c>
      <c r="S2016" s="169">
        <f t="shared" si="128"/>
        <v>0</v>
      </c>
      <c r="V2016" s="169" t="str">
        <f t="shared" si="126"/>
        <v>SHEPHERD BC</v>
      </c>
      <c r="W2016" s="169" t="s">
        <v>2715</v>
      </c>
    </row>
    <row r="2017" spans="2:23" x14ac:dyDescent="0.25">
      <c r="B2017" s="169" t="s">
        <v>95</v>
      </c>
      <c r="C2017" s="169" t="s">
        <v>38</v>
      </c>
      <c r="D2017" s="169" t="s">
        <v>5975</v>
      </c>
      <c r="E2017" s="169" t="s">
        <v>62</v>
      </c>
      <c r="F2017" s="245" t="str">
        <f t="shared" si="127"/>
        <v>RobS 79</v>
      </c>
      <c r="G2017" s="169" t="s">
        <v>467</v>
      </c>
      <c r="I2017" s="169" t="str">
        <f t="shared" si="125"/>
        <v>L08_GHV_028E_ROBBING</v>
      </c>
      <c r="J2017" s="169" t="s">
        <v>9895</v>
      </c>
      <c r="K2017" s="169">
        <f>IFERROR(MATCH(J2017,'Final List'!$B$4:$B$252,0),0)</f>
        <v>0</v>
      </c>
      <c r="L2017" s="169">
        <f>IFERROR(MATCH(J2017,'Final List'!$D$4:$D$252,0),0)</f>
        <v>0</v>
      </c>
      <c r="M2017" s="169">
        <f>IFERROR(MATCH(J2017,'Final List'!$F$4:$F$251,0),0)</f>
        <v>0</v>
      </c>
      <c r="N2017" s="169">
        <f>IFERROR(MATCH(J2017,'Final List'!$H$4:$H$252,0),0)</f>
        <v>0</v>
      </c>
      <c r="O2017" s="169">
        <f>IFERROR(MATCH(J2017,'Final List'!$J$4:$J$252,0),0)</f>
        <v>0</v>
      </c>
      <c r="P2017" s="169">
        <f>IFERROR(MATCH(J2017,'Final List'!$L$4:$L$252,0),0)</f>
        <v>0</v>
      </c>
      <c r="Q2017" s="169">
        <f>IFERROR(MATCH(J2017,'Final List'!$N$4:$N$252,0),0)</f>
        <v>0</v>
      </c>
      <c r="R2017" s="169">
        <f>IFERROR(MATCH(J2017,'Final List'!$P$4:$P$252,0),0)</f>
        <v>0</v>
      </c>
      <c r="S2017" s="169">
        <f t="shared" si="128"/>
        <v>0</v>
      </c>
      <c r="T2017" s="169" t="s">
        <v>68</v>
      </c>
      <c r="V2017" s="169" t="str">
        <f t="shared" si="126"/>
        <v>AGLOLO 2</v>
      </c>
      <c r="W2017" s="169" t="s">
        <v>2707</v>
      </c>
    </row>
    <row r="2018" spans="2:23" x14ac:dyDescent="0.25">
      <c r="B2018" s="169" t="s">
        <v>92</v>
      </c>
      <c r="C2018" s="169" t="s">
        <v>42</v>
      </c>
      <c r="D2018" s="169" t="s">
        <v>111</v>
      </c>
      <c r="E2018" s="169" t="s">
        <v>6154</v>
      </c>
      <c r="F2018" s="245" t="str">
        <f t="shared" si="127"/>
        <v>Dhoz 71</v>
      </c>
      <c r="G2018" s="169" t="s">
        <v>5698</v>
      </c>
      <c r="I2018" s="169" t="str">
        <f t="shared" si="125"/>
        <v>L05_JV_004W_DW_ISL</v>
      </c>
      <c r="J2018" s="169" t="s">
        <v>9896</v>
      </c>
      <c r="K2018" s="169">
        <f>IFERROR(MATCH(J2018,'Final List'!$B$4:$B$252,0),0)</f>
        <v>0</v>
      </c>
      <c r="L2018" s="169">
        <f>IFERROR(MATCH(J2018,'Final List'!$D$4:$D$252,0),0)</f>
        <v>0</v>
      </c>
      <c r="M2018" s="169">
        <f>IFERROR(MATCH(J2018,'Final List'!$F$4:$F$251,0),0)</f>
        <v>0</v>
      </c>
      <c r="N2018" s="169">
        <f>IFERROR(MATCH(J2018,'Final List'!$H$4:$H$252,0),0)</f>
        <v>0</v>
      </c>
      <c r="O2018" s="169">
        <f>IFERROR(MATCH(J2018,'Final List'!$J$4:$J$252,0),0)</f>
        <v>0</v>
      </c>
      <c r="P2018" s="169">
        <f>IFERROR(MATCH(J2018,'Final List'!$L$4:$L$252,0),0)</f>
        <v>0</v>
      </c>
      <c r="Q2018" s="169">
        <f>IFERROR(MATCH(J2018,'Final List'!$N$4:$N$252,0),0)</f>
        <v>0</v>
      </c>
      <c r="R2018" s="169">
        <f>IFERROR(MATCH(J2018,'Final List'!$P$4:$P$252,0),0)</f>
        <v>0</v>
      </c>
      <c r="S2018" s="169">
        <f t="shared" si="128"/>
        <v>0</v>
      </c>
      <c r="V2018" s="169" t="str">
        <f t="shared" si="126"/>
        <v>PARAN 1</v>
      </c>
      <c r="W2018" s="169" t="s">
        <v>2708</v>
      </c>
    </row>
    <row r="2019" spans="2:23" x14ac:dyDescent="0.25">
      <c r="B2019" s="169" t="s">
        <v>96</v>
      </c>
      <c r="C2019" s="169" t="s">
        <v>42</v>
      </c>
      <c r="D2019" s="169" t="s">
        <v>176</v>
      </c>
      <c r="E2019" s="169" t="s">
        <v>61</v>
      </c>
      <c r="F2019" s="245" t="str">
        <f t="shared" si="127"/>
        <v>Dhoz 71</v>
      </c>
      <c r="G2019" s="169" t="s">
        <v>936</v>
      </c>
      <c r="I2019" s="169" t="str">
        <f t="shared" si="125"/>
        <v>L09_JV_057E_DW</v>
      </c>
      <c r="J2019" s="169" t="s">
        <v>9921</v>
      </c>
      <c r="K2019" s="169">
        <f>IFERROR(MATCH(J2019,'Final List'!$B$4:$B$252,0),0)</f>
        <v>0</v>
      </c>
      <c r="L2019" s="169">
        <f>IFERROR(MATCH(J2019,'Final List'!$D$4:$D$252,0),0)</f>
        <v>0</v>
      </c>
      <c r="M2019" s="169">
        <f>IFERROR(MATCH(J2019,'Final List'!$F$4:$F$251,0),0)</f>
        <v>0</v>
      </c>
      <c r="N2019" s="169">
        <f>IFERROR(MATCH(J2019,'Final List'!$H$4:$H$252,0),0)</f>
        <v>0</v>
      </c>
      <c r="O2019" s="169">
        <f>IFERROR(MATCH(J2019,'Final List'!$J$4:$J$252,0),0)</f>
        <v>0</v>
      </c>
      <c r="P2019" s="169">
        <f>IFERROR(MATCH(J2019,'Final List'!$L$4:$L$252,0),0)</f>
        <v>0</v>
      </c>
      <c r="Q2019" s="169">
        <f>IFERROR(MATCH(J2019,'Final List'!$N$4:$N$252,0),0)</f>
        <v>0</v>
      </c>
      <c r="R2019" s="169">
        <f>IFERROR(MATCH(J2019,'Final List'!$P$4:$P$252,0),0)</f>
        <v>0</v>
      </c>
      <c r="S2019" s="169">
        <f t="shared" si="128"/>
        <v>0</v>
      </c>
      <c r="V2019" s="169" t="str">
        <f t="shared" si="126"/>
        <v>GUNAY 2</v>
      </c>
      <c r="W2019" s="169" t="s">
        <v>8896</v>
      </c>
    </row>
    <row r="2020" spans="2:23" x14ac:dyDescent="0.25">
      <c r="B2020" s="169" t="s">
        <v>96</v>
      </c>
      <c r="C2020" s="169" t="s">
        <v>42</v>
      </c>
      <c r="D2020" s="169" t="s">
        <v>143</v>
      </c>
      <c r="E2020" s="169" t="s">
        <v>60</v>
      </c>
      <c r="F2020" s="245" t="str">
        <f t="shared" si="127"/>
        <v>Dhoz 71</v>
      </c>
      <c r="G2020" s="169" t="s">
        <v>9753</v>
      </c>
      <c r="I2020" s="169" t="str">
        <f t="shared" si="125"/>
        <v>L09_JV_032E_DE</v>
      </c>
      <c r="J2020" s="169" t="s">
        <v>9911</v>
      </c>
      <c r="K2020" s="169">
        <f>IFERROR(MATCH(J2020,'Final List'!$B$4:$B$252,0),0)</f>
        <v>0</v>
      </c>
      <c r="L2020" s="169">
        <f>IFERROR(MATCH(J2020,'Final List'!$D$4:$D$252,0),0)</f>
        <v>0</v>
      </c>
      <c r="M2020" s="169">
        <f>IFERROR(MATCH(J2020,'Final List'!$F$4:$F$251,0),0)</f>
        <v>0</v>
      </c>
      <c r="N2020" s="169">
        <f>IFERROR(MATCH(J2020,'Final List'!$H$4:$H$252,0),0)</f>
        <v>0</v>
      </c>
      <c r="O2020" s="169">
        <f>IFERROR(MATCH(J2020,'Final List'!$J$4:$J$252,0),0)</f>
        <v>0</v>
      </c>
      <c r="P2020" s="169">
        <f>IFERROR(MATCH(J2020,'Final List'!$L$4:$L$252,0),0)</f>
        <v>0</v>
      </c>
      <c r="Q2020" s="169">
        <f>IFERROR(MATCH(J2020,'Final List'!$N$4:$N$252,0),0)</f>
        <v>0</v>
      </c>
      <c r="R2020" s="169">
        <f>IFERROR(MATCH(J2020,'Final List'!$P$4:$P$252,0),0)</f>
        <v>0</v>
      </c>
      <c r="S2020" s="169">
        <f t="shared" si="128"/>
        <v>0</v>
      </c>
      <c r="V2020" s="169" t="str">
        <f t="shared" si="126"/>
        <v>CAPUYAN 2</v>
      </c>
      <c r="W2020" s="169" t="s">
        <v>8896</v>
      </c>
    </row>
    <row r="2021" spans="2:23" x14ac:dyDescent="0.25">
      <c r="B2021" s="169" t="s">
        <v>96</v>
      </c>
      <c r="C2021" s="169" t="s">
        <v>56</v>
      </c>
      <c r="D2021" s="169" t="s">
        <v>172</v>
      </c>
      <c r="E2021" s="169" t="s">
        <v>62</v>
      </c>
      <c r="F2021" s="245" t="str">
        <f t="shared" si="127"/>
        <v>RobS 79</v>
      </c>
      <c r="G2021" s="169" t="s">
        <v>336</v>
      </c>
      <c r="I2021" s="169" t="str">
        <f t="shared" si="125"/>
        <v>L09_GHVFW_045E_ROBBING</v>
      </c>
      <c r="J2021" s="169" t="s">
        <v>9923</v>
      </c>
      <c r="K2021" s="169">
        <f>IFERROR(MATCH(J2021,'Final List'!$B$4:$B$252,0),0)</f>
        <v>0</v>
      </c>
      <c r="L2021" s="169">
        <f>IFERROR(MATCH(J2021,'Final List'!$D$4:$D$252,0),0)</f>
        <v>0</v>
      </c>
      <c r="M2021" s="169">
        <f>IFERROR(MATCH(J2021,'Final List'!$F$4:$F$251,0),0)</f>
        <v>0</v>
      </c>
      <c r="N2021" s="169">
        <f>IFERROR(MATCH(J2021,'Final List'!$H$4:$H$252,0),0)</f>
        <v>0</v>
      </c>
      <c r="O2021" s="169">
        <f>IFERROR(MATCH(J2021,'Final List'!$J$4:$J$252,0),0)</f>
        <v>0</v>
      </c>
      <c r="P2021" s="169">
        <f>IFERROR(MATCH(J2021,'Final List'!$L$4:$L$252,0),0)</f>
        <v>0</v>
      </c>
      <c r="Q2021" s="169">
        <f>IFERROR(MATCH(J2021,'Final List'!$N$4:$N$252,0),0)</f>
        <v>0</v>
      </c>
      <c r="R2021" s="169">
        <f>IFERROR(MATCH(J2021,'Final List'!$P$4:$P$252,0),0)</f>
        <v>0</v>
      </c>
      <c r="S2021" s="169">
        <f t="shared" si="128"/>
        <v>0</v>
      </c>
      <c r="T2021" s="169" t="s">
        <v>68</v>
      </c>
      <c r="V2021" s="169" t="str">
        <f t="shared" si="126"/>
        <v>BALANGHIG 1</v>
      </c>
      <c r="W2021" s="169" t="s">
        <v>2707</v>
      </c>
    </row>
    <row r="2022" spans="2:23" x14ac:dyDescent="0.25">
      <c r="B2022" s="169" t="s">
        <v>91</v>
      </c>
      <c r="C2022" s="169" t="s">
        <v>41</v>
      </c>
      <c r="D2022" s="169" t="s">
        <v>5940</v>
      </c>
      <c r="E2022" s="169" t="s">
        <v>6154</v>
      </c>
      <c r="F2022" s="245" t="str">
        <f t="shared" si="127"/>
        <v>Dhoz 71</v>
      </c>
      <c r="G2022" s="169" t="s">
        <v>9885</v>
      </c>
      <c r="I2022" s="169" t="str">
        <f t="shared" si="125"/>
        <v>L04_CTV_022W_DW_ISL</v>
      </c>
      <c r="J2022" s="169" t="s">
        <v>9902</v>
      </c>
      <c r="K2022" s="169">
        <f>IFERROR(MATCH(J2022,'Final List'!$B$4:$B$252,0),0)</f>
        <v>0</v>
      </c>
      <c r="L2022" s="169">
        <f>IFERROR(MATCH(J2022,'Final List'!$D$4:$D$252,0),0)</f>
        <v>0</v>
      </c>
      <c r="M2022" s="169">
        <f>IFERROR(MATCH(J2022,'Final List'!$F$4:$F$251,0),0)</f>
        <v>0</v>
      </c>
      <c r="N2022" s="169">
        <f>IFERROR(MATCH(J2022,'Final List'!$H$4:$H$252,0),0)</f>
        <v>0</v>
      </c>
      <c r="O2022" s="169">
        <f>IFERROR(MATCH(J2022,'Final List'!$J$4:$J$252,0),0)</f>
        <v>0</v>
      </c>
      <c r="P2022" s="169">
        <f>IFERROR(MATCH(J2022,'Final List'!$L$4:$L$252,0),0)</f>
        <v>0</v>
      </c>
      <c r="Q2022" s="169">
        <f>IFERROR(MATCH(J2022,'Final List'!$N$4:$N$252,0),0)</f>
        <v>0</v>
      </c>
      <c r="R2022" s="169">
        <f>IFERROR(MATCH(J2022,'Final List'!$P$4:$P$252,0),0)</f>
        <v>0</v>
      </c>
      <c r="S2022" s="169">
        <f t="shared" si="128"/>
        <v>0</v>
      </c>
      <c r="V2022" s="169" t="str">
        <f t="shared" si="126"/>
        <v>CAYMAN 2</v>
      </c>
      <c r="W2022" s="169" t="s">
        <v>2708</v>
      </c>
    </row>
    <row r="2023" spans="2:23" x14ac:dyDescent="0.25">
      <c r="B2023" s="169" t="s">
        <v>95</v>
      </c>
      <c r="C2023" s="169" t="s">
        <v>45</v>
      </c>
      <c r="D2023" s="169" t="s">
        <v>218</v>
      </c>
      <c r="E2023" s="169" t="s">
        <v>62</v>
      </c>
      <c r="F2023" s="245" t="str">
        <f t="shared" si="127"/>
        <v>RobS 79</v>
      </c>
      <c r="G2023" s="169" t="s">
        <v>521</v>
      </c>
      <c r="I2023" s="169" t="str">
        <f t="shared" si="125"/>
        <v>L08_DPVE_062E_ROBBING</v>
      </c>
      <c r="J2023" s="169" t="s">
        <v>7139</v>
      </c>
      <c r="K2023" s="169">
        <f>IFERROR(MATCH(J2023,'Final List'!$B$4:$B$252,0),0)</f>
        <v>0</v>
      </c>
      <c r="L2023" s="169">
        <f>IFERROR(MATCH(J2023,'Final List'!$D$4:$D$252,0),0)</f>
        <v>0</v>
      </c>
      <c r="M2023" s="169">
        <f>IFERROR(MATCH(J2023,'Final List'!$F$4:$F$251,0),0)</f>
        <v>0</v>
      </c>
      <c r="N2023" s="169">
        <f>IFERROR(MATCH(J2023,'Final List'!$H$4:$H$252,0),0)</f>
        <v>0</v>
      </c>
      <c r="O2023" s="169">
        <f>IFERROR(MATCH(J2023,'Final List'!$J$4:$J$252,0),0)</f>
        <v>0</v>
      </c>
      <c r="P2023" s="169">
        <f>IFERROR(MATCH(J2023,'Final List'!$L$4:$L$252,0),0)</f>
        <v>0</v>
      </c>
      <c r="Q2023" s="169">
        <f>IFERROR(MATCH(J2023,'Final List'!$N$4:$N$252,0),0)</f>
        <v>0</v>
      </c>
      <c r="R2023" s="169">
        <f>IFERROR(MATCH(J2023,'Final List'!$P$4:$P$252,0),0)</f>
        <v>0</v>
      </c>
      <c r="S2023" s="169">
        <f t="shared" si="128"/>
        <v>0</v>
      </c>
      <c r="T2023" s="169" t="s">
        <v>68</v>
      </c>
      <c r="V2023" s="169" t="str">
        <f t="shared" si="126"/>
        <v>LERIO 4</v>
      </c>
      <c r="W2023" s="169" t="s">
        <v>2707</v>
      </c>
    </row>
    <row r="2024" spans="2:23" x14ac:dyDescent="0.25">
      <c r="B2024" s="169" t="s">
        <v>93</v>
      </c>
      <c r="C2024" s="169" t="s">
        <v>42</v>
      </c>
      <c r="D2024" s="169" t="s">
        <v>111</v>
      </c>
      <c r="E2024" s="169" t="s">
        <v>62</v>
      </c>
      <c r="F2024" s="245" t="str">
        <f t="shared" si="127"/>
        <v>RobS 79</v>
      </c>
      <c r="G2024" s="169" t="s">
        <v>526</v>
      </c>
      <c r="I2024" s="169" t="str">
        <f t="shared" si="125"/>
        <v>L06_JV_004W_ROBBING</v>
      </c>
      <c r="J2024" s="169" t="s">
        <v>9918</v>
      </c>
      <c r="K2024" s="169">
        <f>IFERROR(MATCH(J2024,'Final List'!$B$4:$B$252,0),0)</f>
        <v>0</v>
      </c>
      <c r="L2024" s="169">
        <f>IFERROR(MATCH(J2024,'Final List'!$D$4:$D$252,0),0)</f>
        <v>0</v>
      </c>
      <c r="M2024" s="169">
        <f>IFERROR(MATCH(J2024,'Final List'!$F$4:$F$251,0),0)</f>
        <v>0</v>
      </c>
      <c r="N2024" s="169">
        <f>IFERROR(MATCH(J2024,'Final List'!$H$4:$H$252,0),0)</f>
        <v>0</v>
      </c>
      <c r="O2024" s="169">
        <f>IFERROR(MATCH(J2024,'Final List'!$J$4:$J$252,0),0)</f>
        <v>0</v>
      </c>
      <c r="P2024" s="169">
        <f>IFERROR(MATCH(J2024,'Final List'!$L$4:$L$252,0),0)</f>
        <v>0</v>
      </c>
      <c r="Q2024" s="169">
        <f>IFERROR(MATCH(J2024,'Final List'!$N$4:$N$252,0),0)</f>
        <v>0</v>
      </c>
      <c r="R2024" s="169">
        <f>IFERROR(MATCH(J2024,'Final List'!$P$4:$P$252,0),0)</f>
        <v>0</v>
      </c>
      <c r="S2024" s="169">
        <f t="shared" si="128"/>
        <v>0</v>
      </c>
      <c r="T2024" s="169" t="s">
        <v>68</v>
      </c>
      <c r="V2024" s="169" t="str">
        <f t="shared" si="126"/>
        <v>CARIKITAN 2</v>
      </c>
      <c r="W2024" s="169" t="s">
        <v>2707</v>
      </c>
    </row>
    <row r="2025" spans="2:23" x14ac:dyDescent="0.25">
      <c r="B2025" s="169" t="s">
        <v>93</v>
      </c>
      <c r="C2025" s="169" t="s">
        <v>38</v>
      </c>
      <c r="D2025" s="169" t="s">
        <v>147</v>
      </c>
      <c r="E2025" s="169" t="s">
        <v>62</v>
      </c>
      <c r="F2025" s="245" t="str">
        <f t="shared" si="127"/>
        <v>RobC 80</v>
      </c>
      <c r="G2025" s="169" t="s">
        <v>3303</v>
      </c>
      <c r="I2025" s="169" t="str">
        <f t="shared" si="125"/>
        <v>L06_GHV_024E_ROBBING</v>
      </c>
      <c r="J2025" s="169" t="s">
        <v>9904</v>
      </c>
      <c r="K2025" s="169">
        <f>IFERROR(MATCH(J2025,'Final List'!$B$4:$B$252,0),0)</f>
        <v>0</v>
      </c>
      <c r="L2025" s="169">
        <f>IFERROR(MATCH(J2025,'Final List'!$D$4:$D$252,0),0)</f>
        <v>0</v>
      </c>
      <c r="M2025" s="169">
        <f>IFERROR(MATCH(J2025,'Final List'!$F$4:$F$251,0),0)</f>
        <v>0</v>
      </c>
      <c r="N2025" s="169">
        <f>IFERROR(MATCH(J2025,'Final List'!$H$4:$H$252,0),0)</f>
        <v>0</v>
      </c>
      <c r="O2025" s="169">
        <f>IFERROR(MATCH(J2025,'Final List'!$J$4:$J$252,0),0)</f>
        <v>0</v>
      </c>
      <c r="P2025" s="169">
        <f>IFERROR(MATCH(J2025,'Final List'!$L$4:$L$252,0),0)</f>
        <v>0</v>
      </c>
      <c r="Q2025" s="169">
        <f>IFERROR(MATCH(J2025,'Final List'!$N$4:$N$252,0),0)</f>
        <v>0</v>
      </c>
      <c r="R2025" s="169">
        <f>IFERROR(MATCH(J2025,'Final List'!$P$4:$P$252,0),0)</f>
        <v>0</v>
      </c>
      <c r="S2025" s="169">
        <f t="shared" si="128"/>
        <v>0</v>
      </c>
      <c r="T2025" s="169" t="s">
        <v>48</v>
      </c>
      <c r="V2025" s="169" t="str">
        <f t="shared" si="126"/>
        <v>SHEPHERD AC</v>
      </c>
      <c r="W2025" s="169" t="s">
        <v>236</v>
      </c>
    </row>
    <row r="2026" spans="2:23" x14ac:dyDescent="0.25">
      <c r="B2026" s="169" t="s">
        <v>1166</v>
      </c>
      <c r="C2026" s="169" t="s">
        <v>45</v>
      </c>
      <c r="D2026" s="169" t="s">
        <v>135</v>
      </c>
      <c r="E2026" s="169" t="s">
        <v>60</v>
      </c>
      <c r="F2026" s="245" t="str">
        <f t="shared" si="127"/>
        <v>Dhoz 71</v>
      </c>
      <c r="G2026" s="169" t="s">
        <v>6931</v>
      </c>
      <c r="I2026" s="169" t="str">
        <f t="shared" si="125"/>
        <v>L11_DPVE_034E_DE</v>
      </c>
      <c r="J2026" s="169" t="s">
        <v>10239</v>
      </c>
      <c r="K2026" s="169">
        <f>IFERROR(MATCH(J2026,'Final List'!$B$4:$B$252,0),0)</f>
        <v>0</v>
      </c>
      <c r="L2026" s="169">
        <f>IFERROR(MATCH(J2026,'Final List'!$D$4:$D$252,0),0)</f>
        <v>0</v>
      </c>
      <c r="M2026" s="169">
        <f>IFERROR(MATCH(J2026,'Final List'!$F$4:$F$251,0),0)</f>
        <v>0</v>
      </c>
      <c r="N2026" s="169">
        <f>IFERROR(MATCH(J2026,'Final List'!$H$4:$H$252,0),0)</f>
        <v>0</v>
      </c>
      <c r="O2026" s="169">
        <f>IFERROR(MATCH(J2026,'Final List'!$J$4:$J$252,0),0)</f>
        <v>0</v>
      </c>
      <c r="P2026" s="169">
        <f>IFERROR(MATCH(J2026,'Final List'!$L$4:$L$252,0),0)</f>
        <v>0</v>
      </c>
      <c r="Q2026" s="169">
        <f>IFERROR(MATCH(J2026,'Final List'!$N$4:$N$252,0),0)</f>
        <v>0</v>
      </c>
      <c r="R2026" s="169">
        <f>IFERROR(MATCH(J2026,'Final List'!$P$4:$P$252,0),0)</f>
        <v>0</v>
      </c>
      <c r="S2026" s="169">
        <f t="shared" si="128"/>
        <v>0</v>
      </c>
      <c r="V2026" s="169" t="str">
        <f t="shared" si="126"/>
        <v>DUHIG, P2</v>
      </c>
      <c r="W2026" s="169" t="s">
        <v>8896</v>
      </c>
    </row>
    <row r="2027" spans="2:23" x14ac:dyDescent="0.25">
      <c r="B2027" s="169" t="s">
        <v>91</v>
      </c>
      <c r="C2027" s="169" t="s">
        <v>8753</v>
      </c>
      <c r="D2027" s="169" t="s">
        <v>113</v>
      </c>
      <c r="E2027" s="169" t="s">
        <v>19</v>
      </c>
      <c r="F2027" s="245" t="str">
        <f t="shared" si="127"/>
        <v>DVR 72</v>
      </c>
      <c r="G2027" s="169" t="s">
        <v>9884</v>
      </c>
      <c r="I2027" s="169" t="str">
        <f t="shared" si="125"/>
        <v>L04_RYV_001W_RAISE</v>
      </c>
      <c r="J2027" s="169" t="s">
        <v>9910</v>
      </c>
      <c r="K2027" s="169">
        <f>IFERROR(MATCH(J2027,'Final List'!$B$4:$B$252,0),0)</f>
        <v>0</v>
      </c>
      <c r="L2027" s="169">
        <f>IFERROR(MATCH(J2027,'Final List'!$D$4:$D$252,0),0)</f>
        <v>0</v>
      </c>
      <c r="M2027" s="169">
        <f>IFERROR(MATCH(J2027,'Final List'!$F$4:$F$251,0),0)</f>
        <v>0</v>
      </c>
      <c r="N2027" s="169">
        <f>IFERROR(MATCH(J2027,'Final List'!$H$4:$H$252,0),0)</f>
        <v>0</v>
      </c>
      <c r="O2027" s="169">
        <f>IFERROR(MATCH(J2027,'Final List'!$J$4:$J$252,0),0)</f>
        <v>0</v>
      </c>
      <c r="P2027" s="169">
        <f>IFERROR(MATCH(J2027,'Final List'!$L$4:$L$252,0),0)</f>
        <v>0</v>
      </c>
      <c r="Q2027" s="169">
        <f>IFERROR(MATCH(J2027,'Final List'!$N$4:$N$252,0),0)</f>
        <v>0</v>
      </c>
      <c r="R2027" s="169">
        <f>IFERROR(MATCH(J2027,'Final List'!$P$4:$P$252,0),0)</f>
        <v>0</v>
      </c>
      <c r="S2027" s="169">
        <f t="shared" si="128"/>
        <v>0</v>
      </c>
      <c r="V2027" s="169" t="str">
        <f t="shared" si="126"/>
        <v>APA 1</v>
      </c>
      <c r="W2027" s="169" t="s">
        <v>2715</v>
      </c>
    </row>
    <row r="2028" spans="2:23" x14ac:dyDescent="0.25">
      <c r="B2028" s="169" t="s">
        <v>93</v>
      </c>
      <c r="C2028" s="169" t="s">
        <v>44</v>
      </c>
      <c r="D2028" s="169" t="s">
        <v>117</v>
      </c>
      <c r="E2028" s="169" t="s">
        <v>62</v>
      </c>
      <c r="F2028" s="245" t="str">
        <f t="shared" si="127"/>
        <v>RobS 79</v>
      </c>
      <c r="G2028" s="169" t="s">
        <v>577</v>
      </c>
      <c r="I2028" s="169" t="str">
        <f t="shared" si="125"/>
        <v>L06_CV_006W_ROBBING</v>
      </c>
      <c r="J2028" s="169" t="s">
        <v>9912</v>
      </c>
      <c r="K2028" s="169">
        <f>IFERROR(MATCH(J2028,'Final List'!$B$4:$B$252,0),0)</f>
        <v>0</v>
      </c>
      <c r="L2028" s="169">
        <f>IFERROR(MATCH(J2028,'Final List'!$D$4:$D$252,0),0)</f>
        <v>0</v>
      </c>
      <c r="M2028" s="169">
        <f>IFERROR(MATCH(J2028,'Final List'!$F$4:$F$251,0),0)</f>
        <v>0</v>
      </c>
      <c r="N2028" s="169">
        <f>IFERROR(MATCH(J2028,'Final List'!$H$4:$H$252,0),0)</f>
        <v>0</v>
      </c>
      <c r="O2028" s="169">
        <f>IFERROR(MATCH(J2028,'Final List'!$J$4:$J$252,0),0)</f>
        <v>0</v>
      </c>
      <c r="P2028" s="169">
        <f>IFERROR(MATCH(J2028,'Final List'!$L$4:$L$252,0),0)</f>
        <v>0</v>
      </c>
      <c r="Q2028" s="169">
        <f>IFERROR(MATCH(J2028,'Final List'!$N$4:$N$252,0),0)</f>
        <v>0</v>
      </c>
      <c r="R2028" s="169">
        <f>IFERROR(MATCH(J2028,'Final List'!$P$4:$P$252,0),0)</f>
        <v>0</v>
      </c>
      <c r="S2028" s="169">
        <f t="shared" si="128"/>
        <v>0</v>
      </c>
      <c r="T2028" s="169" t="s">
        <v>68</v>
      </c>
      <c r="V2028" s="169" t="str">
        <f t="shared" si="126"/>
        <v>CARIKITAN 1</v>
      </c>
      <c r="W2028" s="169" t="s">
        <v>2707</v>
      </c>
    </row>
    <row r="2029" spans="2:23" x14ac:dyDescent="0.25">
      <c r="B2029" s="169" t="s">
        <v>258</v>
      </c>
      <c r="C2029" s="169" t="s">
        <v>59</v>
      </c>
      <c r="D2029" s="169" t="s">
        <v>5689</v>
      </c>
      <c r="E2029" s="169" t="s">
        <v>61</v>
      </c>
      <c r="F2029" s="245" t="str">
        <f t="shared" si="127"/>
        <v>Dhoz 71</v>
      </c>
      <c r="G2029" s="169" t="s">
        <v>318</v>
      </c>
      <c r="H2029" s="169" t="s">
        <v>5701</v>
      </c>
      <c r="I2029" s="169" t="str">
        <f t="shared" si="125"/>
        <v>L10_GHVHW_003E_DW</v>
      </c>
      <c r="J2029" s="169" t="s">
        <v>9914</v>
      </c>
      <c r="K2029" s="169">
        <f>IFERROR(MATCH(J2029,'Final List'!$B$4:$B$252,0),0)</f>
        <v>0</v>
      </c>
      <c r="L2029" s="169">
        <f>IFERROR(MATCH(J2029,'Final List'!$D$4:$D$252,0),0)</f>
        <v>0</v>
      </c>
      <c r="M2029" s="169">
        <f>IFERROR(MATCH(J2029,'Final List'!$F$4:$F$251,0),0)</f>
        <v>0</v>
      </c>
      <c r="N2029" s="169">
        <f>IFERROR(MATCH(J2029,'Final List'!$H$4:$H$252,0),0)</f>
        <v>0</v>
      </c>
      <c r="O2029" s="169">
        <f>IFERROR(MATCH(J2029,'Final List'!$J$4:$J$252,0),0)</f>
        <v>0</v>
      </c>
      <c r="P2029" s="169">
        <f>IFERROR(MATCH(J2029,'Final List'!$L$4:$L$252,0),0)</f>
        <v>0</v>
      </c>
      <c r="Q2029" s="169">
        <f>IFERROR(MATCH(J2029,'Final List'!$N$4:$N$252,0),0)</f>
        <v>0</v>
      </c>
      <c r="R2029" s="169">
        <f>IFERROR(MATCH(J2029,'Final List'!$P$4:$P$252,0),0)</f>
        <v>0</v>
      </c>
      <c r="S2029" s="169">
        <f t="shared" si="128"/>
        <v>0</v>
      </c>
      <c r="V2029" s="169" t="str">
        <f t="shared" si="126"/>
        <v>LARGO 2</v>
      </c>
      <c r="W2029" s="169" t="s">
        <v>8896</v>
      </c>
    </row>
    <row r="2030" spans="2:23" x14ac:dyDescent="0.25">
      <c r="B2030" s="169" t="s">
        <v>1167</v>
      </c>
      <c r="C2030" s="169" t="s">
        <v>87</v>
      </c>
      <c r="D2030" s="169" t="s">
        <v>144</v>
      </c>
      <c r="E2030" s="169" t="s">
        <v>9917</v>
      </c>
      <c r="F2030" s="245" t="s">
        <v>14362</v>
      </c>
      <c r="G2030" s="169" t="s">
        <v>965</v>
      </c>
      <c r="I2030" s="169" t="str">
        <f t="shared" si="125"/>
        <v>L12_NONE_043E_SHAFT STATION</v>
      </c>
      <c r="J2030" s="169" t="s">
        <v>9916</v>
      </c>
      <c r="K2030" s="169">
        <f>IFERROR(MATCH(J2030,'Final List'!$B$4:$B$252,0),0)</f>
        <v>0</v>
      </c>
      <c r="L2030" s="169">
        <f>IFERROR(MATCH(J2030,'Final List'!$D$4:$D$252,0),0)</f>
        <v>0</v>
      </c>
      <c r="M2030" s="169">
        <f>IFERROR(MATCH(J2030,'Final List'!$F$4:$F$251,0),0)</f>
        <v>0</v>
      </c>
      <c r="N2030" s="169">
        <f>IFERROR(MATCH(J2030,'Final List'!$H$4:$H$252,0),0)</f>
        <v>0</v>
      </c>
      <c r="O2030" s="169">
        <f>IFERROR(MATCH(J2030,'Final List'!$J$4:$J$252,0),0)</f>
        <v>0</v>
      </c>
      <c r="P2030" s="169">
        <f>IFERROR(MATCH(J2030,'Final List'!$L$4:$L$252,0),0)</f>
        <v>0</v>
      </c>
      <c r="Q2030" s="169">
        <f>IFERROR(MATCH(J2030,'Final List'!$N$4:$N$252,0),0)</f>
        <v>0</v>
      </c>
      <c r="R2030" s="169">
        <f>IFERROR(MATCH(J2030,'Final List'!$P$4:$P$252,0),0)</f>
        <v>0</v>
      </c>
      <c r="S2030" s="169">
        <f t="shared" si="128"/>
        <v>0</v>
      </c>
      <c r="V2030" s="169" t="str">
        <f t="shared" si="126"/>
        <v>DUHIG</v>
      </c>
      <c r="W2030" s="169" t="s">
        <v>2714</v>
      </c>
    </row>
    <row r="2031" spans="2:23" x14ac:dyDescent="0.25">
      <c r="B2031" s="169" t="s">
        <v>95</v>
      </c>
      <c r="C2031" s="169" t="s">
        <v>38</v>
      </c>
      <c r="D2031" s="169" t="s">
        <v>178</v>
      </c>
      <c r="E2031" s="169" t="s">
        <v>62</v>
      </c>
      <c r="F2031" s="245" t="str">
        <f t="shared" si="127"/>
        <v>RobS 79</v>
      </c>
      <c r="G2031" s="169" t="s">
        <v>472</v>
      </c>
      <c r="I2031" s="169" t="str">
        <f t="shared" si="125"/>
        <v>L08_GHV_048E_ROBBING</v>
      </c>
      <c r="J2031" s="169" t="s">
        <v>9929</v>
      </c>
      <c r="K2031" s="169">
        <f>IFERROR(MATCH(J2031,'Final List'!$B$4:$B$252,0),0)</f>
        <v>0</v>
      </c>
      <c r="L2031" s="169">
        <f>IFERROR(MATCH(J2031,'Final List'!$D$4:$D$252,0),0)</f>
        <v>0</v>
      </c>
      <c r="M2031" s="169">
        <f>IFERROR(MATCH(J2031,'Final List'!$F$4:$F$251,0),0)</f>
        <v>0</v>
      </c>
      <c r="N2031" s="169">
        <f>IFERROR(MATCH(J2031,'Final List'!$H$4:$H$252,0),0)</f>
        <v>0</v>
      </c>
      <c r="O2031" s="169">
        <f>IFERROR(MATCH(J2031,'Final List'!$J$4:$J$252,0),0)</f>
        <v>0</v>
      </c>
      <c r="P2031" s="169">
        <f>IFERROR(MATCH(J2031,'Final List'!$L$4:$L$252,0),0)</f>
        <v>0</v>
      </c>
      <c r="Q2031" s="169">
        <f>IFERROR(MATCH(J2031,'Final List'!$N$4:$N$252,0),0)</f>
        <v>0</v>
      </c>
      <c r="R2031" s="169">
        <f>IFERROR(MATCH(J2031,'Final List'!$P$4:$P$252,0),0)</f>
        <v>0</v>
      </c>
      <c r="S2031" s="169">
        <f t="shared" si="128"/>
        <v>0</v>
      </c>
      <c r="T2031" s="169" t="s">
        <v>68</v>
      </c>
      <c r="V2031" s="169" t="str">
        <f t="shared" si="126"/>
        <v>LERIO 3</v>
      </c>
      <c r="W2031" s="169" t="s">
        <v>2707</v>
      </c>
    </row>
    <row r="2032" spans="2:23" x14ac:dyDescent="0.25">
      <c r="B2032" s="169" t="s">
        <v>258</v>
      </c>
      <c r="C2032" s="169" t="s">
        <v>39</v>
      </c>
      <c r="D2032" s="169" t="s">
        <v>175</v>
      </c>
      <c r="E2032" s="169" t="s">
        <v>19</v>
      </c>
      <c r="F2032" s="245" t="str">
        <f t="shared" si="127"/>
        <v>DVR 72</v>
      </c>
      <c r="G2032" s="169" t="s">
        <v>5705</v>
      </c>
      <c r="I2032" s="169" t="str">
        <f t="shared" si="125"/>
        <v>L10_JVHW_060E_RAISE</v>
      </c>
      <c r="J2032" s="169" t="s">
        <v>9935</v>
      </c>
      <c r="K2032" s="169">
        <f>IFERROR(MATCH(J2032,'Final List'!$B$4:$B$252,0),0)</f>
        <v>0</v>
      </c>
      <c r="L2032" s="169">
        <f>IFERROR(MATCH(J2032,'Final List'!$D$4:$D$252,0),0)</f>
        <v>0</v>
      </c>
      <c r="M2032" s="169">
        <f>IFERROR(MATCH(J2032,'Final List'!$F$4:$F$251,0),0)</f>
        <v>0</v>
      </c>
      <c r="N2032" s="169">
        <f>IFERROR(MATCH(J2032,'Final List'!$H$4:$H$252,0),0)</f>
        <v>0</v>
      </c>
      <c r="O2032" s="169">
        <f>IFERROR(MATCH(J2032,'Final List'!$J$4:$J$252,0),0)</f>
        <v>0</v>
      </c>
      <c r="P2032" s="169">
        <f>IFERROR(MATCH(J2032,'Final List'!$L$4:$L$252,0),0)</f>
        <v>0</v>
      </c>
      <c r="Q2032" s="169">
        <f>IFERROR(MATCH(J2032,'Final List'!$N$4:$N$252,0),0)</f>
        <v>0</v>
      </c>
      <c r="R2032" s="169">
        <f>IFERROR(MATCH(J2032,'Final List'!$P$4:$P$252,0),0)</f>
        <v>0</v>
      </c>
      <c r="S2032" s="169">
        <f t="shared" si="128"/>
        <v>0</v>
      </c>
      <c r="V2032" s="169" t="str">
        <f t="shared" si="126"/>
        <v>OLIVEROS 4</v>
      </c>
      <c r="W2032" s="169" t="s">
        <v>2715</v>
      </c>
    </row>
    <row r="2033" spans="2:23" x14ac:dyDescent="0.25">
      <c r="B2033" s="169" t="s">
        <v>1166</v>
      </c>
      <c r="C2033" s="169" t="s">
        <v>45</v>
      </c>
      <c r="D2033" s="169" t="s">
        <v>161</v>
      </c>
      <c r="E2033" s="169" t="s">
        <v>19</v>
      </c>
      <c r="F2033" s="245" t="str">
        <f t="shared" si="127"/>
        <v>DVR 72</v>
      </c>
      <c r="G2033" s="169" t="s">
        <v>6930</v>
      </c>
      <c r="H2033" s="169" t="s">
        <v>447</v>
      </c>
      <c r="I2033" s="169" t="str">
        <f t="shared" ref="I2033:I2096" si="129">CONCATENATE(B2033,"_",C2033,"_",D2033,"_",E2033)</f>
        <v>L11_DPVE_044E_RAISE</v>
      </c>
      <c r="J2033" s="169" t="s">
        <v>9937</v>
      </c>
      <c r="K2033" s="169">
        <f>IFERROR(MATCH(J2033,'Final List'!$B$4:$B$252,0),0)</f>
        <v>0</v>
      </c>
      <c r="L2033" s="169">
        <f>IFERROR(MATCH(J2033,'Final List'!$D$4:$D$252,0),0)</f>
        <v>0</v>
      </c>
      <c r="M2033" s="169">
        <f>IFERROR(MATCH(J2033,'Final List'!$F$4:$F$251,0),0)</f>
        <v>0</v>
      </c>
      <c r="N2033" s="169">
        <f>IFERROR(MATCH(J2033,'Final List'!$H$4:$H$252,0),0)</f>
        <v>0</v>
      </c>
      <c r="O2033" s="169">
        <f>IFERROR(MATCH(J2033,'Final List'!$J$4:$J$252,0),0)</f>
        <v>0</v>
      </c>
      <c r="P2033" s="169">
        <f>IFERROR(MATCH(J2033,'Final List'!$L$4:$L$252,0),0)</f>
        <v>0</v>
      </c>
      <c r="Q2033" s="169">
        <f>IFERROR(MATCH(J2033,'Final List'!$N$4:$N$252,0),0)</f>
        <v>0</v>
      </c>
      <c r="R2033" s="169">
        <f>IFERROR(MATCH(J2033,'Final List'!$P$4:$P$252,0),0)</f>
        <v>0</v>
      </c>
      <c r="S2033" s="169">
        <f t="shared" si="128"/>
        <v>0</v>
      </c>
      <c r="V2033" s="169" t="str">
        <f t="shared" si="126"/>
        <v>COMAINGKING 1</v>
      </c>
      <c r="W2033" s="169" t="s">
        <v>2715</v>
      </c>
    </row>
    <row r="2034" spans="2:23" x14ac:dyDescent="0.25">
      <c r="B2034" s="169" t="s">
        <v>258</v>
      </c>
      <c r="C2034" s="169" t="s">
        <v>45</v>
      </c>
      <c r="D2034" s="169" t="s">
        <v>110</v>
      </c>
      <c r="E2034" s="169" t="s">
        <v>19</v>
      </c>
      <c r="F2034" s="245" t="str">
        <f t="shared" si="127"/>
        <v>DVR 72</v>
      </c>
      <c r="G2034" s="169" t="s">
        <v>371</v>
      </c>
      <c r="H2034" s="169" t="s">
        <v>318</v>
      </c>
      <c r="I2034" s="169" t="str">
        <f t="shared" si="129"/>
        <v>L10_DPVE_004E_RAISE</v>
      </c>
      <c r="J2034" s="169" t="s">
        <v>9940</v>
      </c>
      <c r="K2034" s="169">
        <f>IFERROR(MATCH(J2034,'Final List'!$B$4:$B$252,0),0)</f>
        <v>0</v>
      </c>
      <c r="L2034" s="169">
        <f>IFERROR(MATCH(J2034,'Final List'!$D$4:$D$252,0),0)</f>
        <v>0</v>
      </c>
      <c r="M2034" s="169">
        <f>IFERROR(MATCH(J2034,'Final List'!$F$4:$F$251,0),0)</f>
        <v>0</v>
      </c>
      <c r="N2034" s="169">
        <f>IFERROR(MATCH(J2034,'Final List'!$H$4:$H$252,0),0)</f>
        <v>0</v>
      </c>
      <c r="O2034" s="169">
        <f>IFERROR(MATCH(J2034,'Final List'!$J$4:$J$252,0),0)</f>
        <v>0</v>
      </c>
      <c r="P2034" s="169">
        <f>IFERROR(MATCH(J2034,'Final List'!$L$4:$L$252,0),0)</f>
        <v>0</v>
      </c>
      <c r="Q2034" s="169">
        <f>IFERROR(MATCH(J2034,'Final List'!$N$4:$N$252,0),0)</f>
        <v>0</v>
      </c>
      <c r="R2034" s="169">
        <f>IFERROR(MATCH(J2034,'Final List'!$P$4:$P$252,0),0)</f>
        <v>0</v>
      </c>
      <c r="S2034" s="169">
        <f t="shared" si="128"/>
        <v>0</v>
      </c>
      <c r="V2034" s="169" t="str">
        <f t="shared" si="126"/>
        <v>PARAGUYA 3</v>
      </c>
      <c r="W2034" s="169" t="s">
        <v>2715</v>
      </c>
    </row>
    <row r="2035" spans="2:23" x14ac:dyDescent="0.25">
      <c r="B2035" s="169" t="s">
        <v>8904</v>
      </c>
      <c r="C2035" s="169" t="s">
        <v>41</v>
      </c>
      <c r="D2035" s="169" t="s">
        <v>6710</v>
      </c>
      <c r="E2035" s="169" t="s">
        <v>61</v>
      </c>
      <c r="F2035" s="245" t="str">
        <f t="shared" si="127"/>
        <v>Dhoz 71</v>
      </c>
      <c r="G2035" s="169" t="s">
        <v>9366</v>
      </c>
      <c r="I2035" s="169" t="str">
        <f t="shared" si="129"/>
        <v>L03_CTV_018W_DW</v>
      </c>
      <c r="J2035" s="169" t="s">
        <v>9963</v>
      </c>
      <c r="K2035" s="169">
        <f>IFERROR(MATCH(J2035,'Final List'!$B$4:$B$252,0),0)</f>
        <v>0</v>
      </c>
      <c r="L2035" s="169">
        <f>IFERROR(MATCH(J2035,'Final List'!$D$4:$D$252,0),0)</f>
        <v>0</v>
      </c>
      <c r="M2035" s="169">
        <f>IFERROR(MATCH(J2035,'Final List'!$F$4:$F$251,0),0)</f>
        <v>0</v>
      </c>
      <c r="N2035" s="169">
        <f>IFERROR(MATCH(J2035,'Final List'!$H$4:$H$252,0),0)</f>
        <v>0</v>
      </c>
      <c r="O2035" s="169">
        <f>IFERROR(MATCH(J2035,'Final List'!$J$4:$J$252,0),0)</f>
        <v>0</v>
      </c>
      <c r="P2035" s="169">
        <f>IFERROR(MATCH(J2035,'Final List'!$L$4:$L$252,0),0)</f>
        <v>0</v>
      </c>
      <c r="Q2035" s="169">
        <f>IFERROR(MATCH(J2035,'Final List'!$N$4:$N$252,0),0)</f>
        <v>0</v>
      </c>
      <c r="R2035" s="169">
        <f>IFERROR(MATCH(J2035,'Final List'!$P$4:$P$252,0),0)</f>
        <v>0</v>
      </c>
      <c r="S2035" s="169">
        <f t="shared" si="128"/>
        <v>0</v>
      </c>
      <c r="V2035" s="169" t="str">
        <f t="shared" si="126"/>
        <v>FERNANDEZ, RM 2</v>
      </c>
      <c r="W2035" s="169" t="s">
        <v>8895</v>
      </c>
    </row>
    <row r="2036" spans="2:23" x14ac:dyDescent="0.25">
      <c r="B2036" s="169" t="s">
        <v>8904</v>
      </c>
      <c r="C2036" s="169" t="s">
        <v>41</v>
      </c>
      <c r="D2036" s="169" t="s">
        <v>6833</v>
      </c>
      <c r="E2036" s="169" t="s">
        <v>60</v>
      </c>
      <c r="F2036" s="245" t="str">
        <f t="shared" si="127"/>
        <v>Dhoz 71</v>
      </c>
      <c r="G2036" s="169" t="s">
        <v>9366</v>
      </c>
      <c r="I2036" s="169" t="str">
        <f t="shared" si="129"/>
        <v>L03_CTV_017W_DE</v>
      </c>
      <c r="J2036" s="169" t="s">
        <v>9946</v>
      </c>
      <c r="K2036" s="169">
        <f>IFERROR(MATCH(J2036,'Final List'!$B$4:$B$252,0),0)</f>
        <v>0</v>
      </c>
      <c r="L2036" s="169">
        <f>IFERROR(MATCH(J2036,'Final List'!$D$4:$D$252,0),0)</f>
        <v>0</v>
      </c>
      <c r="M2036" s="169">
        <f>IFERROR(MATCH(J2036,'Final List'!$F$4:$F$251,0),0)</f>
        <v>0</v>
      </c>
      <c r="N2036" s="169">
        <f>IFERROR(MATCH(J2036,'Final List'!$H$4:$H$252,0),0)</f>
        <v>0</v>
      </c>
      <c r="O2036" s="169">
        <f>IFERROR(MATCH(J2036,'Final List'!$J$4:$J$252,0),0)</f>
        <v>0</v>
      </c>
      <c r="P2036" s="169">
        <f>IFERROR(MATCH(J2036,'Final List'!$L$4:$L$252,0),0)</f>
        <v>0</v>
      </c>
      <c r="Q2036" s="169">
        <f>IFERROR(MATCH(J2036,'Final List'!$N$4:$N$252,0),0)</f>
        <v>0</v>
      </c>
      <c r="R2036" s="169">
        <f>IFERROR(MATCH(J2036,'Final List'!$P$4:$P$252,0),0)</f>
        <v>0</v>
      </c>
      <c r="S2036" s="169">
        <f t="shared" si="128"/>
        <v>0</v>
      </c>
      <c r="V2036" s="169" t="str">
        <f t="shared" si="126"/>
        <v>FERNANDEZ, RM 2</v>
      </c>
      <c r="W2036" s="169" t="s">
        <v>8895</v>
      </c>
    </row>
    <row r="2037" spans="2:23" x14ac:dyDescent="0.25">
      <c r="B2037" s="169" t="s">
        <v>1166</v>
      </c>
      <c r="C2037" s="169" t="s">
        <v>57</v>
      </c>
      <c r="D2037" s="169" t="s">
        <v>284</v>
      </c>
      <c r="E2037" s="169" t="s">
        <v>19</v>
      </c>
      <c r="F2037" s="245" t="str">
        <f t="shared" si="127"/>
        <v>DVR 72</v>
      </c>
      <c r="G2037" s="169" t="s">
        <v>9884</v>
      </c>
      <c r="H2037" s="169" t="s">
        <v>5720</v>
      </c>
      <c r="I2037" s="169" t="str">
        <f t="shared" si="129"/>
        <v>L11_JVSPLIT_061E_RAISE</v>
      </c>
      <c r="J2037" s="169" t="s">
        <v>9994</v>
      </c>
      <c r="K2037" s="169">
        <f>IFERROR(MATCH(J2037,'Final List'!$B$4:$B$252,0),0)</f>
        <v>0</v>
      </c>
      <c r="L2037" s="169">
        <f>IFERROR(MATCH(J2037,'Final List'!$D$4:$D$252,0),0)</f>
        <v>0</v>
      </c>
      <c r="M2037" s="169">
        <f>IFERROR(MATCH(J2037,'Final List'!$F$4:$F$251,0),0)</f>
        <v>0</v>
      </c>
      <c r="N2037" s="169">
        <f>IFERROR(MATCH(J2037,'Final List'!$H$4:$H$252,0),0)</f>
        <v>0</v>
      </c>
      <c r="O2037" s="169">
        <f>IFERROR(MATCH(J2037,'Final List'!$J$4:$J$252,0),0)</f>
        <v>0</v>
      </c>
      <c r="P2037" s="169">
        <f>IFERROR(MATCH(J2037,'Final List'!$L$4:$L$252,0),0)</f>
        <v>0</v>
      </c>
      <c r="Q2037" s="169">
        <f>IFERROR(MATCH(J2037,'Final List'!$N$4:$N$252,0),0)</f>
        <v>0</v>
      </c>
      <c r="R2037" s="169">
        <f>IFERROR(MATCH(J2037,'Final List'!$P$4:$P$252,0),0)</f>
        <v>0</v>
      </c>
      <c r="S2037" s="169">
        <f t="shared" si="128"/>
        <v>0</v>
      </c>
      <c r="V2037" s="169" t="str">
        <f t="shared" si="126"/>
        <v>TURRA 1</v>
      </c>
      <c r="W2037" s="169" t="s">
        <v>2715</v>
      </c>
    </row>
    <row r="2038" spans="2:23" x14ac:dyDescent="0.25">
      <c r="B2038" s="169" t="s">
        <v>96</v>
      </c>
      <c r="C2038" s="169" t="s">
        <v>59</v>
      </c>
      <c r="D2038" s="169" t="s">
        <v>5612</v>
      </c>
      <c r="E2038" s="169" t="s">
        <v>61</v>
      </c>
      <c r="F2038" s="245" t="str">
        <f t="shared" si="127"/>
        <v>Dhoz 71</v>
      </c>
      <c r="G2038" s="169" t="s">
        <v>1661</v>
      </c>
      <c r="I2038" s="169" t="str">
        <f t="shared" si="129"/>
        <v>L09_GHVHW_011W_DW</v>
      </c>
      <c r="J2038" s="169" t="s">
        <v>9948</v>
      </c>
      <c r="K2038" s="169">
        <f>IFERROR(MATCH(J2038,'Final List'!$B$4:$B$252,0),0)</f>
        <v>0</v>
      </c>
      <c r="L2038" s="169">
        <f>IFERROR(MATCH(J2038,'Final List'!$D$4:$D$252,0),0)</f>
        <v>0</v>
      </c>
      <c r="M2038" s="169">
        <f>IFERROR(MATCH(J2038,'Final List'!$F$4:$F$251,0),0)</f>
        <v>0</v>
      </c>
      <c r="N2038" s="169">
        <f>IFERROR(MATCH(J2038,'Final List'!$H$4:$H$252,0),0)</f>
        <v>0</v>
      </c>
      <c r="O2038" s="169">
        <f>IFERROR(MATCH(J2038,'Final List'!$J$4:$J$252,0),0)</f>
        <v>0</v>
      </c>
      <c r="P2038" s="169">
        <f>IFERROR(MATCH(J2038,'Final List'!$L$4:$L$252,0),0)</f>
        <v>0</v>
      </c>
      <c r="Q2038" s="169">
        <f>IFERROR(MATCH(J2038,'Final List'!$N$4:$N$252,0),0)</f>
        <v>0</v>
      </c>
      <c r="R2038" s="169">
        <f>IFERROR(MATCH(J2038,'Final List'!$P$4:$P$252,0),0)</f>
        <v>0</v>
      </c>
      <c r="S2038" s="169">
        <f t="shared" si="128"/>
        <v>0</v>
      </c>
      <c r="V2038" s="169" t="str">
        <f t="shared" si="126"/>
        <v>DELOS REYES V2</v>
      </c>
      <c r="W2038" s="169" t="s">
        <v>8896</v>
      </c>
    </row>
    <row r="2039" spans="2:23" x14ac:dyDescent="0.25">
      <c r="B2039" s="169" t="s">
        <v>92</v>
      </c>
      <c r="C2039" s="169" t="s">
        <v>45</v>
      </c>
      <c r="D2039" s="169" t="s">
        <v>5741</v>
      </c>
      <c r="E2039" s="169" t="s">
        <v>221</v>
      </c>
      <c r="F2039" s="245" t="s">
        <v>15343</v>
      </c>
      <c r="G2039" s="169" t="s">
        <v>1577</v>
      </c>
      <c r="I2039" s="169" t="str">
        <f t="shared" si="129"/>
        <v>L05_DPVE_035E_WINZE STOPE</v>
      </c>
      <c r="J2039" s="169" t="s">
        <v>9950</v>
      </c>
      <c r="K2039" s="169">
        <f>IFERROR(MATCH(J2039,'Final List'!$B$4:$B$252,0),0)</f>
        <v>0</v>
      </c>
      <c r="L2039" s="169">
        <f>IFERROR(MATCH(J2039,'Final List'!$D$4:$D$252,0),0)</f>
        <v>0</v>
      </c>
      <c r="M2039" s="169">
        <f>IFERROR(MATCH(J2039,'Final List'!$F$4:$F$251,0),0)</f>
        <v>0</v>
      </c>
      <c r="N2039" s="169">
        <f>IFERROR(MATCH(J2039,'Final List'!$H$4:$H$252,0),0)</f>
        <v>0</v>
      </c>
      <c r="O2039" s="169">
        <f>IFERROR(MATCH(J2039,'Final List'!$J$4:$J$252,0),0)</f>
        <v>0</v>
      </c>
      <c r="P2039" s="169">
        <f>IFERROR(MATCH(J2039,'Final List'!$L$4:$L$252,0),0)</f>
        <v>0</v>
      </c>
      <c r="Q2039" s="169">
        <f>IFERROR(MATCH(J2039,'Final List'!$N$4:$N$252,0),0)</f>
        <v>0</v>
      </c>
      <c r="R2039" s="169">
        <f>IFERROR(MATCH(J2039,'Final List'!$P$4:$P$252,0),0)</f>
        <v>0</v>
      </c>
      <c r="S2039" s="169">
        <f t="shared" si="128"/>
        <v>0</v>
      </c>
      <c r="V2039" s="169" t="str">
        <f t="shared" si="126"/>
        <v>PANCIT, NOEL 2</v>
      </c>
      <c r="W2039" s="169" t="s">
        <v>2719</v>
      </c>
    </row>
    <row r="2040" spans="2:23" x14ac:dyDescent="0.25">
      <c r="B2040" s="169" t="s">
        <v>96</v>
      </c>
      <c r="C2040" s="169" t="s">
        <v>45</v>
      </c>
      <c r="D2040" s="169" t="s">
        <v>143</v>
      </c>
      <c r="E2040" s="169" t="s">
        <v>19</v>
      </c>
      <c r="F2040" s="245" t="str">
        <f t="shared" si="127"/>
        <v>DVR 72</v>
      </c>
      <c r="G2040" s="169" t="s">
        <v>348</v>
      </c>
      <c r="I2040" s="169" t="str">
        <f t="shared" si="129"/>
        <v>L09_DPVE_032E_RAISE</v>
      </c>
      <c r="J2040" s="169" t="s">
        <v>9953</v>
      </c>
      <c r="K2040" s="169">
        <f>IFERROR(MATCH(J2040,'Final List'!$B$4:$B$252,0),0)</f>
        <v>0</v>
      </c>
      <c r="L2040" s="169">
        <f>IFERROR(MATCH(J2040,'Final List'!$D$4:$D$252,0),0)</f>
        <v>0</v>
      </c>
      <c r="M2040" s="169">
        <f>IFERROR(MATCH(J2040,'Final List'!$F$4:$F$251,0),0)</f>
        <v>0</v>
      </c>
      <c r="N2040" s="169">
        <f>IFERROR(MATCH(J2040,'Final List'!$H$4:$H$252,0),0)</f>
        <v>0</v>
      </c>
      <c r="O2040" s="169">
        <f>IFERROR(MATCH(J2040,'Final List'!$J$4:$J$252,0),0)</f>
        <v>0</v>
      </c>
      <c r="P2040" s="169">
        <f>IFERROR(MATCH(J2040,'Final List'!$L$4:$L$252,0),0)</f>
        <v>0</v>
      </c>
      <c r="Q2040" s="169">
        <f>IFERROR(MATCH(J2040,'Final List'!$N$4:$N$252,0),0)</f>
        <v>0</v>
      </c>
      <c r="R2040" s="169">
        <f>IFERROR(MATCH(J2040,'Final List'!$P$4:$P$252,0),0)</f>
        <v>0</v>
      </c>
      <c r="S2040" s="169">
        <f t="shared" si="128"/>
        <v>0</v>
      </c>
      <c r="V2040" s="169" t="str">
        <f t="shared" si="126"/>
        <v>QUIJANO 3</v>
      </c>
      <c r="W2040" s="169" t="s">
        <v>2715</v>
      </c>
    </row>
    <row r="2041" spans="2:23" x14ac:dyDescent="0.25">
      <c r="B2041" s="169" t="s">
        <v>93</v>
      </c>
      <c r="C2041" s="169" t="s">
        <v>87</v>
      </c>
      <c r="D2041" s="169" t="s">
        <v>595</v>
      </c>
      <c r="E2041" s="169" t="s">
        <v>19</v>
      </c>
      <c r="F2041" s="245" t="str">
        <f t="shared" si="127"/>
        <v>DVR 72</v>
      </c>
      <c r="G2041" s="169" t="s">
        <v>5717</v>
      </c>
      <c r="H2041" s="169" t="s">
        <v>350</v>
      </c>
      <c r="I2041" s="169" t="str">
        <f t="shared" si="129"/>
        <v>L06_NONE_072E_RAISE</v>
      </c>
      <c r="J2041" s="169" t="s">
        <v>9961</v>
      </c>
      <c r="K2041" s="169">
        <f>IFERROR(MATCH(J2041,'Final List'!$B$4:$B$252,0),0)</f>
        <v>0</v>
      </c>
      <c r="L2041" s="169">
        <f>IFERROR(MATCH(J2041,'Final List'!$D$4:$D$252,0),0)</f>
        <v>0</v>
      </c>
      <c r="M2041" s="169">
        <f>IFERROR(MATCH(J2041,'Final List'!$F$4:$F$251,0),0)</f>
        <v>0</v>
      </c>
      <c r="N2041" s="169">
        <f>IFERROR(MATCH(J2041,'Final List'!$H$4:$H$252,0),0)</f>
        <v>0</v>
      </c>
      <c r="O2041" s="169">
        <f>IFERROR(MATCH(J2041,'Final List'!$J$4:$J$252,0),0)</f>
        <v>0</v>
      </c>
      <c r="P2041" s="169">
        <f>IFERROR(MATCH(J2041,'Final List'!$L$4:$L$252,0),0)</f>
        <v>0</v>
      </c>
      <c r="Q2041" s="169">
        <f>IFERROR(MATCH(J2041,'Final List'!$N$4:$N$252,0),0)</f>
        <v>0</v>
      </c>
      <c r="R2041" s="169">
        <f>IFERROR(MATCH(J2041,'Final List'!$P$4:$P$252,0),0)</f>
        <v>0</v>
      </c>
      <c r="S2041" s="169">
        <f t="shared" si="128"/>
        <v>0</v>
      </c>
      <c r="V2041" s="169" t="str">
        <f t="shared" si="126"/>
        <v>QUIJANO 1</v>
      </c>
      <c r="W2041" s="169" t="s">
        <v>2714</v>
      </c>
    </row>
    <row r="2042" spans="2:23" x14ac:dyDescent="0.25">
      <c r="B2042" s="169" t="s">
        <v>258</v>
      </c>
      <c r="C2042" s="169" t="s">
        <v>56</v>
      </c>
      <c r="D2042" s="169" t="s">
        <v>5742</v>
      </c>
      <c r="E2042" s="169" t="s">
        <v>60</v>
      </c>
      <c r="F2042" s="245" t="str">
        <f t="shared" si="127"/>
        <v>Dhoz 71</v>
      </c>
      <c r="G2042" s="169" t="s">
        <v>6927</v>
      </c>
      <c r="I2042" s="169" t="str">
        <f t="shared" si="129"/>
        <v>L10_GHVFW_040E_DE</v>
      </c>
      <c r="J2042" s="169" t="s">
        <v>10138</v>
      </c>
      <c r="K2042" s="169">
        <f>IFERROR(MATCH(J2042,'Final List'!$B$4:$B$252,0),0)</f>
        <v>0</v>
      </c>
      <c r="L2042" s="169">
        <f>IFERROR(MATCH(J2042,'Final List'!$D$4:$D$252,0),0)</f>
        <v>0</v>
      </c>
      <c r="M2042" s="169">
        <f>IFERROR(MATCH(J2042,'Final List'!$F$4:$F$251,0),0)</f>
        <v>0</v>
      </c>
      <c r="N2042" s="169">
        <f>IFERROR(MATCH(J2042,'Final List'!$H$4:$H$252,0),0)</f>
        <v>0</v>
      </c>
      <c r="O2042" s="169">
        <f>IFERROR(MATCH(J2042,'Final List'!$J$4:$J$252,0),0)</f>
        <v>0</v>
      </c>
      <c r="P2042" s="169">
        <f>IFERROR(MATCH(J2042,'Final List'!$L$4:$L$252,0),0)</f>
        <v>0</v>
      </c>
      <c r="Q2042" s="169">
        <f>IFERROR(MATCH(J2042,'Final List'!$N$4:$N$252,0),0)</f>
        <v>0</v>
      </c>
      <c r="R2042" s="169">
        <f>IFERROR(MATCH(J2042,'Final List'!$P$4:$P$252,0),0)</f>
        <v>0</v>
      </c>
      <c r="S2042" s="169">
        <f t="shared" si="128"/>
        <v>0</v>
      </c>
      <c r="V2042" s="169" t="str">
        <f t="shared" si="126"/>
        <v>DUHIG, R2</v>
      </c>
      <c r="W2042" s="169" t="s">
        <v>8896</v>
      </c>
    </row>
    <row r="2043" spans="2:23" x14ac:dyDescent="0.25">
      <c r="B2043" s="169" t="s">
        <v>258</v>
      </c>
      <c r="C2043" s="169" t="s">
        <v>45</v>
      </c>
      <c r="D2043" s="169" t="s">
        <v>9971</v>
      </c>
      <c r="E2043" s="169" t="s">
        <v>61</v>
      </c>
      <c r="F2043" s="245" t="str">
        <f t="shared" si="127"/>
        <v>Dhoz 71</v>
      </c>
      <c r="G2043" s="169" t="s">
        <v>451</v>
      </c>
      <c r="I2043" s="169" t="str">
        <f t="shared" si="129"/>
        <v>L10_DPVE_096E_DW</v>
      </c>
      <c r="J2043" s="169" t="s">
        <v>9970</v>
      </c>
      <c r="K2043" s="169">
        <f>IFERROR(MATCH(J2043,'Final List'!$B$4:$B$252,0),0)</f>
        <v>0</v>
      </c>
      <c r="L2043" s="169">
        <f>IFERROR(MATCH(J2043,'Final List'!$D$4:$D$252,0),0)</f>
        <v>0</v>
      </c>
      <c r="M2043" s="169">
        <f>IFERROR(MATCH(J2043,'Final List'!$F$4:$F$251,0),0)</f>
        <v>0</v>
      </c>
      <c r="N2043" s="169">
        <f>IFERROR(MATCH(J2043,'Final List'!$H$4:$H$252,0),0)</f>
        <v>0</v>
      </c>
      <c r="O2043" s="169">
        <f>IFERROR(MATCH(J2043,'Final List'!$J$4:$J$252,0),0)</f>
        <v>0</v>
      </c>
      <c r="P2043" s="169">
        <f>IFERROR(MATCH(J2043,'Final List'!$L$4:$L$252,0),0)</f>
        <v>0</v>
      </c>
      <c r="Q2043" s="169">
        <f>IFERROR(MATCH(J2043,'Final List'!$N$4:$N$252,0),0)</f>
        <v>0</v>
      </c>
      <c r="R2043" s="169">
        <f>IFERROR(MATCH(J2043,'Final List'!$P$4:$P$252,0),0)</f>
        <v>0</v>
      </c>
      <c r="S2043" s="169">
        <f t="shared" si="128"/>
        <v>0</v>
      </c>
      <c r="V2043" s="169" t="str">
        <f t="shared" si="126"/>
        <v>BELICAN 2</v>
      </c>
      <c r="W2043" s="169" t="s">
        <v>8896</v>
      </c>
    </row>
    <row r="2044" spans="2:23" x14ac:dyDescent="0.25">
      <c r="B2044" s="169" t="s">
        <v>1166</v>
      </c>
      <c r="C2044" s="169" t="s">
        <v>55</v>
      </c>
      <c r="D2044" s="169" t="s">
        <v>169</v>
      </c>
      <c r="E2044" s="169" t="s">
        <v>211</v>
      </c>
      <c r="F2044" s="245" t="str">
        <f t="shared" si="127"/>
        <v>StpS 77</v>
      </c>
      <c r="G2044" s="169" t="s">
        <v>5683</v>
      </c>
      <c r="I2044" s="169" t="str">
        <f t="shared" si="129"/>
        <v>L11_JVFW_065E_STOPE PREP</v>
      </c>
      <c r="J2044" s="169" t="s">
        <v>9976</v>
      </c>
      <c r="K2044" s="169">
        <f>IFERROR(MATCH(J2044,'Final List'!$B$4:$B$252,0),0)</f>
        <v>0</v>
      </c>
      <c r="L2044" s="169">
        <f>IFERROR(MATCH(J2044,'Final List'!$D$4:$D$252,0),0)</f>
        <v>0</v>
      </c>
      <c r="M2044" s="169">
        <f>IFERROR(MATCH(J2044,'Final List'!$F$4:$F$251,0),0)</f>
        <v>0</v>
      </c>
      <c r="N2044" s="169">
        <f>IFERROR(MATCH(J2044,'Final List'!$H$4:$H$252,0),0)</f>
        <v>0</v>
      </c>
      <c r="O2044" s="169">
        <f>IFERROR(MATCH(J2044,'Final List'!$J$4:$J$252,0),0)</f>
        <v>0</v>
      </c>
      <c r="P2044" s="169">
        <f>IFERROR(MATCH(J2044,'Final List'!$L$4:$L$252,0),0)</f>
        <v>0</v>
      </c>
      <c r="Q2044" s="169">
        <f>IFERROR(MATCH(J2044,'Final List'!$N$4:$N$252,0),0)</f>
        <v>0</v>
      </c>
      <c r="R2044" s="169">
        <f>IFERROR(MATCH(J2044,'Final List'!$P$4:$P$252,0),0)</f>
        <v>0</v>
      </c>
      <c r="S2044" s="169">
        <f t="shared" si="128"/>
        <v>0</v>
      </c>
      <c r="T2044" s="169" t="s">
        <v>68</v>
      </c>
      <c r="V2044" s="169" t="str">
        <f t="shared" si="126"/>
        <v>SHEPHERD AL</v>
      </c>
      <c r="W2044" s="169" t="s">
        <v>2712</v>
      </c>
    </row>
    <row r="2045" spans="2:23" x14ac:dyDescent="0.25">
      <c r="B2045" s="169" t="s">
        <v>1166</v>
      </c>
      <c r="C2045" s="169" t="s">
        <v>55</v>
      </c>
      <c r="D2045" s="169" t="s">
        <v>179</v>
      </c>
      <c r="E2045" s="169" t="s">
        <v>19</v>
      </c>
      <c r="F2045" s="245" t="str">
        <f t="shared" si="127"/>
        <v>DVR 72</v>
      </c>
      <c r="G2045" s="169" t="s">
        <v>742</v>
      </c>
      <c r="I2045" s="169" t="str">
        <f t="shared" si="129"/>
        <v>L11_JVFW_050E_RAISE</v>
      </c>
      <c r="J2045" s="169" t="s">
        <v>9977</v>
      </c>
      <c r="K2045" s="169">
        <f>IFERROR(MATCH(J2045,'Final List'!$B$4:$B$252,0),0)</f>
        <v>0</v>
      </c>
      <c r="L2045" s="169">
        <f>IFERROR(MATCH(J2045,'Final List'!$D$4:$D$252,0),0)</f>
        <v>0</v>
      </c>
      <c r="M2045" s="169">
        <f>IFERROR(MATCH(J2045,'Final List'!$F$4:$F$251,0),0)</f>
        <v>0</v>
      </c>
      <c r="N2045" s="169">
        <f>IFERROR(MATCH(J2045,'Final List'!$H$4:$H$252,0),0)</f>
        <v>0</v>
      </c>
      <c r="O2045" s="169">
        <f>IFERROR(MATCH(J2045,'Final List'!$J$4:$J$252,0),0)</f>
        <v>0</v>
      </c>
      <c r="P2045" s="169">
        <f>IFERROR(MATCH(J2045,'Final List'!$L$4:$L$252,0),0)</f>
        <v>0</v>
      </c>
      <c r="Q2045" s="169">
        <f>IFERROR(MATCH(J2045,'Final List'!$N$4:$N$252,0),0)</f>
        <v>0</v>
      </c>
      <c r="R2045" s="169">
        <f>IFERROR(MATCH(J2045,'Final List'!$P$4:$P$252,0),0)</f>
        <v>0</v>
      </c>
      <c r="S2045" s="169">
        <f t="shared" si="128"/>
        <v>0</v>
      </c>
      <c r="V2045" s="169" t="str">
        <f t="shared" si="126"/>
        <v>REBOTE 2</v>
      </c>
      <c r="W2045" s="169" t="s">
        <v>2715</v>
      </c>
    </row>
    <row r="2046" spans="2:23" x14ac:dyDescent="0.25">
      <c r="B2046" s="169" t="s">
        <v>258</v>
      </c>
      <c r="C2046" s="169" t="s">
        <v>45</v>
      </c>
      <c r="D2046" s="169" t="s">
        <v>7915</v>
      </c>
      <c r="E2046" s="169" t="s">
        <v>19</v>
      </c>
      <c r="F2046" s="245" t="str">
        <f t="shared" si="127"/>
        <v>DVR 72</v>
      </c>
      <c r="G2046" s="169" t="s">
        <v>319</v>
      </c>
      <c r="I2046" s="169" t="str">
        <f t="shared" si="129"/>
        <v>L10_DPVE_083E_RAISE</v>
      </c>
      <c r="J2046" s="169" t="s">
        <v>9978</v>
      </c>
      <c r="K2046" s="169">
        <f>IFERROR(MATCH(J2046,'Final List'!$B$4:$B$252,0),0)</f>
        <v>0</v>
      </c>
      <c r="L2046" s="169">
        <f>IFERROR(MATCH(J2046,'Final List'!$D$4:$D$252,0),0)</f>
        <v>0</v>
      </c>
      <c r="M2046" s="169">
        <f>IFERROR(MATCH(J2046,'Final List'!$F$4:$F$251,0),0)</f>
        <v>0</v>
      </c>
      <c r="N2046" s="169">
        <f>IFERROR(MATCH(J2046,'Final List'!$H$4:$H$252,0),0)</f>
        <v>0</v>
      </c>
      <c r="O2046" s="169">
        <f>IFERROR(MATCH(J2046,'Final List'!$J$4:$J$252,0),0)</f>
        <v>0</v>
      </c>
      <c r="P2046" s="169">
        <f>IFERROR(MATCH(J2046,'Final List'!$L$4:$L$252,0),0)</f>
        <v>0</v>
      </c>
      <c r="Q2046" s="169">
        <f>IFERROR(MATCH(J2046,'Final List'!$N$4:$N$252,0),0)</f>
        <v>0</v>
      </c>
      <c r="R2046" s="169">
        <f>IFERROR(MATCH(J2046,'Final List'!$P$4:$P$252,0),0)</f>
        <v>0</v>
      </c>
      <c r="S2046" s="169">
        <f t="shared" si="128"/>
        <v>0</v>
      </c>
      <c r="V2046" s="169" t="str">
        <f t="shared" si="126"/>
        <v>PARAGUYA 4</v>
      </c>
      <c r="W2046" s="169" t="s">
        <v>2715</v>
      </c>
    </row>
    <row r="2047" spans="2:23" x14ac:dyDescent="0.25">
      <c r="B2047" s="169" t="s">
        <v>258</v>
      </c>
      <c r="C2047" s="169" t="s">
        <v>45</v>
      </c>
      <c r="D2047" s="169" t="s">
        <v>9827</v>
      </c>
      <c r="E2047" s="169" t="s">
        <v>61</v>
      </c>
      <c r="F2047" s="245" t="str">
        <f t="shared" si="127"/>
        <v>Dhoz 71</v>
      </c>
      <c r="G2047" s="169" t="s">
        <v>488</v>
      </c>
      <c r="H2047" s="169" t="s">
        <v>9884</v>
      </c>
      <c r="I2047" s="169" t="str">
        <f t="shared" si="129"/>
        <v>L10_DPVE_088E_DW</v>
      </c>
      <c r="J2047" s="169" t="s">
        <v>10507</v>
      </c>
      <c r="K2047" s="169">
        <f>IFERROR(MATCH(J2047,'Final List'!$B$4:$B$252,0),0)</f>
        <v>0</v>
      </c>
      <c r="L2047" s="169">
        <f>IFERROR(MATCH(J2047,'Final List'!$D$4:$D$252,0),0)</f>
        <v>0</v>
      </c>
      <c r="M2047" s="169">
        <f>IFERROR(MATCH(J2047,'Final List'!$F$4:$F$251,0),0)</f>
        <v>0</v>
      </c>
      <c r="N2047" s="169">
        <f>IFERROR(MATCH(J2047,'Final List'!$H$4:$H$252,0),0)</f>
        <v>0</v>
      </c>
      <c r="O2047" s="169">
        <f>IFERROR(MATCH(J2047,'Final List'!$J$4:$J$252,0),0)</f>
        <v>0</v>
      </c>
      <c r="P2047" s="169">
        <f>IFERROR(MATCH(J2047,'Final List'!$L$4:$L$252,0),0)</f>
        <v>0</v>
      </c>
      <c r="Q2047" s="169">
        <f>IFERROR(MATCH(J2047,'Final List'!$N$4:$N$252,0),0)</f>
        <v>0</v>
      </c>
      <c r="R2047" s="169">
        <f>IFERROR(MATCH(J2047,'Final List'!$P$4:$P$252,0),0)</f>
        <v>0</v>
      </c>
      <c r="S2047" s="169">
        <f t="shared" si="128"/>
        <v>0</v>
      </c>
      <c r="V2047" s="169" t="str">
        <f t="shared" si="126"/>
        <v>APA 1</v>
      </c>
      <c r="W2047" s="169" t="s">
        <v>8896</v>
      </c>
    </row>
    <row r="2048" spans="2:23" x14ac:dyDescent="0.25">
      <c r="B2048" s="169" t="s">
        <v>258</v>
      </c>
      <c r="C2048" s="169" t="s">
        <v>38</v>
      </c>
      <c r="D2048" s="169" t="s">
        <v>5602</v>
      </c>
      <c r="E2048" s="169" t="s">
        <v>36</v>
      </c>
      <c r="F2048" s="245" t="str">
        <f t="shared" si="127"/>
        <v>StpS 77</v>
      </c>
      <c r="G2048" s="169" t="s">
        <v>318</v>
      </c>
      <c r="I2048" s="169" t="str">
        <f t="shared" si="129"/>
        <v>L10_GHV_053E_STOPE</v>
      </c>
      <c r="J2048" s="169" t="s">
        <v>9981</v>
      </c>
      <c r="K2048" s="169">
        <f>IFERROR(MATCH(J2048,'Final List'!$B$4:$B$252,0),0)</f>
        <v>0</v>
      </c>
      <c r="L2048" s="169">
        <f>IFERROR(MATCH(J2048,'Final List'!$D$4:$D$252,0),0)</f>
        <v>0</v>
      </c>
      <c r="M2048" s="169">
        <f>IFERROR(MATCH(J2048,'Final List'!$F$4:$F$251,0),0)</f>
        <v>0</v>
      </c>
      <c r="N2048" s="169">
        <f>IFERROR(MATCH(J2048,'Final List'!$H$4:$H$252,0),0)</f>
        <v>0</v>
      </c>
      <c r="O2048" s="169">
        <f>IFERROR(MATCH(J2048,'Final List'!$J$4:$J$252,0),0)</f>
        <v>0</v>
      </c>
      <c r="P2048" s="169">
        <f>IFERROR(MATCH(J2048,'Final List'!$L$4:$L$252,0),0)</f>
        <v>0</v>
      </c>
      <c r="Q2048" s="169">
        <f>IFERROR(MATCH(J2048,'Final List'!$N$4:$N$252,0),0)</f>
        <v>0</v>
      </c>
      <c r="R2048" s="169">
        <f>IFERROR(MATCH(J2048,'Final List'!$P$4:$P$252,0),0)</f>
        <v>0</v>
      </c>
      <c r="S2048" s="169">
        <f t="shared" si="128"/>
        <v>0</v>
      </c>
      <c r="T2048" s="169" t="s">
        <v>68</v>
      </c>
      <c r="V2048" s="169" t="str">
        <f t="shared" si="126"/>
        <v>PARAGUYA 3</v>
      </c>
      <c r="W2048" s="169" t="s">
        <v>2713</v>
      </c>
    </row>
    <row r="2049" spans="2:23" x14ac:dyDescent="0.25">
      <c r="B2049" s="169" t="s">
        <v>258</v>
      </c>
      <c r="C2049" s="169" t="s">
        <v>59</v>
      </c>
      <c r="D2049" s="169" t="s">
        <v>164</v>
      </c>
      <c r="E2049" s="169" t="s">
        <v>20</v>
      </c>
      <c r="F2049" s="245" t="str">
        <f t="shared" si="127"/>
        <v>DVW 74</v>
      </c>
      <c r="G2049" s="169" t="s">
        <v>7513</v>
      </c>
      <c r="I2049" s="169" t="str">
        <f t="shared" si="129"/>
        <v>L10_GHVHW_064E_WINZE</v>
      </c>
      <c r="J2049" s="169" t="s">
        <v>10191</v>
      </c>
      <c r="K2049" s="169">
        <f>IFERROR(MATCH(J2049,'Final List'!$B$4:$B$252,0),0)</f>
        <v>0</v>
      </c>
      <c r="L2049" s="169">
        <f>IFERROR(MATCH(J2049,'Final List'!$D$4:$D$252,0),0)</f>
        <v>0</v>
      </c>
      <c r="M2049" s="169">
        <f>IFERROR(MATCH(J2049,'Final List'!$F$4:$F$251,0),0)</f>
        <v>0</v>
      </c>
      <c r="N2049" s="169">
        <f>IFERROR(MATCH(J2049,'Final List'!$H$4:$H$252,0),0)</f>
        <v>0</v>
      </c>
      <c r="O2049" s="169">
        <f>IFERROR(MATCH(J2049,'Final List'!$J$4:$J$252,0),0)</f>
        <v>0</v>
      </c>
      <c r="P2049" s="169">
        <f>IFERROR(MATCH(J2049,'Final List'!$L$4:$L$252,0),0)</f>
        <v>0</v>
      </c>
      <c r="Q2049" s="169">
        <f>IFERROR(MATCH(J2049,'Final List'!$N$4:$N$252,0),0)</f>
        <v>0</v>
      </c>
      <c r="R2049" s="169">
        <f>IFERROR(MATCH(J2049,'Final List'!$P$4:$P$252,0),0)</f>
        <v>0</v>
      </c>
      <c r="S2049" s="169">
        <f t="shared" si="128"/>
        <v>0</v>
      </c>
      <c r="V2049" s="169" t="str">
        <f t="shared" si="126"/>
        <v>DUHIG R1</v>
      </c>
      <c r="W2049" s="169" t="s">
        <v>2706</v>
      </c>
    </row>
    <row r="2050" spans="2:23" x14ac:dyDescent="0.25">
      <c r="B2050" s="169" t="s">
        <v>8904</v>
      </c>
      <c r="C2050" s="169" t="s">
        <v>57</v>
      </c>
      <c r="D2050" s="169" t="s">
        <v>97</v>
      </c>
      <c r="E2050" s="169" t="s">
        <v>61</v>
      </c>
      <c r="F2050" s="245" t="str">
        <f t="shared" si="127"/>
        <v>Dhoz 71</v>
      </c>
      <c r="G2050" s="169" t="s">
        <v>9349</v>
      </c>
      <c r="I2050" s="169" t="str">
        <f t="shared" si="129"/>
        <v>L03_JVSPLIT_012W_DW</v>
      </c>
      <c r="J2050" s="169" t="s">
        <v>9989</v>
      </c>
      <c r="K2050" s="169">
        <f>IFERROR(MATCH(J2050,'Final List'!$B$4:$B$252,0),0)</f>
        <v>0</v>
      </c>
      <c r="L2050" s="169">
        <f>IFERROR(MATCH(J2050,'Final List'!$D$4:$D$252,0),0)</f>
        <v>0</v>
      </c>
      <c r="M2050" s="169">
        <f>IFERROR(MATCH(J2050,'Final List'!$F$4:$F$251,0),0)</f>
        <v>0</v>
      </c>
      <c r="N2050" s="169">
        <f>IFERROR(MATCH(J2050,'Final List'!$H$4:$H$252,0),0)</f>
        <v>0</v>
      </c>
      <c r="O2050" s="169">
        <f>IFERROR(MATCH(J2050,'Final List'!$J$4:$J$252,0),0)</f>
        <v>0</v>
      </c>
      <c r="P2050" s="169">
        <f>IFERROR(MATCH(J2050,'Final List'!$L$4:$L$252,0),0)</f>
        <v>0</v>
      </c>
      <c r="Q2050" s="169">
        <f>IFERROR(MATCH(J2050,'Final List'!$N$4:$N$252,0),0)</f>
        <v>0</v>
      </c>
      <c r="R2050" s="169">
        <f>IFERROR(MATCH(J2050,'Final List'!$P$4:$P$252,0),0)</f>
        <v>0</v>
      </c>
      <c r="S2050" s="169">
        <f t="shared" si="128"/>
        <v>0</v>
      </c>
      <c r="V2050" s="169" t="str">
        <f t="shared" ref="V2050:V2113" si="130">IF(H2050="",G2050,H2050)</f>
        <v>FERNANDEZ, RM 3</v>
      </c>
      <c r="W2050" s="169" t="s">
        <v>8895</v>
      </c>
    </row>
    <row r="2051" spans="2:23" x14ac:dyDescent="0.25">
      <c r="B2051" s="169" t="s">
        <v>91</v>
      </c>
      <c r="C2051" s="169" t="s">
        <v>41</v>
      </c>
      <c r="D2051" s="169" t="s">
        <v>101</v>
      </c>
      <c r="E2051" s="169" t="s">
        <v>19</v>
      </c>
      <c r="F2051" s="245" t="str">
        <f t="shared" ref="F2051:F2114" si="131">IF(OR(E2051="XCN",E2051="DE",E2051="DW",E2051="DN",E2051="XCS",E2051="XCE",E2051="XCW",E2051="SUMP",E2051="BYPASS",E2051="CHAMBER",E2051="DRAIN HOLE",E2051="DRILLING CHAMBER",E2051="DE_ISL",E2051="DW_ISL",E2051="REHAB"),"Dhoz 71",IF(OR(E2051="RAISE",E2051="RAISE_ISL"),"DVR 72",IF(E2051="ALIMAK","DVA 73",IF(E2051="WINZE","DVW 74",IF(E2051="SHAFT","DVS 75",IF(AND(E2051="WINZE STOPE",T2051="S"),"RobC 80",IF(AND(E2051="STOPE",T2051="S"),"StpS 77",IF(AND(E2051="WINZE STOPE",T2051="L"),"RobC 80",IF(AND(E2051="STOPE",T2051="L"),"StpL 78",IF(AND(E2051="WINZE STOPE PREP",T2051="S"),"RobC 80",IF(AND(E2051="STOPE PREP",T2051="S"),"StpS 77",IF(AND(E2051="WINZE STOPE PREP",T2051="L"),"RobC 80",IF(AND(E2051="STOPE PREP",T2051="L"),"StpL 78",IF(AND(E2051="ROBBING",T2051="L"),"RobC 80",IF(AND(E2051="ROBBING",T2051="S"),"RobS 79",0)))))))))))))))</f>
        <v>DVR 72</v>
      </c>
      <c r="G2051" s="169" t="s">
        <v>9886</v>
      </c>
      <c r="I2051" s="169" t="str">
        <f t="shared" si="129"/>
        <v>L04_CTV_023W_RAISE</v>
      </c>
      <c r="J2051" s="169" t="s">
        <v>9990</v>
      </c>
      <c r="K2051" s="169">
        <f>IFERROR(MATCH(J2051,'Final List'!$B$4:$B$252,0),0)</f>
        <v>0</v>
      </c>
      <c r="L2051" s="169">
        <f>IFERROR(MATCH(J2051,'Final List'!$D$4:$D$252,0),0)</f>
        <v>0</v>
      </c>
      <c r="M2051" s="169">
        <f>IFERROR(MATCH(J2051,'Final List'!$F$4:$F$251,0),0)</f>
        <v>0</v>
      </c>
      <c r="N2051" s="169">
        <f>IFERROR(MATCH(J2051,'Final List'!$H$4:$H$252,0),0)</f>
        <v>0</v>
      </c>
      <c r="O2051" s="169">
        <f>IFERROR(MATCH(J2051,'Final List'!$J$4:$J$252,0),0)</f>
        <v>0</v>
      </c>
      <c r="P2051" s="169">
        <f>IFERROR(MATCH(J2051,'Final List'!$L$4:$L$252,0),0)</f>
        <v>0</v>
      </c>
      <c r="Q2051" s="169">
        <f>IFERROR(MATCH(J2051,'Final List'!$N$4:$N$252,0),0)</f>
        <v>0</v>
      </c>
      <c r="R2051" s="169">
        <f>IFERROR(MATCH(J2051,'Final List'!$P$4:$P$252,0),0)</f>
        <v>0</v>
      </c>
      <c r="S2051" s="169">
        <f t="shared" ref="S2051:S2114" si="132">SUM(K2051:R2051)</f>
        <v>0</v>
      </c>
      <c r="V2051" s="169" t="str">
        <f t="shared" si="130"/>
        <v>CAYMAN 1</v>
      </c>
      <c r="W2051" s="169" t="s">
        <v>2715</v>
      </c>
    </row>
    <row r="2052" spans="2:23" x14ac:dyDescent="0.25">
      <c r="B2052" s="169" t="s">
        <v>92</v>
      </c>
      <c r="C2052" s="169" t="s">
        <v>45</v>
      </c>
      <c r="D2052" s="169" t="s">
        <v>173</v>
      </c>
      <c r="E2052" s="169" t="s">
        <v>60</v>
      </c>
      <c r="F2052" s="245" t="str">
        <f t="shared" si="131"/>
        <v>Dhoz 71</v>
      </c>
      <c r="G2052" s="169" t="s">
        <v>538</v>
      </c>
      <c r="I2052" s="169" t="str">
        <f t="shared" si="129"/>
        <v>L05_DPVE_049E_DE</v>
      </c>
      <c r="J2052" s="169" t="s">
        <v>9995</v>
      </c>
      <c r="K2052" s="169">
        <f>IFERROR(MATCH(J2052,'Final List'!$B$4:$B$252,0),0)</f>
        <v>0</v>
      </c>
      <c r="L2052" s="169">
        <f>IFERROR(MATCH(J2052,'Final List'!$D$4:$D$252,0),0)</f>
        <v>0</v>
      </c>
      <c r="M2052" s="169">
        <f>IFERROR(MATCH(J2052,'Final List'!$F$4:$F$251,0),0)</f>
        <v>0</v>
      </c>
      <c r="N2052" s="169">
        <f>IFERROR(MATCH(J2052,'Final List'!$H$4:$H$252,0),0)</f>
        <v>0</v>
      </c>
      <c r="O2052" s="169">
        <f>IFERROR(MATCH(J2052,'Final List'!$J$4:$J$252,0),0)</f>
        <v>0</v>
      </c>
      <c r="P2052" s="169">
        <f>IFERROR(MATCH(J2052,'Final List'!$L$4:$L$252,0),0)</f>
        <v>0</v>
      </c>
      <c r="Q2052" s="169">
        <f>IFERROR(MATCH(J2052,'Final List'!$N$4:$N$252,0),0)</f>
        <v>0</v>
      </c>
      <c r="R2052" s="169">
        <f>IFERROR(MATCH(J2052,'Final List'!$P$4:$P$252,0),0)</f>
        <v>0</v>
      </c>
      <c r="S2052" s="169">
        <f t="shared" si="132"/>
        <v>0</v>
      </c>
      <c r="V2052" s="169" t="str">
        <f t="shared" si="130"/>
        <v>PANCIT, NOEL 4</v>
      </c>
      <c r="W2052" s="169" t="s">
        <v>8895</v>
      </c>
    </row>
    <row r="2053" spans="2:23" x14ac:dyDescent="0.25">
      <c r="B2053" s="169" t="s">
        <v>96</v>
      </c>
      <c r="C2053" s="169" t="s">
        <v>45</v>
      </c>
      <c r="D2053" s="169" t="s">
        <v>147</v>
      </c>
      <c r="E2053" s="169" t="s">
        <v>62</v>
      </c>
      <c r="F2053" s="245" t="str">
        <f t="shared" si="131"/>
        <v>RobS 79</v>
      </c>
      <c r="G2053" s="169" t="s">
        <v>362</v>
      </c>
      <c r="I2053" s="169" t="str">
        <f t="shared" si="129"/>
        <v>L09_DPVE_024E_ROBBING</v>
      </c>
      <c r="J2053" s="169" t="s">
        <v>9999</v>
      </c>
      <c r="K2053" s="169">
        <f>IFERROR(MATCH(J2053,'Final List'!$B$4:$B$252,0),0)</f>
        <v>0</v>
      </c>
      <c r="L2053" s="169">
        <f>IFERROR(MATCH(J2053,'Final List'!$D$4:$D$252,0),0)</f>
        <v>0</v>
      </c>
      <c r="M2053" s="169">
        <f>IFERROR(MATCH(J2053,'Final List'!$F$4:$F$251,0),0)</f>
        <v>0</v>
      </c>
      <c r="N2053" s="169">
        <f>IFERROR(MATCH(J2053,'Final List'!$H$4:$H$252,0),0)</f>
        <v>0</v>
      </c>
      <c r="O2053" s="169">
        <f>IFERROR(MATCH(J2053,'Final List'!$J$4:$J$252,0),0)</f>
        <v>0</v>
      </c>
      <c r="P2053" s="169">
        <f>IFERROR(MATCH(J2053,'Final List'!$L$4:$L$252,0),0)</f>
        <v>0</v>
      </c>
      <c r="Q2053" s="169">
        <f>IFERROR(MATCH(J2053,'Final List'!$N$4:$N$252,0),0)</f>
        <v>0</v>
      </c>
      <c r="R2053" s="169">
        <f>IFERROR(MATCH(J2053,'Final List'!$P$4:$P$252,0),0)</f>
        <v>0</v>
      </c>
      <c r="S2053" s="169">
        <f t="shared" si="132"/>
        <v>0</v>
      </c>
      <c r="T2053" s="169" t="s">
        <v>68</v>
      </c>
      <c r="V2053" s="169" t="str">
        <f t="shared" si="130"/>
        <v>BABOR 1</v>
      </c>
      <c r="W2053" s="169" t="s">
        <v>2707</v>
      </c>
    </row>
    <row r="2054" spans="2:23" x14ac:dyDescent="0.25">
      <c r="B2054" s="169" t="s">
        <v>91</v>
      </c>
      <c r="C2054" s="169" t="s">
        <v>56</v>
      </c>
      <c r="D2054" s="169" t="s">
        <v>103</v>
      </c>
      <c r="E2054" s="169" t="s">
        <v>62</v>
      </c>
      <c r="F2054" s="245" t="str">
        <f t="shared" si="131"/>
        <v>RobS 79</v>
      </c>
      <c r="G2054" s="169" t="s">
        <v>9885</v>
      </c>
      <c r="I2054" s="169" t="str">
        <f t="shared" si="129"/>
        <v>L04_GHVFW_005E_ROBBING</v>
      </c>
      <c r="J2054" s="169" t="s">
        <v>10000</v>
      </c>
      <c r="K2054" s="169">
        <f>IFERROR(MATCH(J2054,'Final List'!$B$4:$B$252,0),0)</f>
        <v>0</v>
      </c>
      <c r="L2054" s="169">
        <f>IFERROR(MATCH(J2054,'Final List'!$D$4:$D$252,0),0)</f>
        <v>0</v>
      </c>
      <c r="M2054" s="169">
        <f>IFERROR(MATCH(J2054,'Final List'!$F$4:$F$251,0),0)</f>
        <v>0</v>
      </c>
      <c r="N2054" s="169">
        <f>IFERROR(MATCH(J2054,'Final List'!$H$4:$H$252,0),0)</f>
        <v>0</v>
      </c>
      <c r="O2054" s="169">
        <f>IFERROR(MATCH(J2054,'Final List'!$J$4:$J$252,0),0)</f>
        <v>0</v>
      </c>
      <c r="P2054" s="169">
        <f>IFERROR(MATCH(J2054,'Final List'!$L$4:$L$252,0),0)</f>
        <v>0</v>
      </c>
      <c r="Q2054" s="169">
        <f>IFERROR(MATCH(J2054,'Final List'!$N$4:$N$252,0),0)</f>
        <v>0</v>
      </c>
      <c r="R2054" s="169">
        <f>IFERROR(MATCH(J2054,'Final List'!$P$4:$P$252,0),0)</f>
        <v>0</v>
      </c>
      <c r="S2054" s="169">
        <f t="shared" si="132"/>
        <v>0</v>
      </c>
      <c r="T2054" s="169" t="s">
        <v>68</v>
      </c>
      <c r="V2054" s="169" t="str">
        <f t="shared" si="130"/>
        <v>CAYMAN 2</v>
      </c>
      <c r="W2054" s="169" t="s">
        <v>2707</v>
      </c>
    </row>
    <row r="2055" spans="2:23" x14ac:dyDescent="0.25">
      <c r="B2055" s="169" t="s">
        <v>91</v>
      </c>
      <c r="C2055" s="169" t="s">
        <v>41</v>
      </c>
      <c r="D2055" s="169" t="s">
        <v>101</v>
      </c>
      <c r="E2055" s="169" t="s">
        <v>221</v>
      </c>
      <c r="F2055" s="245" t="s">
        <v>15343</v>
      </c>
      <c r="G2055" s="169" t="s">
        <v>10002</v>
      </c>
      <c r="I2055" s="169" t="str">
        <f t="shared" si="129"/>
        <v>L04_CTV_023W_WINZE STOPE</v>
      </c>
      <c r="J2055" s="169" t="s">
        <v>10145</v>
      </c>
      <c r="K2055" s="169">
        <f>IFERROR(MATCH(J2055,'Final List'!$B$4:$B$252,0),0)</f>
        <v>0</v>
      </c>
      <c r="L2055" s="169">
        <f>IFERROR(MATCH(J2055,'Final List'!$D$4:$D$252,0),0)</f>
        <v>0</v>
      </c>
      <c r="M2055" s="169">
        <f>IFERROR(MATCH(J2055,'Final List'!$F$4:$F$251,0),0)</f>
        <v>0</v>
      </c>
      <c r="N2055" s="169">
        <f>IFERROR(MATCH(J2055,'Final List'!$H$4:$H$252,0),0)</f>
        <v>0</v>
      </c>
      <c r="O2055" s="169">
        <f>IFERROR(MATCH(J2055,'Final List'!$J$4:$J$252,0),0)</f>
        <v>0</v>
      </c>
      <c r="P2055" s="169">
        <f>IFERROR(MATCH(J2055,'Final List'!$L$4:$L$252,0),0)</f>
        <v>0</v>
      </c>
      <c r="Q2055" s="169">
        <f>IFERROR(MATCH(J2055,'Final List'!$N$4:$N$252,0),0)</f>
        <v>0</v>
      </c>
      <c r="R2055" s="169">
        <f>IFERROR(MATCH(J2055,'Final List'!$P$4:$P$252,0),0)</f>
        <v>0</v>
      </c>
      <c r="S2055" s="169">
        <f t="shared" si="132"/>
        <v>0</v>
      </c>
      <c r="V2055" s="169" t="str">
        <f t="shared" si="130"/>
        <v>CAYMAN 3</v>
      </c>
      <c r="W2055" s="169" t="s">
        <v>2713</v>
      </c>
    </row>
    <row r="2056" spans="2:23" x14ac:dyDescent="0.25">
      <c r="B2056" s="169" t="s">
        <v>92</v>
      </c>
      <c r="C2056" s="169" t="s">
        <v>57</v>
      </c>
      <c r="D2056" s="169" t="s">
        <v>7301</v>
      </c>
      <c r="E2056" s="169" t="s">
        <v>20</v>
      </c>
      <c r="F2056" s="245" t="str">
        <f t="shared" si="131"/>
        <v>DVW 74</v>
      </c>
      <c r="G2056" s="169" t="s">
        <v>10004</v>
      </c>
      <c r="I2056" s="169" t="str">
        <f t="shared" si="129"/>
        <v>L05_JVSPLIT_010W_WINZE</v>
      </c>
      <c r="J2056" s="169" t="s">
        <v>10003</v>
      </c>
      <c r="K2056" s="169">
        <f>IFERROR(MATCH(J2056,'Final List'!$B$4:$B$252,0),0)</f>
        <v>0</v>
      </c>
      <c r="L2056" s="169">
        <f>IFERROR(MATCH(J2056,'Final List'!$D$4:$D$252,0),0)</f>
        <v>0</v>
      </c>
      <c r="M2056" s="169">
        <f>IFERROR(MATCH(J2056,'Final List'!$F$4:$F$251,0),0)</f>
        <v>0</v>
      </c>
      <c r="N2056" s="169">
        <f>IFERROR(MATCH(J2056,'Final List'!$H$4:$H$252,0),0)</f>
        <v>0</v>
      </c>
      <c r="O2056" s="169">
        <f>IFERROR(MATCH(J2056,'Final List'!$J$4:$J$252,0),0)</f>
        <v>0</v>
      </c>
      <c r="P2056" s="169">
        <f>IFERROR(MATCH(J2056,'Final List'!$L$4:$L$252,0),0)</f>
        <v>0</v>
      </c>
      <c r="Q2056" s="169">
        <f>IFERROR(MATCH(J2056,'Final List'!$N$4:$N$252,0),0)</f>
        <v>0</v>
      </c>
      <c r="R2056" s="169">
        <f>IFERROR(MATCH(J2056,'Final List'!$P$4:$P$252,0),0)</f>
        <v>0</v>
      </c>
      <c r="S2056" s="169">
        <f t="shared" si="132"/>
        <v>0</v>
      </c>
      <c r="V2056" s="169" t="str">
        <f t="shared" si="130"/>
        <v xml:space="preserve"> OTERO 1</v>
      </c>
      <c r="W2056" s="169" t="s">
        <v>2706</v>
      </c>
    </row>
    <row r="2057" spans="2:23" x14ac:dyDescent="0.25">
      <c r="B2057" s="169" t="s">
        <v>94</v>
      </c>
      <c r="C2057" s="169" t="s">
        <v>42</v>
      </c>
      <c r="D2057" s="169" t="s">
        <v>169</v>
      </c>
      <c r="E2057" s="169" t="s">
        <v>62</v>
      </c>
      <c r="F2057" s="245" t="str">
        <f t="shared" si="131"/>
        <v>RobS 79</v>
      </c>
      <c r="G2057" s="169" t="s">
        <v>2971</v>
      </c>
      <c r="I2057" s="169" t="str">
        <f t="shared" si="129"/>
        <v>L07_JV_065E_ROBBING</v>
      </c>
      <c r="J2057" s="169" t="s">
        <v>10010</v>
      </c>
      <c r="K2057" s="169">
        <f>IFERROR(MATCH(J2057,'Final List'!$B$4:$B$252,0),0)</f>
        <v>0</v>
      </c>
      <c r="L2057" s="169">
        <f>IFERROR(MATCH(J2057,'Final List'!$D$4:$D$252,0),0)</f>
        <v>0</v>
      </c>
      <c r="M2057" s="169">
        <f>IFERROR(MATCH(J2057,'Final List'!$F$4:$F$251,0),0)</f>
        <v>0</v>
      </c>
      <c r="N2057" s="169">
        <f>IFERROR(MATCH(J2057,'Final List'!$H$4:$H$252,0),0)</f>
        <v>0</v>
      </c>
      <c r="O2057" s="169">
        <f>IFERROR(MATCH(J2057,'Final List'!$J$4:$J$252,0),0)</f>
        <v>0</v>
      </c>
      <c r="P2057" s="169">
        <f>IFERROR(MATCH(J2057,'Final List'!$L$4:$L$252,0),0)</f>
        <v>0</v>
      </c>
      <c r="Q2057" s="169">
        <f>IFERROR(MATCH(J2057,'Final List'!$N$4:$N$252,0),0)</f>
        <v>0</v>
      </c>
      <c r="R2057" s="169">
        <f>IFERROR(MATCH(J2057,'Final List'!$P$4:$P$252,0),0)</f>
        <v>0</v>
      </c>
      <c r="S2057" s="169">
        <f t="shared" si="132"/>
        <v>0</v>
      </c>
      <c r="T2057" s="169" t="s">
        <v>68</v>
      </c>
      <c r="V2057" s="169" t="str">
        <f t="shared" si="130"/>
        <v>FABROA 3</v>
      </c>
      <c r="W2057" s="169" t="s">
        <v>2707</v>
      </c>
    </row>
    <row r="2058" spans="2:23" x14ac:dyDescent="0.25">
      <c r="B2058" s="169" t="s">
        <v>95</v>
      </c>
      <c r="C2058" s="169" t="s">
        <v>45</v>
      </c>
      <c r="D2058" s="169" t="s">
        <v>205</v>
      </c>
      <c r="E2058" s="169" t="s">
        <v>62</v>
      </c>
      <c r="F2058" s="245" t="str">
        <f t="shared" si="131"/>
        <v>RobS 79</v>
      </c>
      <c r="G2058" s="169" t="s">
        <v>472</v>
      </c>
      <c r="I2058" s="169" t="str">
        <f t="shared" si="129"/>
        <v>L08_DPVE_066E_ROBBING</v>
      </c>
      <c r="J2058" s="169" t="s">
        <v>10011</v>
      </c>
      <c r="K2058" s="169">
        <f>IFERROR(MATCH(J2058,'Final List'!$B$4:$B$252,0),0)</f>
        <v>0</v>
      </c>
      <c r="L2058" s="169">
        <f>IFERROR(MATCH(J2058,'Final List'!$D$4:$D$252,0),0)</f>
        <v>0</v>
      </c>
      <c r="M2058" s="169">
        <f>IFERROR(MATCH(J2058,'Final List'!$F$4:$F$251,0),0)</f>
        <v>0</v>
      </c>
      <c r="N2058" s="169">
        <f>IFERROR(MATCH(J2058,'Final List'!$H$4:$H$252,0),0)</f>
        <v>0</v>
      </c>
      <c r="O2058" s="169">
        <f>IFERROR(MATCH(J2058,'Final List'!$J$4:$J$252,0),0)</f>
        <v>0</v>
      </c>
      <c r="P2058" s="169">
        <f>IFERROR(MATCH(J2058,'Final List'!$L$4:$L$252,0),0)</f>
        <v>0</v>
      </c>
      <c r="Q2058" s="169">
        <f>IFERROR(MATCH(J2058,'Final List'!$N$4:$N$252,0),0)</f>
        <v>0</v>
      </c>
      <c r="R2058" s="169">
        <f>IFERROR(MATCH(J2058,'Final List'!$P$4:$P$252,0),0)</f>
        <v>0</v>
      </c>
      <c r="S2058" s="169">
        <f t="shared" si="132"/>
        <v>0</v>
      </c>
      <c r="T2058" s="169" t="s">
        <v>68</v>
      </c>
      <c r="V2058" s="169" t="str">
        <f t="shared" si="130"/>
        <v>LERIO 3</v>
      </c>
      <c r="W2058" s="169" t="s">
        <v>2707</v>
      </c>
    </row>
    <row r="2059" spans="2:23" x14ac:dyDescent="0.25">
      <c r="B2059" s="169" t="s">
        <v>95</v>
      </c>
      <c r="C2059" s="169" t="s">
        <v>45</v>
      </c>
      <c r="D2059" s="169" t="s">
        <v>197</v>
      </c>
      <c r="E2059" s="169" t="s">
        <v>62</v>
      </c>
      <c r="F2059" s="245" t="str">
        <f t="shared" si="131"/>
        <v>RobC 80</v>
      </c>
      <c r="G2059" s="169" t="s">
        <v>305</v>
      </c>
      <c r="I2059" s="169" t="str">
        <f t="shared" si="129"/>
        <v>L08_DPVE_070E_ROBBING</v>
      </c>
      <c r="J2059" s="169" t="s">
        <v>10012</v>
      </c>
      <c r="K2059" s="169">
        <f>IFERROR(MATCH(J2059,'Final List'!$B$4:$B$252,0),0)</f>
        <v>0</v>
      </c>
      <c r="L2059" s="169">
        <f>IFERROR(MATCH(J2059,'Final List'!$D$4:$D$252,0),0)</f>
        <v>0</v>
      </c>
      <c r="M2059" s="169">
        <f>IFERROR(MATCH(J2059,'Final List'!$F$4:$F$251,0),0)</f>
        <v>0</v>
      </c>
      <c r="N2059" s="169">
        <f>IFERROR(MATCH(J2059,'Final List'!$H$4:$H$252,0),0)</f>
        <v>0</v>
      </c>
      <c r="O2059" s="169">
        <f>IFERROR(MATCH(J2059,'Final List'!$J$4:$J$252,0),0)</f>
        <v>0</v>
      </c>
      <c r="P2059" s="169">
        <f>IFERROR(MATCH(J2059,'Final List'!$L$4:$L$252,0),0)</f>
        <v>0</v>
      </c>
      <c r="Q2059" s="169">
        <f>IFERROR(MATCH(J2059,'Final List'!$N$4:$N$252,0),0)</f>
        <v>0</v>
      </c>
      <c r="R2059" s="169">
        <f>IFERROR(MATCH(J2059,'Final List'!$P$4:$P$252,0),0)</f>
        <v>0</v>
      </c>
      <c r="S2059" s="169">
        <f t="shared" si="132"/>
        <v>0</v>
      </c>
      <c r="T2059" s="169" t="s">
        <v>48</v>
      </c>
      <c r="V2059" s="169" t="str">
        <f t="shared" si="130"/>
        <v>CABONITA 1</v>
      </c>
      <c r="W2059" s="169" t="s">
        <v>236</v>
      </c>
    </row>
    <row r="2060" spans="2:23" x14ac:dyDescent="0.25">
      <c r="B2060" s="169" t="s">
        <v>96</v>
      </c>
      <c r="C2060" s="169" t="s">
        <v>45</v>
      </c>
      <c r="D2060" s="169" t="s">
        <v>5889</v>
      </c>
      <c r="E2060" s="169" t="s">
        <v>441</v>
      </c>
      <c r="F2060" s="245" t="str">
        <f t="shared" si="131"/>
        <v>RobC 80</v>
      </c>
      <c r="G2060" s="169" t="s">
        <v>2972</v>
      </c>
      <c r="I2060" s="169" t="str">
        <f t="shared" si="129"/>
        <v>L09_DPVE_077E_WINZE STOPE PREP</v>
      </c>
      <c r="J2060" s="169" t="s">
        <v>10013</v>
      </c>
      <c r="K2060" s="169">
        <f>IFERROR(MATCH(J2060,'Final List'!$B$4:$B$252,0),0)</f>
        <v>0</v>
      </c>
      <c r="L2060" s="169">
        <f>IFERROR(MATCH(J2060,'Final List'!$D$4:$D$252,0),0)</f>
        <v>0</v>
      </c>
      <c r="M2060" s="169">
        <f>IFERROR(MATCH(J2060,'Final List'!$F$4:$F$251,0),0)</f>
        <v>0</v>
      </c>
      <c r="N2060" s="169">
        <f>IFERROR(MATCH(J2060,'Final List'!$H$4:$H$252,0),0)</f>
        <v>0</v>
      </c>
      <c r="O2060" s="169">
        <f>IFERROR(MATCH(J2060,'Final List'!$J$4:$J$252,0),0)</f>
        <v>0</v>
      </c>
      <c r="P2060" s="169">
        <f>IFERROR(MATCH(J2060,'Final List'!$L$4:$L$252,0),0)</f>
        <v>0</v>
      </c>
      <c r="Q2060" s="169">
        <f>IFERROR(MATCH(J2060,'Final List'!$N$4:$N$252,0),0)</f>
        <v>0</v>
      </c>
      <c r="R2060" s="169">
        <f>IFERROR(MATCH(J2060,'Final List'!$P$4:$P$252,0),0)</f>
        <v>0</v>
      </c>
      <c r="S2060" s="169">
        <f t="shared" si="132"/>
        <v>0</v>
      </c>
      <c r="T2060" s="169" t="s">
        <v>48</v>
      </c>
      <c r="V2060" s="169" t="str">
        <f t="shared" si="130"/>
        <v>FABROA 1</v>
      </c>
      <c r="W2060" s="169" t="s">
        <v>2716</v>
      </c>
    </row>
    <row r="2061" spans="2:23" x14ac:dyDescent="0.25">
      <c r="B2061" s="169" t="s">
        <v>258</v>
      </c>
      <c r="C2061" s="169" t="s">
        <v>39</v>
      </c>
      <c r="D2061" s="169" t="s">
        <v>164</v>
      </c>
      <c r="E2061" s="169" t="s">
        <v>60</v>
      </c>
      <c r="F2061" s="245" t="str">
        <f t="shared" si="131"/>
        <v>Dhoz 71</v>
      </c>
      <c r="G2061" s="169" t="s">
        <v>6851</v>
      </c>
      <c r="I2061" s="169" t="str">
        <f t="shared" si="129"/>
        <v>L10_JVHW_064E_DE</v>
      </c>
      <c r="J2061" s="169" t="s">
        <v>10014</v>
      </c>
      <c r="K2061" s="169">
        <f>IFERROR(MATCH(J2061,'Final List'!$B$4:$B$252,0),0)</f>
        <v>0</v>
      </c>
      <c r="L2061" s="169">
        <f>IFERROR(MATCH(J2061,'Final List'!$D$4:$D$252,0),0)</f>
        <v>0</v>
      </c>
      <c r="M2061" s="169">
        <f>IFERROR(MATCH(J2061,'Final List'!$F$4:$F$251,0),0)</f>
        <v>0</v>
      </c>
      <c r="N2061" s="169">
        <f>IFERROR(MATCH(J2061,'Final List'!$H$4:$H$252,0),0)</f>
        <v>0</v>
      </c>
      <c r="O2061" s="169">
        <f>IFERROR(MATCH(J2061,'Final List'!$J$4:$J$252,0),0)</f>
        <v>0</v>
      </c>
      <c r="P2061" s="169">
        <f>IFERROR(MATCH(J2061,'Final List'!$L$4:$L$252,0),0)</f>
        <v>0</v>
      </c>
      <c r="Q2061" s="169">
        <f>IFERROR(MATCH(J2061,'Final List'!$N$4:$N$252,0),0)</f>
        <v>0</v>
      </c>
      <c r="R2061" s="169">
        <f>IFERROR(MATCH(J2061,'Final List'!$P$4:$P$252,0),0)</f>
        <v>0</v>
      </c>
      <c r="S2061" s="169">
        <f t="shared" si="132"/>
        <v>0</v>
      </c>
      <c r="V2061" s="169" t="str">
        <f t="shared" si="130"/>
        <v>OLIVEROS 5</v>
      </c>
      <c r="W2061" s="169" t="s">
        <v>8896</v>
      </c>
    </row>
    <row r="2062" spans="2:23" x14ac:dyDescent="0.25">
      <c r="B2062" s="169" t="s">
        <v>258</v>
      </c>
      <c r="C2062" s="169" t="s">
        <v>39</v>
      </c>
      <c r="D2062" s="169" t="s">
        <v>172</v>
      </c>
      <c r="E2062" s="169" t="s">
        <v>60</v>
      </c>
      <c r="F2062" s="245" t="str">
        <f t="shared" si="131"/>
        <v>Dhoz 71</v>
      </c>
      <c r="G2062" s="169" t="s">
        <v>5697</v>
      </c>
      <c r="I2062" s="169" t="str">
        <f t="shared" si="129"/>
        <v>L10_JVHW_045E_DE</v>
      </c>
      <c r="J2062" s="169" t="s">
        <v>10015</v>
      </c>
      <c r="K2062" s="169">
        <f>IFERROR(MATCH(J2062,'Final List'!$B$4:$B$252,0),0)</f>
        <v>0</v>
      </c>
      <c r="L2062" s="169">
        <f>IFERROR(MATCH(J2062,'Final List'!$D$4:$D$252,0),0)</f>
        <v>0</v>
      </c>
      <c r="M2062" s="169">
        <f>IFERROR(MATCH(J2062,'Final List'!$F$4:$F$251,0),0)</f>
        <v>0</v>
      </c>
      <c r="N2062" s="169">
        <f>IFERROR(MATCH(J2062,'Final List'!$H$4:$H$252,0),0)</f>
        <v>0</v>
      </c>
      <c r="O2062" s="169">
        <f>IFERROR(MATCH(J2062,'Final List'!$J$4:$J$252,0),0)</f>
        <v>0</v>
      </c>
      <c r="P2062" s="169">
        <f>IFERROR(MATCH(J2062,'Final List'!$L$4:$L$252,0),0)</f>
        <v>0</v>
      </c>
      <c r="Q2062" s="169">
        <f>IFERROR(MATCH(J2062,'Final List'!$N$4:$N$252,0),0)</f>
        <v>0</v>
      </c>
      <c r="R2062" s="169">
        <f>IFERROR(MATCH(J2062,'Final List'!$P$4:$P$252,0),0)</f>
        <v>0</v>
      </c>
      <c r="S2062" s="169">
        <f t="shared" si="132"/>
        <v>0</v>
      </c>
      <c r="V2062" s="169" t="str">
        <f t="shared" si="130"/>
        <v>OLIVEROS 1</v>
      </c>
      <c r="W2062" s="169" t="s">
        <v>8896</v>
      </c>
    </row>
    <row r="2063" spans="2:23" x14ac:dyDescent="0.25">
      <c r="B2063" s="169" t="s">
        <v>93</v>
      </c>
      <c r="C2063" s="169" t="s">
        <v>42</v>
      </c>
      <c r="D2063" s="169" t="s">
        <v>103</v>
      </c>
      <c r="E2063" s="169" t="s">
        <v>62</v>
      </c>
      <c r="F2063" s="245" t="str">
        <f t="shared" si="131"/>
        <v>RobS 79</v>
      </c>
      <c r="G2063" s="169" t="s">
        <v>526</v>
      </c>
      <c r="I2063" s="169" t="str">
        <f t="shared" si="129"/>
        <v>L06_JV_005E_ROBBING</v>
      </c>
      <c r="J2063" s="169" t="s">
        <v>3376</v>
      </c>
      <c r="K2063" s="169">
        <f>IFERROR(MATCH(J2063,'Final List'!$B$4:$B$252,0),0)</f>
        <v>0</v>
      </c>
      <c r="L2063" s="169">
        <f>IFERROR(MATCH(J2063,'Final List'!$D$4:$D$252,0),0)</f>
        <v>0</v>
      </c>
      <c r="M2063" s="169">
        <f>IFERROR(MATCH(J2063,'Final List'!$F$4:$F$251,0),0)</f>
        <v>0</v>
      </c>
      <c r="N2063" s="169">
        <f>IFERROR(MATCH(J2063,'Final List'!$H$4:$H$252,0),0)</f>
        <v>0</v>
      </c>
      <c r="O2063" s="169">
        <f>IFERROR(MATCH(J2063,'Final List'!$J$4:$J$252,0),0)</f>
        <v>0</v>
      </c>
      <c r="P2063" s="169">
        <f>IFERROR(MATCH(J2063,'Final List'!$L$4:$L$252,0),0)</f>
        <v>0</v>
      </c>
      <c r="Q2063" s="169">
        <f>IFERROR(MATCH(J2063,'Final List'!$N$4:$N$252,0),0)</f>
        <v>0</v>
      </c>
      <c r="R2063" s="169">
        <f>IFERROR(MATCH(J2063,'Final List'!$P$4:$P$252,0),0)</f>
        <v>0</v>
      </c>
      <c r="S2063" s="169">
        <f t="shared" si="132"/>
        <v>0</v>
      </c>
      <c r="T2063" s="169" t="s">
        <v>68</v>
      </c>
      <c r="V2063" s="169" t="str">
        <f t="shared" si="130"/>
        <v>CARIKITAN 2</v>
      </c>
      <c r="W2063" s="169" t="s">
        <v>2707</v>
      </c>
    </row>
    <row r="2064" spans="2:23" x14ac:dyDescent="0.25">
      <c r="B2064" s="169" t="s">
        <v>94</v>
      </c>
      <c r="C2064" s="169" t="s">
        <v>42</v>
      </c>
      <c r="D2064" s="169" t="s">
        <v>128</v>
      </c>
      <c r="E2064" s="169" t="s">
        <v>19</v>
      </c>
      <c r="F2064" s="245" t="str">
        <f t="shared" si="131"/>
        <v>DVR 72</v>
      </c>
      <c r="G2064" s="169" t="s">
        <v>5921</v>
      </c>
      <c r="H2064" s="169" t="s">
        <v>9352</v>
      </c>
      <c r="I2064" s="169" t="str">
        <f t="shared" si="129"/>
        <v>L07_JV_027E_RAISE</v>
      </c>
      <c r="J2064" s="169" t="s">
        <v>10019</v>
      </c>
      <c r="K2064" s="169">
        <f>IFERROR(MATCH(J2064,'Final List'!$B$4:$B$252,0),0)</f>
        <v>0</v>
      </c>
      <c r="L2064" s="169">
        <f>IFERROR(MATCH(J2064,'Final List'!$D$4:$D$252,0),0)</f>
        <v>0</v>
      </c>
      <c r="M2064" s="169">
        <f>IFERROR(MATCH(J2064,'Final List'!$F$4:$F$251,0),0)</f>
        <v>0</v>
      </c>
      <c r="N2064" s="169">
        <f>IFERROR(MATCH(J2064,'Final List'!$H$4:$H$252,0),0)</f>
        <v>0</v>
      </c>
      <c r="O2064" s="169">
        <f>IFERROR(MATCH(J2064,'Final List'!$J$4:$J$252,0),0)</f>
        <v>0</v>
      </c>
      <c r="P2064" s="169">
        <f>IFERROR(MATCH(J2064,'Final List'!$L$4:$L$252,0),0)</f>
        <v>0</v>
      </c>
      <c r="Q2064" s="169">
        <f>IFERROR(MATCH(J2064,'Final List'!$N$4:$N$252,0),0)</f>
        <v>0</v>
      </c>
      <c r="R2064" s="169">
        <f>IFERROR(MATCH(J2064,'Final List'!$P$4:$P$252,0),0)</f>
        <v>0</v>
      </c>
      <c r="S2064" s="169">
        <f t="shared" si="132"/>
        <v>0</v>
      </c>
      <c r="V2064" s="169" t="str">
        <f t="shared" si="130"/>
        <v>SHEPHERD AA 1</v>
      </c>
      <c r="W2064" s="169" t="s">
        <v>2715</v>
      </c>
    </row>
    <row r="2065" spans="2:23" x14ac:dyDescent="0.25">
      <c r="B2065" s="169" t="s">
        <v>96</v>
      </c>
      <c r="C2065" s="169" t="s">
        <v>45</v>
      </c>
      <c r="D2065" s="169" t="s">
        <v>149</v>
      </c>
      <c r="E2065" s="169" t="s">
        <v>61</v>
      </c>
      <c r="F2065" s="245" t="str">
        <f t="shared" si="131"/>
        <v>Dhoz 71</v>
      </c>
      <c r="G2065" s="169" t="s">
        <v>5101</v>
      </c>
      <c r="I2065" s="169" t="str">
        <f t="shared" si="129"/>
        <v>L09_DPVE_021E_DW</v>
      </c>
      <c r="J2065" s="169" t="s">
        <v>10153</v>
      </c>
      <c r="K2065" s="169">
        <f>IFERROR(MATCH(J2065,'Final List'!$B$4:$B$252,0),0)</f>
        <v>0</v>
      </c>
      <c r="L2065" s="169">
        <f>IFERROR(MATCH(J2065,'Final List'!$D$4:$D$252,0),0)</f>
        <v>0</v>
      </c>
      <c r="M2065" s="169">
        <f>IFERROR(MATCH(J2065,'Final List'!$F$4:$F$251,0),0)</f>
        <v>0</v>
      </c>
      <c r="N2065" s="169">
        <f>IFERROR(MATCH(J2065,'Final List'!$H$4:$H$252,0),0)</f>
        <v>0</v>
      </c>
      <c r="O2065" s="169">
        <f>IFERROR(MATCH(J2065,'Final List'!$J$4:$J$252,0),0)</f>
        <v>0</v>
      </c>
      <c r="P2065" s="169">
        <f>IFERROR(MATCH(J2065,'Final List'!$L$4:$L$252,0),0)</f>
        <v>0</v>
      </c>
      <c r="Q2065" s="169">
        <f>IFERROR(MATCH(J2065,'Final List'!$N$4:$N$252,0),0)</f>
        <v>0</v>
      </c>
      <c r="R2065" s="169">
        <f>IFERROR(MATCH(J2065,'Final List'!$P$4:$P$252,0),0)</f>
        <v>0</v>
      </c>
      <c r="S2065" s="169">
        <f t="shared" si="132"/>
        <v>0</v>
      </c>
      <c r="V2065" s="169" t="str">
        <f t="shared" si="130"/>
        <v>DELOS REYES V3</v>
      </c>
      <c r="W2065" s="169" t="s">
        <v>8896</v>
      </c>
    </row>
    <row r="2066" spans="2:23" x14ac:dyDescent="0.25">
      <c r="B2066" s="169" t="s">
        <v>1167</v>
      </c>
      <c r="C2066" s="169" t="s">
        <v>87</v>
      </c>
      <c r="D2066" s="169" t="s">
        <v>5741</v>
      </c>
      <c r="E2066" s="169" t="s">
        <v>71</v>
      </c>
      <c r="F2066" s="245" t="str">
        <f t="shared" si="131"/>
        <v>DVS 75</v>
      </c>
      <c r="G2066" s="169" t="s">
        <v>389</v>
      </c>
      <c r="I2066" s="169" t="str">
        <f t="shared" si="129"/>
        <v>L12_NONE_035E_SHAFT</v>
      </c>
      <c r="J2066" s="169" t="s">
        <v>5442</v>
      </c>
      <c r="K2066" s="169">
        <f>IFERROR(MATCH(J2066,'Final List'!$B$4:$B$252,0),0)</f>
        <v>0</v>
      </c>
      <c r="L2066" s="169">
        <f>IFERROR(MATCH(J2066,'Final List'!$D$4:$D$252,0),0)</f>
        <v>0</v>
      </c>
      <c r="M2066" s="169">
        <f>IFERROR(MATCH(J2066,'Final List'!$F$4:$F$251,0),0)</f>
        <v>0</v>
      </c>
      <c r="N2066" s="169">
        <f>IFERROR(MATCH(J2066,'Final List'!$H$4:$H$252,0),0)</f>
        <v>0</v>
      </c>
      <c r="O2066" s="169">
        <f>IFERROR(MATCH(J2066,'Final List'!$J$4:$J$252,0),0)</f>
        <v>0</v>
      </c>
      <c r="P2066" s="169">
        <f>IFERROR(MATCH(J2066,'Final List'!$L$4:$L$252,0),0)</f>
        <v>0</v>
      </c>
      <c r="Q2066" s="169">
        <f>IFERROR(MATCH(J2066,'Final List'!$N$4:$N$252,0),0)</f>
        <v>0</v>
      </c>
      <c r="R2066" s="169">
        <f>IFERROR(MATCH(J2066,'Final List'!$P$4:$P$252,0),0)</f>
        <v>0</v>
      </c>
      <c r="S2066" s="169">
        <f t="shared" si="132"/>
        <v>0</v>
      </c>
      <c r="V2066" s="169" t="str">
        <f t="shared" si="130"/>
        <v>CAPPUYO 1</v>
      </c>
      <c r="W2066" s="169" t="s">
        <v>2714</v>
      </c>
    </row>
    <row r="2067" spans="2:23" x14ac:dyDescent="0.25">
      <c r="B2067" s="169" t="s">
        <v>258</v>
      </c>
      <c r="C2067" s="169" t="s">
        <v>45</v>
      </c>
      <c r="D2067" s="169" t="s">
        <v>9537</v>
      </c>
      <c r="E2067" s="169" t="s">
        <v>60</v>
      </c>
      <c r="F2067" s="245" t="str">
        <f t="shared" si="131"/>
        <v>Dhoz 71</v>
      </c>
      <c r="G2067" s="169" t="s">
        <v>355</v>
      </c>
      <c r="I2067" s="169" t="str">
        <f t="shared" si="129"/>
        <v>L10_DPVE_093E_DE</v>
      </c>
      <c r="J2067" s="169" t="s">
        <v>10021</v>
      </c>
      <c r="K2067" s="169">
        <f>IFERROR(MATCH(J2067,'Final List'!$B$4:$B$252,0),0)</f>
        <v>0</v>
      </c>
      <c r="L2067" s="169">
        <f>IFERROR(MATCH(J2067,'Final List'!$D$4:$D$252,0),0)</f>
        <v>0</v>
      </c>
      <c r="M2067" s="169">
        <f>IFERROR(MATCH(J2067,'Final List'!$F$4:$F$251,0),0)</f>
        <v>0</v>
      </c>
      <c r="N2067" s="169">
        <f>IFERROR(MATCH(J2067,'Final List'!$H$4:$H$252,0),0)</f>
        <v>0</v>
      </c>
      <c r="O2067" s="169">
        <f>IFERROR(MATCH(J2067,'Final List'!$J$4:$J$252,0),0)</f>
        <v>0</v>
      </c>
      <c r="P2067" s="169">
        <f>IFERROR(MATCH(J2067,'Final List'!$L$4:$L$252,0),0)</f>
        <v>0</v>
      </c>
      <c r="Q2067" s="169">
        <f>IFERROR(MATCH(J2067,'Final List'!$N$4:$N$252,0),0)</f>
        <v>0</v>
      </c>
      <c r="R2067" s="169">
        <f>IFERROR(MATCH(J2067,'Final List'!$P$4:$P$252,0),0)</f>
        <v>0</v>
      </c>
      <c r="S2067" s="169">
        <f t="shared" si="132"/>
        <v>0</v>
      </c>
      <c r="V2067" s="169" t="str">
        <f t="shared" si="130"/>
        <v>BAÑEZ 2</v>
      </c>
      <c r="W2067" s="169" t="s">
        <v>8896</v>
      </c>
    </row>
    <row r="2068" spans="2:23" x14ac:dyDescent="0.25">
      <c r="B2068" s="169" t="s">
        <v>91</v>
      </c>
      <c r="C2068" s="169" t="s">
        <v>44</v>
      </c>
      <c r="D2068" s="169" t="s">
        <v>6518</v>
      </c>
      <c r="E2068" s="169" t="s">
        <v>6154</v>
      </c>
      <c r="F2068" s="245" t="str">
        <f t="shared" si="131"/>
        <v>Dhoz 71</v>
      </c>
      <c r="G2068" s="169" t="s">
        <v>5715</v>
      </c>
      <c r="H2068" s="169" t="s">
        <v>10123</v>
      </c>
      <c r="I2068" s="169" t="str">
        <f t="shared" si="129"/>
        <v>L04_CV_007E_DW_ISL</v>
      </c>
      <c r="J2068" s="169" t="s">
        <v>10556</v>
      </c>
      <c r="K2068" s="169">
        <f>IFERROR(MATCH(J2068,'Final List'!$B$4:$B$252,0),0)</f>
        <v>0</v>
      </c>
      <c r="L2068" s="169">
        <f>IFERROR(MATCH(J2068,'Final List'!$D$4:$D$252,0),0)</f>
        <v>0</v>
      </c>
      <c r="M2068" s="169">
        <f>IFERROR(MATCH(J2068,'Final List'!$F$4:$F$251,0),0)</f>
        <v>0</v>
      </c>
      <c r="N2068" s="169">
        <f>IFERROR(MATCH(J2068,'Final List'!$H$4:$H$252,0),0)</f>
        <v>0</v>
      </c>
      <c r="O2068" s="169">
        <f>IFERROR(MATCH(J2068,'Final List'!$J$4:$J$252,0),0)</f>
        <v>0</v>
      </c>
      <c r="P2068" s="169">
        <f>IFERROR(MATCH(J2068,'Final List'!$L$4:$L$252,0),0)</f>
        <v>0</v>
      </c>
      <c r="Q2068" s="169">
        <f>IFERROR(MATCH(J2068,'Final List'!$N$4:$N$252,0),0)</f>
        <v>0</v>
      </c>
      <c r="R2068" s="169">
        <f>IFERROR(MATCH(J2068,'Final List'!$P$4:$P$252,0),0)</f>
        <v>0</v>
      </c>
      <c r="S2068" s="169">
        <f t="shared" si="132"/>
        <v>0</v>
      </c>
      <c r="V2068" s="169" t="str">
        <f t="shared" si="130"/>
        <v>MARTINEZ, DN 4</v>
      </c>
      <c r="W2068" s="169" t="s">
        <v>2708</v>
      </c>
    </row>
    <row r="2069" spans="2:23" x14ac:dyDescent="0.25">
      <c r="B2069" s="169" t="s">
        <v>8904</v>
      </c>
      <c r="C2069" s="169" t="s">
        <v>57</v>
      </c>
      <c r="D2069" s="169" t="s">
        <v>117</v>
      </c>
      <c r="E2069" s="169" t="s">
        <v>62</v>
      </c>
      <c r="F2069" s="245" t="str">
        <f t="shared" si="131"/>
        <v>RobS 79</v>
      </c>
      <c r="G2069" s="169" t="s">
        <v>10037</v>
      </c>
      <c r="I2069" s="169" t="str">
        <f t="shared" si="129"/>
        <v>L03_JVSPLIT_006W_ROBBING</v>
      </c>
      <c r="J2069" s="169" t="s">
        <v>11426</v>
      </c>
      <c r="K2069" s="169">
        <f>IFERROR(MATCH(J2069,'Final List'!$B$4:$B$252,0),0)</f>
        <v>0</v>
      </c>
      <c r="L2069" s="169">
        <f>IFERROR(MATCH(J2069,'Final List'!$D$4:$D$252,0),0)</f>
        <v>0</v>
      </c>
      <c r="M2069" s="169">
        <f>IFERROR(MATCH(J2069,'Final List'!$F$4:$F$251,0),0)</f>
        <v>0</v>
      </c>
      <c r="N2069" s="169">
        <f>IFERROR(MATCH(J2069,'Final List'!$H$4:$H$252,0),0)</f>
        <v>0</v>
      </c>
      <c r="O2069" s="169">
        <f>IFERROR(MATCH(J2069,'Final List'!$J$4:$J$252,0),0)</f>
        <v>0</v>
      </c>
      <c r="P2069" s="169">
        <f>IFERROR(MATCH(J2069,'Final List'!$L$4:$L$252,0),0)</f>
        <v>0</v>
      </c>
      <c r="Q2069" s="169">
        <f>IFERROR(MATCH(J2069,'Final List'!$N$4:$N$252,0),0)</f>
        <v>0</v>
      </c>
      <c r="R2069" s="169">
        <f>IFERROR(MATCH(J2069,'Final List'!$P$4:$P$252,0),0)</f>
        <v>0</v>
      </c>
      <c r="S2069" s="169">
        <f t="shared" si="132"/>
        <v>0</v>
      </c>
      <c r="T2069" s="169" t="s">
        <v>68</v>
      </c>
      <c r="V2069" s="169" t="str">
        <f t="shared" si="130"/>
        <v>FERNANDEZ,RM 3</v>
      </c>
      <c r="W2069" s="169" t="s">
        <v>2707</v>
      </c>
    </row>
    <row r="2070" spans="2:23" x14ac:dyDescent="0.25">
      <c r="B2070" s="169" t="s">
        <v>95</v>
      </c>
      <c r="C2070" s="169" t="s">
        <v>56</v>
      </c>
      <c r="D2070" s="169" t="s">
        <v>5602</v>
      </c>
      <c r="E2070" s="169" t="s">
        <v>221</v>
      </c>
      <c r="F2070" s="245" t="str">
        <f t="shared" si="131"/>
        <v>RobC 80</v>
      </c>
      <c r="G2070" s="169" t="s">
        <v>583</v>
      </c>
      <c r="I2070" s="169" t="str">
        <f t="shared" si="129"/>
        <v>L08_GHVFW_053E_WINZE STOPE</v>
      </c>
      <c r="J2070" s="169" t="s">
        <v>10140</v>
      </c>
      <c r="K2070" s="169">
        <f>IFERROR(MATCH(J2070,'Final List'!$B$4:$B$252,0),0)</f>
        <v>0</v>
      </c>
      <c r="L2070" s="169">
        <f>IFERROR(MATCH(J2070,'Final List'!$D$4:$D$252,0),0)</f>
        <v>0</v>
      </c>
      <c r="M2070" s="169">
        <f>IFERROR(MATCH(J2070,'Final List'!$F$4:$F$251,0),0)</f>
        <v>0</v>
      </c>
      <c r="N2070" s="169">
        <f>IFERROR(MATCH(J2070,'Final List'!$H$4:$H$252,0),0)</f>
        <v>0</v>
      </c>
      <c r="O2070" s="169">
        <f>IFERROR(MATCH(J2070,'Final List'!$J$4:$J$252,0),0)</f>
        <v>0</v>
      </c>
      <c r="P2070" s="169">
        <f>IFERROR(MATCH(J2070,'Final List'!$L$4:$L$252,0),0)</f>
        <v>0</v>
      </c>
      <c r="Q2070" s="169">
        <f>IFERROR(MATCH(J2070,'Final List'!$N$4:$N$252,0),0)</f>
        <v>0</v>
      </c>
      <c r="R2070" s="169">
        <f>IFERROR(MATCH(J2070,'Final List'!$P$4:$P$252,0),0)</f>
        <v>0</v>
      </c>
      <c r="S2070" s="169">
        <f t="shared" si="132"/>
        <v>0</v>
      </c>
      <c r="T2070" s="169" t="s">
        <v>68</v>
      </c>
      <c r="V2070" s="169" t="str">
        <f t="shared" si="130"/>
        <v>VILLARANTE 1</v>
      </c>
      <c r="W2070" s="169" t="s">
        <v>2719</v>
      </c>
    </row>
    <row r="2071" spans="2:23" x14ac:dyDescent="0.25">
      <c r="B2071" s="169" t="s">
        <v>1167</v>
      </c>
      <c r="C2071" s="169" t="s">
        <v>56</v>
      </c>
      <c r="D2071" s="169" t="s">
        <v>176</v>
      </c>
      <c r="E2071" s="169" t="s">
        <v>61</v>
      </c>
      <c r="F2071" s="245" t="str">
        <f t="shared" si="131"/>
        <v>Dhoz 71</v>
      </c>
      <c r="G2071" s="169" t="s">
        <v>6930</v>
      </c>
      <c r="I2071" s="169" t="str">
        <f t="shared" si="129"/>
        <v>L12_GHVFW_057E_DW</v>
      </c>
      <c r="J2071" s="169" t="s">
        <v>10366</v>
      </c>
      <c r="K2071" s="169">
        <f>IFERROR(MATCH(J2071,'Final List'!$B$4:$B$252,0),0)</f>
        <v>0</v>
      </c>
      <c r="L2071" s="169">
        <f>IFERROR(MATCH(J2071,'Final List'!$D$4:$D$252,0),0)</f>
        <v>0</v>
      </c>
      <c r="M2071" s="169">
        <f>IFERROR(MATCH(J2071,'Final List'!$F$4:$F$251,0),0)</f>
        <v>0</v>
      </c>
      <c r="N2071" s="169">
        <f>IFERROR(MATCH(J2071,'Final List'!$H$4:$H$252,0),0)</f>
        <v>0</v>
      </c>
      <c r="O2071" s="169">
        <f>IFERROR(MATCH(J2071,'Final List'!$J$4:$J$252,0),0)</f>
        <v>0</v>
      </c>
      <c r="P2071" s="169">
        <f>IFERROR(MATCH(J2071,'Final List'!$L$4:$L$252,0),0)</f>
        <v>0</v>
      </c>
      <c r="Q2071" s="169">
        <f>IFERROR(MATCH(J2071,'Final List'!$N$4:$N$252,0),0)</f>
        <v>0</v>
      </c>
      <c r="R2071" s="169">
        <f>IFERROR(MATCH(J2071,'Final List'!$P$4:$P$252,0),0)</f>
        <v>0</v>
      </c>
      <c r="S2071" s="169">
        <f t="shared" si="132"/>
        <v>0</v>
      </c>
      <c r="V2071" s="169" t="str">
        <f t="shared" si="130"/>
        <v>DUHIG, P1</v>
      </c>
      <c r="W2071" s="169" t="s">
        <v>8896</v>
      </c>
    </row>
    <row r="2072" spans="2:23" x14ac:dyDescent="0.25">
      <c r="B2072" s="169" t="s">
        <v>258</v>
      </c>
      <c r="C2072" s="169" t="s">
        <v>45</v>
      </c>
      <c r="D2072" s="169" t="s">
        <v>7223</v>
      </c>
      <c r="E2072" s="169" t="s">
        <v>60</v>
      </c>
      <c r="F2072" s="245" t="str">
        <f t="shared" si="131"/>
        <v>Dhoz 71</v>
      </c>
      <c r="G2072" s="169" t="s">
        <v>9964</v>
      </c>
      <c r="I2072" s="169" t="str">
        <f t="shared" si="129"/>
        <v>L10_DPVE_002E_DE</v>
      </c>
      <c r="J2072" s="169" t="s">
        <v>10029</v>
      </c>
      <c r="K2072" s="169">
        <f>IFERROR(MATCH(J2072,'Final List'!$B$4:$B$252,0),0)</f>
        <v>0</v>
      </c>
      <c r="L2072" s="169">
        <f>IFERROR(MATCH(J2072,'Final List'!$D$4:$D$252,0),0)</f>
        <v>0</v>
      </c>
      <c r="M2072" s="169">
        <f>IFERROR(MATCH(J2072,'Final List'!$F$4:$F$251,0),0)</f>
        <v>0</v>
      </c>
      <c r="N2072" s="169">
        <f>IFERROR(MATCH(J2072,'Final List'!$H$4:$H$252,0),0)</f>
        <v>0</v>
      </c>
      <c r="O2072" s="169">
        <f>IFERROR(MATCH(J2072,'Final List'!$J$4:$J$252,0),0)</f>
        <v>0</v>
      </c>
      <c r="P2072" s="169">
        <f>IFERROR(MATCH(J2072,'Final List'!$L$4:$L$252,0),0)</f>
        <v>0</v>
      </c>
      <c r="Q2072" s="169">
        <f>IFERROR(MATCH(J2072,'Final List'!$N$4:$N$252,0),0)</f>
        <v>0</v>
      </c>
      <c r="R2072" s="169">
        <f>IFERROR(MATCH(J2072,'Final List'!$P$4:$P$252,0),0)</f>
        <v>0</v>
      </c>
      <c r="S2072" s="169">
        <f t="shared" si="132"/>
        <v>0</v>
      </c>
      <c r="V2072" s="169" t="str">
        <f t="shared" si="130"/>
        <v>SHEPHERD BA</v>
      </c>
      <c r="W2072" s="169" t="s">
        <v>8896</v>
      </c>
    </row>
    <row r="2073" spans="2:23" x14ac:dyDescent="0.25">
      <c r="B2073" s="169" t="s">
        <v>93</v>
      </c>
      <c r="C2073" s="169" t="s">
        <v>42</v>
      </c>
      <c r="D2073" s="169" t="s">
        <v>109</v>
      </c>
      <c r="E2073" s="169" t="s">
        <v>62</v>
      </c>
      <c r="F2073" s="245" t="str">
        <f t="shared" si="131"/>
        <v>RobC 80</v>
      </c>
      <c r="G2073" s="169" t="s">
        <v>526</v>
      </c>
      <c r="I2073" s="169" t="str">
        <f t="shared" si="129"/>
        <v>L06_JV_002W_ROBBING</v>
      </c>
      <c r="J2073" s="169" t="s">
        <v>10031</v>
      </c>
      <c r="K2073" s="169">
        <f>IFERROR(MATCH(J2073,'Final List'!$B$4:$B$252,0),0)</f>
        <v>0</v>
      </c>
      <c r="L2073" s="169">
        <f>IFERROR(MATCH(J2073,'Final List'!$D$4:$D$252,0),0)</f>
        <v>0</v>
      </c>
      <c r="M2073" s="169">
        <f>IFERROR(MATCH(J2073,'Final List'!$F$4:$F$251,0),0)</f>
        <v>0</v>
      </c>
      <c r="N2073" s="169">
        <f>IFERROR(MATCH(J2073,'Final List'!$H$4:$H$252,0),0)</f>
        <v>0</v>
      </c>
      <c r="O2073" s="169">
        <f>IFERROR(MATCH(J2073,'Final List'!$J$4:$J$252,0),0)</f>
        <v>0</v>
      </c>
      <c r="P2073" s="169">
        <f>IFERROR(MATCH(J2073,'Final List'!$L$4:$L$252,0),0)</f>
        <v>0</v>
      </c>
      <c r="Q2073" s="169">
        <f>IFERROR(MATCH(J2073,'Final List'!$N$4:$N$252,0),0)</f>
        <v>0</v>
      </c>
      <c r="R2073" s="169">
        <f>IFERROR(MATCH(J2073,'Final List'!$P$4:$P$252,0),0)</f>
        <v>0</v>
      </c>
      <c r="S2073" s="169">
        <f t="shared" si="132"/>
        <v>0</v>
      </c>
      <c r="T2073" s="169" t="s">
        <v>48</v>
      </c>
      <c r="V2073" s="169" t="str">
        <f t="shared" si="130"/>
        <v>CARIKITAN 2</v>
      </c>
      <c r="W2073" s="169" t="s">
        <v>236</v>
      </c>
    </row>
    <row r="2074" spans="2:23" x14ac:dyDescent="0.25">
      <c r="B2074" s="169" t="s">
        <v>1167</v>
      </c>
      <c r="C2074" s="169" t="s">
        <v>59</v>
      </c>
      <c r="D2074" s="169" t="s">
        <v>201</v>
      </c>
      <c r="E2074" s="169" t="s">
        <v>36</v>
      </c>
      <c r="F2074" s="245" t="str">
        <f t="shared" si="131"/>
        <v>StpS 77</v>
      </c>
      <c r="G2074" s="169" t="s">
        <v>9792</v>
      </c>
      <c r="I2074" s="169" t="str">
        <f t="shared" si="129"/>
        <v>L12_GHVHW_067E_STOPE</v>
      </c>
      <c r="J2074" s="169" t="s">
        <v>10041</v>
      </c>
      <c r="K2074" s="169">
        <f>IFERROR(MATCH(J2074,'Final List'!$B$4:$B$252,0),0)</f>
        <v>0</v>
      </c>
      <c r="L2074" s="169">
        <f>IFERROR(MATCH(J2074,'Final List'!$D$4:$D$252,0),0)</f>
        <v>0</v>
      </c>
      <c r="M2074" s="169">
        <f>IFERROR(MATCH(J2074,'Final List'!$F$4:$F$251,0),0)</f>
        <v>0</v>
      </c>
      <c r="N2074" s="169">
        <f>IFERROR(MATCH(J2074,'Final List'!$H$4:$H$252,0),0)</f>
        <v>0</v>
      </c>
      <c r="O2074" s="169">
        <f>IFERROR(MATCH(J2074,'Final List'!$J$4:$J$252,0),0)</f>
        <v>0</v>
      </c>
      <c r="P2074" s="169">
        <f>IFERROR(MATCH(J2074,'Final List'!$L$4:$L$252,0),0)</f>
        <v>0</v>
      </c>
      <c r="Q2074" s="169">
        <f>IFERROR(MATCH(J2074,'Final List'!$N$4:$N$252,0),0)</f>
        <v>0</v>
      </c>
      <c r="R2074" s="169">
        <f>IFERROR(MATCH(J2074,'Final List'!$P$4:$P$252,0),0)</f>
        <v>0</v>
      </c>
      <c r="S2074" s="169">
        <f t="shared" si="132"/>
        <v>0</v>
      </c>
      <c r="T2074" s="169" t="s">
        <v>68</v>
      </c>
      <c r="V2074" s="169" t="str">
        <f t="shared" si="130"/>
        <v>DUHIG P9</v>
      </c>
      <c r="W2074" s="169" t="s">
        <v>2713</v>
      </c>
    </row>
    <row r="2075" spans="2:23" x14ac:dyDescent="0.25">
      <c r="B2075" s="169" t="s">
        <v>1166</v>
      </c>
      <c r="C2075" s="169" t="s">
        <v>45</v>
      </c>
      <c r="D2075" s="169" t="s">
        <v>132</v>
      </c>
      <c r="E2075" s="169" t="s">
        <v>61</v>
      </c>
      <c r="F2075" s="245" t="str">
        <f t="shared" si="131"/>
        <v>Dhoz 71</v>
      </c>
      <c r="G2075" s="169" t="s">
        <v>862</v>
      </c>
      <c r="I2075" s="169" t="str">
        <f t="shared" si="129"/>
        <v>L11_DPVE_033E_DW</v>
      </c>
      <c r="J2075" s="169" t="s">
        <v>10043</v>
      </c>
      <c r="K2075" s="169">
        <f>IFERROR(MATCH(J2075,'Final List'!$B$4:$B$252,0),0)</f>
        <v>0</v>
      </c>
      <c r="L2075" s="169">
        <f>IFERROR(MATCH(J2075,'Final List'!$D$4:$D$252,0),0)</f>
        <v>0</v>
      </c>
      <c r="M2075" s="169">
        <f>IFERROR(MATCH(J2075,'Final List'!$F$4:$F$251,0),0)</f>
        <v>0</v>
      </c>
      <c r="N2075" s="169">
        <f>IFERROR(MATCH(J2075,'Final List'!$H$4:$H$252,0),0)</f>
        <v>0</v>
      </c>
      <c r="O2075" s="169">
        <f>IFERROR(MATCH(J2075,'Final List'!$J$4:$J$252,0),0)</f>
        <v>0</v>
      </c>
      <c r="P2075" s="169">
        <f>IFERROR(MATCH(J2075,'Final List'!$L$4:$L$252,0),0)</f>
        <v>0</v>
      </c>
      <c r="Q2075" s="169">
        <f>IFERROR(MATCH(J2075,'Final List'!$N$4:$N$252,0),0)</f>
        <v>0</v>
      </c>
      <c r="R2075" s="169">
        <f>IFERROR(MATCH(J2075,'Final List'!$P$4:$P$252,0),0)</f>
        <v>0</v>
      </c>
      <c r="S2075" s="169">
        <f t="shared" si="132"/>
        <v>0</v>
      </c>
      <c r="V2075" s="169" t="str">
        <f t="shared" si="130"/>
        <v>REBOTE 1</v>
      </c>
      <c r="W2075" s="169" t="s">
        <v>8896</v>
      </c>
    </row>
    <row r="2076" spans="2:23" x14ac:dyDescent="0.25">
      <c r="B2076" s="169" t="s">
        <v>92</v>
      </c>
      <c r="C2076" s="169" t="s">
        <v>57</v>
      </c>
      <c r="D2076" s="169" t="s">
        <v>97</v>
      </c>
      <c r="E2076" s="169" t="s">
        <v>62</v>
      </c>
      <c r="F2076" s="245" t="str">
        <f t="shared" si="131"/>
        <v>RobS 79</v>
      </c>
      <c r="G2076" s="169" t="s">
        <v>8197</v>
      </c>
      <c r="I2076" s="169" t="str">
        <f t="shared" si="129"/>
        <v>L05_JVSPLIT_012W_ROBBING</v>
      </c>
      <c r="J2076" s="169" t="s">
        <v>10045</v>
      </c>
      <c r="K2076" s="169">
        <f>IFERROR(MATCH(J2076,'Final List'!$B$4:$B$252,0),0)</f>
        <v>0</v>
      </c>
      <c r="L2076" s="169">
        <f>IFERROR(MATCH(J2076,'Final List'!$D$4:$D$252,0),0)</f>
        <v>0</v>
      </c>
      <c r="M2076" s="169">
        <f>IFERROR(MATCH(J2076,'Final List'!$F$4:$F$251,0),0)</f>
        <v>0</v>
      </c>
      <c r="N2076" s="169">
        <f>IFERROR(MATCH(J2076,'Final List'!$H$4:$H$252,0),0)</f>
        <v>0</v>
      </c>
      <c r="O2076" s="169">
        <f>IFERROR(MATCH(J2076,'Final List'!$J$4:$J$252,0),0)</f>
        <v>0</v>
      </c>
      <c r="P2076" s="169">
        <f>IFERROR(MATCH(J2076,'Final List'!$L$4:$L$252,0),0)</f>
        <v>0</v>
      </c>
      <c r="Q2076" s="169">
        <f>IFERROR(MATCH(J2076,'Final List'!$N$4:$N$252,0),0)</f>
        <v>0</v>
      </c>
      <c r="R2076" s="169">
        <f>IFERROR(MATCH(J2076,'Final List'!$P$4:$P$252,0),0)</f>
        <v>0</v>
      </c>
      <c r="S2076" s="169">
        <f t="shared" si="132"/>
        <v>0</v>
      </c>
      <c r="T2076" s="169" t="s">
        <v>68</v>
      </c>
      <c r="V2076" s="169" t="str">
        <f t="shared" si="130"/>
        <v>PANCIT, NOEL  1</v>
      </c>
      <c r="W2076" s="169" t="s">
        <v>2707</v>
      </c>
    </row>
    <row r="2077" spans="2:23" x14ac:dyDescent="0.25">
      <c r="B2077" s="169" t="s">
        <v>92</v>
      </c>
      <c r="C2077" s="169" t="s">
        <v>42</v>
      </c>
      <c r="D2077" s="169" t="s">
        <v>111</v>
      </c>
      <c r="E2077" s="169" t="s">
        <v>6143</v>
      </c>
      <c r="F2077" s="245" t="str">
        <f t="shared" si="131"/>
        <v>Dhoz 71</v>
      </c>
      <c r="G2077" s="169" t="s">
        <v>5698</v>
      </c>
      <c r="I2077" s="169" t="str">
        <f t="shared" si="129"/>
        <v>L05_JV_004W_DE_ISL</v>
      </c>
      <c r="J2077" s="169" t="s">
        <v>10048</v>
      </c>
      <c r="K2077" s="169">
        <f>IFERROR(MATCH(J2077,'Final List'!$B$4:$B$252,0),0)</f>
        <v>0</v>
      </c>
      <c r="L2077" s="169">
        <f>IFERROR(MATCH(J2077,'Final List'!$D$4:$D$252,0),0)</f>
        <v>0</v>
      </c>
      <c r="M2077" s="169">
        <f>IFERROR(MATCH(J2077,'Final List'!$F$4:$F$251,0),0)</f>
        <v>0</v>
      </c>
      <c r="N2077" s="169">
        <f>IFERROR(MATCH(J2077,'Final List'!$H$4:$H$252,0),0)</f>
        <v>0</v>
      </c>
      <c r="O2077" s="169">
        <f>IFERROR(MATCH(J2077,'Final List'!$J$4:$J$252,0),0)</f>
        <v>0</v>
      </c>
      <c r="P2077" s="169">
        <f>IFERROR(MATCH(J2077,'Final List'!$L$4:$L$252,0),0)</f>
        <v>0</v>
      </c>
      <c r="Q2077" s="169">
        <f>IFERROR(MATCH(J2077,'Final List'!$N$4:$N$252,0),0)</f>
        <v>0</v>
      </c>
      <c r="R2077" s="169">
        <f>IFERROR(MATCH(J2077,'Final List'!$P$4:$P$252,0),0)</f>
        <v>0</v>
      </c>
      <c r="S2077" s="169">
        <f t="shared" si="132"/>
        <v>0</v>
      </c>
      <c r="V2077" s="169" t="str">
        <f t="shared" si="130"/>
        <v>PARAN 1</v>
      </c>
      <c r="W2077" s="169" t="s">
        <v>2708</v>
      </c>
    </row>
    <row r="2078" spans="2:23" x14ac:dyDescent="0.25">
      <c r="B2078" s="169" t="s">
        <v>92</v>
      </c>
      <c r="C2078" s="169" t="s">
        <v>57</v>
      </c>
      <c r="D2078" s="169" t="s">
        <v>121</v>
      </c>
      <c r="E2078" s="169" t="s">
        <v>20</v>
      </c>
      <c r="F2078" s="245" t="str">
        <f t="shared" si="131"/>
        <v>DVW 74</v>
      </c>
      <c r="G2078" s="169" t="s">
        <v>10050</v>
      </c>
      <c r="I2078" s="169" t="str">
        <f t="shared" si="129"/>
        <v>L05_JVSPLIT_022E_WINZE</v>
      </c>
      <c r="J2078" s="169" t="s">
        <v>10049</v>
      </c>
      <c r="K2078" s="169">
        <f>IFERROR(MATCH(J2078,'Final List'!$B$4:$B$252,0),0)</f>
        <v>0</v>
      </c>
      <c r="L2078" s="169">
        <f>IFERROR(MATCH(J2078,'Final List'!$D$4:$D$252,0),0)</f>
        <v>0</v>
      </c>
      <c r="M2078" s="169">
        <f>IFERROR(MATCH(J2078,'Final List'!$F$4:$F$251,0),0)</f>
        <v>0</v>
      </c>
      <c r="N2078" s="169">
        <f>IFERROR(MATCH(J2078,'Final List'!$H$4:$H$252,0),0)</f>
        <v>0</v>
      </c>
      <c r="O2078" s="169">
        <f>IFERROR(MATCH(J2078,'Final List'!$J$4:$J$252,0),0)</f>
        <v>0</v>
      </c>
      <c r="P2078" s="169">
        <f>IFERROR(MATCH(J2078,'Final List'!$L$4:$L$252,0),0)</f>
        <v>0</v>
      </c>
      <c r="Q2078" s="169">
        <f>IFERROR(MATCH(J2078,'Final List'!$N$4:$N$252,0),0)</f>
        <v>0</v>
      </c>
      <c r="R2078" s="169">
        <f>IFERROR(MATCH(J2078,'Final List'!$P$4:$P$252,0),0)</f>
        <v>0</v>
      </c>
      <c r="S2078" s="169">
        <f t="shared" si="132"/>
        <v>0</v>
      </c>
      <c r="V2078" s="169" t="str">
        <f t="shared" si="130"/>
        <v>OTERO 1</v>
      </c>
      <c r="W2078" s="169" t="s">
        <v>2706</v>
      </c>
    </row>
    <row r="2079" spans="2:23" x14ac:dyDescent="0.25">
      <c r="B2079" s="169" t="s">
        <v>92</v>
      </c>
      <c r="C2079" s="169" t="s">
        <v>41</v>
      </c>
      <c r="D2079" s="169" t="s">
        <v>128</v>
      </c>
      <c r="E2079" s="169" t="s">
        <v>62</v>
      </c>
      <c r="F2079" s="245" t="str">
        <f t="shared" si="131"/>
        <v>RobS 79</v>
      </c>
      <c r="G2079" s="169" t="s">
        <v>5706</v>
      </c>
      <c r="I2079" s="169" t="str">
        <f t="shared" si="129"/>
        <v>L05_CTV_027E_ROBBING</v>
      </c>
      <c r="J2079" s="169" t="s">
        <v>10051</v>
      </c>
      <c r="K2079" s="169">
        <f>IFERROR(MATCH(J2079,'Final List'!$B$4:$B$252,0),0)</f>
        <v>0</v>
      </c>
      <c r="L2079" s="169">
        <f>IFERROR(MATCH(J2079,'Final List'!$D$4:$D$252,0),0)</f>
        <v>0</v>
      </c>
      <c r="M2079" s="169">
        <f>IFERROR(MATCH(J2079,'Final List'!$F$4:$F$251,0),0)</f>
        <v>0</v>
      </c>
      <c r="N2079" s="169">
        <f>IFERROR(MATCH(J2079,'Final List'!$H$4:$H$252,0),0)</f>
        <v>0</v>
      </c>
      <c r="O2079" s="169">
        <f>IFERROR(MATCH(J2079,'Final List'!$J$4:$J$252,0),0)</f>
        <v>0</v>
      </c>
      <c r="P2079" s="169">
        <f>IFERROR(MATCH(J2079,'Final List'!$L$4:$L$252,0),0)</f>
        <v>0</v>
      </c>
      <c r="Q2079" s="169">
        <f>IFERROR(MATCH(J2079,'Final List'!$N$4:$N$252,0),0)</f>
        <v>0</v>
      </c>
      <c r="R2079" s="169">
        <f>IFERROR(MATCH(J2079,'Final List'!$P$4:$P$252,0),0)</f>
        <v>0</v>
      </c>
      <c r="S2079" s="169">
        <f t="shared" si="132"/>
        <v>0</v>
      </c>
      <c r="T2079" s="169" t="s">
        <v>68</v>
      </c>
      <c r="V2079" s="169" t="str">
        <f t="shared" si="130"/>
        <v>SHEPHERD AF 1</v>
      </c>
      <c r="W2079" s="169" t="s">
        <v>2707</v>
      </c>
    </row>
    <row r="2080" spans="2:23" x14ac:dyDescent="0.25">
      <c r="B2080" s="169" t="s">
        <v>258</v>
      </c>
      <c r="C2080" s="169" t="s">
        <v>45</v>
      </c>
      <c r="D2080" s="169" t="s">
        <v>9156</v>
      </c>
      <c r="E2080" s="169" t="s">
        <v>36</v>
      </c>
      <c r="F2080" s="245" t="str">
        <f t="shared" si="131"/>
        <v>StpS 77</v>
      </c>
      <c r="G2080" s="169" t="s">
        <v>354</v>
      </c>
      <c r="I2080" s="169" t="str">
        <f t="shared" si="129"/>
        <v>L10_DPVE_092E_STOPE</v>
      </c>
      <c r="J2080" s="169" t="s">
        <v>10206</v>
      </c>
      <c r="K2080" s="169">
        <f>IFERROR(MATCH(J2080,'Final List'!$B$4:$B$252,0),0)</f>
        <v>0</v>
      </c>
      <c r="L2080" s="169">
        <f>IFERROR(MATCH(J2080,'Final List'!$D$4:$D$252,0),0)</f>
        <v>0</v>
      </c>
      <c r="M2080" s="169">
        <f>IFERROR(MATCH(J2080,'Final List'!$F$4:$F$251,0),0)</f>
        <v>0</v>
      </c>
      <c r="N2080" s="169">
        <f>IFERROR(MATCH(J2080,'Final List'!$H$4:$H$252,0),0)</f>
        <v>0</v>
      </c>
      <c r="O2080" s="169">
        <f>IFERROR(MATCH(J2080,'Final List'!$J$4:$J$252,0),0)</f>
        <v>0</v>
      </c>
      <c r="P2080" s="169">
        <f>IFERROR(MATCH(J2080,'Final List'!$L$4:$L$252,0),0)</f>
        <v>0</v>
      </c>
      <c r="Q2080" s="169">
        <f>IFERROR(MATCH(J2080,'Final List'!$N$4:$N$252,0),0)</f>
        <v>0</v>
      </c>
      <c r="R2080" s="169">
        <f>IFERROR(MATCH(J2080,'Final List'!$P$4:$P$252,0),0)</f>
        <v>0</v>
      </c>
      <c r="S2080" s="169">
        <f t="shared" si="132"/>
        <v>0</v>
      </c>
      <c r="T2080" s="169" t="s">
        <v>68</v>
      </c>
      <c r="V2080" s="169" t="str">
        <f t="shared" si="130"/>
        <v>BAÑEZ 3</v>
      </c>
      <c r="W2080" s="169" t="s">
        <v>2713</v>
      </c>
    </row>
    <row r="2081" spans="2:23" x14ac:dyDescent="0.25">
      <c r="B2081" s="169" t="s">
        <v>258</v>
      </c>
      <c r="C2081" s="169" t="s">
        <v>45</v>
      </c>
      <c r="D2081" s="169" t="s">
        <v>9847</v>
      </c>
      <c r="E2081" s="169" t="s">
        <v>211</v>
      </c>
      <c r="F2081" s="245" t="str">
        <f t="shared" si="131"/>
        <v>StpS 77</v>
      </c>
      <c r="G2081" s="169" t="s">
        <v>488</v>
      </c>
      <c r="I2081" s="169" t="str">
        <f t="shared" si="129"/>
        <v>L10_DPVE_095E_STOPE PREP</v>
      </c>
      <c r="J2081" s="169" t="s">
        <v>10054</v>
      </c>
      <c r="K2081" s="169">
        <f>IFERROR(MATCH(J2081,'Final List'!$B$4:$B$252,0),0)</f>
        <v>0</v>
      </c>
      <c r="L2081" s="169">
        <f>IFERROR(MATCH(J2081,'Final List'!$D$4:$D$252,0),0)</f>
        <v>0</v>
      </c>
      <c r="M2081" s="169">
        <f>IFERROR(MATCH(J2081,'Final List'!$F$4:$F$251,0),0)</f>
        <v>0</v>
      </c>
      <c r="N2081" s="169">
        <f>IFERROR(MATCH(J2081,'Final List'!$H$4:$H$252,0),0)</f>
        <v>0</v>
      </c>
      <c r="O2081" s="169">
        <f>IFERROR(MATCH(J2081,'Final List'!$J$4:$J$252,0),0)</f>
        <v>0</v>
      </c>
      <c r="P2081" s="169">
        <f>IFERROR(MATCH(J2081,'Final List'!$L$4:$L$252,0),0)</f>
        <v>0</v>
      </c>
      <c r="Q2081" s="169">
        <f>IFERROR(MATCH(J2081,'Final List'!$N$4:$N$252,0),0)</f>
        <v>0</v>
      </c>
      <c r="R2081" s="169">
        <f>IFERROR(MATCH(J2081,'Final List'!$P$4:$P$252,0),0)</f>
        <v>0</v>
      </c>
      <c r="S2081" s="169">
        <f t="shared" si="132"/>
        <v>0</v>
      </c>
      <c r="T2081" s="169" t="s">
        <v>68</v>
      </c>
      <c r="V2081" s="169" t="str">
        <f t="shared" si="130"/>
        <v>BAÑEZ 9</v>
      </c>
      <c r="W2081" s="169" t="s">
        <v>2712</v>
      </c>
    </row>
    <row r="2082" spans="2:23" x14ac:dyDescent="0.25">
      <c r="B2082" s="169" t="s">
        <v>258</v>
      </c>
      <c r="C2082" s="169" t="s">
        <v>45</v>
      </c>
      <c r="D2082" s="169" t="s">
        <v>129</v>
      </c>
      <c r="E2082" s="169" t="s">
        <v>36</v>
      </c>
      <c r="F2082" s="245" t="str">
        <f t="shared" si="131"/>
        <v>StpS 77</v>
      </c>
      <c r="G2082" s="169" t="s">
        <v>9959</v>
      </c>
      <c r="I2082" s="169" t="str">
        <f t="shared" si="129"/>
        <v>L10_DPVE_010E_STOPE</v>
      </c>
      <c r="J2082" s="169" t="s">
        <v>10192</v>
      </c>
      <c r="K2082" s="169">
        <f>IFERROR(MATCH(J2082,'Final List'!$B$4:$B$252,0),0)</f>
        <v>0</v>
      </c>
      <c r="L2082" s="169">
        <f>IFERROR(MATCH(J2082,'Final List'!$D$4:$D$252,0),0)</f>
        <v>0</v>
      </c>
      <c r="M2082" s="169">
        <f>IFERROR(MATCH(J2082,'Final List'!$F$4:$F$251,0),0)</f>
        <v>0</v>
      </c>
      <c r="N2082" s="169">
        <f>IFERROR(MATCH(J2082,'Final List'!$H$4:$H$252,0),0)</f>
        <v>0</v>
      </c>
      <c r="O2082" s="169">
        <f>IFERROR(MATCH(J2082,'Final List'!$J$4:$J$252,0),0)</f>
        <v>0</v>
      </c>
      <c r="P2082" s="169">
        <f>IFERROR(MATCH(J2082,'Final List'!$L$4:$L$252,0),0)</f>
        <v>0</v>
      </c>
      <c r="Q2082" s="169">
        <f>IFERROR(MATCH(J2082,'Final List'!$N$4:$N$252,0),0)</f>
        <v>0</v>
      </c>
      <c r="R2082" s="169">
        <f>IFERROR(MATCH(J2082,'Final List'!$P$4:$P$252,0),0)</f>
        <v>0</v>
      </c>
      <c r="S2082" s="169">
        <f t="shared" si="132"/>
        <v>0</v>
      </c>
      <c r="T2082" s="169" t="s">
        <v>68</v>
      </c>
      <c r="V2082" s="169" t="str">
        <f t="shared" si="130"/>
        <v>SHEPHERD BC</v>
      </c>
      <c r="W2082" s="169" t="s">
        <v>2719</v>
      </c>
    </row>
    <row r="2083" spans="2:23" x14ac:dyDescent="0.25">
      <c r="B2083" s="169" t="s">
        <v>1166</v>
      </c>
      <c r="C2083" s="169" t="s">
        <v>43</v>
      </c>
      <c r="D2083" s="169" t="s">
        <v>289</v>
      </c>
      <c r="E2083" s="169" t="s">
        <v>441</v>
      </c>
      <c r="F2083" s="245" t="str">
        <f t="shared" si="131"/>
        <v>RobC 80</v>
      </c>
      <c r="G2083" s="169" t="s">
        <v>4068</v>
      </c>
      <c r="I2083" s="169" t="str">
        <f t="shared" si="129"/>
        <v>L11_GHVSPLIT_059E_WINZE STOPE PREP</v>
      </c>
      <c r="J2083" s="169" t="s">
        <v>14441</v>
      </c>
      <c r="K2083" s="169">
        <f>IFERROR(MATCH(J2083,'Final List'!$B$4:$B$252,0),0)</f>
        <v>0</v>
      </c>
      <c r="L2083" s="169">
        <f>IFERROR(MATCH(J2083,'Final List'!$D$4:$D$252,0),0)</f>
        <v>0</v>
      </c>
      <c r="M2083" s="169">
        <f>IFERROR(MATCH(J2083,'Final List'!$F$4:$F$251,0),0)</f>
        <v>0</v>
      </c>
      <c r="N2083" s="169">
        <f>IFERROR(MATCH(J2083,'Final List'!$H$4:$H$252,0),0)</f>
        <v>0</v>
      </c>
      <c r="O2083" s="169">
        <f>IFERROR(MATCH(J2083,'Final List'!$J$4:$J$252,0),0)</f>
        <v>0</v>
      </c>
      <c r="P2083" s="169">
        <f>IFERROR(MATCH(J2083,'Final List'!$L$4:$L$252,0),0)</f>
        <v>0</v>
      </c>
      <c r="Q2083" s="169">
        <f>IFERROR(MATCH(J2083,'Final List'!$N$4:$N$252,0),0)</f>
        <v>0</v>
      </c>
      <c r="R2083" s="169">
        <f>IFERROR(MATCH(J2083,'Final List'!$P$4:$P$252,0),0)</f>
        <v>0</v>
      </c>
      <c r="S2083" s="169">
        <f t="shared" si="132"/>
        <v>0</v>
      </c>
      <c r="T2083" s="169" t="s">
        <v>68</v>
      </c>
      <c r="V2083" s="169" t="str">
        <f t="shared" si="130"/>
        <v>MAPAYO</v>
      </c>
      <c r="W2083" s="169" t="s">
        <v>2716</v>
      </c>
    </row>
    <row r="2084" spans="2:23" x14ac:dyDescent="0.25">
      <c r="B2084" s="169" t="s">
        <v>1166</v>
      </c>
      <c r="C2084" s="169" t="s">
        <v>59</v>
      </c>
      <c r="D2084" s="169" t="s">
        <v>595</v>
      </c>
      <c r="E2084" s="169" t="s">
        <v>211</v>
      </c>
      <c r="F2084" s="245" t="str">
        <f t="shared" si="131"/>
        <v>StpS 77</v>
      </c>
      <c r="G2084" s="169" t="s">
        <v>742</v>
      </c>
      <c r="I2084" s="169" t="str">
        <f t="shared" si="129"/>
        <v>L11_GHVHW_072E_STOPE PREP</v>
      </c>
      <c r="J2084" s="169" t="s">
        <v>10069</v>
      </c>
      <c r="K2084" s="169">
        <f>IFERROR(MATCH(J2084,'Final List'!$B$4:$B$252,0),0)</f>
        <v>0</v>
      </c>
      <c r="L2084" s="169">
        <f>IFERROR(MATCH(J2084,'Final List'!$D$4:$D$252,0),0)</f>
        <v>0</v>
      </c>
      <c r="M2084" s="169">
        <f>IFERROR(MATCH(J2084,'Final List'!$F$4:$F$251,0),0)</f>
        <v>0</v>
      </c>
      <c r="N2084" s="169">
        <f>IFERROR(MATCH(J2084,'Final List'!$H$4:$H$252,0),0)</f>
        <v>0</v>
      </c>
      <c r="O2084" s="169">
        <f>IFERROR(MATCH(J2084,'Final List'!$J$4:$J$252,0),0)</f>
        <v>0</v>
      </c>
      <c r="P2084" s="169">
        <f>IFERROR(MATCH(J2084,'Final List'!$L$4:$L$252,0),0)</f>
        <v>0</v>
      </c>
      <c r="Q2084" s="169">
        <f>IFERROR(MATCH(J2084,'Final List'!$N$4:$N$252,0),0)</f>
        <v>0</v>
      </c>
      <c r="R2084" s="169">
        <f>IFERROR(MATCH(J2084,'Final List'!$P$4:$P$252,0),0)</f>
        <v>0</v>
      </c>
      <c r="S2084" s="169">
        <f t="shared" si="132"/>
        <v>0</v>
      </c>
      <c r="T2084" s="169" t="s">
        <v>68</v>
      </c>
      <c r="V2084" s="169" t="str">
        <f t="shared" si="130"/>
        <v>REBOTE 2</v>
      </c>
      <c r="W2084" s="169" t="s">
        <v>2712</v>
      </c>
    </row>
    <row r="2085" spans="2:23" x14ac:dyDescent="0.25">
      <c r="B2085" s="169" t="s">
        <v>1166</v>
      </c>
      <c r="C2085" s="169" t="s">
        <v>43</v>
      </c>
      <c r="D2085" s="169" t="s">
        <v>165</v>
      </c>
      <c r="E2085" s="169" t="s">
        <v>211</v>
      </c>
      <c r="F2085" s="245" t="str">
        <f t="shared" si="131"/>
        <v>StpS 77</v>
      </c>
      <c r="G2085" s="169" t="s">
        <v>358</v>
      </c>
      <c r="I2085" s="169" t="str">
        <f t="shared" si="129"/>
        <v>L11_GHVSPLIT_056E_STOPE PREP</v>
      </c>
      <c r="J2085" s="169" t="s">
        <v>10058</v>
      </c>
      <c r="K2085" s="169">
        <f>IFERROR(MATCH(J2085,'Final List'!$B$4:$B$252,0),0)</f>
        <v>0</v>
      </c>
      <c r="L2085" s="169">
        <f>IFERROR(MATCH(J2085,'Final List'!$D$4:$D$252,0),0)</f>
        <v>0</v>
      </c>
      <c r="M2085" s="169">
        <f>IFERROR(MATCH(J2085,'Final List'!$F$4:$F$251,0),0)</f>
        <v>0</v>
      </c>
      <c r="N2085" s="169">
        <f>IFERROR(MATCH(J2085,'Final List'!$H$4:$H$252,0),0)</f>
        <v>0</v>
      </c>
      <c r="O2085" s="169">
        <f>IFERROR(MATCH(J2085,'Final List'!$J$4:$J$252,0),0)</f>
        <v>0</v>
      </c>
      <c r="P2085" s="169">
        <f>IFERROR(MATCH(J2085,'Final List'!$L$4:$L$252,0),0)</f>
        <v>0</v>
      </c>
      <c r="Q2085" s="169">
        <f>IFERROR(MATCH(J2085,'Final List'!$N$4:$N$252,0),0)</f>
        <v>0</v>
      </c>
      <c r="R2085" s="169">
        <f>IFERROR(MATCH(J2085,'Final List'!$P$4:$P$252,0),0)</f>
        <v>0</v>
      </c>
      <c r="S2085" s="169">
        <f t="shared" si="132"/>
        <v>0</v>
      </c>
      <c r="T2085" s="169" t="s">
        <v>68</v>
      </c>
      <c r="V2085" s="169" t="str">
        <f t="shared" si="130"/>
        <v>ALEÑAR 1</v>
      </c>
      <c r="W2085" s="169" t="s">
        <v>2712</v>
      </c>
    </row>
    <row r="2086" spans="2:23" x14ac:dyDescent="0.25">
      <c r="B2086" s="169" t="s">
        <v>1166</v>
      </c>
      <c r="C2086" s="169" t="s">
        <v>56</v>
      </c>
      <c r="D2086" s="169" t="s">
        <v>176</v>
      </c>
      <c r="E2086" s="169" t="s">
        <v>60</v>
      </c>
      <c r="F2086" s="245" t="str">
        <f t="shared" si="131"/>
        <v>Dhoz 71</v>
      </c>
      <c r="G2086" s="169" t="s">
        <v>359</v>
      </c>
      <c r="I2086" s="169" t="str">
        <f t="shared" si="129"/>
        <v>L11_GHVFW_057E_DE</v>
      </c>
      <c r="J2086" s="169" t="s">
        <v>10059</v>
      </c>
      <c r="K2086" s="169">
        <f>IFERROR(MATCH(J2086,'Final List'!$B$4:$B$252,0),0)</f>
        <v>0</v>
      </c>
      <c r="L2086" s="169">
        <f>IFERROR(MATCH(J2086,'Final List'!$D$4:$D$252,0),0)</f>
        <v>0</v>
      </c>
      <c r="M2086" s="169">
        <f>IFERROR(MATCH(J2086,'Final List'!$F$4:$F$251,0),0)</f>
        <v>0</v>
      </c>
      <c r="N2086" s="169">
        <f>IFERROR(MATCH(J2086,'Final List'!$H$4:$H$252,0),0)</f>
        <v>0</v>
      </c>
      <c r="O2086" s="169">
        <f>IFERROR(MATCH(J2086,'Final List'!$J$4:$J$252,0),0)</f>
        <v>0</v>
      </c>
      <c r="P2086" s="169">
        <f>IFERROR(MATCH(J2086,'Final List'!$L$4:$L$252,0),0)</f>
        <v>0</v>
      </c>
      <c r="Q2086" s="169">
        <f>IFERROR(MATCH(J2086,'Final List'!$N$4:$N$252,0),0)</f>
        <v>0</v>
      </c>
      <c r="R2086" s="169">
        <f>IFERROR(MATCH(J2086,'Final List'!$P$4:$P$252,0),0)</f>
        <v>0</v>
      </c>
      <c r="S2086" s="169">
        <f t="shared" si="132"/>
        <v>0</v>
      </c>
      <c r="V2086" s="169" t="str">
        <f t="shared" si="130"/>
        <v>ALEÑAR 2</v>
      </c>
      <c r="W2086" s="169" t="s">
        <v>8896</v>
      </c>
    </row>
    <row r="2087" spans="2:23" x14ac:dyDescent="0.25">
      <c r="B2087" s="169" t="s">
        <v>1166</v>
      </c>
      <c r="C2087" s="169" t="s">
        <v>42</v>
      </c>
      <c r="D2087" s="169" t="s">
        <v>148</v>
      </c>
      <c r="E2087" s="169" t="s">
        <v>61</v>
      </c>
      <c r="F2087" s="245" t="str">
        <f t="shared" si="131"/>
        <v>Dhoz 71</v>
      </c>
      <c r="G2087" s="169" t="s">
        <v>5921</v>
      </c>
      <c r="H2087" s="169" t="s">
        <v>341</v>
      </c>
      <c r="I2087" s="169" t="str">
        <f t="shared" si="129"/>
        <v>L11_JV_039E_DW</v>
      </c>
      <c r="J2087" s="169" t="s">
        <v>10762</v>
      </c>
      <c r="K2087" s="169">
        <f>IFERROR(MATCH(J2087,'Final List'!$B$4:$B$252,0),0)</f>
        <v>0</v>
      </c>
      <c r="L2087" s="169">
        <f>IFERROR(MATCH(J2087,'Final List'!$D$4:$D$252,0),0)</f>
        <v>0</v>
      </c>
      <c r="M2087" s="169">
        <f>IFERROR(MATCH(J2087,'Final List'!$F$4:$F$251,0),0)</f>
        <v>0</v>
      </c>
      <c r="N2087" s="169">
        <f>IFERROR(MATCH(J2087,'Final List'!$H$4:$H$252,0),0)</f>
        <v>0</v>
      </c>
      <c r="O2087" s="169">
        <f>IFERROR(MATCH(J2087,'Final List'!$J$4:$J$252,0),0)</f>
        <v>0</v>
      </c>
      <c r="P2087" s="169">
        <f>IFERROR(MATCH(J2087,'Final List'!$L$4:$L$252,0),0)</f>
        <v>0</v>
      </c>
      <c r="Q2087" s="169">
        <f>IFERROR(MATCH(J2087,'Final List'!$N$4:$N$252,0),0)</f>
        <v>0</v>
      </c>
      <c r="R2087" s="169">
        <f>IFERROR(MATCH(J2087,'Final List'!$P$4:$P$252,0),0)</f>
        <v>0</v>
      </c>
      <c r="S2087" s="169">
        <f t="shared" si="132"/>
        <v>0</v>
      </c>
      <c r="V2087" s="169" t="str">
        <f t="shared" si="130"/>
        <v>BADBADON 1</v>
      </c>
      <c r="W2087" s="169" t="s">
        <v>8896</v>
      </c>
    </row>
    <row r="2088" spans="2:23" x14ac:dyDescent="0.25">
      <c r="B2088" s="169" t="s">
        <v>1167</v>
      </c>
      <c r="C2088" s="169" t="s">
        <v>38</v>
      </c>
      <c r="D2088" s="169" t="s">
        <v>289</v>
      </c>
      <c r="E2088" s="169" t="s">
        <v>61</v>
      </c>
      <c r="F2088" s="245" t="str">
        <f t="shared" si="131"/>
        <v>Dhoz 71</v>
      </c>
      <c r="G2088" s="169" t="s">
        <v>6930</v>
      </c>
      <c r="H2088" s="169" t="s">
        <v>364</v>
      </c>
      <c r="I2088" s="169" t="str">
        <f t="shared" si="129"/>
        <v>L12_GHV_059E_DW</v>
      </c>
      <c r="J2088" s="169" t="s">
        <v>10067</v>
      </c>
      <c r="K2088" s="169">
        <f>IFERROR(MATCH(J2088,'Final List'!$B$4:$B$252,0),0)</f>
        <v>0</v>
      </c>
      <c r="L2088" s="169">
        <f>IFERROR(MATCH(J2088,'Final List'!$D$4:$D$252,0),0)</f>
        <v>0</v>
      </c>
      <c r="M2088" s="169">
        <f>IFERROR(MATCH(J2088,'Final List'!$F$4:$F$251,0),0)</f>
        <v>0</v>
      </c>
      <c r="N2088" s="169">
        <f>IFERROR(MATCH(J2088,'Final List'!$H$4:$H$252,0),0)</f>
        <v>0</v>
      </c>
      <c r="O2088" s="169">
        <f>IFERROR(MATCH(J2088,'Final List'!$J$4:$J$252,0),0)</f>
        <v>0</v>
      </c>
      <c r="P2088" s="169">
        <f>IFERROR(MATCH(J2088,'Final List'!$L$4:$L$252,0),0)</f>
        <v>0</v>
      </c>
      <c r="Q2088" s="169">
        <f>IFERROR(MATCH(J2088,'Final List'!$N$4:$N$252,0),0)</f>
        <v>0</v>
      </c>
      <c r="R2088" s="169">
        <f>IFERROR(MATCH(J2088,'Final List'!$P$4:$P$252,0),0)</f>
        <v>0</v>
      </c>
      <c r="S2088" s="169">
        <f t="shared" si="132"/>
        <v>0</v>
      </c>
      <c r="V2088" s="169" t="str">
        <f t="shared" si="130"/>
        <v>BABOR 3</v>
      </c>
      <c r="W2088" s="169" t="s">
        <v>8896</v>
      </c>
    </row>
    <row r="2089" spans="2:23" x14ac:dyDescent="0.25">
      <c r="B2089" s="169" t="s">
        <v>258</v>
      </c>
      <c r="C2089" s="169" t="s">
        <v>45</v>
      </c>
      <c r="D2089" s="169" t="s">
        <v>170</v>
      </c>
      <c r="E2089" s="169" t="s">
        <v>19</v>
      </c>
      <c r="F2089" s="245" t="str">
        <f t="shared" si="131"/>
        <v>DVR 72</v>
      </c>
      <c r="G2089" s="169" t="s">
        <v>5703</v>
      </c>
      <c r="I2089" s="169" t="str">
        <f t="shared" si="129"/>
        <v>L10_DPVE_071E_RAISE</v>
      </c>
      <c r="J2089" s="169" t="s">
        <v>5413</v>
      </c>
      <c r="K2089" s="169">
        <f>IFERROR(MATCH(J2089,'Final List'!$B$4:$B$252,0),0)</f>
        <v>0</v>
      </c>
      <c r="L2089" s="169">
        <f>IFERROR(MATCH(J2089,'Final List'!$D$4:$D$252,0),0)</f>
        <v>0</v>
      </c>
      <c r="M2089" s="169">
        <f>IFERROR(MATCH(J2089,'Final List'!$F$4:$F$251,0),0)</f>
        <v>0</v>
      </c>
      <c r="N2089" s="169">
        <f>IFERROR(MATCH(J2089,'Final List'!$H$4:$H$252,0),0)</f>
        <v>0</v>
      </c>
      <c r="O2089" s="169">
        <f>IFERROR(MATCH(J2089,'Final List'!$J$4:$J$252,0),0)</f>
        <v>0</v>
      </c>
      <c r="P2089" s="169">
        <f>IFERROR(MATCH(J2089,'Final List'!$L$4:$L$252,0),0)</f>
        <v>0</v>
      </c>
      <c r="Q2089" s="169">
        <f>IFERROR(MATCH(J2089,'Final List'!$N$4:$N$252,0),0)</f>
        <v>0</v>
      </c>
      <c r="R2089" s="169">
        <f>IFERROR(MATCH(J2089,'Final List'!$P$4:$P$252,0),0)</f>
        <v>0</v>
      </c>
      <c r="S2089" s="169">
        <f t="shared" si="132"/>
        <v>0</v>
      </c>
      <c r="V2089" s="169" t="str">
        <f t="shared" si="130"/>
        <v>OLIVEROS 2</v>
      </c>
      <c r="W2089" s="169" t="s">
        <v>2715</v>
      </c>
    </row>
    <row r="2090" spans="2:23" x14ac:dyDescent="0.25">
      <c r="B2090" s="169" t="s">
        <v>258</v>
      </c>
      <c r="C2090" s="169" t="s">
        <v>45</v>
      </c>
      <c r="D2090" s="169" t="s">
        <v>5912</v>
      </c>
      <c r="E2090" s="169" t="s">
        <v>36</v>
      </c>
      <c r="F2090" s="245" t="str">
        <f t="shared" si="131"/>
        <v>StpS 77</v>
      </c>
      <c r="G2090" s="169" t="s">
        <v>4</v>
      </c>
      <c r="I2090" s="169" t="str">
        <f t="shared" si="129"/>
        <v>L10_DPVE_019E_STOPE</v>
      </c>
      <c r="J2090" s="169" t="s">
        <v>10074</v>
      </c>
      <c r="K2090" s="169">
        <f>IFERROR(MATCH(J2090,'Final List'!$B$4:$B$252,0),0)</f>
        <v>0</v>
      </c>
      <c r="L2090" s="169">
        <f>IFERROR(MATCH(J2090,'Final List'!$D$4:$D$252,0),0)</f>
        <v>0</v>
      </c>
      <c r="M2090" s="169">
        <f>IFERROR(MATCH(J2090,'Final List'!$F$4:$F$251,0),0)</f>
        <v>0</v>
      </c>
      <c r="N2090" s="169">
        <f>IFERROR(MATCH(J2090,'Final List'!$H$4:$H$252,0),0)</f>
        <v>0</v>
      </c>
      <c r="O2090" s="169">
        <f>IFERROR(MATCH(J2090,'Final List'!$J$4:$J$252,0),0)</f>
        <v>0</v>
      </c>
      <c r="P2090" s="169">
        <f>IFERROR(MATCH(J2090,'Final List'!$L$4:$L$252,0),0)</f>
        <v>0</v>
      </c>
      <c r="Q2090" s="169">
        <f>IFERROR(MATCH(J2090,'Final List'!$N$4:$N$252,0),0)</f>
        <v>0</v>
      </c>
      <c r="R2090" s="169">
        <f>IFERROR(MATCH(J2090,'Final List'!$P$4:$P$252,0),0)</f>
        <v>0</v>
      </c>
      <c r="S2090" s="169">
        <f t="shared" si="132"/>
        <v>0</v>
      </c>
      <c r="T2090" s="169" t="s">
        <v>68</v>
      </c>
      <c r="V2090" s="169" t="str">
        <f t="shared" si="130"/>
        <v>MONTEBON</v>
      </c>
      <c r="W2090" s="169" t="s">
        <v>2713</v>
      </c>
    </row>
    <row r="2091" spans="2:23" x14ac:dyDescent="0.25">
      <c r="B2091" s="169" t="s">
        <v>96</v>
      </c>
      <c r="C2091" s="169" t="s">
        <v>59</v>
      </c>
      <c r="D2091" s="169" t="s">
        <v>143</v>
      </c>
      <c r="E2091" s="169" t="s">
        <v>19</v>
      </c>
      <c r="F2091" s="245" t="str">
        <f t="shared" si="131"/>
        <v>DVR 72</v>
      </c>
      <c r="G2091" s="169" t="s">
        <v>745</v>
      </c>
      <c r="I2091" s="169" t="str">
        <f t="shared" si="129"/>
        <v>L09_GHVHW_032E_RAISE</v>
      </c>
      <c r="J2091" s="169" t="s">
        <v>10076</v>
      </c>
      <c r="K2091" s="169">
        <f>IFERROR(MATCH(J2091,'Final List'!$B$4:$B$252,0),0)</f>
        <v>0</v>
      </c>
      <c r="L2091" s="169">
        <f>IFERROR(MATCH(J2091,'Final List'!$D$4:$D$252,0),0)</f>
        <v>0</v>
      </c>
      <c r="M2091" s="169">
        <f>IFERROR(MATCH(J2091,'Final List'!$F$4:$F$251,0),0)</f>
        <v>0</v>
      </c>
      <c r="N2091" s="169">
        <f>IFERROR(MATCH(J2091,'Final List'!$H$4:$H$252,0),0)</f>
        <v>0</v>
      </c>
      <c r="O2091" s="169">
        <f>IFERROR(MATCH(J2091,'Final List'!$J$4:$J$252,0),0)</f>
        <v>0</v>
      </c>
      <c r="P2091" s="169">
        <f>IFERROR(MATCH(J2091,'Final List'!$L$4:$L$252,0),0)</f>
        <v>0</v>
      </c>
      <c r="Q2091" s="169">
        <f>IFERROR(MATCH(J2091,'Final List'!$N$4:$N$252,0),0)</f>
        <v>0</v>
      </c>
      <c r="R2091" s="169">
        <f>IFERROR(MATCH(J2091,'Final List'!$P$4:$P$252,0),0)</f>
        <v>0</v>
      </c>
      <c r="S2091" s="169">
        <f t="shared" si="132"/>
        <v>0</v>
      </c>
      <c r="V2091" s="169" t="str">
        <f t="shared" si="130"/>
        <v>CANOY 2</v>
      </c>
      <c r="W2091" s="169" t="s">
        <v>2715</v>
      </c>
    </row>
    <row r="2092" spans="2:23" x14ac:dyDescent="0.25">
      <c r="B2092" s="169" t="s">
        <v>92</v>
      </c>
      <c r="C2092" s="169" t="s">
        <v>45</v>
      </c>
      <c r="D2092" s="169" t="s">
        <v>5781</v>
      </c>
      <c r="E2092" s="169" t="s">
        <v>61</v>
      </c>
      <c r="F2092" s="245" t="str">
        <f t="shared" si="131"/>
        <v>Dhoz 71</v>
      </c>
      <c r="G2092" s="169" t="s">
        <v>5699</v>
      </c>
      <c r="I2092" s="169" t="str">
        <f t="shared" si="129"/>
        <v>L05_DPVE_051E_DW</v>
      </c>
      <c r="J2092" s="169" t="s">
        <v>10078</v>
      </c>
      <c r="K2092" s="169">
        <f>IFERROR(MATCH(J2092,'Final List'!$B$4:$B$252,0),0)</f>
        <v>0</v>
      </c>
      <c r="L2092" s="169">
        <f>IFERROR(MATCH(J2092,'Final List'!$D$4:$D$252,0),0)</f>
        <v>0</v>
      </c>
      <c r="M2092" s="169">
        <f>IFERROR(MATCH(J2092,'Final List'!$F$4:$F$251,0),0)</f>
        <v>0</v>
      </c>
      <c r="N2092" s="169">
        <f>IFERROR(MATCH(J2092,'Final List'!$H$4:$H$252,0),0)</f>
        <v>0</v>
      </c>
      <c r="O2092" s="169">
        <f>IFERROR(MATCH(J2092,'Final List'!$J$4:$J$252,0),0)</f>
        <v>0</v>
      </c>
      <c r="P2092" s="169">
        <f>IFERROR(MATCH(J2092,'Final List'!$L$4:$L$252,0),0)</f>
        <v>0</v>
      </c>
      <c r="Q2092" s="169">
        <f>IFERROR(MATCH(J2092,'Final List'!$N$4:$N$252,0),0)</f>
        <v>0</v>
      </c>
      <c r="R2092" s="169">
        <f>IFERROR(MATCH(J2092,'Final List'!$P$4:$P$252,0),0)</f>
        <v>0</v>
      </c>
      <c r="S2092" s="169">
        <f t="shared" si="132"/>
        <v>0</v>
      </c>
      <c r="V2092" s="169" t="str">
        <f t="shared" si="130"/>
        <v>PARAN 2</v>
      </c>
      <c r="W2092" s="169" t="s">
        <v>8895</v>
      </c>
    </row>
    <row r="2093" spans="2:23" x14ac:dyDescent="0.25">
      <c r="B2093" s="169" t="s">
        <v>1166</v>
      </c>
      <c r="C2093" s="169" t="s">
        <v>87</v>
      </c>
      <c r="D2093" s="169" t="s">
        <v>5741</v>
      </c>
      <c r="E2093" s="169" t="s">
        <v>37</v>
      </c>
      <c r="F2093" s="245" t="str">
        <f t="shared" si="131"/>
        <v>Dhoz 71</v>
      </c>
      <c r="G2093" s="169" t="s">
        <v>474</v>
      </c>
      <c r="I2093" s="169" t="str">
        <f t="shared" si="129"/>
        <v>L11_NONE_035E_XCN</v>
      </c>
      <c r="J2093" s="169" t="s">
        <v>10081</v>
      </c>
      <c r="K2093" s="169">
        <f>IFERROR(MATCH(J2093,'Final List'!$B$4:$B$252,0),0)</f>
        <v>0</v>
      </c>
      <c r="L2093" s="169">
        <f>IFERROR(MATCH(J2093,'Final List'!$D$4:$D$252,0),0)</f>
        <v>0</v>
      </c>
      <c r="M2093" s="169">
        <f>IFERROR(MATCH(J2093,'Final List'!$F$4:$F$251,0),0)</f>
        <v>0</v>
      </c>
      <c r="N2093" s="169">
        <f>IFERROR(MATCH(J2093,'Final List'!$H$4:$H$252,0),0)</f>
        <v>0</v>
      </c>
      <c r="O2093" s="169">
        <f>IFERROR(MATCH(J2093,'Final List'!$J$4:$J$252,0),0)</f>
        <v>0</v>
      </c>
      <c r="P2093" s="169">
        <f>IFERROR(MATCH(J2093,'Final List'!$L$4:$L$252,0),0)</f>
        <v>0</v>
      </c>
      <c r="Q2093" s="169">
        <f>IFERROR(MATCH(J2093,'Final List'!$N$4:$N$252,0),0)</f>
        <v>0</v>
      </c>
      <c r="R2093" s="169">
        <f>IFERROR(MATCH(J2093,'Final List'!$P$4:$P$252,0),0)</f>
        <v>0</v>
      </c>
      <c r="S2093" s="169">
        <f t="shared" si="132"/>
        <v>0</v>
      </c>
      <c r="V2093" s="169" t="str">
        <f t="shared" si="130"/>
        <v>TORMIS 1</v>
      </c>
      <c r="W2093" s="169" t="s">
        <v>8898</v>
      </c>
    </row>
    <row r="2094" spans="2:23" x14ac:dyDescent="0.25">
      <c r="B2094" s="169" t="s">
        <v>258</v>
      </c>
      <c r="C2094" s="169" t="s">
        <v>56</v>
      </c>
      <c r="D2094" s="169" t="s">
        <v>176</v>
      </c>
      <c r="E2094" s="169" t="s">
        <v>19</v>
      </c>
      <c r="F2094" s="245" t="str">
        <f t="shared" si="131"/>
        <v>DVR 72</v>
      </c>
      <c r="G2094" s="169" t="s">
        <v>296</v>
      </c>
      <c r="I2094" s="169" t="str">
        <f t="shared" si="129"/>
        <v>L10_GHVFW_057E_RAISE</v>
      </c>
      <c r="J2094" s="169" t="s">
        <v>10083</v>
      </c>
      <c r="K2094" s="169">
        <f>IFERROR(MATCH(J2094,'Final List'!$B$4:$B$252,0),0)</f>
        <v>0</v>
      </c>
      <c r="L2094" s="169">
        <f>IFERROR(MATCH(J2094,'Final List'!$D$4:$D$252,0),0)</f>
        <v>0</v>
      </c>
      <c r="M2094" s="169">
        <f>IFERROR(MATCH(J2094,'Final List'!$F$4:$F$251,0),0)</f>
        <v>0</v>
      </c>
      <c r="N2094" s="169">
        <f>IFERROR(MATCH(J2094,'Final List'!$H$4:$H$252,0),0)</f>
        <v>0</v>
      </c>
      <c r="O2094" s="169">
        <f>IFERROR(MATCH(J2094,'Final List'!$J$4:$J$252,0),0)</f>
        <v>0</v>
      </c>
      <c r="P2094" s="169">
        <f>IFERROR(MATCH(J2094,'Final List'!$L$4:$L$252,0),0)</f>
        <v>0</v>
      </c>
      <c r="Q2094" s="169">
        <f>IFERROR(MATCH(J2094,'Final List'!$N$4:$N$252,0),0)</f>
        <v>0</v>
      </c>
      <c r="R2094" s="169">
        <f>IFERROR(MATCH(J2094,'Final List'!$P$4:$P$252,0),0)</f>
        <v>0</v>
      </c>
      <c r="S2094" s="169">
        <f t="shared" si="132"/>
        <v>0</v>
      </c>
      <c r="V2094" s="169" t="str">
        <f t="shared" si="130"/>
        <v>MONTEBON 2</v>
      </c>
      <c r="W2094" s="169" t="s">
        <v>2715</v>
      </c>
    </row>
    <row r="2095" spans="2:23" x14ac:dyDescent="0.25">
      <c r="B2095" s="169" t="s">
        <v>8904</v>
      </c>
      <c r="C2095" s="169" t="s">
        <v>57</v>
      </c>
      <c r="D2095" s="169" t="s">
        <v>97</v>
      </c>
      <c r="E2095" s="169" t="s">
        <v>62</v>
      </c>
      <c r="F2095" s="245" t="str">
        <f t="shared" si="131"/>
        <v>RobS 79</v>
      </c>
      <c r="G2095" s="169" t="s">
        <v>9349</v>
      </c>
      <c r="I2095" s="169" t="str">
        <f t="shared" si="129"/>
        <v>L03_JVSPLIT_012W_ROBBING</v>
      </c>
      <c r="J2095" s="169" t="s">
        <v>10094</v>
      </c>
      <c r="K2095" s="169">
        <f>IFERROR(MATCH(J2095,'Final List'!$B$4:$B$252,0),0)</f>
        <v>0</v>
      </c>
      <c r="L2095" s="169">
        <f>IFERROR(MATCH(J2095,'Final List'!$D$4:$D$252,0),0)</f>
        <v>0</v>
      </c>
      <c r="M2095" s="169">
        <f>IFERROR(MATCH(J2095,'Final List'!$F$4:$F$251,0),0)</f>
        <v>0</v>
      </c>
      <c r="N2095" s="169">
        <f>IFERROR(MATCH(J2095,'Final List'!$H$4:$H$252,0),0)</f>
        <v>0</v>
      </c>
      <c r="O2095" s="169">
        <f>IFERROR(MATCH(J2095,'Final List'!$J$4:$J$252,0),0)</f>
        <v>0</v>
      </c>
      <c r="P2095" s="169">
        <f>IFERROR(MATCH(J2095,'Final List'!$L$4:$L$252,0),0)</f>
        <v>0</v>
      </c>
      <c r="Q2095" s="169">
        <f>IFERROR(MATCH(J2095,'Final List'!$N$4:$N$252,0),0)</f>
        <v>0</v>
      </c>
      <c r="R2095" s="169">
        <f>IFERROR(MATCH(J2095,'Final List'!$P$4:$P$252,0),0)</f>
        <v>0</v>
      </c>
      <c r="S2095" s="169">
        <f t="shared" si="132"/>
        <v>0</v>
      </c>
      <c r="T2095" s="169" t="s">
        <v>68</v>
      </c>
      <c r="V2095" s="169" t="str">
        <f t="shared" si="130"/>
        <v>FERNANDEZ, RM 3</v>
      </c>
      <c r="W2095" s="169" t="s">
        <v>2707</v>
      </c>
    </row>
    <row r="2096" spans="2:23" x14ac:dyDescent="0.25">
      <c r="B2096" s="169" t="s">
        <v>258</v>
      </c>
      <c r="C2096" s="169" t="s">
        <v>45</v>
      </c>
      <c r="D2096" s="169" t="s">
        <v>131</v>
      </c>
      <c r="E2096" s="169" t="s">
        <v>61</v>
      </c>
      <c r="F2096" s="245" t="str">
        <f t="shared" si="131"/>
        <v>Dhoz 71</v>
      </c>
      <c r="G2096" s="169" t="s">
        <v>9964</v>
      </c>
      <c r="I2096" s="169" t="str">
        <f t="shared" si="129"/>
        <v>L10_DPVE_011E_DW</v>
      </c>
      <c r="J2096" s="169" t="s">
        <v>10096</v>
      </c>
      <c r="K2096" s="169">
        <f>IFERROR(MATCH(J2096,'Final List'!$B$4:$B$252,0),0)</f>
        <v>0</v>
      </c>
      <c r="L2096" s="169">
        <f>IFERROR(MATCH(J2096,'Final List'!$D$4:$D$252,0),0)</f>
        <v>0</v>
      </c>
      <c r="M2096" s="169">
        <f>IFERROR(MATCH(J2096,'Final List'!$F$4:$F$251,0),0)</f>
        <v>0</v>
      </c>
      <c r="N2096" s="169">
        <f>IFERROR(MATCH(J2096,'Final List'!$H$4:$H$252,0),0)</f>
        <v>0</v>
      </c>
      <c r="O2096" s="169">
        <f>IFERROR(MATCH(J2096,'Final List'!$J$4:$J$252,0),0)</f>
        <v>0</v>
      </c>
      <c r="P2096" s="169">
        <f>IFERROR(MATCH(J2096,'Final List'!$L$4:$L$252,0),0)</f>
        <v>0</v>
      </c>
      <c r="Q2096" s="169">
        <f>IFERROR(MATCH(J2096,'Final List'!$N$4:$N$252,0),0)</f>
        <v>0</v>
      </c>
      <c r="R2096" s="169">
        <f>IFERROR(MATCH(J2096,'Final List'!$P$4:$P$252,0),0)</f>
        <v>0</v>
      </c>
      <c r="S2096" s="169">
        <f t="shared" si="132"/>
        <v>0</v>
      </c>
      <c r="V2096" s="169" t="str">
        <f t="shared" si="130"/>
        <v>SHEPHERD BA</v>
      </c>
      <c r="W2096" s="169" t="s">
        <v>8896</v>
      </c>
    </row>
    <row r="2097" spans="2:23" x14ac:dyDescent="0.25">
      <c r="B2097" s="169" t="s">
        <v>92</v>
      </c>
      <c r="C2097" s="169" t="s">
        <v>87</v>
      </c>
      <c r="D2097" s="169" t="s">
        <v>173</v>
      </c>
      <c r="E2097" s="169" t="s">
        <v>37</v>
      </c>
      <c r="F2097" s="245" t="str">
        <f t="shared" si="131"/>
        <v>Dhoz 71</v>
      </c>
      <c r="G2097" s="169" t="s">
        <v>538</v>
      </c>
      <c r="I2097" s="169" t="str">
        <f t="shared" ref="I2097:I2159" si="133">CONCATENATE(B2097,"_",C2097,"_",D2097,"_",E2097)</f>
        <v>L05_NONE_049E_XCN</v>
      </c>
      <c r="J2097" s="169" t="s">
        <v>10097</v>
      </c>
      <c r="K2097" s="169">
        <f>IFERROR(MATCH(J2097,'Final List'!$B$4:$B$252,0),0)</f>
        <v>0</v>
      </c>
      <c r="L2097" s="169">
        <f>IFERROR(MATCH(J2097,'Final List'!$D$4:$D$252,0),0)</f>
        <v>0</v>
      </c>
      <c r="M2097" s="169">
        <f>IFERROR(MATCH(J2097,'Final List'!$F$4:$F$251,0),0)</f>
        <v>0</v>
      </c>
      <c r="N2097" s="169">
        <f>IFERROR(MATCH(J2097,'Final List'!$H$4:$H$252,0),0)</f>
        <v>0</v>
      </c>
      <c r="O2097" s="169">
        <f>IFERROR(MATCH(J2097,'Final List'!$J$4:$J$252,0),0)</f>
        <v>0</v>
      </c>
      <c r="P2097" s="169">
        <f>IFERROR(MATCH(J2097,'Final List'!$L$4:$L$252,0),0)</f>
        <v>0</v>
      </c>
      <c r="Q2097" s="169">
        <f>IFERROR(MATCH(J2097,'Final List'!$N$4:$N$252,0),0)</f>
        <v>0</v>
      </c>
      <c r="R2097" s="169">
        <f>IFERROR(MATCH(J2097,'Final List'!$P$4:$P$252,0),0)</f>
        <v>0</v>
      </c>
      <c r="S2097" s="169">
        <f t="shared" si="132"/>
        <v>0</v>
      </c>
      <c r="V2097" s="169" t="str">
        <f t="shared" si="130"/>
        <v>PANCIT, NOEL 4</v>
      </c>
      <c r="W2097" s="169" t="s">
        <v>8897</v>
      </c>
    </row>
    <row r="2098" spans="2:23" x14ac:dyDescent="0.25">
      <c r="B2098" s="169" t="s">
        <v>8904</v>
      </c>
      <c r="C2098" s="169" t="s">
        <v>87</v>
      </c>
      <c r="D2098" s="169" t="s">
        <v>114</v>
      </c>
      <c r="E2098" s="169" t="s">
        <v>63</v>
      </c>
      <c r="F2098" s="245" t="str">
        <f t="shared" si="131"/>
        <v>Dhoz 71</v>
      </c>
      <c r="G2098" s="169" t="s">
        <v>9438</v>
      </c>
      <c r="I2098" s="169" t="str">
        <f t="shared" si="133"/>
        <v>L03_NONE_025W_XCS</v>
      </c>
      <c r="J2098" s="169" t="s">
        <v>10095</v>
      </c>
      <c r="K2098" s="169">
        <f>IFERROR(MATCH(J2098,'Final List'!$B$4:$B$252,0),0)</f>
        <v>0</v>
      </c>
      <c r="L2098" s="169">
        <f>IFERROR(MATCH(J2098,'Final List'!$D$4:$D$252,0),0)</f>
        <v>0</v>
      </c>
      <c r="M2098" s="169">
        <f>IFERROR(MATCH(J2098,'Final List'!$F$4:$F$251,0),0)</f>
        <v>0</v>
      </c>
      <c r="N2098" s="169">
        <f>IFERROR(MATCH(J2098,'Final List'!$H$4:$H$252,0),0)</f>
        <v>0</v>
      </c>
      <c r="O2098" s="169">
        <f>IFERROR(MATCH(J2098,'Final List'!$J$4:$J$252,0),0)</f>
        <v>0</v>
      </c>
      <c r="P2098" s="169">
        <f>IFERROR(MATCH(J2098,'Final List'!$L$4:$L$252,0),0)</f>
        <v>0</v>
      </c>
      <c r="Q2098" s="169">
        <f>IFERROR(MATCH(J2098,'Final List'!$N$4:$N$252,0),0)</f>
        <v>0</v>
      </c>
      <c r="R2098" s="169">
        <f>IFERROR(MATCH(J2098,'Final List'!$P$4:$P$252,0),0)</f>
        <v>0</v>
      </c>
      <c r="S2098" s="169">
        <f t="shared" si="132"/>
        <v>0</v>
      </c>
      <c r="V2098" s="169" t="str">
        <f t="shared" si="130"/>
        <v>SHEPHERD AV 1</v>
      </c>
      <c r="W2098" s="169" t="s">
        <v>2714</v>
      </c>
    </row>
    <row r="2099" spans="2:23" x14ac:dyDescent="0.25">
      <c r="B2099" s="169" t="s">
        <v>1167</v>
      </c>
      <c r="C2099" s="169" t="s">
        <v>45</v>
      </c>
      <c r="D2099" s="169" t="s">
        <v>143</v>
      </c>
      <c r="E2099" s="169" t="s">
        <v>60</v>
      </c>
      <c r="F2099" s="245" t="str">
        <f t="shared" si="131"/>
        <v>Dhoz 71</v>
      </c>
      <c r="G2099" s="169" t="s">
        <v>6928</v>
      </c>
      <c r="I2099" s="169" t="str">
        <f t="shared" si="133"/>
        <v>L12_DPVE_032E_DE</v>
      </c>
      <c r="J2099" s="169" t="s">
        <v>10101</v>
      </c>
      <c r="K2099" s="169">
        <f>IFERROR(MATCH(J2099,'Final List'!$B$4:$B$252,0),0)</f>
        <v>0</v>
      </c>
      <c r="L2099" s="169">
        <f>IFERROR(MATCH(J2099,'Final List'!$D$4:$D$252,0),0)</f>
        <v>0</v>
      </c>
      <c r="M2099" s="169">
        <f>IFERROR(MATCH(J2099,'Final List'!$F$4:$F$251,0),0)</f>
        <v>0</v>
      </c>
      <c r="N2099" s="169">
        <f>IFERROR(MATCH(J2099,'Final List'!$H$4:$H$252,0),0)</f>
        <v>0</v>
      </c>
      <c r="O2099" s="169">
        <f>IFERROR(MATCH(J2099,'Final List'!$J$4:$J$252,0),0)</f>
        <v>0</v>
      </c>
      <c r="P2099" s="169">
        <f>IFERROR(MATCH(J2099,'Final List'!$L$4:$L$252,0),0)</f>
        <v>0</v>
      </c>
      <c r="Q2099" s="169">
        <f>IFERROR(MATCH(J2099,'Final List'!$N$4:$N$252,0),0)</f>
        <v>0</v>
      </c>
      <c r="R2099" s="169">
        <f>IFERROR(MATCH(J2099,'Final List'!$P$4:$P$252,0),0)</f>
        <v>0</v>
      </c>
      <c r="S2099" s="169">
        <f t="shared" si="132"/>
        <v>0</v>
      </c>
      <c r="V2099" s="169" t="str">
        <f t="shared" si="130"/>
        <v>DUHIG, P5</v>
      </c>
      <c r="W2099" s="169" t="s">
        <v>8896</v>
      </c>
    </row>
    <row r="2100" spans="2:23" x14ac:dyDescent="0.25">
      <c r="B2100" s="169" t="s">
        <v>1167</v>
      </c>
      <c r="C2100" s="169" t="s">
        <v>59</v>
      </c>
      <c r="D2100" s="169" t="s">
        <v>166</v>
      </c>
      <c r="E2100" s="169" t="s">
        <v>36</v>
      </c>
      <c r="F2100" s="245" t="str">
        <f t="shared" si="131"/>
        <v>StpS 77</v>
      </c>
      <c r="G2100" s="169" t="s">
        <v>9354</v>
      </c>
      <c r="H2100" s="169" t="s">
        <v>363</v>
      </c>
      <c r="I2100" s="169" t="str">
        <f t="shared" si="133"/>
        <v>L12_GHVHW_068E_STOPE</v>
      </c>
      <c r="J2100" s="169" t="s">
        <v>10102</v>
      </c>
      <c r="K2100" s="169">
        <f>IFERROR(MATCH(J2100,'Final List'!$B$4:$B$252,0),0)</f>
        <v>0</v>
      </c>
      <c r="L2100" s="169">
        <f>IFERROR(MATCH(J2100,'Final List'!$D$4:$D$252,0),0)</f>
        <v>0</v>
      </c>
      <c r="M2100" s="169">
        <f>IFERROR(MATCH(J2100,'Final List'!$F$4:$F$251,0),0)</f>
        <v>0</v>
      </c>
      <c r="N2100" s="169">
        <f>IFERROR(MATCH(J2100,'Final List'!$H$4:$H$252,0),0)</f>
        <v>0</v>
      </c>
      <c r="O2100" s="169">
        <f>IFERROR(MATCH(J2100,'Final List'!$J$4:$J$252,0),0)</f>
        <v>0</v>
      </c>
      <c r="P2100" s="169">
        <f>IFERROR(MATCH(J2100,'Final List'!$L$4:$L$252,0),0)</f>
        <v>0</v>
      </c>
      <c r="Q2100" s="169">
        <f>IFERROR(MATCH(J2100,'Final List'!$N$4:$N$252,0),0)</f>
        <v>0</v>
      </c>
      <c r="R2100" s="169">
        <f>IFERROR(MATCH(J2100,'Final List'!$P$4:$P$252,0),0)</f>
        <v>0</v>
      </c>
      <c r="S2100" s="169">
        <f t="shared" si="132"/>
        <v>0</v>
      </c>
      <c r="T2100" s="169" t="s">
        <v>68</v>
      </c>
      <c r="V2100" s="169" t="str">
        <f t="shared" si="130"/>
        <v>BABOR 2</v>
      </c>
      <c r="W2100" s="169" t="s">
        <v>2713</v>
      </c>
    </row>
    <row r="2101" spans="2:23" x14ac:dyDescent="0.25">
      <c r="B2101" s="169" t="s">
        <v>95</v>
      </c>
      <c r="C2101" s="169" t="s">
        <v>56</v>
      </c>
      <c r="D2101" s="169" t="s">
        <v>135</v>
      </c>
      <c r="E2101" s="169" t="s">
        <v>62</v>
      </c>
      <c r="F2101" s="245" t="str">
        <f t="shared" si="131"/>
        <v>RobS 79</v>
      </c>
      <c r="G2101" s="169" t="s">
        <v>6936</v>
      </c>
      <c r="I2101" s="169" t="str">
        <f t="shared" si="133"/>
        <v>L08_GHVFW_034E_ROBBING</v>
      </c>
      <c r="J2101" s="169" t="s">
        <v>10109</v>
      </c>
      <c r="K2101" s="169">
        <f>IFERROR(MATCH(J2101,'Final List'!$B$4:$B$252,0),0)</f>
        <v>0</v>
      </c>
      <c r="L2101" s="169">
        <f>IFERROR(MATCH(J2101,'Final List'!$D$4:$D$252,0),0)</f>
        <v>0</v>
      </c>
      <c r="M2101" s="169">
        <f>IFERROR(MATCH(J2101,'Final List'!$F$4:$F$251,0),0)</f>
        <v>0</v>
      </c>
      <c r="N2101" s="169">
        <f>IFERROR(MATCH(J2101,'Final List'!$H$4:$H$252,0),0)</f>
        <v>0</v>
      </c>
      <c r="O2101" s="169">
        <f>IFERROR(MATCH(J2101,'Final List'!$J$4:$J$252,0),0)</f>
        <v>0</v>
      </c>
      <c r="P2101" s="169">
        <f>IFERROR(MATCH(J2101,'Final List'!$L$4:$L$252,0),0)</f>
        <v>0</v>
      </c>
      <c r="Q2101" s="169">
        <f>IFERROR(MATCH(J2101,'Final List'!$N$4:$N$252,0),0)</f>
        <v>0</v>
      </c>
      <c r="R2101" s="169">
        <f>IFERROR(MATCH(J2101,'Final List'!$P$4:$P$252,0),0)</f>
        <v>0</v>
      </c>
      <c r="S2101" s="169">
        <f t="shared" si="132"/>
        <v>0</v>
      </c>
      <c r="T2101" s="169" t="s">
        <v>68</v>
      </c>
      <c r="V2101" s="169" t="str">
        <f t="shared" si="130"/>
        <v>OSWAY 1</v>
      </c>
      <c r="W2101" s="169" t="s">
        <v>2707</v>
      </c>
    </row>
    <row r="2102" spans="2:23" x14ac:dyDescent="0.25">
      <c r="B2102" s="169" t="s">
        <v>94</v>
      </c>
      <c r="C2102" s="169" t="s">
        <v>57</v>
      </c>
      <c r="D2102" s="169" t="s">
        <v>6833</v>
      </c>
      <c r="E2102" s="169" t="s">
        <v>62</v>
      </c>
      <c r="F2102" s="245" t="str">
        <f t="shared" si="131"/>
        <v>RobS 79</v>
      </c>
      <c r="G2102" s="169" t="s">
        <v>344</v>
      </c>
      <c r="I2102" s="169" t="str">
        <f t="shared" si="133"/>
        <v>L07_JVSPLIT_017W_ROBBING</v>
      </c>
      <c r="J2102" s="169" t="s">
        <v>10113</v>
      </c>
      <c r="K2102" s="169">
        <f>IFERROR(MATCH(J2102,'Final List'!$B$4:$B$252,0),0)</f>
        <v>0</v>
      </c>
      <c r="L2102" s="169">
        <f>IFERROR(MATCH(J2102,'Final List'!$D$4:$D$252,0),0)</f>
        <v>0</v>
      </c>
      <c r="M2102" s="169">
        <f>IFERROR(MATCH(J2102,'Final List'!$F$4:$F$251,0),0)</f>
        <v>0</v>
      </c>
      <c r="N2102" s="169">
        <f>IFERROR(MATCH(J2102,'Final List'!$H$4:$H$252,0),0)</f>
        <v>0</v>
      </c>
      <c r="O2102" s="169">
        <f>IFERROR(MATCH(J2102,'Final List'!$J$4:$J$252,0),0)</f>
        <v>0</v>
      </c>
      <c r="P2102" s="169">
        <f>IFERROR(MATCH(J2102,'Final List'!$L$4:$L$252,0),0)</f>
        <v>0</v>
      </c>
      <c r="Q2102" s="169">
        <f>IFERROR(MATCH(J2102,'Final List'!$N$4:$N$252,0),0)</f>
        <v>0</v>
      </c>
      <c r="R2102" s="169">
        <f>IFERROR(MATCH(J2102,'Final List'!$P$4:$P$252,0),0)</f>
        <v>0</v>
      </c>
      <c r="S2102" s="169">
        <f t="shared" si="132"/>
        <v>0</v>
      </c>
      <c r="T2102" s="169" t="s">
        <v>68</v>
      </c>
      <c r="V2102" s="169" t="str">
        <f t="shared" si="130"/>
        <v>UDLOS 1</v>
      </c>
      <c r="W2102" s="169" t="s">
        <v>2707</v>
      </c>
    </row>
    <row r="2103" spans="2:23" x14ac:dyDescent="0.25">
      <c r="B2103" s="169" t="s">
        <v>92</v>
      </c>
      <c r="C2103" s="169" t="s">
        <v>45</v>
      </c>
      <c r="D2103" s="169" t="s">
        <v>174</v>
      </c>
      <c r="E2103" s="169" t="s">
        <v>62</v>
      </c>
      <c r="F2103" s="245" t="str">
        <f t="shared" si="131"/>
        <v>RobS 79</v>
      </c>
      <c r="G2103" s="169" t="s">
        <v>5706</v>
      </c>
      <c r="I2103" s="169" t="str">
        <f t="shared" si="133"/>
        <v>L05_DPVE_052E_ROBBING</v>
      </c>
      <c r="J2103" s="169" t="s">
        <v>10114</v>
      </c>
      <c r="K2103" s="169">
        <f>IFERROR(MATCH(J2103,'Final List'!$B$4:$B$252,0),0)</f>
        <v>0</v>
      </c>
      <c r="L2103" s="169">
        <f>IFERROR(MATCH(J2103,'Final List'!$D$4:$D$252,0),0)</f>
        <v>0</v>
      </c>
      <c r="M2103" s="169">
        <f>IFERROR(MATCH(J2103,'Final List'!$F$4:$F$251,0),0)</f>
        <v>0</v>
      </c>
      <c r="N2103" s="169">
        <f>IFERROR(MATCH(J2103,'Final List'!$H$4:$H$252,0),0)</f>
        <v>0</v>
      </c>
      <c r="O2103" s="169">
        <f>IFERROR(MATCH(J2103,'Final List'!$J$4:$J$252,0),0)</f>
        <v>0</v>
      </c>
      <c r="P2103" s="169">
        <f>IFERROR(MATCH(J2103,'Final List'!$L$4:$L$252,0),0)</f>
        <v>0</v>
      </c>
      <c r="Q2103" s="169">
        <f>IFERROR(MATCH(J2103,'Final List'!$N$4:$N$252,0),0)</f>
        <v>0</v>
      </c>
      <c r="R2103" s="169">
        <f>IFERROR(MATCH(J2103,'Final List'!$P$4:$P$252,0),0)</f>
        <v>0</v>
      </c>
      <c r="S2103" s="169">
        <f t="shared" si="132"/>
        <v>0</v>
      </c>
      <c r="T2103" s="169" t="s">
        <v>68</v>
      </c>
      <c r="V2103" s="169" t="str">
        <f t="shared" si="130"/>
        <v>SHEPHERD AF 1</v>
      </c>
      <c r="W2103" s="169" t="s">
        <v>236</v>
      </c>
    </row>
    <row r="2104" spans="2:23" x14ac:dyDescent="0.25">
      <c r="B2104" s="169" t="s">
        <v>96</v>
      </c>
      <c r="C2104" s="169" t="s">
        <v>57</v>
      </c>
      <c r="D2104" s="169" t="s">
        <v>205</v>
      </c>
      <c r="E2104" s="169" t="s">
        <v>19</v>
      </c>
      <c r="F2104" s="245" t="str">
        <f t="shared" si="131"/>
        <v>DVR 72</v>
      </c>
      <c r="G2104" s="169" t="s">
        <v>8203</v>
      </c>
      <c r="I2104" s="169" t="str">
        <f t="shared" si="133"/>
        <v>L09_JVSPLIT_066E_RAISE</v>
      </c>
      <c r="J2104" s="169" t="s">
        <v>10115</v>
      </c>
      <c r="K2104" s="169">
        <f>IFERROR(MATCH(J2104,'Final List'!$B$4:$B$252,0),0)</f>
        <v>0</v>
      </c>
      <c r="L2104" s="169">
        <f>IFERROR(MATCH(J2104,'Final List'!$D$4:$D$252,0),0)</f>
        <v>0</v>
      </c>
      <c r="M2104" s="169">
        <f>IFERROR(MATCH(J2104,'Final List'!$F$4:$F$251,0),0)</f>
        <v>0</v>
      </c>
      <c r="N2104" s="169">
        <f>IFERROR(MATCH(J2104,'Final List'!$H$4:$H$252,0),0)</f>
        <v>0</v>
      </c>
      <c r="O2104" s="169">
        <f>IFERROR(MATCH(J2104,'Final List'!$J$4:$J$252,0),0)</f>
        <v>0</v>
      </c>
      <c r="P2104" s="169">
        <f>IFERROR(MATCH(J2104,'Final List'!$L$4:$L$252,0),0)</f>
        <v>0</v>
      </c>
      <c r="Q2104" s="169">
        <f>IFERROR(MATCH(J2104,'Final List'!$N$4:$N$252,0),0)</f>
        <v>0</v>
      </c>
      <c r="R2104" s="169">
        <f>IFERROR(MATCH(J2104,'Final List'!$P$4:$P$252,0),0)</f>
        <v>0</v>
      </c>
      <c r="S2104" s="169">
        <f t="shared" si="132"/>
        <v>0</v>
      </c>
      <c r="V2104" s="169" t="str">
        <f t="shared" si="130"/>
        <v>PANSIT, NORMAN 3</v>
      </c>
      <c r="W2104" s="169" t="s">
        <v>2715</v>
      </c>
    </row>
    <row r="2105" spans="2:23" x14ac:dyDescent="0.25">
      <c r="B2105" s="169" t="s">
        <v>258</v>
      </c>
      <c r="C2105" s="169" t="s">
        <v>45</v>
      </c>
      <c r="D2105" s="169" t="s">
        <v>162</v>
      </c>
      <c r="E2105" s="169" t="s">
        <v>60</v>
      </c>
      <c r="F2105" s="245" t="str">
        <f t="shared" si="131"/>
        <v>Dhoz 71</v>
      </c>
      <c r="G2105" s="169" t="s">
        <v>316</v>
      </c>
      <c r="I2105" s="169" t="str">
        <f t="shared" si="133"/>
        <v>L10_DPVE_008E_DE</v>
      </c>
      <c r="J2105" s="169" t="s">
        <v>10116</v>
      </c>
      <c r="K2105" s="169">
        <f>IFERROR(MATCH(J2105,'Final List'!$B$4:$B$252,0),0)</f>
        <v>0</v>
      </c>
      <c r="L2105" s="169">
        <f>IFERROR(MATCH(J2105,'Final List'!$D$4:$D$252,0),0)</f>
        <v>0</v>
      </c>
      <c r="M2105" s="169">
        <f>IFERROR(MATCH(J2105,'Final List'!$F$4:$F$251,0),0)</f>
        <v>0</v>
      </c>
      <c r="N2105" s="169">
        <f>IFERROR(MATCH(J2105,'Final List'!$H$4:$H$252,0),0)</f>
        <v>0</v>
      </c>
      <c r="O2105" s="169">
        <f>IFERROR(MATCH(J2105,'Final List'!$J$4:$J$252,0),0)</f>
        <v>0</v>
      </c>
      <c r="P2105" s="169">
        <f>IFERROR(MATCH(J2105,'Final List'!$L$4:$L$252,0),0)</f>
        <v>0</v>
      </c>
      <c r="Q2105" s="169">
        <f>IFERROR(MATCH(J2105,'Final List'!$N$4:$N$252,0),0)</f>
        <v>0</v>
      </c>
      <c r="R2105" s="169">
        <f>IFERROR(MATCH(J2105,'Final List'!$P$4:$P$252,0),0)</f>
        <v>0</v>
      </c>
      <c r="S2105" s="169">
        <f t="shared" si="132"/>
        <v>0</v>
      </c>
      <c r="V2105" s="169" t="str">
        <f t="shared" si="130"/>
        <v>PARAGUYA 1</v>
      </c>
      <c r="W2105" s="169" t="s">
        <v>8896</v>
      </c>
    </row>
    <row r="2106" spans="2:23" x14ac:dyDescent="0.25">
      <c r="B2106" s="169" t="s">
        <v>95</v>
      </c>
      <c r="C2106" s="169" t="s">
        <v>45</v>
      </c>
      <c r="D2106" s="169" t="s">
        <v>169</v>
      </c>
      <c r="E2106" s="169" t="s">
        <v>441</v>
      </c>
      <c r="F2106" s="245" t="str">
        <f t="shared" si="131"/>
        <v>RobC 80</v>
      </c>
      <c r="G2106" s="169" t="s">
        <v>380</v>
      </c>
      <c r="I2106" s="169" t="str">
        <f t="shared" si="133"/>
        <v>L08_DPVE_065E_WINZE STOPE PREP</v>
      </c>
      <c r="J2106" s="169" t="s">
        <v>10107</v>
      </c>
      <c r="K2106" s="169">
        <f>IFERROR(MATCH(J2106,'Final List'!$B$4:$B$252,0),0)</f>
        <v>0</v>
      </c>
      <c r="L2106" s="169">
        <f>IFERROR(MATCH(J2106,'Final List'!$D$4:$D$252,0),0)</f>
        <v>0</v>
      </c>
      <c r="M2106" s="169">
        <f>IFERROR(MATCH(J2106,'Final List'!$F$4:$F$251,0),0)</f>
        <v>0</v>
      </c>
      <c r="N2106" s="169">
        <f>IFERROR(MATCH(J2106,'Final List'!$H$4:$H$252,0),0)</f>
        <v>0</v>
      </c>
      <c r="O2106" s="169">
        <f>IFERROR(MATCH(J2106,'Final List'!$J$4:$J$252,0),0)</f>
        <v>0</v>
      </c>
      <c r="P2106" s="169">
        <f>IFERROR(MATCH(J2106,'Final List'!$L$4:$L$252,0),0)</f>
        <v>0</v>
      </c>
      <c r="Q2106" s="169">
        <f>IFERROR(MATCH(J2106,'Final List'!$N$4:$N$252,0),0)</f>
        <v>0</v>
      </c>
      <c r="R2106" s="169">
        <f>IFERROR(MATCH(J2106,'Final List'!$P$4:$P$252,0),0)</f>
        <v>0</v>
      </c>
      <c r="S2106" s="169">
        <f t="shared" si="132"/>
        <v>0</v>
      </c>
      <c r="T2106" s="169" t="s">
        <v>68</v>
      </c>
      <c r="V2106" s="169" t="str">
        <f t="shared" si="130"/>
        <v>AGLOLO 1</v>
      </c>
      <c r="W2106" s="169" t="s">
        <v>2716</v>
      </c>
    </row>
    <row r="2107" spans="2:23" x14ac:dyDescent="0.25">
      <c r="B2107" s="169" t="s">
        <v>1166</v>
      </c>
      <c r="C2107" s="169" t="s">
        <v>38</v>
      </c>
      <c r="D2107" s="169" t="s">
        <v>175</v>
      </c>
      <c r="E2107" s="169" t="s">
        <v>36</v>
      </c>
      <c r="F2107" s="245" t="str">
        <f t="shared" si="131"/>
        <v>StpS 77</v>
      </c>
      <c r="G2107" s="169" t="s">
        <v>5720</v>
      </c>
      <c r="H2107" s="169" t="s">
        <v>488</v>
      </c>
      <c r="I2107" s="169" t="str">
        <f t="shared" si="133"/>
        <v>L11_GHV_060E_STOPE</v>
      </c>
      <c r="J2107" s="169" t="s">
        <v>9688</v>
      </c>
      <c r="K2107" s="169">
        <f>IFERROR(MATCH(J2107,'Final List'!$B$4:$B$252,0),0)</f>
        <v>0</v>
      </c>
      <c r="L2107" s="169">
        <f>IFERROR(MATCH(J2107,'Final List'!$D$4:$D$252,0),0)</f>
        <v>0</v>
      </c>
      <c r="M2107" s="169">
        <f>IFERROR(MATCH(J2107,'Final List'!$F$4:$F$251,0),0)</f>
        <v>0</v>
      </c>
      <c r="N2107" s="169">
        <f>IFERROR(MATCH(J2107,'Final List'!$H$4:$H$252,0),0)</f>
        <v>0</v>
      </c>
      <c r="O2107" s="169">
        <f>IFERROR(MATCH(J2107,'Final List'!$J$4:$J$252,0),0)</f>
        <v>0</v>
      </c>
      <c r="P2107" s="169">
        <f>IFERROR(MATCH(J2107,'Final List'!$L$4:$L$252,0),0)</f>
        <v>0</v>
      </c>
      <c r="Q2107" s="169">
        <f>IFERROR(MATCH(J2107,'Final List'!$N$4:$N$252,0),0)</f>
        <v>0</v>
      </c>
      <c r="R2107" s="169">
        <f>IFERROR(MATCH(J2107,'Final List'!$P$4:$P$252,0),0)</f>
        <v>0</v>
      </c>
      <c r="S2107" s="169">
        <f t="shared" si="132"/>
        <v>0</v>
      </c>
      <c r="T2107" s="169" t="s">
        <v>68</v>
      </c>
      <c r="V2107" s="169" t="str">
        <f t="shared" si="130"/>
        <v>BAÑEZ 9</v>
      </c>
      <c r="W2107" s="169" t="s">
        <v>2713</v>
      </c>
    </row>
    <row r="2108" spans="2:23" x14ac:dyDescent="0.25">
      <c r="B2108" s="169" t="s">
        <v>95</v>
      </c>
      <c r="C2108" s="169" t="s">
        <v>38</v>
      </c>
      <c r="D2108" s="169" t="s">
        <v>121</v>
      </c>
      <c r="E2108" s="169" t="s">
        <v>20</v>
      </c>
      <c r="F2108" s="245" t="str">
        <f t="shared" si="131"/>
        <v>DVW 74</v>
      </c>
      <c r="G2108" s="169" t="s">
        <v>676</v>
      </c>
      <c r="I2108" s="169" t="str">
        <f t="shared" si="133"/>
        <v>L08_GHV_022E_WINZE</v>
      </c>
      <c r="J2108" s="169" t="s">
        <v>3930</v>
      </c>
      <c r="K2108" s="169">
        <f>IFERROR(MATCH(J2108,'Final List'!$B$4:$B$252,0),0)</f>
        <v>0</v>
      </c>
      <c r="L2108" s="169">
        <f>IFERROR(MATCH(J2108,'Final List'!$D$4:$D$252,0),0)</f>
        <v>0</v>
      </c>
      <c r="M2108" s="169">
        <f>IFERROR(MATCH(J2108,'Final List'!$F$4:$F$251,0),0)</f>
        <v>0</v>
      </c>
      <c r="N2108" s="169">
        <f>IFERROR(MATCH(J2108,'Final List'!$H$4:$H$252,0),0)</f>
        <v>0</v>
      </c>
      <c r="O2108" s="169">
        <f>IFERROR(MATCH(J2108,'Final List'!$J$4:$J$252,0),0)</f>
        <v>0</v>
      </c>
      <c r="P2108" s="169">
        <f>IFERROR(MATCH(J2108,'Final List'!$L$4:$L$252,0),0)</f>
        <v>0</v>
      </c>
      <c r="Q2108" s="169">
        <f>IFERROR(MATCH(J2108,'Final List'!$N$4:$N$252,0),0)</f>
        <v>0</v>
      </c>
      <c r="R2108" s="169">
        <f>IFERROR(MATCH(J2108,'Final List'!$P$4:$P$252,0),0)</f>
        <v>0</v>
      </c>
      <c r="S2108" s="169">
        <f t="shared" si="132"/>
        <v>0</v>
      </c>
      <c r="V2108" s="169" t="str">
        <f t="shared" si="130"/>
        <v>OY-YOY 2</v>
      </c>
      <c r="W2108" s="169" t="s">
        <v>2706</v>
      </c>
    </row>
    <row r="2109" spans="2:23" x14ac:dyDescent="0.25">
      <c r="B2109" s="169" t="s">
        <v>92</v>
      </c>
      <c r="C2109" s="169" t="s">
        <v>42</v>
      </c>
      <c r="D2109" s="169" t="s">
        <v>140</v>
      </c>
      <c r="E2109" s="169" t="s">
        <v>441</v>
      </c>
      <c r="F2109" s="245" t="str">
        <f t="shared" si="131"/>
        <v>RobC 80</v>
      </c>
      <c r="G2109" s="169" t="s">
        <v>5698</v>
      </c>
      <c r="I2109" s="169" t="str">
        <f t="shared" si="133"/>
        <v>L05_JV_005W_WINZE STOPE PREP</v>
      </c>
      <c r="J2109" s="169" t="s">
        <v>10118</v>
      </c>
      <c r="K2109" s="169">
        <f>IFERROR(MATCH(J2109,'Final List'!$B$4:$B$252,0),0)</f>
        <v>0</v>
      </c>
      <c r="L2109" s="169">
        <f>IFERROR(MATCH(J2109,'Final List'!$D$4:$D$252,0),0)</f>
        <v>0</v>
      </c>
      <c r="M2109" s="169">
        <f>IFERROR(MATCH(J2109,'Final List'!$F$4:$F$251,0),0)</f>
        <v>0</v>
      </c>
      <c r="N2109" s="169">
        <f>IFERROR(MATCH(J2109,'Final List'!$H$4:$H$252,0),0)</f>
        <v>0</v>
      </c>
      <c r="O2109" s="169">
        <f>IFERROR(MATCH(J2109,'Final List'!$J$4:$J$252,0),0)</f>
        <v>0</v>
      </c>
      <c r="P2109" s="169">
        <f>IFERROR(MATCH(J2109,'Final List'!$L$4:$L$252,0),0)</f>
        <v>0</v>
      </c>
      <c r="Q2109" s="169">
        <f>IFERROR(MATCH(J2109,'Final List'!$N$4:$N$252,0),0)</f>
        <v>0</v>
      </c>
      <c r="R2109" s="169">
        <f>IFERROR(MATCH(J2109,'Final List'!$P$4:$P$252,0),0)</f>
        <v>0</v>
      </c>
      <c r="S2109" s="169">
        <f t="shared" si="132"/>
        <v>0</v>
      </c>
      <c r="T2109" s="169" t="s">
        <v>68</v>
      </c>
      <c r="V2109" s="169" t="str">
        <f t="shared" si="130"/>
        <v>PARAN 1</v>
      </c>
      <c r="W2109" s="169" t="s">
        <v>2716</v>
      </c>
    </row>
    <row r="2110" spans="2:23" x14ac:dyDescent="0.25">
      <c r="B2110" s="169" t="s">
        <v>96</v>
      </c>
      <c r="C2110" s="169" t="s">
        <v>45</v>
      </c>
      <c r="D2110" s="169" t="s">
        <v>5741</v>
      </c>
      <c r="E2110" s="169" t="s">
        <v>62</v>
      </c>
      <c r="F2110" s="245" t="str">
        <f t="shared" si="131"/>
        <v>RobS 79</v>
      </c>
      <c r="G2110" s="169" t="s">
        <v>362</v>
      </c>
      <c r="I2110" s="169" t="str">
        <f t="shared" si="133"/>
        <v>L09_DPVE_035E_ROBBING</v>
      </c>
      <c r="J2110" s="169" t="s">
        <v>10121</v>
      </c>
      <c r="K2110" s="169">
        <f>IFERROR(MATCH(J2110,'Final List'!$B$4:$B$252,0),0)</f>
        <v>0</v>
      </c>
      <c r="L2110" s="169">
        <f>IFERROR(MATCH(J2110,'Final List'!$D$4:$D$252,0),0)</f>
        <v>0</v>
      </c>
      <c r="M2110" s="169">
        <f>IFERROR(MATCH(J2110,'Final List'!$F$4:$F$251,0),0)</f>
        <v>0</v>
      </c>
      <c r="N2110" s="169">
        <f>IFERROR(MATCH(J2110,'Final List'!$H$4:$H$252,0),0)</f>
        <v>0</v>
      </c>
      <c r="O2110" s="169">
        <f>IFERROR(MATCH(J2110,'Final List'!$J$4:$J$252,0),0)</f>
        <v>0</v>
      </c>
      <c r="P2110" s="169">
        <f>IFERROR(MATCH(J2110,'Final List'!$L$4:$L$252,0),0)</f>
        <v>0</v>
      </c>
      <c r="Q2110" s="169">
        <f>IFERROR(MATCH(J2110,'Final List'!$N$4:$N$252,0),0)</f>
        <v>0</v>
      </c>
      <c r="R2110" s="169">
        <f>IFERROR(MATCH(J2110,'Final List'!$P$4:$P$252,0),0)</f>
        <v>0</v>
      </c>
      <c r="S2110" s="169">
        <f t="shared" si="132"/>
        <v>0</v>
      </c>
      <c r="T2110" s="169" t="s">
        <v>68</v>
      </c>
      <c r="V2110" s="169" t="str">
        <f t="shared" si="130"/>
        <v>BABOR 1</v>
      </c>
      <c r="W2110" s="169" t="s">
        <v>2707</v>
      </c>
    </row>
    <row r="2111" spans="2:23" x14ac:dyDescent="0.25">
      <c r="B2111" s="169" t="s">
        <v>91</v>
      </c>
      <c r="C2111" s="169" t="s">
        <v>87</v>
      </c>
      <c r="D2111" s="169" t="s">
        <v>5992</v>
      </c>
      <c r="E2111" s="169" t="s">
        <v>37</v>
      </c>
      <c r="F2111" s="245" t="str">
        <f t="shared" si="131"/>
        <v>Dhoz 71</v>
      </c>
      <c r="G2111" s="169" t="s">
        <v>10123</v>
      </c>
      <c r="I2111" s="169" t="str">
        <f t="shared" si="133"/>
        <v>L04_NONE_026W_XCN</v>
      </c>
      <c r="J2111" s="169" t="s">
        <v>10122</v>
      </c>
      <c r="K2111" s="169">
        <f>IFERROR(MATCH(J2111,'Final List'!$B$4:$B$252,0),0)</f>
        <v>0</v>
      </c>
      <c r="L2111" s="169">
        <f>IFERROR(MATCH(J2111,'Final List'!$D$4:$D$252,0),0)</f>
        <v>0</v>
      </c>
      <c r="M2111" s="169">
        <f>IFERROR(MATCH(J2111,'Final List'!$F$4:$F$251,0),0)</f>
        <v>0</v>
      </c>
      <c r="N2111" s="169">
        <f>IFERROR(MATCH(J2111,'Final List'!$H$4:$H$252,0),0)</f>
        <v>0</v>
      </c>
      <c r="O2111" s="169">
        <f>IFERROR(MATCH(J2111,'Final List'!$J$4:$J$252,0),0)</f>
        <v>0</v>
      </c>
      <c r="P2111" s="169">
        <f>IFERROR(MATCH(J2111,'Final List'!$L$4:$L$252,0),0)</f>
        <v>0</v>
      </c>
      <c r="Q2111" s="169">
        <f>IFERROR(MATCH(J2111,'Final List'!$N$4:$N$252,0),0)</f>
        <v>0</v>
      </c>
      <c r="R2111" s="169">
        <f>IFERROR(MATCH(J2111,'Final List'!$P$4:$P$252,0),0)</f>
        <v>0</v>
      </c>
      <c r="S2111" s="169">
        <f t="shared" si="132"/>
        <v>0</v>
      </c>
      <c r="V2111" s="169" t="str">
        <f t="shared" si="130"/>
        <v>MARTINEZ, DN 4</v>
      </c>
      <c r="W2111" s="169" t="s">
        <v>8897</v>
      </c>
    </row>
    <row r="2112" spans="2:23" x14ac:dyDescent="0.25">
      <c r="B2112" s="169" t="s">
        <v>92</v>
      </c>
      <c r="C2112" s="169" t="s">
        <v>87</v>
      </c>
      <c r="D2112" s="169" t="s">
        <v>146</v>
      </c>
      <c r="E2112" s="169" t="s">
        <v>37</v>
      </c>
      <c r="F2112" s="245" t="str">
        <f t="shared" si="131"/>
        <v>Dhoz 71</v>
      </c>
      <c r="G2112" s="169" t="s">
        <v>5706</v>
      </c>
      <c r="I2112" s="169" t="str">
        <f t="shared" si="133"/>
        <v>L05_NONE_030E_XCN</v>
      </c>
      <c r="J2112" s="169" t="s">
        <v>10124</v>
      </c>
      <c r="K2112" s="169">
        <f>IFERROR(MATCH(J2112,'Final List'!$B$4:$B$252,0),0)</f>
        <v>0</v>
      </c>
      <c r="L2112" s="169">
        <f>IFERROR(MATCH(J2112,'Final List'!$D$4:$D$252,0),0)</f>
        <v>0</v>
      </c>
      <c r="M2112" s="169">
        <f>IFERROR(MATCH(J2112,'Final List'!$F$4:$F$251,0),0)</f>
        <v>0</v>
      </c>
      <c r="N2112" s="169">
        <f>IFERROR(MATCH(J2112,'Final List'!$H$4:$H$252,0),0)</f>
        <v>0</v>
      </c>
      <c r="O2112" s="169">
        <f>IFERROR(MATCH(J2112,'Final List'!$J$4:$J$252,0),0)</f>
        <v>0</v>
      </c>
      <c r="P2112" s="169">
        <f>IFERROR(MATCH(J2112,'Final List'!$L$4:$L$252,0),0)</f>
        <v>0</v>
      </c>
      <c r="Q2112" s="169">
        <f>IFERROR(MATCH(J2112,'Final List'!$N$4:$N$252,0),0)</f>
        <v>0</v>
      </c>
      <c r="R2112" s="169">
        <f>IFERROR(MATCH(J2112,'Final List'!$P$4:$P$252,0),0)</f>
        <v>0</v>
      </c>
      <c r="S2112" s="169">
        <f t="shared" si="132"/>
        <v>0</v>
      </c>
      <c r="V2112" s="169" t="str">
        <f t="shared" si="130"/>
        <v>SHEPHERD AF 1</v>
      </c>
      <c r="W2112" s="169" t="s">
        <v>8897</v>
      </c>
    </row>
    <row r="2113" spans="2:23" x14ac:dyDescent="0.25">
      <c r="B2113" s="169" t="s">
        <v>92</v>
      </c>
      <c r="C2113" s="169" t="s">
        <v>45</v>
      </c>
      <c r="D2113" s="169" t="s">
        <v>144</v>
      </c>
      <c r="E2113" s="169" t="s">
        <v>62</v>
      </c>
      <c r="F2113" s="245" t="str">
        <f t="shared" si="131"/>
        <v>RobC 80</v>
      </c>
      <c r="G2113" s="169" t="s">
        <v>551</v>
      </c>
      <c r="I2113" s="169" t="str">
        <f t="shared" si="133"/>
        <v>L05_DPVE_043E_ROBBING</v>
      </c>
      <c r="J2113" s="169" t="s">
        <v>10125</v>
      </c>
      <c r="K2113" s="169">
        <f>IFERROR(MATCH(J2113,'Final List'!$B$4:$B$252,0),0)</f>
        <v>0</v>
      </c>
      <c r="L2113" s="169">
        <f>IFERROR(MATCH(J2113,'Final List'!$D$4:$D$252,0),0)</f>
        <v>0</v>
      </c>
      <c r="M2113" s="169">
        <f>IFERROR(MATCH(J2113,'Final List'!$F$4:$F$251,0),0)</f>
        <v>0</v>
      </c>
      <c r="N2113" s="169">
        <f>IFERROR(MATCH(J2113,'Final List'!$H$4:$H$252,0),0)</f>
        <v>0</v>
      </c>
      <c r="O2113" s="169">
        <f>IFERROR(MATCH(J2113,'Final List'!$J$4:$J$252,0),0)</f>
        <v>0</v>
      </c>
      <c r="P2113" s="169">
        <f>IFERROR(MATCH(J2113,'Final List'!$L$4:$L$252,0),0)</f>
        <v>0</v>
      </c>
      <c r="Q2113" s="169">
        <f>IFERROR(MATCH(J2113,'Final List'!$N$4:$N$252,0),0)</f>
        <v>0</v>
      </c>
      <c r="R2113" s="169">
        <f>IFERROR(MATCH(J2113,'Final List'!$P$4:$P$252,0),0)</f>
        <v>0</v>
      </c>
      <c r="S2113" s="169">
        <f t="shared" si="132"/>
        <v>0</v>
      </c>
      <c r="T2113" s="169" t="s">
        <v>48</v>
      </c>
      <c r="V2113" s="169" t="str">
        <f t="shared" si="130"/>
        <v>PANCIT, NOEL 3</v>
      </c>
      <c r="W2113" s="169" t="s">
        <v>236</v>
      </c>
    </row>
    <row r="2114" spans="2:23" x14ac:dyDescent="0.25">
      <c r="B2114" s="169" t="s">
        <v>96</v>
      </c>
      <c r="C2114" s="169" t="s">
        <v>45</v>
      </c>
      <c r="D2114" s="169" t="s">
        <v>284</v>
      </c>
      <c r="E2114" s="169" t="s">
        <v>62</v>
      </c>
      <c r="F2114" s="245" t="str">
        <f t="shared" si="131"/>
        <v>RobS 79</v>
      </c>
      <c r="G2114" s="169" t="s">
        <v>337</v>
      </c>
      <c r="I2114" s="169" t="str">
        <f t="shared" si="133"/>
        <v>L09_DPVE_061E_ROBBING</v>
      </c>
      <c r="J2114" s="169" t="s">
        <v>10126</v>
      </c>
      <c r="K2114" s="169">
        <f>IFERROR(MATCH(J2114,'Final List'!$B$4:$B$252,0),0)</f>
        <v>0</v>
      </c>
      <c r="L2114" s="169">
        <f>IFERROR(MATCH(J2114,'Final List'!$D$4:$D$252,0),0)</f>
        <v>0</v>
      </c>
      <c r="M2114" s="169">
        <f>IFERROR(MATCH(J2114,'Final List'!$F$4:$F$251,0),0)</f>
        <v>0</v>
      </c>
      <c r="N2114" s="169">
        <f>IFERROR(MATCH(J2114,'Final List'!$H$4:$H$252,0),0)</f>
        <v>0</v>
      </c>
      <c r="O2114" s="169">
        <f>IFERROR(MATCH(J2114,'Final List'!$J$4:$J$252,0),0)</f>
        <v>0</v>
      </c>
      <c r="P2114" s="169">
        <f>IFERROR(MATCH(J2114,'Final List'!$L$4:$L$252,0),0)</f>
        <v>0</v>
      </c>
      <c r="Q2114" s="169">
        <f>IFERROR(MATCH(J2114,'Final List'!$N$4:$N$252,0),0)</f>
        <v>0</v>
      </c>
      <c r="R2114" s="169">
        <f>IFERROR(MATCH(J2114,'Final List'!$P$4:$P$252,0),0)</f>
        <v>0</v>
      </c>
      <c r="S2114" s="169">
        <f t="shared" si="132"/>
        <v>0</v>
      </c>
      <c r="T2114" s="169" t="s">
        <v>68</v>
      </c>
      <c r="V2114" s="169" t="str">
        <f t="shared" ref="V2114:V2176" si="134">IF(H2114="",G2114,H2114)</f>
        <v>BALANGHIG 2</v>
      </c>
      <c r="W2114" s="169" t="s">
        <v>2707</v>
      </c>
    </row>
    <row r="2115" spans="2:23" x14ac:dyDescent="0.25">
      <c r="B2115" s="169" t="s">
        <v>96</v>
      </c>
      <c r="C2115" s="169" t="s">
        <v>45</v>
      </c>
      <c r="D2115" s="169" t="s">
        <v>133</v>
      </c>
      <c r="E2115" s="169" t="s">
        <v>62</v>
      </c>
      <c r="F2115" s="245" t="str">
        <f t="shared" ref="F2115:F2178" si="135">IF(OR(E2115="XCN",E2115="DE",E2115="DW",E2115="DN",E2115="XCS",E2115="XCE",E2115="XCW",E2115="SUMP",E2115="BYPASS",E2115="CHAMBER",E2115="DRAIN HOLE",E2115="DRILLING CHAMBER",E2115="DE_ISL",E2115="DW_ISL",E2115="REHAB"),"Dhoz 71",IF(OR(E2115="RAISE",E2115="RAISE_ISL"),"DVR 72",IF(E2115="ALIMAK","DVA 73",IF(E2115="WINZE","DVW 74",IF(E2115="SHAFT","DVS 75",IF(AND(E2115="WINZE STOPE",T2115="S"),"RobC 80",IF(AND(E2115="STOPE",T2115="S"),"StpS 77",IF(AND(E2115="WINZE STOPE",T2115="L"),"RobC 80",IF(AND(E2115="STOPE",T2115="L"),"StpL 78",IF(AND(E2115="WINZE STOPE PREP",T2115="S"),"RobC 80",IF(AND(E2115="STOPE PREP",T2115="S"),"StpS 77",IF(AND(E2115="WINZE STOPE PREP",T2115="L"),"RobC 80",IF(AND(E2115="STOPE PREP",T2115="L"),"StpL 78",IF(AND(E2115="ROBBING",T2115="L"),"RobC 80",IF(AND(E2115="ROBBING",T2115="S"),"RobS 79",0)))))))))))))))</f>
        <v>RobS 79</v>
      </c>
      <c r="G2115" s="169" t="s">
        <v>364</v>
      </c>
      <c r="I2115" s="169" t="str">
        <f t="shared" si="133"/>
        <v>L09_DPVE_037E_ROBBING</v>
      </c>
      <c r="J2115" s="169" t="s">
        <v>10127</v>
      </c>
      <c r="K2115" s="169">
        <f>IFERROR(MATCH(J2115,'Final List'!$B$4:$B$252,0),0)</f>
        <v>0</v>
      </c>
      <c r="L2115" s="169">
        <f>IFERROR(MATCH(J2115,'Final List'!$D$4:$D$252,0),0)</f>
        <v>0</v>
      </c>
      <c r="M2115" s="169">
        <f>IFERROR(MATCH(J2115,'Final List'!$F$4:$F$251,0),0)</f>
        <v>0</v>
      </c>
      <c r="N2115" s="169">
        <f>IFERROR(MATCH(J2115,'Final List'!$H$4:$H$252,0),0)</f>
        <v>0</v>
      </c>
      <c r="O2115" s="169">
        <f>IFERROR(MATCH(J2115,'Final List'!$J$4:$J$252,0),0)</f>
        <v>0</v>
      </c>
      <c r="P2115" s="169">
        <f>IFERROR(MATCH(J2115,'Final List'!$L$4:$L$252,0),0)</f>
        <v>0</v>
      </c>
      <c r="Q2115" s="169">
        <f>IFERROR(MATCH(J2115,'Final List'!$N$4:$N$252,0),0)</f>
        <v>0</v>
      </c>
      <c r="R2115" s="169">
        <f>IFERROR(MATCH(J2115,'Final List'!$P$4:$P$252,0),0)</f>
        <v>0</v>
      </c>
      <c r="S2115" s="169">
        <f t="shared" ref="S2115:S2178" si="136">SUM(K2115:R2115)</f>
        <v>0</v>
      </c>
      <c r="T2115" s="169" t="s">
        <v>68</v>
      </c>
      <c r="V2115" s="169" t="str">
        <f t="shared" si="134"/>
        <v>BABOR 3</v>
      </c>
      <c r="W2115" s="169" t="s">
        <v>2707</v>
      </c>
    </row>
    <row r="2116" spans="2:23" x14ac:dyDescent="0.25">
      <c r="B2116" s="169" t="s">
        <v>1166</v>
      </c>
      <c r="C2116" s="169" t="s">
        <v>45</v>
      </c>
      <c r="D2116" s="169" t="s">
        <v>161</v>
      </c>
      <c r="E2116" s="169" t="s">
        <v>211</v>
      </c>
      <c r="F2116" s="245" t="str">
        <f t="shared" si="135"/>
        <v>StpL 78</v>
      </c>
      <c r="G2116" s="169" t="s">
        <v>14316</v>
      </c>
      <c r="H2116" s="169" t="s">
        <v>4155</v>
      </c>
      <c r="I2116" s="169" t="str">
        <f t="shared" si="133"/>
        <v>L11_DPVE_044E_STOPE PREP</v>
      </c>
      <c r="J2116" s="169" t="s">
        <v>10132</v>
      </c>
      <c r="K2116" s="169">
        <f>IFERROR(MATCH(J2116,'Final List'!$B$4:$B$252,0),0)</f>
        <v>0</v>
      </c>
      <c r="L2116" s="169">
        <f>IFERROR(MATCH(J2116,'Final List'!$D$4:$D$252,0),0)</f>
        <v>0</v>
      </c>
      <c r="M2116" s="169">
        <f>IFERROR(MATCH(J2116,'Final List'!$F$4:$F$251,0),0)</f>
        <v>0</v>
      </c>
      <c r="N2116" s="169">
        <f>IFERROR(MATCH(J2116,'Final List'!$H$4:$H$252,0),0)</f>
        <v>0</v>
      </c>
      <c r="O2116" s="169">
        <f>IFERROR(MATCH(J2116,'Final List'!$J$4:$J$252,0),0)</f>
        <v>0</v>
      </c>
      <c r="P2116" s="169">
        <f>IFERROR(MATCH(J2116,'Final List'!$L$4:$L$252,0),0)</f>
        <v>0</v>
      </c>
      <c r="Q2116" s="169">
        <f>IFERROR(MATCH(J2116,'Final List'!$N$4:$N$252,0),0)</f>
        <v>0</v>
      </c>
      <c r="R2116" s="169">
        <f>IFERROR(MATCH(J2116,'Final List'!$P$4:$P$252,0),0)</f>
        <v>0</v>
      </c>
      <c r="S2116" s="169">
        <f t="shared" si="136"/>
        <v>0</v>
      </c>
      <c r="T2116" s="169" t="s">
        <v>48</v>
      </c>
      <c r="V2116" s="169" t="str">
        <f t="shared" si="134"/>
        <v>BAÑEZ</v>
      </c>
      <c r="W2116" s="169" t="s">
        <v>2712</v>
      </c>
    </row>
    <row r="2117" spans="2:23" x14ac:dyDescent="0.25">
      <c r="B2117" s="169" t="s">
        <v>95</v>
      </c>
      <c r="C2117" s="169" t="s">
        <v>45</v>
      </c>
      <c r="D2117" s="169" t="s">
        <v>112</v>
      </c>
      <c r="E2117" s="169" t="s">
        <v>60</v>
      </c>
      <c r="F2117" s="245" t="str">
        <f t="shared" si="135"/>
        <v>Dhoz 71</v>
      </c>
      <c r="G2117" s="169" t="s">
        <v>386</v>
      </c>
      <c r="I2117" s="169" t="str">
        <f t="shared" si="133"/>
        <v>L08_DPVE_018E_DE</v>
      </c>
      <c r="J2117" s="169" t="s">
        <v>10135</v>
      </c>
      <c r="K2117" s="169">
        <f>IFERROR(MATCH(J2117,'Final List'!$B$4:$B$252,0),0)</f>
        <v>0</v>
      </c>
      <c r="L2117" s="169">
        <f>IFERROR(MATCH(J2117,'Final List'!$D$4:$D$252,0),0)</f>
        <v>0</v>
      </c>
      <c r="M2117" s="169">
        <f>IFERROR(MATCH(J2117,'Final List'!$F$4:$F$251,0),0)</f>
        <v>0</v>
      </c>
      <c r="N2117" s="169">
        <f>IFERROR(MATCH(J2117,'Final List'!$H$4:$H$252,0),0)</f>
        <v>0</v>
      </c>
      <c r="O2117" s="169">
        <f>IFERROR(MATCH(J2117,'Final List'!$J$4:$J$252,0),0)</f>
        <v>0</v>
      </c>
      <c r="P2117" s="169">
        <f>IFERROR(MATCH(J2117,'Final List'!$L$4:$L$252,0),0)</f>
        <v>0</v>
      </c>
      <c r="Q2117" s="169">
        <f>IFERROR(MATCH(J2117,'Final List'!$N$4:$N$252,0),0)</f>
        <v>0</v>
      </c>
      <c r="R2117" s="169">
        <f>IFERROR(MATCH(J2117,'Final List'!$P$4:$P$252,0),0)</f>
        <v>0</v>
      </c>
      <c r="S2117" s="169">
        <f t="shared" si="136"/>
        <v>0</v>
      </c>
      <c r="V2117" s="169" t="str">
        <f t="shared" si="134"/>
        <v>REVITA 1</v>
      </c>
      <c r="W2117" s="169" t="s">
        <v>8895</v>
      </c>
    </row>
    <row r="2118" spans="2:23" x14ac:dyDescent="0.25">
      <c r="B2118" s="169" t="s">
        <v>258</v>
      </c>
      <c r="C2118" s="169" t="s">
        <v>42</v>
      </c>
      <c r="D2118" s="169" t="s">
        <v>172</v>
      </c>
      <c r="E2118" s="169" t="s">
        <v>60</v>
      </c>
      <c r="F2118" s="245" t="str">
        <f t="shared" si="135"/>
        <v>Dhoz 71</v>
      </c>
      <c r="G2118" s="169" t="s">
        <v>303</v>
      </c>
      <c r="I2118" s="169" t="str">
        <f t="shared" si="133"/>
        <v>L10_JV_045E_DE</v>
      </c>
      <c r="J2118" s="169" t="s">
        <v>10137</v>
      </c>
      <c r="K2118" s="169">
        <f>IFERROR(MATCH(J2118,'Final List'!$B$4:$B$252,0),0)</f>
        <v>0</v>
      </c>
      <c r="L2118" s="169">
        <f>IFERROR(MATCH(J2118,'Final List'!$D$4:$D$252,0),0)</f>
        <v>0</v>
      </c>
      <c r="M2118" s="169">
        <f>IFERROR(MATCH(J2118,'Final List'!$F$4:$F$251,0),0)</f>
        <v>0</v>
      </c>
      <c r="N2118" s="169">
        <f>IFERROR(MATCH(J2118,'Final List'!$H$4:$H$252,0),0)</f>
        <v>0</v>
      </c>
      <c r="O2118" s="169">
        <f>IFERROR(MATCH(J2118,'Final List'!$J$4:$J$252,0),0)</f>
        <v>0</v>
      </c>
      <c r="P2118" s="169">
        <f>IFERROR(MATCH(J2118,'Final List'!$L$4:$L$252,0),0)</f>
        <v>0</v>
      </c>
      <c r="Q2118" s="169">
        <f>IFERROR(MATCH(J2118,'Final List'!$N$4:$N$252,0),0)</f>
        <v>0</v>
      </c>
      <c r="R2118" s="169">
        <f>IFERROR(MATCH(J2118,'Final List'!$P$4:$P$252,0),0)</f>
        <v>0</v>
      </c>
      <c r="S2118" s="169">
        <f t="shared" si="136"/>
        <v>0</v>
      </c>
      <c r="V2118" s="169" t="str">
        <f t="shared" si="134"/>
        <v>BELICAN 1</v>
      </c>
      <c r="W2118" s="169" t="s">
        <v>8896</v>
      </c>
    </row>
    <row r="2119" spans="2:23" x14ac:dyDescent="0.25">
      <c r="B2119" s="169" t="s">
        <v>258</v>
      </c>
      <c r="C2119" s="169" t="s">
        <v>39</v>
      </c>
      <c r="D2119" s="169" t="s">
        <v>167</v>
      </c>
      <c r="E2119" s="169" t="s">
        <v>19</v>
      </c>
      <c r="F2119" s="245" t="str">
        <f t="shared" si="135"/>
        <v>DVR 72</v>
      </c>
      <c r="G2119" s="169" t="s">
        <v>6851</v>
      </c>
      <c r="I2119" s="169" t="str">
        <f t="shared" si="133"/>
        <v>L10_JVHW_058E_RAISE</v>
      </c>
      <c r="J2119" s="169" t="s">
        <v>10148</v>
      </c>
      <c r="K2119" s="169">
        <f>IFERROR(MATCH(J2119,'Final List'!$B$4:$B$252,0),0)</f>
        <v>0</v>
      </c>
      <c r="L2119" s="169">
        <f>IFERROR(MATCH(J2119,'Final List'!$D$4:$D$252,0),0)</f>
        <v>0</v>
      </c>
      <c r="M2119" s="169">
        <f>IFERROR(MATCH(J2119,'Final List'!$F$4:$F$251,0),0)</f>
        <v>0</v>
      </c>
      <c r="N2119" s="169">
        <f>IFERROR(MATCH(J2119,'Final List'!$H$4:$H$252,0),0)</f>
        <v>0</v>
      </c>
      <c r="O2119" s="169">
        <f>IFERROR(MATCH(J2119,'Final List'!$J$4:$J$252,0),0)</f>
        <v>0</v>
      </c>
      <c r="P2119" s="169">
        <f>IFERROR(MATCH(J2119,'Final List'!$L$4:$L$252,0),0)</f>
        <v>0</v>
      </c>
      <c r="Q2119" s="169">
        <f>IFERROR(MATCH(J2119,'Final List'!$N$4:$N$252,0),0)</f>
        <v>0</v>
      </c>
      <c r="R2119" s="169">
        <f>IFERROR(MATCH(J2119,'Final List'!$P$4:$P$252,0),0)</f>
        <v>0</v>
      </c>
      <c r="S2119" s="169">
        <f t="shared" si="136"/>
        <v>0</v>
      </c>
      <c r="V2119" s="169" t="str">
        <f t="shared" si="134"/>
        <v>OLIVEROS 5</v>
      </c>
      <c r="W2119" s="169" t="s">
        <v>2715</v>
      </c>
    </row>
    <row r="2120" spans="2:23" x14ac:dyDescent="0.25">
      <c r="B2120" s="169" t="s">
        <v>96</v>
      </c>
      <c r="C2120" s="169" t="s">
        <v>59</v>
      </c>
      <c r="D2120" s="169" t="s">
        <v>146</v>
      </c>
      <c r="E2120" s="169" t="s">
        <v>60</v>
      </c>
      <c r="F2120" s="245" t="str">
        <f t="shared" si="135"/>
        <v>Dhoz 71</v>
      </c>
      <c r="G2120" s="169" t="s">
        <v>745</v>
      </c>
      <c r="I2120" s="169" t="str">
        <f t="shared" si="133"/>
        <v>L09_GHVHW_030E_DE</v>
      </c>
      <c r="J2120" s="169" t="s">
        <v>10149</v>
      </c>
      <c r="K2120" s="169">
        <f>IFERROR(MATCH(J2120,'Final List'!$B$4:$B$252,0),0)</f>
        <v>0</v>
      </c>
      <c r="L2120" s="169">
        <f>IFERROR(MATCH(J2120,'Final List'!$D$4:$D$252,0),0)</f>
        <v>0</v>
      </c>
      <c r="M2120" s="169">
        <f>IFERROR(MATCH(J2120,'Final List'!$F$4:$F$251,0),0)</f>
        <v>0</v>
      </c>
      <c r="N2120" s="169">
        <f>IFERROR(MATCH(J2120,'Final List'!$H$4:$H$252,0),0)</f>
        <v>0</v>
      </c>
      <c r="O2120" s="169">
        <f>IFERROR(MATCH(J2120,'Final List'!$J$4:$J$252,0),0)</f>
        <v>0</v>
      </c>
      <c r="P2120" s="169">
        <f>IFERROR(MATCH(J2120,'Final List'!$L$4:$L$252,0),0)</f>
        <v>0</v>
      </c>
      <c r="Q2120" s="169">
        <f>IFERROR(MATCH(J2120,'Final List'!$N$4:$N$252,0),0)</f>
        <v>0</v>
      </c>
      <c r="R2120" s="169">
        <f>IFERROR(MATCH(J2120,'Final List'!$P$4:$P$252,0),0)</f>
        <v>0</v>
      </c>
      <c r="S2120" s="169">
        <f t="shared" si="136"/>
        <v>0</v>
      </c>
      <c r="V2120" s="293" t="str">
        <f t="shared" si="134"/>
        <v>CANOY 2</v>
      </c>
      <c r="W2120" s="169" t="s">
        <v>8896</v>
      </c>
    </row>
    <row r="2121" spans="2:23" x14ac:dyDescent="0.25">
      <c r="B2121" s="169" t="s">
        <v>1166</v>
      </c>
      <c r="C2121" s="169" t="s">
        <v>56</v>
      </c>
      <c r="D2121" s="169" t="s">
        <v>5602</v>
      </c>
      <c r="E2121" s="169" t="s">
        <v>19</v>
      </c>
      <c r="F2121" s="245" t="str">
        <f t="shared" si="135"/>
        <v>DVR 72</v>
      </c>
      <c r="G2121" s="169" t="s">
        <v>474</v>
      </c>
      <c r="H2121" s="169" t="s">
        <v>1577</v>
      </c>
      <c r="I2121" s="169" t="str">
        <f t="shared" si="133"/>
        <v>L11_GHVFW_053E_RAISE</v>
      </c>
      <c r="J2121" s="169" t="s">
        <v>10159</v>
      </c>
      <c r="K2121" s="169">
        <f>IFERROR(MATCH(J2121,'Final List'!$B$4:$B$252,0),0)</f>
        <v>0</v>
      </c>
      <c r="L2121" s="169">
        <f>IFERROR(MATCH(J2121,'Final List'!$D$4:$D$252,0),0)</f>
        <v>0</v>
      </c>
      <c r="M2121" s="169">
        <f>IFERROR(MATCH(J2121,'Final List'!$F$4:$F$251,0),0)</f>
        <v>0</v>
      </c>
      <c r="N2121" s="169">
        <f>IFERROR(MATCH(J2121,'Final List'!$H$4:$H$252,0),0)</f>
        <v>0</v>
      </c>
      <c r="O2121" s="169">
        <f>IFERROR(MATCH(J2121,'Final List'!$J$4:$J$252,0),0)</f>
        <v>0</v>
      </c>
      <c r="P2121" s="169">
        <f>IFERROR(MATCH(J2121,'Final List'!$L$4:$L$252,0),0)</f>
        <v>0</v>
      </c>
      <c r="Q2121" s="169">
        <f>IFERROR(MATCH(J2121,'Final List'!$N$4:$N$252,0),0)</f>
        <v>0</v>
      </c>
      <c r="R2121" s="169">
        <f>IFERROR(MATCH(J2121,'Final List'!$P$4:$P$252,0),0)</f>
        <v>0</v>
      </c>
      <c r="S2121" s="169">
        <f t="shared" si="136"/>
        <v>0</v>
      </c>
      <c r="V2121" s="293" t="str">
        <f t="shared" si="134"/>
        <v>PANCIT, NOEL 2</v>
      </c>
      <c r="W2121" s="169" t="s">
        <v>2715</v>
      </c>
    </row>
    <row r="2122" spans="2:23" x14ac:dyDescent="0.25">
      <c r="B2122" s="169" t="s">
        <v>1167</v>
      </c>
      <c r="C2122" s="169" t="s">
        <v>38</v>
      </c>
      <c r="D2122" s="169" t="s">
        <v>175</v>
      </c>
      <c r="E2122" s="169" t="s">
        <v>19</v>
      </c>
      <c r="F2122" s="245" t="str">
        <f t="shared" si="135"/>
        <v>DVR 72</v>
      </c>
      <c r="G2122" s="169" t="s">
        <v>9440</v>
      </c>
      <c r="I2122" s="169" t="str">
        <f t="shared" si="133"/>
        <v>L12_GHV_060E_RAISE</v>
      </c>
      <c r="J2122" s="169" t="s">
        <v>10157</v>
      </c>
      <c r="K2122" s="169">
        <f>IFERROR(MATCH(J2122,'Final List'!$B$4:$B$252,0),0)</f>
        <v>0</v>
      </c>
      <c r="L2122" s="169">
        <f>IFERROR(MATCH(J2122,'Final List'!$D$4:$D$252,0),0)</f>
        <v>0</v>
      </c>
      <c r="M2122" s="169">
        <f>IFERROR(MATCH(J2122,'Final List'!$F$4:$F$251,0),0)</f>
        <v>0</v>
      </c>
      <c r="N2122" s="169">
        <f>IFERROR(MATCH(J2122,'Final List'!$H$4:$H$252,0),0)</f>
        <v>0</v>
      </c>
      <c r="O2122" s="169">
        <f>IFERROR(MATCH(J2122,'Final List'!$J$4:$J$252,0),0)</f>
        <v>0</v>
      </c>
      <c r="P2122" s="169">
        <f>IFERROR(MATCH(J2122,'Final List'!$L$4:$L$252,0),0)</f>
        <v>0</v>
      </c>
      <c r="Q2122" s="169">
        <f>IFERROR(MATCH(J2122,'Final List'!$N$4:$N$252,0),0)</f>
        <v>0</v>
      </c>
      <c r="R2122" s="169">
        <f>IFERROR(MATCH(J2122,'Final List'!$P$4:$P$252,0),0)</f>
        <v>0</v>
      </c>
      <c r="S2122" s="169">
        <f t="shared" si="136"/>
        <v>0</v>
      </c>
      <c r="V2122" s="293" t="str">
        <f t="shared" si="134"/>
        <v>DUHIG, P9</v>
      </c>
      <c r="W2122" s="169" t="s">
        <v>2715</v>
      </c>
    </row>
    <row r="2123" spans="2:23" x14ac:dyDescent="0.25">
      <c r="B2123" s="169" t="s">
        <v>258</v>
      </c>
      <c r="C2123" s="169" t="s">
        <v>39</v>
      </c>
      <c r="D2123" s="169" t="s">
        <v>289</v>
      </c>
      <c r="E2123" s="169" t="s">
        <v>19</v>
      </c>
      <c r="F2123" s="245" t="str">
        <f t="shared" si="135"/>
        <v>DVR 72</v>
      </c>
      <c r="G2123" s="169" t="s">
        <v>6851</v>
      </c>
      <c r="I2123" s="169" t="str">
        <f t="shared" si="133"/>
        <v>L10_JVHW_059E_RAISE</v>
      </c>
      <c r="J2123" s="169" t="s">
        <v>10158</v>
      </c>
      <c r="K2123" s="169">
        <f>IFERROR(MATCH(J2123,'Final List'!$B$4:$B$252,0),0)</f>
        <v>0</v>
      </c>
      <c r="L2123" s="169">
        <f>IFERROR(MATCH(J2123,'Final List'!$D$4:$D$252,0),0)</f>
        <v>0</v>
      </c>
      <c r="M2123" s="169">
        <f>IFERROR(MATCH(J2123,'Final List'!$F$4:$F$251,0),0)</f>
        <v>0</v>
      </c>
      <c r="N2123" s="169">
        <f>IFERROR(MATCH(J2123,'Final List'!$H$4:$H$252,0),0)</f>
        <v>0</v>
      </c>
      <c r="O2123" s="169">
        <f>IFERROR(MATCH(J2123,'Final List'!$J$4:$J$252,0),0)</f>
        <v>0</v>
      </c>
      <c r="P2123" s="169">
        <f>IFERROR(MATCH(J2123,'Final List'!$L$4:$L$252,0),0)</f>
        <v>0</v>
      </c>
      <c r="Q2123" s="169">
        <f>IFERROR(MATCH(J2123,'Final List'!$N$4:$N$252,0),0)</f>
        <v>0</v>
      </c>
      <c r="R2123" s="169">
        <f>IFERROR(MATCH(J2123,'Final List'!$P$4:$P$252,0),0)</f>
        <v>0</v>
      </c>
      <c r="S2123" s="169">
        <f t="shared" si="136"/>
        <v>0</v>
      </c>
      <c r="V2123" s="293" t="str">
        <f t="shared" si="134"/>
        <v>OLIVEROS 5</v>
      </c>
      <c r="W2123" s="169" t="s">
        <v>2715</v>
      </c>
    </row>
    <row r="2124" spans="2:23" x14ac:dyDescent="0.25">
      <c r="B2124" s="169" t="s">
        <v>96</v>
      </c>
      <c r="C2124" s="169" t="s">
        <v>45</v>
      </c>
      <c r="D2124" s="169" t="s">
        <v>135</v>
      </c>
      <c r="E2124" s="169" t="s">
        <v>60</v>
      </c>
      <c r="F2124" s="245" t="str">
        <f t="shared" si="135"/>
        <v>Dhoz 71</v>
      </c>
      <c r="G2124" s="169" t="s">
        <v>6621</v>
      </c>
      <c r="I2124" s="169" t="str">
        <f t="shared" si="133"/>
        <v>L09_DPVE_034E_DE</v>
      </c>
      <c r="J2124" s="169" t="s">
        <v>4372</v>
      </c>
      <c r="K2124" s="169">
        <f>IFERROR(MATCH(J2124,'Final List'!$B$4:$B$252,0),0)</f>
        <v>0</v>
      </c>
      <c r="L2124" s="169">
        <f>IFERROR(MATCH(J2124,'Final List'!$D$4:$D$252,0),0)</f>
        <v>0</v>
      </c>
      <c r="M2124" s="169">
        <f>IFERROR(MATCH(J2124,'Final List'!$F$4:$F$251,0),0)</f>
        <v>0</v>
      </c>
      <c r="N2124" s="169">
        <f>IFERROR(MATCH(J2124,'Final List'!$H$4:$H$252,0),0)</f>
        <v>0</v>
      </c>
      <c r="O2124" s="169">
        <f>IFERROR(MATCH(J2124,'Final List'!$J$4:$J$252,0),0)</f>
        <v>0</v>
      </c>
      <c r="P2124" s="169">
        <f>IFERROR(MATCH(J2124,'Final List'!$L$4:$L$252,0),0)</f>
        <v>0</v>
      </c>
      <c r="Q2124" s="169">
        <f>IFERROR(MATCH(J2124,'Final List'!$N$4:$N$252,0),0)</f>
        <v>0</v>
      </c>
      <c r="R2124" s="169">
        <f>IFERROR(MATCH(J2124,'Final List'!$P$4:$P$252,0),0)</f>
        <v>0</v>
      </c>
      <c r="S2124" s="169">
        <f t="shared" si="136"/>
        <v>0</v>
      </c>
      <c r="V2124" s="293" t="str">
        <f t="shared" si="134"/>
        <v>DELOS REYES V1</v>
      </c>
      <c r="W2124" s="169" t="s">
        <v>8896</v>
      </c>
    </row>
    <row r="2125" spans="2:23" x14ac:dyDescent="0.25">
      <c r="B2125" s="169" t="s">
        <v>258</v>
      </c>
      <c r="C2125" s="169" t="s">
        <v>59</v>
      </c>
      <c r="D2125" s="169" t="s">
        <v>226</v>
      </c>
      <c r="E2125" s="169" t="s">
        <v>19</v>
      </c>
      <c r="F2125" s="245" t="str">
        <f t="shared" si="135"/>
        <v>DVR 72</v>
      </c>
      <c r="G2125" s="169" t="s">
        <v>10164</v>
      </c>
      <c r="I2125" s="169" t="str">
        <f t="shared" si="133"/>
        <v>L10_GHVHW_074E_RAISE</v>
      </c>
      <c r="J2125" s="169" t="s">
        <v>5455</v>
      </c>
      <c r="K2125" s="169">
        <f>IFERROR(MATCH(J2125,'Final List'!$B$4:$B$252,0),0)</f>
        <v>0</v>
      </c>
      <c r="L2125" s="169">
        <f>IFERROR(MATCH(J2125,'Final List'!$D$4:$D$252,0),0)</f>
        <v>0</v>
      </c>
      <c r="M2125" s="169">
        <f>IFERROR(MATCH(J2125,'Final List'!$F$4:$F$251,0),0)</f>
        <v>0</v>
      </c>
      <c r="N2125" s="169">
        <f>IFERROR(MATCH(J2125,'Final List'!$H$4:$H$252,0),0)</f>
        <v>0</v>
      </c>
      <c r="O2125" s="169">
        <f>IFERROR(MATCH(J2125,'Final List'!$J$4:$J$252,0),0)</f>
        <v>0</v>
      </c>
      <c r="P2125" s="169">
        <f>IFERROR(MATCH(J2125,'Final List'!$L$4:$L$252,0),0)</f>
        <v>0</v>
      </c>
      <c r="Q2125" s="169">
        <f>IFERROR(MATCH(J2125,'Final List'!$N$4:$N$252,0),0)</f>
        <v>0</v>
      </c>
      <c r="R2125" s="169">
        <f>IFERROR(MATCH(J2125,'Final List'!$P$4:$P$252,0),0)</f>
        <v>0</v>
      </c>
      <c r="S2125" s="169">
        <f t="shared" si="136"/>
        <v>0</v>
      </c>
      <c r="V2125" s="293" t="str">
        <f t="shared" si="134"/>
        <v>SHEPHERD BA 1</v>
      </c>
      <c r="W2125" s="169" t="s">
        <v>2715</v>
      </c>
    </row>
    <row r="2126" spans="2:23" x14ac:dyDescent="0.25">
      <c r="B2126" s="169" t="s">
        <v>93</v>
      </c>
      <c r="C2126" s="169" t="s">
        <v>57</v>
      </c>
      <c r="D2126" s="169" t="s">
        <v>116</v>
      </c>
      <c r="E2126" s="169" t="s">
        <v>62</v>
      </c>
      <c r="F2126" s="245" t="str">
        <f t="shared" si="135"/>
        <v>RobS 79</v>
      </c>
      <c r="G2126" s="169" t="s">
        <v>577</v>
      </c>
      <c r="I2126" s="169" t="str">
        <f t="shared" si="133"/>
        <v>L06_JVSPLIT_021W_ROBBING</v>
      </c>
      <c r="J2126" s="169" t="s">
        <v>10222</v>
      </c>
      <c r="K2126" s="169">
        <f>IFERROR(MATCH(J2126,'Final List'!$B$4:$B$252,0),0)</f>
        <v>0</v>
      </c>
      <c r="L2126" s="169">
        <f>IFERROR(MATCH(J2126,'Final List'!$D$4:$D$252,0),0)</f>
        <v>0</v>
      </c>
      <c r="M2126" s="169">
        <f>IFERROR(MATCH(J2126,'Final List'!$F$4:$F$251,0),0)</f>
        <v>0</v>
      </c>
      <c r="N2126" s="169">
        <f>IFERROR(MATCH(J2126,'Final List'!$H$4:$H$252,0),0)</f>
        <v>0</v>
      </c>
      <c r="O2126" s="169">
        <f>IFERROR(MATCH(J2126,'Final List'!$J$4:$J$252,0),0)</f>
        <v>0</v>
      </c>
      <c r="P2126" s="169">
        <f>IFERROR(MATCH(J2126,'Final List'!$L$4:$L$252,0),0)</f>
        <v>0</v>
      </c>
      <c r="Q2126" s="169">
        <f>IFERROR(MATCH(J2126,'Final List'!$N$4:$N$252,0),0)</f>
        <v>0</v>
      </c>
      <c r="R2126" s="169">
        <f>IFERROR(MATCH(J2126,'Final List'!$P$4:$P$252,0),0)</f>
        <v>0</v>
      </c>
      <c r="S2126" s="169">
        <f t="shared" si="136"/>
        <v>0</v>
      </c>
      <c r="T2126" s="169" t="s">
        <v>68</v>
      </c>
      <c r="V2126" s="293" t="str">
        <f t="shared" si="134"/>
        <v>CARIKITAN 1</v>
      </c>
      <c r="W2126" s="169" t="s">
        <v>2707</v>
      </c>
    </row>
    <row r="2127" spans="2:23" x14ac:dyDescent="0.25">
      <c r="B2127" s="169" t="s">
        <v>93</v>
      </c>
      <c r="C2127" s="169" t="s">
        <v>45</v>
      </c>
      <c r="D2127" s="169" t="s">
        <v>289</v>
      </c>
      <c r="E2127" s="169" t="s">
        <v>62</v>
      </c>
      <c r="F2127" s="245" t="str">
        <f t="shared" si="135"/>
        <v>RobS 79</v>
      </c>
      <c r="G2127" s="169" t="s">
        <v>350</v>
      </c>
      <c r="I2127" s="169" t="str">
        <f t="shared" si="133"/>
        <v>L06_DPVE_059E_ROBBING</v>
      </c>
      <c r="J2127" s="169" t="s">
        <v>10165</v>
      </c>
      <c r="K2127" s="169">
        <f>IFERROR(MATCH(J2127,'Final List'!$B$4:$B$252,0),0)</f>
        <v>0</v>
      </c>
      <c r="L2127" s="169">
        <f>IFERROR(MATCH(J2127,'Final List'!$D$4:$D$252,0),0)</f>
        <v>0</v>
      </c>
      <c r="M2127" s="169">
        <f>IFERROR(MATCH(J2127,'Final List'!$F$4:$F$251,0),0)</f>
        <v>0</v>
      </c>
      <c r="N2127" s="169">
        <f>IFERROR(MATCH(J2127,'Final List'!$H$4:$H$252,0),0)</f>
        <v>0</v>
      </c>
      <c r="O2127" s="169">
        <f>IFERROR(MATCH(J2127,'Final List'!$J$4:$J$252,0),0)</f>
        <v>0</v>
      </c>
      <c r="P2127" s="169">
        <f>IFERROR(MATCH(J2127,'Final List'!$L$4:$L$252,0),0)</f>
        <v>0</v>
      </c>
      <c r="Q2127" s="169">
        <f>IFERROR(MATCH(J2127,'Final List'!$N$4:$N$252,0),0)</f>
        <v>0</v>
      </c>
      <c r="R2127" s="169">
        <f>IFERROR(MATCH(J2127,'Final List'!$P$4:$P$252,0),0)</f>
        <v>0</v>
      </c>
      <c r="S2127" s="169">
        <f t="shared" si="136"/>
        <v>0</v>
      </c>
      <c r="T2127" s="169" t="s">
        <v>68</v>
      </c>
      <c r="V2127" s="293" t="str">
        <f t="shared" si="134"/>
        <v>QUIJANO 1</v>
      </c>
      <c r="W2127" s="169" t="s">
        <v>2707</v>
      </c>
    </row>
    <row r="2128" spans="2:23" x14ac:dyDescent="0.25">
      <c r="B2128" s="169" t="s">
        <v>96</v>
      </c>
      <c r="C2128" s="169" t="s">
        <v>87</v>
      </c>
      <c r="D2128" s="169" t="s">
        <v>97</v>
      </c>
      <c r="E2128" s="169" t="s">
        <v>37</v>
      </c>
      <c r="F2128" s="245" t="str">
        <f t="shared" si="135"/>
        <v>Dhoz 71</v>
      </c>
      <c r="G2128" s="169" t="s">
        <v>1661</v>
      </c>
      <c r="H2128" s="169" t="s">
        <v>2970</v>
      </c>
      <c r="I2128" s="169" t="str">
        <f t="shared" si="133"/>
        <v>L09_NONE_012W_XCN</v>
      </c>
      <c r="J2128" s="169" t="s">
        <v>10090</v>
      </c>
      <c r="K2128" s="169">
        <f>IFERROR(MATCH(J2128,'Final List'!$B$4:$B$252,0),0)</f>
        <v>0</v>
      </c>
      <c r="L2128" s="169">
        <f>IFERROR(MATCH(J2128,'Final List'!$D$4:$D$252,0),0)</f>
        <v>0</v>
      </c>
      <c r="M2128" s="169">
        <f>IFERROR(MATCH(J2128,'Final List'!$F$4:$F$251,0),0)</f>
        <v>0</v>
      </c>
      <c r="N2128" s="169">
        <f>IFERROR(MATCH(J2128,'Final List'!$H$4:$H$252,0),0)</f>
        <v>0</v>
      </c>
      <c r="O2128" s="169">
        <f>IFERROR(MATCH(J2128,'Final List'!$J$4:$J$252,0),0)</f>
        <v>0</v>
      </c>
      <c r="P2128" s="169">
        <f>IFERROR(MATCH(J2128,'Final List'!$L$4:$L$252,0),0)</f>
        <v>0</v>
      </c>
      <c r="Q2128" s="169">
        <f>IFERROR(MATCH(J2128,'Final List'!$N$4:$N$252,0),0)</f>
        <v>0</v>
      </c>
      <c r="R2128" s="169">
        <f>IFERROR(MATCH(J2128,'Final List'!$P$4:$P$252,0),0)</f>
        <v>0</v>
      </c>
      <c r="S2128" s="169">
        <f t="shared" si="136"/>
        <v>0</v>
      </c>
      <c r="V2128" s="293" t="str">
        <f t="shared" si="134"/>
        <v>FABROA 2</v>
      </c>
      <c r="W2128" s="169" t="s">
        <v>8898</v>
      </c>
    </row>
    <row r="2129" spans="2:23" x14ac:dyDescent="0.25">
      <c r="B2129" s="169" t="s">
        <v>96</v>
      </c>
      <c r="C2129" s="169" t="s">
        <v>45</v>
      </c>
      <c r="D2129" s="169" t="s">
        <v>131</v>
      </c>
      <c r="E2129" s="169" t="s">
        <v>60</v>
      </c>
      <c r="F2129" s="245" t="str">
        <f t="shared" si="135"/>
        <v>Dhoz 71</v>
      </c>
      <c r="G2129" s="169" t="s">
        <v>10275</v>
      </c>
      <c r="I2129" s="169" t="str">
        <f t="shared" si="133"/>
        <v>L09_DPVE_011E_DE</v>
      </c>
      <c r="J2129" s="169" t="s">
        <v>10170</v>
      </c>
      <c r="K2129" s="169">
        <f>IFERROR(MATCH(J2129,'Final List'!$B$4:$B$252,0),0)</f>
        <v>0</v>
      </c>
      <c r="L2129" s="169">
        <f>IFERROR(MATCH(J2129,'Final List'!$D$4:$D$252,0),0)</f>
        <v>0</v>
      </c>
      <c r="M2129" s="169">
        <f>IFERROR(MATCH(J2129,'Final List'!$F$4:$F$251,0),0)</f>
        <v>0</v>
      </c>
      <c r="N2129" s="169">
        <f>IFERROR(MATCH(J2129,'Final List'!$H$4:$H$252,0),0)</f>
        <v>0</v>
      </c>
      <c r="O2129" s="169">
        <f>IFERROR(MATCH(J2129,'Final List'!$J$4:$J$252,0),0)</f>
        <v>0</v>
      </c>
      <c r="P2129" s="169">
        <f>IFERROR(MATCH(J2129,'Final List'!$L$4:$L$252,0),0)</f>
        <v>0</v>
      </c>
      <c r="Q2129" s="169">
        <f>IFERROR(MATCH(J2129,'Final List'!$N$4:$N$252,0),0)</f>
        <v>0</v>
      </c>
      <c r="R2129" s="169">
        <f>IFERROR(MATCH(J2129,'Final List'!$P$4:$P$252,0),0)</f>
        <v>0</v>
      </c>
      <c r="S2129" s="169">
        <f t="shared" si="136"/>
        <v>0</v>
      </c>
      <c r="V2129" s="293" t="str">
        <f t="shared" si="134"/>
        <v>PANSIT NORMAN 3</v>
      </c>
      <c r="W2129" s="169" t="s">
        <v>8896</v>
      </c>
    </row>
    <row r="2130" spans="2:23" x14ac:dyDescent="0.25">
      <c r="B2130" s="169" t="s">
        <v>92</v>
      </c>
      <c r="C2130" s="169" t="s">
        <v>45</v>
      </c>
      <c r="D2130" s="169" t="s">
        <v>160</v>
      </c>
      <c r="E2130" s="169" t="s">
        <v>62</v>
      </c>
      <c r="F2130" s="245" t="str">
        <f t="shared" si="135"/>
        <v>RobS 79</v>
      </c>
      <c r="G2130" s="169" t="s">
        <v>551</v>
      </c>
      <c r="I2130" s="169" t="str">
        <f t="shared" si="133"/>
        <v>L05_DPVE_042E_ROBBING</v>
      </c>
      <c r="J2130" s="169" t="s">
        <v>10177</v>
      </c>
      <c r="K2130" s="169">
        <f>IFERROR(MATCH(J2130,'Final List'!$B$4:$B$252,0),0)</f>
        <v>0</v>
      </c>
      <c r="L2130" s="169">
        <f>IFERROR(MATCH(J2130,'Final List'!$D$4:$D$252,0),0)</f>
        <v>0</v>
      </c>
      <c r="M2130" s="169">
        <f>IFERROR(MATCH(J2130,'Final List'!$F$4:$F$251,0),0)</f>
        <v>0</v>
      </c>
      <c r="N2130" s="169">
        <f>IFERROR(MATCH(J2130,'Final List'!$H$4:$H$252,0),0)</f>
        <v>0</v>
      </c>
      <c r="O2130" s="169">
        <f>IFERROR(MATCH(J2130,'Final List'!$J$4:$J$252,0),0)</f>
        <v>0</v>
      </c>
      <c r="P2130" s="169">
        <f>IFERROR(MATCH(J2130,'Final List'!$L$4:$L$252,0),0)</f>
        <v>0</v>
      </c>
      <c r="Q2130" s="169">
        <f>IFERROR(MATCH(J2130,'Final List'!$N$4:$N$252,0),0)</f>
        <v>0</v>
      </c>
      <c r="R2130" s="169">
        <f>IFERROR(MATCH(J2130,'Final List'!$P$4:$P$252,0),0)</f>
        <v>0</v>
      </c>
      <c r="S2130" s="169">
        <f t="shared" si="136"/>
        <v>0</v>
      </c>
      <c r="T2130" s="169" t="s">
        <v>68</v>
      </c>
      <c r="V2130" s="293" t="str">
        <f t="shared" si="134"/>
        <v>PANCIT, NOEL 3</v>
      </c>
      <c r="W2130" s="169" t="s">
        <v>2707</v>
      </c>
    </row>
    <row r="2131" spans="2:23" x14ac:dyDescent="0.25">
      <c r="B2131" s="169" t="s">
        <v>92</v>
      </c>
      <c r="C2131" s="169" t="s">
        <v>42</v>
      </c>
      <c r="D2131" s="169" t="s">
        <v>117</v>
      </c>
      <c r="E2131" s="169" t="s">
        <v>62</v>
      </c>
      <c r="F2131" s="245" t="str">
        <f t="shared" si="135"/>
        <v>RobS 79</v>
      </c>
      <c r="G2131" s="169" t="s">
        <v>5773</v>
      </c>
      <c r="I2131" s="169" t="str">
        <f t="shared" si="133"/>
        <v>L05_JV_006W_ROBBING</v>
      </c>
      <c r="J2131" s="169" t="s">
        <v>10178</v>
      </c>
      <c r="K2131" s="169">
        <f>IFERROR(MATCH(J2131,'Final List'!$B$4:$B$252,0),0)</f>
        <v>0</v>
      </c>
      <c r="L2131" s="169">
        <f>IFERROR(MATCH(J2131,'Final List'!$D$4:$D$252,0),0)</f>
        <v>0</v>
      </c>
      <c r="M2131" s="169">
        <f>IFERROR(MATCH(J2131,'Final List'!$F$4:$F$251,0),0)</f>
        <v>0</v>
      </c>
      <c r="N2131" s="169">
        <f>IFERROR(MATCH(J2131,'Final List'!$H$4:$H$252,0),0)</f>
        <v>0</v>
      </c>
      <c r="O2131" s="169">
        <f>IFERROR(MATCH(J2131,'Final List'!$J$4:$J$252,0),0)</f>
        <v>0</v>
      </c>
      <c r="P2131" s="169">
        <f>IFERROR(MATCH(J2131,'Final List'!$L$4:$L$252,0),0)</f>
        <v>0</v>
      </c>
      <c r="Q2131" s="169">
        <f>IFERROR(MATCH(J2131,'Final List'!$N$4:$N$252,0),0)</f>
        <v>0</v>
      </c>
      <c r="R2131" s="169">
        <f>IFERROR(MATCH(J2131,'Final List'!$P$4:$P$252,0),0)</f>
        <v>0</v>
      </c>
      <c r="S2131" s="169">
        <f t="shared" si="136"/>
        <v>0</v>
      </c>
      <c r="T2131" s="169" t="s">
        <v>68</v>
      </c>
      <c r="V2131" s="293" t="str">
        <f t="shared" si="134"/>
        <v>PARAN 3</v>
      </c>
      <c r="W2131" s="169" t="s">
        <v>2707</v>
      </c>
    </row>
    <row r="2132" spans="2:23" x14ac:dyDescent="0.25">
      <c r="B2132" s="169" t="s">
        <v>92</v>
      </c>
      <c r="C2132" s="169" t="s">
        <v>56</v>
      </c>
      <c r="D2132" s="169" t="s">
        <v>6983</v>
      </c>
      <c r="E2132" s="169" t="s">
        <v>62</v>
      </c>
      <c r="F2132" s="245" t="str">
        <f t="shared" si="135"/>
        <v>RobS 79</v>
      </c>
      <c r="G2132" s="169" t="s">
        <v>450</v>
      </c>
      <c r="I2132" s="169" t="str">
        <f t="shared" si="133"/>
        <v>L05_GHVFW_001E_ROBBING</v>
      </c>
      <c r="J2132" s="169" t="s">
        <v>10179</v>
      </c>
      <c r="K2132" s="169">
        <f>IFERROR(MATCH(J2132,'Final List'!$B$4:$B$252,0),0)</f>
        <v>0</v>
      </c>
      <c r="L2132" s="169">
        <f>IFERROR(MATCH(J2132,'Final List'!$D$4:$D$252,0),0)</f>
        <v>0</v>
      </c>
      <c r="M2132" s="169">
        <f>IFERROR(MATCH(J2132,'Final List'!$F$4:$F$251,0),0)</f>
        <v>0</v>
      </c>
      <c r="N2132" s="169">
        <f>IFERROR(MATCH(J2132,'Final List'!$H$4:$H$252,0),0)</f>
        <v>0</v>
      </c>
      <c r="O2132" s="169">
        <f>IFERROR(MATCH(J2132,'Final List'!$J$4:$J$252,0),0)</f>
        <v>0</v>
      </c>
      <c r="P2132" s="169">
        <f>IFERROR(MATCH(J2132,'Final List'!$L$4:$L$252,0),0)</f>
        <v>0</v>
      </c>
      <c r="Q2132" s="169">
        <f>IFERROR(MATCH(J2132,'Final List'!$N$4:$N$252,0),0)</f>
        <v>0</v>
      </c>
      <c r="R2132" s="169">
        <f>IFERROR(MATCH(J2132,'Final List'!$P$4:$P$252,0),0)</f>
        <v>0</v>
      </c>
      <c r="S2132" s="169">
        <f t="shared" si="136"/>
        <v>0</v>
      </c>
      <c r="T2132" s="169" t="s">
        <v>68</v>
      </c>
      <c r="V2132" s="293" t="str">
        <f t="shared" si="134"/>
        <v>BAYOBAY 1</v>
      </c>
      <c r="W2132" s="169" t="s">
        <v>2707</v>
      </c>
    </row>
    <row r="2133" spans="2:23" x14ac:dyDescent="0.25">
      <c r="B2133" s="169" t="s">
        <v>8904</v>
      </c>
      <c r="C2133" s="169" t="s">
        <v>57</v>
      </c>
      <c r="D2133" s="169" t="s">
        <v>7451</v>
      </c>
      <c r="E2133" s="169" t="s">
        <v>62</v>
      </c>
      <c r="F2133" s="245" t="str">
        <f t="shared" si="135"/>
        <v>RobS 79</v>
      </c>
      <c r="G2133" s="169" t="s">
        <v>9348</v>
      </c>
      <c r="I2133" s="169" t="str">
        <f t="shared" si="133"/>
        <v>L03_JVSPLIT_040W_ROBBING</v>
      </c>
      <c r="J2133" s="169" t="s">
        <v>10180</v>
      </c>
      <c r="K2133" s="169">
        <f>IFERROR(MATCH(J2133,'Final List'!$B$4:$B$252,0),0)</f>
        <v>0</v>
      </c>
      <c r="L2133" s="169">
        <f>IFERROR(MATCH(J2133,'Final List'!$D$4:$D$252,0),0)</f>
        <v>0</v>
      </c>
      <c r="M2133" s="169">
        <f>IFERROR(MATCH(J2133,'Final List'!$F$4:$F$251,0),0)</f>
        <v>0</v>
      </c>
      <c r="N2133" s="169">
        <f>IFERROR(MATCH(J2133,'Final List'!$H$4:$H$252,0),0)</f>
        <v>0</v>
      </c>
      <c r="O2133" s="169">
        <f>IFERROR(MATCH(J2133,'Final List'!$J$4:$J$252,0),0)</f>
        <v>0</v>
      </c>
      <c r="P2133" s="169">
        <f>IFERROR(MATCH(J2133,'Final List'!$L$4:$L$252,0),0)</f>
        <v>0</v>
      </c>
      <c r="Q2133" s="169">
        <f>IFERROR(MATCH(J2133,'Final List'!$N$4:$N$252,0),0)</f>
        <v>0</v>
      </c>
      <c r="R2133" s="169">
        <f>IFERROR(MATCH(J2133,'Final List'!$P$4:$P$252,0),0)</f>
        <v>0</v>
      </c>
      <c r="S2133" s="169">
        <f t="shared" si="136"/>
        <v>0</v>
      </c>
      <c r="T2133" s="169" t="s">
        <v>68</v>
      </c>
      <c r="V2133" s="293" t="str">
        <f t="shared" si="134"/>
        <v>FERNANDEZ, RM 1</v>
      </c>
      <c r="W2133" s="169" t="s">
        <v>2707</v>
      </c>
    </row>
    <row r="2134" spans="2:23" x14ac:dyDescent="0.25">
      <c r="B2134" s="169" t="s">
        <v>95</v>
      </c>
      <c r="C2134" s="169" t="s">
        <v>43</v>
      </c>
      <c r="D2134" s="169" t="s">
        <v>171</v>
      </c>
      <c r="E2134" s="169" t="s">
        <v>19</v>
      </c>
      <c r="F2134" s="245" t="str">
        <f t="shared" si="135"/>
        <v>DVR 72</v>
      </c>
      <c r="G2134" s="169" t="s">
        <v>942</v>
      </c>
      <c r="H2134" s="169" t="s">
        <v>472</v>
      </c>
      <c r="I2134" s="169" t="str">
        <f t="shared" si="133"/>
        <v>L08_GHVSPLIT_015W_RAISE</v>
      </c>
      <c r="J2134" s="169" t="s">
        <v>10184</v>
      </c>
      <c r="K2134" s="169">
        <f>IFERROR(MATCH(J2134,'Final List'!$B$4:$B$252,0),0)</f>
        <v>0</v>
      </c>
      <c r="L2134" s="169">
        <f>IFERROR(MATCH(J2134,'Final List'!$D$4:$D$252,0),0)</f>
        <v>0</v>
      </c>
      <c r="M2134" s="169">
        <f>IFERROR(MATCH(J2134,'Final List'!$F$4:$F$251,0),0)</f>
        <v>0</v>
      </c>
      <c r="N2134" s="169">
        <f>IFERROR(MATCH(J2134,'Final List'!$H$4:$H$252,0),0)</f>
        <v>0</v>
      </c>
      <c r="O2134" s="169">
        <f>IFERROR(MATCH(J2134,'Final List'!$J$4:$J$252,0),0)</f>
        <v>0</v>
      </c>
      <c r="P2134" s="169">
        <f>IFERROR(MATCH(J2134,'Final List'!$L$4:$L$252,0),0)</f>
        <v>0</v>
      </c>
      <c r="Q2134" s="169">
        <f>IFERROR(MATCH(J2134,'Final List'!$N$4:$N$252,0),0)</f>
        <v>0</v>
      </c>
      <c r="R2134" s="169">
        <f>IFERROR(MATCH(J2134,'Final List'!$P$4:$P$252,0),0)</f>
        <v>0</v>
      </c>
      <c r="S2134" s="169">
        <f t="shared" si="136"/>
        <v>0</v>
      </c>
      <c r="V2134" s="293" t="str">
        <f t="shared" si="134"/>
        <v>LERIO 3</v>
      </c>
      <c r="W2134" s="169" t="s">
        <v>2715</v>
      </c>
    </row>
    <row r="2135" spans="2:23" x14ac:dyDescent="0.25">
      <c r="B2135" s="169" t="s">
        <v>92</v>
      </c>
      <c r="C2135" s="169" t="s">
        <v>43</v>
      </c>
      <c r="D2135" s="169" t="s">
        <v>6941</v>
      </c>
      <c r="E2135" s="169" t="s">
        <v>61</v>
      </c>
      <c r="F2135" s="245" t="str">
        <f t="shared" si="135"/>
        <v>Dhoz 71</v>
      </c>
      <c r="G2135" s="169" t="s">
        <v>8197</v>
      </c>
      <c r="I2135" s="169" t="str">
        <f t="shared" si="133"/>
        <v>L05_GHVSPLIT_031W_DW</v>
      </c>
      <c r="J2135" s="169" t="s">
        <v>10229</v>
      </c>
      <c r="K2135" s="169">
        <f>IFERROR(MATCH(J2135,'Final List'!$B$4:$B$252,0),0)</f>
        <v>0</v>
      </c>
      <c r="L2135" s="169">
        <f>IFERROR(MATCH(J2135,'Final List'!$D$4:$D$252,0),0)</f>
        <v>0</v>
      </c>
      <c r="M2135" s="169">
        <f>IFERROR(MATCH(J2135,'Final List'!$F$4:$F$251,0),0)</f>
        <v>0</v>
      </c>
      <c r="N2135" s="169">
        <f>IFERROR(MATCH(J2135,'Final List'!$H$4:$H$252,0),0)</f>
        <v>0</v>
      </c>
      <c r="O2135" s="169">
        <f>IFERROR(MATCH(J2135,'Final List'!$J$4:$J$252,0),0)</f>
        <v>0</v>
      </c>
      <c r="P2135" s="169">
        <f>IFERROR(MATCH(J2135,'Final List'!$L$4:$L$252,0),0)</f>
        <v>0</v>
      </c>
      <c r="Q2135" s="169">
        <f>IFERROR(MATCH(J2135,'Final List'!$N$4:$N$252,0),0)</f>
        <v>0</v>
      </c>
      <c r="R2135" s="169">
        <f>IFERROR(MATCH(J2135,'Final List'!$P$4:$P$252,0),0)</f>
        <v>0</v>
      </c>
      <c r="S2135" s="169">
        <f t="shared" si="136"/>
        <v>0</v>
      </c>
      <c r="V2135" s="293" t="str">
        <f t="shared" si="134"/>
        <v>PANCIT, NOEL  1</v>
      </c>
      <c r="W2135" s="169" t="s">
        <v>8895</v>
      </c>
    </row>
    <row r="2136" spans="2:23" x14ac:dyDescent="0.25">
      <c r="B2136" s="169" t="s">
        <v>96</v>
      </c>
      <c r="C2136" s="169" t="s">
        <v>42</v>
      </c>
      <c r="D2136" s="169" t="s">
        <v>5614</v>
      </c>
      <c r="E2136" s="169" t="s">
        <v>6143</v>
      </c>
      <c r="F2136" s="245" t="str">
        <f t="shared" si="135"/>
        <v>Dhoz 71</v>
      </c>
      <c r="G2136" s="169" t="s">
        <v>363</v>
      </c>
      <c r="I2136" s="169" t="str">
        <f t="shared" si="133"/>
        <v>L09_JV_055E_DE_ISL</v>
      </c>
      <c r="J2136" s="169" t="s">
        <v>10189</v>
      </c>
      <c r="K2136" s="169">
        <f>IFERROR(MATCH(J2136,'Final List'!$B$4:$B$252,0),0)</f>
        <v>0</v>
      </c>
      <c r="L2136" s="169">
        <f>IFERROR(MATCH(J2136,'Final List'!$D$4:$D$252,0),0)</f>
        <v>0</v>
      </c>
      <c r="M2136" s="169">
        <f>IFERROR(MATCH(J2136,'Final List'!$F$4:$F$251,0),0)</f>
        <v>0</v>
      </c>
      <c r="N2136" s="169">
        <f>IFERROR(MATCH(J2136,'Final List'!$H$4:$H$252,0),0)</f>
        <v>0</v>
      </c>
      <c r="O2136" s="169">
        <f>IFERROR(MATCH(J2136,'Final List'!$J$4:$J$252,0),0)</f>
        <v>0</v>
      </c>
      <c r="P2136" s="169">
        <f>IFERROR(MATCH(J2136,'Final List'!$L$4:$L$252,0),0)</f>
        <v>0</v>
      </c>
      <c r="Q2136" s="169">
        <f>IFERROR(MATCH(J2136,'Final List'!$N$4:$N$252,0),0)</f>
        <v>0</v>
      </c>
      <c r="R2136" s="169">
        <f>IFERROR(MATCH(J2136,'Final List'!$P$4:$P$252,0),0)</f>
        <v>0</v>
      </c>
      <c r="S2136" s="169">
        <f t="shared" si="136"/>
        <v>0</v>
      </c>
      <c r="V2136" s="293" t="str">
        <f t="shared" si="134"/>
        <v>BABOR 2</v>
      </c>
      <c r="W2136" s="169" t="s">
        <v>2708</v>
      </c>
    </row>
    <row r="2137" spans="2:23" x14ac:dyDescent="0.25">
      <c r="B2137" s="169" t="s">
        <v>258</v>
      </c>
      <c r="C2137" s="169" t="s">
        <v>45</v>
      </c>
      <c r="D2137" s="169" t="s">
        <v>169</v>
      </c>
      <c r="E2137" s="169" t="s">
        <v>211</v>
      </c>
      <c r="F2137" s="245" t="str">
        <f t="shared" si="135"/>
        <v>StpS 77</v>
      </c>
      <c r="G2137" s="169" t="s">
        <v>6851</v>
      </c>
      <c r="I2137" s="169" t="str">
        <f t="shared" si="133"/>
        <v>L10_DPVE_065E_STOPE PREP</v>
      </c>
      <c r="J2137" s="169" t="s">
        <v>10236</v>
      </c>
      <c r="K2137" s="169">
        <f>IFERROR(MATCH(J2137,'Final List'!$B$4:$B$252,0),0)</f>
        <v>0</v>
      </c>
      <c r="L2137" s="169">
        <f>IFERROR(MATCH(J2137,'Final List'!$D$4:$D$252,0),0)</f>
        <v>0</v>
      </c>
      <c r="M2137" s="169">
        <f>IFERROR(MATCH(J2137,'Final List'!$F$4:$F$251,0),0)</f>
        <v>0</v>
      </c>
      <c r="N2137" s="169">
        <f>IFERROR(MATCH(J2137,'Final List'!$H$4:$H$252,0),0)</f>
        <v>0</v>
      </c>
      <c r="O2137" s="169">
        <f>IFERROR(MATCH(J2137,'Final List'!$J$4:$J$252,0),0)</f>
        <v>0</v>
      </c>
      <c r="P2137" s="169">
        <f>IFERROR(MATCH(J2137,'Final List'!$L$4:$L$252,0),0)</f>
        <v>0</v>
      </c>
      <c r="Q2137" s="169">
        <f>IFERROR(MATCH(J2137,'Final List'!$N$4:$N$252,0),0)</f>
        <v>0</v>
      </c>
      <c r="R2137" s="169">
        <f>IFERROR(MATCH(J2137,'Final List'!$P$4:$P$252,0),0)</f>
        <v>0</v>
      </c>
      <c r="S2137" s="169">
        <f t="shared" si="136"/>
        <v>0</v>
      </c>
      <c r="T2137" s="169" t="s">
        <v>68</v>
      </c>
      <c r="V2137" s="293" t="str">
        <f t="shared" si="134"/>
        <v>OLIVEROS 5</v>
      </c>
      <c r="W2137" s="169" t="s">
        <v>2712</v>
      </c>
    </row>
    <row r="2138" spans="2:23" x14ac:dyDescent="0.25">
      <c r="B2138" s="169" t="s">
        <v>258</v>
      </c>
      <c r="C2138" s="169" t="s">
        <v>43</v>
      </c>
      <c r="D2138" s="169" t="s">
        <v>595</v>
      </c>
      <c r="E2138" s="169" t="s">
        <v>61</v>
      </c>
      <c r="F2138" s="245" t="str">
        <f t="shared" si="135"/>
        <v>Dhoz 71</v>
      </c>
      <c r="G2138" s="169" t="s">
        <v>9965</v>
      </c>
      <c r="H2138" s="169" t="s">
        <v>10441</v>
      </c>
      <c r="I2138" s="169" t="str">
        <f t="shared" si="133"/>
        <v>L10_GHVSPLIT_072E_DW</v>
      </c>
      <c r="J2138" s="169" t="s">
        <v>10235</v>
      </c>
      <c r="K2138" s="169">
        <f>IFERROR(MATCH(J2138,'Final List'!$B$4:$B$252,0),0)</f>
        <v>0</v>
      </c>
      <c r="L2138" s="169">
        <f>IFERROR(MATCH(J2138,'Final List'!$D$4:$D$252,0),0)</f>
        <v>0</v>
      </c>
      <c r="M2138" s="169">
        <f>IFERROR(MATCH(J2138,'Final List'!$F$4:$F$251,0),0)</f>
        <v>0</v>
      </c>
      <c r="N2138" s="169">
        <f>IFERROR(MATCH(J2138,'Final List'!$H$4:$H$252,0),0)</f>
        <v>0</v>
      </c>
      <c r="O2138" s="169">
        <f>IFERROR(MATCH(J2138,'Final List'!$J$4:$J$252,0),0)</f>
        <v>0</v>
      </c>
      <c r="P2138" s="169">
        <f>IFERROR(MATCH(J2138,'Final List'!$L$4:$L$252,0),0)</f>
        <v>0</v>
      </c>
      <c r="Q2138" s="169">
        <f>IFERROR(MATCH(J2138,'Final List'!$N$4:$N$252,0),0)</f>
        <v>0</v>
      </c>
      <c r="R2138" s="169">
        <f>IFERROR(MATCH(J2138,'Final List'!$P$4:$P$252,0),0)</f>
        <v>0</v>
      </c>
      <c r="S2138" s="169">
        <f t="shared" si="136"/>
        <v>0</v>
      </c>
      <c r="V2138" s="293" t="str">
        <f t="shared" si="134"/>
        <v>PARAGUYA 3.</v>
      </c>
      <c r="W2138" s="169" t="s">
        <v>8896</v>
      </c>
    </row>
    <row r="2139" spans="2:23" x14ac:dyDescent="0.25">
      <c r="B2139" s="169" t="s">
        <v>258</v>
      </c>
      <c r="C2139" s="169" t="s">
        <v>87</v>
      </c>
      <c r="D2139" s="169" t="s">
        <v>10196</v>
      </c>
      <c r="E2139" s="169" t="s">
        <v>72</v>
      </c>
      <c r="F2139" s="245" t="str">
        <f t="shared" si="135"/>
        <v>Dhoz 71</v>
      </c>
      <c r="G2139" s="169" t="s">
        <v>354</v>
      </c>
      <c r="I2139" s="169" t="str">
        <f t="shared" si="133"/>
        <v>L10_NONE_100E_CHAMBER</v>
      </c>
      <c r="J2139" s="169" t="s">
        <v>10195</v>
      </c>
      <c r="K2139" s="169">
        <f>IFERROR(MATCH(J2139,'Final List'!$B$4:$B$252,0),0)</f>
        <v>0</v>
      </c>
      <c r="L2139" s="169">
        <f>IFERROR(MATCH(J2139,'Final List'!$D$4:$D$252,0),0)</f>
        <v>0</v>
      </c>
      <c r="M2139" s="169">
        <f>IFERROR(MATCH(J2139,'Final List'!$F$4:$F$251,0),0)</f>
        <v>0</v>
      </c>
      <c r="N2139" s="169">
        <f>IFERROR(MATCH(J2139,'Final List'!$H$4:$H$252,0),0)</f>
        <v>0</v>
      </c>
      <c r="O2139" s="169">
        <f>IFERROR(MATCH(J2139,'Final List'!$J$4:$J$252,0),0)</f>
        <v>0</v>
      </c>
      <c r="P2139" s="169">
        <f>IFERROR(MATCH(J2139,'Final List'!$L$4:$L$252,0),0)</f>
        <v>0</v>
      </c>
      <c r="Q2139" s="169">
        <f>IFERROR(MATCH(J2139,'Final List'!$N$4:$N$252,0),0)</f>
        <v>0</v>
      </c>
      <c r="R2139" s="169">
        <f>IFERROR(MATCH(J2139,'Final List'!$P$4:$P$252,0),0)</f>
        <v>0</v>
      </c>
      <c r="S2139" s="169">
        <f t="shared" si="136"/>
        <v>0</v>
      </c>
      <c r="V2139" s="293" t="str">
        <f t="shared" si="134"/>
        <v>BAÑEZ 3</v>
      </c>
      <c r="W2139" s="169" t="s">
        <v>2714</v>
      </c>
    </row>
    <row r="2140" spans="2:23" x14ac:dyDescent="0.25">
      <c r="B2140" s="169" t="s">
        <v>1167</v>
      </c>
      <c r="C2140" s="169" t="s">
        <v>43</v>
      </c>
      <c r="D2140" s="169" t="s">
        <v>205</v>
      </c>
      <c r="E2140" s="169" t="s">
        <v>60</v>
      </c>
      <c r="F2140" s="245" t="str">
        <f t="shared" si="135"/>
        <v>Dhoz 71</v>
      </c>
      <c r="G2140" s="169" t="s">
        <v>6931</v>
      </c>
      <c r="H2140" s="169" t="s">
        <v>8197</v>
      </c>
      <c r="I2140" s="169" t="str">
        <f t="shared" si="133"/>
        <v>L12_GHVSPLIT_066E_DE</v>
      </c>
      <c r="J2140" s="169" t="s">
        <v>11070</v>
      </c>
      <c r="K2140" s="169">
        <f>IFERROR(MATCH(J2140,'Final List'!$B$4:$B$252,0),0)</f>
        <v>0</v>
      </c>
      <c r="L2140" s="169">
        <f>IFERROR(MATCH(J2140,'Final List'!$D$4:$D$252,0),0)</f>
        <v>0</v>
      </c>
      <c r="M2140" s="169">
        <f>IFERROR(MATCH(J2140,'Final List'!$F$4:$F$251,0),0)</f>
        <v>0</v>
      </c>
      <c r="N2140" s="169">
        <f>IFERROR(MATCH(J2140,'Final List'!$H$4:$H$252,0),0)</f>
        <v>0</v>
      </c>
      <c r="O2140" s="169">
        <f>IFERROR(MATCH(J2140,'Final List'!$J$4:$J$252,0),0)</f>
        <v>0</v>
      </c>
      <c r="P2140" s="169">
        <f>IFERROR(MATCH(J2140,'Final List'!$L$4:$L$252,0),0)</f>
        <v>0</v>
      </c>
      <c r="Q2140" s="169">
        <f>IFERROR(MATCH(J2140,'Final List'!$N$4:$N$252,0),0)</f>
        <v>0</v>
      </c>
      <c r="R2140" s="169">
        <f>IFERROR(MATCH(J2140,'Final List'!$P$4:$P$252,0),0)</f>
        <v>0</v>
      </c>
      <c r="S2140" s="169">
        <f t="shared" si="136"/>
        <v>0</v>
      </c>
      <c r="V2140" s="293" t="str">
        <f t="shared" si="134"/>
        <v>PANCIT, NOEL  1</v>
      </c>
      <c r="W2140" s="169" t="s">
        <v>8896</v>
      </c>
    </row>
    <row r="2141" spans="2:23" x14ac:dyDescent="0.25">
      <c r="B2141" s="169" t="s">
        <v>96</v>
      </c>
      <c r="C2141" s="169" t="s">
        <v>45</v>
      </c>
      <c r="D2141" s="169" t="s">
        <v>5889</v>
      </c>
      <c r="E2141" s="169" t="s">
        <v>221</v>
      </c>
      <c r="F2141" s="245" t="str">
        <f t="shared" si="135"/>
        <v>RobC 80</v>
      </c>
      <c r="G2141" s="169" t="s">
        <v>2972</v>
      </c>
      <c r="I2141" s="169" t="str">
        <f t="shared" si="133"/>
        <v>L09_DPVE_077E_WINZE STOPE</v>
      </c>
      <c r="J2141" s="169" t="s">
        <v>10200</v>
      </c>
      <c r="K2141" s="169">
        <f>IFERROR(MATCH(J2141,'Final List'!$B$4:$B$252,0),0)</f>
        <v>0</v>
      </c>
      <c r="L2141" s="169">
        <f>IFERROR(MATCH(J2141,'Final List'!$D$4:$D$252,0),0)</f>
        <v>0</v>
      </c>
      <c r="M2141" s="169">
        <f>IFERROR(MATCH(J2141,'Final List'!$F$4:$F$251,0),0)</f>
        <v>0</v>
      </c>
      <c r="N2141" s="169">
        <f>IFERROR(MATCH(J2141,'Final List'!$H$4:$H$252,0),0)</f>
        <v>0</v>
      </c>
      <c r="O2141" s="169">
        <f>IFERROR(MATCH(J2141,'Final List'!$J$4:$J$252,0),0)</f>
        <v>0</v>
      </c>
      <c r="P2141" s="169">
        <f>IFERROR(MATCH(J2141,'Final List'!$L$4:$L$252,0),0)</f>
        <v>0</v>
      </c>
      <c r="Q2141" s="169">
        <f>IFERROR(MATCH(J2141,'Final List'!$N$4:$N$252,0),0)</f>
        <v>0</v>
      </c>
      <c r="R2141" s="169">
        <f>IFERROR(MATCH(J2141,'Final List'!$P$4:$P$252,0),0)</f>
        <v>0</v>
      </c>
      <c r="S2141" s="169">
        <f t="shared" si="136"/>
        <v>0</v>
      </c>
      <c r="T2141" s="169" t="s">
        <v>68</v>
      </c>
      <c r="V2141" s="293" t="str">
        <f t="shared" si="134"/>
        <v>FABROA 1</v>
      </c>
      <c r="W2141" s="169" t="s">
        <v>2719</v>
      </c>
    </row>
    <row r="2142" spans="2:23" x14ac:dyDescent="0.25">
      <c r="B2142" s="169" t="s">
        <v>96</v>
      </c>
      <c r="C2142" s="169" t="s">
        <v>87</v>
      </c>
      <c r="D2142" s="169" t="s">
        <v>122</v>
      </c>
      <c r="E2142" s="169" t="s">
        <v>37</v>
      </c>
      <c r="F2142" s="245" t="str">
        <f t="shared" si="135"/>
        <v>Dhoz 71</v>
      </c>
      <c r="G2142" t="s">
        <v>5101</v>
      </c>
      <c r="I2142" s="169" t="str">
        <f t="shared" si="133"/>
        <v>L09_NONE_025E_XCN</v>
      </c>
      <c r="J2142" s="169" t="s">
        <v>10198</v>
      </c>
      <c r="K2142" s="169">
        <f>IFERROR(MATCH(J2142,'Final List'!$B$4:$B$252,0),0)</f>
        <v>0</v>
      </c>
      <c r="L2142" s="169">
        <f>IFERROR(MATCH(J2142,'Final List'!$D$4:$D$252,0),0)</f>
        <v>0</v>
      </c>
      <c r="M2142" s="169">
        <f>IFERROR(MATCH(J2142,'Final List'!$F$4:$F$251,0),0)</f>
        <v>0</v>
      </c>
      <c r="N2142" s="169">
        <f>IFERROR(MATCH(J2142,'Final List'!$H$4:$H$252,0),0)</f>
        <v>0</v>
      </c>
      <c r="O2142" s="169">
        <f>IFERROR(MATCH(J2142,'Final List'!$J$4:$J$252,0),0)</f>
        <v>0</v>
      </c>
      <c r="P2142" s="169">
        <f>IFERROR(MATCH(J2142,'Final List'!$L$4:$L$252,0),0)</f>
        <v>0</v>
      </c>
      <c r="Q2142" s="169">
        <f>IFERROR(MATCH(J2142,'Final List'!$N$4:$N$252,0),0)</f>
        <v>0</v>
      </c>
      <c r="R2142" s="169">
        <f>IFERROR(MATCH(J2142,'Final List'!$P$4:$P$252,0),0)</f>
        <v>0</v>
      </c>
      <c r="S2142" s="169">
        <f t="shared" si="136"/>
        <v>0</v>
      </c>
      <c r="V2142" s="293" t="str">
        <f t="shared" si="134"/>
        <v>DELOS REYES V3</v>
      </c>
      <c r="W2142" s="169" t="s">
        <v>8898</v>
      </c>
    </row>
    <row r="2143" spans="2:23" x14ac:dyDescent="0.25">
      <c r="B2143" s="169" t="s">
        <v>92</v>
      </c>
      <c r="C2143" s="169" t="s">
        <v>45</v>
      </c>
      <c r="D2143" s="169" t="s">
        <v>5602</v>
      </c>
      <c r="E2143" s="169" t="s">
        <v>20</v>
      </c>
      <c r="F2143" s="245" t="str">
        <f t="shared" si="135"/>
        <v>DVW 74</v>
      </c>
      <c r="G2143" s="169" t="s">
        <v>5706</v>
      </c>
      <c r="I2143" s="169" t="str">
        <f t="shared" si="133"/>
        <v>L05_DPVE_053E_WINZE</v>
      </c>
      <c r="J2143" s="169" t="s">
        <v>10205</v>
      </c>
      <c r="K2143" s="169">
        <f>IFERROR(MATCH(J2143,'Final List'!$B$4:$B$252,0),0)</f>
        <v>0</v>
      </c>
      <c r="L2143" s="169">
        <f>IFERROR(MATCH(J2143,'Final List'!$D$4:$D$252,0),0)</f>
        <v>0</v>
      </c>
      <c r="M2143" s="169">
        <f>IFERROR(MATCH(J2143,'Final List'!$F$4:$F$251,0),0)</f>
        <v>0</v>
      </c>
      <c r="N2143" s="169">
        <f>IFERROR(MATCH(J2143,'Final List'!$H$4:$H$252,0),0)</f>
        <v>0</v>
      </c>
      <c r="O2143" s="169">
        <f>IFERROR(MATCH(J2143,'Final List'!$J$4:$J$252,0),0)</f>
        <v>0</v>
      </c>
      <c r="P2143" s="169">
        <f>IFERROR(MATCH(J2143,'Final List'!$L$4:$L$252,0),0)</f>
        <v>0</v>
      </c>
      <c r="Q2143" s="169">
        <f>IFERROR(MATCH(J2143,'Final List'!$N$4:$N$252,0),0)</f>
        <v>0</v>
      </c>
      <c r="R2143" s="169">
        <f>IFERROR(MATCH(J2143,'Final List'!$P$4:$P$252,0),0)</f>
        <v>0</v>
      </c>
      <c r="S2143" s="169">
        <f t="shared" si="136"/>
        <v>0</v>
      </c>
      <c r="V2143" s="293" t="str">
        <f t="shared" si="134"/>
        <v>SHEPHERD AF 1</v>
      </c>
      <c r="W2143" s="169" t="s">
        <v>2706</v>
      </c>
    </row>
    <row r="2144" spans="2:23" x14ac:dyDescent="0.25">
      <c r="B2144" s="169" t="s">
        <v>258</v>
      </c>
      <c r="C2144" s="169" t="s">
        <v>45</v>
      </c>
      <c r="D2144" s="169" t="s">
        <v>870</v>
      </c>
      <c r="E2144" s="169" t="s">
        <v>19</v>
      </c>
      <c r="F2144" s="245" t="str">
        <f t="shared" si="135"/>
        <v>DVR 72</v>
      </c>
      <c r="G2144" s="169" t="s">
        <v>5703</v>
      </c>
      <c r="I2144" s="169" t="str">
        <f t="shared" si="133"/>
        <v>L10_DPVE_073E_RAISE</v>
      </c>
      <c r="J2144" s="169" t="s">
        <v>10210</v>
      </c>
      <c r="K2144" s="169">
        <f>IFERROR(MATCH(J2144,'Final List'!$B$4:$B$252,0),0)</f>
        <v>0</v>
      </c>
      <c r="L2144" s="169">
        <f>IFERROR(MATCH(J2144,'Final List'!$D$4:$D$252,0),0)</f>
        <v>0</v>
      </c>
      <c r="M2144" s="169">
        <f>IFERROR(MATCH(J2144,'Final List'!$F$4:$F$251,0),0)</f>
        <v>0</v>
      </c>
      <c r="N2144" s="169">
        <f>IFERROR(MATCH(J2144,'Final List'!$H$4:$H$252,0),0)</f>
        <v>0</v>
      </c>
      <c r="O2144" s="169">
        <f>IFERROR(MATCH(J2144,'Final List'!$J$4:$J$252,0),0)</f>
        <v>0</v>
      </c>
      <c r="P2144" s="169">
        <f>IFERROR(MATCH(J2144,'Final List'!$L$4:$L$252,0),0)</f>
        <v>0</v>
      </c>
      <c r="Q2144" s="169">
        <f>IFERROR(MATCH(J2144,'Final List'!$N$4:$N$252,0),0)</f>
        <v>0</v>
      </c>
      <c r="R2144" s="169">
        <f>IFERROR(MATCH(J2144,'Final List'!$P$4:$P$252,0),0)</f>
        <v>0</v>
      </c>
      <c r="S2144" s="169">
        <f t="shared" si="136"/>
        <v>0</v>
      </c>
      <c r="V2144" s="293" t="str">
        <f t="shared" si="134"/>
        <v>OLIVEROS 2</v>
      </c>
      <c r="W2144" s="169" t="s">
        <v>2715</v>
      </c>
    </row>
    <row r="2145" spans="2:23" x14ac:dyDescent="0.25">
      <c r="B2145" s="169" t="s">
        <v>95</v>
      </c>
      <c r="C2145" s="169" t="s">
        <v>57</v>
      </c>
      <c r="D2145" s="169" t="s">
        <v>128</v>
      </c>
      <c r="E2145" s="169" t="s">
        <v>62</v>
      </c>
      <c r="F2145" s="245" t="str">
        <f t="shared" si="135"/>
        <v>RobS 79</v>
      </c>
      <c r="G2145" s="169" t="s">
        <v>6936</v>
      </c>
      <c r="I2145" s="169" t="str">
        <f t="shared" si="133"/>
        <v>L08_JVSPLIT_027E_ROBBING</v>
      </c>
      <c r="J2145" s="169" t="s">
        <v>10212</v>
      </c>
      <c r="K2145" s="169">
        <f>IFERROR(MATCH(J2145,'Final List'!$B$4:$B$252,0),0)</f>
        <v>0</v>
      </c>
      <c r="L2145" s="169">
        <f>IFERROR(MATCH(J2145,'Final List'!$D$4:$D$252,0),0)</f>
        <v>0</v>
      </c>
      <c r="M2145" s="169">
        <f>IFERROR(MATCH(J2145,'Final List'!$F$4:$F$251,0),0)</f>
        <v>0</v>
      </c>
      <c r="N2145" s="169">
        <f>IFERROR(MATCH(J2145,'Final List'!$H$4:$H$252,0),0)</f>
        <v>0</v>
      </c>
      <c r="O2145" s="169">
        <f>IFERROR(MATCH(J2145,'Final List'!$J$4:$J$252,0),0)</f>
        <v>0</v>
      </c>
      <c r="P2145" s="169">
        <f>IFERROR(MATCH(J2145,'Final List'!$L$4:$L$252,0),0)</f>
        <v>0</v>
      </c>
      <c r="Q2145" s="169">
        <f>IFERROR(MATCH(J2145,'Final List'!$N$4:$N$252,0),0)</f>
        <v>0</v>
      </c>
      <c r="R2145" s="169">
        <f>IFERROR(MATCH(J2145,'Final List'!$P$4:$P$252,0),0)</f>
        <v>0</v>
      </c>
      <c r="S2145" s="169">
        <f t="shared" si="136"/>
        <v>0</v>
      </c>
      <c r="T2145" s="169" t="s">
        <v>68</v>
      </c>
      <c r="V2145" s="293" t="str">
        <f t="shared" si="134"/>
        <v>OSWAY 1</v>
      </c>
      <c r="W2145" s="169" t="s">
        <v>2707</v>
      </c>
    </row>
    <row r="2146" spans="2:23" x14ac:dyDescent="0.25">
      <c r="B2146" s="169" t="s">
        <v>96</v>
      </c>
      <c r="C2146" s="169" t="s">
        <v>59</v>
      </c>
      <c r="D2146" s="169" t="s">
        <v>132</v>
      </c>
      <c r="E2146" s="169" t="s">
        <v>60</v>
      </c>
      <c r="F2146" s="245" t="str">
        <f t="shared" si="135"/>
        <v>Dhoz 71</v>
      </c>
      <c r="G2146" s="169" t="s">
        <v>745</v>
      </c>
      <c r="I2146" s="169" t="str">
        <f t="shared" si="133"/>
        <v>L09_GHVHW_033E_DE</v>
      </c>
      <c r="J2146" s="169" t="s">
        <v>10215</v>
      </c>
      <c r="K2146" s="169">
        <f>IFERROR(MATCH(J2146,'Final List'!$B$4:$B$252,0),0)</f>
        <v>0</v>
      </c>
      <c r="L2146" s="169">
        <f>IFERROR(MATCH(J2146,'Final List'!$D$4:$D$252,0),0)</f>
        <v>0</v>
      </c>
      <c r="M2146" s="169">
        <f>IFERROR(MATCH(J2146,'Final List'!$F$4:$F$251,0),0)</f>
        <v>0</v>
      </c>
      <c r="N2146" s="169">
        <f>IFERROR(MATCH(J2146,'Final List'!$H$4:$H$252,0),0)</f>
        <v>0</v>
      </c>
      <c r="O2146" s="169">
        <f>IFERROR(MATCH(J2146,'Final List'!$J$4:$J$252,0),0)</f>
        <v>0</v>
      </c>
      <c r="P2146" s="169">
        <f>IFERROR(MATCH(J2146,'Final List'!$L$4:$L$252,0),0)</f>
        <v>0</v>
      </c>
      <c r="Q2146" s="169">
        <f>IFERROR(MATCH(J2146,'Final List'!$N$4:$N$252,0),0)</f>
        <v>0</v>
      </c>
      <c r="R2146" s="169">
        <f>IFERROR(MATCH(J2146,'Final List'!$P$4:$P$252,0),0)</f>
        <v>0</v>
      </c>
      <c r="S2146" s="169">
        <f t="shared" si="136"/>
        <v>0</v>
      </c>
      <c r="V2146" s="293" t="str">
        <f t="shared" si="134"/>
        <v>CANOY 2</v>
      </c>
      <c r="W2146" s="169" t="s">
        <v>8896</v>
      </c>
    </row>
    <row r="2147" spans="2:23" x14ac:dyDescent="0.25">
      <c r="B2147" s="169" t="s">
        <v>1166</v>
      </c>
      <c r="C2147" s="169" t="s">
        <v>55</v>
      </c>
      <c r="D2147" s="169" t="s">
        <v>169</v>
      </c>
      <c r="E2147" s="169" t="s">
        <v>36</v>
      </c>
      <c r="F2147" s="245" t="str">
        <f t="shared" si="135"/>
        <v>StpS 77</v>
      </c>
      <c r="G2147" s="169" t="s">
        <v>5683</v>
      </c>
      <c r="H2147" s="169" t="s">
        <v>12984</v>
      </c>
      <c r="I2147" s="169" t="str">
        <f t="shared" si="133"/>
        <v>L11_JVFW_065E_STOPE</v>
      </c>
      <c r="J2147" s="169" t="s">
        <v>10217</v>
      </c>
      <c r="K2147" s="169">
        <f>IFERROR(MATCH(J2147,'Final List'!$B$4:$B$252,0),0)</f>
        <v>0</v>
      </c>
      <c r="L2147" s="169">
        <f>IFERROR(MATCH(J2147,'Final List'!$D$4:$D$252,0),0)</f>
        <v>0</v>
      </c>
      <c r="M2147" s="169">
        <f>IFERROR(MATCH(J2147,'Final List'!$F$4:$F$251,0),0)</f>
        <v>0</v>
      </c>
      <c r="N2147" s="169">
        <f>IFERROR(MATCH(J2147,'Final List'!$H$4:$H$252,0),0)</f>
        <v>0</v>
      </c>
      <c r="O2147" s="169">
        <f>IFERROR(MATCH(J2147,'Final List'!$J$4:$J$252,0),0)</f>
        <v>0</v>
      </c>
      <c r="P2147" s="169">
        <f>IFERROR(MATCH(J2147,'Final List'!$L$4:$L$252,0),0)</f>
        <v>0</v>
      </c>
      <c r="Q2147" s="169">
        <f>IFERROR(MATCH(J2147,'Final List'!$N$4:$N$252,0),0)</f>
        <v>0</v>
      </c>
      <c r="R2147" s="169">
        <f>IFERROR(MATCH(J2147,'Final List'!$P$4:$P$252,0),0)</f>
        <v>0</v>
      </c>
      <c r="S2147" s="169">
        <f t="shared" si="136"/>
        <v>0</v>
      </c>
      <c r="T2147" s="169" t="s">
        <v>68</v>
      </c>
      <c r="V2147" s="293" t="str">
        <f t="shared" si="134"/>
        <v>MARTINEZ</v>
      </c>
      <c r="W2147" s="169" t="s">
        <v>2713</v>
      </c>
    </row>
    <row r="2148" spans="2:23" x14ac:dyDescent="0.25">
      <c r="B2148" s="169" t="s">
        <v>96</v>
      </c>
      <c r="C2148" s="169" t="s">
        <v>59</v>
      </c>
      <c r="D2148" s="169" t="s">
        <v>147</v>
      </c>
      <c r="E2148" s="169" t="s">
        <v>20</v>
      </c>
      <c r="F2148" s="245" t="str">
        <f t="shared" si="135"/>
        <v>DVW 74</v>
      </c>
      <c r="G2148" s="169" t="s">
        <v>363</v>
      </c>
      <c r="I2148" s="169" t="str">
        <f t="shared" si="133"/>
        <v>L09_GHVHW_024E_WINZE</v>
      </c>
      <c r="J2148" s="169" t="s">
        <v>10218</v>
      </c>
      <c r="K2148" s="169">
        <f>IFERROR(MATCH(J2148,'Final List'!$B$4:$B$252,0),0)</f>
        <v>0</v>
      </c>
      <c r="L2148" s="169">
        <f>IFERROR(MATCH(J2148,'Final List'!$D$4:$D$252,0),0)</f>
        <v>0</v>
      </c>
      <c r="M2148" s="169">
        <f>IFERROR(MATCH(J2148,'Final List'!$F$4:$F$251,0),0)</f>
        <v>0</v>
      </c>
      <c r="N2148" s="169">
        <f>IFERROR(MATCH(J2148,'Final List'!$H$4:$H$252,0),0)</f>
        <v>0</v>
      </c>
      <c r="O2148" s="169">
        <f>IFERROR(MATCH(J2148,'Final List'!$J$4:$J$252,0),0)</f>
        <v>0</v>
      </c>
      <c r="P2148" s="169">
        <f>IFERROR(MATCH(J2148,'Final List'!$L$4:$L$252,0),0)</f>
        <v>0</v>
      </c>
      <c r="Q2148" s="169">
        <f>IFERROR(MATCH(J2148,'Final List'!$N$4:$N$252,0),0)</f>
        <v>0</v>
      </c>
      <c r="R2148" s="169">
        <f>IFERROR(MATCH(J2148,'Final List'!$P$4:$P$252,0),0)</f>
        <v>0</v>
      </c>
      <c r="S2148" s="169">
        <f t="shared" si="136"/>
        <v>0</v>
      </c>
      <c r="V2148" s="293" t="str">
        <f t="shared" si="134"/>
        <v>BABOR 2</v>
      </c>
      <c r="W2148" s="169" t="s">
        <v>2706</v>
      </c>
    </row>
    <row r="2149" spans="2:23" x14ac:dyDescent="0.25">
      <c r="B2149" s="169" t="s">
        <v>92</v>
      </c>
      <c r="C2149" s="169" t="s">
        <v>41</v>
      </c>
      <c r="D2149" s="169" t="s">
        <v>97</v>
      </c>
      <c r="E2149" s="169" t="s">
        <v>20</v>
      </c>
      <c r="F2149" s="245" t="str">
        <f t="shared" si="135"/>
        <v>DVW 74</v>
      </c>
      <c r="G2149" s="169" t="s">
        <v>5707</v>
      </c>
      <c r="I2149" s="169" t="str">
        <f t="shared" si="133"/>
        <v>L05_CTV_012W_WINZE</v>
      </c>
      <c r="J2149" s="169" t="s">
        <v>10219</v>
      </c>
      <c r="K2149" s="169">
        <f>IFERROR(MATCH(J2149,'Final List'!$B$4:$B$252,0),0)</f>
        <v>0</v>
      </c>
      <c r="L2149" s="169">
        <f>IFERROR(MATCH(J2149,'Final List'!$D$4:$D$252,0),0)</f>
        <v>0</v>
      </c>
      <c r="M2149" s="169">
        <f>IFERROR(MATCH(J2149,'Final List'!$F$4:$F$251,0),0)</f>
        <v>0</v>
      </c>
      <c r="N2149" s="169">
        <f>IFERROR(MATCH(J2149,'Final List'!$H$4:$H$252,0),0)</f>
        <v>0</v>
      </c>
      <c r="O2149" s="169">
        <f>IFERROR(MATCH(J2149,'Final List'!$J$4:$J$252,0),0)</f>
        <v>0</v>
      </c>
      <c r="P2149" s="169">
        <f>IFERROR(MATCH(J2149,'Final List'!$L$4:$L$252,0),0)</f>
        <v>0</v>
      </c>
      <c r="Q2149" s="169">
        <f>IFERROR(MATCH(J2149,'Final List'!$N$4:$N$252,0),0)</f>
        <v>0</v>
      </c>
      <c r="R2149" s="169">
        <f>IFERROR(MATCH(J2149,'Final List'!$P$4:$P$252,0),0)</f>
        <v>0</v>
      </c>
      <c r="S2149" s="169">
        <f t="shared" si="136"/>
        <v>0</v>
      </c>
      <c r="V2149" s="293" t="str">
        <f t="shared" si="134"/>
        <v>SHEPHERD AF 2</v>
      </c>
      <c r="W2149" s="169" t="s">
        <v>2717</v>
      </c>
    </row>
    <row r="2150" spans="2:23" x14ac:dyDescent="0.25">
      <c r="B2150" s="169" t="s">
        <v>258</v>
      </c>
      <c r="C2150" s="169" t="s">
        <v>45</v>
      </c>
      <c r="D2150" s="169" t="s">
        <v>9847</v>
      </c>
      <c r="E2150" s="169" t="s">
        <v>36</v>
      </c>
      <c r="F2150" s="245" t="str">
        <f t="shared" si="135"/>
        <v>StpS 77</v>
      </c>
      <c r="G2150" s="169" t="s">
        <v>488</v>
      </c>
      <c r="I2150" s="169" t="str">
        <f t="shared" si="133"/>
        <v>L10_DPVE_095E_STOPE</v>
      </c>
      <c r="J2150" s="169" t="s">
        <v>10221</v>
      </c>
      <c r="K2150" s="169">
        <f>IFERROR(MATCH(J2150,'Final List'!$B$4:$B$252,0),0)</f>
        <v>0</v>
      </c>
      <c r="L2150" s="169">
        <f>IFERROR(MATCH(J2150,'Final List'!$D$4:$D$252,0),0)</f>
        <v>0</v>
      </c>
      <c r="M2150" s="169">
        <f>IFERROR(MATCH(J2150,'Final List'!$F$4:$F$251,0),0)</f>
        <v>0</v>
      </c>
      <c r="N2150" s="169">
        <f>IFERROR(MATCH(J2150,'Final List'!$H$4:$H$252,0),0)</f>
        <v>0</v>
      </c>
      <c r="O2150" s="169">
        <f>IFERROR(MATCH(J2150,'Final List'!$J$4:$J$252,0),0)</f>
        <v>0</v>
      </c>
      <c r="P2150" s="169">
        <f>IFERROR(MATCH(J2150,'Final List'!$L$4:$L$252,0),0)</f>
        <v>0</v>
      </c>
      <c r="Q2150" s="169">
        <f>IFERROR(MATCH(J2150,'Final List'!$N$4:$N$252,0),0)</f>
        <v>0</v>
      </c>
      <c r="R2150" s="169">
        <f>IFERROR(MATCH(J2150,'Final List'!$P$4:$P$252,0),0)</f>
        <v>0</v>
      </c>
      <c r="S2150" s="169">
        <f t="shared" si="136"/>
        <v>0</v>
      </c>
      <c r="T2150" s="169" t="s">
        <v>68</v>
      </c>
      <c r="V2150" s="293" t="str">
        <f t="shared" si="134"/>
        <v>BAÑEZ 9</v>
      </c>
      <c r="W2150" s="169" t="s">
        <v>2713</v>
      </c>
    </row>
    <row r="2151" spans="2:23" x14ac:dyDescent="0.25">
      <c r="B2151" s="169" t="s">
        <v>258</v>
      </c>
      <c r="C2151" s="169" t="s">
        <v>56</v>
      </c>
      <c r="D2151" s="169" t="s">
        <v>177</v>
      </c>
      <c r="E2151" s="169" t="s">
        <v>211</v>
      </c>
      <c r="F2151" s="245" t="str">
        <f t="shared" si="135"/>
        <v>StpS 77</v>
      </c>
      <c r="G2151" s="169" t="s">
        <v>5701</v>
      </c>
      <c r="I2151" s="169" t="str">
        <f t="shared" si="133"/>
        <v>L10_GHVFW_054E_STOPE PREP</v>
      </c>
      <c r="J2151" s="169" t="s">
        <v>9779</v>
      </c>
      <c r="K2151" s="169">
        <f>IFERROR(MATCH(J2151,'Final List'!$B$4:$B$252,0),0)</f>
        <v>0</v>
      </c>
      <c r="L2151" s="169">
        <f>IFERROR(MATCH(J2151,'Final List'!$D$4:$D$252,0),0)</f>
        <v>0</v>
      </c>
      <c r="M2151" s="169">
        <f>IFERROR(MATCH(J2151,'Final List'!$F$4:$F$251,0),0)</f>
        <v>0</v>
      </c>
      <c r="N2151" s="169">
        <f>IFERROR(MATCH(J2151,'Final List'!$H$4:$H$252,0),0)</f>
        <v>0</v>
      </c>
      <c r="O2151" s="169">
        <f>IFERROR(MATCH(J2151,'Final List'!$J$4:$J$252,0),0)</f>
        <v>0</v>
      </c>
      <c r="P2151" s="169">
        <f>IFERROR(MATCH(J2151,'Final List'!$L$4:$L$252,0),0)</f>
        <v>0</v>
      </c>
      <c r="Q2151" s="169">
        <f>IFERROR(MATCH(J2151,'Final List'!$N$4:$N$252,0),0)</f>
        <v>0</v>
      </c>
      <c r="R2151" s="169">
        <f>IFERROR(MATCH(J2151,'Final List'!$P$4:$P$252,0),0)</f>
        <v>0</v>
      </c>
      <c r="S2151" s="169">
        <f t="shared" si="136"/>
        <v>0</v>
      </c>
      <c r="T2151" s="169" t="s">
        <v>68</v>
      </c>
      <c r="V2151" s="293" t="str">
        <f t="shared" si="134"/>
        <v>LARGO 2</v>
      </c>
      <c r="W2151" s="169" t="s">
        <v>2712</v>
      </c>
    </row>
    <row r="2152" spans="2:23" x14ac:dyDescent="0.25">
      <c r="B2152" s="169" t="s">
        <v>258</v>
      </c>
      <c r="C2152" s="169" t="s">
        <v>45</v>
      </c>
      <c r="D2152" s="169" t="s">
        <v>9156</v>
      </c>
      <c r="E2152" s="169" t="s">
        <v>211</v>
      </c>
      <c r="F2152" s="245" t="str">
        <f t="shared" si="135"/>
        <v>StpS 77</v>
      </c>
      <c r="G2152" s="169" t="s">
        <v>356</v>
      </c>
      <c r="I2152" s="169" t="str">
        <f t="shared" si="133"/>
        <v>L10_DPVE_092E_STOPE PREP</v>
      </c>
      <c r="J2152" s="169" t="s">
        <v>10053</v>
      </c>
      <c r="K2152" s="169">
        <f>IFERROR(MATCH(J2152,'Final List'!$B$4:$B$252,0),0)</f>
        <v>0</v>
      </c>
      <c r="L2152" s="169">
        <f>IFERROR(MATCH(J2152,'Final List'!$D$4:$D$252,0),0)</f>
        <v>0</v>
      </c>
      <c r="M2152" s="169">
        <f>IFERROR(MATCH(J2152,'Final List'!$F$4:$F$251,0),0)</f>
        <v>0</v>
      </c>
      <c r="N2152" s="169">
        <f>IFERROR(MATCH(J2152,'Final List'!$H$4:$H$252,0),0)</f>
        <v>0</v>
      </c>
      <c r="O2152" s="169">
        <f>IFERROR(MATCH(J2152,'Final List'!$J$4:$J$252,0),0)</f>
        <v>0</v>
      </c>
      <c r="P2152" s="169">
        <f>IFERROR(MATCH(J2152,'Final List'!$L$4:$L$252,0),0)</f>
        <v>0</v>
      </c>
      <c r="Q2152" s="169">
        <f>IFERROR(MATCH(J2152,'Final List'!$N$4:$N$252,0),0)</f>
        <v>0</v>
      </c>
      <c r="R2152" s="169">
        <f>IFERROR(MATCH(J2152,'Final List'!$P$4:$P$252,0),0)</f>
        <v>0</v>
      </c>
      <c r="S2152" s="169">
        <f t="shared" si="136"/>
        <v>0</v>
      </c>
      <c r="T2152" s="169" t="s">
        <v>68</v>
      </c>
      <c r="V2152" s="293" t="str">
        <f t="shared" si="134"/>
        <v>BAÑEZ 1</v>
      </c>
      <c r="W2152" s="169" t="s">
        <v>2712</v>
      </c>
    </row>
    <row r="2153" spans="2:23" x14ac:dyDescent="0.25">
      <c r="B2153" s="169" t="s">
        <v>96</v>
      </c>
      <c r="C2153" s="169" t="s">
        <v>59</v>
      </c>
      <c r="D2153" s="169" t="s">
        <v>121</v>
      </c>
      <c r="E2153" s="169" t="s">
        <v>62</v>
      </c>
      <c r="F2153" s="245" t="str">
        <f t="shared" si="135"/>
        <v>RobS 79</v>
      </c>
      <c r="G2153" s="169" t="s">
        <v>379</v>
      </c>
      <c r="I2153" s="169" t="str">
        <f t="shared" si="133"/>
        <v>L09_GHVHW_022E_ROBBING</v>
      </c>
      <c r="J2153" s="169" t="s">
        <v>10225</v>
      </c>
      <c r="K2153" s="169">
        <f>IFERROR(MATCH(J2153,'Final List'!$B$4:$B$252,0),0)</f>
        <v>0</v>
      </c>
      <c r="L2153" s="169">
        <f>IFERROR(MATCH(J2153,'Final List'!$D$4:$D$252,0),0)</f>
        <v>0</v>
      </c>
      <c r="M2153" s="169">
        <f>IFERROR(MATCH(J2153,'Final List'!$F$4:$F$251,0),0)</f>
        <v>0</v>
      </c>
      <c r="N2153" s="169">
        <f>IFERROR(MATCH(J2153,'Final List'!$H$4:$H$252,0),0)</f>
        <v>0</v>
      </c>
      <c r="O2153" s="169">
        <f>IFERROR(MATCH(J2153,'Final List'!$J$4:$J$252,0),0)</f>
        <v>0</v>
      </c>
      <c r="P2153" s="169">
        <f>IFERROR(MATCH(J2153,'Final List'!$L$4:$L$252,0),0)</f>
        <v>0</v>
      </c>
      <c r="Q2153" s="169">
        <f>IFERROR(MATCH(J2153,'Final List'!$N$4:$N$252,0),0)</f>
        <v>0</v>
      </c>
      <c r="R2153" s="169">
        <f>IFERROR(MATCH(J2153,'Final List'!$P$4:$P$252,0),0)</f>
        <v>0</v>
      </c>
      <c r="S2153" s="169">
        <f t="shared" si="136"/>
        <v>0</v>
      </c>
      <c r="T2153" s="169" t="s">
        <v>68</v>
      </c>
      <c r="V2153" s="293" t="str">
        <f t="shared" si="134"/>
        <v>GUNAY 3</v>
      </c>
      <c r="W2153" s="169" t="s">
        <v>2707</v>
      </c>
    </row>
    <row r="2154" spans="2:23" x14ac:dyDescent="0.25">
      <c r="B2154" s="169" t="s">
        <v>92</v>
      </c>
      <c r="C2154" s="169" t="s">
        <v>42</v>
      </c>
      <c r="D2154" s="169" t="s">
        <v>140</v>
      </c>
      <c r="E2154" s="169" t="s">
        <v>221</v>
      </c>
      <c r="F2154" s="245" t="str">
        <f t="shared" si="135"/>
        <v>RobC 80</v>
      </c>
      <c r="G2154" s="169" t="s">
        <v>5698</v>
      </c>
      <c r="I2154" s="169" t="str">
        <f t="shared" si="133"/>
        <v>L05_JV_005W_WINZE STOPE</v>
      </c>
      <c r="J2154" s="169" t="s">
        <v>10227</v>
      </c>
      <c r="K2154" s="169">
        <f>IFERROR(MATCH(J2154,'Final List'!$B$4:$B$252,0),0)</f>
        <v>0</v>
      </c>
      <c r="L2154" s="169">
        <f>IFERROR(MATCH(J2154,'Final List'!$D$4:$D$252,0),0)</f>
        <v>0</v>
      </c>
      <c r="M2154" s="169">
        <f>IFERROR(MATCH(J2154,'Final List'!$F$4:$F$251,0),0)</f>
        <v>0</v>
      </c>
      <c r="N2154" s="169">
        <f>IFERROR(MATCH(J2154,'Final List'!$H$4:$H$252,0),0)</f>
        <v>0</v>
      </c>
      <c r="O2154" s="169">
        <f>IFERROR(MATCH(J2154,'Final List'!$J$4:$J$252,0),0)</f>
        <v>0</v>
      </c>
      <c r="P2154" s="169">
        <f>IFERROR(MATCH(J2154,'Final List'!$L$4:$L$252,0),0)</f>
        <v>0</v>
      </c>
      <c r="Q2154" s="169">
        <f>IFERROR(MATCH(J2154,'Final List'!$N$4:$N$252,0),0)</f>
        <v>0</v>
      </c>
      <c r="R2154" s="169">
        <f>IFERROR(MATCH(J2154,'Final List'!$P$4:$P$252,0),0)</f>
        <v>0</v>
      </c>
      <c r="S2154" s="169">
        <f t="shared" si="136"/>
        <v>0</v>
      </c>
      <c r="T2154" s="169" t="s">
        <v>68</v>
      </c>
      <c r="V2154" s="293" t="str">
        <f t="shared" si="134"/>
        <v>PARAN 1</v>
      </c>
      <c r="W2154" s="169" t="s">
        <v>2719</v>
      </c>
    </row>
    <row r="2155" spans="2:23" x14ac:dyDescent="0.25">
      <c r="B2155" s="169" t="s">
        <v>1167</v>
      </c>
      <c r="C2155" s="169" t="s">
        <v>87</v>
      </c>
      <c r="D2155" s="169" t="s">
        <v>173</v>
      </c>
      <c r="E2155" s="169" t="s">
        <v>70</v>
      </c>
      <c r="F2155" s="245" t="str">
        <f t="shared" si="135"/>
        <v>Dhoz 71</v>
      </c>
      <c r="G2155" s="169" t="s">
        <v>481</v>
      </c>
      <c r="H2155" s="169" t="s">
        <v>315</v>
      </c>
      <c r="I2155" s="169" t="str">
        <f t="shared" si="133"/>
        <v>L12_NONE_049E_SUMP</v>
      </c>
      <c r="J2155" s="169" t="s">
        <v>10231</v>
      </c>
      <c r="K2155" s="169">
        <f>IFERROR(MATCH(J2155,'Final List'!$B$4:$B$252,0),0)</f>
        <v>0</v>
      </c>
      <c r="L2155" s="169">
        <f>IFERROR(MATCH(J2155,'Final List'!$D$4:$D$252,0),0)</f>
        <v>0</v>
      </c>
      <c r="M2155" s="169">
        <f>IFERROR(MATCH(J2155,'Final List'!$F$4:$F$251,0),0)</f>
        <v>0</v>
      </c>
      <c r="N2155" s="169">
        <f>IFERROR(MATCH(J2155,'Final List'!$H$4:$H$252,0),0)</f>
        <v>0</v>
      </c>
      <c r="O2155" s="169">
        <f>IFERROR(MATCH(J2155,'Final List'!$J$4:$J$252,0),0)</f>
        <v>0</v>
      </c>
      <c r="P2155" s="169">
        <f>IFERROR(MATCH(J2155,'Final List'!$L$4:$L$252,0),0)</f>
        <v>0</v>
      </c>
      <c r="Q2155" s="169">
        <f>IFERROR(MATCH(J2155,'Final List'!$N$4:$N$252,0),0)</f>
        <v>0</v>
      </c>
      <c r="R2155" s="169">
        <f>IFERROR(MATCH(J2155,'Final List'!$P$4:$P$252,0),0)</f>
        <v>0</v>
      </c>
      <c r="S2155" s="169">
        <f t="shared" si="136"/>
        <v>0</v>
      </c>
      <c r="V2155" s="293" t="str">
        <f t="shared" si="134"/>
        <v>NACARIO 1</v>
      </c>
      <c r="W2155" s="169" t="s">
        <v>2714</v>
      </c>
    </row>
    <row r="2156" spans="2:23" x14ac:dyDescent="0.25">
      <c r="B2156" s="169" t="s">
        <v>95</v>
      </c>
      <c r="C2156" s="169" t="s">
        <v>87</v>
      </c>
      <c r="D2156" s="169" t="s">
        <v>106</v>
      </c>
      <c r="E2156" s="169" t="s">
        <v>37</v>
      </c>
      <c r="F2156" s="245" t="str">
        <f t="shared" si="135"/>
        <v>Dhoz 71</v>
      </c>
      <c r="G2156" s="169" t="s">
        <v>386</v>
      </c>
      <c r="I2156" s="169" t="str">
        <f t="shared" si="133"/>
        <v>L08_NONE_033W_XCN</v>
      </c>
      <c r="J2156" s="169" t="s">
        <v>10238</v>
      </c>
      <c r="K2156" s="169">
        <f>IFERROR(MATCH(J2156,'Final List'!$B$4:$B$252,0),0)</f>
        <v>0</v>
      </c>
      <c r="L2156" s="169">
        <f>IFERROR(MATCH(J2156,'Final List'!$D$4:$D$252,0),0)</f>
        <v>0</v>
      </c>
      <c r="M2156" s="169">
        <f>IFERROR(MATCH(J2156,'Final List'!$F$4:$F$251,0),0)</f>
        <v>0</v>
      </c>
      <c r="N2156" s="169">
        <f>IFERROR(MATCH(J2156,'Final List'!$H$4:$H$252,0),0)</f>
        <v>0</v>
      </c>
      <c r="O2156" s="169">
        <f>IFERROR(MATCH(J2156,'Final List'!$J$4:$J$252,0),0)</f>
        <v>0</v>
      </c>
      <c r="P2156" s="169">
        <f>IFERROR(MATCH(J2156,'Final List'!$L$4:$L$252,0),0)</f>
        <v>0</v>
      </c>
      <c r="Q2156" s="169">
        <f>IFERROR(MATCH(J2156,'Final List'!$N$4:$N$252,0),0)</f>
        <v>0</v>
      </c>
      <c r="R2156" s="169">
        <f>IFERROR(MATCH(J2156,'Final List'!$P$4:$P$252,0),0)</f>
        <v>0</v>
      </c>
      <c r="S2156" s="169">
        <f t="shared" si="136"/>
        <v>0</v>
      </c>
      <c r="V2156" s="293" t="str">
        <f t="shared" si="134"/>
        <v>REVITA 1</v>
      </c>
      <c r="W2156" s="169" t="s">
        <v>8897</v>
      </c>
    </row>
    <row r="2157" spans="2:23" x14ac:dyDescent="0.25">
      <c r="B2157" s="169" t="s">
        <v>95</v>
      </c>
      <c r="C2157" s="169" t="s">
        <v>45</v>
      </c>
      <c r="D2157" s="169" t="s">
        <v>870</v>
      </c>
      <c r="E2157" s="169" t="s">
        <v>62</v>
      </c>
      <c r="F2157" s="245" t="str">
        <f t="shared" si="135"/>
        <v>RobC 80</v>
      </c>
      <c r="G2157" s="169" t="s">
        <v>526</v>
      </c>
      <c r="I2157" s="169" t="str">
        <f t="shared" si="133"/>
        <v>L08_DPVE_073E_ROBBING</v>
      </c>
      <c r="J2157" s="169" t="s">
        <v>10240</v>
      </c>
      <c r="K2157" s="169">
        <f>IFERROR(MATCH(J2157,'Final List'!$B$4:$B$252,0),0)</f>
        <v>0</v>
      </c>
      <c r="L2157" s="169">
        <f>IFERROR(MATCH(J2157,'Final List'!$D$4:$D$252,0),0)</f>
        <v>0</v>
      </c>
      <c r="M2157" s="169">
        <f>IFERROR(MATCH(J2157,'Final List'!$F$4:$F$251,0),0)</f>
        <v>0</v>
      </c>
      <c r="N2157" s="169">
        <f>IFERROR(MATCH(J2157,'Final List'!$H$4:$H$252,0),0)</f>
        <v>0</v>
      </c>
      <c r="O2157" s="169">
        <f>IFERROR(MATCH(J2157,'Final List'!$J$4:$J$252,0),0)</f>
        <v>0</v>
      </c>
      <c r="P2157" s="169">
        <f>IFERROR(MATCH(J2157,'Final List'!$L$4:$L$252,0),0)</f>
        <v>0</v>
      </c>
      <c r="Q2157" s="169">
        <f>IFERROR(MATCH(J2157,'Final List'!$N$4:$N$252,0),0)</f>
        <v>0</v>
      </c>
      <c r="R2157" s="169">
        <f>IFERROR(MATCH(J2157,'Final List'!$P$4:$P$252,0),0)</f>
        <v>0</v>
      </c>
      <c r="S2157" s="169">
        <f t="shared" si="136"/>
        <v>0</v>
      </c>
      <c r="T2157" s="169" t="s">
        <v>48</v>
      </c>
      <c r="V2157" s="293" t="str">
        <f t="shared" si="134"/>
        <v>CARIKITAN 2</v>
      </c>
      <c r="W2157" s="169" t="s">
        <v>236</v>
      </c>
    </row>
    <row r="2158" spans="2:23" x14ac:dyDescent="0.25">
      <c r="B2158" s="169" t="s">
        <v>258</v>
      </c>
      <c r="C2158" s="169" t="s">
        <v>57</v>
      </c>
      <c r="D2158" s="169" t="s">
        <v>175</v>
      </c>
      <c r="E2158" s="169" t="s">
        <v>19</v>
      </c>
      <c r="F2158" s="245" t="str">
        <f t="shared" si="135"/>
        <v>DVR 72</v>
      </c>
      <c r="G2158" s="169" t="s">
        <v>9964</v>
      </c>
      <c r="I2158" s="169" t="str">
        <f t="shared" si="133"/>
        <v>L10_JVSPLIT_060E_RAISE</v>
      </c>
      <c r="J2158" s="169" t="s">
        <v>3705</v>
      </c>
      <c r="K2158" s="169">
        <f>IFERROR(MATCH(J2158,'Final List'!$B$4:$B$252,0),0)</f>
        <v>0</v>
      </c>
      <c r="L2158" s="169">
        <f>IFERROR(MATCH(J2158,'Final List'!$D$4:$D$252,0),0)</f>
        <v>0</v>
      </c>
      <c r="M2158" s="169">
        <f>IFERROR(MATCH(J2158,'Final List'!$F$4:$F$251,0),0)</f>
        <v>0</v>
      </c>
      <c r="N2158" s="169">
        <f>IFERROR(MATCH(J2158,'Final List'!$H$4:$H$252,0),0)</f>
        <v>0</v>
      </c>
      <c r="O2158" s="169">
        <f>IFERROR(MATCH(J2158,'Final List'!$J$4:$J$252,0),0)</f>
        <v>0</v>
      </c>
      <c r="P2158" s="169">
        <f>IFERROR(MATCH(J2158,'Final List'!$L$4:$L$252,0),0)</f>
        <v>0</v>
      </c>
      <c r="Q2158" s="169">
        <f>IFERROR(MATCH(J2158,'Final List'!$N$4:$N$252,0),0)</f>
        <v>0</v>
      </c>
      <c r="R2158" s="169">
        <f>IFERROR(MATCH(J2158,'Final List'!$P$4:$P$252,0),0)</f>
        <v>0</v>
      </c>
      <c r="S2158" s="169">
        <f t="shared" si="136"/>
        <v>0</v>
      </c>
      <c r="V2158" s="293" t="str">
        <f t="shared" si="134"/>
        <v>SHEPHERD BA</v>
      </c>
      <c r="W2158" s="169" t="s">
        <v>2715</v>
      </c>
    </row>
    <row r="2159" spans="2:23" x14ac:dyDescent="0.25">
      <c r="B2159" s="169" t="s">
        <v>95</v>
      </c>
      <c r="C2159" s="169" t="s">
        <v>38</v>
      </c>
      <c r="D2159" s="169" t="s">
        <v>5601</v>
      </c>
      <c r="E2159" s="169" t="s">
        <v>62</v>
      </c>
      <c r="F2159" s="245" t="str">
        <f t="shared" si="135"/>
        <v>RobS 79</v>
      </c>
      <c r="G2159" s="169" t="s">
        <v>368</v>
      </c>
      <c r="I2159" s="169" t="str">
        <f t="shared" si="133"/>
        <v>L08_GHV_026E_ROBBING</v>
      </c>
      <c r="J2159" s="169" t="s">
        <v>10241</v>
      </c>
      <c r="K2159" s="169">
        <f>IFERROR(MATCH(J2159,'Final List'!$B$4:$B$252,0),0)</f>
        <v>0</v>
      </c>
      <c r="L2159" s="169">
        <f>IFERROR(MATCH(J2159,'Final List'!$D$4:$D$252,0),0)</f>
        <v>0</v>
      </c>
      <c r="M2159" s="169">
        <f>IFERROR(MATCH(J2159,'Final List'!$F$4:$F$251,0),0)</f>
        <v>0</v>
      </c>
      <c r="N2159" s="169">
        <f>IFERROR(MATCH(J2159,'Final List'!$H$4:$H$252,0),0)</f>
        <v>0</v>
      </c>
      <c r="O2159" s="169">
        <f>IFERROR(MATCH(J2159,'Final List'!$J$4:$J$252,0),0)</f>
        <v>0</v>
      </c>
      <c r="P2159" s="169">
        <f>IFERROR(MATCH(J2159,'Final List'!$L$4:$L$252,0),0)</f>
        <v>0</v>
      </c>
      <c r="Q2159" s="169">
        <f>IFERROR(MATCH(J2159,'Final List'!$N$4:$N$252,0),0)</f>
        <v>0</v>
      </c>
      <c r="R2159" s="169">
        <f>IFERROR(MATCH(J2159,'Final List'!$P$4:$P$252,0),0)</f>
        <v>0</v>
      </c>
      <c r="S2159" s="169">
        <f t="shared" si="136"/>
        <v>0</v>
      </c>
      <c r="T2159" s="169" t="s">
        <v>68</v>
      </c>
      <c r="V2159" s="293" t="str">
        <f t="shared" si="134"/>
        <v>LERIO 2</v>
      </c>
      <c r="W2159" s="169" t="s">
        <v>2707</v>
      </c>
    </row>
    <row r="2160" spans="2:23" x14ac:dyDescent="0.25">
      <c r="B2160" s="169" t="s">
        <v>96</v>
      </c>
      <c r="C2160" s="169" t="s">
        <v>45</v>
      </c>
      <c r="D2160" s="169" t="s">
        <v>144</v>
      </c>
      <c r="E2160" s="169" t="s">
        <v>221</v>
      </c>
      <c r="F2160" s="245" t="str">
        <f t="shared" si="135"/>
        <v>RobC 80</v>
      </c>
      <c r="G2160" s="169" t="s">
        <v>9749</v>
      </c>
      <c r="I2160" s="169" t="str">
        <f t="shared" ref="I2160:I2223" si="137">CONCATENATE(B2160,"_",C2160,"_",D2160,"_",E2160)</f>
        <v>L09_DPVE_043E_WINZE STOPE</v>
      </c>
      <c r="J2160" s="169" t="s">
        <v>10383</v>
      </c>
      <c r="K2160" s="169">
        <f>IFERROR(MATCH(J2160,'Final List'!$B$4:$B$252,0),0)</f>
        <v>0</v>
      </c>
      <c r="L2160" s="169">
        <f>IFERROR(MATCH(J2160,'Final List'!$D$4:$D$252,0),0)</f>
        <v>0</v>
      </c>
      <c r="M2160" s="169">
        <f>IFERROR(MATCH(J2160,'Final List'!$F$4:$F$251,0),0)</f>
        <v>0</v>
      </c>
      <c r="N2160" s="169">
        <f>IFERROR(MATCH(J2160,'Final List'!$H$4:$H$252,0),0)</f>
        <v>0</v>
      </c>
      <c r="O2160" s="169">
        <f>IFERROR(MATCH(J2160,'Final List'!$J$4:$J$252,0),0)</f>
        <v>0</v>
      </c>
      <c r="P2160" s="169">
        <f>IFERROR(MATCH(J2160,'Final List'!$L$4:$L$252,0),0)</f>
        <v>0</v>
      </c>
      <c r="Q2160" s="169">
        <f>IFERROR(MATCH(J2160,'Final List'!$N$4:$N$252,0),0)</f>
        <v>0</v>
      </c>
      <c r="R2160" s="169">
        <f>IFERROR(MATCH(J2160,'Final List'!$P$4:$P$252,0),0)</f>
        <v>0</v>
      </c>
      <c r="S2160" s="169">
        <f t="shared" si="136"/>
        <v>0</v>
      </c>
      <c r="T2160" s="169" t="s">
        <v>68</v>
      </c>
      <c r="V2160" s="293" t="str">
        <f t="shared" si="134"/>
        <v>MAPAYO 4</v>
      </c>
      <c r="W2160" s="169" t="s">
        <v>2719</v>
      </c>
    </row>
    <row r="2161" spans="2:23" x14ac:dyDescent="0.25">
      <c r="B2161" s="169" t="s">
        <v>258</v>
      </c>
      <c r="C2161" s="169" t="s">
        <v>45</v>
      </c>
      <c r="D2161" s="169" t="s">
        <v>10249</v>
      </c>
      <c r="E2161" s="169" t="s">
        <v>60</v>
      </c>
      <c r="F2161" s="245" t="str">
        <f t="shared" si="135"/>
        <v>Dhoz 71</v>
      </c>
      <c r="G2161" s="169" t="s">
        <v>451</v>
      </c>
      <c r="H2161" s="169" t="s">
        <v>10892</v>
      </c>
      <c r="I2161" s="169" t="str">
        <f t="shared" si="137"/>
        <v>L10_DPVE_097E_DE</v>
      </c>
      <c r="J2161" s="294" t="s">
        <v>10248</v>
      </c>
      <c r="K2161" s="169">
        <f>IFERROR(MATCH(J2161,'Final List'!$B$4:$B$252,0),0)</f>
        <v>0</v>
      </c>
      <c r="L2161" s="169">
        <f>IFERROR(MATCH(J2161,'Final List'!$D$4:$D$252,0),0)</f>
        <v>0</v>
      </c>
      <c r="M2161" s="169">
        <f>IFERROR(MATCH(J2161,'Final List'!$F$4:$F$251,0),0)</f>
        <v>0</v>
      </c>
      <c r="N2161" s="169">
        <f>IFERROR(MATCH(J2161,'Final List'!$H$4:$H$252,0),0)</f>
        <v>0</v>
      </c>
      <c r="O2161" s="169">
        <f>IFERROR(MATCH(J2161,'Final List'!$J$4:$J$252,0),0)</f>
        <v>0</v>
      </c>
      <c r="P2161" s="169">
        <f>IFERROR(MATCH(J2161,'Final List'!$L$4:$L$252,0),0)</f>
        <v>0</v>
      </c>
      <c r="Q2161" s="169">
        <f>IFERROR(MATCH(J2161,'Final List'!$N$4:$N$252,0),0)</f>
        <v>0</v>
      </c>
      <c r="R2161" s="169">
        <f>IFERROR(MATCH(J2161,'Final List'!$P$4:$P$252,0),0)</f>
        <v>0</v>
      </c>
      <c r="S2161" s="169">
        <f t="shared" si="136"/>
        <v>0</v>
      </c>
      <c r="V2161" s="293" t="str">
        <f t="shared" si="134"/>
        <v>SHEPHERD BA 3</v>
      </c>
      <c r="W2161" s="169" t="s">
        <v>8896</v>
      </c>
    </row>
    <row r="2162" spans="2:23" x14ac:dyDescent="0.25">
      <c r="B2162" s="169" t="s">
        <v>1166</v>
      </c>
      <c r="C2162" s="169" t="s">
        <v>87</v>
      </c>
      <c r="D2162" s="169" t="s">
        <v>178</v>
      </c>
      <c r="E2162" s="169" t="s">
        <v>63</v>
      </c>
      <c r="F2162" s="245" t="str">
        <f t="shared" si="135"/>
        <v>Dhoz 71</v>
      </c>
      <c r="G2162" s="169" t="s">
        <v>1455</v>
      </c>
      <c r="I2162" s="169" t="str">
        <f t="shared" si="137"/>
        <v>L11_NONE_048E_XCS</v>
      </c>
      <c r="J2162" s="169" t="s">
        <v>10251</v>
      </c>
      <c r="K2162" s="169">
        <f>IFERROR(MATCH(J2162,'Final List'!$B$4:$B$252,0),0)</f>
        <v>0</v>
      </c>
      <c r="L2162" s="169">
        <f>IFERROR(MATCH(J2162,'Final List'!$D$4:$D$252,0),0)</f>
        <v>0</v>
      </c>
      <c r="M2162" s="169">
        <f>IFERROR(MATCH(J2162,'Final List'!$F$4:$F$251,0),0)</f>
        <v>0</v>
      </c>
      <c r="N2162" s="169">
        <f>IFERROR(MATCH(J2162,'Final List'!$H$4:$H$252,0),0)</f>
        <v>0</v>
      </c>
      <c r="O2162" s="169">
        <f>IFERROR(MATCH(J2162,'Final List'!$J$4:$J$252,0),0)</f>
        <v>0</v>
      </c>
      <c r="P2162" s="169">
        <f>IFERROR(MATCH(J2162,'Final List'!$L$4:$L$252,0),0)</f>
        <v>0</v>
      </c>
      <c r="Q2162" s="169">
        <f>IFERROR(MATCH(J2162,'Final List'!$N$4:$N$252,0),0)</f>
        <v>0</v>
      </c>
      <c r="R2162" s="169">
        <f>IFERROR(MATCH(J2162,'Final List'!$P$4:$P$252,0),0)</f>
        <v>0</v>
      </c>
      <c r="S2162" s="169">
        <f t="shared" si="136"/>
        <v>0</v>
      </c>
      <c r="V2162" s="293" t="str">
        <f t="shared" si="134"/>
        <v>SILVOZA</v>
      </c>
      <c r="W2162" s="169" t="s">
        <v>2714</v>
      </c>
    </row>
    <row r="2163" spans="2:23" x14ac:dyDescent="0.25">
      <c r="B2163" s="169" t="s">
        <v>92</v>
      </c>
      <c r="C2163" s="169" t="s">
        <v>45</v>
      </c>
      <c r="D2163" s="169" t="s">
        <v>179</v>
      </c>
      <c r="E2163" s="169" t="s">
        <v>36</v>
      </c>
      <c r="F2163" s="245" t="str">
        <f t="shared" si="135"/>
        <v>StpS 77</v>
      </c>
      <c r="G2163" s="169" t="s">
        <v>636</v>
      </c>
      <c r="I2163" s="169" t="str">
        <f t="shared" si="137"/>
        <v>L05_DPVE_050E_STOPE</v>
      </c>
      <c r="J2163" s="169" t="s">
        <v>10334</v>
      </c>
      <c r="K2163" s="169">
        <f>IFERROR(MATCH(J2163,'Final List'!$B$4:$B$252,0),0)</f>
        <v>0</v>
      </c>
      <c r="L2163" s="169">
        <f>IFERROR(MATCH(J2163,'Final List'!$D$4:$D$252,0),0)</f>
        <v>0</v>
      </c>
      <c r="M2163" s="169">
        <f>IFERROR(MATCH(J2163,'Final List'!$F$4:$F$251,0),0)</f>
        <v>0</v>
      </c>
      <c r="N2163" s="169">
        <f>IFERROR(MATCH(J2163,'Final List'!$H$4:$H$252,0),0)</f>
        <v>0</v>
      </c>
      <c r="O2163" s="169">
        <f>IFERROR(MATCH(J2163,'Final List'!$J$4:$J$252,0),0)</f>
        <v>0</v>
      </c>
      <c r="P2163" s="169">
        <f>IFERROR(MATCH(J2163,'Final List'!$L$4:$L$252,0),0)</f>
        <v>0</v>
      </c>
      <c r="Q2163" s="169">
        <f>IFERROR(MATCH(J2163,'Final List'!$N$4:$N$252,0),0)</f>
        <v>0</v>
      </c>
      <c r="R2163" s="169">
        <f>IFERROR(MATCH(J2163,'Final List'!$P$4:$P$252,0),0)</f>
        <v>0</v>
      </c>
      <c r="S2163" s="169">
        <f t="shared" si="136"/>
        <v>0</v>
      </c>
      <c r="T2163" s="169" t="s">
        <v>68</v>
      </c>
      <c r="V2163" s="293" t="str">
        <f t="shared" si="134"/>
        <v>PANCIT, NOEL 5</v>
      </c>
      <c r="W2163" s="169" t="s">
        <v>2711</v>
      </c>
    </row>
    <row r="2164" spans="2:23" x14ac:dyDescent="0.25">
      <c r="B2164" s="169" t="s">
        <v>96</v>
      </c>
      <c r="C2164" s="169" t="s">
        <v>45</v>
      </c>
      <c r="D2164" s="169" t="s">
        <v>167</v>
      </c>
      <c r="E2164" s="169" t="s">
        <v>6143</v>
      </c>
      <c r="F2164" s="245" t="str">
        <f t="shared" si="135"/>
        <v>Dhoz 71</v>
      </c>
      <c r="G2164" s="169" t="s">
        <v>6027</v>
      </c>
      <c r="I2164" s="169" t="str">
        <f t="shared" si="137"/>
        <v>L09_DPVE_058E_DE_ISL</v>
      </c>
      <c r="J2164" s="169" t="s">
        <v>10257</v>
      </c>
      <c r="K2164" s="169">
        <f>IFERROR(MATCH(J2164,'Final List'!$B$4:$B$252,0),0)</f>
        <v>0</v>
      </c>
      <c r="L2164" s="169">
        <f>IFERROR(MATCH(J2164,'Final List'!$D$4:$D$252,0),0)</f>
        <v>0</v>
      </c>
      <c r="M2164" s="169">
        <f>IFERROR(MATCH(J2164,'Final List'!$F$4:$F$251,0),0)</f>
        <v>0</v>
      </c>
      <c r="N2164" s="169">
        <f>IFERROR(MATCH(J2164,'Final List'!$H$4:$H$252,0),0)</f>
        <v>0</v>
      </c>
      <c r="O2164" s="169">
        <f>IFERROR(MATCH(J2164,'Final List'!$J$4:$J$252,0),0)</f>
        <v>0</v>
      </c>
      <c r="P2164" s="169">
        <f>IFERROR(MATCH(J2164,'Final List'!$L$4:$L$252,0),0)</f>
        <v>0</v>
      </c>
      <c r="Q2164" s="169">
        <f>IFERROR(MATCH(J2164,'Final List'!$N$4:$N$252,0),0)</f>
        <v>0</v>
      </c>
      <c r="R2164" s="169">
        <f>IFERROR(MATCH(J2164,'Final List'!$P$4:$P$252,0),0)</f>
        <v>0</v>
      </c>
      <c r="S2164" s="169">
        <f t="shared" si="136"/>
        <v>0</v>
      </c>
      <c r="V2164" s="293" t="str">
        <f t="shared" si="134"/>
        <v>GUNAY 4</v>
      </c>
      <c r="W2164" s="169" t="s">
        <v>8896</v>
      </c>
    </row>
    <row r="2165" spans="2:23" x14ac:dyDescent="0.25">
      <c r="B2165" s="169" t="s">
        <v>96</v>
      </c>
      <c r="C2165" s="169" t="s">
        <v>59</v>
      </c>
      <c r="D2165" s="169" t="s">
        <v>595</v>
      </c>
      <c r="E2165" s="169" t="s">
        <v>62</v>
      </c>
      <c r="F2165" s="245" t="str">
        <f t="shared" si="135"/>
        <v>RobS 79</v>
      </c>
      <c r="G2165" s="169" t="s">
        <v>336</v>
      </c>
      <c r="I2165" s="169" t="str">
        <f t="shared" si="137"/>
        <v>L09_GHVHW_072E_ROBBING</v>
      </c>
      <c r="J2165" s="169" t="s">
        <v>10258</v>
      </c>
      <c r="K2165" s="169">
        <f>IFERROR(MATCH(J2165,'Final List'!$B$4:$B$252,0),0)</f>
        <v>0</v>
      </c>
      <c r="L2165" s="169">
        <f>IFERROR(MATCH(J2165,'Final List'!$D$4:$D$252,0),0)</f>
        <v>0</v>
      </c>
      <c r="M2165" s="169">
        <f>IFERROR(MATCH(J2165,'Final List'!$F$4:$F$251,0),0)</f>
        <v>0</v>
      </c>
      <c r="N2165" s="169">
        <f>IFERROR(MATCH(J2165,'Final List'!$H$4:$H$252,0),0)</f>
        <v>0</v>
      </c>
      <c r="O2165" s="169">
        <f>IFERROR(MATCH(J2165,'Final List'!$J$4:$J$252,0),0)</f>
        <v>0</v>
      </c>
      <c r="P2165" s="169">
        <f>IFERROR(MATCH(J2165,'Final List'!$L$4:$L$252,0),0)</f>
        <v>0</v>
      </c>
      <c r="Q2165" s="169">
        <f>IFERROR(MATCH(J2165,'Final List'!$N$4:$N$252,0),0)</f>
        <v>0</v>
      </c>
      <c r="R2165" s="169">
        <f>IFERROR(MATCH(J2165,'Final List'!$P$4:$P$252,0),0)</f>
        <v>0</v>
      </c>
      <c r="S2165" s="169">
        <f t="shared" si="136"/>
        <v>0</v>
      </c>
      <c r="T2165" s="169" t="s">
        <v>68</v>
      </c>
      <c r="V2165" s="293" t="str">
        <f t="shared" si="134"/>
        <v>BALANGHIG 1</v>
      </c>
      <c r="W2165" s="169" t="s">
        <v>2707</v>
      </c>
    </row>
    <row r="2166" spans="2:23" x14ac:dyDescent="0.25">
      <c r="B2166" s="169" t="s">
        <v>96</v>
      </c>
      <c r="C2166" s="169" t="s">
        <v>42</v>
      </c>
      <c r="D2166" s="169" t="s">
        <v>5689</v>
      </c>
      <c r="E2166" s="169" t="s">
        <v>60</v>
      </c>
      <c r="F2166" s="245" t="str">
        <f t="shared" si="135"/>
        <v>Dhoz 71</v>
      </c>
      <c r="G2166" s="169" t="s">
        <v>9753</v>
      </c>
      <c r="I2166" s="169" t="str">
        <f t="shared" si="137"/>
        <v>L09_JV_003E_DE</v>
      </c>
      <c r="J2166" s="169" t="s">
        <v>10259</v>
      </c>
      <c r="K2166" s="169">
        <f>IFERROR(MATCH(J2166,'Final List'!$B$4:$B$252,0),0)</f>
        <v>0</v>
      </c>
      <c r="L2166" s="169">
        <f>IFERROR(MATCH(J2166,'Final List'!$D$4:$D$252,0),0)</f>
        <v>0</v>
      </c>
      <c r="M2166" s="169">
        <f>IFERROR(MATCH(J2166,'Final List'!$F$4:$F$251,0),0)</f>
        <v>0</v>
      </c>
      <c r="N2166" s="169">
        <f>IFERROR(MATCH(J2166,'Final List'!$H$4:$H$252,0),0)</f>
        <v>0</v>
      </c>
      <c r="O2166" s="169">
        <f>IFERROR(MATCH(J2166,'Final List'!$J$4:$J$252,0),0)</f>
        <v>0</v>
      </c>
      <c r="P2166" s="169">
        <f>IFERROR(MATCH(J2166,'Final List'!$L$4:$L$252,0),0)</f>
        <v>0</v>
      </c>
      <c r="Q2166" s="169">
        <f>IFERROR(MATCH(J2166,'Final List'!$N$4:$N$252,0),0)</f>
        <v>0</v>
      </c>
      <c r="R2166" s="169">
        <f>IFERROR(MATCH(J2166,'Final List'!$P$4:$P$252,0),0)</f>
        <v>0</v>
      </c>
      <c r="S2166" s="169">
        <f t="shared" si="136"/>
        <v>0</v>
      </c>
      <c r="V2166" s="293" t="str">
        <f t="shared" si="134"/>
        <v>CAPUYAN 2</v>
      </c>
      <c r="W2166" s="169" t="s">
        <v>8896</v>
      </c>
    </row>
    <row r="2167" spans="2:23" x14ac:dyDescent="0.25">
      <c r="B2167" s="169" t="s">
        <v>1166</v>
      </c>
      <c r="C2167" s="169" t="s">
        <v>87</v>
      </c>
      <c r="D2167" s="169" t="s">
        <v>180</v>
      </c>
      <c r="E2167" s="169" t="s">
        <v>37</v>
      </c>
      <c r="F2167" s="245" t="str">
        <f t="shared" si="135"/>
        <v>Dhoz 71</v>
      </c>
      <c r="G2167" s="169" t="s">
        <v>274</v>
      </c>
      <c r="I2167" s="169" t="str">
        <f t="shared" si="137"/>
        <v>L11_NONE_041E_XCN</v>
      </c>
      <c r="J2167" s="169" t="s">
        <v>10260</v>
      </c>
      <c r="K2167" s="169">
        <f>IFERROR(MATCH(J2167,'Final List'!$B$4:$B$252,0),0)</f>
        <v>0</v>
      </c>
      <c r="L2167" s="169">
        <f>IFERROR(MATCH(J2167,'Final List'!$D$4:$D$252,0),0)</f>
        <v>0</v>
      </c>
      <c r="M2167" s="169">
        <f>IFERROR(MATCH(J2167,'Final List'!$F$4:$F$251,0),0)</f>
        <v>0</v>
      </c>
      <c r="N2167" s="169">
        <f>IFERROR(MATCH(J2167,'Final List'!$H$4:$H$252,0),0)</f>
        <v>0</v>
      </c>
      <c r="O2167" s="169">
        <f>IFERROR(MATCH(J2167,'Final List'!$J$4:$J$252,0),0)</f>
        <v>0</v>
      </c>
      <c r="P2167" s="169">
        <f>IFERROR(MATCH(J2167,'Final List'!$L$4:$L$252,0),0)</f>
        <v>0</v>
      </c>
      <c r="Q2167" s="169">
        <f>IFERROR(MATCH(J2167,'Final List'!$N$4:$N$252,0),0)</f>
        <v>0</v>
      </c>
      <c r="R2167" s="169">
        <f>IFERROR(MATCH(J2167,'Final List'!$P$4:$P$252,0),0)</f>
        <v>0</v>
      </c>
      <c r="S2167" s="169">
        <f t="shared" si="136"/>
        <v>0</v>
      </c>
      <c r="V2167" s="293" t="str">
        <f t="shared" si="134"/>
        <v>PMC MINERS 2</v>
      </c>
      <c r="W2167" s="169" t="s">
        <v>2714</v>
      </c>
    </row>
    <row r="2168" spans="2:23" x14ac:dyDescent="0.25">
      <c r="B2168" s="169" t="s">
        <v>1166</v>
      </c>
      <c r="C2168" s="169" t="s">
        <v>56</v>
      </c>
      <c r="D2168" s="169" t="s">
        <v>284</v>
      </c>
      <c r="E2168" s="169" t="s">
        <v>60</v>
      </c>
      <c r="F2168" s="245" t="str">
        <f t="shared" si="135"/>
        <v>Dhoz 71</v>
      </c>
      <c r="G2168" s="169" t="s">
        <v>452</v>
      </c>
      <c r="I2168" s="169" t="str">
        <f t="shared" si="137"/>
        <v>L11_GHVFW_061E_DE</v>
      </c>
      <c r="J2168" s="169" t="s">
        <v>10409</v>
      </c>
      <c r="K2168" s="169">
        <f>IFERROR(MATCH(J2168,'Final List'!$B$4:$B$252,0),0)</f>
        <v>0</v>
      </c>
      <c r="L2168" s="169">
        <f>IFERROR(MATCH(J2168,'Final List'!$D$4:$D$252,0),0)</f>
        <v>0</v>
      </c>
      <c r="M2168" s="169">
        <f>IFERROR(MATCH(J2168,'Final List'!$F$4:$F$251,0),0)</f>
        <v>0</v>
      </c>
      <c r="N2168" s="169">
        <f>IFERROR(MATCH(J2168,'Final List'!$H$4:$H$252,0),0)</f>
        <v>0</v>
      </c>
      <c r="O2168" s="169">
        <f>IFERROR(MATCH(J2168,'Final List'!$J$4:$J$252,0),0)</f>
        <v>0</v>
      </c>
      <c r="P2168" s="169">
        <f>IFERROR(MATCH(J2168,'Final List'!$L$4:$L$252,0),0)</f>
        <v>0</v>
      </c>
      <c r="Q2168" s="169">
        <f>IFERROR(MATCH(J2168,'Final List'!$N$4:$N$252,0),0)</f>
        <v>0</v>
      </c>
      <c r="R2168" s="169">
        <f>IFERROR(MATCH(J2168,'Final List'!$P$4:$P$252,0),0)</f>
        <v>0</v>
      </c>
      <c r="S2168" s="169">
        <f t="shared" si="136"/>
        <v>0</v>
      </c>
      <c r="V2168" s="293" t="str">
        <f t="shared" si="134"/>
        <v>BAÑEZ 6</v>
      </c>
      <c r="W2168" s="169" t="s">
        <v>8896</v>
      </c>
    </row>
    <row r="2169" spans="2:23" x14ac:dyDescent="0.25">
      <c r="B2169" s="169" t="s">
        <v>96</v>
      </c>
      <c r="C2169" s="169" t="s">
        <v>59</v>
      </c>
      <c r="D2169" s="169" t="s">
        <v>142</v>
      </c>
      <c r="E2169" s="169" t="s">
        <v>19</v>
      </c>
      <c r="F2169" s="245" t="str">
        <f t="shared" si="135"/>
        <v>DVR 72</v>
      </c>
      <c r="G2169" s="169" t="s">
        <v>745</v>
      </c>
      <c r="I2169" s="169" t="str">
        <f t="shared" si="137"/>
        <v>L09_GHVHW_038E_RAISE</v>
      </c>
      <c r="J2169" s="169" t="s">
        <v>10261</v>
      </c>
      <c r="K2169" s="169">
        <f>IFERROR(MATCH(J2169,'Final List'!$B$4:$B$252,0),0)</f>
        <v>0</v>
      </c>
      <c r="L2169" s="169">
        <f>IFERROR(MATCH(J2169,'Final List'!$D$4:$D$252,0),0)</f>
        <v>0</v>
      </c>
      <c r="M2169" s="169">
        <f>IFERROR(MATCH(J2169,'Final List'!$F$4:$F$251,0),0)</f>
        <v>0</v>
      </c>
      <c r="N2169" s="169">
        <f>IFERROR(MATCH(J2169,'Final List'!$H$4:$H$252,0),0)</f>
        <v>0</v>
      </c>
      <c r="O2169" s="169">
        <f>IFERROR(MATCH(J2169,'Final List'!$J$4:$J$252,0),0)</f>
        <v>0</v>
      </c>
      <c r="P2169" s="169">
        <f>IFERROR(MATCH(J2169,'Final List'!$L$4:$L$252,0),0)</f>
        <v>0</v>
      </c>
      <c r="Q2169" s="169">
        <f>IFERROR(MATCH(J2169,'Final List'!$N$4:$N$252,0),0)</f>
        <v>0</v>
      </c>
      <c r="R2169" s="169">
        <f>IFERROR(MATCH(J2169,'Final List'!$P$4:$P$252,0),0)</f>
        <v>0</v>
      </c>
      <c r="S2169" s="169">
        <f t="shared" si="136"/>
        <v>0</v>
      </c>
      <c r="V2169" s="293" t="str">
        <f t="shared" si="134"/>
        <v>CANOY 2</v>
      </c>
      <c r="W2169" s="169" t="s">
        <v>2715</v>
      </c>
    </row>
    <row r="2170" spans="2:23" x14ac:dyDescent="0.25">
      <c r="B2170" s="169" t="s">
        <v>258</v>
      </c>
      <c r="C2170" s="169" t="s">
        <v>45</v>
      </c>
      <c r="D2170" s="169" t="s">
        <v>5604</v>
      </c>
      <c r="E2170" s="169" t="s">
        <v>36</v>
      </c>
      <c r="F2170" s="245" t="str">
        <f t="shared" si="135"/>
        <v>StpS 77</v>
      </c>
      <c r="G2170" s="169" t="s">
        <v>5701</v>
      </c>
      <c r="I2170" s="169" t="str">
        <f t="shared" si="137"/>
        <v>L10_DPVE_063E_STOPE</v>
      </c>
      <c r="J2170" s="169" t="s">
        <v>10413</v>
      </c>
      <c r="K2170" s="169">
        <f>IFERROR(MATCH(J2170,'Final List'!$B$4:$B$252,0),0)</f>
        <v>0</v>
      </c>
      <c r="L2170" s="169">
        <f>IFERROR(MATCH(J2170,'Final List'!$D$4:$D$252,0),0)</f>
        <v>0</v>
      </c>
      <c r="M2170" s="169">
        <f>IFERROR(MATCH(J2170,'Final List'!$F$4:$F$251,0),0)</f>
        <v>0</v>
      </c>
      <c r="N2170" s="169">
        <f>IFERROR(MATCH(J2170,'Final List'!$H$4:$H$252,0),0)</f>
        <v>0</v>
      </c>
      <c r="O2170" s="169">
        <f>IFERROR(MATCH(J2170,'Final List'!$J$4:$J$252,0),0)</f>
        <v>0</v>
      </c>
      <c r="P2170" s="169">
        <f>IFERROR(MATCH(J2170,'Final List'!$L$4:$L$252,0),0)</f>
        <v>0</v>
      </c>
      <c r="Q2170" s="169">
        <f>IFERROR(MATCH(J2170,'Final List'!$N$4:$N$252,0),0)</f>
        <v>0</v>
      </c>
      <c r="R2170" s="169">
        <f>IFERROR(MATCH(J2170,'Final List'!$P$4:$P$252,0),0)</f>
        <v>0</v>
      </c>
      <c r="S2170" s="169">
        <f t="shared" si="136"/>
        <v>0</v>
      </c>
      <c r="T2170" s="169" t="s">
        <v>68</v>
      </c>
      <c r="V2170" s="293" t="str">
        <f t="shared" si="134"/>
        <v>LARGO 2</v>
      </c>
      <c r="W2170" s="169" t="s">
        <v>2713</v>
      </c>
    </row>
    <row r="2171" spans="2:23" x14ac:dyDescent="0.25">
      <c r="B2171" s="169" t="s">
        <v>95</v>
      </c>
      <c r="C2171" s="169" t="s">
        <v>45</v>
      </c>
      <c r="D2171" s="169" t="s">
        <v>169</v>
      </c>
      <c r="E2171" s="169" t="s">
        <v>221</v>
      </c>
      <c r="F2171" s="245" t="str">
        <f t="shared" si="135"/>
        <v>RobC 80</v>
      </c>
      <c r="G2171" s="169" t="s">
        <v>380</v>
      </c>
      <c r="I2171" s="169" t="str">
        <f t="shared" si="137"/>
        <v>L08_DPVE_065E_WINZE STOPE</v>
      </c>
      <c r="J2171" s="169" t="s">
        <v>10277</v>
      </c>
      <c r="K2171" s="169">
        <f>IFERROR(MATCH(J2171,'Final List'!$B$4:$B$252,0),0)</f>
        <v>0</v>
      </c>
      <c r="L2171" s="169">
        <f>IFERROR(MATCH(J2171,'Final List'!$D$4:$D$252,0),0)</f>
        <v>0</v>
      </c>
      <c r="M2171" s="169">
        <f>IFERROR(MATCH(J2171,'Final List'!$F$4:$F$251,0),0)</f>
        <v>0</v>
      </c>
      <c r="N2171" s="169">
        <f>IFERROR(MATCH(J2171,'Final List'!$H$4:$H$252,0),0)</f>
        <v>0</v>
      </c>
      <c r="O2171" s="169">
        <f>IFERROR(MATCH(J2171,'Final List'!$J$4:$J$252,0),0)</f>
        <v>0</v>
      </c>
      <c r="P2171" s="169">
        <f>IFERROR(MATCH(J2171,'Final List'!$L$4:$L$252,0),0)</f>
        <v>0</v>
      </c>
      <c r="Q2171" s="169">
        <f>IFERROR(MATCH(J2171,'Final List'!$N$4:$N$252,0),0)</f>
        <v>0</v>
      </c>
      <c r="R2171" s="169">
        <f>IFERROR(MATCH(J2171,'Final List'!$P$4:$P$252,0),0)</f>
        <v>0</v>
      </c>
      <c r="S2171" s="169">
        <f t="shared" si="136"/>
        <v>0</v>
      </c>
      <c r="T2171" s="169" t="s">
        <v>68</v>
      </c>
      <c r="V2171" s="293" t="str">
        <f t="shared" si="134"/>
        <v>AGLOLO 1</v>
      </c>
      <c r="W2171" s="169" t="s">
        <v>2705</v>
      </c>
    </row>
    <row r="2172" spans="2:23" x14ac:dyDescent="0.25">
      <c r="B2172" s="169" t="s">
        <v>96</v>
      </c>
      <c r="C2172" s="169" t="s">
        <v>45</v>
      </c>
      <c r="D2172" s="169" t="s">
        <v>129</v>
      </c>
      <c r="E2172" s="169" t="s">
        <v>19</v>
      </c>
      <c r="F2172" s="245" t="str">
        <f t="shared" si="135"/>
        <v>DVR 72</v>
      </c>
      <c r="G2172" s="169" t="s">
        <v>8203</v>
      </c>
      <c r="I2172" s="169" t="str">
        <f t="shared" si="137"/>
        <v>L09_DPVE_010E_RAISE</v>
      </c>
      <c r="J2172" s="169" t="s">
        <v>10274</v>
      </c>
      <c r="K2172" s="169">
        <f>IFERROR(MATCH(J2172,'Final List'!$B$4:$B$252,0),0)</f>
        <v>0</v>
      </c>
      <c r="L2172" s="169">
        <f>IFERROR(MATCH(J2172,'Final List'!$D$4:$D$252,0),0)</f>
        <v>0</v>
      </c>
      <c r="M2172" s="169">
        <f>IFERROR(MATCH(J2172,'Final List'!$F$4:$F$251,0),0)</f>
        <v>0</v>
      </c>
      <c r="N2172" s="169">
        <f>IFERROR(MATCH(J2172,'Final List'!$H$4:$H$252,0),0)</f>
        <v>0</v>
      </c>
      <c r="O2172" s="169">
        <f>IFERROR(MATCH(J2172,'Final List'!$J$4:$J$252,0),0)</f>
        <v>0</v>
      </c>
      <c r="P2172" s="169">
        <f>IFERROR(MATCH(J2172,'Final List'!$L$4:$L$252,0),0)</f>
        <v>0</v>
      </c>
      <c r="Q2172" s="169">
        <f>IFERROR(MATCH(J2172,'Final List'!$N$4:$N$252,0),0)</f>
        <v>0</v>
      </c>
      <c r="R2172" s="169">
        <f>IFERROR(MATCH(J2172,'Final List'!$P$4:$P$252,0),0)</f>
        <v>0</v>
      </c>
      <c r="S2172" s="169">
        <f t="shared" si="136"/>
        <v>0</v>
      </c>
      <c r="V2172" s="293" t="str">
        <f t="shared" si="134"/>
        <v>PANSIT, NORMAN 3</v>
      </c>
      <c r="W2172" s="169" t="s">
        <v>2715</v>
      </c>
    </row>
    <row r="2173" spans="2:23" x14ac:dyDescent="0.25">
      <c r="B2173" s="169" t="s">
        <v>95</v>
      </c>
      <c r="C2173" s="169" t="s">
        <v>57</v>
      </c>
      <c r="D2173" s="169" t="s">
        <v>226</v>
      </c>
      <c r="E2173" s="169" t="s">
        <v>62</v>
      </c>
      <c r="F2173" s="245" t="str">
        <f t="shared" si="135"/>
        <v>RobC 80</v>
      </c>
      <c r="G2173" s="169" t="s">
        <v>472</v>
      </c>
      <c r="H2173" s="169" t="s">
        <v>583</v>
      </c>
      <c r="I2173" s="169" t="str">
        <f t="shared" si="137"/>
        <v>L08_JVSPLIT_074E_ROBBING</v>
      </c>
      <c r="J2173" s="169" t="s">
        <v>10278</v>
      </c>
      <c r="K2173" s="169">
        <f>IFERROR(MATCH(J2173,'Final List'!$B$4:$B$252,0),0)</f>
        <v>0</v>
      </c>
      <c r="L2173" s="169">
        <f>IFERROR(MATCH(J2173,'Final List'!$D$4:$D$252,0),0)</f>
        <v>0</v>
      </c>
      <c r="M2173" s="169">
        <f>IFERROR(MATCH(J2173,'Final List'!$F$4:$F$251,0),0)</f>
        <v>0</v>
      </c>
      <c r="N2173" s="169">
        <f>IFERROR(MATCH(J2173,'Final List'!$H$4:$H$252,0),0)</f>
        <v>0</v>
      </c>
      <c r="O2173" s="169">
        <f>IFERROR(MATCH(J2173,'Final List'!$J$4:$J$252,0),0)</f>
        <v>0</v>
      </c>
      <c r="P2173" s="169">
        <f>IFERROR(MATCH(J2173,'Final List'!$L$4:$L$252,0),0)</f>
        <v>0</v>
      </c>
      <c r="Q2173" s="169">
        <f>IFERROR(MATCH(J2173,'Final List'!$N$4:$N$252,0),0)</f>
        <v>0</v>
      </c>
      <c r="R2173" s="169">
        <f>IFERROR(MATCH(J2173,'Final List'!$P$4:$P$252,0),0)</f>
        <v>0</v>
      </c>
      <c r="S2173" s="169">
        <f t="shared" si="136"/>
        <v>0</v>
      </c>
      <c r="T2173" s="169" t="s">
        <v>48</v>
      </c>
      <c r="V2173" s="293" t="str">
        <f t="shared" si="134"/>
        <v>VILLARANTE 1</v>
      </c>
      <c r="W2173" s="169" t="s">
        <v>236</v>
      </c>
    </row>
    <row r="2174" spans="2:23" x14ac:dyDescent="0.25">
      <c r="B2174" s="169" t="s">
        <v>92</v>
      </c>
      <c r="C2174" s="169" t="s">
        <v>42</v>
      </c>
      <c r="D2174" s="169" t="s">
        <v>111</v>
      </c>
      <c r="E2174" s="169" t="s">
        <v>62</v>
      </c>
      <c r="F2174" s="245" t="str">
        <f t="shared" si="135"/>
        <v>RobS 79</v>
      </c>
      <c r="G2174" s="169" t="s">
        <v>5773</v>
      </c>
      <c r="I2174" s="169" t="str">
        <f t="shared" si="137"/>
        <v>L05_JV_004W_ROBBING</v>
      </c>
      <c r="J2174" s="169" t="s">
        <v>10279</v>
      </c>
      <c r="K2174" s="169">
        <f>IFERROR(MATCH(J2174,'Final List'!$B$4:$B$252,0),0)</f>
        <v>0</v>
      </c>
      <c r="L2174" s="169">
        <f>IFERROR(MATCH(J2174,'Final List'!$D$4:$D$252,0),0)</f>
        <v>0</v>
      </c>
      <c r="M2174" s="169">
        <f>IFERROR(MATCH(J2174,'Final List'!$F$4:$F$251,0),0)</f>
        <v>0</v>
      </c>
      <c r="N2174" s="169">
        <f>IFERROR(MATCH(J2174,'Final List'!$H$4:$H$252,0),0)</f>
        <v>0</v>
      </c>
      <c r="O2174" s="169">
        <f>IFERROR(MATCH(J2174,'Final List'!$J$4:$J$252,0),0)</f>
        <v>0</v>
      </c>
      <c r="P2174" s="169">
        <f>IFERROR(MATCH(J2174,'Final List'!$L$4:$L$252,0),0)</f>
        <v>0</v>
      </c>
      <c r="Q2174" s="169">
        <f>IFERROR(MATCH(J2174,'Final List'!$N$4:$N$252,0),0)</f>
        <v>0</v>
      </c>
      <c r="R2174" s="169">
        <f>IFERROR(MATCH(J2174,'Final List'!$P$4:$P$252,0),0)</f>
        <v>0</v>
      </c>
      <c r="S2174" s="169">
        <f t="shared" si="136"/>
        <v>0</v>
      </c>
      <c r="T2174" s="169" t="s">
        <v>68</v>
      </c>
      <c r="V2174" s="169" t="str">
        <f t="shared" si="134"/>
        <v>PARAN 3</v>
      </c>
      <c r="W2174" s="169" t="s">
        <v>2707</v>
      </c>
    </row>
    <row r="2175" spans="2:23" x14ac:dyDescent="0.25">
      <c r="B2175" s="169" t="s">
        <v>258</v>
      </c>
      <c r="C2175" s="169" t="s">
        <v>38</v>
      </c>
      <c r="D2175" s="169" t="s">
        <v>5723</v>
      </c>
      <c r="E2175" s="169" t="s">
        <v>211</v>
      </c>
      <c r="F2175" s="245" t="str">
        <f t="shared" si="135"/>
        <v>StpS 77</v>
      </c>
      <c r="G2175" s="169" t="s">
        <v>9965</v>
      </c>
      <c r="I2175" s="169" t="str">
        <f t="shared" si="137"/>
        <v>L10_GHV_046E_STOPE PREP</v>
      </c>
      <c r="J2175" s="169" t="s">
        <v>10285</v>
      </c>
      <c r="K2175" s="169">
        <f>IFERROR(MATCH(J2175,'Final List'!$B$4:$B$252,0),0)</f>
        <v>0</v>
      </c>
      <c r="L2175" s="169">
        <f>IFERROR(MATCH(J2175,'Final List'!$D$4:$D$252,0),0)</f>
        <v>0</v>
      </c>
      <c r="M2175" s="169">
        <f>IFERROR(MATCH(J2175,'Final List'!$F$4:$F$251,0),0)</f>
        <v>0</v>
      </c>
      <c r="N2175" s="169">
        <f>IFERROR(MATCH(J2175,'Final List'!$H$4:$H$252,0),0)</f>
        <v>0</v>
      </c>
      <c r="O2175" s="169">
        <f>IFERROR(MATCH(J2175,'Final List'!$J$4:$J$252,0),0)</f>
        <v>0</v>
      </c>
      <c r="P2175" s="169">
        <f>IFERROR(MATCH(J2175,'Final List'!$L$4:$L$252,0),0)</f>
        <v>0</v>
      </c>
      <c r="Q2175" s="169">
        <f>IFERROR(MATCH(J2175,'Final List'!$N$4:$N$252,0),0)</f>
        <v>0</v>
      </c>
      <c r="R2175" s="169">
        <f>IFERROR(MATCH(J2175,'Final List'!$P$4:$P$252,0),0)</f>
        <v>0</v>
      </c>
      <c r="S2175" s="169">
        <f t="shared" si="136"/>
        <v>0</v>
      </c>
      <c r="T2175" s="169" t="s">
        <v>68</v>
      </c>
      <c r="V2175" s="169" t="str">
        <f t="shared" si="134"/>
        <v>SHEPHERD BB</v>
      </c>
      <c r="W2175" s="169" t="s">
        <v>2712</v>
      </c>
    </row>
    <row r="2176" spans="2:23" x14ac:dyDescent="0.25">
      <c r="B2176" s="169" t="s">
        <v>258</v>
      </c>
      <c r="C2176" s="169" t="s">
        <v>38</v>
      </c>
      <c r="D2176" s="169" t="s">
        <v>5723</v>
      </c>
      <c r="E2176" s="169" t="s">
        <v>36</v>
      </c>
      <c r="F2176" s="245" t="str">
        <f t="shared" si="135"/>
        <v>StpS 77</v>
      </c>
      <c r="G2176" s="169" t="s">
        <v>9965</v>
      </c>
      <c r="I2176" s="169" t="str">
        <f t="shared" si="137"/>
        <v>L10_GHV_046E_STOPE</v>
      </c>
      <c r="J2176" s="169" t="s">
        <v>10286</v>
      </c>
      <c r="K2176" s="169">
        <f>IFERROR(MATCH(J2176,'Final List'!$B$4:$B$252,0),0)</f>
        <v>0</v>
      </c>
      <c r="L2176" s="169">
        <f>IFERROR(MATCH(J2176,'Final List'!$D$4:$D$252,0),0)</f>
        <v>0</v>
      </c>
      <c r="M2176" s="169">
        <f>IFERROR(MATCH(J2176,'Final List'!$F$4:$F$251,0),0)</f>
        <v>0</v>
      </c>
      <c r="N2176" s="169">
        <f>IFERROR(MATCH(J2176,'Final List'!$H$4:$H$252,0),0)</f>
        <v>0</v>
      </c>
      <c r="O2176" s="169">
        <f>IFERROR(MATCH(J2176,'Final List'!$J$4:$J$252,0),0)</f>
        <v>0</v>
      </c>
      <c r="P2176" s="169">
        <f>IFERROR(MATCH(J2176,'Final List'!$L$4:$L$252,0),0)</f>
        <v>0</v>
      </c>
      <c r="Q2176" s="169">
        <f>IFERROR(MATCH(J2176,'Final List'!$N$4:$N$252,0),0)</f>
        <v>0</v>
      </c>
      <c r="R2176" s="169">
        <f>IFERROR(MATCH(J2176,'Final List'!$P$4:$P$252,0),0)</f>
        <v>0</v>
      </c>
      <c r="S2176" s="169">
        <f t="shared" si="136"/>
        <v>0</v>
      </c>
      <c r="T2176" s="169" t="s">
        <v>68</v>
      </c>
      <c r="V2176" s="169" t="str">
        <f t="shared" si="134"/>
        <v>SHEPHERD BB</v>
      </c>
      <c r="W2176" s="169" t="s">
        <v>2713</v>
      </c>
    </row>
    <row r="2177" spans="2:23" x14ac:dyDescent="0.25">
      <c r="B2177" s="169" t="s">
        <v>91</v>
      </c>
      <c r="C2177" s="169" t="s">
        <v>8753</v>
      </c>
      <c r="D2177" s="169" t="s">
        <v>103</v>
      </c>
      <c r="E2177" s="169" t="s">
        <v>62</v>
      </c>
      <c r="F2177" s="245" t="str">
        <f t="shared" si="135"/>
        <v>RobS 79</v>
      </c>
      <c r="G2177" s="169" t="s">
        <v>3277</v>
      </c>
      <c r="I2177" s="169" t="str">
        <f t="shared" si="137"/>
        <v>L04_RYV_005E_ROBBING</v>
      </c>
      <c r="J2177" s="169" t="s">
        <v>10287</v>
      </c>
      <c r="K2177" s="169">
        <f>IFERROR(MATCH(J2177,'Final List'!$B$4:$B$252,0),0)</f>
        <v>0</v>
      </c>
      <c r="L2177" s="169">
        <f>IFERROR(MATCH(J2177,'Final List'!$D$4:$D$252,0),0)</f>
        <v>0</v>
      </c>
      <c r="M2177" s="169">
        <f>IFERROR(MATCH(J2177,'Final List'!$F$4:$F$251,0),0)</f>
        <v>0</v>
      </c>
      <c r="N2177" s="169">
        <f>IFERROR(MATCH(J2177,'Final List'!$H$4:$H$252,0),0)</f>
        <v>0</v>
      </c>
      <c r="O2177" s="169">
        <f>IFERROR(MATCH(J2177,'Final List'!$J$4:$J$252,0),0)</f>
        <v>0</v>
      </c>
      <c r="P2177" s="169">
        <f>IFERROR(MATCH(J2177,'Final List'!$L$4:$L$252,0),0)</f>
        <v>0</v>
      </c>
      <c r="Q2177" s="169">
        <f>IFERROR(MATCH(J2177,'Final List'!$N$4:$N$252,0),0)</f>
        <v>0</v>
      </c>
      <c r="R2177" s="169">
        <f>IFERROR(MATCH(J2177,'Final List'!$P$4:$P$252,0),0)</f>
        <v>0</v>
      </c>
      <c r="S2177" s="169">
        <f t="shared" si="136"/>
        <v>0</v>
      </c>
      <c r="T2177" s="169" t="s">
        <v>68</v>
      </c>
      <c r="V2177" s="169" t="str">
        <f t="shared" ref="V2177:V2240" si="138">IF(H2177="",G2177,H2177)</f>
        <v>MARTINEZ, DN 2</v>
      </c>
      <c r="W2177" s="169" t="s">
        <v>2707</v>
      </c>
    </row>
    <row r="2178" spans="2:23" x14ac:dyDescent="0.25">
      <c r="B2178" s="169" t="s">
        <v>258</v>
      </c>
      <c r="C2178" s="169" t="s">
        <v>56</v>
      </c>
      <c r="D2178" s="169" t="s">
        <v>148</v>
      </c>
      <c r="E2178" s="169" t="s">
        <v>61</v>
      </c>
      <c r="F2178" s="245" t="str">
        <f t="shared" si="135"/>
        <v>Dhoz 71</v>
      </c>
      <c r="G2178" s="169" t="s">
        <v>6927</v>
      </c>
      <c r="I2178" s="169" t="str">
        <f t="shared" si="137"/>
        <v>L10_GHVFW_039E_DW</v>
      </c>
      <c r="J2178" s="169" t="s">
        <v>10290</v>
      </c>
      <c r="K2178" s="169">
        <f>IFERROR(MATCH(J2178,'Final List'!$B$4:$B$252,0),0)</f>
        <v>0</v>
      </c>
      <c r="L2178" s="169">
        <f>IFERROR(MATCH(J2178,'Final List'!$D$4:$D$252,0),0)</f>
        <v>0</v>
      </c>
      <c r="M2178" s="169">
        <f>IFERROR(MATCH(J2178,'Final List'!$F$4:$F$251,0),0)</f>
        <v>0</v>
      </c>
      <c r="N2178" s="169">
        <f>IFERROR(MATCH(J2178,'Final List'!$H$4:$H$252,0),0)</f>
        <v>0</v>
      </c>
      <c r="O2178" s="169">
        <f>IFERROR(MATCH(J2178,'Final List'!$J$4:$J$252,0),0)</f>
        <v>0</v>
      </c>
      <c r="P2178" s="169">
        <f>IFERROR(MATCH(J2178,'Final List'!$L$4:$L$252,0),0)</f>
        <v>0</v>
      </c>
      <c r="Q2178" s="169">
        <f>IFERROR(MATCH(J2178,'Final List'!$N$4:$N$252,0),0)</f>
        <v>0</v>
      </c>
      <c r="R2178" s="169">
        <f>IFERROR(MATCH(J2178,'Final List'!$P$4:$P$252,0),0)</f>
        <v>0</v>
      </c>
      <c r="S2178" s="169">
        <f t="shared" si="136"/>
        <v>0</v>
      </c>
      <c r="V2178" s="169" t="str">
        <f t="shared" si="138"/>
        <v>DUHIG, R2</v>
      </c>
      <c r="W2178" s="169" t="s">
        <v>8896</v>
      </c>
    </row>
    <row r="2179" spans="2:23" x14ac:dyDescent="0.25">
      <c r="B2179" s="169" t="s">
        <v>258</v>
      </c>
      <c r="C2179" s="169" t="s">
        <v>59</v>
      </c>
      <c r="D2179" s="169" t="s">
        <v>117</v>
      </c>
      <c r="E2179" s="169" t="s">
        <v>19</v>
      </c>
      <c r="F2179" s="245" t="str">
        <f t="shared" ref="F2179:F2242" si="139">IF(OR(E2179="XCN",E2179="DE",E2179="DW",E2179="DN",E2179="XCS",E2179="XCE",E2179="XCW",E2179="SUMP",E2179="BYPASS",E2179="CHAMBER",E2179="DRAIN HOLE",E2179="DRILLING CHAMBER",E2179="DE_ISL",E2179="DW_ISL",E2179="REHAB"),"Dhoz 71",IF(OR(E2179="RAISE",E2179="RAISE_ISL"),"DVR 72",IF(E2179="ALIMAK","DVA 73",IF(E2179="WINZE","DVW 74",IF(E2179="SHAFT","DVS 75",IF(AND(E2179="WINZE STOPE",T2179="S"),"RobC 80",IF(AND(E2179="STOPE",T2179="S"),"StpS 77",IF(AND(E2179="WINZE STOPE",T2179="L"),"RobC 80",IF(AND(E2179="STOPE",T2179="L"),"StpL 78",IF(AND(E2179="WINZE STOPE PREP",T2179="S"),"RobC 80",IF(AND(E2179="STOPE PREP",T2179="S"),"StpS 77",IF(AND(E2179="WINZE STOPE PREP",T2179="L"),"RobC 80",IF(AND(E2179="STOPE PREP",T2179="L"),"StpL 78",IF(AND(E2179="ROBBING",T2179="L"),"RobC 80",IF(AND(E2179="ROBBING",T2179="S"),"RobS 79",0)))))))))))))))</f>
        <v>DVR 72</v>
      </c>
      <c r="G2179" s="169" t="s">
        <v>318</v>
      </c>
      <c r="I2179" s="169" t="str">
        <f t="shared" si="137"/>
        <v>L10_GHVHW_006W_RAISE</v>
      </c>
      <c r="J2179" s="169" t="s">
        <v>10291</v>
      </c>
      <c r="K2179" s="169">
        <f>IFERROR(MATCH(J2179,'Final List'!$B$4:$B$252,0),0)</f>
        <v>0</v>
      </c>
      <c r="L2179" s="169">
        <f>IFERROR(MATCH(J2179,'Final List'!$D$4:$D$252,0),0)</f>
        <v>0</v>
      </c>
      <c r="M2179" s="169">
        <f>IFERROR(MATCH(J2179,'Final List'!$F$4:$F$251,0),0)</f>
        <v>0</v>
      </c>
      <c r="N2179" s="169">
        <f>IFERROR(MATCH(J2179,'Final List'!$H$4:$H$252,0),0)</f>
        <v>0</v>
      </c>
      <c r="O2179" s="169">
        <f>IFERROR(MATCH(J2179,'Final List'!$J$4:$J$252,0),0)</f>
        <v>0</v>
      </c>
      <c r="P2179" s="169">
        <f>IFERROR(MATCH(J2179,'Final List'!$L$4:$L$252,0),0)</f>
        <v>0</v>
      </c>
      <c r="Q2179" s="169">
        <f>IFERROR(MATCH(J2179,'Final List'!$N$4:$N$252,0),0)</f>
        <v>0</v>
      </c>
      <c r="R2179" s="169">
        <f>IFERROR(MATCH(J2179,'Final List'!$P$4:$P$252,0),0)</f>
        <v>0</v>
      </c>
      <c r="S2179" s="169">
        <f t="shared" ref="S2179:S2242" si="140">SUM(K2179:R2179)</f>
        <v>0</v>
      </c>
      <c r="V2179" s="169" t="str">
        <f t="shared" si="138"/>
        <v>PARAGUYA 3</v>
      </c>
      <c r="W2179" s="169" t="s">
        <v>2715</v>
      </c>
    </row>
    <row r="2180" spans="2:23" x14ac:dyDescent="0.25">
      <c r="B2180" s="169" t="s">
        <v>258</v>
      </c>
      <c r="C2180" s="169" t="s">
        <v>42</v>
      </c>
      <c r="D2180" s="169" t="s">
        <v>198</v>
      </c>
      <c r="E2180" s="169" t="s">
        <v>62</v>
      </c>
      <c r="F2180" s="245" t="str">
        <f t="shared" si="139"/>
        <v>RobS 79</v>
      </c>
      <c r="G2180" s="169" t="s">
        <v>319</v>
      </c>
      <c r="I2180" s="169" t="str">
        <f t="shared" si="137"/>
        <v>L10_JV_069E_ROBBING</v>
      </c>
      <c r="J2180" s="169" t="s">
        <v>10292</v>
      </c>
      <c r="K2180" s="169">
        <f>IFERROR(MATCH(J2180,'Final List'!$B$4:$B$252,0),0)</f>
        <v>0</v>
      </c>
      <c r="L2180" s="169">
        <f>IFERROR(MATCH(J2180,'Final List'!$D$4:$D$252,0),0)</f>
        <v>0</v>
      </c>
      <c r="M2180" s="169">
        <f>IFERROR(MATCH(J2180,'Final List'!$F$4:$F$251,0),0)</f>
        <v>0</v>
      </c>
      <c r="N2180" s="169">
        <f>IFERROR(MATCH(J2180,'Final List'!$H$4:$H$252,0),0)</f>
        <v>0</v>
      </c>
      <c r="O2180" s="169">
        <f>IFERROR(MATCH(J2180,'Final List'!$J$4:$J$252,0),0)</f>
        <v>0</v>
      </c>
      <c r="P2180" s="169">
        <f>IFERROR(MATCH(J2180,'Final List'!$L$4:$L$252,0),0)</f>
        <v>0</v>
      </c>
      <c r="Q2180" s="169">
        <f>IFERROR(MATCH(J2180,'Final List'!$N$4:$N$252,0),0)</f>
        <v>0</v>
      </c>
      <c r="R2180" s="169">
        <f>IFERROR(MATCH(J2180,'Final List'!$P$4:$P$252,0),0)</f>
        <v>0</v>
      </c>
      <c r="S2180" s="169">
        <f t="shared" si="140"/>
        <v>0</v>
      </c>
      <c r="T2180" s="169" t="s">
        <v>68</v>
      </c>
      <c r="V2180" s="169" t="str">
        <f t="shared" si="138"/>
        <v>PARAGUYA 4</v>
      </c>
      <c r="W2180" s="169" t="s">
        <v>2707</v>
      </c>
    </row>
    <row r="2181" spans="2:23" x14ac:dyDescent="0.25">
      <c r="B2181" s="169" t="s">
        <v>96</v>
      </c>
      <c r="C2181" s="169" t="s">
        <v>45</v>
      </c>
      <c r="D2181" s="169" t="s">
        <v>120</v>
      </c>
      <c r="E2181" s="169" t="s">
        <v>19</v>
      </c>
      <c r="F2181" s="245" t="str">
        <f t="shared" si="139"/>
        <v>DVR 72</v>
      </c>
      <c r="G2181" s="169" t="s">
        <v>12528</v>
      </c>
      <c r="I2181" s="169" t="str">
        <f t="shared" si="137"/>
        <v>L09_DPVE_015E_RAISE</v>
      </c>
      <c r="J2181" s="169" t="s">
        <v>795</v>
      </c>
      <c r="K2181" s="169">
        <f>IFERROR(MATCH(J2181,'Final List'!$B$4:$B$252,0),0)</f>
        <v>0</v>
      </c>
      <c r="L2181" s="169">
        <f>IFERROR(MATCH(J2181,'Final List'!$D$4:$D$252,0),0)</f>
        <v>0</v>
      </c>
      <c r="M2181" s="169">
        <f>IFERROR(MATCH(J2181,'Final List'!$F$4:$F$251,0),0)</f>
        <v>0</v>
      </c>
      <c r="N2181" s="169">
        <f>IFERROR(MATCH(J2181,'Final List'!$H$4:$H$252,0),0)</f>
        <v>0</v>
      </c>
      <c r="O2181" s="169">
        <f>IFERROR(MATCH(J2181,'Final List'!$J$4:$J$252,0),0)</f>
        <v>0</v>
      </c>
      <c r="P2181" s="169">
        <f>IFERROR(MATCH(J2181,'Final List'!$L$4:$L$252,0),0)</f>
        <v>0</v>
      </c>
      <c r="Q2181" s="169">
        <f>IFERROR(MATCH(J2181,'Final List'!$N$4:$N$252,0),0)</f>
        <v>0</v>
      </c>
      <c r="R2181" s="169">
        <f>IFERROR(MATCH(J2181,'Final List'!$P$4:$P$252,0),0)</f>
        <v>0</v>
      </c>
      <c r="S2181" s="169">
        <f t="shared" si="140"/>
        <v>0</v>
      </c>
      <c r="V2181" s="169" t="str">
        <f t="shared" si="138"/>
        <v>NITRO AA</v>
      </c>
      <c r="W2181" s="169" t="s">
        <v>2715</v>
      </c>
    </row>
    <row r="2182" spans="2:23" x14ac:dyDescent="0.25">
      <c r="B2182" s="169" t="s">
        <v>96</v>
      </c>
      <c r="C2182" s="169" t="s">
        <v>45</v>
      </c>
      <c r="D2182" s="169" t="s">
        <v>179</v>
      </c>
      <c r="E2182" s="169" t="s">
        <v>62</v>
      </c>
      <c r="F2182" s="245" t="str">
        <f t="shared" si="139"/>
        <v>RobS 79</v>
      </c>
      <c r="G2182" s="169" t="s">
        <v>362</v>
      </c>
      <c r="I2182" s="169" t="str">
        <f t="shared" si="137"/>
        <v>L09_DPVE_050E_ROBBING</v>
      </c>
      <c r="J2182" s="169" t="s">
        <v>10294</v>
      </c>
      <c r="K2182" s="169">
        <f>IFERROR(MATCH(J2182,'Final List'!$B$4:$B$252,0),0)</f>
        <v>0</v>
      </c>
      <c r="L2182" s="169">
        <f>IFERROR(MATCH(J2182,'Final List'!$D$4:$D$252,0),0)</f>
        <v>0</v>
      </c>
      <c r="M2182" s="169">
        <f>IFERROR(MATCH(J2182,'Final List'!$F$4:$F$251,0),0)</f>
        <v>0</v>
      </c>
      <c r="N2182" s="169">
        <f>IFERROR(MATCH(J2182,'Final List'!$H$4:$H$252,0),0)</f>
        <v>0</v>
      </c>
      <c r="O2182" s="169">
        <f>IFERROR(MATCH(J2182,'Final List'!$J$4:$J$252,0),0)</f>
        <v>0</v>
      </c>
      <c r="P2182" s="169">
        <f>IFERROR(MATCH(J2182,'Final List'!$L$4:$L$252,0),0)</f>
        <v>0</v>
      </c>
      <c r="Q2182" s="169">
        <f>IFERROR(MATCH(J2182,'Final List'!$N$4:$N$252,0),0)</f>
        <v>0</v>
      </c>
      <c r="R2182" s="169">
        <f>IFERROR(MATCH(J2182,'Final List'!$P$4:$P$252,0),0)</f>
        <v>0</v>
      </c>
      <c r="S2182" s="169">
        <f t="shared" si="140"/>
        <v>0</v>
      </c>
      <c r="T2182" s="169" t="s">
        <v>68</v>
      </c>
      <c r="V2182" s="169" t="str">
        <f t="shared" si="138"/>
        <v>BABOR 1</v>
      </c>
      <c r="W2182" s="169" t="s">
        <v>2707</v>
      </c>
    </row>
    <row r="2183" spans="2:23" x14ac:dyDescent="0.25">
      <c r="B2183" s="169" t="s">
        <v>96</v>
      </c>
      <c r="C2183" s="169" t="s">
        <v>45</v>
      </c>
      <c r="D2183" s="169" t="s">
        <v>128</v>
      </c>
      <c r="E2183" s="169" t="s">
        <v>61</v>
      </c>
      <c r="F2183" s="245" t="str">
        <f t="shared" si="139"/>
        <v>Dhoz 71</v>
      </c>
      <c r="G2183" s="169" t="s">
        <v>5101</v>
      </c>
      <c r="I2183" s="169" t="str">
        <f t="shared" si="137"/>
        <v>L09_DPVE_027E_DW</v>
      </c>
      <c r="J2183" s="169" t="s">
        <v>10295</v>
      </c>
      <c r="K2183" s="169">
        <f>IFERROR(MATCH(J2183,'Final List'!$B$4:$B$252,0),0)</f>
        <v>0</v>
      </c>
      <c r="L2183" s="169">
        <f>IFERROR(MATCH(J2183,'Final List'!$D$4:$D$252,0),0)</f>
        <v>0</v>
      </c>
      <c r="M2183" s="169">
        <f>IFERROR(MATCH(J2183,'Final List'!$F$4:$F$251,0),0)</f>
        <v>0</v>
      </c>
      <c r="N2183" s="169">
        <f>IFERROR(MATCH(J2183,'Final List'!$H$4:$H$252,0),0)</f>
        <v>0</v>
      </c>
      <c r="O2183" s="169">
        <f>IFERROR(MATCH(J2183,'Final List'!$J$4:$J$252,0),0)</f>
        <v>0</v>
      </c>
      <c r="P2183" s="169">
        <f>IFERROR(MATCH(J2183,'Final List'!$L$4:$L$252,0),0)</f>
        <v>0</v>
      </c>
      <c r="Q2183" s="169">
        <f>IFERROR(MATCH(J2183,'Final List'!$N$4:$N$252,0),0)</f>
        <v>0</v>
      </c>
      <c r="R2183" s="169">
        <f>IFERROR(MATCH(J2183,'Final List'!$P$4:$P$252,0),0)</f>
        <v>0</v>
      </c>
      <c r="S2183" s="169">
        <f t="shared" si="140"/>
        <v>0</v>
      </c>
      <c r="V2183" s="169" t="str">
        <f t="shared" si="138"/>
        <v>DELOS REYES V3</v>
      </c>
      <c r="W2183" s="169" t="s">
        <v>8896</v>
      </c>
    </row>
    <row r="2184" spans="2:23" x14ac:dyDescent="0.25">
      <c r="B2184" s="169" t="s">
        <v>1166</v>
      </c>
      <c r="C2184" s="169" t="s">
        <v>43</v>
      </c>
      <c r="D2184" s="169" t="s">
        <v>289</v>
      </c>
      <c r="E2184" s="169" t="s">
        <v>36</v>
      </c>
      <c r="F2184" s="245" t="str">
        <f t="shared" si="139"/>
        <v>StpS 77</v>
      </c>
      <c r="G2184" s="169" t="s">
        <v>584</v>
      </c>
      <c r="I2184" s="169" t="str">
        <f t="shared" si="137"/>
        <v>L11_GHVSPLIT_059E_STOPE</v>
      </c>
      <c r="J2184" s="169" t="s">
        <v>10296</v>
      </c>
      <c r="K2184" s="169">
        <f>IFERROR(MATCH(J2184,'Final List'!$B$4:$B$252,0),0)</f>
        <v>0</v>
      </c>
      <c r="L2184" s="169">
        <f>IFERROR(MATCH(J2184,'Final List'!$D$4:$D$252,0),0)</f>
        <v>0</v>
      </c>
      <c r="M2184" s="169">
        <f>IFERROR(MATCH(J2184,'Final List'!$F$4:$F$251,0),0)</f>
        <v>0</v>
      </c>
      <c r="N2184" s="169">
        <f>IFERROR(MATCH(J2184,'Final List'!$H$4:$H$252,0),0)</f>
        <v>0</v>
      </c>
      <c r="O2184" s="169">
        <f>IFERROR(MATCH(J2184,'Final List'!$J$4:$J$252,0),0)</f>
        <v>0</v>
      </c>
      <c r="P2184" s="169">
        <f>IFERROR(MATCH(J2184,'Final List'!$L$4:$L$252,0),0)</f>
        <v>0</v>
      </c>
      <c r="Q2184" s="169">
        <f>IFERROR(MATCH(J2184,'Final List'!$N$4:$N$252,0),0)</f>
        <v>0</v>
      </c>
      <c r="R2184" s="169">
        <f>IFERROR(MATCH(J2184,'Final List'!$P$4:$P$252,0),0)</f>
        <v>0</v>
      </c>
      <c r="S2184" s="169">
        <f t="shared" si="140"/>
        <v>0</v>
      </c>
      <c r="T2184" s="169" t="s">
        <v>68</v>
      </c>
      <c r="V2184" s="169" t="str">
        <f t="shared" si="138"/>
        <v>VILLARANTE 2</v>
      </c>
      <c r="W2184" s="169" t="s">
        <v>2713</v>
      </c>
    </row>
    <row r="2185" spans="2:23" x14ac:dyDescent="0.25">
      <c r="B2185" s="169" t="s">
        <v>92</v>
      </c>
      <c r="C2185" s="169" t="s">
        <v>56</v>
      </c>
      <c r="D2185" s="169" t="s">
        <v>109</v>
      </c>
      <c r="E2185" s="169" t="s">
        <v>62</v>
      </c>
      <c r="F2185" s="245" t="str">
        <f t="shared" si="139"/>
        <v>RobS 79</v>
      </c>
      <c r="G2185" s="169" t="s">
        <v>450</v>
      </c>
      <c r="I2185" s="169" t="str">
        <f t="shared" si="137"/>
        <v>L05_GHVFW_002W_ROBBING</v>
      </c>
      <c r="J2185" s="169" t="s">
        <v>10300</v>
      </c>
      <c r="K2185" s="169">
        <f>IFERROR(MATCH(J2185,'Final List'!$B$4:$B$252,0),0)</f>
        <v>0</v>
      </c>
      <c r="L2185" s="169">
        <f>IFERROR(MATCH(J2185,'Final List'!$D$4:$D$252,0),0)</f>
        <v>0</v>
      </c>
      <c r="M2185" s="169">
        <f>IFERROR(MATCH(J2185,'Final List'!$F$4:$F$251,0),0)</f>
        <v>0</v>
      </c>
      <c r="N2185" s="169">
        <f>IFERROR(MATCH(J2185,'Final List'!$H$4:$H$252,0),0)</f>
        <v>0</v>
      </c>
      <c r="O2185" s="169">
        <f>IFERROR(MATCH(J2185,'Final List'!$J$4:$J$252,0),0)</f>
        <v>0</v>
      </c>
      <c r="P2185" s="169">
        <f>IFERROR(MATCH(J2185,'Final List'!$L$4:$L$252,0),0)</f>
        <v>0</v>
      </c>
      <c r="Q2185" s="169">
        <f>IFERROR(MATCH(J2185,'Final List'!$N$4:$N$252,0),0)</f>
        <v>0</v>
      </c>
      <c r="R2185" s="169">
        <f>IFERROR(MATCH(J2185,'Final List'!$P$4:$P$252,0),0)</f>
        <v>0</v>
      </c>
      <c r="S2185" s="169">
        <f t="shared" si="140"/>
        <v>0</v>
      </c>
      <c r="T2185" s="169" t="s">
        <v>68</v>
      </c>
      <c r="V2185" s="169" t="str">
        <f t="shared" si="138"/>
        <v>BAYOBAY 1</v>
      </c>
      <c r="W2185" s="169" t="s">
        <v>2707</v>
      </c>
    </row>
    <row r="2186" spans="2:23" x14ac:dyDescent="0.25">
      <c r="B2186" s="169" t="s">
        <v>258</v>
      </c>
      <c r="C2186" s="169" t="s">
        <v>45</v>
      </c>
      <c r="D2186" s="169" t="s">
        <v>247</v>
      </c>
      <c r="E2186" s="169" t="s">
        <v>60</v>
      </c>
      <c r="F2186" s="245" t="str">
        <f t="shared" si="139"/>
        <v>Dhoz 71</v>
      </c>
      <c r="G2186" s="169" t="s">
        <v>5701</v>
      </c>
      <c r="H2186" s="169" t="s">
        <v>5700</v>
      </c>
      <c r="I2186" s="169" t="str">
        <f t="shared" si="137"/>
        <v>L10_DPVE_080E_DE</v>
      </c>
      <c r="J2186" s="169" t="s">
        <v>10301</v>
      </c>
      <c r="K2186" s="169">
        <f>IFERROR(MATCH(J2186,'Final List'!$B$4:$B$252,0),0)</f>
        <v>0</v>
      </c>
      <c r="L2186" s="169">
        <f>IFERROR(MATCH(J2186,'Final List'!$D$4:$D$252,0),0)</f>
        <v>0</v>
      </c>
      <c r="M2186" s="169">
        <f>IFERROR(MATCH(J2186,'Final List'!$F$4:$F$251,0),0)</f>
        <v>0</v>
      </c>
      <c r="N2186" s="169">
        <f>IFERROR(MATCH(J2186,'Final List'!$H$4:$H$252,0),0)</f>
        <v>0</v>
      </c>
      <c r="O2186" s="169">
        <f>IFERROR(MATCH(J2186,'Final List'!$J$4:$J$252,0),0)</f>
        <v>0</v>
      </c>
      <c r="P2186" s="169">
        <f>IFERROR(MATCH(J2186,'Final List'!$L$4:$L$252,0),0)</f>
        <v>0</v>
      </c>
      <c r="Q2186" s="169">
        <f>IFERROR(MATCH(J2186,'Final List'!$N$4:$N$252,0),0)</f>
        <v>0</v>
      </c>
      <c r="R2186" s="169">
        <f>IFERROR(MATCH(J2186,'Final List'!$P$4:$P$252,0),0)</f>
        <v>0</v>
      </c>
      <c r="S2186" s="169">
        <f t="shared" si="140"/>
        <v>0</v>
      </c>
      <c r="V2186" s="169" t="str">
        <f t="shared" si="138"/>
        <v>LARGO 1</v>
      </c>
      <c r="W2186" s="169" t="s">
        <v>8896</v>
      </c>
    </row>
    <row r="2187" spans="2:23" x14ac:dyDescent="0.25">
      <c r="B2187" s="169" t="s">
        <v>92</v>
      </c>
      <c r="C2187" s="169" t="s">
        <v>45</v>
      </c>
      <c r="D2187" s="169" t="s">
        <v>173</v>
      </c>
      <c r="E2187" s="169" t="s">
        <v>62</v>
      </c>
      <c r="F2187" s="245" t="str">
        <f t="shared" si="139"/>
        <v>RobS 79</v>
      </c>
      <c r="G2187" s="169" t="s">
        <v>636</v>
      </c>
      <c r="I2187" s="169" t="str">
        <f t="shared" si="137"/>
        <v>L05_DPVE_049E_ROBBING</v>
      </c>
      <c r="J2187" s="169" t="s">
        <v>10302</v>
      </c>
      <c r="K2187" s="169">
        <f>IFERROR(MATCH(J2187,'Final List'!$B$4:$B$252,0),0)</f>
        <v>0</v>
      </c>
      <c r="L2187" s="169">
        <f>IFERROR(MATCH(J2187,'Final List'!$D$4:$D$252,0),0)</f>
        <v>0</v>
      </c>
      <c r="M2187" s="169">
        <f>IFERROR(MATCH(J2187,'Final List'!$F$4:$F$251,0),0)</f>
        <v>0</v>
      </c>
      <c r="N2187" s="169">
        <f>IFERROR(MATCH(J2187,'Final List'!$H$4:$H$252,0),0)</f>
        <v>0</v>
      </c>
      <c r="O2187" s="169">
        <f>IFERROR(MATCH(J2187,'Final List'!$J$4:$J$252,0),0)</f>
        <v>0</v>
      </c>
      <c r="P2187" s="169">
        <f>IFERROR(MATCH(J2187,'Final List'!$L$4:$L$252,0),0)</f>
        <v>0</v>
      </c>
      <c r="Q2187" s="169">
        <f>IFERROR(MATCH(J2187,'Final List'!$N$4:$N$252,0),0)</f>
        <v>0</v>
      </c>
      <c r="R2187" s="169">
        <f>IFERROR(MATCH(J2187,'Final List'!$P$4:$P$252,0),0)</f>
        <v>0</v>
      </c>
      <c r="S2187" s="169">
        <f t="shared" si="140"/>
        <v>0</v>
      </c>
      <c r="T2187" s="169" t="s">
        <v>68</v>
      </c>
      <c r="V2187" s="169" t="str">
        <f t="shared" si="138"/>
        <v>PANCIT, NOEL 5</v>
      </c>
      <c r="W2187" s="169" t="s">
        <v>2707</v>
      </c>
    </row>
    <row r="2188" spans="2:23" x14ac:dyDescent="0.25">
      <c r="B2188" s="169" t="s">
        <v>258</v>
      </c>
      <c r="C2188" s="169" t="s">
        <v>45</v>
      </c>
      <c r="D2188" s="169" t="s">
        <v>169</v>
      </c>
      <c r="E2188" s="169" t="s">
        <v>36</v>
      </c>
      <c r="F2188" s="245" t="str">
        <f t="shared" si="139"/>
        <v>StpS 77</v>
      </c>
      <c r="G2188" s="169" t="s">
        <v>6851</v>
      </c>
      <c r="I2188" s="169" t="str">
        <f t="shared" si="137"/>
        <v>L10_DPVE_065E_STOPE</v>
      </c>
      <c r="J2188" s="169" t="s">
        <v>10304</v>
      </c>
      <c r="K2188" s="169">
        <f>IFERROR(MATCH(J2188,'Final List'!$B$4:$B$252,0),0)</f>
        <v>0</v>
      </c>
      <c r="L2188" s="169">
        <f>IFERROR(MATCH(J2188,'Final List'!$D$4:$D$252,0),0)</f>
        <v>0</v>
      </c>
      <c r="M2188" s="169">
        <f>IFERROR(MATCH(J2188,'Final List'!$F$4:$F$251,0),0)</f>
        <v>0</v>
      </c>
      <c r="N2188" s="169">
        <f>IFERROR(MATCH(J2188,'Final List'!$H$4:$H$252,0),0)</f>
        <v>0</v>
      </c>
      <c r="O2188" s="169">
        <f>IFERROR(MATCH(J2188,'Final List'!$J$4:$J$252,0),0)</f>
        <v>0</v>
      </c>
      <c r="P2188" s="169">
        <f>IFERROR(MATCH(J2188,'Final List'!$L$4:$L$252,0),0)</f>
        <v>0</v>
      </c>
      <c r="Q2188" s="169">
        <f>IFERROR(MATCH(J2188,'Final List'!$N$4:$N$252,0),0)</f>
        <v>0</v>
      </c>
      <c r="R2188" s="169">
        <f>IFERROR(MATCH(J2188,'Final List'!$P$4:$P$252,0),0)</f>
        <v>0</v>
      </c>
      <c r="S2188" s="169">
        <f t="shared" si="140"/>
        <v>0</v>
      </c>
      <c r="T2188" s="169" t="s">
        <v>68</v>
      </c>
      <c r="V2188" s="169" t="str">
        <f t="shared" si="138"/>
        <v>OLIVEROS 5</v>
      </c>
      <c r="W2188" s="169" t="s">
        <v>2713</v>
      </c>
    </row>
    <row r="2189" spans="2:23" x14ac:dyDescent="0.25">
      <c r="B2189" s="169" t="s">
        <v>1167</v>
      </c>
      <c r="C2189" s="169" t="s">
        <v>56</v>
      </c>
      <c r="D2189" s="169" t="s">
        <v>167</v>
      </c>
      <c r="E2189" s="169" t="s">
        <v>60</v>
      </c>
      <c r="F2189" s="245" t="str">
        <f t="shared" si="139"/>
        <v>Dhoz 71</v>
      </c>
      <c r="G2189" s="169" t="s">
        <v>6930</v>
      </c>
      <c r="I2189" s="169" t="str">
        <f t="shared" si="137"/>
        <v>L12_GHVFW_058E_DE</v>
      </c>
      <c r="J2189" s="169" t="s">
        <v>10305</v>
      </c>
      <c r="K2189" s="169">
        <f>IFERROR(MATCH(J2189,'Final List'!$B$4:$B$252,0),0)</f>
        <v>0</v>
      </c>
      <c r="L2189" s="169">
        <f>IFERROR(MATCH(J2189,'Final List'!$D$4:$D$252,0),0)</f>
        <v>0</v>
      </c>
      <c r="M2189" s="169">
        <f>IFERROR(MATCH(J2189,'Final List'!$F$4:$F$251,0),0)</f>
        <v>0</v>
      </c>
      <c r="N2189" s="169">
        <f>IFERROR(MATCH(J2189,'Final List'!$H$4:$H$252,0),0)</f>
        <v>0</v>
      </c>
      <c r="O2189" s="169">
        <f>IFERROR(MATCH(J2189,'Final List'!$J$4:$J$252,0),0)</f>
        <v>0</v>
      </c>
      <c r="P2189" s="169">
        <f>IFERROR(MATCH(J2189,'Final List'!$L$4:$L$252,0),0)</f>
        <v>0</v>
      </c>
      <c r="Q2189" s="169">
        <f>IFERROR(MATCH(J2189,'Final List'!$N$4:$N$252,0),0)</f>
        <v>0</v>
      </c>
      <c r="R2189" s="169">
        <f>IFERROR(MATCH(J2189,'Final List'!$P$4:$P$252,0),0)</f>
        <v>0</v>
      </c>
      <c r="S2189" s="169">
        <f t="shared" si="140"/>
        <v>0</v>
      </c>
      <c r="V2189" s="169" t="str">
        <f t="shared" si="138"/>
        <v>DUHIG, P1</v>
      </c>
      <c r="W2189" s="169" t="s">
        <v>8896</v>
      </c>
    </row>
    <row r="2190" spans="2:23" x14ac:dyDescent="0.25">
      <c r="B2190" s="169" t="s">
        <v>96</v>
      </c>
      <c r="C2190" s="169" t="s">
        <v>38</v>
      </c>
      <c r="D2190" s="169" t="s">
        <v>111</v>
      </c>
      <c r="E2190" s="169" t="s">
        <v>20</v>
      </c>
      <c r="F2190" s="245" t="str">
        <f t="shared" si="139"/>
        <v>DVW 74</v>
      </c>
      <c r="G2190" s="169" t="s">
        <v>10307</v>
      </c>
      <c r="H2190" s="169" t="s">
        <v>336</v>
      </c>
      <c r="I2190" s="169" t="str">
        <f t="shared" si="137"/>
        <v>L09_GHV_004W_WINZE</v>
      </c>
      <c r="J2190" s="169" t="s">
        <v>2683</v>
      </c>
      <c r="K2190" s="169">
        <f>IFERROR(MATCH(J2190,'Final List'!$B$4:$B$252,0),0)</f>
        <v>0</v>
      </c>
      <c r="L2190" s="169">
        <f>IFERROR(MATCH(J2190,'Final List'!$D$4:$D$252,0),0)</f>
        <v>0</v>
      </c>
      <c r="M2190" s="169">
        <f>IFERROR(MATCH(J2190,'Final List'!$F$4:$F$251,0),0)</f>
        <v>0</v>
      </c>
      <c r="N2190" s="169">
        <f>IFERROR(MATCH(J2190,'Final List'!$H$4:$H$252,0),0)</f>
        <v>0</v>
      </c>
      <c r="O2190" s="169">
        <f>IFERROR(MATCH(J2190,'Final List'!$J$4:$J$252,0),0)</f>
        <v>0</v>
      </c>
      <c r="P2190" s="169">
        <f>IFERROR(MATCH(J2190,'Final List'!$L$4:$L$252,0),0)</f>
        <v>0</v>
      </c>
      <c r="Q2190" s="169">
        <f>IFERROR(MATCH(J2190,'Final List'!$N$4:$N$252,0),0)</f>
        <v>0</v>
      </c>
      <c r="R2190" s="169">
        <f>IFERROR(MATCH(J2190,'Final List'!$P$4:$P$252,0),0)</f>
        <v>0</v>
      </c>
      <c r="S2190" s="169">
        <f t="shared" si="140"/>
        <v>0</v>
      </c>
      <c r="V2190" s="169" t="str">
        <f t="shared" si="138"/>
        <v>BALANGHIG 1</v>
      </c>
      <c r="W2190" s="169" t="s">
        <v>2706</v>
      </c>
    </row>
    <row r="2191" spans="2:23" x14ac:dyDescent="0.25">
      <c r="B2191" s="169" t="s">
        <v>1166</v>
      </c>
      <c r="C2191" s="169" t="s">
        <v>43</v>
      </c>
      <c r="D2191" s="169" t="s">
        <v>165</v>
      </c>
      <c r="E2191" s="169" t="s">
        <v>36</v>
      </c>
      <c r="F2191" s="245" t="str">
        <f t="shared" si="139"/>
        <v>StpS 77</v>
      </c>
      <c r="G2191" s="169" t="s">
        <v>358</v>
      </c>
      <c r="I2191" s="169" t="str">
        <f t="shared" si="137"/>
        <v>L11_GHVSPLIT_056E_STOPE</v>
      </c>
      <c r="J2191" s="169" t="s">
        <v>10308</v>
      </c>
      <c r="K2191" s="169">
        <f>IFERROR(MATCH(J2191,'Final List'!$B$4:$B$252,0),0)</f>
        <v>0</v>
      </c>
      <c r="L2191" s="169">
        <f>IFERROR(MATCH(J2191,'Final List'!$D$4:$D$252,0),0)</f>
        <v>0</v>
      </c>
      <c r="M2191" s="169">
        <f>IFERROR(MATCH(J2191,'Final List'!$F$4:$F$251,0),0)</f>
        <v>0</v>
      </c>
      <c r="N2191" s="169">
        <f>IFERROR(MATCH(J2191,'Final List'!$H$4:$H$252,0),0)</f>
        <v>0</v>
      </c>
      <c r="O2191" s="169">
        <f>IFERROR(MATCH(J2191,'Final List'!$J$4:$J$252,0),0)</f>
        <v>0</v>
      </c>
      <c r="P2191" s="169">
        <f>IFERROR(MATCH(J2191,'Final List'!$L$4:$L$252,0),0)</f>
        <v>0</v>
      </c>
      <c r="Q2191" s="169">
        <f>IFERROR(MATCH(J2191,'Final List'!$N$4:$N$252,0),0)</f>
        <v>0</v>
      </c>
      <c r="R2191" s="169">
        <f>IFERROR(MATCH(J2191,'Final List'!$P$4:$P$252,0),0)</f>
        <v>0</v>
      </c>
      <c r="S2191" s="169">
        <f t="shared" si="140"/>
        <v>0</v>
      </c>
      <c r="T2191" s="169" t="s">
        <v>68</v>
      </c>
      <c r="V2191" s="169" t="str">
        <f t="shared" si="138"/>
        <v>ALEÑAR 1</v>
      </c>
      <c r="W2191" s="169" t="s">
        <v>2713</v>
      </c>
    </row>
    <row r="2192" spans="2:23" x14ac:dyDescent="0.25">
      <c r="B2192" s="169" t="s">
        <v>1166</v>
      </c>
      <c r="C2192" s="169" t="s">
        <v>45</v>
      </c>
      <c r="D2192" s="169" t="s">
        <v>161</v>
      </c>
      <c r="E2192" s="169" t="s">
        <v>36</v>
      </c>
      <c r="F2192" s="245" t="str">
        <f t="shared" si="139"/>
        <v>StpL 78</v>
      </c>
      <c r="G2192" s="169" t="s">
        <v>4155</v>
      </c>
      <c r="I2192" s="169" t="str">
        <f t="shared" si="137"/>
        <v>L11_DPVE_044E_STOPE</v>
      </c>
      <c r="J2192" s="169" t="s">
        <v>10309</v>
      </c>
      <c r="K2192" s="169">
        <f>IFERROR(MATCH(J2192,'Final List'!$B$4:$B$252,0),0)</f>
        <v>0</v>
      </c>
      <c r="L2192" s="169">
        <f>IFERROR(MATCH(J2192,'Final List'!$D$4:$D$252,0),0)</f>
        <v>161</v>
      </c>
      <c r="M2192" s="169">
        <f>IFERROR(MATCH(J2192,'Final List'!$F$4:$F$251,0),0)</f>
        <v>0</v>
      </c>
      <c r="N2192" s="169">
        <f>IFERROR(MATCH(J2192,'Final List'!$H$4:$H$252,0),0)</f>
        <v>0</v>
      </c>
      <c r="O2192" s="169">
        <f>IFERROR(MATCH(J2192,'Final List'!$J$4:$J$252,0),0)</f>
        <v>0</v>
      </c>
      <c r="P2192" s="169">
        <f>IFERROR(MATCH(J2192,'Final List'!$L$4:$L$252,0),0)</f>
        <v>0</v>
      </c>
      <c r="Q2192" s="169">
        <f>IFERROR(MATCH(J2192,'Final List'!$N$4:$N$252,0),0)</f>
        <v>0</v>
      </c>
      <c r="R2192" s="169">
        <f>IFERROR(MATCH(J2192,'Final List'!$P$4:$P$252,0),0)</f>
        <v>0</v>
      </c>
      <c r="S2192" s="169">
        <f t="shared" si="140"/>
        <v>161</v>
      </c>
      <c r="T2192" s="169" t="s">
        <v>48</v>
      </c>
      <c r="V2192" s="169" t="str">
        <f t="shared" si="138"/>
        <v>BAÑEZ</v>
      </c>
      <c r="W2192" s="169" t="s">
        <v>2711</v>
      </c>
    </row>
    <row r="2193" spans="2:23" x14ac:dyDescent="0.25">
      <c r="B2193" s="169" t="s">
        <v>1167</v>
      </c>
      <c r="C2193" s="169" t="s">
        <v>87</v>
      </c>
      <c r="D2193" s="169" t="s">
        <v>172</v>
      </c>
      <c r="E2193" s="169" t="s">
        <v>72</v>
      </c>
      <c r="F2193" s="245" t="str">
        <f t="shared" si="139"/>
        <v>Dhoz 71</v>
      </c>
      <c r="G2193" s="169" t="s">
        <v>6928</v>
      </c>
      <c r="I2193" s="169" t="str">
        <f t="shared" si="137"/>
        <v>L12_NONE_045E_CHAMBER</v>
      </c>
      <c r="J2193" s="169" t="s">
        <v>10316</v>
      </c>
      <c r="K2193" s="169">
        <f>IFERROR(MATCH(J2193,'Final List'!$B$4:$B$252,0),0)</f>
        <v>0</v>
      </c>
      <c r="L2193" s="169">
        <f>IFERROR(MATCH(J2193,'Final List'!$D$4:$D$252,0),0)</f>
        <v>0</v>
      </c>
      <c r="M2193" s="169">
        <f>IFERROR(MATCH(J2193,'Final List'!$F$4:$F$251,0),0)</f>
        <v>0</v>
      </c>
      <c r="N2193" s="169">
        <f>IFERROR(MATCH(J2193,'Final List'!$H$4:$H$252,0),0)</f>
        <v>0</v>
      </c>
      <c r="O2193" s="169">
        <f>IFERROR(MATCH(J2193,'Final List'!$J$4:$J$252,0),0)</f>
        <v>0</v>
      </c>
      <c r="P2193" s="169">
        <f>IFERROR(MATCH(J2193,'Final List'!$L$4:$L$252,0),0)</f>
        <v>0</v>
      </c>
      <c r="Q2193" s="169">
        <f>IFERROR(MATCH(J2193,'Final List'!$N$4:$N$252,0),0)</f>
        <v>0</v>
      </c>
      <c r="R2193" s="169">
        <f>IFERROR(MATCH(J2193,'Final List'!$P$4:$P$252,0),0)</f>
        <v>0</v>
      </c>
      <c r="S2193" s="169">
        <f t="shared" si="140"/>
        <v>0</v>
      </c>
      <c r="V2193" s="169" t="str">
        <f t="shared" si="138"/>
        <v>DUHIG, P5</v>
      </c>
      <c r="W2193" s="169" t="s">
        <v>2714</v>
      </c>
    </row>
    <row r="2194" spans="2:23" x14ac:dyDescent="0.25">
      <c r="B2194" s="169" t="s">
        <v>258</v>
      </c>
      <c r="C2194" s="169" t="s">
        <v>45</v>
      </c>
      <c r="D2194" s="169" t="s">
        <v>5975</v>
      </c>
      <c r="E2194" s="169" t="s">
        <v>60</v>
      </c>
      <c r="F2194" s="245" t="str">
        <f t="shared" si="139"/>
        <v>Dhoz 71</v>
      </c>
      <c r="G2194" s="169" t="s">
        <v>9475</v>
      </c>
      <c r="H2194" s="169" t="s">
        <v>511</v>
      </c>
      <c r="I2194" s="169" t="str">
        <f t="shared" si="137"/>
        <v>L10_DPVE_028E_DE</v>
      </c>
      <c r="J2194" s="169" t="s">
        <v>10319</v>
      </c>
      <c r="K2194" s="169">
        <f>IFERROR(MATCH(J2194,'Final List'!$B$4:$B$252,0),0)</f>
        <v>0</v>
      </c>
      <c r="L2194" s="169">
        <f>IFERROR(MATCH(J2194,'Final List'!$D$4:$D$252,0),0)</f>
        <v>0</v>
      </c>
      <c r="M2194" s="169">
        <f>IFERROR(MATCH(J2194,'Final List'!$F$4:$F$251,0),0)</f>
        <v>0</v>
      </c>
      <c r="N2194" s="169">
        <f>IFERROR(MATCH(J2194,'Final List'!$H$4:$H$252,0),0)</f>
        <v>0</v>
      </c>
      <c r="O2194" s="169">
        <f>IFERROR(MATCH(J2194,'Final List'!$J$4:$J$252,0),0)</f>
        <v>0</v>
      </c>
      <c r="P2194" s="169">
        <f>IFERROR(MATCH(J2194,'Final List'!$L$4:$L$252,0),0)</f>
        <v>0</v>
      </c>
      <c r="Q2194" s="169">
        <f>IFERROR(MATCH(J2194,'Final List'!$N$4:$N$252,0),0)</f>
        <v>0</v>
      </c>
      <c r="R2194" s="169">
        <f>IFERROR(MATCH(J2194,'Final List'!$P$4:$P$252,0),0)</f>
        <v>0</v>
      </c>
      <c r="S2194" s="169">
        <f t="shared" si="140"/>
        <v>0</v>
      </c>
      <c r="V2194" s="169" t="str">
        <f t="shared" si="138"/>
        <v>PMC MINERS 1</v>
      </c>
      <c r="W2194" s="169" t="s">
        <v>8896</v>
      </c>
    </row>
    <row r="2195" spans="2:23" x14ac:dyDescent="0.25">
      <c r="B2195" s="169" t="s">
        <v>92</v>
      </c>
      <c r="C2195" s="169" t="s">
        <v>45</v>
      </c>
      <c r="D2195" s="169" t="s">
        <v>121</v>
      </c>
      <c r="E2195" s="169" t="s">
        <v>61</v>
      </c>
      <c r="F2195" s="245" t="str">
        <f t="shared" si="139"/>
        <v>Dhoz 71</v>
      </c>
      <c r="G2195" s="169" t="s">
        <v>5773</v>
      </c>
      <c r="I2195" s="169" t="str">
        <f t="shared" si="137"/>
        <v>L05_DPVE_022E_DW</v>
      </c>
      <c r="J2195" s="169" t="s">
        <v>10320</v>
      </c>
      <c r="K2195" s="169">
        <f>IFERROR(MATCH(J2195,'Final List'!$B$4:$B$252,0),0)</f>
        <v>0</v>
      </c>
      <c r="L2195" s="169">
        <f>IFERROR(MATCH(J2195,'Final List'!$D$4:$D$252,0),0)</f>
        <v>0</v>
      </c>
      <c r="M2195" s="169">
        <f>IFERROR(MATCH(J2195,'Final List'!$F$4:$F$251,0),0)</f>
        <v>0</v>
      </c>
      <c r="N2195" s="169">
        <f>IFERROR(MATCH(J2195,'Final List'!$H$4:$H$252,0),0)</f>
        <v>0</v>
      </c>
      <c r="O2195" s="169">
        <f>IFERROR(MATCH(J2195,'Final List'!$J$4:$J$252,0),0)</f>
        <v>0</v>
      </c>
      <c r="P2195" s="169">
        <f>IFERROR(MATCH(J2195,'Final List'!$L$4:$L$252,0),0)</f>
        <v>0</v>
      </c>
      <c r="Q2195" s="169">
        <f>IFERROR(MATCH(J2195,'Final List'!$N$4:$N$252,0),0)</f>
        <v>0</v>
      </c>
      <c r="R2195" s="169">
        <f>IFERROR(MATCH(J2195,'Final List'!$P$4:$P$252,0),0)</f>
        <v>0</v>
      </c>
      <c r="S2195" s="169">
        <f t="shared" si="140"/>
        <v>0</v>
      </c>
      <c r="V2195" s="169" t="str">
        <f t="shared" si="138"/>
        <v>PARAN 3</v>
      </c>
      <c r="W2195" s="169" t="s">
        <v>8895</v>
      </c>
    </row>
    <row r="2196" spans="2:23" x14ac:dyDescent="0.25">
      <c r="B2196" s="169" t="s">
        <v>1166</v>
      </c>
      <c r="C2196" s="169" t="s">
        <v>55</v>
      </c>
      <c r="D2196" s="169" t="s">
        <v>5742</v>
      </c>
      <c r="E2196" s="169" t="s">
        <v>19</v>
      </c>
      <c r="F2196" s="245" t="str">
        <f t="shared" si="139"/>
        <v>DVR 72</v>
      </c>
      <c r="G2196" s="169" t="s">
        <v>5921</v>
      </c>
      <c r="I2196" s="169" t="str">
        <f t="shared" si="137"/>
        <v>L11_JVFW_040E_RAISE</v>
      </c>
      <c r="J2196" s="169" t="s">
        <v>10321</v>
      </c>
      <c r="K2196" s="169">
        <f>IFERROR(MATCH(J2196,'Final List'!$B$4:$B$252,0),0)</f>
        <v>0</v>
      </c>
      <c r="L2196" s="169">
        <f>IFERROR(MATCH(J2196,'Final List'!$D$4:$D$252,0),0)</f>
        <v>0</v>
      </c>
      <c r="M2196" s="169">
        <f>IFERROR(MATCH(J2196,'Final List'!$F$4:$F$251,0),0)</f>
        <v>0</v>
      </c>
      <c r="N2196" s="169">
        <f>IFERROR(MATCH(J2196,'Final List'!$H$4:$H$252,0),0)</f>
        <v>0</v>
      </c>
      <c r="O2196" s="169">
        <f>IFERROR(MATCH(J2196,'Final List'!$J$4:$J$252,0),0)</f>
        <v>0</v>
      </c>
      <c r="P2196" s="169">
        <f>IFERROR(MATCH(J2196,'Final List'!$L$4:$L$252,0),0)</f>
        <v>0</v>
      </c>
      <c r="Q2196" s="169">
        <f>IFERROR(MATCH(J2196,'Final List'!$N$4:$N$252,0),0)</f>
        <v>0</v>
      </c>
      <c r="R2196" s="169">
        <f>IFERROR(MATCH(J2196,'Final List'!$P$4:$P$252,0),0)</f>
        <v>0</v>
      </c>
      <c r="S2196" s="169">
        <f t="shared" si="140"/>
        <v>0</v>
      </c>
      <c r="V2196" s="169" t="str">
        <f t="shared" si="138"/>
        <v>TURRA 2</v>
      </c>
      <c r="W2196" s="169" t="s">
        <v>2715</v>
      </c>
    </row>
    <row r="2197" spans="2:23" x14ac:dyDescent="0.25">
      <c r="B2197" s="169" t="s">
        <v>1166</v>
      </c>
      <c r="C2197" s="169" t="s">
        <v>45</v>
      </c>
      <c r="D2197" s="169" t="s">
        <v>142</v>
      </c>
      <c r="E2197" s="169" t="s">
        <v>19</v>
      </c>
      <c r="F2197" s="245" t="str">
        <f t="shared" si="139"/>
        <v>DVR 72</v>
      </c>
      <c r="G2197" s="169" t="s">
        <v>340</v>
      </c>
      <c r="I2197" s="169" t="str">
        <f t="shared" si="137"/>
        <v>L11_DPVE_038E_RAISE</v>
      </c>
      <c r="J2197" s="169" t="s">
        <v>10322</v>
      </c>
      <c r="K2197" s="169">
        <f>IFERROR(MATCH(J2197,'Final List'!$B$4:$B$252,0),0)</f>
        <v>0</v>
      </c>
      <c r="L2197" s="169">
        <f>IFERROR(MATCH(J2197,'Final List'!$D$4:$D$252,0),0)</f>
        <v>0</v>
      </c>
      <c r="M2197" s="169">
        <f>IFERROR(MATCH(J2197,'Final List'!$F$4:$F$251,0),0)</f>
        <v>0</v>
      </c>
      <c r="N2197" s="169">
        <f>IFERROR(MATCH(J2197,'Final List'!$H$4:$H$252,0),0)</f>
        <v>0</v>
      </c>
      <c r="O2197" s="169">
        <f>IFERROR(MATCH(J2197,'Final List'!$J$4:$J$252,0),0)</f>
        <v>0</v>
      </c>
      <c r="P2197" s="169">
        <f>IFERROR(MATCH(J2197,'Final List'!$L$4:$L$252,0),0)</f>
        <v>0</v>
      </c>
      <c r="Q2197" s="169">
        <f>IFERROR(MATCH(J2197,'Final List'!$N$4:$N$252,0),0)</f>
        <v>0</v>
      </c>
      <c r="R2197" s="169">
        <f>IFERROR(MATCH(J2197,'Final List'!$P$4:$P$252,0),0)</f>
        <v>0</v>
      </c>
      <c r="S2197" s="169">
        <f t="shared" si="140"/>
        <v>0</v>
      </c>
      <c r="V2197" s="169" t="str">
        <f t="shared" si="138"/>
        <v>COMAINGKING</v>
      </c>
      <c r="W2197" s="169" t="s">
        <v>2715</v>
      </c>
    </row>
    <row r="2198" spans="2:23" x14ac:dyDescent="0.25">
      <c r="B2198" s="169" t="s">
        <v>94</v>
      </c>
      <c r="C2198" s="169" t="s">
        <v>57</v>
      </c>
      <c r="D2198" s="169" t="s">
        <v>115</v>
      </c>
      <c r="E2198" s="169" t="s">
        <v>62</v>
      </c>
      <c r="F2198" s="245" t="str">
        <f t="shared" si="139"/>
        <v>RobS 79</v>
      </c>
      <c r="G2198" s="169" t="s">
        <v>344</v>
      </c>
      <c r="I2198" s="169" t="str">
        <f t="shared" si="137"/>
        <v>L07_JVSPLIT_019W_ROBBING</v>
      </c>
      <c r="J2198" s="169" t="s">
        <v>10323</v>
      </c>
      <c r="K2198" s="169">
        <f>IFERROR(MATCH(J2198,'Final List'!$B$4:$B$252,0),0)</f>
        <v>0</v>
      </c>
      <c r="L2198" s="169">
        <f>IFERROR(MATCH(J2198,'Final List'!$D$4:$D$252,0),0)</f>
        <v>0</v>
      </c>
      <c r="M2198" s="169">
        <f>IFERROR(MATCH(J2198,'Final List'!$F$4:$F$251,0),0)</f>
        <v>0</v>
      </c>
      <c r="N2198" s="169">
        <f>IFERROR(MATCH(J2198,'Final List'!$H$4:$H$252,0),0)</f>
        <v>0</v>
      </c>
      <c r="O2198" s="169">
        <f>IFERROR(MATCH(J2198,'Final List'!$J$4:$J$252,0),0)</f>
        <v>0</v>
      </c>
      <c r="P2198" s="169">
        <f>IFERROR(MATCH(J2198,'Final List'!$L$4:$L$252,0),0)</f>
        <v>0</v>
      </c>
      <c r="Q2198" s="169">
        <f>IFERROR(MATCH(J2198,'Final List'!$N$4:$N$252,0),0)</f>
        <v>0</v>
      </c>
      <c r="R2198" s="169">
        <f>IFERROR(MATCH(J2198,'Final List'!$P$4:$P$252,0),0)</f>
        <v>0</v>
      </c>
      <c r="S2198" s="169">
        <f t="shared" si="140"/>
        <v>0</v>
      </c>
      <c r="T2198" s="169" t="s">
        <v>68</v>
      </c>
      <c r="V2198" s="169" t="str">
        <f t="shared" si="138"/>
        <v>UDLOS 1</v>
      </c>
      <c r="W2198" s="169" t="s">
        <v>2707</v>
      </c>
    </row>
    <row r="2199" spans="2:23" x14ac:dyDescent="0.25">
      <c r="B2199" s="169" t="s">
        <v>258</v>
      </c>
      <c r="C2199" s="169" t="s">
        <v>42</v>
      </c>
      <c r="D2199" s="169" t="s">
        <v>161</v>
      </c>
      <c r="E2199" s="169" t="s">
        <v>19</v>
      </c>
      <c r="F2199" s="245" t="str">
        <f t="shared" si="139"/>
        <v>DVR 72</v>
      </c>
      <c r="G2199" s="169" t="s">
        <v>303</v>
      </c>
      <c r="I2199" s="169" t="str">
        <f t="shared" si="137"/>
        <v>L10_JV_044E_RAISE</v>
      </c>
      <c r="J2199" s="169" t="s">
        <v>10324</v>
      </c>
      <c r="K2199" s="169">
        <f>IFERROR(MATCH(J2199,'Final List'!$B$4:$B$252,0),0)</f>
        <v>0</v>
      </c>
      <c r="L2199" s="169">
        <f>IFERROR(MATCH(J2199,'Final List'!$D$4:$D$252,0),0)</f>
        <v>0</v>
      </c>
      <c r="M2199" s="169">
        <f>IFERROR(MATCH(J2199,'Final List'!$F$4:$F$251,0),0)</f>
        <v>0</v>
      </c>
      <c r="N2199" s="169">
        <f>IFERROR(MATCH(J2199,'Final List'!$H$4:$H$252,0),0)</f>
        <v>0</v>
      </c>
      <c r="O2199" s="169">
        <f>IFERROR(MATCH(J2199,'Final List'!$J$4:$J$252,0),0)</f>
        <v>0</v>
      </c>
      <c r="P2199" s="169">
        <f>IFERROR(MATCH(J2199,'Final List'!$L$4:$L$252,0),0)</f>
        <v>0</v>
      </c>
      <c r="Q2199" s="169">
        <f>IFERROR(MATCH(J2199,'Final List'!$N$4:$N$252,0),0)</f>
        <v>0</v>
      </c>
      <c r="R2199" s="169">
        <f>IFERROR(MATCH(J2199,'Final List'!$P$4:$P$252,0),0)</f>
        <v>0</v>
      </c>
      <c r="S2199" s="169">
        <f t="shared" si="140"/>
        <v>0</v>
      </c>
      <c r="V2199" s="169" t="str">
        <f t="shared" si="138"/>
        <v>BELICAN 1</v>
      </c>
      <c r="W2199" s="169" t="s">
        <v>2715</v>
      </c>
    </row>
    <row r="2200" spans="2:23" x14ac:dyDescent="0.25">
      <c r="B2200" s="169" t="s">
        <v>258</v>
      </c>
      <c r="C2200" s="169" t="s">
        <v>59</v>
      </c>
      <c r="D2200" s="169" t="s">
        <v>5614</v>
      </c>
      <c r="E2200" s="169" t="s">
        <v>19</v>
      </c>
      <c r="F2200" s="245" t="str">
        <f t="shared" si="139"/>
        <v>DVR 72</v>
      </c>
      <c r="G2200" s="169" t="s">
        <v>7513</v>
      </c>
      <c r="I2200" s="169" t="str">
        <f t="shared" si="137"/>
        <v>L10_GHVHW_055E_RAISE</v>
      </c>
      <c r="J2200" s="169" t="s">
        <v>4924</v>
      </c>
      <c r="K2200" s="169">
        <f>IFERROR(MATCH(J2200,'Final List'!$B$4:$B$252,0),0)</f>
        <v>0</v>
      </c>
      <c r="L2200" s="169">
        <f>IFERROR(MATCH(J2200,'Final List'!$D$4:$D$252,0),0)</f>
        <v>0</v>
      </c>
      <c r="M2200" s="169">
        <f>IFERROR(MATCH(J2200,'Final List'!$F$4:$F$251,0),0)</f>
        <v>0</v>
      </c>
      <c r="N2200" s="169">
        <f>IFERROR(MATCH(J2200,'Final List'!$H$4:$H$252,0),0)</f>
        <v>0</v>
      </c>
      <c r="O2200" s="169">
        <f>IFERROR(MATCH(J2200,'Final List'!$J$4:$J$252,0),0)</f>
        <v>0</v>
      </c>
      <c r="P2200" s="169">
        <f>IFERROR(MATCH(J2200,'Final List'!$L$4:$L$252,0),0)</f>
        <v>0</v>
      </c>
      <c r="Q2200" s="169">
        <f>IFERROR(MATCH(J2200,'Final List'!$N$4:$N$252,0),0)</f>
        <v>0</v>
      </c>
      <c r="R2200" s="169">
        <f>IFERROR(MATCH(J2200,'Final List'!$P$4:$P$252,0),0)</f>
        <v>0</v>
      </c>
      <c r="S2200" s="169">
        <f t="shared" si="140"/>
        <v>0</v>
      </c>
      <c r="V2200" s="169" t="str">
        <f t="shared" si="138"/>
        <v>DUHIG R1</v>
      </c>
      <c r="W2200" s="169" t="s">
        <v>2715</v>
      </c>
    </row>
    <row r="2201" spans="2:23" x14ac:dyDescent="0.25">
      <c r="B2201" s="169" t="s">
        <v>96</v>
      </c>
      <c r="C2201" s="169" t="s">
        <v>45</v>
      </c>
      <c r="D2201" s="169" t="s">
        <v>167</v>
      </c>
      <c r="E2201" s="169" t="s">
        <v>6154</v>
      </c>
      <c r="F2201" s="245" t="str">
        <f t="shared" si="139"/>
        <v>Dhoz 71</v>
      </c>
      <c r="G2201" s="169" t="s">
        <v>10738</v>
      </c>
      <c r="I2201" s="169" t="str">
        <f t="shared" si="137"/>
        <v>L09_DPVE_058E_DW_ISL</v>
      </c>
      <c r="J2201" s="169" t="s">
        <v>10325</v>
      </c>
      <c r="K2201" s="169">
        <f>IFERROR(MATCH(J2201,'Final List'!$B$4:$B$252,0),0)</f>
        <v>0</v>
      </c>
      <c r="L2201" s="169">
        <f>IFERROR(MATCH(J2201,'Final List'!$D$4:$D$252,0),0)</f>
        <v>0</v>
      </c>
      <c r="M2201" s="169">
        <f>IFERROR(MATCH(J2201,'Final List'!$F$4:$F$251,0),0)</f>
        <v>0</v>
      </c>
      <c r="N2201" s="169">
        <f>IFERROR(MATCH(J2201,'Final List'!$H$4:$H$252,0),0)</f>
        <v>0</v>
      </c>
      <c r="O2201" s="169">
        <f>IFERROR(MATCH(J2201,'Final List'!$J$4:$J$252,0),0)</f>
        <v>0</v>
      </c>
      <c r="P2201" s="169">
        <f>IFERROR(MATCH(J2201,'Final List'!$L$4:$L$252,0),0)</f>
        <v>0</v>
      </c>
      <c r="Q2201" s="169">
        <f>IFERROR(MATCH(J2201,'Final List'!$N$4:$N$252,0),0)</f>
        <v>0</v>
      </c>
      <c r="R2201" s="169">
        <f>IFERROR(MATCH(J2201,'Final List'!$P$4:$P$252,0),0)</f>
        <v>0</v>
      </c>
      <c r="S2201" s="169">
        <f t="shared" si="140"/>
        <v>0</v>
      </c>
      <c r="V2201" s="169" t="str">
        <f t="shared" si="138"/>
        <v>SHEPHERD BE</v>
      </c>
      <c r="W2201" s="169" t="s">
        <v>2708</v>
      </c>
    </row>
    <row r="2202" spans="2:23" x14ac:dyDescent="0.25">
      <c r="B2202" s="169" t="s">
        <v>94</v>
      </c>
      <c r="C2202" s="169" t="s">
        <v>45</v>
      </c>
      <c r="D2202" s="169" t="s">
        <v>144</v>
      </c>
      <c r="E2202" s="169" t="s">
        <v>62</v>
      </c>
      <c r="F2202" s="245" t="str">
        <f t="shared" si="139"/>
        <v>RobS 79</v>
      </c>
      <c r="G2202" s="169" t="s">
        <v>577</v>
      </c>
      <c r="I2202" s="169" t="str">
        <f t="shared" si="137"/>
        <v>L07_DPVE_043E_ROBBING</v>
      </c>
      <c r="J2202" s="169" t="s">
        <v>10326</v>
      </c>
      <c r="K2202" s="169">
        <f>IFERROR(MATCH(J2202,'Final List'!$B$4:$B$252,0),0)</f>
        <v>0</v>
      </c>
      <c r="L2202" s="169">
        <f>IFERROR(MATCH(J2202,'Final List'!$D$4:$D$252,0),0)</f>
        <v>0</v>
      </c>
      <c r="M2202" s="169">
        <f>IFERROR(MATCH(J2202,'Final List'!$F$4:$F$251,0),0)</f>
        <v>0</v>
      </c>
      <c r="N2202" s="169">
        <f>IFERROR(MATCH(J2202,'Final List'!$H$4:$H$252,0),0)</f>
        <v>0</v>
      </c>
      <c r="O2202" s="169">
        <f>IFERROR(MATCH(J2202,'Final List'!$J$4:$J$252,0),0)</f>
        <v>0</v>
      </c>
      <c r="P2202" s="169">
        <f>IFERROR(MATCH(J2202,'Final List'!$L$4:$L$252,0),0)</f>
        <v>0</v>
      </c>
      <c r="Q2202" s="169">
        <f>IFERROR(MATCH(J2202,'Final List'!$N$4:$N$252,0),0)</f>
        <v>0</v>
      </c>
      <c r="R2202" s="169">
        <f>IFERROR(MATCH(J2202,'Final List'!$P$4:$P$252,0),0)</f>
        <v>0</v>
      </c>
      <c r="S2202" s="169">
        <f t="shared" si="140"/>
        <v>0</v>
      </c>
      <c r="T2202" s="169" t="s">
        <v>68</v>
      </c>
      <c r="V2202" s="169" t="str">
        <f t="shared" si="138"/>
        <v>CARIKITAN 1</v>
      </c>
      <c r="W2202" s="169" t="s">
        <v>2707</v>
      </c>
    </row>
    <row r="2203" spans="2:23" x14ac:dyDescent="0.25">
      <c r="B2203" s="169" t="s">
        <v>1166</v>
      </c>
      <c r="C2203" s="169" t="s">
        <v>56</v>
      </c>
      <c r="D2203" s="169" t="s">
        <v>205</v>
      </c>
      <c r="E2203" s="169" t="s">
        <v>60</v>
      </c>
      <c r="F2203" s="245" t="str">
        <f t="shared" si="139"/>
        <v>Dhoz 71</v>
      </c>
      <c r="G2203" s="169" t="s">
        <v>474</v>
      </c>
      <c r="I2203" s="169" t="str">
        <f t="shared" si="137"/>
        <v>L11_GHVFW_066E_DE</v>
      </c>
      <c r="J2203" s="169" t="s">
        <v>8178</v>
      </c>
      <c r="K2203" s="169">
        <f>IFERROR(MATCH(J2203,'Final List'!$B$4:$B$252,0),0)</f>
        <v>0</v>
      </c>
      <c r="L2203" s="169">
        <f>IFERROR(MATCH(J2203,'Final List'!$D$4:$D$252,0),0)</f>
        <v>0</v>
      </c>
      <c r="M2203" s="169">
        <f>IFERROR(MATCH(J2203,'Final List'!$F$4:$F$251,0),0)</f>
        <v>0</v>
      </c>
      <c r="N2203" s="169">
        <f>IFERROR(MATCH(J2203,'Final List'!$H$4:$H$252,0),0)</f>
        <v>0</v>
      </c>
      <c r="O2203" s="169">
        <f>IFERROR(MATCH(J2203,'Final List'!$J$4:$J$252,0),0)</f>
        <v>0</v>
      </c>
      <c r="P2203" s="169">
        <f>IFERROR(MATCH(J2203,'Final List'!$L$4:$L$252,0),0)</f>
        <v>0</v>
      </c>
      <c r="Q2203" s="169">
        <f>IFERROR(MATCH(J2203,'Final List'!$N$4:$N$252,0),0)</f>
        <v>0</v>
      </c>
      <c r="R2203" s="169">
        <f>IFERROR(MATCH(J2203,'Final List'!$P$4:$P$252,0),0)</f>
        <v>0</v>
      </c>
      <c r="S2203" s="169">
        <f t="shared" si="140"/>
        <v>0</v>
      </c>
      <c r="V2203" s="169" t="str">
        <f t="shared" si="138"/>
        <v>TORMIS 1</v>
      </c>
      <c r="W2203" s="169" t="s">
        <v>8896</v>
      </c>
    </row>
    <row r="2204" spans="2:23" x14ac:dyDescent="0.25">
      <c r="B2204" s="169" t="s">
        <v>1166</v>
      </c>
      <c r="C2204" s="169" t="s">
        <v>45</v>
      </c>
      <c r="D2204" s="169" t="s">
        <v>176</v>
      </c>
      <c r="E2204" s="169" t="s">
        <v>61</v>
      </c>
      <c r="F2204" s="245" t="str">
        <f t="shared" si="139"/>
        <v>Dhoz 71</v>
      </c>
      <c r="G2204" s="169" t="s">
        <v>597</v>
      </c>
      <c r="I2204" s="169" t="str">
        <f t="shared" si="137"/>
        <v>L11_DPVE_057E_DW</v>
      </c>
      <c r="J2204" s="169" t="s">
        <v>10332</v>
      </c>
      <c r="K2204" s="169">
        <f>IFERROR(MATCH(J2204,'Final List'!$B$4:$B$252,0),0)</f>
        <v>0</v>
      </c>
      <c r="L2204" s="169">
        <f>IFERROR(MATCH(J2204,'Final List'!$D$4:$D$252,0),0)</f>
        <v>0</v>
      </c>
      <c r="M2204" s="169">
        <f>IFERROR(MATCH(J2204,'Final List'!$F$4:$F$251,0),0)</f>
        <v>0</v>
      </c>
      <c r="N2204" s="169">
        <f>IFERROR(MATCH(J2204,'Final List'!$H$4:$H$252,0),0)</f>
        <v>0</v>
      </c>
      <c r="O2204" s="169">
        <f>IFERROR(MATCH(J2204,'Final List'!$J$4:$J$252,0),0)</f>
        <v>0</v>
      </c>
      <c r="P2204" s="169">
        <f>IFERROR(MATCH(J2204,'Final List'!$L$4:$L$252,0),0)</f>
        <v>0</v>
      </c>
      <c r="Q2204" s="169">
        <f>IFERROR(MATCH(J2204,'Final List'!$N$4:$N$252,0),0)</f>
        <v>0</v>
      </c>
      <c r="R2204" s="169">
        <f>IFERROR(MATCH(J2204,'Final List'!$P$4:$P$252,0),0)</f>
        <v>0</v>
      </c>
      <c r="S2204" s="169">
        <f t="shared" si="140"/>
        <v>0</v>
      </c>
      <c r="V2204" s="169" t="str">
        <f t="shared" si="138"/>
        <v>PANCIT, NOEL 6</v>
      </c>
      <c r="W2204" s="169" t="s">
        <v>8896</v>
      </c>
    </row>
    <row r="2205" spans="2:23" x14ac:dyDescent="0.25">
      <c r="B2205" s="169" t="s">
        <v>1166</v>
      </c>
      <c r="C2205" s="169" t="s">
        <v>87</v>
      </c>
      <c r="D2205" s="169" t="s">
        <v>173</v>
      </c>
      <c r="E2205" s="169" t="s">
        <v>72</v>
      </c>
      <c r="F2205" s="245" t="str">
        <f t="shared" si="139"/>
        <v>Dhoz 71</v>
      </c>
      <c r="G2205" s="169" t="s">
        <v>1455</v>
      </c>
      <c r="I2205" s="169" t="str">
        <f t="shared" si="137"/>
        <v>L11_NONE_049E_CHAMBER</v>
      </c>
      <c r="J2205" s="169" t="s">
        <v>10336</v>
      </c>
      <c r="K2205" s="169">
        <f>IFERROR(MATCH(J2205,'Final List'!$B$4:$B$252,0),0)</f>
        <v>0</v>
      </c>
      <c r="L2205" s="169">
        <f>IFERROR(MATCH(J2205,'Final List'!$D$4:$D$252,0),0)</f>
        <v>0</v>
      </c>
      <c r="M2205" s="169">
        <f>IFERROR(MATCH(J2205,'Final List'!$F$4:$F$251,0),0)</f>
        <v>0</v>
      </c>
      <c r="N2205" s="169">
        <f>IFERROR(MATCH(J2205,'Final List'!$H$4:$H$252,0),0)</f>
        <v>0</v>
      </c>
      <c r="O2205" s="169">
        <f>IFERROR(MATCH(J2205,'Final List'!$J$4:$J$252,0),0)</f>
        <v>0</v>
      </c>
      <c r="P2205" s="169">
        <f>IFERROR(MATCH(J2205,'Final List'!$L$4:$L$252,0),0)</f>
        <v>0</v>
      </c>
      <c r="Q2205" s="169">
        <f>IFERROR(MATCH(J2205,'Final List'!$N$4:$N$252,0),0)</f>
        <v>0</v>
      </c>
      <c r="R2205" s="169">
        <f>IFERROR(MATCH(J2205,'Final List'!$P$4:$P$252,0),0)</f>
        <v>0</v>
      </c>
      <c r="S2205" s="169">
        <f t="shared" si="140"/>
        <v>0</v>
      </c>
      <c r="V2205" s="169" t="str">
        <f t="shared" si="138"/>
        <v>SILVOZA</v>
      </c>
      <c r="W2205" s="169" t="s">
        <v>2714</v>
      </c>
    </row>
    <row r="2206" spans="2:23" x14ac:dyDescent="0.25">
      <c r="B2206" s="169" t="s">
        <v>1166</v>
      </c>
      <c r="C2206" s="169" t="s">
        <v>45</v>
      </c>
      <c r="D2206" s="169" t="s">
        <v>5723</v>
      </c>
      <c r="E2206" s="169" t="s">
        <v>19</v>
      </c>
      <c r="F2206" s="245" t="str">
        <f t="shared" si="139"/>
        <v>DVR 72</v>
      </c>
      <c r="G2206" s="169" t="s">
        <v>464</v>
      </c>
      <c r="I2206" s="169" t="str">
        <f t="shared" si="137"/>
        <v>L11_DPVE_046E_RAISE</v>
      </c>
      <c r="J2206" s="169" t="s">
        <v>10339</v>
      </c>
      <c r="K2206" s="169">
        <f>IFERROR(MATCH(J2206,'Final List'!$B$4:$B$252,0),0)</f>
        <v>0</v>
      </c>
      <c r="L2206" s="169">
        <f>IFERROR(MATCH(J2206,'Final List'!$D$4:$D$252,0),0)</f>
        <v>0</v>
      </c>
      <c r="M2206" s="169">
        <f>IFERROR(MATCH(J2206,'Final List'!$F$4:$F$251,0),0)</f>
        <v>0</v>
      </c>
      <c r="N2206" s="169">
        <f>IFERROR(MATCH(J2206,'Final List'!$H$4:$H$252,0),0)</f>
        <v>0</v>
      </c>
      <c r="O2206" s="169">
        <f>IFERROR(MATCH(J2206,'Final List'!$J$4:$J$252,0),0)</f>
        <v>0</v>
      </c>
      <c r="P2206" s="169">
        <f>IFERROR(MATCH(J2206,'Final List'!$L$4:$L$252,0),0)</f>
        <v>0</v>
      </c>
      <c r="Q2206" s="169">
        <f>IFERROR(MATCH(J2206,'Final List'!$N$4:$N$252,0),0)</f>
        <v>0</v>
      </c>
      <c r="R2206" s="169">
        <f>IFERROR(MATCH(J2206,'Final List'!$P$4:$P$252,0),0)</f>
        <v>0</v>
      </c>
      <c r="S2206" s="169">
        <f t="shared" si="140"/>
        <v>0</v>
      </c>
      <c r="V2206" s="169" t="str">
        <f t="shared" si="138"/>
        <v>COMAINGKING 3</v>
      </c>
      <c r="W2206" s="169" t="s">
        <v>2715</v>
      </c>
    </row>
    <row r="2207" spans="2:23" x14ac:dyDescent="0.25">
      <c r="B2207" s="169" t="s">
        <v>93</v>
      </c>
      <c r="C2207" s="169" t="s">
        <v>38</v>
      </c>
      <c r="D2207" s="169" t="s">
        <v>103</v>
      </c>
      <c r="E2207" s="169" t="s">
        <v>62</v>
      </c>
      <c r="F2207" s="245" t="str">
        <f t="shared" si="139"/>
        <v>RobS 79</v>
      </c>
      <c r="G2207" s="169" t="s">
        <v>350</v>
      </c>
      <c r="I2207" s="169" t="str">
        <f t="shared" si="137"/>
        <v>L06_GHV_005E_ROBBING</v>
      </c>
      <c r="J2207" s="169" t="s">
        <v>10340</v>
      </c>
      <c r="K2207" s="169">
        <f>IFERROR(MATCH(J2207,'Final List'!$B$4:$B$252,0),0)</f>
        <v>0</v>
      </c>
      <c r="L2207" s="169">
        <f>IFERROR(MATCH(J2207,'Final List'!$D$4:$D$252,0),0)</f>
        <v>0</v>
      </c>
      <c r="M2207" s="169">
        <f>IFERROR(MATCH(J2207,'Final List'!$F$4:$F$251,0),0)</f>
        <v>0</v>
      </c>
      <c r="N2207" s="169">
        <f>IFERROR(MATCH(J2207,'Final List'!$H$4:$H$252,0),0)</f>
        <v>0</v>
      </c>
      <c r="O2207" s="169">
        <f>IFERROR(MATCH(J2207,'Final List'!$J$4:$J$252,0),0)</f>
        <v>0</v>
      </c>
      <c r="P2207" s="169">
        <f>IFERROR(MATCH(J2207,'Final List'!$L$4:$L$252,0),0)</f>
        <v>0</v>
      </c>
      <c r="Q2207" s="169">
        <f>IFERROR(MATCH(J2207,'Final List'!$N$4:$N$252,0),0)</f>
        <v>0</v>
      </c>
      <c r="R2207" s="169">
        <f>IFERROR(MATCH(J2207,'Final List'!$P$4:$P$252,0),0)</f>
        <v>0</v>
      </c>
      <c r="S2207" s="169">
        <f t="shared" si="140"/>
        <v>0</v>
      </c>
      <c r="T2207" s="169" t="s">
        <v>68</v>
      </c>
      <c r="V2207" s="169" t="str">
        <f t="shared" si="138"/>
        <v>QUIJANO 1</v>
      </c>
      <c r="W2207" s="169" t="s">
        <v>2707</v>
      </c>
    </row>
    <row r="2208" spans="2:23" x14ac:dyDescent="0.25">
      <c r="B2208" s="169" t="s">
        <v>96</v>
      </c>
      <c r="C2208" s="169" t="s">
        <v>55</v>
      </c>
      <c r="D2208" s="169" t="s">
        <v>164</v>
      </c>
      <c r="E2208" s="169" t="s">
        <v>20</v>
      </c>
      <c r="F2208" s="245" t="str">
        <f t="shared" si="139"/>
        <v>DVW 74</v>
      </c>
      <c r="G2208" s="169" t="s">
        <v>379</v>
      </c>
      <c r="I2208" s="169" t="str">
        <f t="shared" si="137"/>
        <v>L09_JVFW_064E_WINZE</v>
      </c>
      <c r="J2208" s="169" t="s">
        <v>10342</v>
      </c>
      <c r="K2208" s="169">
        <f>IFERROR(MATCH(J2208,'Final List'!$B$4:$B$252,0),0)</f>
        <v>0</v>
      </c>
      <c r="L2208" s="169">
        <f>IFERROR(MATCH(J2208,'Final List'!$D$4:$D$252,0),0)</f>
        <v>0</v>
      </c>
      <c r="M2208" s="169">
        <f>IFERROR(MATCH(J2208,'Final List'!$F$4:$F$251,0),0)</f>
        <v>0</v>
      </c>
      <c r="N2208" s="169">
        <f>IFERROR(MATCH(J2208,'Final List'!$H$4:$H$252,0),0)</f>
        <v>0</v>
      </c>
      <c r="O2208" s="169">
        <f>IFERROR(MATCH(J2208,'Final List'!$J$4:$J$252,0),0)</f>
        <v>0</v>
      </c>
      <c r="P2208" s="169">
        <f>IFERROR(MATCH(J2208,'Final List'!$L$4:$L$252,0),0)</f>
        <v>0</v>
      </c>
      <c r="Q2208" s="169">
        <f>IFERROR(MATCH(J2208,'Final List'!$N$4:$N$252,0),0)</f>
        <v>0</v>
      </c>
      <c r="R2208" s="169">
        <f>IFERROR(MATCH(J2208,'Final List'!$P$4:$P$252,0),0)</f>
        <v>0</v>
      </c>
      <c r="S2208" s="169">
        <f t="shared" si="140"/>
        <v>0</v>
      </c>
      <c r="V2208" s="169" t="str">
        <f t="shared" si="138"/>
        <v>GUNAY 3</v>
      </c>
      <c r="W2208" s="169" t="s">
        <v>2706</v>
      </c>
    </row>
    <row r="2209" spans="2:23" x14ac:dyDescent="0.25">
      <c r="B2209" s="169" t="s">
        <v>1166</v>
      </c>
      <c r="C2209" s="169" t="s">
        <v>56</v>
      </c>
      <c r="D2209" s="169" t="s">
        <v>284</v>
      </c>
      <c r="E2209" s="169" t="s">
        <v>19</v>
      </c>
      <c r="F2209" s="245" t="str">
        <f t="shared" si="139"/>
        <v>DVR 72</v>
      </c>
      <c r="G2209" s="169" t="s">
        <v>452</v>
      </c>
      <c r="H2209" s="169" t="s">
        <v>551</v>
      </c>
      <c r="I2209" s="169" t="str">
        <f t="shared" si="137"/>
        <v>L11_GHVFW_061E_RAISE</v>
      </c>
      <c r="J2209" s="169" t="s">
        <v>10744</v>
      </c>
      <c r="K2209" s="169">
        <f>IFERROR(MATCH(J2209,'Final List'!$B$4:$B$252,0),0)</f>
        <v>0</v>
      </c>
      <c r="L2209" s="169">
        <f>IFERROR(MATCH(J2209,'Final List'!$D$4:$D$252,0),0)</f>
        <v>0</v>
      </c>
      <c r="M2209" s="169">
        <f>IFERROR(MATCH(J2209,'Final List'!$F$4:$F$251,0),0)</f>
        <v>0</v>
      </c>
      <c r="N2209" s="169">
        <f>IFERROR(MATCH(J2209,'Final List'!$H$4:$H$252,0),0)</f>
        <v>0</v>
      </c>
      <c r="O2209" s="169">
        <f>IFERROR(MATCH(J2209,'Final List'!$J$4:$J$252,0),0)</f>
        <v>0</v>
      </c>
      <c r="P2209" s="169">
        <f>IFERROR(MATCH(J2209,'Final List'!$L$4:$L$252,0),0)</f>
        <v>0</v>
      </c>
      <c r="Q2209" s="169">
        <f>IFERROR(MATCH(J2209,'Final List'!$N$4:$N$252,0),0)</f>
        <v>0</v>
      </c>
      <c r="R2209" s="169">
        <f>IFERROR(MATCH(J2209,'Final List'!$P$4:$P$252,0),0)</f>
        <v>0</v>
      </c>
      <c r="S2209" s="169">
        <f t="shared" si="140"/>
        <v>0</v>
      </c>
      <c r="V2209" s="169" t="str">
        <f t="shared" si="138"/>
        <v>PANCIT, NOEL 3</v>
      </c>
      <c r="W2209" s="169" t="s">
        <v>2715</v>
      </c>
    </row>
    <row r="2210" spans="2:23" x14ac:dyDescent="0.25">
      <c r="B2210" s="169" t="s">
        <v>258</v>
      </c>
      <c r="C2210" s="169" t="s">
        <v>39</v>
      </c>
      <c r="D2210" s="169" t="s">
        <v>289</v>
      </c>
      <c r="E2210" s="169" t="s">
        <v>36</v>
      </c>
      <c r="F2210" s="245" t="str">
        <f t="shared" si="139"/>
        <v>StpS 77</v>
      </c>
      <c r="G2210" s="169" t="s">
        <v>6851</v>
      </c>
      <c r="I2210" s="169" t="str">
        <f t="shared" si="137"/>
        <v>L10_JVHW_059E_STOPE</v>
      </c>
      <c r="J2210" s="169" t="s">
        <v>10450</v>
      </c>
      <c r="K2210" s="169">
        <f>IFERROR(MATCH(J2210,'Final List'!$B$4:$B$252,0),0)</f>
        <v>0</v>
      </c>
      <c r="L2210" s="169">
        <f>IFERROR(MATCH(J2210,'Final List'!$D$4:$D$252,0),0)</f>
        <v>0</v>
      </c>
      <c r="M2210" s="169">
        <f>IFERROR(MATCH(J2210,'Final List'!$F$4:$F$251,0),0)</f>
        <v>0</v>
      </c>
      <c r="N2210" s="169">
        <f>IFERROR(MATCH(J2210,'Final List'!$H$4:$H$252,0),0)</f>
        <v>0</v>
      </c>
      <c r="O2210" s="169">
        <f>IFERROR(MATCH(J2210,'Final List'!$J$4:$J$252,0),0)</f>
        <v>0</v>
      </c>
      <c r="P2210" s="169">
        <f>IFERROR(MATCH(J2210,'Final List'!$L$4:$L$252,0),0)</f>
        <v>0</v>
      </c>
      <c r="Q2210" s="169">
        <f>IFERROR(MATCH(J2210,'Final List'!$N$4:$N$252,0),0)</f>
        <v>0</v>
      </c>
      <c r="R2210" s="169">
        <f>IFERROR(MATCH(J2210,'Final List'!$P$4:$P$252,0),0)</f>
        <v>0</v>
      </c>
      <c r="S2210" s="169">
        <f t="shared" si="140"/>
        <v>0</v>
      </c>
      <c r="T2210" s="169" t="s">
        <v>68</v>
      </c>
      <c r="V2210" s="169" t="str">
        <f t="shared" si="138"/>
        <v>OLIVEROS 5</v>
      </c>
      <c r="W2210" s="169" t="s">
        <v>2713</v>
      </c>
    </row>
    <row r="2211" spans="2:23" x14ac:dyDescent="0.25">
      <c r="B2211" s="169" t="s">
        <v>1166</v>
      </c>
      <c r="C2211" s="169" t="s">
        <v>42</v>
      </c>
      <c r="D2211" s="169" t="s">
        <v>179</v>
      </c>
      <c r="E2211" s="169" t="s">
        <v>60</v>
      </c>
      <c r="F2211" s="245" t="str">
        <f t="shared" si="139"/>
        <v>Dhoz 71</v>
      </c>
      <c r="G2211" s="169" t="s">
        <v>356</v>
      </c>
      <c r="I2211" s="169" t="str">
        <f t="shared" si="137"/>
        <v>L11_JV_050E_DE</v>
      </c>
      <c r="J2211" s="169" t="s">
        <v>10344</v>
      </c>
      <c r="K2211" s="169">
        <f>IFERROR(MATCH(J2211,'Final List'!$B$4:$B$252,0),0)</f>
        <v>0</v>
      </c>
      <c r="L2211" s="169">
        <f>IFERROR(MATCH(J2211,'Final List'!$D$4:$D$252,0),0)</f>
        <v>0</v>
      </c>
      <c r="M2211" s="169">
        <f>IFERROR(MATCH(J2211,'Final List'!$F$4:$F$251,0),0)</f>
        <v>0</v>
      </c>
      <c r="N2211" s="169">
        <f>IFERROR(MATCH(J2211,'Final List'!$H$4:$H$252,0),0)</f>
        <v>0</v>
      </c>
      <c r="O2211" s="169">
        <f>IFERROR(MATCH(J2211,'Final List'!$J$4:$J$252,0),0)</f>
        <v>0</v>
      </c>
      <c r="P2211" s="169">
        <f>IFERROR(MATCH(J2211,'Final List'!$L$4:$L$252,0),0)</f>
        <v>0</v>
      </c>
      <c r="Q2211" s="169">
        <f>IFERROR(MATCH(J2211,'Final List'!$N$4:$N$252,0),0)</f>
        <v>0</v>
      </c>
      <c r="R2211" s="169">
        <f>IFERROR(MATCH(J2211,'Final List'!$P$4:$P$252,0),0)</f>
        <v>0</v>
      </c>
      <c r="S2211" s="169">
        <f t="shared" si="140"/>
        <v>0</v>
      </c>
      <c r="V2211" s="169" t="str">
        <f t="shared" si="138"/>
        <v>BAÑEZ 1</v>
      </c>
      <c r="W2211" s="169" t="s">
        <v>8896</v>
      </c>
    </row>
    <row r="2212" spans="2:23" x14ac:dyDescent="0.25">
      <c r="B2212" s="169" t="s">
        <v>1167</v>
      </c>
      <c r="C2212" s="169" t="s">
        <v>38</v>
      </c>
      <c r="D2212" s="169" t="s">
        <v>5604</v>
      </c>
      <c r="E2212" s="169" t="s">
        <v>20</v>
      </c>
      <c r="F2212" s="245" t="str">
        <f t="shared" si="139"/>
        <v>DVW 74</v>
      </c>
      <c r="G2212" s="169" t="s">
        <v>329</v>
      </c>
      <c r="H2212" s="169" t="s">
        <v>364</v>
      </c>
      <c r="I2212" s="169" t="str">
        <f t="shared" si="137"/>
        <v>L12_GHV_063E_WINZE</v>
      </c>
      <c r="J2212" s="169" t="s">
        <v>10755</v>
      </c>
      <c r="K2212" s="169">
        <f>IFERROR(MATCH(J2212,'Final List'!$B$4:$B$252,0),0)</f>
        <v>0</v>
      </c>
      <c r="L2212" s="169">
        <f>IFERROR(MATCH(J2212,'Final List'!$D$4:$D$252,0),0)</f>
        <v>0</v>
      </c>
      <c r="M2212" s="169">
        <f>IFERROR(MATCH(J2212,'Final List'!$F$4:$F$251,0),0)</f>
        <v>0</v>
      </c>
      <c r="N2212" s="169">
        <f>IFERROR(MATCH(J2212,'Final List'!$H$4:$H$252,0),0)</f>
        <v>0</v>
      </c>
      <c r="O2212" s="169">
        <f>IFERROR(MATCH(J2212,'Final List'!$J$4:$J$252,0),0)</f>
        <v>0</v>
      </c>
      <c r="P2212" s="169">
        <f>IFERROR(MATCH(J2212,'Final List'!$L$4:$L$252,0),0)</f>
        <v>0</v>
      </c>
      <c r="Q2212" s="169">
        <f>IFERROR(MATCH(J2212,'Final List'!$N$4:$N$252,0),0)</f>
        <v>0</v>
      </c>
      <c r="R2212" s="169">
        <f>IFERROR(MATCH(J2212,'Final List'!$P$4:$P$252,0),0)</f>
        <v>0</v>
      </c>
      <c r="S2212" s="169">
        <f t="shared" si="140"/>
        <v>0</v>
      </c>
      <c r="V2212" s="169" t="str">
        <f t="shared" si="138"/>
        <v>BABOR 3</v>
      </c>
      <c r="W2212" s="169" t="s">
        <v>2706</v>
      </c>
    </row>
    <row r="2213" spans="2:23" x14ac:dyDescent="0.25">
      <c r="B2213" s="169" t="s">
        <v>258</v>
      </c>
      <c r="C2213" s="169" t="s">
        <v>39</v>
      </c>
      <c r="D2213" s="169" t="s">
        <v>201</v>
      </c>
      <c r="E2213" s="169" t="s">
        <v>19</v>
      </c>
      <c r="F2213" s="245" t="str">
        <f t="shared" si="139"/>
        <v>DVR 72</v>
      </c>
      <c r="G2213" s="169" t="s">
        <v>6851</v>
      </c>
      <c r="I2213" s="169" t="str">
        <f t="shared" si="137"/>
        <v>L10_JVHW_067E_RAISE</v>
      </c>
      <c r="J2213" s="169" t="s">
        <v>10357</v>
      </c>
      <c r="K2213" s="169">
        <f>IFERROR(MATCH(J2213,'Final List'!$B$4:$B$252,0),0)</f>
        <v>0</v>
      </c>
      <c r="L2213" s="169">
        <f>IFERROR(MATCH(J2213,'Final List'!$D$4:$D$252,0),0)</f>
        <v>0</v>
      </c>
      <c r="M2213" s="169">
        <f>IFERROR(MATCH(J2213,'Final List'!$F$4:$F$251,0),0)</f>
        <v>0</v>
      </c>
      <c r="N2213" s="169">
        <f>IFERROR(MATCH(J2213,'Final List'!$H$4:$H$252,0),0)</f>
        <v>0</v>
      </c>
      <c r="O2213" s="169">
        <f>IFERROR(MATCH(J2213,'Final List'!$J$4:$J$252,0),0)</f>
        <v>0</v>
      </c>
      <c r="P2213" s="169">
        <f>IFERROR(MATCH(J2213,'Final List'!$L$4:$L$252,0),0)</f>
        <v>0</v>
      </c>
      <c r="Q2213" s="169">
        <f>IFERROR(MATCH(J2213,'Final List'!$N$4:$N$252,0),0)</f>
        <v>0</v>
      </c>
      <c r="R2213" s="169">
        <f>IFERROR(MATCH(J2213,'Final List'!$P$4:$P$252,0),0)</f>
        <v>0</v>
      </c>
      <c r="S2213" s="169">
        <f t="shared" si="140"/>
        <v>0</v>
      </c>
      <c r="V2213" s="169" t="str">
        <f t="shared" si="138"/>
        <v>OLIVEROS 5</v>
      </c>
      <c r="W2213" s="169" t="s">
        <v>2715</v>
      </c>
    </row>
    <row r="2214" spans="2:23" x14ac:dyDescent="0.25">
      <c r="B2214" s="169" t="s">
        <v>95</v>
      </c>
      <c r="C2214" s="169" t="s">
        <v>59</v>
      </c>
      <c r="D2214" s="169" t="s">
        <v>106</v>
      </c>
      <c r="E2214" s="169" t="s">
        <v>60</v>
      </c>
      <c r="F2214" s="245" t="str">
        <f t="shared" si="139"/>
        <v>Dhoz 71</v>
      </c>
      <c r="G2214" s="169" t="s">
        <v>386</v>
      </c>
      <c r="I2214" s="169" t="str">
        <f t="shared" si="137"/>
        <v>L08_GHVHW_033W_DE</v>
      </c>
      <c r="J2214" s="169" t="s">
        <v>10829</v>
      </c>
      <c r="K2214" s="169">
        <f>IFERROR(MATCH(J2214,'Final List'!$B$4:$B$252,0),0)</f>
        <v>0</v>
      </c>
      <c r="L2214" s="169">
        <f>IFERROR(MATCH(J2214,'Final List'!$D$4:$D$252,0),0)</f>
        <v>0</v>
      </c>
      <c r="M2214" s="169">
        <f>IFERROR(MATCH(J2214,'Final List'!$F$4:$F$251,0),0)</f>
        <v>0</v>
      </c>
      <c r="N2214" s="169">
        <f>IFERROR(MATCH(J2214,'Final List'!$H$4:$H$252,0),0)</f>
        <v>0</v>
      </c>
      <c r="O2214" s="169">
        <f>IFERROR(MATCH(J2214,'Final List'!$J$4:$J$252,0),0)</f>
        <v>0</v>
      </c>
      <c r="P2214" s="169">
        <f>IFERROR(MATCH(J2214,'Final List'!$L$4:$L$252,0),0)</f>
        <v>0</v>
      </c>
      <c r="Q2214" s="169">
        <f>IFERROR(MATCH(J2214,'Final List'!$N$4:$N$252,0),0)</f>
        <v>0</v>
      </c>
      <c r="R2214" s="169">
        <f>IFERROR(MATCH(J2214,'Final List'!$P$4:$P$252,0),0)</f>
        <v>0</v>
      </c>
      <c r="S2214" s="169">
        <f t="shared" si="140"/>
        <v>0</v>
      </c>
      <c r="V2214" s="169" t="str">
        <f t="shared" si="138"/>
        <v>REVITA 1</v>
      </c>
      <c r="W2214" s="169" t="s">
        <v>8895</v>
      </c>
    </row>
    <row r="2215" spans="2:23" x14ac:dyDescent="0.25">
      <c r="B2215" s="169" t="s">
        <v>95</v>
      </c>
      <c r="C2215" s="169" t="s">
        <v>87</v>
      </c>
      <c r="D2215" s="169" t="s">
        <v>120</v>
      </c>
      <c r="E2215" s="169" t="s">
        <v>63</v>
      </c>
      <c r="F2215" s="245" t="str">
        <f t="shared" si="139"/>
        <v>Dhoz 71</v>
      </c>
      <c r="G2215" s="169" t="s">
        <v>472</v>
      </c>
      <c r="I2215" s="169" t="str">
        <f t="shared" si="137"/>
        <v>L08_NONE_015E_XCS</v>
      </c>
      <c r="J2215" s="169" t="s">
        <v>10360</v>
      </c>
      <c r="K2215" s="169">
        <f>IFERROR(MATCH(J2215,'Final List'!$B$4:$B$252,0),0)</f>
        <v>0</v>
      </c>
      <c r="L2215" s="169">
        <f>IFERROR(MATCH(J2215,'Final List'!$D$4:$D$252,0),0)</f>
        <v>0</v>
      </c>
      <c r="M2215" s="169">
        <f>IFERROR(MATCH(J2215,'Final List'!$F$4:$F$251,0),0)</f>
        <v>0</v>
      </c>
      <c r="N2215" s="169">
        <f>IFERROR(MATCH(J2215,'Final List'!$H$4:$H$252,0),0)</f>
        <v>0</v>
      </c>
      <c r="O2215" s="169">
        <f>IFERROR(MATCH(J2215,'Final List'!$J$4:$J$252,0),0)</f>
        <v>0</v>
      </c>
      <c r="P2215" s="169">
        <f>IFERROR(MATCH(J2215,'Final List'!$L$4:$L$252,0),0)</f>
        <v>0</v>
      </c>
      <c r="Q2215" s="169">
        <f>IFERROR(MATCH(J2215,'Final List'!$N$4:$N$252,0),0)</f>
        <v>0</v>
      </c>
      <c r="R2215" s="169">
        <f>IFERROR(MATCH(J2215,'Final List'!$P$4:$P$252,0),0)</f>
        <v>0</v>
      </c>
      <c r="S2215" s="169">
        <f t="shared" si="140"/>
        <v>0</v>
      </c>
      <c r="V2215" s="169" t="str">
        <f t="shared" si="138"/>
        <v>LERIO 3</v>
      </c>
      <c r="W2215" s="169" t="s">
        <v>8897</v>
      </c>
    </row>
    <row r="2216" spans="2:23" x14ac:dyDescent="0.25">
      <c r="B2216" s="169" t="s">
        <v>8904</v>
      </c>
      <c r="C2216" s="169" t="s">
        <v>41</v>
      </c>
      <c r="D2216" s="169" t="s">
        <v>100</v>
      </c>
      <c r="E2216" s="169" t="s">
        <v>19</v>
      </c>
      <c r="F2216" s="245" t="str">
        <f t="shared" si="139"/>
        <v>DVR 72</v>
      </c>
      <c r="G2216" s="169" t="s">
        <v>9366</v>
      </c>
      <c r="I2216" s="169" t="str">
        <f t="shared" si="137"/>
        <v>L03_CTV_020W_RAISE</v>
      </c>
      <c r="J2216" s="169" t="s">
        <v>10358</v>
      </c>
      <c r="K2216" s="169">
        <f>IFERROR(MATCH(J2216,'Final List'!$B$4:$B$252,0),0)</f>
        <v>0</v>
      </c>
      <c r="L2216" s="169">
        <f>IFERROR(MATCH(J2216,'Final List'!$D$4:$D$252,0),0)</f>
        <v>0</v>
      </c>
      <c r="M2216" s="169">
        <f>IFERROR(MATCH(J2216,'Final List'!$F$4:$F$251,0),0)</f>
        <v>0</v>
      </c>
      <c r="N2216" s="169">
        <f>IFERROR(MATCH(J2216,'Final List'!$H$4:$H$252,0),0)</f>
        <v>0</v>
      </c>
      <c r="O2216" s="169">
        <f>IFERROR(MATCH(J2216,'Final List'!$J$4:$J$252,0),0)</f>
        <v>0</v>
      </c>
      <c r="P2216" s="169">
        <f>IFERROR(MATCH(J2216,'Final List'!$L$4:$L$252,0),0)</f>
        <v>0</v>
      </c>
      <c r="Q2216" s="169">
        <f>IFERROR(MATCH(J2216,'Final List'!$N$4:$N$252,0),0)</f>
        <v>0</v>
      </c>
      <c r="R2216" s="169">
        <f>IFERROR(MATCH(J2216,'Final List'!$P$4:$P$252,0),0)</f>
        <v>0</v>
      </c>
      <c r="S2216" s="169">
        <f t="shared" si="140"/>
        <v>0</v>
      </c>
      <c r="V2216" s="169" t="str">
        <f t="shared" si="138"/>
        <v>FERNANDEZ, RM 2</v>
      </c>
      <c r="W2216" s="169" t="s">
        <v>2715</v>
      </c>
    </row>
    <row r="2217" spans="2:23" ht="15.75" x14ac:dyDescent="0.25">
      <c r="B2217" s="169" t="s">
        <v>1166</v>
      </c>
      <c r="C2217" s="169" t="s">
        <v>45</v>
      </c>
      <c r="D2217" s="169" t="s">
        <v>132</v>
      </c>
      <c r="E2217" s="169" t="s">
        <v>19</v>
      </c>
      <c r="F2217" s="245" t="str">
        <f t="shared" si="139"/>
        <v>DVR 72</v>
      </c>
      <c r="G2217" s="107" t="s">
        <v>340</v>
      </c>
      <c r="I2217" s="169" t="str">
        <f t="shared" si="137"/>
        <v>L11_DPVE_033E_RAISE</v>
      </c>
      <c r="J2217" s="169" t="s">
        <v>11419</v>
      </c>
      <c r="K2217" s="169">
        <f>IFERROR(MATCH(J2217,'Final List'!$B$4:$B$252,0),0)</f>
        <v>0</v>
      </c>
      <c r="L2217" s="169">
        <f>IFERROR(MATCH(J2217,'Final List'!$D$4:$D$252,0),0)</f>
        <v>0</v>
      </c>
      <c r="M2217" s="169">
        <f>IFERROR(MATCH(J2217,'Final List'!$F$4:$F$251,0),0)</f>
        <v>0</v>
      </c>
      <c r="N2217" s="169">
        <f>IFERROR(MATCH(J2217,'Final List'!$H$4:$H$252,0),0)</f>
        <v>0</v>
      </c>
      <c r="O2217" s="169">
        <f>IFERROR(MATCH(J2217,'Final List'!$J$4:$J$252,0),0)</f>
        <v>0</v>
      </c>
      <c r="P2217" s="169">
        <f>IFERROR(MATCH(J2217,'Final List'!$L$4:$L$252,0),0)</f>
        <v>0</v>
      </c>
      <c r="Q2217" s="169">
        <f>IFERROR(MATCH(J2217,'Final List'!$N$4:$N$252,0),0)</f>
        <v>0</v>
      </c>
      <c r="R2217" s="169">
        <f>IFERROR(MATCH(J2217,'Final List'!$P$4:$P$252,0),0)</f>
        <v>0</v>
      </c>
      <c r="S2217" s="169">
        <f t="shared" si="140"/>
        <v>0</v>
      </c>
      <c r="V2217" s="169" t="str">
        <f t="shared" si="138"/>
        <v>COMAINGKING</v>
      </c>
      <c r="W2217" s="169" t="s">
        <v>2715</v>
      </c>
    </row>
    <row r="2218" spans="2:23" x14ac:dyDescent="0.25">
      <c r="B2218" s="169" t="s">
        <v>96</v>
      </c>
      <c r="C2218" s="169" t="s">
        <v>45</v>
      </c>
      <c r="D2218" s="169" t="s">
        <v>6036</v>
      </c>
      <c r="E2218" s="169" t="s">
        <v>19</v>
      </c>
      <c r="F2218" s="245" t="str">
        <f t="shared" si="139"/>
        <v>DVR 72</v>
      </c>
      <c r="G2218" s="169" t="s">
        <v>5101</v>
      </c>
      <c r="H2218" s="169" t="s">
        <v>349</v>
      </c>
      <c r="I2218" s="169" t="str">
        <f t="shared" si="137"/>
        <v>L09_DPVE_017E_RAISE</v>
      </c>
      <c r="J2218" s="169" t="s">
        <v>673</v>
      </c>
      <c r="K2218" s="169">
        <f>IFERROR(MATCH(J2218,'Final List'!$B$4:$B$252,0),0)</f>
        <v>0</v>
      </c>
      <c r="L2218" s="169">
        <f>IFERROR(MATCH(J2218,'Final List'!$D$4:$D$252,0),0)</f>
        <v>0</v>
      </c>
      <c r="M2218" s="169">
        <f>IFERROR(MATCH(J2218,'Final List'!$F$4:$F$251,0),0)</f>
        <v>0</v>
      </c>
      <c r="N2218" s="169">
        <f>IFERROR(MATCH(J2218,'Final List'!$H$4:$H$252,0),0)</f>
        <v>0</v>
      </c>
      <c r="O2218" s="169">
        <f>IFERROR(MATCH(J2218,'Final List'!$J$4:$J$252,0),0)</f>
        <v>0</v>
      </c>
      <c r="P2218" s="169">
        <f>IFERROR(MATCH(J2218,'Final List'!$L$4:$L$252,0),0)</f>
        <v>0</v>
      </c>
      <c r="Q2218" s="169">
        <f>IFERROR(MATCH(J2218,'Final List'!$N$4:$N$252,0),0)</f>
        <v>0</v>
      </c>
      <c r="R2218" s="169">
        <f>IFERROR(MATCH(J2218,'Final List'!$P$4:$P$252,0),0)</f>
        <v>0</v>
      </c>
      <c r="S2218" s="169">
        <f t="shared" si="140"/>
        <v>0</v>
      </c>
      <c r="V2218" s="169" t="str">
        <f t="shared" si="138"/>
        <v>QUIJANO 2</v>
      </c>
      <c r="W2218" s="169" t="s">
        <v>2715</v>
      </c>
    </row>
    <row r="2219" spans="2:23" x14ac:dyDescent="0.25">
      <c r="B2219" s="169" t="s">
        <v>96</v>
      </c>
      <c r="C2219" s="169" t="s">
        <v>45</v>
      </c>
      <c r="D2219" s="169" t="s">
        <v>5742</v>
      </c>
      <c r="E2219" s="169" t="s">
        <v>19</v>
      </c>
      <c r="F2219" s="245" t="str">
        <f t="shared" si="139"/>
        <v>DVR 72</v>
      </c>
      <c r="G2219" s="169" t="s">
        <v>6621</v>
      </c>
      <c r="H2219" s="169" t="s">
        <v>8202</v>
      </c>
      <c r="I2219" s="169" t="str">
        <f t="shared" si="137"/>
        <v>L09_DPVE_040E_RAISE</v>
      </c>
      <c r="J2219" s="169" t="s">
        <v>8835</v>
      </c>
      <c r="K2219" s="169">
        <f>IFERROR(MATCH(J2219,'Final List'!$B$4:$B$252,0),0)</f>
        <v>0</v>
      </c>
      <c r="L2219" s="169">
        <f>IFERROR(MATCH(J2219,'Final List'!$D$4:$D$252,0),0)</f>
        <v>0</v>
      </c>
      <c r="M2219" s="169">
        <f>IFERROR(MATCH(J2219,'Final List'!$F$4:$F$251,0),0)</f>
        <v>0</v>
      </c>
      <c r="N2219" s="169">
        <f>IFERROR(MATCH(J2219,'Final List'!$H$4:$H$252,0),0)</f>
        <v>0</v>
      </c>
      <c r="O2219" s="169">
        <f>IFERROR(MATCH(J2219,'Final List'!$J$4:$J$252,0),0)</f>
        <v>0</v>
      </c>
      <c r="P2219" s="169">
        <f>IFERROR(MATCH(J2219,'Final List'!$L$4:$L$252,0),0)</f>
        <v>0</v>
      </c>
      <c r="Q2219" s="169">
        <f>IFERROR(MATCH(J2219,'Final List'!$N$4:$N$252,0),0)</f>
        <v>0</v>
      </c>
      <c r="R2219" s="169">
        <f>IFERROR(MATCH(J2219,'Final List'!$P$4:$P$252,0),0)</f>
        <v>0</v>
      </c>
      <c r="S2219" s="169">
        <f t="shared" si="140"/>
        <v>0</v>
      </c>
      <c r="V2219" s="169" t="str">
        <f t="shared" si="138"/>
        <v>PANSIT, NORMAN 2</v>
      </c>
      <c r="W2219" s="169" t="s">
        <v>2715</v>
      </c>
    </row>
    <row r="2220" spans="2:23" x14ac:dyDescent="0.25">
      <c r="B2220" s="169" t="s">
        <v>92</v>
      </c>
      <c r="C2220" s="169" t="s">
        <v>43</v>
      </c>
      <c r="D2220" s="169" t="s">
        <v>102</v>
      </c>
      <c r="E2220" s="169" t="s">
        <v>61</v>
      </c>
      <c r="F2220" s="245" t="str">
        <f t="shared" si="139"/>
        <v>Dhoz 71</v>
      </c>
      <c r="G2220" s="169" t="s">
        <v>8353</v>
      </c>
      <c r="I2220" s="169" t="str">
        <f t="shared" si="137"/>
        <v>L05_GHVSPLIT_034W_DW</v>
      </c>
      <c r="J2220" s="169" t="s">
        <v>10379</v>
      </c>
      <c r="K2220" s="169">
        <f>IFERROR(MATCH(J2220,'Final List'!$B$4:$B$252,0),0)</f>
        <v>0</v>
      </c>
      <c r="L2220" s="169">
        <f>IFERROR(MATCH(J2220,'Final List'!$D$4:$D$252,0),0)</f>
        <v>0</v>
      </c>
      <c r="M2220" s="169">
        <f>IFERROR(MATCH(J2220,'Final List'!$F$4:$F$251,0),0)</f>
        <v>0</v>
      </c>
      <c r="N2220" s="169">
        <f>IFERROR(MATCH(J2220,'Final List'!$H$4:$H$252,0),0)</f>
        <v>0</v>
      </c>
      <c r="O2220" s="169">
        <f>IFERROR(MATCH(J2220,'Final List'!$J$4:$J$252,0),0)</f>
        <v>0</v>
      </c>
      <c r="P2220" s="169">
        <f>IFERROR(MATCH(J2220,'Final List'!$L$4:$L$252,0),0)</f>
        <v>0</v>
      </c>
      <c r="Q2220" s="169">
        <f>IFERROR(MATCH(J2220,'Final List'!$N$4:$N$252,0),0)</f>
        <v>0</v>
      </c>
      <c r="R2220" s="169">
        <f>IFERROR(MATCH(J2220,'Final List'!$P$4:$P$252,0),0)</f>
        <v>0</v>
      </c>
      <c r="S2220" s="169">
        <f t="shared" si="140"/>
        <v>0</v>
      </c>
      <c r="V2220" s="169" t="str">
        <f t="shared" si="138"/>
        <v>BAYOBAY</v>
      </c>
      <c r="W2220" s="169" t="s">
        <v>8895</v>
      </c>
    </row>
    <row r="2221" spans="2:23" x14ac:dyDescent="0.25">
      <c r="B2221" s="169" t="s">
        <v>96</v>
      </c>
      <c r="C2221" s="169" t="s">
        <v>45</v>
      </c>
      <c r="D2221" s="169" t="s">
        <v>5742</v>
      </c>
      <c r="E2221" s="169" t="s">
        <v>62</v>
      </c>
      <c r="F2221" s="245" t="str">
        <f t="shared" si="139"/>
        <v>RobS 79</v>
      </c>
      <c r="G2221" s="169" t="s">
        <v>364</v>
      </c>
      <c r="I2221" s="169" t="str">
        <f t="shared" si="137"/>
        <v>L09_DPVE_040E_ROBBING</v>
      </c>
      <c r="J2221" s="169" t="s">
        <v>10369</v>
      </c>
      <c r="K2221" s="169">
        <f>IFERROR(MATCH(J2221,'Final List'!$B$4:$B$252,0),0)</f>
        <v>0</v>
      </c>
      <c r="L2221" s="169">
        <f>IFERROR(MATCH(J2221,'Final List'!$D$4:$D$252,0),0)</f>
        <v>0</v>
      </c>
      <c r="M2221" s="169">
        <f>IFERROR(MATCH(J2221,'Final List'!$F$4:$F$251,0),0)</f>
        <v>0</v>
      </c>
      <c r="N2221" s="169">
        <f>IFERROR(MATCH(J2221,'Final List'!$H$4:$H$252,0),0)</f>
        <v>0</v>
      </c>
      <c r="O2221" s="169">
        <f>IFERROR(MATCH(J2221,'Final List'!$J$4:$J$252,0),0)</f>
        <v>0</v>
      </c>
      <c r="P2221" s="169">
        <f>IFERROR(MATCH(J2221,'Final List'!$L$4:$L$252,0),0)</f>
        <v>0</v>
      </c>
      <c r="Q2221" s="169">
        <f>IFERROR(MATCH(J2221,'Final List'!$N$4:$N$252,0),0)</f>
        <v>0</v>
      </c>
      <c r="R2221" s="169">
        <f>IFERROR(MATCH(J2221,'Final List'!$P$4:$P$252,0),0)</f>
        <v>0</v>
      </c>
      <c r="S2221" s="169">
        <f t="shared" si="140"/>
        <v>0</v>
      </c>
      <c r="T2221" s="169" t="s">
        <v>68</v>
      </c>
      <c r="V2221" s="169" t="str">
        <f t="shared" si="138"/>
        <v>BABOR 3</v>
      </c>
      <c r="W2221" s="169" t="s">
        <v>2707</v>
      </c>
    </row>
    <row r="2222" spans="2:23" x14ac:dyDescent="0.25">
      <c r="B2222" s="169" t="s">
        <v>95</v>
      </c>
      <c r="C2222" s="169" t="s">
        <v>42</v>
      </c>
      <c r="D2222" s="169" t="s">
        <v>5872</v>
      </c>
      <c r="E2222" s="169" t="s">
        <v>221</v>
      </c>
      <c r="F2222" s="245" t="str">
        <f t="shared" si="139"/>
        <v>RobC 80</v>
      </c>
      <c r="G2222" s="169" t="s">
        <v>467</v>
      </c>
      <c r="I2222" s="169" t="str">
        <f t="shared" si="137"/>
        <v>L08_JV_076E_WINZE STOPE</v>
      </c>
      <c r="J2222" s="169" t="s">
        <v>10593</v>
      </c>
      <c r="K2222" s="169">
        <f>IFERROR(MATCH(J2222,'Final List'!$B$4:$B$252,0),0)</f>
        <v>0</v>
      </c>
      <c r="L2222" s="169">
        <f>IFERROR(MATCH(J2222,'Final List'!$D$4:$D$252,0),0)</f>
        <v>0</v>
      </c>
      <c r="M2222" s="169">
        <f>IFERROR(MATCH(J2222,'Final List'!$F$4:$F$251,0),0)</f>
        <v>0</v>
      </c>
      <c r="N2222" s="169">
        <f>IFERROR(MATCH(J2222,'Final List'!$H$4:$H$252,0),0)</f>
        <v>0</v>
      </c>
      <c r="O2222" s="169">
        <f>IFERROR(MATCH(J2222,'Final List'!$J$4:$J$252,0),0)</f>
        <v>0</v>
      </c>
      <c r="P2222" s="169">
        <f>IFERROR(MATCH(J2222,'Final List'!$L$4:$L$252,0),0)</f>
        <v>0</v>
      </c>
      <c r="Q2222" s="169">
        <f>IFERROR(MATCH(J2222,'Final List'!$N$4:$N$252,0),0)</f>
        <v>0</v>
      </c>
      <c r="R2222" s="169">
        <f>IFERROR(MATCH(J2222,'Final List'!$P$4:$P$252,0),0)</f>
        <v>0</v>
      </c>
      <c r="S2222" s="169">
        <f t="shared" si="140"/>
        <v>0</v>
      </c>
      <c r="T2222" s="169" t="s">
        <v>68</v>
      </c>
      <c r="V2222" s="169" t="str">
        <f t="shared" si="138"/>
        <v>AGLOLO 2</v>
      </c>
      <c r="W2222" s="169" t="s">
        <v>2719</v>
      </c>
    </row>
    <row r="2223" spans="2:23" x14ac:dyDescent="0.25">
      <c r="B2223" s="169" t="s">
        <v>92</v>
      </c>
      <c r="C2223" s="169" t="s">
        <v>43</v>
      </c>
      <c r="D2223" s="169" t="s">
        <v>6941</v>
      </c>
      <c r="E2223" s="169" t="s">
        <v>60</v>
      </c>
      <c r="F2223" s="245" t="str">
        <f t="shared" si="139"/>
        <v>Dhoz 71</v>
      </c>
      <c r="G2223" s="169" t="s">
        <v>8197</v>
      </c>
      <c r="I2223" s="169" t="str">
        <f t="shared" si="137"/>
        <v>L05_GHVSPLIT_031W_DE</v>
      </c>
      <c r="J2223" s="169" t="s">
        <v>10372</v>
      </c>
      <c r="K2223" s="169">
        <f>IFERROR(MATCH(J2223,'Final List'!$B$4:$B$252,0),0)</f>
        <v>0</v>
      </c>
      <c r="L2223" s="169">
        <f>IFERROR(MATCH(J2223,'Final List'!$D$4:$D$252,0),0)</f>
        <v>0</v>
      </c>
      <c r="M2223" s="169">
        <f>IFERROR(MATCH(J2223,'Final List'!$F$4:$F$251,0),0)</f>
        <v>0</v>
      </c>
      <c r="N2223" s="169">
        <f>IFERROR(MATCH(J2223,'Final List'!$H$4:$H$252,0),0)</f>
        <v>0</v>
      </c>
      <c r="O2223" s="169">
        <f>IFERROR(MATCH(J2223,'Final List'!$J$4:$J$252,0),0)</f>
        <v>0</v>
      </c>
      <c r="P2223" s="169">
        <f>IFERROR(MATCH(J2223,'Final List'!$L$4:$L$252,0),0)</f>
        <v>0</v>
      </c>
      <c r="Q2223" s="169">
        <f>IFERROR(MATCH(J2223,'Final List'!$N$4:$N$252,0),0)</f>
        <v>0</v>
      </c>
      <c r="R2223" s="169">
        <f>IFERROR(MATCH(J2223,'Final List'!$P$4:$P$252,0),0)</f>
        <v>0</v>
      </c>
      <c r="S2223" s="169">
        <f t="shared" si="140"/>
        <v>0</v>
      </c>
      <c r="V2223" s="169" t="str">
        <f t="shared" si="138"/>
        <v>PANCIT, NOEL  1</v>
      </c>
      <c r="W2223" s="169" t="s">
        <v>8895</v>
      </c>
    </row>
    <row r="2224" spans="2:23" x14ac:dyDescent="0.25">
      <c r="B2224" s="169" t="s">
        <v>258</v>
      </c>
      <c r="C2224" s="169" t="s">
        <v>45</v>
      </c>
      <c r="D2224" s="169" t="s">
        <v>149</v>
      </c>
      <c r="E2224" s="169" t="s">
        <v>60</v>
      </c>
      <c r="F2224" s="245" t="str">
        <f t="shared" si="139"/>
        <v>Dhoz 71</v>
      </c>
      <c r="G2224" s="169" t="s">
        <v>13981</v>
      </c>
      <c r="H2224" s="169" t="s">
        <v>13982</v>
      </c>
      <c r="I2224" s="169" t="str">
        <f t="shared" ref="I2224:I2263" si="141">CONCATENATE(B2224,"_",C2224,"_",D2224,"_",E2224)</f>
        <v>L10_DPVE_021E_DE</v>
      </c>
      <c r="J2224" s="169" t="s">
        <v>11458</v>
      </c>
      <c r="K2224" s="169">
        <f>IFERROR(MATCH(J2224,'Final List'!$B$4:$B$252,0),0)</f>
        <v>0</v>
      </c>
      <c r="L2224" s="169">
        <f>IFERROR(MATCH(J2224,'Final List'!$D$4:$D$252,0),0)</f>
        <v>0</v>
      </c>
      <c r="M2224" s="169">
        <f>IFERROR(MATCH(J2224,'Final List'!$F$4:$F$251,0),0)</f>
        <v>0</v>
      </c>
      <c r="N2224" s="169">
        <f>IFERROR(MATCH(J2224,'Final List'!$H$4:$H$252,0),0)</f>
        <v>0</v>
      </c>
      <c r="O2224" s="169">
        <f>IFERROR(MATCH(J2224,'Final List'!$J$4:$J$252,0),0)</f>
        <v>0</v>
      </c>
      <c r="P2224" s="169">
        <f>IFERROR(MATCH(J2224,'Final List'!$L$4:$L$252,0),0)</f>
        <v>0</v>
      </c>
      <c r="Q2224" s="169">
        <f>IFERROR(MATCH(J2224,'Final List'!$N$4:$N$252,0),0)</f>
        <v>0</v>
      </c>
      <c r="R2224" s="169">
        <f>IFERROR(MATCH(J2224,'Final List'!$P$4:$P$252,0),0)</f>
        <v>0</v>
      </c>
      <c r="S2224" s="169">
        <f t="shared" si="140"/>
        <v>0</v>
      </c>
      <c r="V2224" s="169" t="str">
        <f t="shared" si="138"/>
        <v>SHEPHERD 2</v>
      </c>
      <c r="W2224" s="169" t="s">
        <v>8896</v>
      </c>
    </row>
    <row r="2225" spans="2:23" x14ac:dyDescent="0.25">
      <c r="B2225" s="169" t="s">
        <v>91</v>
      </c>
      <c r="C2225" s="169" t="s">
        <v>42</v>
      </c>
      <c r="D2225" s="169" t="s">
        <v>6139</v>
      </c>
      <c r="E2225" s="169" t="s">
        <v>62</v>
      </c>
      <c r="F2225" s="245" t="str">
        <f t="shared" si="139"/>
        <v>RobS 79</v>
      </c>
      <c r="G2225" s="169" t="s">
        <v>3277</v>
      </c>
      <c r="I2225" s="169" t="str">
        <f t="shared" si="141"/>
        <v>L04_JV_030W_ROBBING</v>
      </c>
      <c r="J2225" s="169" t="s">
        <v>10376</v>
      </c>
      <c r="K2225" s="169">
        <f>IFERROR(MATCH(J2225,'Final List'!$B$4:$B$252,0),0)</f>
        <v>0</v>
      </c>
      <c r="L2225" s="169">
        <f>IFERROR(MATCH(J2225,'Final List'!$D$4:$D$252,0),0)</f>
        <v>0</v>
      </c>
      <c r="M2225" s="169">
        <f>IFERROR(MATCH(J2225,'Final List'!$F$4:$F$251,0),0)</f>
        <v>0</v>
      </c>
      <c r="N2225" s="169">
        <f>IFERROR(MATCH(J2225,'Final List'!$H$4:$H$252,0),0)</f>
        <v>0</v>
      </c>
      <c r="O2225" s="169">
        <f>IFERROR(MATCH(J2225,'Final List'!$J$4:$J$252,0),0)</f>
        <v>0</v>
      </c>
      <c r="P2225" s="169">
        <f>IFERROR(MATCH(J2225,'Final List'!$L$4:$L$252,0),0)</f>
        <v>0</v>
      </c>
      <c r="Q2225" s="169">
        <f>IFERROR(MATCH(J2225,'Final List'!$N$4:$N$252,0),0)</f>
        <v>0</v>
      </c>
      <c r="R2225" s="169">
        <f>IFERROR(MATCH(J2225,'Final List'!$P$4:$P$252,0),0)</f>
        <v>0</v>
      </c>
      <c r="S2225" s="169">
        <f t="shared" si="140"/>
        <v>0</v>
      </c>
      <c r="T2225" s="169" t="s">
        <v>68</v>
      </c>
      <c r="V2225" s="169" t="str">
        <f t="shared" si="138"/>
        <v>MARTINEZ, DN 2</v>
      </c>
      <c r="W2225" s="169" t="s">
        <v>2707</v>
      </c>
    </row>
    <row r="2226" spans="2:23" x14ac:dyDescent="0.25">
      <c r="B2226" s="169" t="s">
        <v>96</v>
      </c>
      <c r="C2226" s="169" t="s">
        <v>59</v>
      </c>
      <c r="D2226" s="169" t="s">
        <v>123</v>
      </c>
      <c r="E2226" s="169" t="s">
        <v>19</v>
      </c>
      <c r="F2226" s="245" t="str">
        <f t="shared" si="139"/>
        <v>DVR 72</v>
      </c>
      <c r="G2226" s="169" t="s">
        <v>745</v>
      </c>
      <c r="I2226" s="169" t="str">
        <f t="shared" si="141"/>
        <v>L09_GHVHW_031E_RAISE</v>
      </c>
      <c r="J2226" s="169" t="s">
        <v>10377</v>
      </c>
      <c r="K2226" s="169">
        <f>IFERROR(MATCH(J2226,'Final List'!$B$4:$B$252,0),0)</f>
        <v>0</v>
      </c>
      <c r="L2226" s="169">
        <f>IFERROR(MATCH(J2226,'Final List'!$D$4:$D$252,0),0)</f>
        <v>0</v>
      </c>
      <c r="M2226" s="169">
        <f>IFERROR(MATCH(J2226,'Final List'!$F$4:$F$251,0),0)</f>
        <v>0</v>
      </c>
      <c r="N2226" s="169">
        <f>IFERROR(MATCH(J2226,'Final List'!$H$4:$H$252,0),0)</f>
        <v>0</v>
      </c>
      <c r="O2226" s="169">
        <f>IFERROR(MATCH(J2226,'Final List'!$J$4:$J$252,0),0)</f>
        <v>0</v>
      </c>
      <c r="P2226" s="169">
        <f>IFERROR(MATCH(J2226,'Final List'!$L$4:$L$252,0),0)</f>
        <v>0</v>
      </c>
      <c r="Q2226" s="169">
        <f>IFERROR(MATCH(J2226,'Final List'!$N$4:$N$252,0),0)</f>
        <v>0</v>
      </c>
      <c r="R2226" s="169">
        <f>IFERROR(MATCH(J2226,'Final List'!$P$4:$P$252,0),0)</f>
        <v>0</v>
      </c>
      <c r="S2226" s="169">
        <f t="shared" si="140"/>
        <v>0</v>
      </c>
      <c r="V2226" s="169" t="str">
        <f t="shared" si="138"/>
        <v>CANOY 2</v>
      </c>
      <c r="W2226" s="169" t="s">
        <v>2715</v>
      </c>
    </row>
    <row r="2227" spans="2:23" x14ac:dyDescent="0.25">
      <c r="B2227" s="169" t="s">
        <v>1166</v>
      </c>
      <c r="C2227" s="169" t="s">
        <v>56</v>
      </c>
      <c r="D2227" s="169" t="s">
        <v>178</v>
      </c>
      <c r="E2227" s="169" t="s">
        <v>211</v>
      </c>
      <c r="F2227" s="245" t="str">
        <f t="shared" si="139"/>
        <v>StpS 77</v>
      </c>
      <c r="G2227" s="169" t="s">
        <v>296</v>
      </c>
      <c r="I2227" s="169" t="str">
        <f t="shared" si="141"/>
        <v>L11_GHVFW_048E_STOPE PREP</v>
      </c>
      <c r="J2227" s="169" t="s">
        <v>10381</v>
      </c>
      <c r="K2227" s="169">
        <f>IFERROR(MATCH(J2227,'Final List'!$B$4:$B$252,0),0)</f>
        <v>0</v>
      </c>
      <c r="L2227" s="169">
        <f>IFERROR(MATCH(J2227,'Final List'!$D$4:$D$252,0),0)</f>
        <v>0</v>
      </c>
      <c r="M2227" s="169">
        <f>IFERROR(MATCH(J2227,'Final List'!$F$4:$F$251,0),0)</f>
        <v>0</v>
      </c>
      <c r="N2227" s="169">
        <f>IFERROR(MATCH(J2227,'Final List'!$H$4:$H$252,0),0)</f>
        <v>0</v>
      </c>
      <c r="O2227" s="169">
        <f>IFERROR(MATCH(J2227,'Final List'!$J$4:$J$252,0),0)</f>
        <v>0</v>
      </c>
      <c r="P2227" s="169">
        <f>IFERROR(MATCH(J2227,'Final List'!$L$4:$L$252,0),0)</f>
        <v>0</v>
      </c>
      <c r="Q2227" s="169">
        <f>IFERROR(MATCH(J2227,'Final List'!$N$4:$N$252,0),0)</f>
        <v>0</v>
      </c>
      <c r="R2227" s="169">
        <f>IFERROR(MATCH(J2227,'Final List'!$P$4:$P$252,0),0)</f>
        <v>0</v>
      </c>
      <c r="S2227" s="169">
        <f t="shared" si="140"/>
        <v>0</v>
      </c>
      <c r="T2227" s="169" t="s">
        <v>68</v>
      </c>
      <c r="V2227" s="169" t="str">
        <f t="shared" si="138"/>
        <v>MONTEBON 2</v>
      </c>
      <c r="W2227" s="169" t="s">
        <v>2712</v>
      </c>
    </row>
    <row r="2228" spans="2:23" x14ac:dyDescent="0.25">
      <c r="B2228" s="169" t="s">
        <v>1166</v>
      </c>
      <c r="C2228" s="169" t="s">
        <v>56</v>
      </c>
      <c r="D2228" s="169" t="s">
        <v>172</v>
      </c>
      <c r="E2228" s="169" t="s">
        <v>36</v>
      </c>
      <c r="F2228" s="245" t="str">
        <f t="shared" si="139"/>
        <v>StpS 77</v>
      </c>
      <c r="G2228" s="169" t="s">
        <v>296</v>
      </c>
      <c r="I2228" s="169" t="str">
        <f t="shared" si="141"/>
        <v>L11_GHVFW_045E_STOPE</v>
      </c>
      <c r="J2228" s="169" t="s">
        <v>10609</v>
      </c>
      <c r="K2228" s="169">
        <f>IFERROR(MATCH(J2228,'Final List'!$B$4:$B$252,0),0)</f>
        <v>0</v>
      </c>
      <c r="L2228" s="169">
        <f>IFERROR(MATCH(J2228,'Final List'!$D$4:$D$252,0),0)</f>
        <v>0</v>
      </c>
      <c r="M2228" s="169">
        <f>IFERROR(MATCH(J2228,'Final List'!$F$4:$F$251,0),0)</f>
        <v>0</v>
      </c>
      <c r="N2228" s="169">
        <f>IFERROR(MATCH(J2228,'Final List'!$H$4:$H$252,0),0)</f>
        <v>0</v>
      </c>
      <c r="O2228" s="169">
        <f>IFERROR(MATCH(J2228,'Final List'!$J$4:$J$252,0),0)</f>
        <v>0</v>
      </c>
      <c r="P2228" s="169">
        <f>IFERROR(MATCH(J2228,'Final List'!$L$4:$L$252,0),0)</f>
        <v>0</v>
      </c>
      <c r="Q2228" s="169">
        <f>IFERROR(MATCH(J2228,'Final List'!$N$4:$N$252,0),0)</f>
        <v>0</v>
      </c>
      <c r="R2228" s="169">
        <f>IFERROR(MATCH(J2228,'Final List'!$P$4:$P$252,0),0)</f>
        <v>0</v>
      </c>
      <c r="S2228" s="169">
        <f t="shared" si="140"/>
        <v>0</v>
      </c>
      <c r="T2228" s="169" t="s">
        <v>68</v>
      </c>
      <c r="V2228" s="169" t="str">
        <f t="shared" si="138"/>
        <v>MONTEBON 2</v>
      </c>
      <c r="W2228" s="169" t="s">
        <v>2713</v>
      </c>
    </row>
    <row r="2229" spans="2:23" x14ac:dyDescent="0.25">
      <c r="B2229" s="169" t="s">
        <v>96</v>
      </c>
      <c r="C2229" s="169" t="s">
        <v>38</v>
      </c>
      <c r="D2229" s="169" t="s">
        <v>5741</v>
      </c>
      <c r="E2229" s="169" t="s">
        <v>62</v>
      </c>
      <c r="F2229" s="245" t="str">
        <f t="shared" si="139"/>
        <v>RobS 79</v>
      </c>
      <c r="G2229" s="169" t="s">
        <v>485</v>
      </c>
      <c r="I2229" s="169" t="str">
        <f t="shared" si="141"/>
        <v>L09_GHV_035E_ROBBING</v>
      </c>
      <c r="J2229" s="169" t="s">
        <v>10400</v>
      </c>
      <c r="K2229" s="169">
        <f>IFERROR(MATCH(J2229,'Final List'!$B$4:$B$252,0),0)</f>
        <v>0</v>
      </c>
      <c r="L2229" s="169">
        <f>IFERROR(MATCH(J2229,'Final List'!$D$4:$D$252,0),0)</f>
        <v>0</v>
      </c>
      <c r="M2229" s="169">
        <f>IFERROR(MATCH(J2229,'Final List'!$F$4:$F$251,0),0)</f>
        <v>0</v>
      </c>
      <c r="N2229" s="169">
        <f>IFERROR(MATCH(J2229,'Final List'!$H$4:$H$252,0),0)</f>
        <v>0</v>
      </c>
      <c r="O2229" s="169">
        <f>IFERROR(MATCH(J2229,'Final List'!$J$4:$J$252,0),0)</f>
        <v>0</v>
      </c>
      <c r="P2229" s="169">
        <f>IFERROR(MATCH(J2229,'Final List'!$L$4:$L$252,0),0)</f>
        <v>0</v>
      </c>
      <c r="Q2229" s="169">
        <f>IFERROR(MATCH(J2229,'Final List'!$N$4:$N$252,0),0)</f>
        <v>0</v>
      </c>
      <c r="R2229" s="169">
        <f>IFERROR(MATCH(J2229,'Final List'!$P$4:$P$252,0),0)</f>
        <v>0</v>
      </c>
      <c r="S2229" s="169">
        <f t="shared" si="140"/>
        <v>0</v>
      </c>
      <c r="T2229" s="169" t="s">
        <v>68</v>
      </c>
      <c r="V2229" s="169" t="str">
        <f t="shared" si="138"/>
        <v>BALANGHIG 3</v>
      </c>
      <c r="W2229" s="169" t="s">
        <v>2707</v>
      </c>
    </row>
    <row r="2230" spans="2:23" x14ac:dyDescent="0.25">
      <c r="B2230" s="169" t="s">
        <v>258</v>
      </c>
      <c r="C2230" s="169" t="s">
        <v>43</v>
      </c>
      <c r="D2230" s="169" t="s">
        <v>595</v>
      </c>
      <c r="E2230" s="169" t="s">
        <v>19</v>
      </c>
      <c r="F2230" s="245" t="str">
        <f t="shared" si="139"/>
        <v>DVR 72</v>
      </c>
      <c r="G2230" s="169" t="s">
        <v>9965</v>
      </c>
      <c r="I2230" s="169" t="str">
        <f t="shared" si="141"/>
        <v>L10_GHVSPLIT_072E_RAISE</v>
      </c>
      <c r="J2230" s="169" t="s">
        <v>10391</v>
      </c>
      <c r="K2230" s="169">
        <f>IFERROR(MATCH(J2230,'Final List'!$B$4:$B$252,0),0)</f>
        <v>0</v>
      </c>
      <c r="L2230" s="169">
        <f>IFERROR(MATCH(J2230,'Final List'!$D$4:$D$252,0),0)</f>
        <v>0</v>
      </c>
      <c r="M2230" s="169">
        <f>IFERROR(MATCH(J2230,'Final List'!$F$4:$F$251,0),0)</f>
        <v>0</v>
      </c>
      <c r="N2230" s="169">
        <f>IFERROR(MATCH(J2230,'Final List'!$H$4:$H$252,0),0)</f>
        <v>0</v>
      </c>
      <c r="O2230" s="169">
        <f>IFERROR(MATCH(J2230,'Final List'!$J$4:$J$252,0),0)</f>
        <v>0</v>
      </c>
      <c r="P2230" s="169">
        <f>IFERROR(MATCH(J2230,'Final List'!$L$4:$L$252,0),0)</f>
        <v>0</v>
      </c>
      <c r="Q2230" s="169">
        <f>IFERROR(MATCH(J2230,'Final List'!$N$4:$N$252,0),0)</f>
        <v>0</v>
      </c>
      <c r="R2230" s="169">
        <f>IFERROR(MATCH(J2230,'Final List'!$P$4:$P$252,0),0)</f>
        <v>0</v>
      </c>
      <c r="S2230" s="169">
        <f t="shared" si="140"/>
        <v>0</v>
      </c>
      <c r="V2230" s="169" t="str">
        <f t="shared" si="138"/>
        <v>SHEPHERD BB</v>
      </c>
      <c r="W2230" s="169" t="s">
        <v>2715</v>
      </c>
    </row>
    <row r="2231" spans="2:23" x14ac:dyDescent="0.25">
      <c r="B2231" s="169" t="s">
        <v>258</v>
      </c>
      <c r="C2231" s="169" t="s">
        <v>38</v>
      </c>
      <c r="D2231" s="169" t="s">
        <v>205</v>
      </c>
      <c r="E2231" s="169" t="s">
        <v>20</v>
      </c>
      <c r="F2231" s="245" t="str">
        <f t="shared" si="139"/>
        <v>DVW 74</v>
      </c>
      <c r="G2231" s="169" t="s">
        <v>318</v>
      </c>
      <c r="I2231" s="169" t="str">
        <f t="shared" si="141"/>
        <v>L10_GHV_066E_WINZE</v>
      </c>
      <c r="J2231" s="169" t="s">
        <v>10392</v>
      </c>
      <c r="K2231" s="169">
        <f>IFERROR(MATCH(J2231,'Final List'!$B$4:$B$252,0),0)</f>
        <v>0</v>
      </c>
      <c r="L2231" s="169">
        <f>IFERROR(MATCH(J2231,'Final List'!$D$4:$D$252,0),0)</f>
        <v>0</v>
      </c>
      <c r="M2231" s="169">
        <f>IFERROR(MATCH(J2231,'Final List'!$F$4:$F$251,0),0)</f>
        <v>0</v>
      </c>
      <c r="N2231" s="169">
        <f>IFERROR(MATCH(J2231,'Final List'!$H$4:$H$252,0),0)</f>
        <v>0</v>
      </c>
      <c r="O2231" s="169">
        <f>IFERROR(MATCH(J2231,'Final List'!$J$4:$J$252,0),0)</f>
        <v>0</v>
      </c>
      <c r="P2231" s="169">
        <f>IFERROR(MATCH(J2231,'Final List'!$L$4:$L$252,0),0)</f>
        <v>0</v>
      </c>
      <c r="Q2231" s="169">
        <f>IFERROR(MATCH(J2231,'Final List'!$N$4:$N$252,0),0)</f>
        <v>0</v>
      </c>
      <c r="R2231" s="169">
        <f>IFERROR(MATCH(J2231,'Final List'!$P$4:$P$252,0),0)</f>
        <v>0</v>
      </c>
      <c r="S2231" s="169">
        <f t="shared" si="140"/>
        <v>0</v>
      </c>
      <c r="V2231" s="169" t="str">
        <f t="shared" si="138"/>
        <v>PARAGUYA 3</v>
      </c>
      <c r="W2231" s="169" t="s">
        <v>2706</v>
      </c>
    </row>
    <row r="2232" spans="2:23" x14ac:dyDescent="0.25">
      <c r="B2232" s="169" t="s">
        <v>258</v>
      </c>
      <c r="C2232" s="169" t="s">
        <v>59</v>
      </c>
      <c r="D2232" s="169" t="s">
        <v>218</v>
      </c>
      <c r="E2232" s="169" t="s">
        <v>61</v>
      </c>
      <c r="F2232" s="245" t="str">
        <f t="shared" si="139"/>
        <v>Dhoz 71</v>
      </c>
      <c r="G2232" s="169" t="s">
        <v>296</v>
      </c>
      <c r="I2232" s="169" t="str">
        <f t="shared" si="141"/>
        <v>L10_GHVHW_062E_DW</v>
      </c>
      <c r="J2232" s="169" t="s">
        <v>10395</v>
      </c>
      <c r="K2232" s="169">
        <f>IFERROR(MATCH(J2232,'Final List'!$B$4:$B$252,0),0)</f>
        <v>0</v>
      </c>
      <c r="L2232" s="169">
        <f>IFERROR(MATCH(J2232,'Final List'!$D$4:$D$252,0),0)</f>
        <v>0</v>
      </c>
      <c r="M2232" s="169">
        <f>IFERROR(MATCH(J2232,'Final List'!$F$4:$F$251,0),0)</f>
        <v>0</v>
      </c>
      <c r="N2232" s="169">
        <f>IFERROR(MATCH(J2232,'Final List'!$H$4:$H$252,0),0)</f>
        <v>0</v>
      </c>
      <c r="O2232" s="169">
        <f>IFERROR(MATCH(J2232,'Final List'!$J$4:$J$252,0),0)</f>
        <v>0</v>
      </c>
      <c r="P2232" s="169">
        <f>IFERROR(MATCH(J2232,'Final List'!$L$4:$L$252,0),0)</f>
        <v>0</v>
      </c>
      <c r="Q2232" s="169">
        <f>IFERROR(MATCH(J2232,'Final List'!$N$4:$N$252,0),0)</f>
        <v>0</v>
      </c>
      <c r="R2232" s="169">
        <f>IFERROR(MATCH(J2232,'Final List'!$P$4:$P$252,0),0)</f>
        <v>0</v>
      </c>
      <c r="S2232" s="169">
        <f t="shared" si="140"/>
        <v>0</v>
      </c>
      <c r="V2232" s="169" t="str">
        <f t="shared" si="138"/>
        <v>MONTEBON 2</v>
      </c>
      <c r="W2232" s="169" t="s">
        <v>8896</v>
      </c>
    </row>
    <row r="2233" spans="2:23" x14ac:dyDescent="0.25">
      <c r="B2233" s="169" t="s">
        <v>91</v>
      </c>
      <c r="C2233" s="169" t="s">
        <v>56</v>
      </c>
      <c r="D2233" s="169" t="s">
        <v>110</v>
      </c>
      <c r="E2233" s="169" t="s">
        <v>62</v>
      </c>
      <c r="F2233" s="245" t="str">
        <f t="shared" si="139"/>
        <v>RobS 79</v>
      </c>
      <c r="G2233" s="169" t="s">
        <v>9885</v>
      </c>
      <c r="I2233" s="169" t="str">
        <f t="shared" si="141"/>
        <v>L04_GHVFW_004E_ROBBING</v>
      </c>
      <c r="J2233" s="169" t="s">
        <v>10396</v>
      </c>
      <c r="K2233" s="169">
        <f>IFERROR(MATCH(J2233,'Final List'!$B$4:$B$252,0),0)</f>
        <v>0</v>
      </c>
      <c r="L2233" s="169">
        <f>IFERROR(MATCH(J2233,'Final List'!$D$4:$D$252,0),0)</f>
        <v>0</v>
      </c>
      <c r="M2233" s="169">
        <f>IFERROR(MATCH(J2233,'Final List'!$F$4:$F$251,0),0)</f>
        <v>0</v>
      </c>
      <c r="N2233" s="169">
        <f>IFERROR(MATCH(J2233,'Final List'!$H$4:$H$252,0),0)</f>
        <v>0</v>
      </c>
      <c r="O2233" s="169">
        <f>IFERROR(MATCH(J2233,'Final List'!$J$4:$J$252,0),0)</f>
        <v>0</v>
      </c>
      <c r="P2233" s="169">
        <f>IFERROR(MATCH(J2233,'Final List'!$L$4:$L$252,0),0)</f>
        <v>0</v>
      </c>
      <c r="Q2233" s="169">
        <f>IFERROR(MATCH(J2233,'Final List'!$N$4:$N$252,0),0)</f>
        <v>0</v>
      </c>
      <c r="R2233" s="169">
        <f>IFERROR(MATCH(J2233,'Final List'!$P$4:$P$252,0),0)</f>
        <v>0</v>
      </c>
      <c r="S2233" s="169">
        <f t="shared" si="140"/>
        <v>0</v>
      </c>
      <c r="T2233" s="169" t="s">
        <v>68</v>
      </c>
      <c r="V2233" s="169" t="str">
        <f t="shared" si="138"/>
        <v>CAYMAN 2</v>
      </c>
      <c r="W2233" s="169" t="s">
        <v>2707</v>
      </c>
    </row>
    <row r="2234" spans="2:23" x14ac:dyDescent="0.25">
      <c r="B2234" s="169" t="s">
        <v>8904</v>
      </c>
      <c r="C2234" s="169" t="s">
        <v>41</v>
      </c>
      <c r="D2234" s="169" t="s">
        <v>7032</v>
      </c>
      <c r="E2234" s="169" t="s">
        <v>62</v>
      </c>
      <c r="F2234" s="245" t="str">
        <f t="shared" si="139"/>
        <v>RobS 79</v>
      </c>
      <c r="G2234" s="169" t="s">
        <v>10398</v>
      </c>
      <c r="I2234" s="169" t="str">
        <f t="shared" si="141"/>
        <v>L03_CTV_013W_ROBBING</v>
      </c>
      <c r="J2234" s="169" t="s">
        <v>10397</v>
      </c>
      <c r="K2234" s="169">
        <f>IFERROR(MATCH(J2234,'Final List'!$B$4:$B$252,0),0)</f>
        <v>0</v>
      </c>
      <c r="L2234" s="169">
        <f>IFERROR(MATCH(J2234,'Final List'!$D$4:$D$252,0),0)</f>
        <v>0</v>
      </c>
      <c r="M2234" s="169">
        <f>IFERROR(MATCH(J2234,'Final List'!$F$4:$F$251,0),0)</f>
        <v>0</v>
      </c>
      <c r="N2234" s="169">
        <f>IFERROR(MATCH(J2234,'Final List'!$H$4:$H$252,0),0)</f>
        <v>0</v>
      </c>
      <c r="O2234" s="169">
        <f>IFERROR(MATCH(J2234,'Final List'!$J$4:$J$252,0),0)</f>
        <v>0</v>
      </c>
      <c r="P2234" s="169">
        <f>IFERROR(MATCH(J2234,'Final List'!$L$4:$L$252,0),0)</f>
        <v>0</v>
      </c>
      <c r="Q2234" s="169">
        <f>IFERROR(MATCH(J2234,'Final List'!$N$4:$N$252,0),0)</f>
        <v>0</v>
      </c>
      <c r="R2234" s="169">
        <f>IFERROR(MATCH(J2234,'Final List'!$P$4:$P$252,0),0)</f>
        <v>0</v>
      </c>
      <c r="S2234" s="169">
        <f t="shared" si="140"/>
        <v>0</v>
      </c>
      <c r="T2234" s="169" t="s">
        <v>68</v>
      </c>
      <c r="V2234" s="169" t="str">
        <f t="shared" si="138"/>
        <v>FERNANDEZ, RM 5</v>
      </c>
      <c r="W2234" s="169" t="s">
        <v>2707</v>
      </c>
    </row>
    <row r="2235" spans="2:23" x14ac:dyDescent="0.25">
      <c r="B2235" s="169" t="s">
        <v>96</v>
      </c>
      <c r="C2235" s="169" t="s">
        <v>45</v>
      </c>
      <c r="D2235" s="169" t="s">
        <v>226</v>
      </c>
      <c r="E2235" s="169" t="s">
        <v>19</v>
      </c>
      <c r="F2235" s="245" t="str">
        <f t="shared" si="139"/>
        <v>DVR 72</v>
      </c>
      <c r="G2235" s="169" t="s">
        <v>745</v>
      </c>
      <c r="I2235" s="169" t="str">
        <f t="shared" si="141"/>
        <v>L09_DPVE_074E_RAISE</v>
      </c>
      <c r="J2235" s="169" t="s">
        <v>10401</v>
      </c>
      <c r="K2235" s="169">
        <f>IFERROR(MATCH(J2235,'Final List'!$B$4:$B$252,0),0)</f>
        <v>0</v>
      </c>
      <c r="L2235" s="169">
        <f>IFERROR(MATCH(J2235,'Final List'!$D$4:$D$252,0),0)</f>
        <v>0</v>
      </c>
      <c r="M2235" s="169">
        <f>IFERROR(MATCH(J2235,'Final List'!$F$4:$F$251,0),0)</f>
        <v>0</v>
      </c>
      <c r="N2235" s="169">
        <f>IFERROR(MATCH(J2235,'Final List'!$H$4:$H$252,0),0)</f>
        <v>0</v>
      </c>
      <c r="O2235" s="169">
        <f>IFERROR(MATCH(J2235,'Final List'!$J$4:$J$252,0),0)</f>
        <v>0</v>
      </c>
      <c r="P2235" s="169">
        <f>IFERROR(MATCH(J2235,'Final List'!$L$4:$L$252,0),0)</f>
        <v>0</v>
      </c>
      <c r="Q2235" s="169">
        <f>IFERROR(MATCH(J2235,'Final List'!$N$4:$N$252,0),0)</f>
        <v>0</v>
      </c>
      <c r="R2235" s="169">
        <f>IFERROR(MATCH(J2235,'Final List'!$P$4:$P$252,0),0)</f>
        <v>0</v>
      </c>
      <c r="S2235" s="169">
        <f t="shared" si="140"/>
        <v>0</v>
      </c>
      <c r="V2235" s="169" t="str">
        <f t="shared" si="138"/>
        <v>CANOY 2</v>
      </c>
      <c r="W2235" s="169" t="s">
        <v>2715</v>
      </c>
    </row>
    <row r="2236" spans="2:23" x14ac:dyDescent="0.25">
      <c r="B2236" s="169" t="s">
        <v>1166</v>
      </c>
      <c r="C2236" s="169" t="s">
        <v>57</v>
      </c>
      <c r="D2236" s="169" t="s">
        <v>198</v>
      </c>
      <c r="E2236" s="169" t="s">
        <v>19</v>
      </c>
      <c r="F2236" s="245" t="str">
        <f t="shared" si="139"/>
        <v>DVR 72</v>
      </c>
      <c r="G2236" s="169" t="s">
        <v>597</v>
      </c>
      <c r="H2236" s="169" t="s">
        <v>5921</v>
      </c>
      <c r="I2236" s="169" t="str">
        <f t="shared" si="141"/>
        <v>L11_JVSPLIT_069E_RAISE</v>
      </c>
      <c r="J2236" s="169" t="s">
        <v>10475</v>
      </c>
      <c r="K2236" s="169">
        <f>IFERROR(MATCH(J2236,'Final List'!$B$4:$B$252,0),0)</f>
        <v>0</v>
      </c>
      <c r="L2236" s="169">
        <f>IFERROR(MATCH(J2236,'Final List'!$D$4:$D$252,0),0)</f>
        <v>0</v>
      </c>
      <c r="M2236" s="169">
        <f>IFERROR(MATCH(J2236,'Final List'!$F$4:$F$251,0),0)</f>
        <v>0</v>
      </c>
      <c r="N2236" s="169">
        <f>IFERROR(MATCH(J2236,'Final List'!$H$4:$H$252,0),0)</f>
        <v>0</v>
      </c>
      <c r="O2236" s="169">
        <f>IFERROR(MATCH(J2236,'Final List'!$J$4:$J$252,0),0)</f>
        <v>0</v>
      </c>
      <c r="P2236" s="169">
        <f>IFERROR(MATCH(J2236,'Final List'!$L$4:$L$252,0),0)</f>
        <v>0</v>
      </c>
      <c r="Q2236" s="169">
        <f>IFERROR(MATCH(J2236,'Final List'!$N$4:$N$252,0),0)</f>
        <v>0</v>
      </c>
      <c r="R2236" s="169">
        <f>IFERROR(MATCH(J2236,'Final List'!$P$4:$P$252,0),0)</f>
        <v>0</v>
      </c>
      <c r="S2236" s="169">
        <f t="shared" si="140"/>
        <v>0</v>
      </c>
      <c r="V2236" s="169" t="str">
        <f t="shared" si="138"/>
        <v>TURRA 2</v>
      </c>
      <c r="W2236" s="169" t="s">
        <v>2715</v>
      </c>
    </row>
    <row r="2237" spans="2:23" x14ac:dyDescent="0.25">
      <c r="B2237" s="169" t="s">
        <v>1166</v>
      </c>
      <c r="C2237" s="169" t="s">
        <v>87</v>
      </c>
      <c r="D2237" s="169" t="s">
        <v>205</v>
      </c>
      <c r="E2237" s="169" t="s">
        <v>63</v>
      </c>
      <c r="F2237" s="245" t="str">
        <f t="shared" si="139"/>
        <v>Dhoz 71</v>
      </c>
      <c r="G2237" s="169" t="s">
        <v>742</v>
      </c>
      <c r="I2237" s="169" t="str">
        <f t="shared" si="141"/>
        <v>L11_NONE_066E_XCS</v>
      </c>
      <c r="J2237" s="169" t="s">
        <v>10404</v>
      </c>
      <c r="K2237" s="169">
        <f>IFERROR(MATCH(J2237,'Final List'!$B$4:$B$252,0),0)</f>
        <v>0</v>
      </c>
      <c r="L2237" s="169">
        <f>IFERROR(MATCH(J2237,'Final List'!$D$4:$D$252,0),0)</f>
        <v>0</v>
      </c>
      <c r="M2237" s="169">
        <f>IFERROR(MATCH(J2237,'Final List'!$F$4:$F$251,0),0)</f>
        <v>0</v>
      </c>
      <c r="N2237" s="169">
        <f>IFERROR(MATCH(J2237,'Final List'!$H$4:$H$252,0),0)</f>
        <v>0</v>
      </c>
      <c r="O2237" s="169">
        <f>IFERROR(MATCH(J2237,'Final List'!$J$4:$J$252,0),0)</f>
        <v>0</v>
      </c>
      <c r="P2237" s="169">
        <f>IFERROR(MATCH(J2237,'Final List'!$L$4:$L$252,0),0)</f>
        <v>0</v>
      </c>
      <c r="Q2237" s="169">
        <f>IFERROR(MATCH(J2237,'Final List'!$N$4:$N$252,0),0)</f>
        <v>0</v>
      </c>
      <c r="R2237" s="169">
        <f>IFERROR(MATCH(J2237,'Final List'!$P$4:$P$252,0),0)</f>
        <v>0</v>
      </c>
      <c r="S2237" s="169">
        <f t="shared" si="140"/>
        <v>0</v>
      </c>
      <c r="V2237" s="169" t="str">
        <f t="shared" si="138"/>
        <v>REBOTE 2</v>
      </c>
      <c r="W2237" s="169" t="s">
        <v>8898</v>
      </c>
    </row>
    <row r="2238" spans="2:23" x14ac:dyDescent="0.25">
      <c r="B2238" s="169" t="s">
        <v>1167</v>
      </c>
      <c r="C2238" s="169" t="s">
        <v>43</v>
      </c>
      <c r="D2238" s="169" t="s">
        <v>174</v>
      </c>
      <c r="E2238" s="169" t="s">
        <v>60</v>
      </c>
      <c r="F2238" s="245" t="str">
        <f t="shared" si="139"/>
        <v>Dhoz 71</v>
      </c>
      <c r="G2238" s="169" t="s">
        <v>6929</v>
      </c>
      <c r="H2238" s="169" t="s">
        <v>12199</v>
      </c>
      <c r="I2238" s="169" t="str">
        <f t="shared" si="141"/>
        <v>L12_GHVSPLIT_052E_DE</v>
      </c>
      <c r="J2238" s="169" t="s">
        <v>13003</v>
      </c>
      <c r="K2238" s="169">
        <f>IFERROR(MATCH(J2238,'Final List'!$B$4:$B$252,0),0)</f>
        <v>0</v>
      </c>
      <c r="L2238" s="169">
        <f>IFERROR(MATCH(J2238,'Final List'!$D$4:$D$252,0),0)</f>
        <v>0</v>
      </c>
      <c r="M2238" s="169">
        <f>IFERROR(MATCH(J2238,'Final List'!$F$4:$F$251,0),0)</f>
        <v>0</v>
      </c>
      <c r="N2238" s="169">
        <f>IFERROR(MATCH(J2238,'Final List'!$H$4:$H$252,0),0)</f>
        <v>0</v>
      </c>
      <c r="O2238" s="169">
        <f>IFERROR(MATCH(J2238,'Final List'!$J$4:$J$252,0),0)</f>
        <v>0</v>
      </c>
      <c r="P2238" s="169">
        <f>IFERROR(MATCH(J2238,'Final List'!$L$4:$L$252,0),0)</f>
        <v>0</v>
      </c>
      <c r="Q2238" s="169">
        <f>IFERROR(MATCH(J2238,'Final List'!$N$4:$N$252,0),0)</f>
        <v>0</v>
      </c>
      <c r="R2238" s="169">
        <f>IFERROR(MATCH(J2238,'Final List'!$P$4:$P$252,0),0)</f>
        <v>0</v>
      </c>
      <c r="S2238" s="169">
        <f t="shared" si="140"/>
        <v>0</v>
      </c>
      <c r="V2238" s="169" t="str">
        <f t="shared" si="138"/>
        <v>NITRO BF 5</v>
      </c>
      <c r="W2238" s="169" t="s">
        <v>8896</v>
      </c>
    </row>
    <row r="2239" spans="2:23" x14ac:dyDescent="0.25">
      <c r="B2239" s="169" t="s">
        <v>96</v>
      </c>
      <c r="C2239" s="169" t="s">
        <v>45</v>
      </c>
      <c r="D2239" s="169" t="s">
        <v>118</v>
      </c>
      <c r="E2239" s="169" t="s">
        <v>19</v>
      </c>
      <c r="F2239" s="245" t="str">
        <f t="shared" si="139"/>
        <v>DVR 72</v>
      </c>
      <c r="G2239" s="169" t="s">
        <v>5101</v>
      </c>
      <c r="H2239" s="169" t="s">
        <v>349</v>
      </c>
      <c r="I2239" s="169" t="str">
        <f t="shared" si="141"/>
        <v>L09_DPVE_014E_RAISE</v>
      </c>
      <c r="J2239" s="169" t="s">
        <v>10408</v>
      </c>
      <c r="K2239" s="169">
        <f>IFERROR(MATCH(J2239,'Final List'!$B$4:$B$252,0),0)</f>
        <v>0</v>
      </c>
      <c r="L2239" s="169">
        <f>IFERROR(MATCH(J2239,'Final List'!$D$4:$D$252,0),0)</f>
        <v>0</v>
      </c>
      <c r="M2239" s="169">
        <f>IFERROR(MATCH(J2239,'Final List'!$F$4:$F$251,0),0)</f>
        <v>0</v>
      </c>
      <c r="N2239" s="169">
        <f>IFERROR(MATCH(J2239,'Final List'!$H$4:$H$252,0),0)</f>
        <v>0</v>
      </c>
      <c r="O2239" s="169">
        <f>IFERROR(MATCH(J2239,'Final List'!$J$4:$J$252,0),0)</f>
        <v>0</v>
      </c>
      <c r="P2239" s="169">
        <f>IFERROR(MATCH(J2239,'Final List'!$L$4:$L$252,0),0)</f>
        <v>0</v>
      </c>
      <c r="Q2239" s="169">
        <f>IFERROR(MATCH(J2239,'Final List'!$N$4:$N$252,0),0)</f>
        <v>0</v>
      </c>
      <c r="R2239" s="169">
        <f>IFERROR(MATCH(J2239,'Final List'!$P$4:$P$252,0),0)</f>
        <v>0</v>
      </c>
      <c r="S2239" s="169">
        <f t="shared" si="140"/>
        <v>0</v>
      </c>
      <c r="V2239" s="169" t="str">
        <f t="shared" si="138"/>
        <v>QUIJANO 2</v>
      </c>
      <c r="W2239" s="169" t="s">
        <v>2715</v>
      </c>
    </row>
    <row r="2240" spans="2:23" x14ac:dyDescent="0.25">
      <c r="B2240" s="169" t="s">
        <v>91</v>
      </c>
      <c r="C2240" s="169" t="s">
        <v>42</v>
      </c>
      <c r="D2240" s="169" t="s">
        <v>100</v>
      </c>
      <c r="E2240" s="169" t="s">
        <v>60</v>
      </c>
      <c r="F2240" s="245" t="str">
        <f t="shared" si="139"/>
        <v>Dhoz 71</v>
      </c>
      <c r="G2240" s="169" t="s">
        <v>9886</v>
      </c>
      <c r="I2240" s="169" t="str">
        <f t="shared" si="141"/>
        <v>L04_JV_020W_DE</v>
      </c>
      <c r="J2240" s="169" t="s">
        <v>10417</v>
      </c>
      <c r="K2240" s="169">
        <f>IFERROR(MATCH(J2240,'Final List'!$B$4:$B$252,0),0)</f>
        <v>0</v>
      </c>
      <c r="L2240" s="169">
        <f>IFERROR(MATCH(J2240,'Final List'!$D$4:$D$252,0),0)</f>
        <v>0</v>
      </c>
      <c r="M2240" s="169">
        <f>IFERROR(MATCH(J2240,'Final List'!$F$4:$F$251,0),0)</f>
        <v>0</v>
      </c>
      <c r="N2240" s="169">
        <f>IFERROR(MATCH(J2240,'Final List'!$H$4:$H$252,0),0)</f>
        <v>0</v>
      </c>
      <c r="O2240" s="169">
        <f>IFERROR(MATCH(J2240,'Final List'!$J$4:$J$252,0),0)</f>
        <v>0</v>
      </c>
      <c r="P2240" s="169">
        <f>IFERROR(MATCH(J2240,'Final List'!$L$4:$L$252,0),0)</f>
        <v>0</v>
      </c>
      <c r="Q2240" s="169">
        <f>IFERROR(MATCH(J2240,'Final List'!$N$4:$N$252,0),0)</f>
        <v>0</v>
      </c>
      <c r="R2240" s="169">
        <f>IFERROR(MATCH(J2240,'Final List'!$P$4:$P$252,0),0)</f>
        <v>0</v>
      </c>
      <c r="S2240" s="169">
        <f t="shared" si="140"/>
        <v>0</v>
      </c>
      <c r="V2240" s="169" t="str">
        <f t="shared" si="138"/>
        <v>CAYMAN 1</v>
      </c>
      <c r="W2240" s="169" t="s">
        <v>8895</v>
      </c>
    </row>
    <row r="2241" spans="2:23" x14ac:dyDescent="0.25">
      <c r="B2241" s="169" t="s">
        <v>1166</v>
      </c>
      <c r="C2241" s="169" t="s">
        <v>45</v>
      </c>
      <c r="D2241" s="169" t="s">
        <v>168</v>
      </c>
      <c r="E2241" s="169" t="s">
        <v>60</v>
      </c>
      <c r="F2241" s="245" t="str">
        <f t="shared" si="139"/>
        <v>Dhoz 71</v>
      </c>
      <c r="G2241" s="169" t="s">
        <v>6954</v>
      </c>
      <c r="I2241" s="169" t="str">
        <f t="shared" si="141"/>
        <v>L11_DPVE_047E_DE</v>
      </c>
      <c r="J2241" s="169" t="s">
        <v>10477</v>
      </c>
      <c r="K2241" s="169">
        <f>IFERROR(MATCH(J2241,'Final List'!$B$4:$B$252,0),0)</f>
        <v>0</v>
      </c>
      <c r="L2241" s="169">
        <f>IFERROR(MATCH(J2241,'Final List'!$D$4:$D$252,0),0)</f>
        <v>0</v>
      </c>
      <c r="M2241" s="169">
        <f>IFERROR(MATCH(J2241,'Final List'!$F$4:$F$251,0),0)</f>
        <v>0</v>
      </c>
      <c r="N2241" s="169">
        <f>IFERROR(MATCH(J2241,'Final List'!$H$4:$H$252,0),0)</f>
        <v>0</v>
      </c>
      <c r="O2241" s="169">
        <f>IFERROR(MATCH(J2241,'Final List'!$J$4:$J$252,0),0)</f>
        <v>0</v>
      </c>
      <c r="P2241" s="169">
        <f>IFERROR(MATCH(J2241,'Final List'!$L$4:$L$252,0),0)</f>
        <v>0</v>
      </c>
      <c r="Q2241" s="169">
        <f>IFERROR(MATCH(J2241,'Final List'!$N$4:$N$252,0),0)</f>
        <v>0</v>
      </c>
      <c r="R2241" s="169">
        <f>IFERROR(MATCH(J2241,'Final List'!$P$4:$P$252,0),0)</f>
        <v>0</v>
      </c>
      <c r="S2241" s="169">
        <f t="shared" si="140"/>
        <v>0</v>
      </c>
      <c r="V2241" s="169" t="str">
        <f t="shared" ref="V2241:V2304" si="142">IF(H2241="",G2241,H2241)</f>
        <v>BADBADON</v>
      </c>
      <c r="W2241" s="169" t="s">
        <v>8896</v>
      </c>
    </row>
    <row r="2242" spans="2:23" x14ac:dyDescent="0.25">
      <c r="B2242" s="169" t="s">
        <v>95</v>
      </c>
      <c r="C2242" s="169" t="s">
        <v>45</v>
      </c>
      <c r="D2242" s="169" t="s">
        <v>170</v>
      </c>
      <c r="E2242" s="169" t="s">
        <v>6143</v>
      </c>
      <c r="F2242" s="245" t="str">
        <f t="shared" si="139"/>
        <v>Dhoz 71</v>
      </c>
      <c r="G2242" s="169" t="s">
        <v>305</v>
      </c>
      <c r="I2242" s="169" t="str">
        <f t="shared" si="141"/>
        <v>L08_DPVE_071E_DE_ISL</v>
      </c>
      <c r="J2242" s="169" t="s">
        <v>10415</v>
      </c>
      <c r="K2242" s="169">
        <f>IFERROR(MATCH(J2242,'Final List'!$B$4:$B$252,0),0)</f>
        <v>0</v>
      </c>
      <c r="L2242" s="169">
        <f>IFERROR(MATCH(J2242,'Final List'!$D$4:$D$252,0),0)</f>
        <v>0</v>
      </c>
      <c r="M2242" s="169">
        <f>IFERROR(MATCH(J2242,'Final List'!$F$4:$F$251,0),0)</f>
        <v>0</v>
      </c>
      <c r="N2242" s="169">
        <f>IFERROR(MATCH(J2242,'Final List'!$H$4:$H$252,0),0)</f>
        <v>0</v>
      </c>
      <c r="O2242" s="169">
        <f>IFERROR(MATCH(J2242,'Final List'!$J$4:$J$252,0),0)</f>
        <v>0</v>
      </c>
      <c r="P2242" s="169">
        <f>IFERROR(MATCH(J2242,'Final List'!$L$4:$L$252,0),0)</f>
        <v>0</v>
      </c>
      <c r="Q2242" s="169">
        <f>IFERROR(MATCH(J2242,'Final List'!$N$4:$N$252,0),0)</f>
        <v>0</v>
      </c>
      <c r="R2242" s="169">
        <f>IFERROR(MATCH(J2242,'Final List'!$P$4:$P$252,0),0)</f>
        <v>0</v>
      </c>
      <c r="S2242" s="169">
        <f t="shared" si="140"/>
        <v>0</v>
      </c>
      <c r="V2242" s="169" t="str">
        <f t="shared" si="142"/>
        <v>CABONITA 1</v>
      </c>
      <c r="W2242" s="169" t="s">
        <v>2708</v>
      </c>
    </row>
    <row r="2243" spans="2:23" x14ac:dyDescent="0.25">
      <c r="B2243" s="169" t="s">
        <v>258</v>
      </c>
      <c r="C2243" s="169" t="s">
        <v>59</v>
      </c>
      <c r="D2243" s="169" t="s">
        <v>218</v>
      </c>
      <c r="E2243" s="169" t="s">
        <v>19</v>
      </c>
      <c r="F2243" s="245" t="str">
        <f t="shared" ref="F2243:F2306" si="143">IF(OR(E2243="XCN",E2243="DE",E2243="DW",E2243="DN",E2243="XCS",E2243="XCE",E2243="XCW",E2243="SUMP",E2243="BYPASS",E2243="CHAMBER",E2243="DRAIN HOLE",E2243="DRILLING CHAMBER",E2243="DE_ISL",E2243="DW_ISL",E2243="REHAB"),"Dhoz 71",IF(OR(E2243="RAISE",E2243="RAISE_ISL"),"DVR 72",IF(E2243="ALIMAK","DVA 73",IF(E2243="WINZE","DVW 74",IF(E2243="SHAFT","DVS 75",IF(AND(E2243="WINZE STOPE",T2243="S"),"RobC 80",IF(AND(E2243="STOPE",T2243="S"),"StpS 77",IF(AND(E2243="WINZE STOPE",T2243="L"),"RobC 80",IF(AND(E2243="STOPE",T2243="L"),"StpL 78",IF(AND(E2243="WINZE STOPE PREP",T2243="S"),"RobC 80",IF(AND(E2243="STOPE PREP",T2243="S"),"StpS 77",IF(AND(E2243="WINZE STOPE PREP",T2243="L"),"RobC 80",IF(AND(E2243="STOPE PREP",T2243="L"),"StpL 78",IF(AND(E2243="ROBBING",T2243="L"),"RobC 80",IF(AND(E2243="ROBBING",T2243="S"),"RobS 79",0)))))))))))))))</f>
        <v>DVR 72</v>
      </c>
      <c r="G2243" s="169" t="s">
        <v>319</v>
      </c>
      <c r="H2243" s="169" t="s">
        <v>10635</v>
      </c>
      <c r="I2243" s="169" t="str">
        <f t="shared" si="141"/>
        <v>L10_GHVHW_062E_RAISE</v>
      </c>
      <c r="J2243" s="169" t="s">
        <v>10427</v>
      </c>
      <c r="K2243" s="169">
        <f>IFERROR(MATCH(J2243,'Final List'!$B$4:$B$252,0),0)</f>
        <v>0</v>
      </c>
      <c r="L2243" s="169">
        <f>IFERROR(MATCH(J2243,'Final List'!$D$4:$D$252,0),0)</f>
        <v>0</v>
      </c>
      <c r="M2243" s="169">
        <f>IFERROR(MATCH(J2243,'Final List'!$F$4:$F$251,0),0)</f>
        <v>0</v>
      </c>
      <c r="N2243" s="169">
        <f>IFERROR(MATCH(J2243,'Final List'!$H$4:$H$252,0),0)</f>
        <v>0</v>
      </c>
      <c r="O2243" s="169">
        <f>IFERROR(MATCH(J2243,'Final List'!$J$4:$J$252,0),0)</f>
        <v>0</v>
      </c>
      <c r="P2243" s="169">
        <f>IFERROR(MATCH(J2243,'Final List'!$L$4:$L$252,0),0)</f>
        <v>0</v>
      </c>
      <c r="Q2243" s="169">
        <f>IFERROR(MATCH(J2243,'Final List'!$N$4:$N$252,0),0)</f>
        <v>0</v>
      </c>
      <c r="R2243" s="169">
        <f>IFERROR(MATCH(J2243,'Final List'!$P$4:$P$252,0),0)</f>
        <v>0</v>
      </c>
      <c r="S2243" s="169">
        <f t="shared" ref="S2243:S2306" si="144">SUM(K2243:R2243)</f>
        <v>0</v>
      </c>
      <c r="V2243" s="169" t="str">
        <f t="shared" si="142"/>
        <v>SHEPHERD BD</v>
      </c>
      <c r="W2243" s="169" t="s">
        <v>2715</v>
      </c>
    </row>
    <row r="2244" spans="2:23" x14ac:dyDescent="0.25">
      <c r="B2244" s="169" t="s">
        <v>258</v>
      </c>
      <c r="C2244" s="169" t="s">
        <v>45</v>
      </c>
      <c r="D2244" s="169" t="s">
        <v>10429</v>
      </c>
      <c r="E2244" s="169" t="s">
        <v>60</v>
      </c>
      <c r="F2244" s="245" t="str">
        <f t="shared" si="143"/>
        <v>Dhoz 71</v>
      </c>
      <c r="G2244" s="169" t="s">
        <v>5705</v>
      </c>
      <c r="H2244" s="169" t="s">
        <v>11733</v>
      </c>
      <c r="I2244" s="169" t="str">
        <f t="shared" si="141"/>
        <v>L10_DPVE_098E_DE</v>
      </c>
      <c r="J2244" s="169" t="s">
        <v>10428</v>
      </c>
      <c r="K2244" s="169">
        <f>IFERROR(MATCH(J2244,'Final List'!$B$4:$B$252,0),0)</f>
        <v>0</v>
      </c>
      <c r="L2244" s="169">
        <f>IFERROR(MATCH(J2244,'Final List'!$D$4:$D$252,0),0)</f>
        <v>0</v>
      </c>
      <c r="M2244" s="169">
        <f>IFERROR(MATCH(J2244,'Final List'!$F$4:$F$251,0),0)</f>
        <v>0</v>
      </c>
      <c r="N2244" s="169">
        <f>IFERROR(MATCH(J2244,'Final List'!$H$4:$H$252,0),0)</f>
        <v>0</v>
      </c>
      <c r="O2244" s="169">
        <f>IFERROR(MATCH(J2244,'Final List'!$J$4:$J$252,0),0)</f>
        <v>0</v>
      </c>
      <c r="P2244" s="169">
        <f>IFERROR(MATCH(J2244,'Final List'!$L$4:$L$252,0),0)</f>
        <v>0</v>
      </c>
      <c r="Q2244" s="169">
        <f>IFERROR(MATCH(J2244,'Final List'!$N$4:$N$252,0),0)</f>
        <v>0</v>
      </c>
      <c r="R2244" s="169">
        <f>IFERROR(MATCH(J2244,'Final List'!$P$4:$P$252,0),0)</f>
        <v>0</v>
      </c>
      <c r="S2244" s="169">
        <f t="shared" si="144"/>
        <v>0</v>
      </c>
      <c r="V2244" s="169" t="str">
        <f t="shared" si="142"/>
        <v>SHEPERD AX</v>
      </c>
      <c r="W2244" s="169" t="s">
        <v>8896</v>
      </c>
    </row>
    <row r="2245" spans="2:23" x14ac:dyDescent="0.25">
      <c r="B2245" s="169" t="s">
        <v>92</v>
      </c>
      <c r="C2245" s="169" t="s">
        <v>43</v>
      </c>
      <c r="D2245" s="169" t="s">
        <v>10459</v>
      </c>
      <c r="E2245" s="169" t="s">
        <v>62</v>
      </c>
      <c r="F2245" s="245" t="str">
        <f t="shared" si="143"/>
        <v>RobS 79</v>
      </c>
      <c r="G2245" s="169" t="s">
        <v>8353</v>
      </c>
      <c r="I2245" s="169" t="str">
        <f t="shared" si="141"/>
        <v>L05_GHVSPLIT_045W_ROBBING</v>
      </c>
      <c r="J2245" s="169" t="s">
        <v>10458</v>
      </c>
      <c r="K2245" s="169">
        <f>IFERROR(MATCH(J2245,'Final List'!$B$4:$B$252,0),0)</f>
        <v>0</v>
      </c>
      <c r="L2245" s="169">
        <f>IFERROR(MATCH(J2245,'Final List'!$D$4:$D$252,0),0)</f>
        <v>0</v>
      </c>
      <c r="M2245" s="169">
        <f>IFERROR(MATCH(J2245,'Final List'!$F$4:$F$251,0),0)</f>
        <v>0</v>
      </c>
      <c r="N2245" s="169">
        <f>IFERROR(MATCH(J2245,'Final List'!$H$4:$H$252,0),0)</f>
        <v>0</v>
      </c>
      <c r="O2245" s="169">
        <f>IFERROR(MATCH(J2245,'Final List'!$J$4:$J$252,0),0)</f>
        <v>0</v>
      </c>
      <c r="P2245" s="169">
        <f>IFERROR(MATCH(J2245,'Final List'!$L$4:$L$252,0),0)</f>
        <v>0</v>
      </c>
      <c r="Q2245" s="169">
        <f>IFERROR(MATCH(J2245,'Final List'!$N$4:$N$252,0),0)</f>
        <v>0</v>
      </c>
      <c r="R2245" s="169">
        <f>IFERROR(MATCH(J2245,'Final List'!$P$4:$P$252,0),0)</f>
        <v>0</v>
      </c>
      <c r="S2245" s="169">
        <f t="shared" si="144"/>
        <v>0</v>
      </c>
      <c r="T2245" s="169" t="s">
        <v>68</v>
      </c>
      <c r="V2245" s="169" t="str">
        <f t="shared" si="142"/>
        <v>BAYOBAY</v>
      </c>
      <c r="W2245" s="169" t="s">
        <v>236</v>
      </c>
    </row>
    <row r="2246" spans="2:23" x14ac:dyDescent="0.25">
      <c r="B2246" s="169" t="s">
        <v>92</v>
      </c>
      <c r="C2246" s="169" t="s">
        <v>43</v>
      </c>
      <c r="D2246" s="169" t="s">
        <v>6941</v>
      </c>
      <c r="E2246" s="169" t="s">
        <v>19</v>
      </c>
      <c r="F2246" s="245" t="str">
        <f t="shared" si="143"/>
        <v>DVR 72</v>
      </c>
      <c r="G2246" s="169" t="s">
        <v>8197</v>
      </c>
      <c r="H2246" s="169" t="s">
        <v>10894</v>
      </c>
      <c r="I2246" s="169" t="str">
        <f t="shared" si="141"/>
        <v>L05_GHVSPLIT_031W_RAISE</v>
      </c>
      <c r="J2246" s="169" t="s">
        <v>10431</v>
      </c>
      <c r="K2246" s="169">
        <f>IFERROR(MATCH(J2246,'Final List'!$B$4:$B$252,0),0)</f>
        <v>0</v>
      </c>
      <c r="L2246" s="169">
        <f>IFERROR(MATCH(J2246,'Final List'!$D$4:$D$252,0),0)</f>
        <v>0</v>
      </c>
      <c r="M2246" s="169">
        <f>IFERROR(MATCH(J2246,'Final List'!$F$4:$F$251,0),0)</f>
        <v>0</v>
      </c>
      <c r="N2246" s="169">
        <f>IFERROR(MATCH(J2246,'Final List'!$H$4:$H$252,0),0)</f>
        <v>0</v>
      </c>
      <c r="O2246" s="169">
        <f>IFERROR(MATCH(J2246,'Final List'!$J$4:$J$252,0),0)</f>
        <v>0</v>
      </c>
      <c r="P2246" s="169">
        <f>IFERROR(MATCH(J2246,'Final List'!$L$4:$L$252,0),0)</f>
        <v>0</v>
      </c>
      <c r="Q2246" s="169">
        <f>IFERROR(MATCH(J2246,'Final List'!$N$4:$N$252,0),0)</f>
        <v>0</v>
      </c>
      <c r="R2246" s="169">
        <f>IFERROR(MATCH(J2246,'Final List'!$P$4:$P$252,0),0)</f>
        <v>0</v>
      </c>
      <c r="S2246" s="169">
        <f t="shared" si="144"/>
        <v>0</v>
      </c>
      <c r="V2246" s="169" t="str">
        <f t="shared" si="142"/>
        <v>SHEPHERD BB 2</v>
      </c>
      <c r="W2246" s="169" t="s">
        <v>2715</v>
      </c>
    </row>
    <row r="2247" spans="2:23" x14ac:dyDescent="0.25">
      <c r="B2247" s="169" t="s">
        <v>92</v>
      </c>
      <c r="C2247" s="169" t="s">
        <v>45</v>
      </c>
      <c r="D2247" s="169" t="s">
        <v>161</v>
      </c>
      <c r="E2247" s="169" t="s">
        <v>62</v>
      </c>
      <c r="F2247" s="245" t="str">
        <f t="shared" si="143"/>
        <v>RobS 79</v>
      </c>
      <c r="G2247" s="169" t="s">
        <v>636</v>
      </c>
      <c r="I2247" s="169" t="str">
        <f t="shared" si="141"/>
        <v>L05_DPVE_044E_ROBBING</v>
      </c>
      <c r="J2247" s="169" t="s">
        <v>10432</v>
      </c>
      <c r="K2247" s="169">
        <f>IFERROR(MATCH(J2247,'Final List'!$B$4:$B$252,0),0)</f>
        <v>0</v>
      </c>
      <c r="L2247" s="169">
        <f>IFERROR(MATCH(J2247,'Final List'!$D$4:$D$252,0),0)</f>
        <v>0</v>
      </c>
      <c r="M2247" s="169">
        <f>IFERROR(MATCH(J2247,'Final List'!$F$4:$F$251,0),0)</f>
        <v>0</v>
      </c>
      <c r="N2247" s="169">
        <f>IFERROR(MATCH(J2247,'Final List'!$H$4:$H$252,0),0)</f>
        <v>0</v>
      </c>
      <c r="O2247" s="169">
        <f>IFERROR(MATCH(J2247,'Final List'!$J$4:$J$252,0),0)</f>
        <v>0</v>
      </c>
      <c r="P2247" s="169">
        <f>IFERROR(MATCH(J2247,'Final List'!$L$4:$L$252,0),0)</f>
        <v>0</v>
      </c>
      <c r="Q2247" s="169">
        <f>IFERROR(MATCH(J2247,'Final List'!$N$4:$N$252,0),0)</f>
        <v>0</v>
      </c>
      <c r="R2247" s="169">
        <f>IFERROR(MATCH(J2247,'Final List'!$P$4:$P$252,0),0)</f>
        <v>0</v>
      </c>
      <c r="S2247" s="169">
        <f t="shared" si="144"/>
        <v>0</v>
      </c>
      <c r="T2247" s="169" t="s">
        <v>68</v>
      </c>
      <c r="V2247" s="169" t="str">
        <f t="shared" si="142"/>
        <v>PANCIT, NOEL 5</v>
      </c>
      <c r="W2247" s="169" t="s">
        <v>2707</v>
      </c>
    </row>
    <row r="2248" spans="2:23" x14ac:dyDescent="0.25">
      <c r="B2248" s="169" t="s">
        <v>258</v>
      </c>
      <c r="C2248" s="169" t="s">
        <v>43</v>
      </c>
      <c r="D2248" s="169" t="s">
        <v>165</v>
      </c>
      <c r="E2248" s="169" t="s">
        <v>60</v>
      </c>
      <c r="F2248" s="245" t="str">
        <f t="shared" si="143"/>
        <v>Dhoz 71</v>
      </c>
      <c r="G2248" s="169" t="s">
        <v>10164</v>
      </c>
      <c r="I2248" s="169" t="str">
        <f t="shared" si="141"/>
        <v>L10_GHVSPLIT_056E_DE</v>
      </c>
      <c r="J2248" s="169" t="s">
        <v>10434</v>
      </c>
      <c r="K2248" s="169">
        <f>IFERROR(MATCH(J2248,'Final List'!$B$4:$B$252,0),0)</f>
        <v>0</v>
      </c>
      <c r="L2248" s="169">
        <f>IFERROR(MATCH(J2248,'Final List'!$D$4:$D$252,0),0)</f>
        <v>0</v>
      </c>
      <c r="M2248" s="169">
        <f>IFERROR(MATCH(J2248,'Final List'!$F$4:$F$251,0),0)</f>
        <v>0</v>
      </c>
      <c r="N2248" s="169">
        <f>IFERROR(MATCH(J2248,'Final List'!$H$4:$H$252,0),0)</f>
        <v>0</v>
      </c>
      <c r="O2248" s="169">
        <f>IFERROR(MATCH(J2248,'Final List'!$J$4:$J$252,0),0)</f>
        <v>0</v>
      </c>
      <c r="P2248" s="169">
        <f>IFERROR(MATCH(J2248,'Final List'!$L$4:$L$252,0),0)</f>
        <v>0</v>
      </c>
      <c r="Q2248" s="169">
        <f>IFERROR(MATCH(J2248,'Final List'!$N$4:$N$252,0),0)</f>
        <v>0</v>
      </c>
      <c r="R2248" s="169">
        <f>IFERROR(MATCH(J2248,'Final List'!$P$4:$P$252,0),0)</f>
        <v>0</v>
      </c>
      <c r="S2248" s="169">
        <f t="shared" si="144"/>
        <v>0</v>
      </c>
      <c r="V2248" s="169" t="str">
        <f t="shared" si="142"/>
        <v>SHEPHERD BA 1</v>
      </c>
      <c r="W2248" s="169" t="s">
        <v>8896</v>
      </c>
    </row>
    <row r="2249" spans="2:23" x14ac:dyDescent="0.25">
      <c r="B2249" s="169" t="s">
        <v>92</v>
      </c>
      <c r="C2249" s="169" t="s">
        <v>45</v>
      </c>
      <c r="D2249" s="169" t="s">
        <v>5723</v>
      </c>
      <c r="E2249" s="169" t="s">
        <v>20</v>
      </c>
      <c r="F2249" s="245" t="str">
        <f t="shared" si="143"/>
        <v>DVW 74</v>
      </c>
      <c r="G2249" s="169" t="s">
        <v>10684</v>
      </c>
      <c r="I2249" s="169" t="str">
        <f t="shared" si="141"/>
        <v>L05_DPVE_046E_WINZE</v>
      </c>
      <c r="J2249" s="169" t="s">
        <v>10435</v>
      </c>
      <c r="K2249" s="169">
        <f>IFERROR(MATCH(J2249,'Final List'!$B$4:$B$252,0),0)</f>
        <v>0</v>
      </c>
      <c r="L2249" s="169">
        <f>IFERROR(MATCH(J2249,'Final List'!$D$4:$D$252,0),0)</f>
        <v>0</v>
      </c>
      <c r="M2249" s="169">
        <f>IFERROR(MATCH(J2249,'Final List'!$F$4:$F$251,0),0)</f>
        <v>0</v>
      </c>
      <c r="N2249" s="169">
        <f>IFERROR(MATCH(J2249,'Final List'!$H$4:$H$252,0),0)</f>
        <v>0</v>
      </c>
      <c r="O2249" s="169">
        <f>IFERROR(MATCH(J2249,'Final List'!$J$4:$J$252,0),0)</f>
        <v>0</v>
      </c>
      <c r="P2249" s="169">
        <f>IFERROR(MATCH(J2249,'Final List'!$L$4:$L$252,0),0)</f>
        <v>0</v>
      </c>
      <c r="Q2249" s="169">
        <f>IFERROR(MATCH(J2249,'Final List'!$N$4:$N$252,0),0)</f>
        <v>0</v>
      </c>
      <c r="R2249" s="169">
        <f>IFERROR(MATCH(J2249,'Final List'!$P$4:$P$252,0),0)</f>
        <v>0</v>
      </c>
      <c r="S2249" s="169">
        <f t="shared" si="144"/>
        <v>0</v>
      </c>
      <c r="V2249" s="169" t="str">
        <f t="shared" si="142"/>
        <v>SHEPHERD AY</v>
      </c>
      <c r="W2249" s="169" t="s">
        <v>2706</v>
      </c>
    </row>
    <row r="2250" spans="2:23" x14ac:dyDescent="0.25">
      <c r="B2250" s="169" t="s">
        <v>95</v>
      </c>
      <c r="C2250" s="169" t="s">
        <v>57</v>
      </c>
      <c r="D2250" s="169" t="s">
        <v>5975</v>
      </c>
      <c r="E2250" s="169" t="s">
        <v>62</v>
      </c>
      <c r="F2250" s="245" t="str">
        <f t="shared" si="143"/>
        <v>RobS 79</v>
      </c>
      <c r="G2250" s="169" t="s">
        <v>6936</v>
      </c>
      <c r="I2250" s="169" t="str">
        <f t="shared" si="141"/>
        <v>L08_JVSPLIT_028E_ROBBING</v>
      </c>
      <c r="J2250" s="169" t="s">
        <v>10438</v>
      </c>
      <c r="K2250" s="169">
        <f>IFERROR(MATCH(J2250,'Final List'!$B$4:$B$252,0),0)</f>
        <v>0</v>
      </c>
      <c r="L2250" s="169">
        <f>IFERROR(MATCH(J2250,'Final List'!$D$4:$D$252,0),0)</f>
        <v>0</v>
      </c>
      <c r="M2250" s="169">
        <f>IFERROR(MATCH(J2250,'Final List'!$F$4:$F$251,0),0)</f>
        <v>0</v>
      </c>
      <c r="N2250" s="169">
        <f>IFERROR(MATCH(J2250,'Final List'!$H$4:$H$252,0),0)</f>
        <v>0</v>
      </c>
      <c r="O2250" s="169">
        <f>IFERROR(MATCH(J2250,'Final List'!$J$4:$J$252,0),0)</f>
        <v>0</v>
      </c>
      <c r="P2250" s="169">
        <f>IFERROR(MATCH(J2250,'Final List'!$L$4:$L$252,0),0)</f>
        <v>0</v>
      </c>
      <c r="Q2250" s="169">
        <f>IFERROR(MATCH(J2250,'Final List'!$N$4:$N$252,0),0)</f>
        <v>0</v>
      </c>
      <c r="R2250" s="169">
        <f>IFERROR(MATCH(J2250,'Final List'!$P$4:$P$252,0),0)</f>
        <v>0</v>
      </c>
      <c r="S2250" s="169">
        <f t="shared" si="144"/>
        <v>0</v>
      </c>
      <c r="T2250" s="169" t="s">
        <v>68</v>
      </c>
      <c r="V2250" s="169" t="str">
        <f t="shared" si="142"/>
        <v>OSWAY 1</v>
      </c>
      <c r="W2250" s="169" t="s">
        <v>2707</v>
      </c>
    </row>
    <row r="2251" spans="2:23" x14ac:dyDescent="0.25">
      <c r="B2251" s="169" t="s">
        <v>92</v>
      </c>
      <c r="C2251" s="169" t="s">
        <v>45</v>
      </c>
      <c r="D2251" s="169" t="s">
        <v>174</v>
      </c>
      <c r="E2251" s="169" t="s">
        <v>19</v>
      </c>
      <c r="F2251" s="245" t="str">
        <f t="shared" si="143"/>
        <v>DVR 72</v>
      </c>
      <c r="G2251" s="169" t="s">
        <v>636</v>
      </c>
      <c r="I2251" s="169" t="str">
        <f t="shared" si="141"/>
        <v>L05_DPVE_052E_RAISE</v>
      </c>
      <c r="J2251" s="169" t="s">
        <v>10443</v>
      </c>
      <c r="K2251" s="169">
        <f>IFERROR(MATCH(J2251,'Final List'!$B$4:$B$252,0),0)</f>
        <v>0</v>
      </c>
      <c r="L2251" s="169">
        <f>IFERROR(MATCH(J2251,'Final List'!$D$4:$D$252,0),0)</f>
        <v>0</v>
      </c>
      <c r="M2251" s="169">
        <f>IFERROR(MATCH(J2251,'Final List'!$F$4:$F$251,0),0)</f>
        <v>0</v>
      </c>
      <c r="N2251" s="169">
        <f>IFERROR(MATCH(J2251,'Final List'!$H$4:$H$252,0),0)</f>
        <v>0</v>
      </c>
      <c r="O2251" s="169">
        <f>IFERROR(MATCH(J2251,'Final List'!$J$4:$J$252,0),0)</f>
        <v>0</v>
      </c>
      <c r="P2251" s="169">
        <f>IFERROR(MATCH(J2251,'Final List'!$L$4:$L$252,0),0)</f>
        <v>0</v>
      </c>
      <c r="Q2251" s="169">
        <f>IFERROR(MATCH(J2251,'Final List'!$N$4:$N$252,0),0)</f>
        <v>0</v>
      </c>
      <c r="R2251" s="169">
        <f>IFERROR(MATCH(J2251,'Final List'!$P$4:$P$252,0),0)</f>
        <v>0</v>
      </c>
      <c r="S2251" s="169">
        <f t="shared" si="144"/>
        <v>0</v>
      </c>
      <c r="V2251" s="169" t="str">
        <f t="shared" si="142"/>
        <v>PANCIT, NOEL 5</v>
      </c>
      <c r="W2251" s="169" t="s">
        <v>2715</v>
      </c>
    </row>
    <row r="2252" spans="2:23" x14ac:dyDescent="0.25">
      <c r="B2252" s="169" t="s">
        <v>258</v>
      </c>
      <c r="C2252" s="169" t="s">
        <v>59</v>
      </c>
      <c r="D2252" s="169" t="s">
        <v>111</v>
      </c>
      <c r="E2252" s="169" t="s">
        <v>60</v>
      </c>
      <c r="F2252" s="245" t="str">
        <f t="shared" si="143"/>
        <v>Dhoz 71</v>
      </c>
      <c r="G2252" s="169" t="s">
        <v>318</v>
      </c>
      <c r="H2252" s="169" t="s">
        <v>10635</v>
      </c>
      <c r="I2252" s="169" t="str">
        <f t="shared" si="141"/>
        <v>L10_GHVHW_004W_DE</v>
      </c>
      <c r="J2252" s="169" t="s">
        <v>10448</v>
      </c>
      <c r="K2252" s="169">
        <f>IFERROR(MATCH(J2252,'Final List'!$B$4:$B$252,0),0)</f>
        <v>0</v>
      </c>
      <c r="L2252" s="169">
        <f>IFERROR(MATCH(J2252,'Final List'!$D$4:$D$252,0),0)</f>
        <v>0</v>
      </c>
      <c r="M2252" s="169">
        <f>IFERROR(MATCH(J2252,'Final List'!$F$4:$F$251,0),0)</f>
        <v>0</v>
      </c>
      <c r="N2252" s="169">
        <f>IFERROR(MATCH(J2252,'Final List'!$H$4:$H$252,0),0)</f>
        <v>0</v>
      </c>
      <c r="O2252" s="169">
        <f>IFERROR(MATCH(J2252,'Final List'!$J$4:$J$252,0),0)</f>
        <v>0</v>
      </c>
      <c r="P2252" s="169">
        <f>IFERROR(MATCH(J2252,'Final List'!$L$4:$L$252,0),0)</f>
        <v>0</v>
      </c>
      <c r="Q2252" s="169">
        <f>IFERROR(MATCH(J2252,'Final List'!$N$4:$N$252,0),0)</f>
        <v>0</v>
      </c>
      <c r="R2252" s="169">
        <f>IFERROR(MATCH(J2252,'Final List'!$P$4:$P$252,0),0)</f>
        <v>0</v>
      </c>
      <c r="S2252" s="169">
        <f t="shared" si="144"/>
        <v>0</v>
      </c>
      <c r="V2252" s="169" t="str">
        <f t="shared" si="142"/>
        <v>SHEPHERD BD</v>
      </c>
      <c r="W2252" s="169" t="s">
        <v>8896</v>
      </c>
    </row>
    <row r="2253" spans="2:23" x14ac:dyDescent="0.25">
      <c r="B2253" s="169" t="s">
        <v>1166</v>
      </c>
      <c r="C2253" s="169" t="s">
        <v>42</v>
      </c>
      <c r="D2253" s="169" t="s">
        <v>289</v>
      </c>
      <c r="E2253" s="169" t="s">
        <v>60</v>
      </c>
      <c r="F2253" s="245" t="str">
        <f t="shared" si="143"/>
        <v>Dhoz 71</v>
      </c>
      <c r="G2253" s="169" t="s">
        <v>452</v>
      </c>
      <c r="I2253" s="169" t="str">
        <f t="shared" si="141"/>
        <v>L11_JV_059E_DE</v>
      </c>
      <c r="J2253" s="169" t="s">
        <v>10449</v>
      </c>
      <c r="K2253" s="169">
        <f>IFERROR(MATCH(J2253,'Final List'!$B$4:$B$252,0),0)</f>
        <v>0</v>
      </c>
      <c r="L2253" s="169">
        <f>IFERROR(MATCH(J2253,'Final List'!$D$4:$D$252,0),0)</f>
        <v>0</v>
      </c>
      <c r="M2253" s="169">
        <f>IFERROR(MATCH(J2253,'Final List'!$F$4:$F$251,0),0)</f>
        <v>0</v>
      </c>
      <c r="N2253" s="169">
        <f>IFERROR(MATCH(J2253,'Final List'!$H$4:$H$252,0),0)</f>
        <v>0</v>
      </c>
      <c r="O2253" s="169">
        <f>IFERROR(MATCH(J2253,'Final List'!$J$4:$J$252,0),0)</f>
        <v>0</v>
      </c>
      <c r="P2253" s="169">
        <f>IFERROR(MATCH(J2253,'Final List'!$L$4:$L$252,0),0)</f>
        <v>0</v>
      </c>
      <c r="Q2253" s="169">
        <f>IFERROR(MATCH(J2253,'Final List'!$N$4:$N$252,0),0)</f>
        <v>0</v>
      </c>
      <c r="R2253" s="169">
        <f>IFERROR(MATCH(J2253,'Final List'!$P$4:$P$252,0),0)</f>
        <v>0</v>
      </c>
      <c r="S2253" s="169">
        <f t="shared" si="144"/>
        <v>0</v>
      </c>
      <c r="V2253" s="169" t="str">
        <f t="shared" si="142"/>
        <v>BAÑEZ 6</v>
      </c>
      <c r="W2253" s="169" t="s">
        <v>8896</v>
      </c>
    </row>
    <row r="2254" spans="2:23" x14ac:dyDescent="0.25">
      <c r="B2254" s="169" t="s">
        <v>91</v>
      </c>
      <c r="C2254" s="169" t="s">
        <v>87</v>
      </c>
      <c r="D2254" s="169" t="s">
        <v>101</v>
      </c>
      <c r="E2254" s="169" t="s">
        <v>6956</v>
      </c>
      <c r="F2254" s="245" t="s">
        <v>12992</v>
      </c>
      <c r="G2254" s="169" t="s">
        <v>10002</v>
      </c>
      <c r="I2254" s="169" t="str">
        <f t="shared" si="141"/>
        <v>L04_NONE_023W_XCN_ISL</v>
      </c>
      <c r="J2254" s="169" t="s">
        <v>10452</v>
      </c>
      <c r="K2254" s="169">
        <f>IFERROR(MATCH(J2254,'Final List'!$B$4:$B$252,0),0)</f>
        <v>0</v>
      </c>
      <c r="L2254" s="169">
        <f>IFERROR(MATCH(J2254,'Final List'!$D$4:$D$252,0),0)</f>
        <v>0</v>
      </c>
      <c r="M2254" s="169">
        <f>IFERROR(MATCH(J2254,'Final List'!$F$4:$F$251,0),0)</f>
        <v>0</v>
      </c>
      <c r="N2254" s="169">
        <f>IFERROR(MATCH(J2254,'Final List'!$H$4:$H$252,0),0)</f>
        <v>0</v>
      </c>
      <c r="O2254" s="169">
        <f>IFERROR(MATCH(J2254,'Final List'!$J$4:$J$252,0),0)</f>
        <v>0</v>
      </c>
      <c r="P2254" s="169">
        <f>IFERROR(MATCH(J2254,'Final List'!$L$4:$L$252,0),0)</f>
        <v>0</v>
      </c>
      <c r="Q2254" s="169">
        <f>IFERROR(MATCH(J2254,'Final List'!$N$4:$N$252,0),0)</f>
        <v>0</v>
      </c>
      <c r="R2254" s="169">
        <f>IFERROR(MATCH(J2254,'Final List'!$P$4:$P$252,0),0)</f>
        <v>0</v>
      </c>
      <c r="S2254" s="169">
        <f t="shared" si="144"/>
        <v>0</v>
      </c>
      <c r="V2254" s="169" t="str">
        <f t="shared" si="142"/>
        <v>CAYMAN 3</v>
      </c>
      <c r="W2254" s="169" t="s">
        <v>8897</v>
      </c>
    </row>
    <row r="2255" spans="2:23" x14ac:dyDescent="0.25">
      <c r="B2255" s="169" t="s">
        <v>8904</v>
      </c>
      <c r="C2255" s="169" t="s">
        <v>41</v>
      </c>
      <c r="D2255" s="169" t="s">
        <v>134</v>
      </c>
      <c r="E2255" s="169" t="s">
        <v>20</v>
      </c>
      <c r="F2255" s="245" t="str">
        <f t="shared" si="143"/>
        <v>DVW 74</v>
      </c>
      <c r="G2255" s="169" t="s">
        <v>9455</v>
      </c>
      <c r="I2255" s="169" t="str">
        <f t="shared" si="141"/>
        <v>L03_CTV_016W_WINZE</v>
      </c>
      <c r="J2255" s="169" t="s">
        <v>10454</v>
      </c>
      <c r="K2255" s="169">
        <f>IFERROR(MATCH(J2255,'Final List'!$B$4:$B$252,0),0)</f>
        <v>0</v>
      </c>
      <c r="L2255" s="169">
        <f>IFERROR(MATCH(J2255,'Final List'!$D$4:$D$252,0),0)</f>
        <v>0</v>
      </c>
      <c r="M2255" s="169">
        <f>IFERROR(MATCH(J2255,'Final List'!$F$4:$F$251,0),0)</f>
        <v>0</v>
      </c>
      <c r="N2255" s="169">
        <f>IFERROR(MATCH(J2255,'Final List'!$H$4:$H$252,0),0)</f>
        <v>0</v>
      </c>
      <c r="O2255" s="169">
        <f>IFERROR(MATCH(J2255,'Final List'!$J$4:$J$252,0),0)</f>
        <v>0</v>
      </c>
      <c r="P2255" s="169">
        <f>IFERROR(MATCH(J2255,'Final List'!$L$4:$L$252,0),0)</f>
        <v>0</v>
      </c>
      <c r="Q2255" s="169">
        <f>IFERROR(MATCH(J2255,'Final List'!$N$4:$N$252,0),0)</f>
        <v>0</v>
      </c>
      <c r="R2255" s="169">
        <f>IFERROR(MATCH(J2255,'Final List'!$P$4:$P$252,0),0)</f>
        <v>0</v>
      </c>
      <c r="S2255" s="169">
        <f t="shared" si="144"/>
        <v>0</v>
      </c>
      <c r="V2255" s="169" t="str">
        <f t="shared" si="142"/>
        <v>FERNANDEZ, RM 4</v>
      </c>
      <c r="W2255" s="169" t="s">
        <v>2706</v>
      </c>
    </row>
    <row r="2256" spans="2:23" x14ac:dyDescent="0.25">
      <c r="B2256" s="169" t="s">
        <v>1167</v>
      </c>
      <c r="C2256" s="169" t="s">
        <v>38</v>
      </c>
      <c r="D2256" s="169" t="s">
        <v>284</v>
      </c>
      <c r="E2256" s="169" t="s">
        <v>36</v>
      </c>
      <c r="F2256" s="245" t="str">
        <f t="shared" si="143"/>
        <v>StpS 77</v>
      </c>
      <c r="G2256" s="169" t="s">
        <v>329</v>
      </c>
      <c r="H2256" s="169" t="s">
        <v>6931</v>
      </c>
      <c r="I2256" s="169" t="str">
        <f t="shared" si="141"/>
        <v>L12_GHV_061E_STOPE</v>
      </c>
      <c r="J2256" s="169" t="s">
        <v>10739</v>
      </c>
      <c r="K2256" s="169">
        <f>IFERROR(MATCH(J2256,'Final List'!$B$4:$B$252,0),0)</f>
        <v>0</v>
      </c>
      <c r="L2256" s="169">
        <f>IFERROR(MATCH(J2256,'Final List'!$D$4:$D$252,0),0)</f>
        <v>0</v>
      </c>
      <c r="M2256" s="169">
        <f>IFERROR(MATCH(J2256,'Final List'!$F$4:$F$251,0),0)</f>
        <v>0</v>
      </c>
      <c r="N2256" s="169">
        <f>IFERROR(MATCH(J2256,'Final List'!$H$4:$H$252,0),0)</f>
        <v>0</v>
      </c>
      <c r="O2256" s="169">
        <f>IFERROR(MATCH(J2256,'Final List'!$J$4:$J$252,0),0)</f>
        <v>0</v>
      </c>
      <c r="P2256" s="169">
        <f>IFERROR(MATCH(J2256,'Final List'!$L$4:$L$252,0),0)</f>
        <v>0</v>
      </c>
      <c r="Q2256" s="169">
        <f>IFERROR(MATCH(J2256,'Final List'!$N$4:$N$252,0),0)</f>
        <v>0</v>
      </c>
      <c r="R2256" s="169">
        <f>IFERROR(MATCH(J2256,'Final List'!$P$4:$P$252,0),0)</f>
        <v>0</v>
      </c>
      <c r="S2256" s="169">
        <f t="shared" si="144"/>
        <v>0</v>
      </c>
      <c r="T2256" s="169" t="s">
        <v>68</v>
      </c>
      <c r="V2256" s="169" t="str">
        <f t="shared" si="142"/>
        <v>DUHIG, P2</v>
      </c>
      <c r="W2256" s="169" t="s">
        <v>2713</v>
      </c>
    </row>
    <row r="2257" spans="2:23" x14ac:dyDescent="0.25">
      <c r="B2257" s="169" t="s">
        <v>258</v>
      </c>
      <c r="C2257" s="169" t="s">
        <v>55</v>
      </c>
      <c r="D2257" s="169" t="s">
        <v>164</v>
      </c>
      <c r="E2257" s="169" t="s">
        <v>36</v>
      </c>
      <c r="F2257" s="245" t="str">
        <f t="shared" si="143"/>
        <v>StpS 77</v>
      </c>
      <c r="G2257" s="169" t="s">
        <v>9964</v>
      </c>
      <c r="I2257" s="169" t="str">
        <f t="shared" si="141"/>
        <v>L10_JVFW_064E_STOPE</v>
      </c>
      <c r="J2257" s="169" t="s">
        <v>10552</v>
      </c>
      <c r="K2257" s="169">
        <f>IFERROR(MATCH(J2257,'Final List'!$B$4:$B$252,0),0)</f>
        <v>0</v>
      </c>
      <c r="L2257" s="169">
        <f>IFERROR(MATCH(J2257,'Final List'!$D$4:$D$252,0),0)</f>
        <v>0</v>
      </c>
      <c r="M2257" s="169">
        <f>IFERROR(MATCH(J2257,'Final List'!$F$4:$F$251,0),0)</f>
        <v>0</v>
      </c>
      <c r="N2257" s="169">
        <f>IFERROR(MATCH(J2257,'Final List'!$H$4:$H$252,0),0)</f>
        <v>0</v>
      </c>
      <c r="O2257" s="169">
        <f>IFERROR(MATCH(J2257,'Final List'!$J$4:$J$252,0),0)</f>
        <v>0</v>
      </c>
      <c r="P2257" s="169">
        <f>IFERROR(MATCH(J2257,'Final List'!$L$4:$L$252,0),0)</f>
        <v>0</v>
      </c>
      <c r="Q2257" s="169">
        <f>IFERROR(MATCH(J2257,'Final List'!$N$4:$N$252,0),0)</f>
        <v>0</v>
      </c>
      <c r="R2257" s="169">
        <f>IFERROR(MATCH(J2257,'Final List'!$P$4:$P$252,0),0)</f>
        <v>0</v>
      </c>
      <c r="S2257" s="169">
        <f t="shared" si="144"/>
        <v>0</v>
      </c>
      <c r="T2257" s="169" t="s">
        <v>68</v>
      </c>
      <c r="V2257" s="169" t="str">
        <f t="shared" si="142"/>
        <v>SHEPHERD BA</v>
      </c>
      <c r="W2257" s="169" t="s">
        <v>2713</v>
      </c>
    </row>
    <row r="2258" spans="2:23" x14ac:dyDescent="0.25">
      <c r="B2258" s="169" t="s">
        <v>91</v>
      </c>
      <c r="C2258" s="169" t="s">
        <v>44</v>
      </c>
      <c r="D2258" s="169" t="s">
        <v>6864</v>
      </c>
      <c r="E2258" s="169" t="s">
        <v>441</v>
      </c>
      <c r="F2258" s="245" t="str">
        <f t="shared" si="143"/>
        <v>RobC 80</v>
      </c>
      <c r="G2258" s="169" t="s">
        <v>5715</v>
      </c>
      <c r="I2258" s="169" t="str">
        <f t="shared" si="141"/>
        <v>L04_CV_006E_WINZE STOPE PREP</v>
      </c>
      <c r="J2258" s="169" t="s">
        <v>10468</v>
      </c>
      <c r="K2258" s="169">
        <f>IFERROR(MATCH(J2258,'Final List'!$B$4:$B$252,0),0)</f>
        <v>0</v>
      </c>
      <c r="L2258" s="169">
        <f>IFERROR(MATCH(J2258,'Final List'!$D$4:$D$252,0),0)</f>
        <v>0</v>
      </c>
      <c r="M2258" s="169">
        <f>IFERROR(MATCH(J2258,'Final List'!$F$4:$F$251,0),0)</f>
        <v>0</v>
      </c>
      <c r="N2258" s="169">
        <f>IFERROR(MATCH(J2258,'Final List'!$H$4:$H$252,0),0)</f>
        <v>0</v>
      </c>
      <c r="O2258" s="169">
        <f>IFERROR(MATCH(J2258,'Final List'!$J$4:$J$252,0),0)</f>
        <v>0</v>
      </c>
      <c r="P2258" s="169">
        <f>IFERROR(MATCH(J2258,'Final List'!$L$4:$L$252,0),0)</f>
        <v>0</v>
      </c>
      <c r="Q2258" s="169">
        <f>IFERROR(MATCH(J2258,'Final List'!$N$4:$N$252,0),0)</f>
        <v>0</v>
      </c>
      <c r="R2258" s="169">
        <f>IFERROR(MATCH(J2258,'Final List'!$P$4:$P$252,0),0)</f>
        <v>0</v>
      </c>
      <c r="S2258" s="169">
        <f t="shared" si="144"/>
        <v>0</v>
      </c>
      <c r="T2258" s="169" t="s">
        <v>68</v>
      </c>
      <c r="V2258" s="169" t="str">
        <f t="shared" si="142"/>
        <v>MARTINEZ, RON 1</v>
      </c>
      <c r="W2258" s="169" t="s">
        <v>2716</v>
      </c>
    </row>
    <row r="2259" spans="2:23" x14ac:dyDescent="0.25">
      <c r="B2259" s="169" t="s">
        <v>92</v>
      </c>
      <c r="C2259" s="169" t="s">
        <v>45</v>
      </c>
      <c r="D2259" s="169" t="s">
        <v>149</v>
      </c>
      <c r="E2259" s="169" t="s">
        <v>19</v>
      </c>
      <c r="F2259" s="245" t="str">
        <f t="shared" si="143"/>
        <v>DVR 72</v>
      </c>
      <c r="G2259" s="169" t="s">
        <v>5773</v>
      </c>
      <c r="I2259" s="169" t="str">
        <f t="shared" si="141"/>
        <v>L05_DPVE_021E_RAISE</v>
      </c>
      <c r="J2259" s="169" t="s">
        <v>10471</v>
      </c>
      <c r="K2259" s="169">
        <f>IFERROR(MATCH(J2259,'Final List'!$B$4:$B$252,0),0)</f>
        <v>0</v>
      </c>
      <c r="L2259" s="169">
        <f>IFERROR(MATCH(J2259,'Final List'!$D$4:$D$252,0),0)</f>
        <v>0</v>
      </c>
      <c r="M2259" s="169">
        <f>IFERROR(MATCH(J2259,'Final List'!$F$4:$F$251,0),0)</f>
        <v>0</v>
      </c>
      <c r="N2259" s="169">
        <f>IFERROR(MATCH(J2259,'Final List'!$H$4:$H$252,0),0)</f>
        <v>0</v>
      </c>
      <c r="O2259" s="169">
        <f>IFERROR(MATCH(J2259,'Final List'!$J$4:$J$252,0),0)</f>
        <v>0</v>
      </c>
      <c r="P2259" s="169">
        <f>IFERROR(MATCH(J2259,'Final List'!$L$4:$L$252,0),0)</f>
        <v>0</v>
      </c>
      <c r="Q2259" s="169">
        <f>IFERROR(MATCH(J2259,'Final List'!$N$4:$N$252,0),0)</f>
        <v>0</v>
      </c>
      <c r="R2259" s="169">
        <f>IFERROR(MATCH(J2259,'Final List'!$P$4:$P$252,0),0)</f>
        <v>0</v>
      </c>
      <c r="S2259" s="169">
        <f t="shared" si="144"/>
        <v>0</v>
      </c>
      <c r="V2259" s="169" t="str">
        <f t="shared" si="142"/>
        <v>PARAN 3</v>
      </c>
      <c r="W2259" s="169" t="s">
        <v>2715</v>
      </c>
    </row>
    <row r="2260" spans="2:23" x14ac:dyDescent="0.25">
      <c r="B2260" s="169" t="s">
        <v>96</v>
      </c>
      <c r="C2260" s="169" t="s">
        <v>42</v>
      </c>
      <c r="D2260" s="169" t="s">
        <v>5614</v>
      </c>
      <c r="E2260" s="169" t="s">
        <v>221</v>
      </c>
      <c r="F2260" s="245" t="str">
        <f t="shared" si="143"/>
        <v>RobC 80</v>
      </c>
      <c r="G2260" s="169" t="s">
        <v>363</v>
      </c>
      <c r="I2260" s="169" t="str">
        <f t="shared" si="141"/>
        <v>L09_JV_055E_WINZE STOPE</v>
      </c>
      <c r="J2260" s="169" t="s">
        <v>10722</v>
      </c>
      <c r="K2260" s="169">
        <f>IFERROR(MATCH(J2260,'Final List'!$B$4:$B$252,0),0)</f>
        <v>0</v>
      </c>
      <c r="L2260" s="169">
        <f>IFERROR(MATCH(J2260,'Final List'!$D$4:$D$252,0),0)</f>
        <v>0</v>
      </c>
      <c r="M2260" s="169">
        <f>IFERROR(MATCH(J2260,'Final List'!$F$4:$F$251,0),0)</f>
        <v>0</v>
      </c>
      <c r="N2260" s="169">
        <f>IFERROR(MATCH(J2260,'Final List'!$H$4:$H$252,0),0)</f>
        <v>0</v>
      </c>
      <c r="O2260" s="169">
        <f>IFERROR(MATCH(J2260,'Final List'!$J$4:$J$252,0),0)</f>
        <v>0</v>
      </c>
      <c r="P2260" s="169">
        <f>IFERROR(MATCH(J2260,'Final List'!$L$4:$L$252,0),0)</f>
        <v>0</v>
      </c>
      <c r="Q2260" s="169">
        <f>IFERROR(MATCH(J2260,'Final List'!$N$4:$N$252,0),0)</f>
        <v>0</v>
      </c>
      <c r="R2260" s="169">
        <f>IFERROR(MATCH(J2260,'Final List'!$P$4:$P$252,0),0)</f>
        <v>0</v>
      </c>
      <c r="S2260" s="169">
        <f t="shared" si="144"/>
        <v>0</v>
      </c>
      <c r="T2260" s="169" t="s">
        <v>68</v>
      </c>
      <c r="V2260" s="169" t="str">
        <f t="shared" si="142"/>
        <v>BABOR 2</v>
      </c>
      <c r="W2260" s="169" t="s">
        <v>2719</v>
      </c>
    </row>
    <row r="2261" spans="2:23" x14ac:dyDescent="0.25">
      <c r="B2261" s="169" t="s">
        <v>96</v>
      </c>
      <c r="C2261" s="169" t="s">
        <v>42</v>
      </c>
      <c r="D2261" s="169" t="s">
        <v>289</v>
      </c>
      <c r="E2261" s="169" t="s">
        <v>19</v>
      </c>
      <c r="F2261" s="245" t="str">
        <f t="shared" si="143"/>
        <v>DVR 72</v>
      </c>
      <c r="G2261" s="169" t="s">
        <v>745</v>
      </c>
      <c r="I2261" s="169" t="str">
        <f t="shared" si="141"/>
        <v>L09_JV_059E_RAISE</v>
      </c>
      <c r="J2261" s="169" t="s">
        <v>10474</v>
      </c>
      <c r="K2261" s="169">
        <f>IFERROR(MATCH(J2261,'Final List'!$B$4:$B$252,0),0)</f>
        <v>0</v>
      </c>
      <c r="L2261" s="169">
        <f>IFERROR(MATCH(J2261,'Final List'!$D$4:$D$252,0),0)</f>
        <v>0</v>
      </c>
      <c r="M2261" s="169">
        <f>IFERROR(MATCH(J2261,'Final List'!$F$4:$F$251,0),0)</f>
        <v>0</v>
      </c>
      <c r="N2261" s="169">
        <f>IFERROR(MATCH(J2261,'Final List'!$H$4:$H$252,0),0)</f>
        <v>0</v>
      </c>
      <c r="O2261" s="169">
        <f>IFERROR(MATCH(J2261,'Final List'!$J$4:$J$252,0),0)</f>
        <v>0</v>
      </c>
      <c r="P2261" s="169">
        <f>IFERROR(MATCH(J2261,'Final List'!$L$4:$L$252,0),0)</f>
        <v>0</v>
      </c>
      <c r="Q2261" s="169">
        <f>IFERROR(MATCH(J2261,'Final List'!$N$4:$N$252,0),0)</f>
        <v>0</v>
      </c>
      <c r="R2261" s="169">
        <f>IFERROR(MATCH(J2261,'Final List'!$P$4:$P$252,0),0)</f>
        <v>0</v>
      </c>
      <c r="S2261" s="169">
        <f t="shared" si="144"/>
        <v>0</v>
      </c>
      <c r="V2261" s="169" t="str">
        <f t="shared" si="142"/>
        <v>CANOY 2</v>
      </c>
      <c r="W2261" s="169" t="s">
        <v>2715</v>
      </c>
    </row>
    <row r="2262" spans="2:23" x14ac:dyDescent="0.25">
      <c r="B2262" s="169" t="s">
        <v>95</v>
      </c>
      <c r="C2262" s="169" t="s">
        <v>87</v>
      </c>
      <c r="D2262" s="169" t="s">
        <v>107</v>
      </c>
      <c r="E2262" s="169" t="s">
        <v>63</v>
      </c>
      <c r="F2262" s="245" t="str">
        <f t="shared" si="143"/>
        <v>Dhoz 71</v>
      </c>
      <c r="G2262" s="169" t="s">
        <v>472</v>
      </c>
      <c r="I2262" s="169" t="str">
        <f t="shared" si="141"/>
        <v>L08_NONE_032W_XCS</v>
      </c>
      <c r="J2262" s="169" t="s">
        <v>10478</v>
      </c>
      <c r="K2262" s="169">
        <f>IFERROR(MATCH(J2262,'Final List'!$B$4:$B$252,0),0)</f>
        <v>0</v>
      </c>
      <c r="L2262" s="169">
        <f>IFERROR(MATCH(J2262,'Final List'!$D$4:$D$252,0),0)</f>
        <v>0</v>
      </c>
      <c r="M2262" s="169">
        <f>IFERROR(MATCH(J2262,'Final List'!$F$4:$F$251,0),0)</f>
        <v>0</v>
      </c>
      <c r="N2262" s="169">
        <f>IFERROR(MATCH(J2262,'Final List'!$H$4:$H$252,0),0)</f>
        <v>0</v>
      </c>
      <c r="O2262" s="169">
        <f>IFERROR(MATCH(J2262,'Final List'!$J$4:$J$252,0),0)</f>
        <v>0</v>
      </c>
      <c r="P2262" s="169">
        <f>IFERROR(MATCH(J2262,'Final List'!$L$4:$L$252,0),0)</f>
        <v>0</v>
      </c>
      <c r="Q2262" s="169">
        <f>IFERROR(MATCH(J2262,'Final List'!$N$4:$N$252,0),0)</f>
        <v>0</v>
      </c>
      <c r="R2262" s="169">
        <f>IFERROR(MATCH(J2262,'Final List'!$P$4:$P$252,0),0)</f>
        <v>0</v>
      </c>
      <c r="S2262" s="169">
        <f t="shared" si="144"/>
        <v>0</v>
      </c>
      <c r="V2262" s="169" t="str">
        <f t="shared" si="142"/>
        <v>LERIO 3</v>
      </c>
      <c r="W2262" s="169" t="s">
        <v>8897</v>
      </c>
    </row>
    <row r="2263" spans="2:23" x14ac:dyDescent="0.25">
      <c r="B2263" s="169" t="s">
        <v>1166</v>
      </c>
      <c r="C2263" s="169" t="s">
        <v>45</v>
      </c>
      <c r="D2263" s="169" t="s">
        <v>173</v>
      </c>
      <c r="E2263" s="169" t="s">
        <v>36</v>
      </c>
      <c r="F2263" s="245" t="str">
        <f t="shared" si="143"/>
        <v>StpS 77</v>
      </c>
      <c r="G2263" s="169" t="s">
        <v>464</v>
      </c>
      <c r="I2263" s="169" t="str">
        <f t="shared" si="141"/>
        <v>L11_DPVE_049E_STOPE</v>
      </c>
      <c r="J2263" s="169" t="s">
        <v>10731</v>
      </c>
      <c r="K2263" s="169">
        <f>IFERROR(MATCH(J2263,'Final List'!$B$4:$B$252,0),0)</f>
        <v>0</v>
      </c>
      <c r="L2263" s="169">
        <f>IFERROR(MATCH(J2263,'Final List'!$D$4:$D$252,0),0)</f>
        <v>0</v>
      </c>
      <c r="M2263" s="169">
        <f>IFERROR(MATCH(J2263,'Final List'!$F$4:$F$251,0),0)</f>
        <v>0</v>
      </c>
      <c r="N2263" s="169">
        <f>IFERROR(MATCH(J2263,'Final List'!$H$4:$H$252,0),0)</f>
        <v>0</v>
      </c>
      <c r="O2263" s="169">
        <f>IFERROR(MATCH(J2263,'Final List'!$J$4:$J$252,0),0)</f>
        <v>0</v>
      </c>
      <c r="P2263" s="169">
        <f>IFERROR(MATCH(J2263,'Final List'!$L$4:$L$252,0),0)</f>
        <v>0</v>
      </c>
      <c r="Q2263" s="169">
        <f>IFERROR(MATCH(J2263,'Final List'!$N$4:$N$252,0),0)</f>
        <v>0</v>
      </c>
      <c r="R2263" s="169">
        <f>IFERROR(MATCH(J2263,'Final List'!$P$4:$P$252,0),0)</f>
        <v>0</v>
      </c>
      <c r="S2263" s="169">
        <f t="shared" si="144"/>
        <v>0</v>
      </c>
      <c r="T2263" s="169" t="s">
        <v>68</v>
      </c>
      <c r="V2263" s="169" t="str">
        <f t="shared" si="142"/>
        <v>COMAINGKING 3</v>
      </c>
      <c r="W2263" s="169" t="s">
        <v>2713</v>
      </c>
    </row>
    <row r="2264" spans="2:23" x14ac:dyDescent="0.25">
      <c r="B2264" s="169" t="s">
        <v>1166</v>
      </c>
      <c r="C2264" s="169" t="s">
        <v>42</v>
      </c>
      <c r="D2264" s="169" t="s">
        <v>177</v>
      </c>
      <c r="E2264" s="169" t="s">
        <v>19</v>
      </c>
      <c r="F2264" s="245" t="str">
        <f t="shared" si="143"/>
        <v>DVR 72</v>
      </c>
      <c r="G2264" s="169" t="s">
        <v>452</v>
      </c>
      <c r="I2264" s="169" t="s">
        <v>10486</v>
      </c>
      <c r="J2264" s="169" t="s">
        <v>10486</v>
      </c>
      <c r="K2264" s="169">
        <f>IFERROR(MATCH(J2264,'Final List'!$B$4:$B$252,0),0)</f>
        <v>0</v>
      </c>
      <c r="L2264" s="169">
        <f>IFERROR(MATCH(J2264,'Final List'!$D$4:$D$252,0),0)</f>
        <v>0</v>
      </c>
      <c r="M2264" s="169">
        <f>IFERROR(MATCH(J2264,'Final List'!$F$4:$F$251,0),0)</f>
        <v>0</v>
      </c>
      <c r="N2264" s="169">
        <f>IFERROR(MATCH(J2264,'Final List'!$H$4:$H$252,0),0)</f>
        <v>0</v>
      </c>
      <c r="O2264" s="169">
        <f>IFERROR(MATCH(J2264,'Final List'!$J$4:$J$252,0),0)</f>
        <v>0</v>
      </c>
      <c r="P2264" s="169">
        <f>IFERROR(MATCH(J2264,'Final List'!$L$4:$L$252,0),0)</f>
        <v>0</v>
      </c>
      <c r="Q2264" s="169">
        <f>IFERROR(MATCH(J2264,'Final List'!$N$4:$N$252,0),0)</f>
        <v>0</v>
      </c>
      <c r="R2264" s="169">
        <f>IFERROR(MATCH(J2264,'Final List'!$P$4:$P$252,0),0)</f>
        <v>0</v>
      </c>
      <c r="S2264" s="169">
        <f t="shared" si="144"/>
        <v>0</v>
      </c>
      <c r="V2264" s="169" t="str">
        <f t="shared" si="142"/>
        <v>BAÑEZ 6</v>
      </c>
      <c r="W2264" s="169" t="s">
        <v>2715</v>
      </c>
    </row>
    <row r="2265" spans="2:23" x14ac:dyDescent="0.25">
      <c r="B2265" s="169" t="s">
        <v>1167</v>
      </c>
      <c r="C2265" s="169" t="s">
        <v>87</v>
      </c>
      <c r="D2265" s="169" t="s">
        <v>178</v>
      </c>
      <c r="E2265" s="169" t="s">
        <v>6956</v>
      </c>
      <c r="F2265" s="245" t="s">
        <v>12992</v>
      </c>
      <c r="G2265" s="169" t="s">
        <v>389</v>
      </c>
      <c r="I2265" s="169" t="str">
        <f t="shared" ref="I2265:I2327" si="145">CONCATENATE(B2265,"_",C2265,"_",D2265,"_",E2265)</f>
        <v>L12_NONE_048E_XCN_ISL</v>
      </c>
      <c r="J2265" s="169" t="s">
        <v>10601</v>
      </c>
      <c r="K2265" s="169">
        <f>IFERROR(MATCH(J2265,'Final List'!$B$4:$B$252,0),0)</f>
        <v>0</v>
      </c>
      <c r="L2265" s="169">
        <f>IFERROR(MATCH(J2265,'Final List'!$D$4:$D$252,0),0)</f>
        <v>0</v>
      </c>
      <c r="M2265" s="169">
        <f>IFERROR(MATCH(J2265,'Final List'!$F$4:$F$251,0),0)</f>
        <v>0</v>
      </c>
      <c r="N2265" s="169">
        <f>IFERROR(MATCH(J2265,'Final List'!$H$4:$H$252,0),0)</f>
        <v>0</v>
      </c>
      <c r="O2265" s="169">
        <f>IFERROR(MATCH(J2265,'Final List'!$J$4:$J$252,0),0)</f>
        <v>0</v>
      </c>
      <c r="P2265" s="169">
        <f>IFERROR(MATCH(J2265,'Final List'!$L$4:$L$252,0),0)</f>
        <v>0</v>
      </c>
      <c r="Q2265" s="169">
        <f>IFERROR(MATCH(J2265,'Final List'!$N$4:$N$252,0),0)</f>
        <v>0</v>
      </c>
      <c r="R2265" s="169">
        <f>IFERROR(MATCH(J2265,'Final List'!$P$4:$P$252,0),0)</f>
        <v>0</v>
      </c>
      <c r="S2265" s="169">
        <f t="shared" si="144"/>
        <v>0</v>
      </c>
      <c r="V2265" s="169" t="str">
        <f t="shared" si="142"/>
        <v>CAPPUYO 1</v>
      </c>
      <c r="W2265" s="169" t="s">
        <v>8898</v>
      </c>
    </row>
    <row r="2266" spans="2:23" x14ac:dyDescent="0.25">
      <c r="B2266" s="169" t="s">
        <v>1166</v>
      </c>
      <c r="C2266" s="169" t="s">
        <v>59</v>
      </c>
      <c r="D2266" s="169" t="s">
        <v>170</v>
      </c>
      <c r="E2266" s="169" t="s">
        <v>36</v>
      </c>
      <c r="F2266" s="245" t="str">
        <f t="shared" si="143"/>
        <v>StpS 77</v>
      </c>
      <c r="G2266" s="169" t="s">
        <v>5773</v>
      </c>
      <c r="H2266" s="169" t="s">
        <v>387</v>
      </c>
      <c r="I2266" s="169" t="str">
        <f t="shared" si="145"/>
        <v>L11_GHVHW_071E_STOPE</v>
      </c>
      <c r="J2266" s="169" t="s">
        <v>10610</v>
      </c>
      <c r="K2266" s="169">
        <f>IFERROR(MATCH(J2266,'Final List'!$B$4:$B$252,0),0)</f>
        <v>0</v>
      </c>
      <c r="L2266" s="169">
        <f>IFERROR(MATCH(J2266,'Final List'!$D$4:$D$252,0),0)</f>
        <v>0</v>
      </c>
      <c r="M2266" s="169">
        <f>IFERROR(MATCH(J2266,'Final List'!$F$4:$F$251,0),0)</f>
        <v>0</v>
      </c>
      <c r="N2266" s="169">
        <f>IFERROR(MATCH(J2266,'Final List'!$H$4:$H$252,0),0)</f>
        <v>0</v>
      </c>
      <c r="O2266" s="169">
        <f>IFERROR(MATCH(J2266,'Final List'!$J$4:$J$252,0),0)</f>
        <v>0</v>
      </c>
      <c r="P2266" s="169">
        <f>IFERROR(MATCH(J2266,'Final List'!$L$4:$L$252,0),0)</f>
        <v>0</v>
      </c>
      <c r="Q2266" s="169">
        <f>IFERROR(MATCH(J2266,'Final List'!$N$4:$N$252,0),0)</f>
        <v>0</v>
      </c>
      <c r="R2266" s="169">
        <f>IFERROR(MATCH(J2266,'Final List'!$P$4:$P$252,0),0)</f>
        <v>0</v>
      </c>
      <c r="S2266" s="169">
        <f t="shared" si="144"/>
        <v>0</v>
      </c>
      <c r="T2266" s="169" t="s">
        <v>68</v>
      </c>
      <c r="V2266" s="169" t="str">
        <f t="shared" si="142"/>
        <v>MAPAYO 1</v>
      </c>
      <c r="W2266" s="169" t="s">
        <v>2713</v>
      </c>
    </row>
    <row r="2267" spans="2:23" x14ac:dyDescent="0.25">
      <c r="B2267" s="169" t="s">
        <v>1166</v>
      </c>
      <c r="C2267" s="169" t="s">
        <v>55</v>
      </c>
      <c r="D2267" s="169" t="s">
        <v>180</v>
      </c>
      <c r="E2267" s="169" t="s">
        <v>19</v>
      </c>
      <c r="F2267" s="245" t="str">
        <f t="shared" si="143"/>
        <v>DVR 72</v>
      </c>
      <c r="G2267" s="169" t="s">
        <v>5720</v>
      </c>
      <c r="I2267" s="169" t="str">
        <f t="shared" si="145"/>
        <v>L11_JVFW_041E_RAISE</v>
      </c>
      <c r="J2267" s="169" t="s">
        <v>10492</v>
      </c>
      <c r="K2267" s="169">
        <f>IFERROR(MATCH(J2267,'Final List'!$B$4:$B$252,0),0)</f>
        <v>0</v>
      </c>
      <c r="L2267" s="169">
        <f>IFERROR(MATCH(J2267,'Final List'!$D$4:$D$252,0),0)</f>
        <v>0</v>
      </c>
      <c r="M2267" s="169">
        <f>IFERROR(MATCH(J2267,'Final List'!$F$4:$F$251,0),0)</f>
        <v>0</v>
      </c>
      <c r="N2267" s="169">
        <f>IFERROR(MATCH(J2267,'Final List'!$H$4:$H$252,0),0)</f>
        <v>0</v>
      </c>
      <c r="O2267" s="169">
        <f>IFERROR(MATCH(J2267,'Final List'!$J$4:$J$252,0),0)</f>
        <v>0</v>
      </c>
      <c r="P2267" s="169">
        <f>IFERROR(MATCH(J2267,'Final List'!$L$4:$L$252,0),0)</f>
        <v>0</v>
      </c>
      <c r="Q2267" s="169">
        <f>IFERROR(MATCH(J2267,'Final List'!$N$4:$N$252,0),0)</f>
        <v>0</v>
      </c>
      <c r="R2267" s="169">
        <f>IFERROR(MATCH(J2267,'Final List'!$P$4:$P$252,0),0)</f>
        <v>0</v>
      </c>
      <c r="S2267" s="169">
        <f t="shared" si="144"/>
        <v>0</v>
      </c>
      <c r="V2267" s="169" t="str">
        <f t="shared" si="142"/>
        <v>TURRA 1</v>
      </c>
      <c r="W2267" s="169" t="s">
        <v>2715</v>
      </c>
    </row>
    <row r="2268" spans="2:23" x14ac:dyDescent="0.25">
      <c r="B2268" s="169" t="s">
        <v>96</v>
      </c>
      <c r="C2268" s="169" t="s">
        <v>45</v>
      </c>
      <c r="D2268" s="169" t="s">
        <v>170</v>
      </c>
      <c r="E2268" s="169" t="s">
        <v>62</v>
      </c>
      <c r="F2268" s="245" t="str">
        <f t="shared" si="143"/>
        <v>RobS 79</v>
      </c>
      <c r="G2268" s="169" t="s">
        <v>745</v>
      </c>
      <c r="H2268" s="169" t="s">
        <v>1661</v>
      </c>
      <c r="I2268" s="169" t="str">
        <f t="shared" si="145"/>
        <v>L09_DPVE_071E_ROBBING</v>
      </c>
      <c r="J2268" s="169" t="s">
        <v>10497</v>
      </c>
      <c r="K2268" s="169">
        <f>IFERROR(MATCH(J2268,'Final List'!$B$4:$B$252,0),0)</f>
        <v>0</v>
      </c>
      <c r="L2268" s="169">
        <f>IFERROR(MATCH(J2268,'Final List'!$D$4:$D$252,0),0)</f>
        <v>0</v>
      </c>
      <c r="M2268" s="169">
        <f>IFERROR(MATCH(J2268,'Final List'!$F$4:$F$251,0),0)</f>
        <v>0</v>
      </c>
      <c r="N2268" s="169">
        <f>IFERROR(MATCH(J2268,'Final List'!$H$4:$H$252,0),0)</f>
        <v>0</v>
      </c>
      <c r="O2268" s="169">
        <f>IFERROR(MATCH(J2268,'Final List'!$J$4:$J$252,0),0)</f>
        <v>0</v>
      </c>
      <c r="P2268" s="169">
        <f>IFERROR(MATCH(J2268,'Final List'!$L$4:$L$252,0),0)</f>
        <v>0</v>
      </c>
      <c r="Q2268" s="169">
        <f>IFERROR(MATCH(J2268,'Final List'!$N$4:$N$252,0),0)</f>
        <v>0</v>
      </c>
      <c r="R2268" s="169">
        <f>IFERROR(MATCH(J2268,'Final List'!$P$4:$P$252,0),0)</f>
        <v>0</v>
      </c>
      <c r="S2268" s="169">
        <f t="shared" si="144"/>
        <v>0</v>
      </c>
      <c r="T2268" s="169" t="s">
        <v>68</v>
      </c>
      <c r="V2268" s="169" t="str">
        <f t="shared" si="142"/>
        <v>DELOS REYES V2</v>
      </c>
      <c r="W2268" s="169" t="s">
        <v>2707</v>
      </c>
    </row>
    <row r="2269" spans="2:23" x14ac:dyDescent="0.25">
      <c r="B2269" s="169" t="s">
        <v>1167</v>
      </c>
      <c r="C2269" s="169" t="s">
        <v>87</v>
      </c>
      <c r="D2269" s="169" t="s">
        <v>5781</v>
      </c>
      <c r="E2269" s="169" t="s">
        <v>37</v>
      </c>
      <c r="F2269" s="245" t="str">
        <f t="shared" si="143"/>
        <v>Dhoz 71</v>
      </c>
      <c r="G2269" s="169" t="s">
        <v>6929</v>
      </c>
      <c r="H2269" s="169" t="s">
        <v>7984</v>
      </c>
      <c r="I2269" s="169" t="str">
        <f t="shared" si="145"/>
        <v>L12_NONE_051E_XCN</v>
      </c>
      <c r="J2269" s="169" t="s">
        <v>10514</v>
      </c>
      <c r="K2269" s="169">
        <f>IFERROR(MATCH(J2269,'Final List'!$B$4:$B$252,0),0)</f>
        <v>0</v>
      </c>
      <c r="L2269" s="169">
        <f>IFERROR(MATCH(J2269,'Final List'!$D$4:$D$252,0),0)</f>
        <v>0</v>
      </c>
      <c r="M2269" s="169">
        <f>IFERROR(MATCH(J2269,'Final List'!$F$4:$F$251,0),0)</f>
        <v>0</v>
      </c>
      <c r="N2269" s="169">
        <f>IFERROR(MATCH(J2269,'Final List'!$H$4:$H$252,0),0)</f>
        <v>0</v>
      </c>
      <c r="O2269" s="169">
        <f>IFERROR(MATCH(J2269,'Final List'!$J$4:$J$252,0),0)</f>
        <v>0</v>
      </c>
      <c r="P2269" s="169">
        <f>IFERROR(MATCH(J2269,'Final List'!$L$4:$L$252,0),0)</f>
        <v>0</v>
      </c>
      <c r="Q2269" s="169">
        <f>IFERROR(MATCH(J2269,'Final List'!$N$4:$N$252,0),0)</f>
        <v>0</v>
      </c>
      <c r="R2269" s="169">
        <f>IFERROR(MATCH(J2269,'Final List'!$P$4:$P$252,0),0)</f>
        <v>0</v>
      </c>
      <c r="S2269" s="169">
        <f t="shared" si="144"/>
        <v>0</v>
      </c>
      <c r="V2269" s="169" t="str">
        <f t="shared" si="142"/>
        <v>OLIVEROS</v>
      </c>
      <c r="W2269" s="169" t="s">
        <v>2714</v>
      </c>
    </row>
    <row r="2270" spans="2:23" x14ac:dyDescent="0.25">
      <c r="B2270" s="169" t="s">
        <v>1166</v>
      </c>
      <c r="C2270" s="169" t="s">
        <v>55</v>
      </c>
      <c r="D2270" s="169" t="s">
        <v>284</v>
      </c>
      <c r="E2270" s="169" t="s">
        <v>61</v>
      </c>
      <c r="F2270" s="245" t="str">
        <f t="shared" si="143"/>
        <v>Dhoz 71</v>
      </c>
      <c r="G2270" s="169" t="s">
        <v>742</v>
      </c>
      <c r="I2270" s="169" t="str">
        <f t="shared" si="145"/>
        <v>L11_JVFW_061E_DW</v>
      </c>
      <c r="J2270" s="169" t="s">
        <v>10498</v>
      </c>
      <c r="K2270" s="169">
        <f>IFERROR(MATCH(J2270,'Final List'!$B$4:$B$252,0),0)</f>
        <v>0</v>
      </c>
      <c r="L2270" s="169">
        <f>IFERROR(MATCH(J2270,'Final List'!$D$4:$D$252,0),0)</f>
        <v>0</v>
      </c>
      <c r="M2270" s="169">
        <f>IFERROR(MATCH(J2270,'Final List'!$F$4:$F$251,0),0)</f>
        <v>0</v>
      </c>
      <c r="N2270" s="169">
        <f>IFERROR(MATCH(J2270,'Final List'!$H$4:$H$252,0),0)</f>
        <v>0</v>
      </c>
      <c r="O2270" s="169">
        <f>IFERROR(MATCH(J2270,'Final List'!$J$4:$J$252,0),0)</f>
        <v>0</v>
      </c>
      <c r="P2270" s="169">
        <f>IFERROR(MATCH(J2270,'Final List'!$L$4:$L$252,0),0)</f>
        <v>0</v>
      </c>
      <c r="Q2270" s="169">
        <f>IFERROR(MATCH(J2270,'Final List'!$N$4:$N$252,0),0)</f>
        <v>0</v>
      </c>
      <c r="R2270" s="169">
        <f>IFERROR(MATCH(J2270,'Final List'!$P$4:$P$252,0),0)</f>
        <v>0</v>
      </c>
      <c r="S2270" s="169">
        <f t="shared" si="144"/>
        <v>0</v>
      </c>
      <c r="V2270" s="169" t="str">
        <f t="shared" si="142"/>
        <v>REBOTE 2</v>
      </c>
      <c r="W2270" s="169" t="s">
        <v>8896</v>
      </c>
    </row>
    <row r="2271" spans="2:23" x14ac:dyDescent="0.25">
      <c r="B2271" s="169" t="s">
        <v>95</v>
      </c>
      <c r="C2271" s="169" t="s">
        <v>57</v>
      </c>
      <c r="D2271" s="169" t="s">
        <v>122</v>
      </c>
      <c r="E2271" s="169" t="s">
        <v>62</v>
      </c>
      <c r="F2271" s="245" t="str">
        <f t="shared" si="143"/>
        <v>RobS 79</v>
      </c>
      <c r="G2271" s="169" t="s">
        <v>368</v>
      </c>
      <c r="I2271" s="169" t="str">
        <f t="shared" si="145"/>
        <v>L08_JVSPLIT_025E_ROBBING</v>
      </c>
      <c r="J2271" s="169" t="s">
        <v>10568</v>
      </c>
      <c r="K2271" s="169">
        <f>IFERROR(MATCH(J2271,'Final List'!$B$4:$B$252,0),0)</f>
        <v>0</v>
      </c>
      <c r="L2271" s="169">
        <f>IFERROR(MATCH(J2271,'Final List'!$D$4:$D$252,0),0)</f>
        <v>0</v>
      </c>
      <c r="M2271" s="169">
        <f>IFERROR(MATCH(J2271,'Final List'!$F$4:$F$251,0),0)</f>
        <v>0</v>
      </c>
      <c r="N2271" s="169">
        <f>IFERROR(MATCH(J2271,'Final List'!$H$4:$H$252,0),0)</f>
        <v>0</v>
      </c>
      <c r="O2271" s="169">
        <f>IFERROR(MATCH(J2271,'Final List'!$J$4:$J$252,0),0)</f>
        <v>0</v>
      </c>
      <c r="P2271" s="169">
        <f>IFERROR(MATCH(J2271,'Final List'!$L$4:$L$252,0),0)</f>
        <v>0</v>
      </c>
      <c r="Q2271" s="169">
        <f>IFERROR(MATCH(J2271,'Final List'!$N$4:$N$252,0),0)</f>
        <v>0</v>
      </c>
      <c r="R2271" s="169">
        <f>IFERROR(MATCH(J2271,'Final List'!$P$4:$P$252,0),0)</f>
        <v>0</v>
      </c>
      <c r="S2271" s="169">
        <f t="shared" si="144"/>
        <v>0</v>
      </c>
      <c r="T2271" s="169" t="s">
        <v>68</v>
      </c>
      <c r="V2271" s="169" t="str">
        <f t="shared" si="142"/>
        <v>LERIO 2</v>
      </c>
      <c r="W2271" s="169" t="s">
        <v>2707</v>
      </c>
    </row>
    <row r="2272" spans="2:23" x14ac:dyDescent="0.25">
      <c r="B2272" s="169" t="s">
        <v>96</v>
      </c>
      <c r="C2272" s="169" t="s">
        <v>57</v>
      </c>
      <c r="D2272" s="169" t="s">
        <v>161</v>
      </c>
      <c r="E2272" s="169" t="s">
        <v>36</v>
      </c>
      <c r="F2272" s="245" t="str">
        <f t="shared" si="143"/>
        <v>StpS 77</v>
      </c>
      <c r="G2272" s="169" t="s">
        <v>8203</v>
      </c>
      <c r="I2272" s="169" t="str">
        <f t="shared" si="145"/>
        <v>L09_JVSPLIT_044E_STOPE</v>
      </c>
      <c r="J2272" s="169" t="s">
        <v>10651</v>
      </c>
      <c r="K2272" s="169">
        <f>IFERROR(MATCH(J2272,'Final List'!$B$4:$B$252,0),0)</f>
        <v>0</v>
      </c>
      <c r="L2272" s="169">
        <f>IFERROR(MATCH(J2272,'Final List'!$D$4:$D$252,0),0)</f>
        <v>0</v>
      </c>
      <c r="M2272" s="169">
        <f>IFERROR(MATCH(J2272,'Final List'!$F$4:$F$251,0),0)</f>
        <v>0</v>
      </c>
      <c r="N2272" s="169">
        <f>IFERROR(MATCH(J2272,'Final List'!$H$4:$H$252,0),0)</f>
        <v>0</v>
      </c>
      <c r="O2272" s="169">
        <f>IFERROR(MATCH(J2272,'Final List'!$J$4:$J$252,0),0)</f>
        <v>0</v>
      </c>
      <c r="P2272" s="169">
        <f>IFERROR(MATCH(J2272,'Final List'!$L$4:$L$252,0),0)</f>
        <v>0</v>
      </c>
      <c r="Q2272" s="169">
        <f>IFERROR(MATCH(J2272,'Final List'!$N$4:$N$252,0),0)</f>
        <v>0</v>
      </c>
      <c r="R2272" s="169">
        <f>IFERROR(MATCH(J2272,'Final List'!$P$4:$P$252,0),0)</f>
        <v>0</v>
      </c>
      <c r="S2272" s="169">
        <f t="shared" si="144"/>
        <v>0</v>
      </c>
      <c r="T2272" s="169" t="s">
        <v>68</v>
      </c>
      <c r="V2272" s="169" t="str">
        <f t="shared" si="142"/>
        <v>PANSIT, NORMAN 3</v>
      </c>
      <c r="W2272" s="169" t="s">
        <v>2713</v>
      </c>
    </row>
    <row r="2273" spans="2:23" x14ac:dyDescent="0.25">
      <c r="B2273" s="169" t="s">
        <v>96</v>
      </c>
      <c r="C2273" s="169" t="s">
        <v>45</v>
      </c>
      <c r="D2273" s="169" t="s">
        <v>5604</v>
      </c>
      <c r="E2273" s="169" t="s">
        <v>19</v>
      </c>
      <c r="F2273" s="245" t="str">
        <f t="shared" si="143"/>
        <v>DVR 72</v>
      </c>
      <c r="G2273" s="169" t="s">
        <v>10253</v>
      </c>
      <c r="I2273" s="169" t="str">
        <f t="shared" si="145"/>
        <v>L09_DPVE_063E_RAISE</v>
      </c>
      <c r="J2273" s="169" t="s">
        <v>10505</v>
      </c>
      <c r="K2273" s="169">
        <f>IFERROR(MATCH(J2273,'Final List'!$B$4:$B$252,0),0)</f>
        <v>0</v>
      </c>
      <c r="L2273" s="169">
        <f>IFERROR(MATCH(J2273,'Final List'!$D$4:$D$252,0),0)</f>
        <v>0</v>
      </c>
      <c r="M2273" s="169">
        <f>IFERROR(MATCH(J2273,'Final List'!$F$4:$F$251,0),0)</f>
        <v>0</v>
      </c>
      <c r="N2273" s="169">
        <f>IFERROR(MATCH(J2273,'Final List'!$H$4:$H$252,0),0)</f>
        <v>0</v>
      </c>
      <c r="O2273" s="169">
        <f>IFERROR(MATCH(J2273,'Final List'!$J$4:$J$252,0),0)</f>
        <v>0</v>
      </c>
      <c r="P2273" s="169">
        <f>IFERROR(MATCH(J2273,'Final List'!$L$4:$L$252,0),0)</f>
        <v>0</v>
      </c>
      <c r="Q2273" s="169">
        <f>IFERROR(MATCH(J2273,'Final List'!$N$4:$N$252,0),0)</f>
        <v>0</v>
      </c>
      <c r="R2273" s="169">
        <f>IFERROR(MATCH(J2273,'Final List'!$P$4:$P$252,0),0)</f>
        <v>0</v>
      </c>
      <c r="S2273" s="169">
        <f t="shared" si="144"/>
        <v>0</v>
      </c>
      <c r="V2273" s="169" t="str">
        <f t="shared" si="142"/>
        <v>PANSIT NORMAN 4</v>
      </c>
      <c r="W2273" s="169" t="s">
        <v>2715</v>
      </c>
    </row>
    <row r="2274" spans="2:23" x14ac:dyDescent="0.25">
      <c r="B2274" s="169" t="s">
        <v>94</v>
      </c>
      <c r="C2274" s="169" t="s">
        <v>45</v>
      </c>
      <c r="D2274" s="169" t="s">
        <v>145</v>
      </c>
      <c r="E2274" s="169" t="s">
        <v>62</v>
      </c>
      <c r="F2274" s="245" t="str">
        <f t="shared" si="143"/>
        <v>RobC 80</v>
      </c>
      <c r="G2274" s="169" t="s">
        <v>8199</v>
      </c>
      <c r="I2274" s="169" t="str">
        <f t="shared" si="145"/>
        <v>L07_DPVE_009E_ROBBING</v>
      </c>
      <c r="J2274" s="169" t="s">
        <v>10508</v>
      </c>
      <c r="K2274" s="169">
        <f>IFERROR(MATCH(J2274,'Final List'!$B$4:$B$252,0),0)</f>
        <v>0</v>
      </c>
      <c r="L2274" s="169">
        <f>IFERROR(MATCH(J2274,'Final List'!$D$4:$D$252,0),0)</f>
        <v>0</v>
      </c>
      <c r="M2274" s="169">
        <f>IFERROR(MATCH(J2274,'Final List'!$F$4:$F$251,0),0)</f>
        <v>0</v>
      </c>
      <c r="N2274" s="169">
        <f>IFERROR(MATCH(J2274,'Final List'!$H$4:$H$252,0),0)</f>
        <v>0</v>
      </c>
      <c r="O2274" s="169">
        <f>IFERROR(MATCH(J2274,'Final List'!$J$4:$J$252,0),0)</f>
        <v>0</v>
      </c>
      <c r="P2274" s="169">
        <f>IFERROR(MATCH(J2274,'Final List'!$L$4:$L$252,0),0)</f>
        <v>0</v>
      </c>
      <c r="Q2274" s="169">
        <f>IFERROR(MATCH(J2274,'Final List'!$N$4:$N$252,0),0)</f>
        <v>0</v>
      </c>
      <c r="R2274" s="169">
        <f>IFERROR(MATCH(J2274,'Final List'!$P$4:$P$252,0),0)</f>
        <v>0</v>
      </c>
      <c r="S2274" s="169">
        <f t="shared" si="144"/>
        <v>0</v>
      </c>
      <c r="T2274" s="169" t="s">
        <v>48</v>
      </c>
      <c r="V2274" s="169" t="str">
        <f t="shared" si="142"/>
        <v>SHEPHERD AT 1</v>
      </c>
      <c r="W2274" s="169" t="s">
        <v>236</v>
      </c>
    </row>
    <row r="2275" spans="2:23" x14ac:dyDescent="0.25">
      <c r="B2275" s="169" t="s">
        <v>96</v>
      </c>
      <c r="C2275" s="169" t="s">
        <v>45</v>
      </c>
      <c r="D2275" s="169" t="s">
        <v>5912</v>
      </c>
      <c r="E2275" s="169" t="s">
        <v>60</v>
      </c>
      <c r="F2275" s="245" t="str">
        <f t="shared" si="143"/>
        <v>Dhoz 71</v>
      </c>
      <c r="G2275" s="169" t="s">
        <v>5101</v>
      </c>
      <c r="I2275" s="169" t="str">
        <f t="shared" si="145"/>
        <v>L09_DPVE_019E_DE</v>
      </c>
      <c r="J2275" s="169" t="s">
        <v>10515</v>
      </c>
      <c r="K2275" s="169">
        <f>IFERROR(MATCH(J2275,'Final List'!$B$4:$B$252,0),0)</f>
        <v>0</v>
      </c>
      <c r="L2275" s="169">
        <f>IFERROR(MATCH(J2275,'Final List'!$D$4:$D$252,0),0)</f>
        <v>0</v>
      </c>
      <c r="M2275" s="169">
        <f>IFERROR(MATCH(J2275,'Final List'!$F$4:$F$251,0),0)</f>
        <v>0</v>
      </c>
      <c r="N2275" s="169">
        <f>IFERROR(MATCH(J2275,'Final List'!$H$4:$H$252,0),0)</f>
        <v>0</v>
      </c>
      <c r="O2275" s="169">
        <f>IFERROR(MATCH(J2275,'Final List'!$J$4:$J$252,0),0)</f>
        <v>0</v>
      </c>
      <c r="P2275" s="169">
        <f>IFERROR(MATCH(J2275,'Final List'!$L$4:$L$252,0),0)</f>
        <v>0</v>
      </c>
      <c r="Q2275" s="169">
        <f>IFERROR(MATCH(J2275,'Final List'!$N$4:$N$252,0),0)</f>
        <v>0</v>
      </c>
      <c r="R2275" s="169">
        <f>IFERROR(MATCH(J2275,'Final List'!$P$4:$P$252,0),0)</f>
        <v>0</v>
      </c>
      <c r="S2275" s="169">
        <f t="shared" si="144"/>
        <v>0</v>
      </c>
      <c r="V2275" s="169" t="str">
        <f t="shared" si="142"/>
        <v>DELOS REYES V3</v>
      </c>
      <c r="W2275" s="169" t="s">
        <v>8896</v>
      </c>
    </row>
    <row r="2276" spans="2:23" x14ac:dyDescent="0.25">
      <c r="B2276" s="169" t="s">
        <v>96</v>
      </c>
      <c r="C2276" s="169" t="s">
        <v>59</v>
      </c>
      <c r="D2276" s="169" t="s">
        <v>98</v>
      </c>
      <c r="E2276" s="169" t="s">
        <v>61</v>
      </c>
      <c r="F2276" s="245" t="str">
        <f t="shared" si="143"/>
        <v>Dhoz 71</v>
      </c>
      <c r="G2276" s="169" t="s">
        <v>2970</v>
      </c>
      <c r="H2276" s="169" t="s">
        <v>5101</v>
      </c>
      <c r="I2276" s="169" t="str">
        <f t="shared" si="145"/>
        <v>L09_GHVHW_014W_DW</v>
      </c>
      <c r="J2276" s="169" t="s">
        <v>10650</v>
      </c>
      <c r="K2276" s="169">
        <f>IFERROR(MATCH(J2276,'Final List'!$B$4:$B$252,0),0)</f>
        <v>0</v>
      </c>
      <c r="L2276" s="169">
        <f>IFERROR(MATCH(J2276,'Final List'!$D$4:$D$252,0),0)</f>
        <v>0</v>
      </c>
      <c r="M2276" s="169">
        <f>IFERROR(MATCH(J2276,'Final List'!$F$4:$F$251,0),0)</f>
        <v>0</v>
      </c>
      <c r="N2276" s="169">
        <f>IFERROR(MATCH(J2276,'Final List'!$H$4:$H$252,0),0)</f>
        <v>0</v>
      </c>
      <c r="O2276" s="169">
        <f>IFERROR(MATCH(J2276,'Final List'!$J$4:$J$252,0),0)</f>
        <v>0</v>
      </c>
      <c r="P2276" s="169">
        <f>IFERROR(MATCH(J2276,'Final List'!$L$4:$L$252,0),0)</f>
        <v>0</v>
      </c>
      <c r="Q2276" s="169">
        <f>IFERROR(MATCH(J2276,'Final List'!$N$4:$N$252,0),0)</f>
        <v>0</v>
      </c>
      <c r="R2276" s="169">
        <f>IFERROR(MATCH(J2276,'Final List'!$P$4:$P$252,0),0)</f>
        <v>0</v>
      </c>
      <c r="S2276" s="169">
        <f t="shared" si="144"/>
        <v>0</v>
      </c>
      <c r="V2276" s="169" t="str">
        <f t="shared" si="142"/>
        <v>DELOS REYES V3</v>
      </c>
      <c r="W2276" s="169" t="s">
        <v>8896</v>
      </c>
    </row>
    <row r="2277" spans="2:23" x14ac:dyDescent="0.25">
      <c r="B2277" s="169" t="s">
        <v>258</v>
      </c>
      <c r="C2277" s="169" t="s">
        <v>45</v>
      </c>
      <c r="D2277" s="169" t="s">
        <v>9971</v>
      </c>
      <c r="E2277" s="169" t="s">
        <v>60</v>
      </c>
      <c r="F2277" s="245" t="str">
        <f t="shared" si="143"/>
        <v>Dhoz 71</v>
      </c>
      <c r="G2277" s="169" t="s">
        <v>451</v>
      </c>
      <c r="I2277" s="169" t="str">
        <f t="shared" si="145"/>
        <v>L10_DPVE_096E_DE</v>
      </c>
      <c r="J2277" s="169" t="s">
        <v>10570</v>
      </c>
      <c r="K2277" s="169">
        <f>IFERROR(MATCH(J2277,'Final List'!$B$4:$B$252,0),0)</f>
        <v>0</v>
      </c>
      <c r="L2277" s="169">
        <f>IFERROR(MATCH(J2277,'Final List'!$D$4:$D$252,0),0)</f>
        <v>0</v>
      </c>
      <c r="M2277" s="169">
        <f>IFERROR(MATCH(J2277,'Final List'!$F$4:$F$251,0),0)</f>
        <v>0</v>
      </c>
      <c r="N2277" s="169">
        <f>IFERROR(MATCH(J2277,'Final List'!$H$4:$H$252,0),0)</f>
        <v>0</v>
      </c>
      <c r="O2277" s="169">
        <f>IFERROR(MATCH(J2277,'Final List'!$J$4:$J$252,0),0)</f>
        <v>0</v>
      </c>
      <c r="P2277" s="169">
        <f>IFERROR(MATCH(J2277,'Final List'!$L$4:$L$252,0),0)</f>
        <v>0</v>
      </c>
      <c r="Q2277" s="169">
        <f>IFERROR(MATCH(J2277,'Final List'!$N$4:$N$252,0),0)</f>
        <v>0</v>
      </c>
      <c r="R2277" s="169">
        <f>IFERROR(MATCH(J2277,'Final List'!$P$4:$P$252,0),0)</f>
        <v>0</v>
      </c>
      <c r="S2277" s="169">
        <f t="shared" si="144"/>
        <v>0</v>
      </c>
      <c r="V2277" s="169" t="str">
        <f t="shared" si="142"/>
        <v>BELICAN 2</v>
      </c>
      <c r="W2277" s="169" t="s">
        <v>8896</v>
      </c>
    </row>
    <row r="2278" spans="2:23" x14ac:dyDescent="0.25">
      <c r="B2278" s="169" t="s">
        <v>96</v>
      </c>
      <c r="C2278" s="169" t="s">
        <v>45</v>
      </c>
      <c r="D2278" s="169" t="s">
        <v>135</v>
      </c>
      <c r="E2278" s="169" t="s">
        <v>19</v>
      </c>
      <c r="F2278" s="245" t="str">
        <f t="shared" si="143"/>
        <v>DVR 72</v>
      </c>
      <c r="G2278" s="169" t="s">
        <v>6621</v>
      </c>
      <c r="H2278" s="169" t="s">
        <v>10253</v>
      </c>
      <c r="I2278" s="169" t="str">
        <f t="shared" si="145"/>
        <v>L09_DPVE_034E_RAISE</v>
      </c>
      <c r="J2278" s="169" t="s">
        <v>3877</v>
      </c>
      <c r="K2278" s="169">
        <f>IFERROR(MATCH(J2278,'Final List'!$B$4:$B$252,0),0)</f>
        <v>0</v>
      </c>
      <c r="L2278" s="169">
        <f>IFERROR(MATCH(J2278,'Final List'!$D$4:$D$252,0),0)</f>
        <v>0</v>
      </c>
      <c r="M2278" s="169">
        <f>IFERROR(MATCH(J2278,'Final List'!$F$4:$F$251,0),0)</f>
        <v>0</v>
      </c>
      <c r="N2278" s="169">
        <f>IFERROR(MATCH(J2278,'Final List'!$H$4:$H$252,0),0)</f>
        <v>0</v>
      </c>
      <c r="O2278" s="169">
        <f>IFERROR(MATCH(J2278,'Final List'!$J$4:$J$252,0),0)</f>
        <v>0</v>
      </c>
      <c r="P2278" s="169">
        <f>IFERROR(MATCH(J2278,'Final List'!$L$4:$L$252,0),0)</f>
        <v>0</v>
      </c>
      <c r="Q2278" s="169">
        <f>IFERROR(MATCH(J2278,'Final List'!$N$4:$N$252,0),0)</f>
        <v>0</v>
      </c>
      <c r="R2278" s="169">
        <f>IFERROR(MATCH(J2278,'Final List'!$P$4:$P$252,0),0)</f>
        <v>0</v>
      </c>
      <c r="S2278" s="169">
        <f t="shared" si="144"/>
        <v>0</v>
      </c>
      <c r="V2278" s="169" t="str">
        <f t="shared" si="142"/>
        <v>PANSIT NORMAN 4</v>
      </c>
      <c r="W2278" s="169" t="s">
        <v>2715</v>
      </c>
    </row>
    <row r="2279" spans="2:23" x14ac:dyDescent="0.25">
      <c r="B2279" s="169" t="s">
        <v>94</v>
      </c>
      <c r="C2279" s="169" t="s">
        <v>45</v>
      </c>
      <c r="D2279" s="169" t="s">
        <v>180</v>
      </c>
      <c r="E2279" s="169" t="s">
        <v>62</v>
      </c>
      <c r="F2279" s="245" t="str">
        <f t="shared" si="143"/>
        <v>RobS 79</v>
      </c>
      <c r="G2279" s="169" t="s">
        <v>577</v>
      </c>
      <c r="I2279" s="169" t="str">
        <f t="shared" si="145"/>
        <v>L07_DPVE_041E_ROBBING</v>
      </c>
      <c r="J2279" s="169" t="s">
        <v>10530</v>
      </c>
      <c r="K2279" s="169">
        <f>IFERROR(MATCH(J2279,'Final List'!$B$4:$B$252,0),0)</f>
        <v>0</v>
      </c>
      <c r="L2279" s="169">
        <f>IFERROR(MATCH(J2279,'Final List'!$D$4:$D$252,0),0)</f>
        <v>0</v>
      </c>
      <c r="M2279" s="169">
        <f>IFERROR(MATCH(J2279,'Final List'!$F$4:$F$251,0),0)</f>
        <v>0</v>
      </c>
      <c r="N2279" s="169">
        <f>IFERROR(MATCH(J2279,'Final List'!$H$4:$H$252,0),0)</f>
        <v>0</v>
      </c>
      <c r="O2279" s="169">
        <f>IFERROR(MATCH(J2279,'Final List'!$J$4:$J$252,0),0)</f>
        <v>0</v>
      </c>
      <c r="P2279" s="169">
        <f>IFERROR(MATCH(J2279,'Final List'!$L$4:$L$252,0),0)</f>
        <v>0</v>
      </c>
      <c r="Q2279" s="169">
        <f>IFERROR(MATCH(J2279,'Final List'!$N$4:$N$252,0),0)</f>
        <v>0</v>
      </c>
      <c r="R2279" s="169">
        <f>IFERROR(MATCH(J2279,'Final List'!$P$4:$P$252,0),0)</f>
        <v>0</v>
      </c>
      <c r="S2279" s="169">
        <f t="shared" si="144"/>
        <v>0</v>
      </c>
      <c r="T2279" s="169" t="s">
        <v>68</v>
      </c>
      <c r="V2279" s="169" t="str">
        <f t="shared" si="142"/>
        <v>CARIKITAN 1</v>
      </c>
      <c r="W2279" s="169" t="s">
        <v>2707</v>
      </c>
    </row>
    <row r="2280" spans="2:23" x14ac:dyDescent="0.25">
      <c r="B2280" s="169" t="s">
        <v>92</v>
      </c>
      <c r="C2280" s="169" t="s">
        <v>42</v>
      </c>
      <c r="D2280" s="169" t="s">
        <v>113</v>
      </c>
      <c r="E2280" s="169" t="s">
        <v>61</v>
      </c>
      <c r="F2280" s="245" t="str">
        <f t="shared" si="143"/>
        <v>Dhoz 71</v>
      </c>
      <c r="G2280" s="169" t="s">
        <v>5698</v>
      </c>
      <c r="H2280" s="169" t="s">
        <v>636</v>
      </c>
      <c r="I2280" s="169" t="str">
        <f t="shared" si="145"/>
        <v>L05_JV_001W_DW</v>
      </c>
      <c r="J2280" s="169" t="s">
        <v>10532</v>
      </c>
      <c r="K2280" s="169">
        <f>IFERROR(MATCH(J2280,'Final List'!$B$4:$B$252,0),0)</f>
        <v>0</v>
      </c>
      <c r="L2280" s="169">
        <f>IFERROR(MATCH(J2280,'Final List'!$D$4:$D$252,0),0)</f>
        <v>0</v>
      </c>
      <c r="M2280" s="169">
        <f>IFERROR(MATCH(J2280,'Final List'!$F$4:$F$251,0),0)</f>
        <v>0</v>
      </c>
      <c r="N2280" s="169">
        <f>IFERROR(MATCH(J2280,'Final List'!$H$4:$H$252,0),0)</f>
        <v>0</v>
      </c>
      <c r="O2280" s="169">
        <f>IFERROR(MATCH(J2280,'Final List'!$J$4:$J$252,0),0)</f>
        <v>0</v>
      </c>
      <c r="P2280" s="169">
        <f>IFERROR(MATCH(J2280,'Final List'!$L$4:$L$252,0),0)</f>
        <v>0</v>
      </c>
      <c r="Q2280" s="169">
        <f>IFERROR(MATCH(J2280,'Final List'!$N$4:$N$252,0),0)</f>
        <v>0</v>
      </c>
      <c r="R2280" s="169">
        <f>IFERROR(MATCH(J2280,'Final List'!$P$4:$P$252,0),0)</f>
        <v>0</v>
      </c>
      <c r="S2280" s="169">
        <f t="shared" si="144"/>
        <v>0</v>
      </c>
      <c r="V2280" s="169" t="str">
        <f t="shared" si="142"/>
        <v>PANCIT, NOEL 5</v>
      </c>
      <c r="W2280" s="169" t="s">
        <v>8895</v>
      </c>
    </row>
    <row r="2281" spans="2:23" x14ac:dyDescent="0.25">
      <c r="B2281" s="169" t="s">
        <v>91</v>
      </c>
      <c r="C2281" s="169" t="s">
        <v>41</v>
      </c>
      <c r="D2281" s="169" t="s">
        <v>7301</v>
      </c>
      <c r="E2281" s="169" t="s">
        <v>20</v>
      </c>
      <c r="F2281" s="245" t="str">
        <f t="shared" si="143"/>
        <v>DVW 74</v>
      </c>
      <c r="G2281" s="169" t="s">
        <v>10087</v>
      </c>
      <c r="I2281" s="169" t="str">
        <f t="shared" si="145"/>
        <v>L04_CTV_010W_WINZE</v>
      </c>
      <c r="J2281" s="169" t="s">
        <v>10533</v>
      </c>
      <c r="K2281" s="169">
        <f>IFERROR(MATCH(J2281,'Final List'!$B$4:$B$252,0),0)</f>
        <v>0</v>
      </c>
      <c r="L2281" s="169">
        <f>IFERROR(MATCH(J2281,'Final List'!$D$4:$D$252,0),0)</f>
        <v>0</v>
      </c>
      <c r="M2281" s="169">
        <f>IFERROR(MATCH(J2281,'Final List'!$F$4:$F$251,0),0)</f>
        <v>0</v>
      </c>
      <c r="N2281" s="169">
        <f>IFERROR(MATCH(J2281,'Final List'!$H$4:$H$252,0),0)</f>
        <v>0</v>
      </c>
      <c r="O2281" s="169">
        <f>IFERROR(MATCH(J2281,'Final List'!$J$4:$J$252,0),0)</f>
        <v>0</v>
      </c>
      <c r="P2281" s="169">
        <f>IFERROR(MATCH(J2281,'Final List'!$L$4:$L$252,0),0)</f>
        <v>0</v>
      </c>
      <c r="Q2281" s="169">
        <f>IFERROR(MATCH(J2281,'Final List'!$N$4:$N$252,0),0)</f>
        <v>0</v>
      </c>
      <c r="R2281" s="169">
        <f>IFERROR(MATCH(J2281,'Final List'!$P$4:$P$252,0),0)</f>
        <v>0</v>
      </c>
      <c r="S2281" s="169">
        <f t="shared" si="144"/>
        <v>0</v>
      </c>
      <c r="V2281" s="169" t="str">
        <f t="shared" si="142"/>
        <v>MARTINEZ, DN 3</v>
      </c>
      <c r="W2281" s="169" t="s">
        <v>2706</v>
      </c>
    </row>
    <row r="2282" spans="2:23" x14ac:dyDescent="0.25">
      <c r="B2282" s="169" t="s">
        <v>1166</v>
      </c>
      <c r="C2282" s="169" t="s">
        <v>45</v>
      </c>
      <c r="D2282" s="169" t="s">
        <v>146</v>
      </c>
      <c r="E2282" s="169" t="s">
        <v>61</v>
      </c>
      <c r="F2282" s="245" t="str">
        <f t="shared" si="143"/>
        <v>Dhoz 71</v>
      </c>
      <c r="G2282" s="169" t="s">
        <v>353</v>
      </c>
      <c r="H2282" s="169" t="s">
        <v>355</v>
      </c>
      <c r="I2282" s="169" t="str">
        <f t="shared" si="145"/>
        <v>L11_DPVE_030E_DW</v>
      </c>
      <c r="J2282" s="169" t="s">
        <v>10535</v>
      </c>
      <c r="K2282" s="169">
        <f>IFERROR(MATCH(J2282,'Final List'!$B$4:$B$252,0),0)</f>
        <v>0</v>
      </c>
      <c r="L2282" s="169">
        <f>IFERROR(MATCH(J2282,'Final List'!$D$4:$D$252,0),0)</f>
        <v>0</v>
      </c>
      <c r="M2282" s="169">
        <f>IFERROR(MATCH(J2282,'Final List'!$F$4:$F$251,0),0)</f>
        <v>0</v>
      </c>
      <c r="N2282" s="169">
        <f>IFERROR(MATCH(J2282,'Final List'!$H$4:$H$252,0),0)</f>
        <v>0</v>
      </c>
      <c r="O2282" s="169">
        <f>IFERROR(MATCH(J2282,'Final List'!$J$4:$J$252,0),0)</f>
        <v>0</v>
      </c>
      <c r="P2282" s="169">
        <f>IFERROR(MATCH(J2282,'Final List'!$L$4:$L$252,0),0)</f>
        <v>0</v>
      </c>
      <c r="Q2282" s="169">
        <f>IFERROR(MATCH(J2282,'Final List'!$N$4:$N$252,0),0)</f>
        <v>0</v>
      </c>
      <c r="R2282" s="169">
        <f>IFERROR(MATCH(J2282,'Final List'!$P$4:$P$252,0),0)</f>
        <v>0</v>
      </c>
      <c r="S2282" s="169">
        <f t="shared" si="144"/>
        <v>0</v>
      </c>
      <c r="V2282" s="169" t="str">
        <f t="shared" si="142"/>
        <v>BAÑEZ 2</v>
      </c>
      <c r="W2282" s="169" t="s">
        <v>8896</v>
      </c>
    </row>
    <row r="2283" spans="2:23" x14ac:dyDescent="0.25">
      <c r="B2283" s="169" t="s">
        <v>95</v>
      </c>
      <c r="C2283" s="169" t="s">
        <v>43</v>
      </c>
      <c r="D2283" s="169" t="s">
        <v>102</v>
      </c>
      <c r="E2283" s="169" t="s">
        <v>19</v>
      </c>
      <c r="F2283" s="245" t="str">
        <f t="shared" si="143"/>
        <v>DVR 72</v>
      </c>
      <c r="G2283" s="169" t="s">
        <v>386</v>
      </c>
      <c r="I2283" s="169" t="str">
        <f t="shared" si="145"/>
        <v>L08_GHVSPLIT_034W_RAISE</v>
      </c>
      <c r="J2283" s="169" t="s">
        <v>10545</v>
      </c>
      <c r="K2283" s="169">
        <f>IFERROR(MATCH(J2283,'Final List'!$B$4:$B$252,0),0)</f>
        <v>0</v>
      </c>
      <c r="L2283" s="169">
        <f>IFERROR(MATCH(J2283,'Final List'!$D$4:$D$252,0),0)</f>
        <v>0</v>
      </c>
      <c r="M2283" s="169">
        <f>IFERROR(MATCH(J2283,'Final List'!$F$4:$F$251,0),0)</f>
        <v>0</v>
      </c>
      <c r="N2283" s="169">
        <f>IFERROR(MATCH(J2283,'Final List'!$H$4:$H$252,0),0)</f>
        <v>0</v>
      </c>
      <c r="O2283" s="169">
        <f>IFERROR(MATCH(J2283,'Final List'!$J$4:$J$252,0),0)</f>
        <v>0</v>
      </c>
      <c r="P2283" s="169">
        <f>IFERROR(MATCH(J2283,'Final List'!$L$4:$L$252,0),0)</f>
        <v>0</v>
      </c>
      <c r="Q2283" s="169">
        <f>IFERROR(MATCH(J2283,'Final List'!$N$4:$N$252,0),0)</f>
        <v>0</v>
      </c>
      <c r="R2283" s="169">
        <f>IFERROR(MATCH(J2283,'Final List'!$P$4:$P$252,0),0)</f>
        <v>0</v>
      </c>
      <c r="S2283" s="169">
        <f t="shared" si="144"/>
        <v>0</v>
      </c>
      <c r="V2283" s="169" t="str">
        <f t="shared" si="142"/>
        <v>REVITA 1</v>
      </c>
      <c r="W2283" s="169" t="s">
        <v>2715</v>
      </c>
    </row>
    <row r="2284" spans="2:23" x14ac:dyDescent="0.25">
      <c r="B2284" s="169" t="s">
        <v>94</v>
      </c>
      <c r="C2284" s="169" t="s">
        <v>87</v>
      </c>
      <c r="D2284" s="169" t="s">
        <v>5741</v>
      </c>
      <c r="E2284" s="169" t="s">
        <v>63</v>
      </c>
      <c r="F2284" s="245" t="str">
        <f t="shared" si="143"/>
        <v>Dhoz 71</v>
      </c>
      <c r="G2284" s="169" t="s">
        <v>1606</v>
      </c>
      <c r="I2284" s="169" t="str">
        <f t="shared" si="145"/>
        <v>L07_NONE_035E_XCS</v>
      </c>
      <c r="J2284" s="169" t="s">
        <v>10554</v>
      </c>
      <c r="K2284" s="169">
        <f>IFERROR(MATCH(J2284,'Final List'!$B$4:$B$252,0),0)</f>
        <v>0</v>
      </c>
      <c r="L2284" s="169">
        <f>IFERROR(MATCH(J2284,'Final List'!$D$4:$D$252,0),0)</f>
        <v>0</v>
      </c>
      <c r="M2284" s="169">
        <f>IFERROR(MATCH(J2284,'Final List'!$F$4:$F$251,0),0)</f>
        <v>0</v>
      </c>
      <c r="N2284" s="169">
        <f>IFERROR(MATCH(J2284,'Final List'!$H$4:$H$252,0),0)</f>
        <v>0</v>
      </c>
      <c r="O2284" s="169">
        <f>IFERROR(MATCH(J2284,'Final List'!$J$4:$J$252,0),0)</f>
        <v>0</v>
      </c>
      <c r="P2284" s="169">
        <f>IFERROR(MATCH(J2284,'Final List'!$L$4:$L$252,0),0)</f>
        <v>0</v>
      </c>
      <c r="Q2284" s="169">
        <f>IFERROR(MATCH(J2284,'Final List'!$N$4:$N$252,0),0)</f>
        <v>0</v>
      </c>
      <c r="R2284" s="169">
        <f>IFERROR(MATCH(J2284,'Final List'!$P$4:$P$252,0),0)</f>
        <v>67</v>
      </c>
      <c r="S2284" s="169">
        <f t="shared" si="144"/>
        <v>67</v>
      </c>
      <c r="V2284" s="169" t="str">
        <f t="shared" si="142"/>
        <v>PMC MINERS</v>
      </c>
      <c r="W2284" s="169" t="s">
        <v>2714</v>
      </c>
    </row>
    <row r="2285" spans="2:23" x14ac:dyDescent="0.25">
      <c r="B2285" s="169" t="s">
        <v>95</v>
      </c>
      <c r="C2285" s="169" t="s">
        <v>87</v>
      </c>
      <c r="D2285" s="169" t="s">
        <v>5741</v>
      </c>
      <c r="E2285" s="169" t="s">
        <v>71</v>
      </c>
      <c r="F2285" s="245" t="str">
        <f t="shared" si="143"/>
        <v>DVS 75</v>
      </c>
      <c r="G2285" s="169" t="s">
        <v>10555</v>
      </c>
      <c r="I2285" s="169" t="str">
        <f t="shared" si="145"/>
        <v>L08_NONE_035E_SHAFT</v>
      </c>
      <c r="J2285" s="169" t="s">
        <v>269</v>
      </c>
      <c r="K2285" s="169">
        <f>IFERROR(MATCH(J2285,'Final List'!$B$4:$B$252,0),0)</f>
        <v>0</v>
      </c>
      <c r="L2285" s="169">
        <f>IFERROR(MATCH(J2285,'Final List'!$D$4:$D$252,0),0)</f>
        <v>0</v>
      </c>
      <c r="M2285" s="169">
        <f>IFERROR(MATCH(J2285,'Final List'!$F$4:$F$251,0),0)</f>
        <v>0</v>
      </c>
      <c r="N2285" s="169">
        <f>IFERROR(MATCH(J2285,'Final List'!$H$4:$H$252,0),0)</f>
        <v>0</v>
      </c>
      <c r="O2285" s="169">
        <f>IFERROR(MATCH(J2285,'Final List'!$J$4:$J$252,0),0)</f>
        <v>0</v>
      </c>
      <c r="P2285" s="169">
        <f>IFERROR(MATCH(J2285,'Final List'!$L$4:$L$252,0),0)</f>
        <v>0</v>
      </c>
      <c r="Q2285" s="169">
        <f>IFERROR(MATCH(J2285,'Final List'!$N$4:$N$252,0),0)</f>
        <v>0</v>
      </c>
      <c r="R2285" s="169">
        <f>IFERROR(MATCH(J2285,'Final List'!$P$4:$P$252,0),0)</f>
        <v>0</v>
      </c>
      <c r="S2285" s="169">
        <f t="shared" si="144"/>
        <v>0</v>
      </c>
      <c r="V2285" s="169" t="str">
        <f t="shared" si="142"/>
        <v>AMBONGAN</v>
      </c>
      <c r="W2285" s="169" t="s">
        <v>2714</v>
      </c>
    </row>
    <row r="2286" spans="2:23" x14ac:dyDescent="0.25">
      <c r="B2286" s="169" t="s">
        <v>91</v>
      </c>
      <c r="C2286" s="169" t="s">
        <v>42</v>
      </c>
      <c r="D2286" s="169" t="s">
        <v>116</v>
      </c>
      <c r="E2286" s="169" t="s">
        <v>62</v>
      </c>
      <c r="F2286" s="245" t="str">
        <f t="shared" si="143"/>
        <v>RobS 79</v>
      </c>
      <c r="G2286" s="169" t="s">
        <v>9886</v>
      </c>
      <c r="I2286" s="169" t="str">
        <f t="shared" si="145"/>
        <v>L04_JV_021W_ROBBING</v>
      </c>
      <c r="J2286" s="169" t="s">
        <v>10557</v>
      </c>
      <c r="K2286" s="169">
        <f>IFERROR(MATCH(J2286,'Final List'!$B$4:$B$252,0),0)</f>
        <v>0</v>
      </c>
      <c r="L2286" s="169">
        <f>IFERROR(MATCH(J2286,'Final List'!$D$4:$D$252,0),0)</f>
        <v>0</v>
      </c>
      <c r="M2286" s="169">
        <f>IFERROR(MATCH(J2286,'Final List'!$F$4:$F$251,0),0)</f>
        <v>0</v>
      </c>
      <c r="N2286" s="169">
        <f>IFERROR(MATCH(J2286,'Final List'!$H$4:$H$252,0),0)</f>
        <v>0</v>
      </c>
      <c r="O2286" s="169">
        <f>IFERROR(MATCH(J2286,'Final List'!$J$4:$J$252,0),0)</f>
        <v>0</v>
      </c>
      <c r="P2286" s="169">
        <f>IFERROR(MATCH(J2286,'Final List'!$L$4:$L$252,0),0)</f>
        <v>0</v>
      </c>
      <c r="Q2286" s="169">
        <f>IFERROR(MATCH(J2286,'Final List'!$N$4:$N$252,0),0)</f>
        <v>0</v>
      </c>
      <c r="R2286" s="169">
        <f>IFERROR(MATCH(J2286,'Final List'!$P$4:$P$252,0),0)</f>
        <v>0</v>
      </c>
      <c r="S2286" s="169">
        <f t="shared" si="144"/>
        <v>0</v>
      </c>
      <c r="T2286" s="169" t="s">
        <v>68</v>
      </c>
      <c r="V2286" s="169" t="str">
        <f t="shared" si="142"/>
        <v>CAYMAN 1</v>
      </c>
      <c r="W2286" s="169" t="s">
        <v>2707</v>
      </c>
    </row>
    <row r="2287" spans="2:23" x14ac:dyDescent="0.25">
      <c r="B2287" s="169" t="s">
        <v>96</v>
      </c>
      <c r="C2287" s="169" t="s">
        <v>56</v>
      </c>
      <c r="D2287" s="169" t="s">
        <v>168</v>
      </c>
      <c r="E2287" s="169" t="s">
        <v>62</v>
      </c>
      <c r="F2287" s="245" t="str">
        <f t="shared" si="143"/>
        <v>RobS 79</v>
      </c>
      <c r="G2287" s="169" t="s">
        <v>2970</v>
      </c>
      <c r="I2287" s="169" t="str">
        <f t="shared" si="145"/>
        <v>L09_GHVFW_047E_ROBBING</v>
      </c>
      <c r="J2287" s="169" t="s">
        <v>10558</v>
      </c>
      <c r="K2287" s="169">
        <f>IFERROR(MATCH(J2287,'Final List'!$B$4:$B$252,0),0)</f>
        <v>0</v>
      </c>
      <c r="L2287" s="169">
        <f>IFERROR(MATCH(J2287,'Final List'!$D$4:$D$252,0),0)</f>
        <v>0</v>
      </c>
      <c r="M2287" s="169">
        <f>IFERROR(MATCH(J2287,'Final List'!$F$4:$F$251,0),0)</f>
        <v>0</v>
      </c>
      <c r="N2287" s="169">
        <f>IFERROR(MATCH(J2287,'Final List'!$H$4:$H$252,0),0)</f>
        <v>0</v>
      </c>
      <c r="O2287" s="169">
        <f>IFERROR(MATCH(J2287,'Final List'!$J$4:$J$252,0),0)</f>
        <v>0</v>
      </c>
      <c r="P2287" s="169">
        <f>IFERROR(MATCH(J2287,'Final List'!$L$4:$L$252,0),0)</f>
        <v>0</v>
      </c>
      <c r="Q2287" s="169">
        <f>IFERROR(MATCH(J2287,'Final List'!$N$4:$N$252,0),0)</f>
        <v>0</v>
      </c>
      <c r="R2287" s="169">
        <f>IFERROR(MATCH(J2287,'Final List'!$P$4:$P$252,0),0)</f>
        <v>0</v>
      </c>
      <c r="S2287" s="169">
        <f t="shared" si="144"/>
        <v>0</v>
      </c>
      <c r="T2287" s="169" t="s">
        <v>68</v>
      </c>
      <c r="V2287" s="169" t="str">
        <f t="shared" si="142"/>
        <v>FABROA 2</v>
      </c>
      <c r="W2287" s="169" t="s">
        <v>2707</v>
      </c>
    </row>
    <row r="2288" spans="2:23" x14ac:dyDescent="0.25">
      <c r="B2288" s="169" t="s">
        <v>258</v>
      </c>
      <c r="C2288" s="169" t="s">
        <v>42</v>
      </c>
      <c r="D2288" s="169" t="s">
        <v>178</v>
      </c>
      <c r="E2288" s="169" t="s">
        <v>19</v>
      </c>
      <c r="F2288" s="245" t="str">
        <f t="shared" si="143"/>
        <v>DVR 72</v>
      </c>
      <c r="G2288" s="169" t="s">
        <v>303</v>
      </c>
      <c r="I2288" s="169" t="str">
        <f t="shared" si="145"/>
        <v>L10_JV_048E_RAISE</v>
      </c>
      <c r="J2288" s="169" t="s">
        <v>10560</v>
      </c>
      <c r="K2288" s="169">
        <f>IFERROR(MATCH(J2288,'Final List'!$B$4:$B$252,0),0)</f>
        <v>0</v>
      </c>
      <c r="L2288" s="169">
        <f>IFERROR(MATCH(J2288,'Final List'!$D$4:$D$252,0),0)</f>
        <v>0</v>
      </c>
      <c r="M2288" s="169">
        <f>IFERROR(MATCH(J2288,'Final List'!$F$4:$F$251,0),0)</f>
        <v>0</v>
      </c>
      <c r="N2288" s="169">
        <f>IFERROR(MATCH(J2288,'Final List'!$H$4:$H$252,0),0)</f>
        <v>0</v>
      </c>
      <c r="O2288" s="169">
        <f>IFERROR(MATCH(J2288,'Final List'!$J$4:$J$252,0),0)</f>
        <v>0</v>
      </c>
      <c r="P2288" s="169">
        <f>IFERROR(MATCH(J2288,'Final List'!$L$4:$L$252,0),0)</f>
        <v>0</v>
      </c>
      <c r="Q2288" s="169">
        <f>IFERROR(MATCH(J2288,'Final List'!$N$4:$N$252,0),0)</f>
        <v>0</v>
      </c>
      <c r="R2288" s="169">
        <f>IFERROR(MATCH(J2288,'Final List'!$P$4:$P$252,0),0)</f>
        <v>0</v>
      </c>
      <c r="S2288" s="169">
        <f t="shared" si="144"/>
        <v>0</v>
      </c>
      <c r="V2288" s="169" t="str">
        <f t="shared" si="142"/>
        <v>BELICAN 1</v>
      </c>
      <c r="W2288" s="169" t="s">
        <v>2715</v>
      </c>
    </row>
    <row r="2289" spans="2:23" x14ac:dyDescent="0.25">
      <c r="B2289" s="169" t="s">
        <v>8904</v>
      </c>
      <c r="C2289" s="169" t="s">
        <v>41</v>
      </c>
      <c r="D2289" s="169" t="s">
        <v>171</v>
      </c>
      <c r="E2289" s="169" t="s">
        <v>19</v>
      </c>
      <c r="F2289" s="245" t="str">
        <f t="shared" si="143"/>
        <v>DVR 72</v>
      </c>
      <c r="G2289" s="169" t="s">
        <v>9366</v>
      </c>
      <c r="I2289" s="169" t="str">
        <f t="shared" si="145"/>
        <v>L03_CTV_015W_RAISE</v>
      </c>
      <c r="J2289" s="169" t="s">
        <v>10561</v>
      </c>
      <c r="K2289" s="169">
        <f>IFERROR(MATCH(J2289,'Final List'!$B$4:$B$252,0),0)</f>
        <v>0</v>
      </c>
      <c r="L2289" s="169">
        <f>IFERROR(MATCH(J2289,'Final List'!$D$4:$D$252,0),0)</f>
        <v>0</v>
      </c>
      <c r="M2289" s="169">
        <f>IFERROR(MATCH(J2289,'Final List'!$F$4:$F$251,0),0)</f>
        <v>0</v>
      </c>
      <c r="N2289" s="169">
        <f>IFERROR(MATCH(J2289,'Final List'!$H$4:$H$252,0),0)</f>
        <v>0</v>
      </c>
      <c r="O2289" s="169">
        <f>IFERROR(MATCH(J2289,'Final List'!$J$4:$J$252,0),0)</f>
        <v>0</v>
      </c>
      <c r="P2289" s="169">
        <f>IFERROR(MATCH(J2289,'Final List'!$L$4:$L$252,0),0)</f>
        <v>0</v>
      </c>
      <c r="Q2289" s="169">
        <f>IFERROR(MATCH(J2289,'Final List'!$N$4:$N$252,0),0)</f>
        <v>0</v>
      </c>
      <c r="R2289" s="169">
        <f>IFERROR(MATCH(J2289,'Final List'!$P$4:$P$252,0),0)</f>
        <v>0</v>
      </c>
      <c r="S2289" s="169">
        <f t="shared" si="144"/>
        <v>0</v>
      </c>
      <c r="V2289" s="169" t="str">
        <f t="shared" si="142"/>
        <v>FERNANDEZ, RM 2</v>
      </c>
      <c r="W2289" s="169" t="s">
        <v>2715</v>
      </c>
    </row>
    <row r="2290" spans="2:23" x14ac:dyDescent="0.25">
      <c r="B2290" s="169" t="s">
        <v>91</v>
      </c>
      <c r="C2290" s="169" t="s">
        <v>44</v>
      </c>
      <c r="D2290" s="169" t="s">
        <v>6864</v>
      </c>
      <c r="E2290" s="169" t="s">
        <v>221</v>
      </c>
      <c r="F2290" s="245" t="str">
        <f t="shared" si="143"/>
        <v>RobC 80</v>
      </c>
      <c r="G2290" s="169" t="s">
        <v>5714</v>
      </c>
      <c r="H2290" s="169" t="s">
        <v>10123</v>
      </c>
      <c r="I2290" s="169" t="str">
        <f t="shared" si="145"/>
        <v>L04_CV_006E_WINZE STOPE</v>
      </c>
      <c r="J2290" s="169" t="s">
        <v>11505</v>
      </c>
      <c r="K2290" s="169">
        <f>IFERROR(MATCH(J2290,'Final List'!$B$4:$B$252,0),0)</f>
        <v>0</v>
      </c>
      <c r="L2290" s="169">
        <f>IFERROR(MATCH(J2290,'Final List'!$D$4:$D$252,0),0)</f>
        <v>0</v>
      </c>
      <c r="M2290" s="169">
        <f>IFERROR(MATCH(J2290,'Final List'!$F$4:$F$251,0),0)</f>
        <v>0</v>
      </c>
      <c r="N2290" s="169">
        <f>IFERROR(MATCH(J2290,'Final List'!$H$4:$H$252,0),0)</f>
        <v>0</v>
      </c>
      <c r="O2290" s="169">
        <f>IFERROR(MATCH(J2290,'Final List'!$J$4:$J$252,0),0)</f>
        <v>0</v>
      </c>
      <c r="P2290" s="169">
        <f>IFERROR(MATCH(J2290,'Final List'!$L$4:$L$252,0),0)</f>
        <v>0</v>
      </c>
      <c r="Q2290" s="169">
        <f>IFERROR(MATCH(J2290,'Final List'!$N$4:$N$252,0),0)</f>
        <v>0</v>
      </c>
      <c r="R2290" s="169">
        <f>IFERROR(MATCH(J2290,'Final List'!$P$4:$P$252,0),0)</f>
        <v>0</v>
      </c>
      <c r="S2290" s="169">
        <f t="shared" si="144"/>
        <v>0</v>
      </c>
      <c r="T2290" s="169" t="s">
        <v>68</v>
      </c>
      <c r="V2290" s="169" t="str">
        <f t="shared" si="142"/>
        <v>MARTINEZ, DN 4</v>
      </c>
      <c r="W2290" s="169" t="s">
        <v>2719</v>
      </c>
    </row>
    <row r="2291" spans="2:23" x14ac:dyDescent="0.25">
      <c r="B2291" s="169" t="s">
        <v>1166</v>
      </c>
      <c r="C2291" s="169" t="s">
        <v>56</v>
      </c>
      <c r="D2291" s="169" t="s">
        <v>178</v>
      </c>
      <c r="E2291" s="169" t="s">
        <v>36</v>
      </c>
      <c r="F2291" s="245" t="str">
        <f t="shared" si="143"/>
        <v>StpS 77</v>
      </c>
      <c r="G2291" s="169" t="s">
        <v>296</v>
      </c>
      <c r="H2291" s="169" t="s">
        <v>1905</v>
      </c>
      <c r="I2291" s="169" t="str">
        <f t="shared" si="145"/>
        <v>L11_GHVFW_048E_STOPE</v>
      </c>
      <c r="J2291" s="169" t="s">
        <v>10566</v>
      </c>
      <c r="K2291" s="169">
        <f>IFERROR(MATCH(J2291,'Final List'!$B$4:$B$252,0),0)</f>
        <v>0</v>
      </c>
      <c r="L2291" s="169">
        <f>IFERROR(MATCH(J2291,'Final List'!$D$4:$D$252,0),0)</f>
        <v>0</v>
      </c>
      <c r="M2291" s="169">
        <f>IFERROR(MATCH(J2291,'Final List'!$F$4:$F$251,0),0)</f>
        <v>0</v>
      </c>
      <c r="N2291" s="169">
        <f>IFERROR(MATCH(J2291,'Final List'!$H$4:$H$252,0),0)</f>
        <v>0</v>
      </c>
      <c r="O2291" s="169">
        <f>IFERROR(MATCH(J2291,'Final List'!$J$4:$J$252,0),0)</f>
        <v>0</v>
      </c>
      <c r="P2291" s="169">
        <f>IFERROR(MATCH(J2291,'Final List'!$L$4:$L$252,0),0)</f>
        <v>0</v>
      </c>
      <c r="Q2291" s="169">
        <f>IFERROR(MATCH(J2291,'Final List'!$N$4:$N$252,0),0)</f>
        <v>0</v>
      </c>
      <c r="R2291" s="169">
        <f>IFERROR(MATCH(J2291,'Final List'!$P$4:$P$252,0),0)</f>
        <v>0</v>
      </c>
      <c r="S2291" s="169">
        <f t="shared" si="144"/>
        <v>0</v>
      </c>
      <c r="T2291" s="169" t="s">
        <v>68</v>
      </c>
      <c r="V2291" s="169" t="str">
        <f t="shared" si="142"/>
        <v>MONTEBON 1</v>
      </c>
      <c r="W2291" s="169" t="s">
        <v>2713</v>
      </c>
    </row>
    <row r="2292" spans="2:23" x14ac:dyDescent="0.25">
      <c r="B2292" s="169" t="s">
        <v>91</v>
      </c>
      <c r="C2292" s="169" t="s">
        <v>41</v>
      </c>
      <c r="D2292" s="169" t="s">
        <v>101</v>
      </c>
      <c r="E2292" s="169" t="s">
        <v>6154</v>
      </c>
      <c r="F2292" s="245" t="str">
        <f t="shared" si="143"/>
        <v>Dhoz 71</v>
      </c>
      <c r="G2292" s="169" t="s">
        <v>3277</v>
      </c>
      <c r="H2292" s="169" t="s">
        <v>3277</v>
      </c>
      <c r="I2292" s="169" t="str">
        <f t="shared" si="145"/>
        <v>L04_CTV_023W_DW_ISL</v>
      </c>
      <c r="J2292" s="169" t="s">
        <v>10592</v>
      </c>
      <c r="K2292" s="169">
        <f>IFERROR(MATCH(J2292,'Final List'!$B$4:$B$252,0),0)</f>
        <v>0</v>
      </c>
      <c r="L2292" s="169">
        <f>IFERROR(MATCH(J2292,'Final List'!$D$4:$D$252,0),0)</f>
        <v>0</v>
      </c>
      <c r="M2292" s="169">
        <f>IFERROR(MATCH(J2292,'Final List'!$F$4:$F$251,0),0)</f>
        <v>0</v>
      </c>
      <c r="N2292" s="169">
        <f>IFERROR(MATCH(J2292,'Final List'!$H$4:$H$252,0),0)</f>
        <v>0</v>
      </c>
      <c r="O2292" s="169">
        <f>IFERROR(MATCH(J2292,'Final List'!$J$4:$J$252,0),0)</f>
        <v>0</v>
      </c>
      <c r="P2292" s="169">
        <f>IFERROR(MATCH(J2292,'Final List'!$L$4:$L$252,0),0)</f>
        <v>0</v>
      </c>
      <c r="Q2292" s="169">
        <f>IFERROR(MATCH(J2292,'Final List'!$N$4:$N$252,0),0)</f>
        <v>0</v>
      </c>
      <c r="R2292" s="169">
        <f>IFERROR(MATCH(J2292,'Final List'!$P$4:$P$252,0),0)</f>
        <v>0</v>
      </c>
      <c r="S2292" s="169">
        <f t="shared" si="144"/>
        <v>0</v>
      </c>
      <c r="V2292" s="169" t="str">
        <f t="shared" si="142"/>
        <v>MARTINEZ, DN 2</v>
      </c>
      <c r="W2292" s="169" t="s">
        <v>2708</v>
      </c>
    </row>
    <row r="2293" spans="2:23" x14ac:dyDescent="0.25">
      <c r="B2293" s="169" t="s">
        <v>94</v>
      </c>
      <c r="C2293" s="169" t="s">
        <v>42</v>
      </c>
      <c r="D2293" s="169" t="s">
        <v>149</v>
      </c>
      <c r="E2293" s="169" t="s">
        <v>62</v>
      </c>
      <c r="F2293" s="245" t="str">
        <f t="shared" si="143"/>
        <v>RobS 79</v>
      </c>
      <c r="G2293" s="169" t="s">
        <v>9352</v>
      </c>
      <c r="I2293" s="169" t="str">
        <f t="shared" si="145"/>
        <v>L07_JV_021E_ROBBING</v>
      </c>
      <c r="J2293" s="169" t="s">
        <v>10571</v>
      </c>
      <c r="K2293" s="169">
        <f>IFERROR(MATCH(J2293,'Final List'!$B$4:$B$252,0),0)</f>
        <v>0</v>
      </c>
      <c r="L2293" s="169">
        <f>IFERROR(MATCH(J2293,'Final List'!$D$4:$D$252,0),0)</f>
        <v>0</v>
      </c>
      <c r="M2293" s="169">
        <f>IFERROR(MATCH(J2293,'Final List'!$F$4:$F$251,0),0)</f>
        <v>0</v>
      </c>
      <c r="N2293" s="169">
        <f>IFERROR(MATCH(J2293,'Final List'!$H$4:$H$252,0),0)</f>
        <v>0</v>
      </c>
      <c r="O2293" s="169">
        <f>IFERROR(MATCH(J2293,'Final List'!$J$4:$J$252,0),0)</f>
        <v>0</v>
      </c>
      <c r="P2293" s="169">
        <f>IFERROR(MATCH(J2293,'Final List'!$L$4:$L$252,0),0)</f>
        <v>0</v>
      </c>
      <c r="Q2293" s="169">
        <f>IFERROR(MATCH(J2293,'Final List'!$N$4:$N$252,0),0)</f>
        <v>0</v>
      </c>
      <c r="R2293" s="169">
        <f>IFERROR(MATCH(J2293,'Final List'!$P$4:$P$252,0),0)</f>
        <v>0</v>
      </c>
      <c r="S2293" s="169">
        <f t="shared" si="144"/>
        <v>0</v>
      </c>
      <c r="T2293" s="169" t="s">
        <v>68</v>
      </c>
      <c r="V2293" s="169" t="str">
        <f t="shared" si="142"/>
        <v>SHEPHERD AA 1</v>
      </c>
      <c r="W2293" s="169" t="s">
        <v>2707</v>
      </c>
    </row>
    <row r="2294" spans="2:23" x14ac:dyDescent="0.25">
      <c r="B2294" s="169" t="s">
        <v>93</v>
      </c>
      <c r="C2294" s="169" t="s">
        <v>45</v>
      </c>
      <c r="D2294" s="169" t="s">
        <v>146</v>
      </c>
      <c r="E2294" s="169" t="s">
        <v>62</v>
      </c>
      <c r="F2294" s="245" t="str">
        <f t="shared" si="143"/>
        <v>RobC 80</v>
      </c>
      <c r="G2294" s="169" t="s">
        <v>577</v>
      </c>
      <c r="I2294" s="169" t="str">
        <f t="shared" si="145"/>
        <v>L06_DPVE_030E_ROBBING</v>
      </c>
      <c r="J2294" s="169" t="s">
        <v>10573</v>
      </c>
      <c r="K2294" s="169">
        <f>IFERROR(MATCH(J2294,'Final List'!$B$4:$B$252,0),0)</f>
        <v>0</v>
      </c>
      <c r="L2294" s="169">
        <f>IFERROR(MATCH(J2294,'Final List'!$D$4:$D$252,0),0)</f>
        <v>0</v>
      </c>
      <c r="M2294" s="169">
        <f>IFERROR(MATCH(J2294,'Final List'!$F$4:$F$251,0),0)</f>
        <v>0</v>
      </c>
      <c r="N2294" s="169">
        <f>IFERROR(MATCH(J2294,'Final List'!$H$4:$H$252,0),0)</f>
        <v>0</v>
      </c>
      <c r="O2294" s="169">
        <f>IFERROR(MATCH(J2294,'Final List'!$J$4:$J$252,0),0)</f>
        <v>0</v>
      </c>
      <c r="P2294" s="169">
        <f>IFERROR(MATCH(J2294,'Final List'!$L$4:$L$252,0),0)</f>
        <v>0</v>
      </c>
      <c r="Q2294" s="169">
        <f>IFERROR(MATCH(J2294,'Final List'!$N$4:$N$252,0),0)</f>
        <v>0</v>
      </c>
      <c r="R2294" s="169">
        <f>IFERROR(MATCH(J2294,'Final List'!$P$4:$P$252,0),0)</f>
        <v>0</v>
      </c>
      <c r="S2294" s="169">
        <f t="shared" si="144"/>
        <v>0</v>
      </c>
      <c r="T2294" s="169" t="s">
        <v>48</v>
      </c>
      <c r="V2294" s="169" t="str">
        <f t="shared" si="142"/>
        <v>CARIKITAN 1</v>
      </c>
      <c r="W2294" s="169" t="s">
        <v>236</v>
      </c>
    </row>
    <row r="2295" spans="2:23" x14ac:dyDescent="0.25">
      <c r="B2295" s="169" t="s">
        <v>91</v>
      </c>
      <c r="C2295" s="169" t="s">
        <v>87</v>
      </c>
      <c r="D2295" s="169" t="s">
        <v>101</v>
      </c>
      <c r="E2295" s="169" t="s">
        <v>6154</v>
      </c>
      <c r="F2295" s="245" t="str">
        <f t="shared" si="143"/>
        <v>Dhoz 71</v>
      </c>
      <c r="G2295" s="169" t="s">
        <v>10002</v>
      </c>
      <c r="I2295" s="169" t="str">
        <f t="shared" si="145"/>
        <v>L04_NONE_023W_DW_ISL</v>
      </c>
      <c r="J2295" s="169" t="s">
        <v>10578</v>
      </c>
      <c r="K2295" s="169">
        <f>IFERROR(MATCH(J2295,'Final List'!$B$4:$B$252,0),0)</f>
        <v>0</v>
      </c>
      <c r="L2295" s="169">
        <f>IFERROR(MATCH(J2295,'Final List'!$D$4:$D$252,0),0)</f>
        <v>0</v>
      </c>
      <c r="M2295" s="169">
        <f>IFERROR(MATCH(J2295,'Final List'!$F$4:$F$251,0),0)</f>
        <v>0</v>
      </c>
      <c r="N2295" s="169">
        <f>IFERROR(MATCH(J2295,'Final List'!$H$4:$H$252,0),0)</f>
        <v>0</v>
      </c>
      <c r="O2295" s="169">
        <f>IFERROR(MATCH(J2295,'Final List'!$J$4:$J$252,0),0)</f>
        <v>0</v>
      </c>
      <c r="P2295" s="169">
        <f>IFERROR(MATCH(J2295,'Final List'!$L$4:$L$252,0),0)</f>
        <v>0</v>
      </c>
      <c r="Q2295" s="169">
        <f>IFERROR(MATCH(J2295,'Final List'!$N$4:$N$252,0),0)</f>
        <v>0</v>
      </c>
      <c r="R2295" s="169">
        <f>IFERROR(MATCH(J2295,'Final List'!$P$4:$P$252,0),0)</f>
        <v>0</v>
      </c>
      <c r="S2295" s="169">
        <f t="shared" si="144"/>
        <v>0</v>
      </c>
      <c r="V2295" s="169" t="str">
        <f t="shared" si="142"/>
        <v>CAYMAN 3</v>
      </c>
      <c r="W2295" s="169" t="s">
        <v>8897</v>
      </c>
    </row>
    <row r="2296" spans="2:23" x14ac:dyDescent="0.25">
      <c r="B2296" s="169" t="s">
        <v>96</v>
      </c>
      <c r="C2296" s="169" t="s">
        <v>45</v>
      </c>
      <c r="D2296" s="169" t="s">
        <v>174</v>
      </c>
      <c r="E2296" s="169" t="s">
        <v>62</v>
      </c>
      <c r="F2296" s="245" t="str">
        <f t="shared" si="143"/>
        <v>RobC 80</v>
      </c>
      <c r="G2296" s="169" t="s">
        <v>362</v>
      </c>
      <c r="H2296" s="169" t="s">
        <v>10684</v>
      </c>
      <c r="I2296" s="169" t="str">
        <f t="shared" si="145"/>
        <v>L09_DPVE_052E_ROBBING</v>
      </c>
      <c r="J2296" s="169" t="s">
        <v>10585</v>
      </c>
      <c r="K2296" s="169">
        <f>IFERROR(MATCH(J2296,'Final List'!$B$4:$B$252,0),0)</f>
        <v>0</v>
      </c>
      <c r="L2296" s="169">
        <f>IFERROR(MATCH(J2296,'Final List'!$D$4:$D$252,0),0)</f>
        <v>0</v>
      </c>
      <c r="M2296" s="169">
        <f>IFERROR(MATCH(J2296,'Final List'!$F$4:$F$251,0),0)</f>
        <v>0</v>
      </c>
      <c r="N2296" s="169">
        <f>IFERROR(MATCH(J2296,'Final List'!$H$4:$H$252,0),0)</f>
        <v>0</v>
      </c>
      <c r="O2296" s="169">
        <f>IFERROR(MATCH(J2296,'Final List'!$J$4:$J$252,0),0)</f>
        <v>0</v>
      </c>
      <c r="P2296" s="169">
        <f>IFERROR(MATCH(J2296,'Final List'!$L$4:$L$252,0),0)</f>
        <v>0</v>
      </c>
      <c r="Q2296" s="169">
        <f>IFERROR(MATCH(J2296,'Final List'!$N$4:$N$252,0),0)</f>
        <v>0</v>
      </c>
      <c r="R2296" s="169">
        <f>IFERROR(MATCH(J2296,'Final List'!$P$4:$P$252,0),0)</f>
        <v>0</v>
      </c>
      <c r="S2296" s="169">
        <f t="shared" si="144"/>
        <v>0</v>
      </c>
      <c r="T2296" s="169" t="s">
        <v>48</v>
      </c>
      <c r="V2296" s="169" t="str">
        <f t="shared" si="142"/>
        <v>SHEPHERD AY</v>
      </c>
      <c r="W2296" s="169" t="s">
        <v>236</v>
      </c>
    </row>
    <row r="2297" spans="2:23" x14ac:dyDescent="0.25">
      <c r="B2297" s="169" t="s">
        <v>1166</v>
      </c>
      <c r="C2297" s="169" t="s">
        <v>56</v>
      </c>
      <c r="D2297" s="169" t="s">
        <v>5781</v>
      </c>
      <c r="E2297" s="169" t="s">
        <v>19</v>
      </c>
      <c r="F2297" s="245" t="str">
        <f t="shared" si="143"/>
        <v>DVR 72</v>
      </c>
      <c r="G2297" s="169" t="s">
        <v>474</v>
      </c>
      <c r="I2297" s="169" t="str">
        <f t="shared" si="145"/>
        <v>L11_GHVFW_051E_RAISE</v>
      </c>
      <c r="J2297" s="169" t="s">
        <v>10588</v>
      </c>
      <c r="K2297" s="169">
        <f>IFERROR(MATCH(J2297,'Final List'!$B$4:$B$252,0),0)</f>
        <v>0</v>
      </c>
      <c r="L2297" s="169">
        <f>IFERROR(MATCH(J2297,'Final List'!$D$4:$D$252,0),0)</f>
        <v>0</v>
      </c>
      <c r="M2297" s="169">
        <f>IFERROR(MATCH(J2297,'Final List'!$F$4:$F$251,0),0)</f>
        <v>0</v>
      </c>
      <c r="N2297" s="169">
        <f>IFERROR(MATCH(J2297,'Final List'!$H$4:$H$252,0),0)</f>
        <v>0</v>
      </c>
      <c r="O2297" s="169">
        <f>IFERROR(MATCH(J2297,'Final List'!$J$4:$J$252,0),0)</f>
        <v>0</v>
      </c>
      <c r="P2297" s="169">
        <f>IFERROR(MATCH(J2297,'Final List'!$L$4:$L$252,0),0)</f>
        <v>0</v>
      </c>
      <c r="Q2297" s="169">
        <f>IFERROR(MATCH(J2297,'Final List'!$N$4:$N$252,0),0)</f>
        <v>0</v>
      </c>
      <c r="R2297" s="169">
        <f>IFERROR(MATCH(J2297,'Final List'!$P$4:$P$252,0),0)</f>
        <v>0</v>
      </c>
      <c r="S2297" s="169">
        <f t="shared" si="144"/>
        <v>0</v>
      </c>
      <c r="V2297" s="169" t="str">
        <f t="shared" si="142"/>
        <v>TORMIS 1</v>
      </c>
      <c r="W2297" s="169" t="s">
        <v>2715</v>
      </c>
    </row>
    <row r="2298" spans="2:23" x14ac:dyDescent="0.25">
      <c r="B2298" s="169" t="s">
        <v>96</v>
      </c>
      <c r="C2298" s="169" t="s">
        <v>45</v>
      </c>
      <c r="D2298" s="169" t="s">
        <v>6358</v>
      </c>
      <c r="E2298" s="169" t="s">
        <v>62</v>
      </c>
      <c r="F2298" s="245" t="str">
        <f t="shared" si="143"/>
        <v>RobS 79</v>
      </c>
      <c r="G2298" s="169" t="s">
        <v>485</v>
      </c>
      <c r="H2298" s="169" t="s">
        <v>350</v>
      </c>
      <c r="I2298" s="169" t="str">
        <f t="shared" si="145"/>
        <v>L09_DPVE_087E_ROBBING</v>
      </c>
      <c r="J2298" s="169" t="s">
        <v>11310</v>
      </c>
      <c r="K2298" s="169">
        <f>IFERROR(MATCH(J2298,'Final List'!$B$4:$B$252,0),0)</f>
        <v>0</v>
      </c>
      <c r="L2298" s="169">
        <f>IFERROR(MATCH(J2298,'Final List'!$D$4:$D$252,0),0)</f>
        <v>0</v>
      </c>
      <c r="M2298" s="169">
        <f>IFERROR(MATCH(J2298,'Final List'!$F$4:$F$251,0),0)</f>
        <v>0</v>
      </c>
      <c r="N2298" s="169">
        <f>IFERROR(MATCH(J2298,'Final List'!$H$4:$H$252,0),0)</f>
        <v>0</v>
      </c>
      <c r="O2298" s="169">
        <f>IFERROR(MATCH(J2298,'Final List'!$J$4:$J$252,0),0)</f>
        <v>0</v>
      </c>
      <c r="P2298" s="169">
        <f>IFERROR(MATCH(J2298,'Final List'!$L$4:$L$252,0),0)</f>
        <v>0</v>
      </c>
      <c r="Q2298" s="169">
        <f>IFERROR(MATCH(J2298,'Final List'!$N$4:$N$252,0),0)</f>
        <v>0</v>
      </c>
      <c r="R2298" s="169">
        <f>IFERROR(MATCH(J2298,'Final List'!$P$4:$P$252,0),0)</f>
        <v>0</v>
      </c>
      <c r="S2298" s="169">
        <f t="shared" si="144"/>
        <v>0</v>
      </c>
      <c r="T2298" s="169" t="s">
        <v>68</v>
      </c>
      <c r="V2298" s="169" t="str">
        <f t="shared" si="142"/>
        <v>QUIJANO 1</v>
      </c>
      <c r="W2298" s="169" t="s">
        <v>2707</v>
      </c>
    </row>
    <row r="2299" spans="2:23" x14ac:dyDescent="0.25">
      <c r="B2299" s="169" t="s">
        <v>92</v>
      </c>
      <c r="C2299" s="169" t="s">
        <v>45</v>
      </c>
      <c r="D2299" s="169" t="s">
        <v>5602</v>
      </c>
      <c r="E2299" s="169" t="s">
        <v>6154</v>
      </c>
      <c r="F2299" s="245" t="str">
        <f t="shared" si="143"/>
        <v>Dhoz 71</v>
      </c>
      <c r="G2299" s="169" t="s">
        <v>5706</v>
      </c>
      <c r="H2299" s="169" t="s">
        <v>368</v>
      </c>
      <c r="I2299" s="169" t="str">
        <f t="shared" si="145"/>
        <v>L05_DPVE_053E_DW_ISL</v>
      </c>
      <c r="J2299" s="169" t="s">
        <v>10591</v>
      </c>
      <c r="K2299" s="169">
        <f>IFERROR(MATCH(J2299,'Final List'!$B$4:$B$252,0),0)</f>
        <v>0</v>
      </c>
      <c r="L2299" s="169">
        <f>IFERROR(MATCH(J2299,'Final List'!$D$4:$D$252,0),0)</f>
        <v>0</v>
      </c>
      <c r="M2299" s="169">
        <f>IFERROR(MATCH(J2299,'Final List'!$F$4:$F$251,0),0)</f>
        <v>0</v>
      </c>
      <c r="N2299" s="169">
        <f>IFERROR(MATCH(J2299,'Final List'!$H$4:$H$252,0),0)</f>
        <v>0</v>
      </c>
      <c r="O2299" s="169">
        <f>IFERROR(MATCH(J2299,'Final List'!$J$4:$J$252,0),0)</f>
        <v>0</v>
      </c>
      <c r="P2299" s="169">
        <f>IFERROR(MATCH(J2299,'Final List'!$L$4:$L$252,0),0)</f>
        <v>0</v>
      </c>
      <c r="Q2299" s="169">
        <f>IFERROR(MATCH(J2299,'Final List'!$N$4:$N$252,0),0)</f>
        <v>0</v>
      </c>
      <c r="R2299" s="169">
        <f>IFERROR(MATCH(J2299,'Final List'!$P$4:$P$252,0),0)</f>
        <v>0</v>
      </c>
      <c r="S2299" s="169">
        <f t="shared" si="144"/>
        <v>0</v>
      </c>
      <c r="V2299" s="169" t="str">
        <f t="shared" si="142"/>
        <v>LERIO 2</v>
      </c>
      <c r="W2299" s="169" t="s">
        <v>2708</v>
      </c>
    </row>
    <row r="2300" spans="2:23" x14ac:dyDescent="0.25">
      <c r="B2300" s="169" t="s">
        <v>96</v>
      </c>
      <c r="C2300" s="169" t="s">
        <v>59</v>
      </c>
      <c r="D2300" s="169" t="s">
        <v>147</v>
      </c>
      <c r="E2300" s="169" t="s">
        <v>6143</v>
      </c>
      <c r="F2300" s="245" t="str">
        <f t="shared" si="143"/>
        <v>Dhoz 71</v>
      </c>
      <c r="G2300" s="169" t="s">
        <v>363</v>
      </c>
      <c r="I2300" s="169" t="str">
        <f t="shared" si="145"/>
        <v>L09_GHVHW_024E_DE_ISL</v>
      </c>
      <c r="J2300" s="169" t="s">
        <v>10598</v>
      </c>
      <c r="K2300" s="169">
        <f>IFERROR(MATCH(J2300,'Final List'!$B$4:$B$252,0),0)</f>
        <v>0</v>
      </c>
      <c r="L2300" s="169">
        <f>IFERROR(MATCH(J2300,'Final List'!$D$4:$D$252,0),0)</f>
        <v>0</v>
      </c>
      <c r="M2300" s="169">
        <f>IFERROR(MATCH(J2300,'Final List'!$F$4:$F$251,0),0)</f>
        <v>0</v>
      </c>
      <c r="N2300" s="169">
        <f>IFERROR(MATCH(J2300,'Final List'!$H$4:$H$252,0),0)</f>
        <v>0</v>
      </c>
      <c r="O2300" s="169">
        <f>IFERROR(MATCH(J2300,'Final List'!$J$4:$J$252,0),0)</f>
        <v>0</v>
      </c>
      <c r="P2300" s="169">
        <f>IFERROR(MATCH(J2300,'Final List'!$L$4:$L$252,0),0)</f>
        <v>0</v>
      </c>
      <c r="Q2300" s="169">
        <f>IFERROR(MATCH(J2300,'Final List'!$N$4:$N$252,0),0)</f>
        <v>0</v>
      </c>
      <c r="R2300" s="169">
        <f>IFERROR(MATCH(J2300,'Final List'!$P$4:$P$252,0),0)</f>
        <v>0</v>
      </c>
      <c r="S2300" s="169">
        <f t="shared" si="144"/>
        <v>0</v>
      </c>
      <c r="V2300" s="169" t="str">
        <f t="shared" si="142"/>
        <v>BABOR 2</v>
      </c>
      <c r="W2300" s="169" t="s">
        <v>2708</v>
      </c>
    </row>
    <row r="2301" spans="2:23" x14ac:dyDescent="0.25">
      <c r="B2301" s="169" t="s">
        <v>96</v>
      </c>
      <c r="C2301" s="169" t="s">
        <v>45</v>
      </c>
      <c r="D2301" s="169" t="s">
        <v>121</v>
      </c>
      <c r="E2301" s="169" t="s">
        <v>61</v>
      </c>
      <c r="F2301" s="245" t="str">
        <f t="shared" si="143"/>
        <v>Dhoz 71</v>
      </c>
      <c r="G2301" s="169" t="s">
        <v>349</v>
      </c>
      <c r="I2301" s="169" t="str">
        <f t="shared" si="145"/>
        <v>L09_DPVE_022E_DW</v>
      </c>
      <c r="J2301" s="169" t="s">
        <v>685</v>
      </c>
      <c r="K2301" s="169">
        <f>IFERROR(MATCH(J2301,'Final List'!$B$4:$B$252,0),0)</f>
        <v>0</v>
      </c>
      <c r="L2301" s="169">
        <f>IFERROR(MATCH(J2301,'Final List'!$D$4:$D$252,0),0)</f>
        <v>0</v>
      </c>
      <c r="M2301" s="169">
        <f>IFERROR(MATCH(J2301,'Final List'!$F$4:$F$251,0),0)</f>
        <v>0</v>
      </c>
      <c r="N2301" s="169">
        <f>IFERROR(MATCH(J2301,'Final List'!$H$4:$H$252,0),0)</f>
        <v>0</v>
      </c>
      <c r="O2301" s="169">
        <f>IFERROR(MATCH(J2301,'Final List'!$J$4:$J$252,0),0)</f>
        <v>0</v>
      </c>
      <c r="P2301" s="169">
        <f>IFERROR(MATCH(J2301,'Final List'!$L$4:$L$252,0),0)</f>
        <v>0</v>
      </c>
      <c r="Q2301" s="169">
        <f>IFERROR(MATCH(J2301,'Final List'!$N$4:$N$252,0),0)</f>
        <v>0</v>
      </c>
      <c r="R2301" s="169">
        <f>IFERROR(MATCH(J2301,'Final List'!$P$4:$P$252,0),0)</f>
        <v>0</v>
      </c>
      <c r="S2301" s="169">
        <f t="shared" si="144"/>
        <v>0</v>
      </c>
      <c r="V2301" s="169" t="str">
        <f t="shared" si="142"/>
        <v>QUIJANO 2</v>
      </c>
      <c r="W2301" s="169" t="s">
        <v>8896</v>
      </c>
    </row>
    <row r="2302" spans="2:23" x14ac:dyDescent="0.25">
      <c r="B2302" s="169" t="s">
        <v>1166</v>
      </c>
      <c r="C2302" s="169" t="s">
        <v>38</v>
      </c>
      <c r="D2302" s="169" t="s">
        <v>5614</v>
      </c>
      <c r="E2302" s="169" t="s">
        <v>36</v>
      </c>
      <c r="F2302" s="245" t="str">
        <f t="shared" si="143"/>
        <v>StpS 77</v>
      </c>
      <c r="G2302" s="169" t="s">
        <v>5773</v>
      </c>
      <c r="H2302" s="169" t="s">
        <v>303</v>
      </c>
      <c r="I2302" s="169" t="str">
        <f t="shared" si="145"/>
        <v>L11_GHV_055E_STOPE</v>
      </c>
      <c r="J2302" s="169" t="s">
        <v>10794</v>
      </c>
      <c r="K2302" s="169">
        <f>IFERROR(MATCH(J2302,'Final List'!$B$4:$B$252,0),0)</f>
        <v>0</v>
      </c>
      <c r="L2302" s="169">
        <f>IFERROR(MATCH(J2302,'Final List'!$D$4:$D$252,0),0)</f>
        <v>0</v>
      </c>
      <c r="M2302" s="169">
        <f>IFERROR(MATCH(J2302,'Final List'!$F$4:$F$251,0),0)</f>
        <v>0</v>
      </c>
      <c r="N2302" s="169">
        <f>IFERROR(MATCH(J2302,'Final List'!$H$4:$H$252,0),0)</f>
        <v>0</v>
      </c>
      <c r="O2302" s="169">
        <f>IFERROR(MATCH(J2302,'Final List'!$J$4:$J$252,0),0)</f>
        <v>0</v>
      </c>
      <c r="P2302" s="169">
        <f>IFERROR(MATCH(J2302,'Final List'!$L$4:$L$252,0),0)</f>
        <v>0</v>
      </c>
      <c r="Q2302" s="169">
        <f>IFERROR(MATCH(J2302,'Final List'!$N$4:$N$252,0),0)</f>
        <v>0</v>
      </c>
      <c r="R2302" s="169">
        <f>IFERROR(MATCH(J2302,'Final List'!$P$4:$P$252,0),0)</f>
        <v>0</v>
      </c>
      <c r="S2302" s="169">
        <f t="shared" si="144"/>
        <v>0</v>
      </c>
      <c r="T2302" s="169" t="s">
        <v>68</v>
      </c>
      <c r="V2302" s="169" t="str">
        <f t="shared" si="142"/>
        <v>BELICAN 1</v>
      </c>
      <c r="W2302" s="169" t="s">
        <v>2713</v>
      </c>
    </row>
    <row r="2303" spans="2:23" x14ac:dyDescent="0.25">
      <c r="B2303" s="169" t="s">
        <v>1166</v>
      </c>
      <c r="C2303" s="169" t="s">
        <v>57</v>
      </c>
      <c r="D2303" s="169" t="s">
        <v>5742</v>
      </c>
      <c r="E2303" s="169" t="s">
        <v>61</v>
      </c>
      <c r="F2303" s="245" t="str">
        <f t="shared" si="143"/>
        <v>Dhoz 71</v>
      </c>
      <c r="G2303" s="169" t="s">
        <v>5720</v>
      </c>
      <c r="I2303" s="169" t="str">
        <f t="shared" si="145"/>
        <v>L11_JVSPLIT_040E_DW</v>
      </c>
      <c r="J2303" s="169" t="s">
        <v>10761</v>
      </c>
      <c r="K2303" s="169">
        <f>IFERROR(MATCH(J2303,'Final List'!$B$4:$B$252,0),0)</f>
        <v>0</v>
      </c>
      <c r="L2303" s="169">
        <f>IFERROR(MATCH(J2303,'Final List'!$D$4:$D$252,0),0)</f>
        <v>0</v>
      </c>
      <c r="M2303" s="169">
        <f>IFERROR(MATCH(J2303,'Final List'!$F$4:$F$251,0),0)</f>
        <v>0</v>
      </c>
      <c r="N2303" s="169">
        <f>IFERROR(MATCH(J2303,'Final List'!$H$4:$H$252,0),0)</f>
        <v>0</v>
      </c>
      <c r="O2303" s="169">
        <f>IFERROR(MATCH(J2303,'Final List'!$J$4:$J$252,0),0)</f>
        <v>0</v>
      </c>
      <c r="P2303" s="169">
        <f>IFERROR(MATCH(J2303,'Final List'!$L$4:$L$252,0),0)</f>
        <v>0</v>
      </c>
      <c r="Q2303" s="169">
        <f>IFERROR(MATCH(J2303,'Final List'!$N$4:$N$252,0),0)</f>
        <v>0</v>
      </c>
      <c r="R2303" s="169">
        <f>IFERROR(MATCH(J2303,'Final List'!$P$4:$P$252,0),0)</f>
        <v>0</v>
      </c>
      <c r="S2303" s="169">
        <f t="shared" si="144"/>
        <v>0</v>
      </c>
      <c r="V2303" s="169" t="str">
        <f t="shared" si="142"/>
        <v>TURRA 1</v>
      </c>
      <c r="W2303" s="169" t="s">
        <v>8896</v>
      </c>
    </row>
    <row r="2304" spans="2:23" x14ac:dyDescent="0.25">
      <c r="B2304" s="169" t="s">
        <v>91</v>
      </c>
      <c r="C2304" s="169" t="s">
        <v>41</v>
      </c>
      <c r="D2304" s="169" t="s">
        <v>5975</v>
      </c>
      <c r="E2304" s="169" t="s">
        <v>6154</v>
      </c>
      <c r="F2304" s="245" t="str">
        <f t="shared" si="143"/>
        <v>Dhoz 71</v>
      </c>
      <c r="G2304" s="169" t="s">
        <v>3277</v>
      </c>
      <c r="I2304" s="169" t="str">
        <f t="shared" si="145"/>
        <v>L04_CTV_028E_DW_ISL</v>
      </c>
      <c r="J2304" s="169" t="s">
        <v>10607</v>
      </c>
      <c r="K2304" s="169">
        <f>IFERROR(MATCH(J2304,'Final List'!$B$4:$B$252,0),0)</f>
        <v>0</v>
      </c>
      <c r="L2304" s="169">
        <f>IFERROR(MATCH(J2304,'Final List'!$D$4:$D$252,0),0)</f>
        <v>0</v>
      </c>
      <c r="M2304" s="169">
        <f>IFERROR(MATCH(J2304,'Final List'!$F$4:$F$251,0),0)</f>
        <v>0</v>
      </c>
      <c r="N2304" s="169">
        <f>IFERROR(MATCH(J2304,'Final List'!$H$4:$H$252,0),0)</f>
        <v>0</v>
      </c>
      <c r="O2304" s="169">
        <f>IFERROR(MATCH(J2304,'Final List'!$J$4:$J$252,0),0)</f>
        <v>0</v>
      </c>
      <c r="P2304" s="169">
        <f>IFERROR(MATCH(J2304,'Final List'!$L$4:$L$252,0),0)</f>
        <v>0</v>
      </c>
      <c r="Q2304" s="169">
        <f>IFERROR(MATCH(J2304,'Final List'!$N$4:$N$252,0),0)</f>
        <v>0</v>
      </c>
      <c r="R2304" s="169">
        <f>IFERROR(MATCH(J2304,'Final List'!$P$4:$P$252,0),0)</f>
        <v>0</v>
      </c>
      <c r="S2304" s="169">
        <f t="shared" si="144"/>
        <v>0</v>
      </c>
      <c r="V2304" s="169" t="str">
        <f t="shared" si="142"/>
        <v>MARTINEZ, DN 2</v>
      </c>
      <c r="W2304" s="169" t="s">
        <v>2708</v>
      </c>
    </row>
    <row r="2305" spans="2:23" x14ac:dyDescent="0.25">
      <c r="B2305" s="169" t="s">
        <v>96</v>
      </c>
      <c r="C2305" s="169" t="s">
        <v>45</v>
      </c>
      <c r="D2305" s="169" t="s">
        <v>143</v>
      </c>
      <c r="E2305" s="169" t="s">
        <v>20</v>
      </c>
      <c r="F2305" s="245" t="str">
        <f t="shared" si="143"/>
        <v>DVW 74</v>
      </c>
      <c r="G2305" s="169" t="s">
        <v>350</v>
      </c>
      <c r="I2305" s="169" t="str">
        <f t="shared" si="145"/>
        <v>L09_DPVE_032E_WINZE</v>
      </c>
      <c r="J2305" s="169" t="s">
        <v>10608</v>
      </c>
      <c r="K2305" s="169">
        <f>IFERROR(MATCH(J2305,'Final List'!$B$4:$B$252,0),0)</f>
        <v>0</v>
      </c>
      <c r="L2305" s="169">
        <f>IFERROR(MATCH(J2305,'Final List'!$D$4:$D$252,0),0)</f>
        <v>0</v>
      </c>
      <c r="M2305" s="169">
        <f>IFERROR(MATCH(J2305,'Final List'!$F$4:$F$251,0),0)</f>
        <v>0</v>
      </c>
      <c r="N2305" s="169">
        <f>IFERROR(MATCH(J2305,'Final List'!$H$4:$H$252,0),0)</f>
        <v>0</v>
      </c>
      <c r="O2305" s="169">
        <f>IFERROR(MATCH(J2305,'Final List'!$J$4:$J$252,0),0)</f>
        <v>0</v>
      </c>
      <c r="P2305" s="169">
        <f>IFERROR(MATCH(J2305,'Final List'!$L$4:$L$252,0),0)</f>
        <v>0</v>
      </c>
      <c r="Q2305" s="169">
        <f>IFERROR(MATCH(J2305,'Final List'!$N$4:$N$252,0),0)</f>
        <v>0</v>
      </c>
      <c r="R2305" s="169">
        <f>IFERROR(MATCH(J2305,'Final List'!$P$4:$P$252,0),0)</f>
        <v>0</v>
      </c>
      <c r="S2305" s="169">
        <f t="shared" si="144"/>
        <v>0</v>
      </c>
      <c r="V2305" s="169" t="str">
        <f t="shared" ref="V2305:V2367" si="146">IF(H2305="",G2305,H2305)</f>
        <v>QUIJANO 1</v>
      </c>
      <c r="W2305" s="169" t="s">
        <v>2706</v>
      </c>
    </row>
    <row r="2306" spans="2:23" x14ac:dyDescent="0.25">
      <c r="B2306" s="169" t="s">
        <v>96</v>
      </c>
      <c r="C2306" s="169" t="s">
        <v>57</v>
      </c>
      <c r="D2306" s="169" t="s">
        <v>870</v>
      </c>
      <c r="E2306" s="169" t="s">
        <v>20</v>
      </c>
      <c r="F2306" s="245" t="str">
        <f t="shared" si="143"/>
        <v>DVW 74</v>
      </c>
      <c r="G2306" s="169" t="s">
        <v>364</v>
      </c>
      <c r="H2306" s="169" t="s">
        <v>8202</v>
      </c>
      <c r="I2306" s="169" t="str">
        <f t="shared" si="145"/>
        <v>L09_JVSPLIT_073E_WINZE</v>
      </c>
      <c r="J2306" s="169" t="s">
        <v>10612</v>
      </c>
      <c r="K2306" s="169">
        <f>IFERROR(MATCH(J2306,'Final List'!$B$4:$B$252,0),0)</f>
        <v>0</v>
      </c>
      <c r="L2306" s="169">
        <f>IFERROR(MATCH(J2306,'Final List'!$D$4:$D$252,0),0)</f>
        <v>0</v>
      </c>
      <c r="M2306" s="169">
        <f>IFERROR(MATCH(J2306,'Final List'!$F$4:$F$251,0),0)</f>
        <v>0</v>
      </c>
      <c r="N2306" s="169">
        <f>IFERROR(MATCH(J2306,'Final List'!$H$4:$H$252,0),0)</f>
        <v>0</v>
      </c>
      <c r="O2306" s="169">
        <f>IFERROR(MATCH(J2306,'Final List'!$J$4:$J$252,0),0)</f>
        <v>0</v>
      </c>
      <c r="P2306" s="169">
        <f>IFERROR(MATCH(J2306,'Final List'!$L$4:$L$252,0),0)</f>
        <v>0</v>
      </c>
      <c r="Q2306" s="169">
        <f>IFERROR(MATCH(J2306,'Final List'!$N$4:$N$252,0),0)</f>
        <v>0</v>
      </c>
      <c r="R2306" s="169">
        <f>IFERROR(MATCH(J2306,'Final List'!$P$4:$P$252,0),0)</f>
        <v>0</v>
      </c>
      <c r="S2306" s="169">
        <f t="shared" si="144"/>
        <v>0</v>
      </c>
      <c r="V2306" s="169" t="str">
        <f t="shared" si="146"/>
        <v>PANSIT, NORMAN 2</v>
      </c>
      <c r="W2306" s="169" t="s">
        <v>2706</v>
      </c>
    </row>
    <row r="2307" spans="2:23" x14ac:dyDescent="0.25">
      <c r="B2307" s="169" t="s">
        <v>1166</v>
      </c>
      <c r="C2307" s="169" t="s">
        <v>45</v>
      </c>
      <c r="D2307" s="169" t="s">
        <v>5723</v>
      </c>
      <c r="E2307" s="169" t="s">
        <v>36</v>
      </c>
      <c r="F2307" s="245" t="str">
        <f t="shared" ref="F2307:F2370" si="147">IF(OR(E2307="XCN",E2307="DE",E2307="DW",E2307="DN",E2307="XCS",E2307="XCE",E2307="XCW",E2307="SUMP",E2307="BYPASS",E2307="CHAMBER",E2307="DRAIN HOLE",E2307="DRILLING CHAMBER",E2307="DE_ISL",E2307="DW_ISL",E2307="REHAB"),"Dhoz 71",IF(OR(E2307="RAISE",E2307="RAISE_ISL"),"DVR 72",IF(E2307="ALIMAK","DVA 73",IF(E2307="WINZE","DVW 74",IF(E2307="SHAFT","DVS 75",IF(AND(E2307="WINZE STOPE",T2307="S"),"RobC 80",IF(AND(E2307="STOPE",T2307="S"),"StpS 77",IF(AND(E2307="WINZE STOPE",T2307="L"),"RobC 80",IF(AND(E2307="STOPE",T2307="L"),"StpL 78",IF(AND(E2307="WINZE STOPE PREP",T2307="S"),"RobC 80",IF(AND(E2307="STOPE PREP",T2307="S"),"StpS 77",IF(AND(E2307="WINZE STOPE PREP",T2307="L"),"RobC 80",IF(AND(E2307="STOPE PREP",T2307="L"),"StpL 78",IF(AND(E2307="ROBBING",T2307="L"),"RobC 80",IF(AND(E2307="ROBBING",T2307="S"),"RobS 79",0)))))))))))))))</f>
        <v>StpS 77</v>
      </c>
      <c r="G2307" s="169" t="s">
        <v>464</v>
      </c>
      <c r="I2307" s="169" t="str">
        <f t="shared" si="145"/>
        <v>L11_DPVE_046E_STOPE</v>
      </c>
      <c r="J2307" s="169" t="s">
        <v>10799</v>
      </c>
      <c r="K2307" s="169">
        <f>IFERROR(MATCH(J2307,'Final List'!$B$4:$B$252,0),0)</f>
        <v>0</v>
      </c>
      <c r="L2307" s="169">
        <f>IFERROR(MATCH(J2307,'Final List'!$D$4:$D$252,0),0)</f>
        <v>0</v>
      </c>
      <c r="M2307" s="169">
        <f>IFERROR(MATCH(J2307,'Final List'!$F$4:$F$251,0),0)</f>
        <v>0</v>
      </c>
      <c r="N2307" s="169">
        <f>IFERROR(MATCH(J2307,'Final List'!$H$4:$H$252,0),0)</f>
        <v>0</v>
      </c>
      <c r="O2307" s="169">
        <f>IFERROR(MATCH(J2307,'Final List'!$J$4:$J$252,0),0)</f>
        <v>0</v>
      </c>
      <c r="P2307" s="169">
        <f>IFERROR(MATCH(J2307,'Final List'!$L$4:$L$252,0),0)</f>
        <v>0</v>
      </c>
      <c r="Q2307" s="169">
        <f>IFERROR(MATCH(J2307,'Final List'!$N$4:$N$252,0),0)</f>
        <v>0</v>
      </c>
      <c r="R2307" s="169">
        <f>IFERROR(MATCH(J2307,'Final List'!$P$4:$P$252,0),0)</f>
        <v>0</v>
      </c>
      <c r="S2307" s="169">
        <f t="shared" ref="S2307:S2370" si="148">SUM(K2307:R2307)</f>
        <v>0</v>
      </c>
      <c r="T2307" s="169" t="s">
        <v>68</v>
      </c>
      <c r="V2307" s="169" t="str">
        <f t="shared" si="146"/>
        <v>COMAINGKING 3</v>
      </c>
      <c r="W2307" s="169" t="s">
        <v>2713</v>
      </c>
    </row>
    <row r="2308" spans="2:23" x14ac:dyDescent="0.25">
      <c r="B2308" s="169" t="s">
        <v>95</v>
      </c>
      <c r="C2308" s="169" t="s">
        <v>45</v>
      </c>
      <c r="D2308" s="169" t="s">
        <v>247</v>
      </c>
      <c r="E2308" s="169" t="s">
        <v>62</v>
      </c>
      <c r="F2308" s="245" t="str">
        <f t="shared" si="147"/>
        <v>RobS 79</v>
      </c>
      <c r="G2308" s="169" t="s">
        <v>6925</v>
      </c>
      <c r="I2308" s="169" t="str">
        <f t="shared" si="145"/>
        <v>L08_DPVE_080E_ROBBING</v>
      </c>
      <c r="J2308" s="169" t="s">
        <v>10619</v>
      </c>
      <c r="K2308" s="169">
        <f>IFERROR(MATCH(J2308,'Final List'!$B$4:$B$252,0),0)</f>
        <v>0</v>
      </c>
      <c r="L2308" s="169">
        <f>IFERROR(MATCH(J2308,'Final List'!$D$4:$D$252,0),0)</f>
        <v>0</v>
      </c>
      <c r="M2308" s="169">
        <f>IFERROR(MATCH(J2308,'Final List'!$F$4:$F$251,0),0)</f>
        <v>0</v>
      </c>
      <c r="N2308" s="169">
        <f>IFERROR(MATCH(J2308,'Final List'!$H$4:$H$252,0),0)</f>
        <v>0</v>
      </c>
      <c r="O2308" s="169">
        <f>IFERROR(MATCH(J2308,'Final List'!$J$4:$J$252,0),0)</f>
        <v>0</v>
      </c>
      <c r="P2308" s="169">
        <f>IFERROR(MATCH(J2308,'Final List'!$L$4:$L$252,0),0)</f>
        <v>0</v>
      </c>
      <c r="Q2308" s="169">
        <f>IFERROR(MATCH(J2308,'Final List'!$N$4:$N$252,0),0)</f>
        <v>0</v>
      </c>
      <c r="R2308" s="169">
        <f>IFERROR(MATCH(J2308,'Final List'!$P$4:$P$252,0),0)</f>
        <v>0</v>
      </c>
      <c r="S2308" s="169">
        <f t="shared" si="148"/>
        <v>0</v>
      </c>
      <c r="T2308" s="169" t="s">
        <v>68</v>
      </c>
      <c r="V2308" s="169" t="str">
        <f t="shared" si="146"/>
        <v>CAPUYAN 1</v>
      </c>
      <c r="W2308" s="169" t="s">
        <v>2707</v>
      </c>
    </row>
    <row r="2309" spans="2:23" x14ac:dyDescent="0.25">
      <c r="B2309" s="169" t="s">
        <v>96</v>
      </c>
      <c r="C2309" s="169" t="s">
        <v>87</v>
      </c>
      <c r="D2309" s="169" t="s">
        <v>121</v>
      </c>
      <c r="E2309" s="169" t="s">
        <v>37</v>
      </c>
      <c r="F2309" s="245" t="str">
        <f t="shared" si="147"/>
        <v>Dhoz 71</v>
      </c>
      <c r="G2309" s="169" t="s">
        <v>349</v>
      </c>
      <c r="I2309" s="169" t="str">
        <f t="shared" si="145"/>
        <v>L09_NONE_022E_XCN</v>
      </c>
      <c r="J2309" s="169" t="s">
        <v>10627</v>
      </c>
      <c r="K2309" s="169">
        <f>IFERROR(MATCH(J2309,'Final List'!$B$4:$B$252,0),0)</f>
        <v>0</v>
      </c>
      <c r="L2309" s="169">
        <f>IFERROR(MATCH(J2309,'Final List'!$D$4:$D$252,0),0)</f>
        <v>0</v>
      </c>
      <c r="M2309" s="169">
        <f>IFERROR(MATCH(J2309,'Final List'!$F$4:$F$251,0),0)</f>
        <v>0</v>
      </c>
      <c r="N2309" s="169">
        <f>IFERROR(MATCH(J2309,'Final List'!$H$4:$H$252,0),0)</f>
        <v>0</v>
      </c>
      <c r="O2309" s="169">
        <f>IFERROR(MATCH(J2309,'Final List'!$J$4:$J$252,0),0)</f>
        <v>0</v>
      </c>
      <c r="P2309" s="169">
        <f>IFERROR(MATCH(J2309,'Final List'!$L$4:$L$252,0),0)</f>
        <v>0</v>
      </c>
      <c r="Q2309" s="169">
        <f>IFERROR(MATCH(J2309,'Final List'!$N$4:$N$252,0),0)</f>
        <v>0</v>
      </c>
      <c r="R2309" s="169">
        <f>IFERROR(MATCH(J2309,'Final List'!$P$4:$P$252,0),0)</f>
        <v>0</v>
      </c>
      <c r="S2309" s="169">
        <f t="shared" si="148"/>
        <v>0</v>
      </c>
      <c r="V2309" s="169" t="str">
        <f t="shared" si="146"/>
        <v>QUIJANO 2</v>
      </c>
      <c r="W2309" s="169" t="s">
        <v>8898</v>
      </c>
    </row>
    <row r="2310" spans="2:23" x14ac:dyDescent="0.25">
      <c r="B2310" s="169" t="s">
        <v>96</v>
      </c>
      <c r="C2310" s="169" t="s">
        <v>45</v>
      </c>
      <c r="D2310" s="169" t="s">
        <v>160</v>
      </c>
      <c r="E2310" s="169" t="s">
        <v>60</v>
      </c>
      <c r="F2310" s="245" t="str">
        <f t="shared" si="147"/>
        <v>Dhoz 71</v>
      </c>
      <c r="G2310" s="169" t="s">
        <v>6621</v>
      </c>
      <c r="I2310" s="169" t="str">
        <f t="shared" si="145"/>
        <v>L09_DPVE_042E_DE</v>
      </c>
      <c r="J2310" s="169" t="s">
        <v>10617</v>
      </c>
      <c r="K2310" s="169">
        <f>IFERROR(MATCH(J2310,'Final List'!$B$4:$B$252,0),0)</f>
        <v>0</v>
      </c>
      <c r="L2310" s="169">
        <f>IFERROR(MATCH(J2310,'Final List'!$D$4:$D$252,0),0)</f>
        <v>0</v>
      </c>
      <c r="M2310" s="169">
        <f>IFERROR(MATCH(J2310,'Final List'!$F$4:$F$251,0),0)</f>
        <v>0</v>
      </c>
      <c r="N2310" s="169">
        <f>IFERROR(MATCH(J2310,'Final List'!$H$4:$H$252,0),0)</f>
        <v>0</v>
      </c>
      <c r="O2310" s="169">
        <f>IFERROR(MATCH(J2310,'Final List'!$J$4:$J$252,0),0)</f>
        <v>0</v>
      </c>
      <c r="P2310" s="169">
        <f>IFERROR(MATCH(J2310,'Final List'!$L$4:$L$252,0),0)</f>
        <v>0</v>
      </c>
      <c r="Q2310" s="169">
        <f>IFERROR(MATCH(J2310,'Final List'!$N$4:$N$252,0),0)</f>
        <v>0</v>
      </c>
      <c r="R2310" s="169">
        <f>IFERROR(MATCH(J2310,'Final List'!$P$4:$P$252,0),0)</f>
        <v>0</v>
      </c>
      <c r="S2310" s="169">
        <f t="shared" si="148"/>
        <v>0</v>
      </c>
      <c r="V2310" s="169" t="str">
        <f t="shared" si="146"/>
        <v>DELOS REYES V1</v>
      </c>
      <c r="W2310" s="169" t="s">
        <v>8896</v>
      </c>
    </row>
    <row r="2311" spans="2:23" x14ac:dyDescent="0.25">
      <c r="B2311" s="169" t="s">
        <v>1166</v>
      </c>
      <c r="C2311" s="169" t="s">
        <v>56</v>
      </c>
      <c r="D2311" s="169" t="s">
        <v>172</v>
      </c>
      <c r="E2311" s="169" t="s">
        <v>211</v>
      </c>
      <c r="F2311" s="245" t="str">
        <f t="shared" si="147"/>
        <v>StpS 77</v>
      </c>
      <c r="G2311" s="169" t="s">
        <v>296</v>
      </c>
      <c r="I2311" s="169" t="str">
        <f t="shared" si="145"/>
        <v>L11_GHVFW_045E_STOPE PREP</v>
      </c>
      <c r="J2311" s="169" t="s">
        <v>10387</v>
      </c>
      <c r="K2311" s="169">
        <f>IFERROR(MATCH(J2311,'Final List'!$B$4:$B$252,0),0)</f>
        <v>0</v>
      </c>
      <c r="L2311" s="169">
        <f>IFERROR(MATCH(J2311,'Final List'!$D$4:$D$252,0),0)</f>
        <v>0</v>
      </c>
      <c r="M2311" s="169">
        <f>IFERROR(MATCH(J2311,'Final List'!$F$4:$F$251,0),0)</f>
        <v>0</v>
      </c>
      <c r="N2311" s="169">
        <f>IFERROR(MATCH(J2311,'Final List'!$H$4:$H$252,0),0)</f>
        <v>0</v>
      </c>
      <c r="O2311" s="169">
        <f>IFERROR(MATCH(J2311,'Final List'!$J$4:$J$252,0),0)</f>
        <v>0</v>
      </c>
      <c r="P2311" s="169">
        <f>IFERROR(MATCH(J2311,'Final List'!$L$4:$L$252,0),0)</f>
        <v>0</v>
      </c>
      <c r="Q2311" s="169">
        <f>IFERROR(MATCH(J2311,'Final List'!$N$4:$N$252,0),0)</f>
        <v>0</v>
      </c>
      <c r="R2311" s="169">
        <f>IFERROR(MATCH(J2311,'Final List'!$P$4:$P$252,0),0)</f>
        <v>0</v>
      </c>
      <c r="S2311" s="169">
        <f t="shared" si="148"/>
        <v>0</v>
      </c>
      <c r="T2311" s="169" t="s">
        <v>68</v>
      </c>
      <c r="V2311" s="169" t="str">
        <f t="shared" si="146"/>
        <v>MONTEBON 2</v>
      </c>
      <c r="W2311" s="169" t="s">
        <v>2712</v>
      </c>
    </row>
    <row r="2312" spans="2:23" x14ac:dyDescent="0.25">
      <c r="B2312" s="169" t="s">
        <v>92</v>
      </c>
      <c r="C2312" s="169" t="s">
        <v>42</v>
      </c>
      <c r="D2312" s="169" t="s">
        <v>5835</v>
      </c>
      <c r="E2312" s="169" t="s">
        <v>19</v>
      </c>
      <c r="F2312" s="245" t="str">
        <f t="shared" si="147"/>
        <v>DVR 72</v>
      </c>
      <c r="G2312" s="169" t="s">
        <v>636</v>
      </c>
      <c r="I2312" s="169" t="str">
        <f t="shared" si="145"/>
        <v>L05_JV_003W_RAISE</v>
      </c>
      <c r="J2312" s="169" t="s">
        <v>10629</v>
      </c>
      <c r="K2312" s="169">
        <f>IFERROR(MATCH(J2312,'Final List'!$B$4:$B$252,0),0)</f>
        <v>0</v>
      </c>
      <c r="L2312" s="169">
        <f>IFERROR(MATCH(J2312,'Final List'!$D$4:$D$252,0),0)</f>
        <v>0</v>
      </c>
      <c r="M2312" s="169">
        <f>IFERROR(MATCH(J2312,'Final List'!$F$4:$F$251,0),0)</f>
        <v>0</v>
      </c>
      <c r="N2312" s="169">
        <f>IFERROR(MATCH(J2312,'Final List'!$H$4:$H$252,0),0)</f>
        <v>0</v>
      </c>
      <c r="O2312" s="169">
        <f>IFERROR(MATCH(J2312,'Final List'!$J$4:$J$252,0),0)</f>
        <v>0</v>
      </c>
      <c r="P2312" s="169">
        <f>IFERROR(MATCH(J2312,'Final List'!$L$4:$L$252,0),0)</f>
        <v>0</v>
      </c>
      <c r="Q2312" s="169">
        <f>IFERROR(MATCH(J2312,'Final List'!$N$4:$N$252,0),0)</f>
        <v>0</v>
      </c>
      <c r="R2312" s="169">
        <f>IFERROR(MATCH(J2312,'Final List'!$P$4:$P$252,0),0)</f>
        <v>0</v>
      </c>
      <c r="S2312" s="169">
        <f t="shared" si="148"/>
        <v>0</v>
      </c>
      <c r="V2312" s="169" t="str">
        <f t="shared" si="146"/>
        <v>PANCIT, NOEL 5</v>
      </c>
      <c r="W2312" s="169" t="s">
        <v>2715</v>
      </c>
    </row>
    <row r="2313" spans="2:23" x14ac:dyDescent="0.25">
      <c r="B2313" s="169" t="s">
        <v>8904</v>
      </c>
      <c r="C2313" s="169" t="s">
        <v>57</v>
      </c>
      <c r="D2313" s="169" t="s">
        <v>10633</v>
      </c>
      <c r="E2313" s="169" t="s">
        <v>62</v>
      </c>
      <c r="F2313" s="245" t="str">
        <f t="shared" si="147"/>
        <v>RobS 79</v>
      </c>
      <c r="G2313" s="169" t="s">
        <v>9348</v>
      </c>
      <c r="I2313" s="169" t="str">
        <f t="shared" si="145"/>
        <v>L03_JVSPLIT_038W_ROBBING</v>
      </c>
      <c r="J2313" s="169" t="s">
        <v>10632</v>
      </c>
      <c r="K2313" s="169">
        <f>IFERROR(MATCH(J2313,'Final List'!$B$4:$B$252,0),0)</f>
        <v>0</v>
      </c>
      <c r="L2313" s="169">
        <f>IFERROR(MATCH(J2313,'Final List'!$D$4:$D$252,0),0)</f>
        <v>0</v>
      </c>
      <c r="M2313" s="169">
        <f>IFERROR(MATCH(J2313,'Final List'!$F$4:$F$251,0),0)</f>
        <v>0</v>
      </c>
      <c r="N2313" s="169">
        <f>IFERROR(MATCH(J2313,'Final List'!$H$4:$H$252,0),0)</f>
        <v>0</v>
      </c>
      <c r="O2313" s="169">
        <f>IFERROR(MATCH(J2313,'Final List'!$J$4:$J$252,0),0)</f>
        <v>0</v>
      </c>
      <c r="P2313" s="169">
        <f>IFERROR(MATCH(J2313,'Final List'!$L$4:$L$252,0),0)</f>
        <v>0</v>
      </c>
      <c r="Q2313" s="169">
        <f>IFERROR(MATCH(J2313,'Final List'!$N$4:$N$252,0),0)</f>
        <v>0</v>
      </c>
      <c r="R2313" s="169">
        <f>IFERROR(MATCH(J2313,'Final List'!$P$4:$P$252,0),0)</f>
        <v>0</v>
      </c>
      <c r="S2313" s="169">
        <f t="shared" si="148"/>
        <v>0</v>
      </c>
      <c r="T2313" s="169" t="s">
        <v>68</v>
      </c>
      <c r="V2313" s="169" t="str">
        <f t="shared" si="146"/>
        <v>FERNANDEZ, RM 1</v>
      </c>
      <c r="W2313" s="169" t="s">
        <v>2707</v>
      </c>
    </row>
    <row r="2314" spans="2:23" x14ac:dyDescent="0.25">
      <c r="B2314" s="169" t="s">
        <v>93</v>
      </c>
      <c r="C2314" s="169" t="s">
        <v>87</v>
      </c>
      <c r="D2314" s="169" t="s">
        <v>10459</v>
      </c>
      <c r="E2314" s="169" t="s">
        <v>37</v>
      </c>
      <c r="F2314" s="245" t="str">
        <f t="shared" si="147"/>
        <v>Dhoz 71</v>
      </c>
      <c r="G2314" s="169" t="s">
        <v>7363</v>
      </c>
      <c r="I2314" s="169" t="str">
        <f t="shared" si="145"/>
        <v>L06_NONE_045W_XCN</v>
      </c>
      <c r="J2314" s="169" t="s">
        <v>10634</v>
      </c>
      <c r="K2314" s="169">
        <f>IFERROR(MATCH(J2314,'Final List'!$B$4:$B$252,0),0)</f>
        <v>0</v>
      </c>
      <c r="L2314" s="169">
        <f>IFERROR(MATCH(J2314,'Final List'!$D$4:$D$252,0),0)</f>
        <v>0</v>
      </c>
      <c r="M2314" s="169">
        <f>IFERROR(MATCH(J2314,'Final List'!$F$4:$F$251,0),0)</f>
        <v>0</v>
      </c>
      <c r="N2314" s="169">
        <f>IFERROR(MATCH(J2314,'Final List'!$H$4:$H$252,0),0)</f>
        <v>0</v>
      </c>
      <c r="O2314" s="169">
        <f>IFERROR(MATCH(J2314,'Final List'!$J$4:$J$252,0),0)</f>
        <v>0</v>
      </c>
      <c r="P2314" s="169">
        <f>IFERROR(MATCH(J2314,'Final List'!$L$4:$L$252,0),0)</f>
        <v>0</v>
      </c>
      <c r="Q2314" s="169">
        <f>IFERROR(MATCH(J2314,'Final List'!$N$4:$N$252,0),0)</f>
        <v>0</v>
      </c>
      <c r="R2314" s="169">
        <f>IFERROR(MATCH(J2314,'Final List'!$P$4:$P$252,0),0)</f>
        <v>0</v>
      </c>
      <c r="S2314" s="169">
        <f t="shared" si="148"/>
        <v>0</v>
      </c>
      <c r="V2314" s="169" t="str">
        <f t="shared" si="146"/>
        <v>SHEPHERD AC 2</v>
      </c>
      <c r="W2314" s="169" t="s">
        <v>8897</v>
      </c>
    </row>
    <row r="2315" spans="2:23" x14ac:dyDescent="0.25">
      <c r="B2315" s="169" t="s">
        <v>96</v>
      </c>
      <c r="C2315" s="169" t="s">
        <v>45</v>
      </c>
      <c r="D2315" s="169" t="s">
        <v>129</v>
      </c>
      <c r="E2315" s="169" t="s">
        <v>61</v>
      </c>
      <c r="F2315" s="245" t="str">
        <f t="shared" si="147"/>
        <v>Dhoz 71</v>
      </c>
      <c r="G2315" s="169" t="s">
        <v>5101</v>
      </c>
      <c r="I2315" s="169" t="str">
        <f t="shared" si="145"/>
        <v>L09_DPVE_010E_DW</v>
      </c>
      <c r="J2315" s="169" t="s">
        <v>10639</v>
      </c>
      <c r="K2315" s="169">
        <f>IFERROR(MATCH(J2315,'Final List'!$B$4:$B$252,0),0)</f>
        <v>0</v>
      </c>
      <c r="L2315" s="169">
        <f>IFERROR(MATCH(J2315,'Final List'!$D$4:$D$252,0),0)</f>
        <v>0</v>
      </c>
      <c r="M2315" s="169">
        <f>IFERROR(MATCH(J2315,'Final List'!$F$4:$F$251,0),0)</f>
        <v>0</v>
      </c>
      <c r="N2315" s="169">
        <f>IFERROR(MATCH(J2315,'Final List'!$H$4:$H$252,0),0)</f>
        <v>0</v>
      </c>
      <c r="O2315" s="169">
        <f>IFERROR(MATCH(J2315,'Final List'!$J$4:$J$252,0),0)</f>
        <v>0</v>
      </c>
      <c r="P2315" s="169">
        <f>IFERROR(MATCH(J2315,'Final List'!$L$4:$L$252,0),0)</f>
        <v>0</v>
      </c>
      <c r="Q2315" s="169">
        <f>IFERROR(MATCH(J2315,'Final List'!$N$4:$N$252,0),0)</f>
        <v>0</v>
      </c>
      <c r="R2315" s="169">
        <f>IFERROR(MATCH(J2315,'Final List'!$P$4:$P$252,0),0)</f>
        <v>0</v>
      </c>
      <c r="S2315" s="169">
        <f t="shared" si="148"/>
        <v>0</v>
      </c>
      <c r="V2315" s="169" t="str">
        <f t="shared" si="146"/>
        <v>DELOS REYES V3</v>
      </c>
      <c r="W2315" s="169" t="s">
        <v>8896</v>
      </c>
    </row>
    <row r="2316" spans="2:23" x14ac:dyDescent="0.25">
      <c r="B2316" s="169" t="s">
        <v>258</v>
      </c>
      <c r="C2316" s="169" t="s">
        <v>57</v>
      </c>
      <c r="D2316" s="169" t="s">
        <v>166</v>
      </c>
      <c r="E2316" s="169" t="s">
        <v>36</v>
      </c>
      <c r="F2316" s="245" t="str">
        <f t="shared" si="147"/>
        <v>StpS 77</v>
      </c>
      <c r="G2316" s="169" t="s">
        <v>5703</v>
      </c>
      <c r="I2316" s="169" t="str">
        <f t="shared" si="145"/>
        <v>L10_JVSPLIT_068E_STOPE</v>
      </c>
      <c r="J2316" s="169" t="s">
        <v>10704</v>
      </c>
      <c r="K2316" s="169">
        <f>IFERROR(MATCH(J2316,'Final List'!$B$4:$B$252,0),0)</f>
        <v>0</v>
      </c>
      <c r="L2316" s="169">
        <f>IFERROR(MATCH(J2316,'Final List'!$D$4:$D$252,0),0)</f>
        <v>0</v>
      </c>
      <c r="M2316" s="169">
        <f>IFERROR(MATCH(J2316,'Final List'!$F$4:$F$251,0),0)</f>
        <v>0</v>
      </c>
      <c r="N2316" s="169">
        <f>IFERROR(MATCH(J2316,'Final List'!$H$4:$H$252,0),0)</f>
        <v>0</v>
      </c>
      <c r="O2316" s="169">
        <f>IFERROR(MATCH(J2316,'Final List'!$J$4:$J$252,0),0)</f>
        <v>0</v>
      </c>
      <c r="P2316" s="169">
        <f>IFERROR(MATCH(J2316,'Final List'!$L$4:$L$252,0),0)</f>
        <v>0</v>
      </c>
      <c r="Q2316" s="169">
        <f>IFERROR(MATCH(J2316,'Final List'!$N$4:$N$252,0),0)</f>
        <v>0</v>
      </c>
      <c r="R2316" s="169">
        <f>IFERROR(MATCH(J2316,'Final List'!$P$4:$P$252,0),0)</f>
        <v>0</v>
      </c>
      <c r="S2316" s="169">
        <f t="shared" si="148"/>
        <v>0</v>
      </c>
      <c r="T2316" s="169" t="s">
        <v>68</v>
      </c>
      <c r="V2316" s="169" t="str">
        <f t="shared" si="146"/>
        <v>OLIVEROS 2</v>
      </c>
      <c r="W2316" s="169" t="s">
        <v>2713</v>
      </c>
    </row>
    <row r="2317" spans="2:23" x14ac:dyDescent="0.25">
      <c r="B2317" s="169" t="s">
        <v>258</v>
      </c>
      <c r="C2317" s="169" t="s">
        <v>45</v>
      </c>
      <c r="D2317" s="169" t="s">
        <v>9971</v>
      </c>
      <c r="E2317" s="169" t="s">
        <v>36</v>
      </c>
      <c r="F2317" s="245" t="str">
        <f t="shared" si="147"/>
        <v>StpS 77</v>
      </c>
      <c r="G2317" s="169" t="s">
        <v>354</v>
      </c>
      <c r="H2317" s="169" t="s">
        <v>10555</v>
      </c>
      <c r="I2317" s="169" t="str">
        <f t="shared" si="145"/>
        <v>L10_DPVE_096E_STOPE</v>
      </c>
      <c r="J2317" s="169" t="s">
        <v>10803</v>
      </c>
      <c r="K2317" s="169">
        <f>IFERROR(MATCH(J2317,'Final List'!$B$4:$B$252,0),0)</f>
        <v>0</v>
      </c>
      <c r="L2317" s="169">
        <f>IFERROR(MATCH(J2317,'Final List'!$D$4:$D$252,0),0)</f>
        <v>0</v>
      </c>
      <c r="M2317" s="169">
        <f>IFERROR(MATCH(J2317,'Final List'!$F$4:$F$251,0),0)</f>
        <v>0</v>
      </c>
      <c r="N2317" s="169">
        <f>IFERROR(MATCH(J2317,'Final List'!$H$4:$H$252,0),0)</f>
        <v>0</v>
      </c>
      <c r="O2317" s="169">
        <f>IFERROR(MATCH(J2317,'Final List'!$J$4:$J$252,0),0)</f>
        <v>0</v>
      </c>
      <c r="P2317" s="169">
        <f>IFERROR(MATCH(J2317,'Final List'!$L$4:$L$252,0),0)</f>
        <v>0</v>
      </c>
      <c r="Q2317" s="169">
        <f>IFERROR(MATCH(J2317,'Final List'!$N$4:$N$252,0),0)</f>
        <v>0</v>
      </c>
      <c r="R2317" s="169">
        <f>IFERROR(MATCH(J2317,'Final List'!$P$4:$P$252,0),0)</f>
        <v>0</v>
      </c>
      <c r="S2317" s="169">
        <f t="shared" si="148"/>
        <v>0</v>
      </c>
      <c r="T2317" s="169" t="s">
        <v>68</v>
      </c>
      <c r="V2317" s="169" t="str">
        <f t="shared" si="146"/>
        <v>AMBONGAN</v>
      </c>
      <c r="W2317" s="169" t="s">
        <v>2713</v>
      </c>
    </row>
    <row r="2318" spans="2:23" x14ac:dyDescent="0.25">
      <c r="B2318" s="169" t="s">
        <v>96</v>
      </c>
      <c r="C2318" s="169" t="s">
        <v>45</v>
      </c>
      <c r="D2318" s="169" t="s">
        <v>167</v>
      </c>
      <c r="E2318" s="169" t="s">
        <v>221</v>
      </c>
      <c r="F2318" s="245" t="str">
        <f t="shared" si="147"/>
        <v>RobC 80</v>
      </c>
      <c r="G2318" s="169" t="s">
        <v>6027</v>
      </c>
      <c r="H2318" s="169" t="s">
        <v>10738</v>
      </c>
      <c r="I2318" s="169" t="str">
        <f t="shared" si="145"/>
        <v>L09_DPVE_058E_WINZE STOPE</v>
      </c>
      <c r="J2318" s="169" t="s">
        <v>10817</v>
      </c>
      <c r="K2318" s="169">
        <f>IFERROR(MATCH(J2318,'Final List'!$B$4:$B$252,0),0)</f>
        <v>0</v>
      </c>
      <c r="L2318" s="169">
        <f>IFERROR(MATCH(J2318,'Final List'!$D$4:$D$252,0),0)</f>
        <v>0</v>
      </c>
      <c r="M2318" s="169">
        <f>IFERROR(MATCH(J2318,'Final List'!$F$4:$F$251,0),0)</f>
        <v>0</v>
      </c>
      <c r="N2318" s="169">
        <f>IFERROR(MATCH(J2318,'Final List'!$H$4:$H$252,0),0)</f>
        <v>0</v>
      </c>
      <c r="O2318" s="169">
        <f>IFERROR(MATCH(J2318,'Final List'!$J$4:$J$252,0),0)</f>
        <v>0</v>
      </c>
      <c r="P2318" s="169">
        <f>IFERROR(MATCH(J2318,'Final List'!$L$4:$L$252,0),0)</f>
        <v>0</v>
      </c>
      <c r="Q2318" s="169">
        <f>IFERROR(MATCH(J2318,'Final List'!$N$4:$N$252,0),0)</f>
        <v>0</v>
      </c>
      <c r="R2318" s="169">
        <f>IFERROR(MATCH(J2318,'Final List'!$P$4:$P$252,0),0)</f>
        <v>0</v>
      </c>
      <c r="S2318" s="169">
        <f t="shared" si="148"/>
        <v>0</v>
      </c>
      <c r="T2318" s="169" t="s">
        <v>68</v>
      </c>
      <c r="V2318" s="169" t="str">
        <f t="shared" si="146"/>
        <v>SHEPHERD BE</v>
      </c>
      <c r="W2318" s="169" t="s">
        <v>2719</v>
      </c>
    </row>
    <row r="2319" spans="2:23" x14ac:dyDescent="0.25">
      <c r="B2319" s="169" t="s">
        <v>1166</v>
      </c>
      <c r="C2319" s="169" t="s">
        <v>87</v>
      </c>
      <c r="D2319" s="169" t="s">
        <v>5975</v>
      </c>
      <c r="E2319" s="169" t="s">
        <v>37</v>
      </c>
      <c r="F2319" s="245" t="str">
        <f t="shared" si="147"/>
        <v>Dhoz 71</v>
      </c>
      <c r="G2319" s="169" t="s">
        <v>6926</v>
      </c>
      <c r="I2319" s="169" t="str">
        <f t="shared" si="145"/>
        <v>L11_NONE_028E_XCN</v>
      </c>
      <c r="J2319" s="169" t="s">
        <v>10641</v>
      </c>
      <c r="K2319" s="169">
        <f>IFERROR(MATCH(J2319,'Final List'!$B$4:$B$252,0),0)</f>
        <v>0</v>
      </c>
      <c r="L2319" s="169">
        <f>IFERROR(MATCH(J2319,'Final List'!$D$4:$D$252,0),0)</f>
        <v>0</v>
      </c>
      <c r="M2319" s="169">
        <f>IFERROR(MATCH(J2319,'Final List'!$F$4:$F$251,0),0)</f>
        <v>0</v>
      </c>
      <c r="N2319" s="169">
        <f>IFERROR(MATCH(J2319,'Final List'!$H$4:$H$252,0),0)</f>
        <v>0</v>
      </c>
      <c r="O2319" s="169">
        <f>IFERROR(MATCH(J2319,'Final List'!$J$4:$J$252,0),0)</f>
        <v>0</v>
      </c>
      <c r="P2319" s="169">
        <f>IFERROR(MATCH(J2319,'Final List'!$L$4:$L$252,0),0)</f>
        <v>0</v>
      </c>
      <c r="Q2319" s="169">
        <f>IFERROR(MATCH(J2319,'Final List'!$N$4:$N$252,0),0)</f>
        <v>0</v>
      </c>
      <c r="R2319" s="169">
        <f>IFERROR(MATCH(J2319,'Final List'!$P$4:$P$252,0),0)</f>
        <v>0</v>
      </c>
      <c r="S2319" s="169">
        <f t="shared" si="148"/>
        <v>0</v>
      </c>
      <c r="V2319" s="169" t="str">
        <f t="shared" si="146"/>
        <v>DUHIG, R1</v>
      </c>
      <c r="W2319" s="169" t="s">
        <v>8898</v>
      </c>
    </row>
    <row r="2320" spans="2:23" x14ac:dyDescent="0.25">
      <c r="B2320" s="169" t="s">
        <v>93</v>
      </c>
      <c r="C2320" s="169" t="s">
        <v>42</v>
      </c>
      <c r="D2320" s="169" t="s">
        <v>161</v>
      </c>
      <c r="E2320" s="169" t="s">
        <v>62</v>
      </c>
      <c r="F2320" s="245" t="str">
        <f t="shared" si="147"/>
        <v>RobS 79</v>
      </c>
      <c r="G2320" s="169" t="s">
        <v>577</v>
      </c>
      <c r="I2320" s="169" t="str">
        <f t="shared" si="145"/>
        <v>L06_JV_044E_ROBBING</v>
      </c>
      <c r="J2320" s="169" t="s">
        <v>10642</v>
      </c>
      <c r="K2320" s="169">
        <f>IFERROR(MATCH(J2320,'Final List'!$B$4:$B$252,0),0)</f>
        <v>0</v>
      </c>
      <c r="L2320" s="169">
        <f>IFERROR(MATCH(J2320,'Final List'!$D$4:$D$252,0),0)</f>
        <v>0</v>
      </c>
      <c r="M2320" s="169">
        <f>IFERROR(MATCH(J2320,'Final List'!$F$4:$F$251,0),0)</f>
        <v>0</v>
      </c>
      <c r="N2320" s="169">
        <f>IFERROR(MATCH(J2320,'Final List'!$H$4:$H$252,0),0)</f>
        <v>0</v>
      </c>
      <c r="O2320" s="169">
        <f>IFERROR(MATCH(J2320,'Final List'!$J$4:$J$252,0),0)</f>
        <v>0</v>
      </c>
      <c r="P2320" s="169">
        <f>IFERROR(MATCH(J2320,'Final List'!$L$4:$L$252,0),0)</f>
        <v>0</v>
      </c>
      <c r="Q2320" s="169">
        <f>IFERROR(MATCH(J2320,'Final List'!$N$4:$N$252,0),0)</f>
        <v>0</v>
      </c>
      <c r="R2320" s="169">
        <f>IFERROR(MATCH(J2320,'Final List'!$P$4:$P$252,0),0)</f>
        <v>0</v>
      </c>
      <c r="S2320" s="169">
        <f t="shared" si="148"/>
        <v>0</v>
      </c>
      <c r="T2320" s="169" t="s">
        <v>68</v>
      </c>
      <c r="V2320" s="169" t="str">
        <f t="shared" si="146"/>
        <v>CARIKITAN 1</v>
      </c>
      <c r="W2320" s="169" t="s">
        <v>2707</v>
      </c>
    </row>
    <row r="2321" spans="2:23" x14ac:dyDescent="0.25">
      <c r="B2321" s="169" t="s">
        <v>258</v>
      </c>
      <c r="C2321" s="169" t="s">
        <v>43</v>
      </c>
      <c r="D2321" s="169" t="s">
        <v>175</v>
      </c>
      <c r="E2321" s="169" t="s">
        <v>60</v>
      </c>
      <c r="F2321" s="245" t="str">
        <f t="shared" si="147"/>
        <v>Dhoz 71</v>
      </c>
      <c r="G2321" s="169" t="s">
        <v>10164</v>
      </c>
      <c r="I2321" s="169" t="str">
        <f t="shared" si="145"/>
        <v>L10_GHVSPLIT_060E_DE</v>
      </c>
      <c r="J2321" s="169" t="s">
        <v>10646</v>
      </c>
      <c r="K2321" s="169">
        <f>IFERROR(MATCH(J2321,'Final List'!$B$4:$B$252,0),0)</f>
        <v>0</v>
      </c>
      <c r="L2321" s="169">
        <f>IFERROR(MATCH(J2321,'Final List'!$D$4:$D$252,0),0)</f>
        <v>0</v>
      </c>
      <c r="M2321" s="169">
        <f>IFERROR(MATCH(J2321,'Final List'!$F$4:$F$251,0),0)</f>
        <v>0</v>
      </c>
      <c r="N2321" s="169">
        <f>IFERROR(MATCH(J2321,'Final List'!$H$4:$H$252,0),0)</f>
        <v>0</v>
      </c>
      <c r="O2321" s="169">
        <f>IFERROR(MATCH(J2321,'Final List'!$J$4:$J$252,0),0)</f>
        <v>0</v>
      </c>
      <c r="P2321" s="169">
        <f>IFERROR(MATCH(J2321,'Final List'!$L$4:$L$252,0),0)</f>
        <v>0</v>
      </c>
      <c r="Q2321" s="169">
        <f>IFERROR(MATCH(J2321,'Final List'!$N$4:$N$252,0),0)</f>
        <v>0</v>
      </c>
      <c r="R2321" s="169">
        <f>IFERROR(MATCH(J2321,'Final List'!$P$4:$P$252,0),0)</f>
        <v>0</v>
      </c>
      <c r="S2321" s="169">
        <f t="shared" si="148"/>
        <v>0</v>
      </c>
      <c r="V2321" s="169" t="str">
        <f t="shared" si="146"/>
        <v>SHEPHERD BA 1</v>
      </c>
      <c r="W2321" s="169" t="s">
        <v>8896</v>
      </c>
    </row>
    <row r="2322" spans="2:23" x14ac:dyDescent="0.25">
      <c r="B2322" s="169" t="s">
        <v>94</v>
      </c>
      <c r="C2322" s="169" t="s">
        <v>57</v>
      </c>
      <c r="D2322" s="169" t="s">
        <v>6710</v>
      </c>
      <c r="E2322" s="169" t="s">
        <v>61</v>
      </c>
      <c r="F2322" s="245" t="str">
        <f t="shared" si="147"/>
        <v>Dhoz 71</v>
      </c>
      <c r="G2322" s="169" t="s">
        <v>344</v>
      </c>
      <c r="I2322" s="169" t="str">
        <f t="shared" si="145"/>
        <v>L07_JVSPLIT_018W_DW</v>
      </c>
      <c r="J2322" s="169" t="s">
        <v>10647</v>
      </c>
      <c r="K2322" s="169">
        <f>IFERROR(MATCH(J2322,'Final List'!$B$4:$B$252,0),0)</f>
        <v>0</v>
      </c>
      <c r="L2322" s="169">
        <f>IFERROR(MATCH(J2322,'Final List'!$D$4:$D$252,0),0)</f>
        <v>0</v>
      </c>
      <c r="M2322" s="169">
        <f>IFERROR(MATCH(J2322,'Final List'!$F$4:$F$251,0),0)</f>
        <v>0</v>
      </c>
      <c r="N2322" s="169">
        <f>IFERROR(MATCH(J2322,'Final List'!$H$4:$H$252,0),0)</f>
        <v>0</v>
      </c>
      <c r="O2322" s="169">
        <f>IFERROR(MATCH(J2322,'Final List'!$J$4:$J$252,0),0)</f>
        <v>0</v>
      </c>
      <c r="P2322" s="169">
        <f>IFERROR(MATCH(J2322,'Final List'!$L$4:$L$252,0),0)</f>
        <v>0</v>
      </c>
      <c r="Q2322" s="169">
        <f>IFERROR(MATCH(J2322,'Final List'!$N$4:$N$252,0),0)</f>
        <v>0</v>
      </c>
      <c r="R2322" s="169">
        <f>IFERROR(MATCH(J2322,'Final List'!$P$4:$P$252,0),0)</f>
        <v>0</v>
      </c>
      <c r="S2322" s="169">
        <f t="shared" si="148"/>
        <v>0</v>
      </c>
      <c r="V2322" s="169" t="str">
        <f t="shared" si="146"/>
        <v>UDLOS 1</v>
      </c>
      <c r="W2322" s="169" t="s">
        <v>8895</v>
      </c>
    </row>
    <row r="2323" spans="2:23" x14ac:dyDescent="0.25">
      <c r="B2323" s="169" t="s">
        <v>96</v>
      </c>
      <c r="C2323" s="169" t="s">
        <v>56</v>
      </c>
      <c r="D2323" s="169" t="s">
        <v>165</v>
      </c>
      <c r="E2323" s="169" t="s">
        <v>62</v>
      </c>
      <c r="F2323" s="245" t="str">
        <f t="shared" si="147"/>
        <v>RobS 79</v>
      </c>
      <c r="G2323" s="169" t="s">
        <v>336</v>
      </c>
      <c r="I2323" s="169" t="str">
        <f t="shared" si="145"/>
        <v>L09_GHVFW_056E_ROBBING</v>
      </c>
      <c r="J2323" s="169" t="s">
        <v>10648</v>
      </c>
      <c r="K2323" s="169">
        <f>IFERROR(MATCH(J2323,'Final List'!$B$4:$B$252,0),0)</f>
        <v>0</v>
      </c>
      <c r="L2323" s="169">
        <f>IFERROR(MATCH(J2323,'Final List'!$D$4:$D$252,0),0)</f>
        <v>0</v>
      </c>
      <c r="M2323" s="169">
        <f>IFERROR(MATCH(J2323,'Final List'!$F$4:$F$251,0),0)</f>
        <v>0</v>
      </c>
      <c r="N2323" s="169">
        <f>IFERROR(MATCH(J2323,'Final List'!$H$4:$H$252,0),0)</f>
        <v>0</v>
      </c>
      <c r="O2323" s="169">
        <f>IFERROR(MATCH(J2323,'Final List'!$J$4:$J$252,0),0)</f>
        <v>0</v>
      </c>
      <c r="P2323" s="169">
        <f>IFERROR(MATCH(J2323,'Final List'!$L$4:$L$252,0),0)</f>
        <v>0</v>
      </c>
      <c r="Q2323" s="169">
        <f>IFERROR(MATCH(J2323,'Final List'!$N$4:$N$252,0),0)</f>
        <v>0</v>
      </c>
      <c r="R2323" s="169">
        <f>IFERROR(MATCH(J2323,'Final List'!$P$4:$P$252,0),0)</f>
        <v>0</v>
      </c>
      <c r="S2323" s="169">
        <f t="shared" si="148"/>
        <v>0</v>
      </c>
      <c r="T2323" s="169" t="s">
        <v>68</v>
      </c>
      <c r="V2323" s="169" t="str">
        <f t="shared" si="146"/>
        <v>BALANGHIG 1</v>
      </c>
      <c r="W2323" s="169" t="s">
        <v>2707</v>
      </c>
    </row>
    <row r="2324" spans="2:23" x14ac:dyDescent="0.25">
      <c r="B2324" s="169" t="s">
        <v>96</v>
      </c>
      <c r="C2324" s="169" t="s">
        <v>87</v>
      </c>
      <c r="D2324" s="169" t="s">
        <v>218</v>
      </c>
      <c r="E2324" s="169" t="s">
        <v>37</v>
      </c>
      <c r="F2324" s="245" t="str">
        <f t="shared" si="147"/>
        <v>Dhoz 71</v>
      </c>
      <c r="G2324" s="169" t="s">
        <v>745</v>
      </c>
      <c r="I2324" s="169" t="str">
        <f t="shared" si="145"/>
        <v>L09_NONE_062E_XCN</v>
      </c>
      <c r="J2324" s="169" t="s">
        <v>10649</v>
      </c>
      <c r="K2324" s="169">
        <f>IFERROR(MATCH(J2324,'Final List'!$B$4:$B$252,0),0)</f>
        <v>0</v>
      </c>
      <c r="L2324" s="169">
        <f>IFERROR(MATCH(J2324,'Final List'!$D$4:$D$252,0),0)</f>
        <v>0</v>
      </c>
      <c r="M2324" s="169">
        <f>IFERROR(MATCH(J2324,'Final List'!$F$4:$F$251,0),0)</f>
        <v>0</v>
      </c>
      <c r="N2324" s="169">
        <f>IFERROR(MATCH(J2324,'Final List'!$H$4:$H$252,0),0)</f>
        <v>0</v>
      </c>
      <c r="O2324" s="169">
        <f>IFERROR(MATCH(J2324,'Final List'!$J$4:$J$252,0),0)</f>
        <v>0</v>
      </c>
      <c r="P2324" s="169">
        <f>IFERROR(MATCH(J2324,'Final List'!$L$4:$L$252,0),0)</f>
        <v>0</v>
      </c>
      <c r="Q2324" s="169">
        <f>IFERROR(MATCH(J2324,'Final List'!$N$4:$N$252,0),0)</f>
        <v>0</v>
      </c>
      <c r="R2324" s="169">
        <f>IFERROR(MATCH(J2324,'Final List'!$P$4:$P$252,0),0)</f>
        <v>0</v>
      </c>
      <c r="S2324" s="169">
        <f t="shared" si="148"/>
        <v>0</v>
      </c>
      <c r="V2324" s="169" t="str">
        <f t="shared" si="146"/>
        <v>CANOY 2</v>
      </c>
      <c r="W2324" s="169" t="s">
        <v>8898</v>
      </c>
    </row>
    <row r="2325" spans="2:23" x14ac:dyDescent="0.25">
      <c r="B2325" s="169" t="s">
        <v>95</v>
      </c>
      <c r="C2325" s="169" t="s">
        <v>56</v>
      </c>
      <c r="D2325" s="169" t="s">
        <v>177</v>
      </c>
      <c r="E2325" s="169" t="s">
        <v>62</v>
      </c>
      <c r="F2325" s="245" t="str">
        <f t="shared" si="147"/>
        <v>RobS 79</v>
      </c>
      <c r="G2325" s="169" t="s">
        <v>583</v>
      </c>
      <c r="I2325" s="169" t="str">
        <f t="shared" si="145"/>
        <v>L08_GHVFW_054E_ROBBING</v>
      </c>
      <c r="J2325" s="169" t="s">
        <v>10710</v>
      </c>
      <c r="K2325" s="169">
        <f>IFERROR(MATCH(J2325,'Final List'!$B$4:$B$252,0),0)</f>
        <v>0</v>
      </c>
      <c r="L2325" s="169">
        <f>IFERROR(MATCH(J2325,'Final List'!$D$4:$D$252,0),0)</f>
        <v>0</v>
      </c>
      <c r="M2325" s="169">
        <f>IFERROR(MATCH(J2325,'Final List'!$F$4:$F$251,0),0)</f>
        <v>0</v>
      </c>
      <c r="N2325" s="169">
        <f>IFERROR(MATCH(J2325,'Final List'!$H$4:$H$252,0),0)</f>
        <v>0</v>
      </c>
      <c r="O2325" s="169">
        <f>IFERROR(MATCH(J2325,'Final List'!$J$4:$J$252,0),0)</f>
        <v>0</v>
      </c>
      <c r="P2325" s="169">
        <f>IFERROR(MATCH(J2325,'Final List'!$L$4:$L$252,0),0)</f>
        <v>0</v>
      </c>
      <c r="Q2325" s="169">
        <f>IFERROR(MATCH(J2325,'Final List'!$N$4:$N$252,0),0)</f>
        <v>0</v>
      </c>
      <c r="R2325" s="169">
        <f>IFERROR(MATCH(J2325,'Final List'!$P$4:$P$252,0),0)</f>
        <v>0</v>
      </c>
      <c r="S2325" s="169">
        <f t="shared" si="148"/>
        <v>0</v>
      </c>
      <c r="T2325" s="169" t="s">
        <v>68</v>
      </c>
      <c r="V2325" s="169" t="str">
        <f t="shared" si="146"/>
        <v>VILLARANTE 1</v>
      </c>
      <c r="W2325" s="169" t="s">
        <v>2707</v>
      </c>
    </row>
    <row r="2326" spans="2:23" x14ac:dyDescent="0.25">
      <c r="B2326" s="169" t="s">
        <v>95</v>
      </c>
      <c r="C2326" s="169" t="s">
        <v>45</v>
      </c>
      <c r="D2326" s="169" t="s">
        <v>6114</v>
      </c>
      <c r="E2326" s="169" t="s">
        <v>62</v>
      </c>
      <c r="F2326" s="245" t="str">
        <f t="shared" si="147"/>
        <v>RobS 79</v>
      </c>
      <c r="G2326" s="169" t="s">
        <v>6925</v>
      </c>
      <c r="I2326" s="169" t="str">
        <f t="shared" si="145"/>
        <v>L08_DPVE_078E_ROBBING</v>
      </c>
      <c r="J2326" s="169" t="s">
        <v>10657</v>
      </c>
      <c r="K2326" s="169">
        <f>IFERROR(MATCH(J2326,'Final List'!$B$4:$B$252,0),0)</f>
        <v>0</v>
      </c>
      <c r="L2326" s="169">
        <f>IFERROR(MATCH(J2326,'Final List'!$D$4:$D$252,0),0)</f>
        <v>0</v>
      </c>
      <c r="M2326" s="169">
        <f>IFERROR(MATCH(J2326,'Final List'!$F$4:$F$251,0),0)</f>
        <v>0</v>
      </c>
      <c r="N2326" s="169">
        <f>IFERROR(MATCH(J2326,'Final List'!$H$4:$H$252,0),0)</f>
        <v>0</v>
      </c>
      <c r="O2326" s="169">
        <f>IFERROR(MATCH(J2326,'Final List'!$J$4:$J$252,0),0)</f>
        <v>0</v>
      </c>
      <c r="P2326" s="169">
        <f>IFERROR(MATCH(J2326,'Final List'!$L$4:$L$252,0),0)</f>
        <v>0</v>
      </c>
      <c r="Q2326" s="169">
        <f>IFERROR(MATCH(J2326,'Final List'!$N$4:$N$252,0),0)</f>
        <v>0</v>
      </c>
      <c r="R2326" s="169">
        <f>IFERROR(MATCH(J2326,'Final List'!$P$4:$P$252,0),0)</f>
        <v>0</v>
      </c>
      <c r="S2326" s="169">
        <f t="shared" si="148"/>
        <v>0</v>
      </c>
      <c r="T2326" s="169" t="s">
        <v>68</v>
      </c>
      <c r="V2326" s="169" t="str">
        <f t="shared" si="146"/>
        <v>CAPUYAN 1</v>
      </c>
      <c r="W2326" s="169" t="s">
        <v>236</v>
      </c>
    </row>
    <row r="2327" spans="2:23" x14ac:dyDescent="0.25">
      <c r="B2327" s="169" t="s">
        <v>258</v>
      </c>
      <c r="C2327" s="169" t="s">
        <v>87</v>
      </c>
      <c r="D2327" s="169" t="s">
        <v>247</v>
      </c>
      <c r="E2327" s="169" t="s">
        <v>63</v>
      </c>
      <c r="F2327" s="245" t="str">
        <f t="shared" si="147"/>
        <v>Dhoz 71</v>
      </c>
      <c r="G2327" s="169" t="s">
        <v>5700</v>
      </c>
      <c r="H2327" s="169" t="s">
        <v>10805</v>
      </c>
      <c r="I2327" s="169" t="str">
        <f t="shared" si="145"/>
        <v>L10_NONE_080E_XCS</v>
      </c>
      <c r="J2327" s="169" t="s">
        <v>10660</v>
      </c>
      <c r="K2327" s="169">
        <f>IFERROR(MATCH(J2327,'Final List'!$B$4:$B$252,0),0)</f>
        <v>0</v>
      </c>
      <c r="L2327" s="169">
        <f>IFERROR(MATCH(J2327,'Final List'!$D$4:$D$252,0),0)</f>
        <v>0</v>
      </c>
      <c r="M2327" s="169">
        <f>IFERROR(MATCH(J2327,'Final List'!$F$4:$F$251,0),0)</f>
        <v>0</v>
      </c>
      <c r="N2327" s="169">
        <f>IFERROR(MATCH(J2327,'Final List'!$H$4:$H$252,0),0)</f>
        <v>0</v>
      </c>
      <c r="O2327" s="169">
        <f>IFERROR(MATCH(J2327,'Final List'!$J$4:$J$252,0),0)</f>
        <v>0</v>
      </c>
      <c r="P2327" s="169">
        <f>IFERROR(MATCH(J2327,'Final List'!$L$4:$L$252,0),0)</f>
        <v>0</v>
      </c>
      <c r="Q2327" s="169">
        <f>IFERROR(MATCH(J2327,'Final List'!$N$4:$N$252,0),0)</f>
        <v>0</v>
      </c>
      <c r="R2327" s="169">
        <f>IFERROR(MATCH(J2327,'Final List'!$P$4:$P$252,0),0)</f>
        <v>0</v>
      </c>
      <c r="S2327" s="169">
        <f t="shared" si="148"/>
        <v>0</v>
      </c>
      <c r="V2327" s="169" t="str">
        <f t="shared" si="146"/>
        <v>SHEPHERD BD 1</v>
      </c>
      <c r="W2327" s="169" t="s">
        <v>8898</v>
      </c>
    </row>
    <row r="2328" spans="2:23" x14ac:dyDescent="0.25">
      <c r="B2328" s="169" t="s">
        <v>258</v>
      </c>
      <c r="C2328" s="169" t="s">
        <v>39</v>
      </c>
      <c r="D2328" s="169" t="s">
        <v>177</v>
      </c>
      <c r="E2328" s="169" t="s">
        <v>19</v>
      </c>
      <c r="F2328" s="245" t="str">
        <f t="shared" si="147"/>
        <v>DVR 72</v>
      </c>
      <c r="G2328" s="169" t="s">
        <v>5697</v>
      </c>
      <c r="I2328" s="169" t="str">
        <f t="shared" ref="I2328:I2391" si="149">CONCATENATE(B2328,"_",C2328,"_",D2328,"_",E2328)</f>
        <v>L10_JVHW_054E_RAISE</v>
      </c>
      <c r="J2328" s="169" t="s">
        <v>10666</v>
      </c>
      <c r="K2328" s="169">
        <f>IFERROR(MATCH(J2328,'Final List'!$B$4:$B$252,0),0)</f>
        <v>0</v>
      </c>
      <c r="L2328" s="169">
        <f>IFERROR(MATCH(J2328,'Final List'!$D$4:$D$252,0),0)</f>
        <v>0</v>
      </c>
      <c r="M2328" s="169">
        <f>IFERROR(MATCH(J2328,'Final List'!$F$4:$F$251,0),0)</f>
        <v>0</v>
      </c>
      <c r="N2328" s="169">
        <f>IFERROR(MATCH(J2328,'Final List'!$H$4:$H$252,0),0)</f>
        <v>0</v>
      </c>
      <c r="O2328" s="169">
        <f>IFERROR(MATCH(J2328,'Final List'!$J$4:$J$252,0),0)</f>
        <v>0</v>
      </c>
      <c r="P2328" s="169">
        <f>IFERROR(MATCH(J2328,'Final List'!$L$4:$L$252,0),0)</f>
        <v>0</v>
      </c>
      <c r="Q2328" s="169">
        <f>IFERROR(MATCH(J2328,'Final List'!$N$4:$N$252,0),0)</f>
        <v>0</v>
      </c>
      <c r="R2328" s="169">
        <f>IFERROR(MATCH(J2328,'Final List'!$P$4:$P$252,0),0)</f>
        <v>0</v>
      </c>
      <c r="S2328" s="169">
        <f t="shared" si="148"/>
        <v>0</v>
      </c>
      <c r="V2328" s="169" t="str">
        <f t="shared" si="146"/>
        <v>OLIVEROS 1</v>
      </c>
      <c r="W2328" s="169" t="s">
        <v>2715</v>
      </c>
    </row>
    <row r="2329" spans="2:23" x14ac:dyDescent="0.25">
      <c r="B2329" s="169" t="s">
        <v>258</v>
      </c>
      <c r="C2329" s="169" t="s">
        <v>59</v>
      </c>
      <c r="D2329" s="169" t="s">
        <v>201</v>
      </c>
      <c r="E2329" s="169" t="s">
        <v>60</v>
      </c>
      <c r="F2329" s="245" t="str">
        <f t="shared" si="147"/>
        <v>Dhoz 71</v>
      </c>
      <c r="G2329" s="169" t="s">
        <v>10635</v>
      </c>
      <c r="I2329" s="169" t="str">
        <f t="shared" si="149"/>
        <v>L10_GHVHW_067E_DE</v>
      </c>
      <c r="J2329" s="169" t="s">
        <v>10667</v>
      </c>
      <c r="K2329" s="169">
        <f>IFERROR(MATCH(J2329,'Final List'!$B$4:$B$252,0),0)</f>
        <v>0</v>
      </c>
      <c r="L2329" s="169">
        <f>IFERROR(MATCH(J2329,'Final List'!$D$4:$D$252,0),0)</f>
        <v>0</v>
      </c>
      <c r="M2329" s="169">
        <f>IFERROR(MATCH(J2329,'Final List'!$F$4:$F$251,0),0)</f>
        <v>0</v>
      </c>
      <c r="N2329" s="169">
        <f>IFERROR(MATCH(J2329,'Final List'!$H$4:$H$252,0),0)</f>
        <v>0</v>
      </c>
      <c r="O2329" s="169">
        <f>IFERROR(MATCH(J2329,'Final List'!$J$4:$J$252,0),0)</f>
        <v>0</v>
      </c>
      <c r="P2329" s="169">
        <f>IFERROR(MATCH(J2329,'Final List'!$L$4:$L$252,0),0)</f>
        <v>0</v>
      </c>
      <c r="Q2329" s="169">
        <f>IFERROR(MATCH(J2329,'Final List'!$N$4:$N$252,0),0)</f>
        <v>0</v>
      </c>
      <c r="R2329" s="169">
        <f>IFERROR(MATCH(J2329,'Final List'!$P$4:$P$252,0),0)</f>
        <v>0</v>
      </c>
      <c r="S2329" s="169">
        <f t="shared" si="148"/>
        <v>0</v>
      </c>
      <c r="V2329" s="169" t="str">
        <f t="shared" si="146"/>
        <v>SHEPHERD BD</v>
      </c>
      <c r="W2329" s="169" t="s">
        <v>8896</v>
      </c>
    </row>
    <row r="2330" spans="2:23" x14ac:dyDescent="0.25">
      <c r="B2330" s="169" t="s">
        <v>8904</v>
      </c>
      <c r="C2330" s="169" t="s">
        <v>41</v>
      </c>
      <c r="D2330" s="169" t="s">
        <v>6833</v>
      </c>
      <c r="E2330" s="169" t="s">
        <v>62</v>
      </c>
      <c r="F2330" s="245" t="str">
        <f t="shared" si="147"/>
        <v>RobS 79</v>
      </c>
      <c r="G2330" s="169" t="s">
        <v>10398</v>
      </c>
      <c r="I2330" s="169" t="str">
        <f t="shared" si="149"/>
        <v>L03_CTV_017W_ROBBING</v>
      </c>
      <c r="J2330" s="169" t="s">
        <v>10670</v>
      </c>
      <c r="K2330" s="169">
        <f>IFERROR(MATCH(J2330,'Final List'!$B$4:$B$252,0),0)</f>
        <v>0</v>
      </c>
      <c r="L2330" s="169">
        <f>IFERROR(MATCH(J2330,'Final List'!$D$4:$D$252,0),0)</f>
        <v>0</v>
      </c>
      <c r="M2330" s="169">
        <f>IFERROR(MATCH(J2330,'Final List'!$F$4:$F$251,0),0)</f>
        <v>0</v>
      </c>
      <c r="N2330" s="169">
        <f>IFERROR(MATCH(J2330,'Final List'!$H$4:$H$252,0),0)</f>
        <v>0</v>
      </c>
      <c r="O2330" s="169">
        <f>IFERROR(MATCH(J2330,'Final List'!$J$4:$J$252,0),0)</f>
        <v>0</v>
      </c>
      <c r="P2330" s="169">
        <f>IFERROR(MATCH(J2330,'Final List'!$L$4:$L$252,0),0)</f>
        <v>0</v>
      </c>
      <c r="Q2330" s="169">
        <f>IFERROR(MATCH(J2330,'Final List'!$N$4:$N$252,0),0)</f>
        <v>0</v>
      </c>
      <c r="R2330" s="169">
        <f>IFERROR(MATCH(J2330,'Final List'!$P$4:$P$252,0),0)</f>
        <v>0</v>
      </c>
      <c r="S2330" s="169">
        <f t="shared" si="148"/>
        <v>0</v>
      </c>
      <c r="T2330" s="169" t="s">
        <v>68</v>
      </c>
      <c r="V2330" s="169" t="str">
        <f t="shared" si="146"/>
        <v>FERNANDEZ, RM 5</v>
      </c>
      <c r="W2330" s="169" t="s">
        <v>2707</v>
      </c>
    </row>
    <row r="2331" spans="2:23" x14ac:dyDescent="0.25">
      <c r="B2331" s="169" t="s">
        <v>96</v>
      </c>
      <c r="C2331" s="169" t="s">
        <v>59</v>
      </c>
      <c r="D2331" s="169" t="s">
        <v>122</v>
      </c>
      <c r="E2331" s="169" t="s">
        <v>62</v>
      </c>
      <c r="F2331" s="245" t="str">
        <f t="shared" si="147"/>
        <v>RobS 79</v>
      </c>
      <c r="G2331" s="169" t="s">
        <v>2970</v>
      </c>
      <c r="I2331" s="169" t="str">
        <f t="shared" si="149"/>
        <v>L09_GHVHW_025E_ROBBING</v>
      </c>
      <c r="J2331" s="169" t="s">
        <v>10674</v>
      </c>
      <c r="K2331" s="169">
        <f>IFERROR(MATCH(J2331,'Final List'!$B$4:$B$252,0),0)</f>
        <v>0</v>
      </c>
      <c r="L2331" s="169">
        <f>IFERROR(MATCH(J2331,'Final List'!$D$4:$D$252,0),0)</f>
        <v>0</v>
      </c>
      <c r="M2331" s="169">
        <f>IFERROR(MATCH(J2331,'Final List'!$F$4:$F$251,0),0)</f>
        <v>0</v>
      </c>
      <c r="N2331" s="169">
        <f>IFERROR(MATCH(J2331,'Final List'!$H$4:$H$252,0),0)</f>
        <v>0</v>
      </c>
      <c r="O2331" s="169">
        <f>IFERROR(MATCH(J2331,'Final List'!$J$4:$J$252,0),0)</f>
        <v>0</v>
      </c>
      <c r="P2331" s="169">
        <f>IFERROR(MATCH(J2331,'Final List'!$L$4:$L$252,0),0)</f>
        <v>0</v>
      </c>
      <c r="Q2331" s="169">
        <f>IFERROR(MATCH(J2331,'Final List'!$N$4:$N$252,0),0)</f>
        <v>0</v>
      </c>
      <c r="R2331" s="169">
        <f>IFERROR(MATCH(J2331,'Final List'!$P$4:$P$252,0),0)</f>
        <v>0</v>
      </c>
      <c r="S2331" s="169">
        <f t="shared" si="148"/>
        <v>0</v>
      </c>
      <c r="T2331" s="169" t="s">
        <v>68</v>
      </c>
      <c r="V2331" s="169" t="str">
        <f t="shared" si="146"/>
        <v>FABROA 2</v>
      </c>
      <c r="W2331" s="169" t="s">
        <v>2707</v>
      </c>
    </row>
    <row r="2332" spans="2:23" x14ac:dyDescent="0.25">
      <c r="B2332" s="169" t="s">
        <v>1166</v>
      </c>
      <c r="C2332" s="169" t="s">
        <v>45</v>
      </c>
      <c r="D2332" s="169" t="s">
        <v>141</v>
      </c>
      <c r="E2332" s="169" t="s">
        <v>61</v>
      </c>
      <c r="F2332" s="245" t="str">
        <f t="shared" si="147"/>
        <v>Dhoz 71</v>
      </c>
      <c r="G2332" s="169" t="s">
        <v>342</v>
      </c>
      <c r="H2332" s="169" t="s">
        <v>368</v>
      </c>
      <c r="I2332" s="169" t="str">
        <f t="shared" si="149"/>
        <v>L11_DPVE_029E_DW</v>
      </c>
      <c r="J2332" s="169" t="s">
        <v>10675</v>
      </c>
      <c r="K2332" s="169">
        <f>IFERROR(MATCH(J2332,'Final List'!$B$4:$B$252,0),0)</f>
        <v>0</v>
      </c>
      <c r="L2332" s="169">
        <f>IFERROR(MATCH(J2332,'Final List'!$D$4:$D$252,0),0)</f>
        <v>0</v>
      </c>
      <c r="M2332" s="169">
        <f>IFERROR(MATCH(J2332,'Final List'!$F$4:$F$251,0),0)</f>
        <v>0</v>
      </c>
      <c r="N2332" s="169">
        <f>IFERROR(MATCH(J2332,'Final List'!$H$4:$H$252,0),0)</f>
        <v>0</v>
      </c>
      <c r="O2332" s="169">
        <f>IFERROR(MATCH(J2332,'Final List'!$J$4:$J$252,0),0)</f>
        <v>0</v>
      </c>
      <c r="P2332" s="169">
        <f>IFERROR(MATCH(J2332,'Final List'!$L$4:$L$252,0),0)</f>
        <v>0</v>
      </c>
      <c r="Q2332" s="169">
        <f>IFERROR(MATCH(J2332,'Final List'!$N$4:$N$252,0),0)</f>
        <v>0</v>
      </c>
      <c r="R2332" s="169">
        <f>IFERROR(MATCH(J2332,'Final List'!$P$4:$P$252,0),0)</f>
        <v>0</v>
      </c>
      <c r="S2332" s="169">
        <f t="shared" si="148"/>
        <v>0</v>
      </c>
      <c r="V2332" s="169" t="str">
        <f t="shared" si="146"/>
        <v>LERIO 2</v>
      </c>
      <c r="W2332" s="169" t="s">
        <v>8896</v>
      </c>
    </row>
    <row r="2333" spans="2:23" x14ac:dyDescent="0.25">
      <c r="B2333" s="169" t="s">
        <v>96</v>
      </c>
      <c r="C2333" s="169" t="s">
        <v>45</v>
      </c>
      <c r="D2333" s="169" t="s">
        <v>5889</v>
      </c>
      <c r="E2333" s="169" t="s">
        <v>62</v>
      </c>
      <c r="F2333" s="245" t="str">
        <f t="shared" si="147"/>
        <v>RobS 79</v>
      </c>
      <c r="G2333" s="169" t="s">
        <v>2972</v>
      </c>
      <c r="H2333" s="169" t="s">
        <v>344</v>
      </c>
      <c r="I2333" s="169" t="str">
        <f t="shared" si="149"/>
        <v>L09_DPVE_077E_ROBBING</v>
      </c>
      <c r="J2333" s="169" t="s">
        <v>10677</v>
      </c>
      <c r="K2333" s="169">
        <f>IFERROR(MATCH(J2333,'Final List'!$B$4:$B$252,0),0)</f>
        <v>0</v>
      </c>
      <c r="L2333" s="169">
        <f>IFERROR(MATCH(J2333,'Final List'!$D$4:$D$252,0),0)</f>
        <v>0</v>
      </c>
      <c r="M2333" s="169">
        <f>IFERROR(MATCH(J2333,'Final List'!$F$4:$F$251,0),0)</f>
        <v>0</v>
      </c>
      <c r="N2333" s="169">
        <f>IFERROR(MATCH(J2333,'Final List'!$H$4:$H$252,0),0)</f>
        <v>0</v>
      </c>
      <c r="O2333" s="169">
        <f>IFERROR(MATCH(J2333,'Final List'!$J$4:$J$252,0),0)</f>
        <v>0</v>
      </c>
      <c r="P2333" s="169">
        <f>IFERROR(MATCH(J2333,'Final List'!$L$4:$L$252,0),0)</f>
        <v>0</v>
      </c>
      <c r="Q2333" s="169">
        <f>IFERROR(MATCH(J2333,'Final List'!$N$4:$N$252,0),0)</f>
        <v>0</v>
      </c>
      <c r="R2333" s="169">
        <f>IFERROR(MATCH(J2333,'Final List'!$P$4:$P$252,0),0)</f>
        <v>0</v>
      </c>
      <c r="S2333" s="169">
        <f t="shared" si="148"/>
        <v>0</v>
      </c>
      <c r="T2333" s="169" t="s">
        <v>68</v>
      </c>
      <c r="V2333" s="169" t="str">
        <f t="shared" si="146"/>
        <v>UDLOS 1</v>
      </c>
      <c r="W2333" s="169" t="s">
        <v>236</v>
      </c>
    </row>
    <row r="2334" spans="2:23" x14ac:dyDescent="0.25">
      <c r="B2334" s="169" t="s">
        <v>95</v>
      </c>
      <c r="C2334" s="169" t="s">
        <v>87</v>
      </c>
      <c r="D2334" s="169" t="s">
        <v>5741</v>
      </c>
      <c r="E2334" s="169" t="s">
        <v>19</v>
      </c>
      <c r="F2334" s="245" t="str">
        <f t="shared" si="147"/>
        <v>DVR 72</v>
      </c>
      <c r="G2334" s="169" t="s">
        <v>274</v>
      </c>
      <c r="I2334" s="169" t="str">
        <f t="shared" si="149"/>
        <v>L08_NONE_035E_RAISE</v>
      </c>
      <c r="J2334" s="169" t="s">
        <v>10682</v>
      </c>
      <c r="K2334" s="169">
        <f>IFERROR(MATCH(J2334,'Final List'!$B$4:$B$252,0),0)</f>
        <v>0</v>
      </c>
      <c r="L2334" s="169">
        <f>IFERROR(MATCH(J2334,'Final List'!$D$4:$D$252,0),0)</f>
        <v>0</v>
      </c>
      <c r="M2334" s="169">
        <f>IFERROR(MATCH(J2334,'Final List'!$F$4:$F$251,0),0)</f>
        <v>0</v>
      </c>
      <c r="N2334" s="169">
        <f>IFERROR(MATCH(J2334,'Final List'!$H$4:$H$252,0),0)</f>
        <v>0</v>
      </c>
      <c r="O2334" s="169">
        <f>IFERROR(MATCH(J2334,'Final List'!$J$4:$J$252,0),0)</f>
        <v>0</v>
      </c>
      <c r="P2334" s="169">
        <f>IFERROR(MATCH(J2334,'Final List'!$L$4:$L$252,0),0)</f>
        <v>0</v>
      </c>
      <c r="Q2334" s="169">
        <f>IFERROR(MATCH(J2334,'Final List'!$N$4:$N$252,0),0)</f>
        <v>0</v>
      </c>
      <c r="R2334" s="169">
        <f>IFERROR(MATCH(J2334,'Final List'!$P$4:$P$252,0),0)</f>
        <v>0</v>
      </c>
      <c r="S2334" s="169">
        <f t="shared" si="148"/>
        <v>0</v>
      </c>
      <c r="V2334" s="169" t="str">
        <f t="shared" si="146"/>
        <v>PMC MINERS 2</v>
      </c>
      <c r="W2334" s="169" t="s">
        <v>2714</v>
      </c>
    </row>
    <row r="2335" spans="2:23" x14ac:dyDescent="0.25">
      <c r="B2335" s="169" t="s">
        <v>1166</v>
      </c>
      <c r="C2335" s="169" t="s">
        <v>45</v>
      </c>
      <c r="D2335" s="169" t="s">
        <v>123</v>
      </c>
      <c r="E2335" s="169" t="s">
        <v>36</v>
      </c>
      <c r="F2335" s="245" t="str">
        <f t="shared" si="147"/>
        <v>StpS 77</v>
      </c>
      <c r="G2335" s="169" t="s">
        <v>862</v>
      </c>
      <c r="I2335" s="169" t="str">
        <f t="shared" si="149"/>
        <v>L11_DPVE_031E_STOPE</v>
      </c>
      <c r="J2335" s="169" t="s">
        <v>11383</v>
      </c>
      <c r="K2335" s="169">
        <f>IFERROR(MATCH(J2335,'Final List'!$B$4:$B$252,0),0)</f>
        <v>0</v>
      </c>
      <c r="L2335" s="169">
        <f>IFERROR(MATCH(J2335,'Final List'!$D$4:$D$252,0),0)</f>
        <v>0</v>
      </c>
      <c r="M2335" s="169">
        <f>IFERROR(MATCH(J2335,'Final List'!$F$4:$F$251,0),0)</f>
        <v>0</v>
      </c>
      <c r="N2335" s="169">
        <f>IFERROR(MATCH(J2335,'Final List'!$H$4:$H$252,0),0)</f>
        <v>0</v>
      </c>
      <c r="O2335" s="169">
        <f>IFERROR(MATCH(J2335,'Final List'!$J$4:$J$252,0),0)</f>
        <v>0</v>
      </c>
      <c r="P2335" s="169">
        <f>IFERROR(MATCH(J2335,'Final List'!$L$4:$L$252,0),0)</f>
        <v>0</v>
      </c>
      <c r="Q2335" s="169">
        <f>IFERROR(MATCH(J2335,'Final List'!$N$4:$N$252,0),0)</f>
        <v>0</v>
      </c>
      <c r="R2335" s="169">
        <f>IFERROR(MATCH(J2335,'Final List'!$P$4:$P$252,0),0)</f>
        <v>0</v>
      </c>
      <c r="S2335" s="169">
        <f t="shared" si="148"/>
        <v>0</v>
      </c>
      <c r="T2335" s="169" t="s">
        <v>68</v>
      </c>
      <c r="V2335" s="169" t="str">
        <f t="shared" si="146"/>
        <v>REBOTE 1</v>
      </c>
      <c r="W2335" s="169" t="s">
        <v>2713</v>
      </c>
    </row>
    <row r="2336" spans="2:23" x14ac:dyDescent="0.25">
      <c r="B2336" s="169" t="s">
        <v>1166</v>
      </c>
      <c r="C2336" s="169" t="s">
        <v>55</v>
      </c>
      <c r="D2336" s="169" t="s">
        <v>167</v>
      </c>
      <c r="E2336" s="169" t="s">
        <v>19</v>
      </c>
      <c r="F2336" s="245" t="str">
        <f t="shared" si="147"/>
        <v>DVR 72</v>
      </c>
      <c r="G2336" s="169" t="s">
        <v>742</v>
      </c>
      <c r="I2336" s="169" t="str">
        <f t="shared" si="149"/>
        <v>L11_JVFW_058E_RAISE</v>
      </c>
      <c r="J2336" s="169" t="s">
        <v>10688</v>
      </c>
      <c r="K2336" s="169">
        <f>IFERROR(MATCH(J2336,'Final List'!$B$4:$B$252,0),0)</f>
        <v>0</v>
      </c>
      <c r="L2336" s="169">
        <f>IFERROR(MATCH(J2336,'Final List'!$D$4:$D$252,0),0)</f>
        <v>0</v>
      </c>
      <c r="M2336" s="169">
        <f>IFERROR(MATCH(J2336,'Final List'!$F$4:$F$251,0),0)</f>
        <v>0</v>
      </c>
      <c r="N2336" s="169">
        <f>IFERROR(MATCH(J2336,'Final List'!$H$4:$H$252,0),0)</f>
        <v>0</v>
      </c>
      <c r="O2336" s="169">
        <f>IFERROR(MATCH(J2336,'Final List'!$J$4:$J$252,0),0)</f>
        <v>0</v>
      </c>
      <c r="P2336" s="169">
        <f>IFERROR(MATCH(J2336,'Final List'!$L$4:$L$252,0),0)</f>
        <v>0</v>
      </c>
      <c r="Q2336" s="169">
        <f>IFERROR(MATCH(J2336,'Final List'!$N$4:$N$252,0),0)</f>
        <v>0</v>
      </c>
      <c r="R2336" s="169">
        <f>IFERROR(MATCH(J2336,'Final List'!$P$4:$P$252,0),0)</f>
        <v>0</v>
      </c>
      <c r="S2336" s="169">
        <f t="shared" si="148"/>
        <v>0</v>
      </c>
      <c r="V2336" s="169" t="str">
        <f t="shared" si="146"/>
        <v>REBOTE 2</v>
      </c>
      <c r="W2336" s="169" t="s">
        <v>2715</v>
      </c>
    </row>
    <row r="2337" spans="2:23" x14ac:dyDescent="0.25">
      <c r="B2337" s="169" t="s">
        <v>1166</v>
      </c>
      <c r="C2337" s="169" t="s">
        <v>45</v>
      </c>
      <c r="D2337" s="169" t="s">
        <v>5601</v>
      </c>
      <c r="E2337" s="169" t="s">
        <v>19</v>
      </c>
      <c r="F2337" s="245" t="str">
        <f t="shared" si="147"/>
        <v>DVR 72</v>
      </c>
      <c r="G2337" s="169" t="s">
        <v>454</v>
      </c>
      <c r="H2337" s="169" t="s">
        <v>12070</v>
      </c>
      <c r="I2337" s="169" t="str">
        <f t="shared" si="149"/>
        <v>L11_DPVE_026E_RAISE</v>
      </c>
      <c r="J2337" s="169" t="s">
        <v>10689</v>
      </c>
      <c r="K2337" s="169">
        <f>IFERROR(MATCH(J2337,'Final List'!$B$4:$B$252,0),0)</f>
        <v>0</v>
      </c>
      <c r="L2337" s="169">
        <f>IFERROR(MATCH(J2337,'Final List'!$D$4:$D$252,0),0)</f>
        <v>0</v>
      </c>
      <c r="M2337" s="169">
        <f>IFERROR(MATCH(J2337,'Final List'!$F$4:$F$251,0),0)</f>
        <v>0</v>
      </c>
      <c r="N2337" s="169">
        <f>IFERROR(MATCH(J2337,'Final List'!$H$4:$H$252,0),0)</f>
        <v>0</v>
      </c>
      <c r="O2337" s="169">
        <f>IFERROR(MATCH(J2337,'Final List'!$J$4:$J$252,0),0)</f>
        <v>0</v>
      </c>
      <c r="P2337" s="169">
        <f>IFERROR(MATCH(J2337,'Final List'!$L$4:$L$252,0),0)</f>
        <v>0</v>
      </c>
      <c r="Q2337" s="169">
        <f>IFERROR(MATCH(J2337,'Final List'!$N$4:$N$252,0),0)</f>
        <v>0</v>
      </c>
      <c r="R2337" s="169">
        <f>IFERROR(MATCH(J2337,'Final List'!$P$4:$P$252,0),0)</f>
        <v>0</v>
      </c>
      <c r="S2337" s="169">
        <f t="shared" si="148"/>
        <v>0</v>
      </c>
      <c r="V2337" s="169" t="str">
        <f t="shared" si="146"/>
        <v>NITRO BB</v>
      </c>
      <c r="W2337" s="169" t="s">
        <v>2715</v>
      </c>
    </row>
    <row r="2338" spans="2:23" x14ac:dyDescent="0.25">
      <c r="B2338" s="169" t="s">
        <v>1167</v>
      </c>
      <c r="C2338" s="169" t="s">
        <v>43</v>
      </c>
      <c r="D2338" s="169" t="s">
        <v>218</v>
      </c>
      <c r="E2338" s="169" t="s">
        <v>61</v>
      </c>
      <c r="F2338" s="245" t="str">
        <f t="shared" si="147"/>
        <v>Dhoz 71</v>
      </c>
      <c r="G2338" s="169" t="s">
        <v>6931</v>
      </c>
      <c r="H2338" s="169" t="s">
        <v>329</v>
      </c>
      <c r="I2338" s="169" t="str">
        <f t="shared" si="149"/>
        <v>L12_GHVSPLIT_062E_DW</v>
      </c>
      <c r="J2338" s="169" t="s">
        <v>11369</v>
      </c>
      <c r="K2338" s="169">
        <f>IFERROR(MATCH(J2338,'Final List'!$B$4:$B$252,0),0)</f>
        <v>0</v>
      </c>
      <c r="L2338" s="169">
        <f>IFERROR(MATCH(J2338,'Final List'!$D$4:$D$252,0),0)</f>
        <v>0</v>
      </c>
      <c r="M2338" s="169">
        <f>IFERROR(MATCH(J2338,'Final List'!$F$4:$F$251,0),0)</f>
        <v>0</v>
      </c>
      <c r="N2338" s="169">
        <f>IFERROR(MATCH(J2338,'Final List'!$H$4:$H$252,0),0)</f>
        <v>0</v>
      </c>
      <c r="O2338" s="169">
        <f>IFERROR(MATCH(J2338,'Final List'!$J$4:$J$252,0),0)</f>
        <v>0</v>
      </c>
      <c r="P2338" s="169">
        <f>IFERROR(MATCH(J2338,'Final List'!$L$4:$L$252,0),0)</f>
        <v>0</v>
      </c>
      <c r="Q2338" s="169">
        <f>IFERROR(MATCH(J2338,'Final List'!$N$4:$N$252,0),0)</f>
        <v>0</v>
      </c>
      <c r="R2338" s="169">
        <f>IFERROR(MATCH(J2338,'Final List'!$P$4:$P$252,0),0)</f>
        <v>0</v>
      </c>
      <c r="S2338" s="169">
        <f t="shared" si="148"/>
        <v>0</v>
      </c>
      <c r="V2338" s="169" t="str">
        <f t="shared" si="146"/>
        <v>OY-YOY 1</v>
      </c>
      <c r="W2338" s="169" t="s">
        <v>8896</v>
      </c>
    </row>
    <row r="2339" spans="2:23" x14ac:dyDescent="0.25">
      <c r="B2339" s="169" t="s">
        <v>1166</v>
      </c>
      <c r="C2339" s="169" t="s">
        <v>87</v>
      </c>
      <c r="D2339" s="169" t="s">
        <v>168</v>
      </c>
      <c r="E2339" s="169" t="s">
        <v>37</v>
      </c>
      <c r="F2339" s="245" t="str">
        <f t="shared" si="147"/>
        <v>Dhoz 71</v>
      </c>
      <c r="G2339" s="169" t="s">
        <v>6926</v>
      </c>
      <c r="H2339" s="169" t="s">
        <v>475</v>
      </c>
      <c r="I2339" s="169" t="str">
        <f t="shared" si="149"/>
        <v>L11_NONE_047E_XCN</v>
      </c>
      <c r="J2339" s="169" t="s">
        <v>10695</v>
      </c>
      <c r="K2339" s="169">
        <f>IFERROR(MATCH(J2339,'Final List'!$B$4:$B$252,0),0)</f>
        <v>0</v>
      </c>
      <c r="L2339" s="169">
        <f>IFERROR(MATCH(J2339,'Final List'!$D$4:$D$252,0),0)</f>
        <v>0</v>
      </c>
      <c r="M2339" s="169">
        <f>IFERROR(MATCH(J2339,'Final List'!$F$4:$F$251,0),0)</f>
        <v>0</v>
      </c>
      <c r="N2339" s="169">
        <f>IFERROR(MATCH(J2339,'Final List'!$H$4:$H$252,0),0)</f>
        <v>0</v>
      </c>
      <c r="O2339" s="169">
        <f>IFERROR(MATCH(J2339,'Final List'!$J$4:$J$252,0),0)</f>
        <v>0</v>
      </c>
      <c r="P2339" s="169">
        <f>IFERROR(MATCH(J2339,'Final List'!$L$4:$L$252,0),0)</f>
        <v>0</v>
      </c>
      <c r="Q2339" s="169">
        <f>IFERROR(MATCH(J2339,'Final List'!$N$4:$N$252,0),0)</f>
        <v>0</v>
      </c>
      <c r="R2339" s="169">
        <f>IFERROR(MATCH(J2339,'Final List'!$P$4:$P$252,0),0)</f>
        <v>0</v>
      </c>
      <c r="S2339" s="169">
        <f t="shared" si="148"/>
        <v>0</v>
      </c>
      <c r="V2339" s="169" t="str">
        <f t="shared" si="146"/>
        <v>TORMIS 2</v>
      </c>
      <c r="W2339" s="169" t="s">
        <v>8898</v>
      </c>
    </row>
    <row r="2340" spans="2:23" x14ac:dyDescent="0.25">
      <c r="B2340" s="169" t="s">
        <v>96</v>
      </c>
      <c r="C2340" s="169" t="s">
        <v>45</v>
      </c>
      <c r="D2340" s="169" t="s">
        <v>5723</v>
      </c>
      <c r="E2340" s="169" t="s">
        <v>60</v>
      </c>
      <c r="F2340" s="245" t="str">
        <f t="shared" si="147"/>
        <v>Dhoz 71</v>
      </c>
      <c r="G2340" s="169" t="s">
        <v>5101</v>
      </c>
      <c r="H2340" s="169" t="s">
        <v>6621</v>
      </c>
      <c r="I2340" s="169" t="str">
        <f t="shared" si="149"/>
        <v>L09_DPVE_046E_DE</v>
      </c>
      <c r="J2340" s="169" t="s">
        <v>10709</v>
      </c>
      <c r="K2340" s="169">
        <f>IFERROR(MATCH(J2340,'Final List'!$B$4:$B$252,0),0)</f>
        <v>0</v>
      </c>
      <c r="L2340" s="169">
        <f>IFERROR(MATCH(J2340,'Final List'!$D$4:$D$252,0),0)</f>
        <v>0</v>
      </c>
      <c r="M2340" s="169">
        <f>IFERROR(MATCH(J2340,'Final List'!$F$4:$F$251,0),0)</f>
        <v>0</v>
      </c>
      <c r="N2340" s="169">
        <f>IFERROR(MATCH(J2340,'Final List'!$H$4:$H$252,0),0)</f>
        <v>0</v>
      </c>
      <c r="O2340" s="169">
        <f>IFERROR(MATCH(J2340,'Final List'!$J$4:$J$252,0),0)</f>
        <v>0</v>
      </c>
      <c r="P2340" s="169">
        <f>IFERROR(MATCH(J2340,'Final List'!$L$4:$L$252,0),0)</f>
        <v>0</v>
      </c>
      <c r="Q2340" s="169">
        <f>IFERROR(MATCH(J2340,'Final List'!$N$4:$N$252,0),0)</f>
        <v>0</v>
      </c>
      <c r="R2340" s="169">
        <f>IFERROR(MATCH(J2340,'Final List'!$P$4:$P$252,0),0)</f>
        <v>0</v>
      </c>
      <c r="S2340" s="169">
        <f t="shared" si="148"/>
        <v>0</v>
      </c>
      <c r="V2340" s="169" t="str">
        <f t="shared" si="146"/>
        <v>DELOS REYES V1</v>
      </c>
      <c r="W2340" s="169" t="s">
        <v>8896</v>
      </c>
    </row>
    <row r="2341" spans="2:23" x14ac:dyDescent="0.25">
      <c r="B2341" s="169" t="s">
        <v>91</v>
      </c>
      <c r="C2341" s="169" t="s">
        <v>56</v>
      </c>
      <c r="D2341" s="169" t="s">
        <v>109</v>
      </c>
      <c r="E2341" s="169" t="s">
        <v>19</v>
      </c>
      <c r="F2341" s="245" t="str">
        <f t="shared" si="147"/>
        <v>DVR 72</v>
      </c>
      <c r="G2341" s="169" t="s">
        <v>9885</v>
      </c>
      <c r="I2341" s="169" t="str">
        <f t="shared" si="149"/>
        <v>L04_GHVFW_002W_RAISE</v>
      </c>
      <c r="J2341" s="169" t="s">
        <v>10700</v>
      </c>
      <c r="K2341" s="169">
        <f>IFERROR(MATCH(J2341,'Final List'!$B$4:$B$252,0),0)</f>
        <v>0</v>
      </c>
      <c r="L2341" s="169">
        <f>IFERROR(MATCH(J2341,'Final List'!$D$4:$D$252,0),0)</f>
        <v>0</v>
      </c>
      <c r="M2341" s="169">
        <f>IFERROR(MATCH(J2341,'Final List'!$F$4:$F$251,0),0)</f>
        <v>0</v>
      </c>
      <c r="N2341" s="169">
        <f>IFERROR(MATCH(J2341,'Final List'!$H$4:$H$252,0),0)</f>
        <v>0</v>
      </c>
      <c r="O2341" s="169">
        <f>IFERROR(MATCH(J2341,'Final List'!$J$4:$J$252,0),0)</f>
        <v>0</v>
      </c>
      <c r="P2341" s="169">
        <f>IFERROR(MATCH(J2341,'Final List'!$L$4:$L$252,0),0)</f>
        <v>0</v>
      </c>
      <c r="Q2341" s="169">
        <f>IFERROR(MATCH(J2341,'Final List'!$N$4:$N$252,0),0)</f>
        <v>0</v>
      </c>
      <c r="R2341" s="169">
        <f>IFERROR(MATCH(J2341,'Final List'!$P$4:$P$252,0),0)</f>
        <v>0</v>
      </c>
      <c r="S2341" s="169">
        <f t="shared" si="148"/>
        <v>0</v>
      </c>
      <c r="V2341" s="169" t="str">
        <f t="shared" si="146"/>
        <v>CAYMAN 2</v>
      </c>
      <c r="W2341" s="169" t="s">
        <v>2715</v>
      </c>
    </row>
    <row r="2342" spans="2:23" x14ac:dyDescent="0.25">
      <c r="B2342" s="169" t="s">
        <v>258</v>
      </c>
      <c r="C2342" s="169" t="s">
        <v>45</v>
      </c>
      <c r="D2342" s="169" t="s">
        <v>172</v>
      </c>
      <c r="E2342" s="169" t="s">
        <v>60</v>
      </c>
      <c r="F2342" s="245" t="str">
        <f t="shared" si="147"/>
        <v>Dhoz 71</v>
      </c>
      <c r="G2342" s="169" t="s">
        <v>10164</v>
      </c>
      <c r="I2342" s="169" t="str">
        <f t="shared" si="149"/>
        <v>L10_DPVE_045E_DE</v>
      </c>
      <c r="J2342" s="169" t="s">
        <v>10780</v>
      </c>
      <c r="K2342" s="169">
        <f>IFERROR(MATCH(J2342,'Final List'!$B$4:$B$252,0),0)</f>
        <v>0</v>
      </c>
      <c r="L2342" s="169">
        <f>IFERROR(MATCH(J2342,'Final List'!$D$4:$D$252,0),0)</f>
        <v>0</v>
      </c>
      <c r="M2342" s="169">
        <f>IFERROR(MATCH(J2342,'Final List'!$F$4:$F$251,0),0)</f>
        <v>0</v>
      </c>
      <c r="N2342" s="169">
        <f>IFERROR(MATCH(J2342,'Final List'!$H$4:$H$252,0),0)</f>
        <v>0</v>
      </c>
      <c r="O2342" s="169">
        <f>IFERROR(MATCH(J2342,'Final List'!$J$4:$J$252,0),0)</f>
        <v>0</v>
      </c>
      <c r="P2342" s="169">
        <f>IFERROR(MATCH(J2342,'Final List'!$L$4:$L$252,0),0)</f>
        <v>0</v>
      </c>
      <c r="Q2342" s="169">
        <f>IFERROR(MATCH(J2342,'Final List'!$N$4:$N$252,0),0)</f>
        <v>0</v>
      </c>
      <c r="R2342" s="169">
        <f>IFERROR(MATCH(J2342,'Final List'!$P$4:$P$252,0),0)</f>
        <v>0</v>
      </c>
      <c r="S2342" s="169">
        <f t="shared" si="148"/>
        <v>0</v>
      </c>
      <c r="V2342" s="169" t="str">
        <f t="shared" si="146"/>
        <v>SHEPHERD BA 1</v>
      </c>
      <c r="W2342" s="169" t="s">
        <v>8896</v>
      </c>
    </row>
    <row r="2343" spans="2:23" x14ac:dyDescent="0.25">
      <c r="B2343" s="169" t="s">
        <v>258</v>
      </c>
      <c r="C2343" s="169" t="s">
        <v>38</v>
      </c>
      <c r="D2343" s="169" t="s">
        <v>165</v>
      </c>
      <c r="E2343" s="169" t="s">
        <v>62</v>
      </c>
      <c r="F2343" s="245" t="str">
        <f t="shared" si="147"/>
        <v>RobS 79</v>
      </c>
      <c r="G2343" s="169" t="s">
        <v>318</v>
      </c>
      <c r="I2343" s="169" t="str">
        <f t="shared" si="149"/>
        <v>L10_GHV_056E_ROBBING</v>
      </c>
      <c r="J2343" s="169" t="s">
        <v>10708</v>
      </c>
      <c r="K2343" s="169">
        <f>IFERROR(MATCH(J2343,'Final List'!$B$4:$B$252,0),0)</f>
        <v>0</v>
      </c>
      <c r="L2343" s="169">
        <f>IFERROR(MATCH(J2343,'Final List'!$D$4:$D$252,0),0)</f>
        <v>0</v>
      </c>
      <c r="M2343" s="169">
        <f>IFERROR(MATCH(J2343,'Final List'!$F$4:$F$251,0),0)</f>
        <v>0</v>
      </c>
      <c r="N2343" s="169">
        <f>IFERROR(MATCH(J2343,'Final List'!$H$4:$H$252,0),0)</f>
        <v>0</v>
      </c>
      <c r="O2343" s="169">
        <f>IFERROR(MATCH(J2343,'Final List'!$J$4:$J$252,0),0)</f>
        <v>0</v>
      </c>
      <c r="P2343" s="169">
        <f>IFERROR(MATCH(J2343,'Final List'!$L$4:$L$252,0),0)</f>
        <v>0</v>
      </c>
      <c r="Q2343" s="169">
        <f>IFERROR(MATCH(J2343,'Final List'!$N$4:$N$252,0),0)</f>
        <v>0</v>
      </c>
      <c r="R2343" s="169">
        <f>IFERROR(MATCH(J2343,'Final List'!$P$4:$P$252,0),0)</f>
        <v>0</v>
      </c>
      <c r="S2343" s="169">
        <f t="shared" si="148"/>
        <v>0</v>
      </c>
      <c r="T2343" s="169" t="s">
        <v>68</v>
      </c>
      <c r="V2343" s="169" t="str">
        <f t="shared" si="146"/>
        <v>PARAGUYA 3</v>
      </c>
      <c r="W2343" s="169" t="s">
        <v>2707</v>
      </c>
    </row>
    <row r="2344" spans="2:23" x14ac:dyDescent="0.25">
      <c r="B2344" s="169" t="s">
        <v>96</v>
      </c>
      <c r="C2344" s="169" t="s">
        <v>45</v>
      </c>
      <c r="D2344" s="169" t="s">
        <v>247</v>
      </c>
      <c r="E2344" s="169" t="s">
        <v>62</v>
      </c>
      <c r="F2344" s="245" t="str">
        <f t="shared" si="147"/>
        <v>RobS 79</v>
      </c>
      <c r="G2344" s="169" t="s">
        <v>8201</v>
      </c>
      <c r="I2344" s="169" t="str">
        <f t="shared" si="149"/>
        <v>L09_DPVE_080E_ROBBING</v>
      </c>
      <c r="J2344" s="169" t="s">
        <v>10712</v>
      </c>
      <c r="K2344" s="169">
        <f>IFERROR(MATCH(J2344,'Final List'!$B$4:$B$252,0),0)</f>
        <v>0</v>
      </c>
      <c r="L2344" s="169">
        <f>IFERROR(MATCH(J2344,'Final List'!$D$4:$D$252,0),0)</f>
        <v>0</v>
      </c>
      <c r="M2344" s="169">
        <f>IFERROR(MATCH(J2344,'Final List'!$F$4:$F$251,0),0)</f>
        <v>0</v>
      </c>
      <c r="N2344" s="169">
        <f>IFERROR(MATCH(J2344,'Final List'!$H$4:$H$252,0),0)</f>
        <v>0</v>
      </c>
      <c r="O2344" s="169">
        <f>IFERROR(MATCH(J2344,'Final List'!$J$4:$J$252,0),0)</f>
        <v>0</v>
      </c>
      <c r="P2344" s="169">
        <f>IFERROR(MATCH(J2344,'Final List'!$L$4:$L$252,0),0)</f>
        <v>0</v>
      </c>
      <c r="Q2344" s="169">
        <f>IFERROR(MATCH(J2344,'Final List'!$N$4:$N$252,0),0)</f>
        <v>0</v>
      </c>
      <c r="R2344" s="169">
        <f>IFERROR(MATCH(J2344,'Final List'!$P$4:$P$252,0),0)</f>
        <v>0</v>
      </c>
      <c r="S2344" s="169">
        <f t="shared" si="148"/>
        <v>0</v>
      </c>
      <c r="T2344" s="169" t="s">
        <v>68</v>
      </c>
      <c r="V2344" s="169" t="str">
        <f t="shared" si="146"/>
        <v>PANSIT, NORMAN 1</v>
      </c>
      <c r="W2344" s="169" t="s">
        <v>236</v>
      </c>
    </row>
    <row r="2345" spans="2:23" x14ac:dyDescent="0.25">
      <c r="B2345" s="169" t="s">
        <v>1166</v>
      </c>
      <c r="C2345" s="169" t="s">
        <v>45</v>
      </c>
      <c r="D2345" s="169" t="s">
        <v>143</v>
      </c>
      <c r="E2345" s="169" t="s">
        <v>19</v>
      </c>
      <c r="F2345" s="245" t="str">
        <f t="shared" si="147"/>
        <v>DVR 72</v>
      </c>
      <c r="G2345" s="169" t="s">
        <v>342</v>
      </c>
      <c r="I2345" s="169" t="str">
        <f t="shared" si="149"/>
        <v>L11_DPVE_032E_RAISE</v>
      </c>
      <c r="J2345" s="169" t="s">
        <v>10052</v>
      </c>
      <c r="K2345" s="169">
        <f>IFERROR(MATCH(J2345,'Final List'!$B$4:$B$252,0),0)</f>
        <v>0</v>
      </c>
      <c r="L2345" s="169">
        <f>IFERROR(MATCH(J2345,'Final List'!$D$4:$D$252,0),0)</f>
        <v>0</v>
      </c>
      <c r="M2345" s="169">
        <f>IFERROR(MATCH(J2345,'Final List'!$F$4:$F$251,0),0)</f>
        <v>0</v>
      </c>
      <c r="N2345" s="169">
        <f>IFERROR(MATCH(J2345,'Final List'!$H$4:$H$252,0),0)</f>
        <v>0</v>
      </c>
      <c r="O2345" s="169">
        <f>IFERROR(MATCH(J2345,'Final List'!$J$4:$J$252,0),0)</f>
        <v>0</v>
      </c>
      <c r="P2345" s="169">
        <f>IFERROR(MATCH(J2345,'Final List'!$L$4:$L$252,0),0)</f>
        <v>0</v>
      </c>
      <c r="Q2345" s="169">
        <f>IFERROR(MATCH(J2345,'Final List'!$N$4:$N$252,0),0)</f>
        <v>0</v>
      </c>
      <c r="R2345" s="169">
        <f>IFERROR(MATCH(J2345,'Final List'!$P$4:$P$252,0),0)</f>
        <v>0</v>
      </c>
      <c r="S2345" s="169">
        <f t="shared" si="148"/>
        <v>0</v>
      </c>
      <c r="V2345" s="169" t="str">
        <f t="shared" si="146"/>
        <v>BADBADON 2</v>
      </c>
      <c r="W2345" s="169" t="s">
        <v>2715</v>
      </c>
    </row>
    <row r="2346" spans="2:23" x14ac:dyDescent="0.25">
      <c r="B2346" s="169" t="s">
        <v>1166</v>
      </c>
      <c r="C2346" s="169" t="s">
        <v>87</v>
      </c>
      <c r="D2346" s="169" t="s">
        <v>176</v>
      </c>
      <c r="E2346" s="169" t="s">
        <v>37</v>
      </c>
      <c r="F2346" s="245" t="str">
        <f t="shared" si="147"/>
        <v>Dhoz 71</v>
      </c>
      <c r="G2346" s="169" t="s">
        <v>10715</v>
      </c>
      <c r="I2346" s="169" t="str">
        <f t="shared" si="149"/>
        <v>L11_NONE_057E_XCN</v>
      </c>
      <c r="J2346" s="169" t="s">
        <v>10714</v>
      </c>
      <c r="K2346" s="169">
        <f>IFERROR(MATCH(J2346,'Final List'!$B$4:$B$252,0),0)</f>
        <v>0</v>
      </c>
      <c r="L2346" s="169">
        <f>IFERROR(MATCH(J2346,'Final List'!$D$4:$D$252,0),0)</f>
        <v>0</v>
      </c>
      <c r="M2346" s="169">
        <f>IFERROR(MATCH(J2346,'Final List'!$F$4:$F$251,0),0)</f>
        <v>0</v>
      </c>
      <c r="N2346" s="169">
        <f>IFERROR(MATCH(J2346,'Final List'!$H$4:$H$252,0),0)</f>
        <v>0</v>
      </c>
      <c r="O2346" s="169">
        <f>IFERROR(MATCH(J2346,'Final List'!$J$4:$J$252,0),0)</f>
        <v>0</v>
      </c>
      <c r="P2346" s="169">
        <f>IFERROR(MATCH(J2346,'Final List'!$L$4:$L$252,0),0)</f>
        <v>0</v>
      </c>
      <c r="Q2346" s="169">
        <f>IFERROR(MATCH(J2346,'Final List'!$N$4:$N$252,0),0)</f>
        <v>0</v>
      </c>
      <c r="R2346" s="169">
        <f>IFERROR(MATCH(J2346,'Final List'!$P$4:$P$252,0),0)</f>
        <v>0</v>
      </c>
      <c r="S2346" s="169">
        <f t="shared" si="148"/>
        <v>0</v>
      </c>
      <c r="V2346" s="169" t="str">
        <f t="shared" si="146"/>
        <v>PANCIT,NOEL 6</v>
      </c>
      <c r="W2346" s="169" t="s">
        <v>8898</v>
      </c>
    </row>
    <row r="2347" spans="2:23" x14ac:dyDescent="0.25">
      <c r="B2347" s="169" t="s">
        <v>258</v>
      </c>
      <c r="C2347" s="169" t="s">
        <v>38</v>
      </c>
      <c r="D2347" s="169" t="s">
        <v>175</v>
      </c>
      <c r="E2347" s="169" t="s">
        <v>62</v>
      </c>
      <c r="F2347" s="245" t="str">
        <f t="shared" si="147"/>
        <v>RobS 79</v>
      </c>
      <c r="G2347" s="169" t="s">
        <v>318</v>
      </c>
      <c r="I2347" s="169" t="str">
        <f t="shared" si="149"/>
        <v>L10_GHV_060E_ROBBING</v>
      </c>
      <c r="J2347" s="169" t="s">
        <v>9120</v>
      </c>
      <c r="K2347" s="169">
        <f>IFERROR(MATCH(J2347,'Final List'!$B$4:$B$252,0),0)</f>
        <v>0</v>
      </c>
      <c r="L2347" s="169">
        <f>IFERROR(MATCH(J2347,'Final List'!$D$4:$D$252,0),0)</f>
        <v>0</v>
      </c>
      <c r="M2347" s="169">
        <f>IFERROR(MATCH(J2347,'Final List'!$F$4:$F$251,0),0)</f>
        <v>0</v>
      </c>
      <c r="N2347" s="169">
        <f>IFERROR(MATCH(J2347,'Final List'!$H$4:$H$252,0),0)</f>
        <v>0</v>
      </c>
      <c r="O2347" s="169">
        <f>IFERROR(MATCH(J2347,'Final List'!$J$4:$J$252,0),0)</f>
        <v>0</v>
      </c>
      <c r="P2347" s="169">
        <f>IFERROR(MATCH(J2347,'Final List'!$L$4:$L$252,0),0)</f>
        <v>0</v>
      </c>
      <c r="Q2347" s="169">
        <f>IFERROR(MATCH(J2347,'Final List'!$N$4:$N$252,0),0)</f>
        <v>0</v>
      </c>
      <c r="R2347" s="169">
        <f>IFERROR(MATCH(J2347,'Final List'!$P$4:$P$252,0),0)</f>
        <v>0</v>
      </c>
      <c r="S2347" s="169">
        <f t="shared" si="148"/>
        <v>0</v>
      </c>
      <c r="T2347" s="169" t="s">
        <v>68</v>
      </c>
      <c r="V2347" s="169" t="str">
        <f t="shared" si="146"/>
        <v>PARAGUYA 3</v>
      </c>
      <c r="W2347" s="169" t="s">
        <v>2707</v>
      </c>
    </row>
    <row r="2348" spans="2:23" x14ac:dyDescent="0.25">
      <c r="B2348" s="169" t="s">
        <v>258</v>
      </c>
      <c r="C2348" s="169" t="s">
        <v>45</v>
      </c>
      <c r="D2348" s="169" t="s">
        <v>5078</v>
      </c>
      <c r="E2348" s="169" t="s">
        <v>19</v>
      </c>
      <c r="F2348" s="245" t="str">
        <f t="shared" si="147"/>
        <v>DVR 72</v>
      </c>
      <c r="G2348" s="169" t="s">
        <v>6927</v>
      </c>
      <c r="H2348" s="169" t="s">
        <v>5705</v>
      </c>
      <c r="I2348" s="169" t="str">
        <f t="shared" si="149"/>
        <v>L10_DPVE_086E_RAISE</v>
      </c>
      <c r="J2348" s="169" t="s">
        <v>10718</v>
      </c>
      <c r="K2348" s="169">
        <f>IFERROR(MATCH(J2348,'Final List'!$B$4:$B$252,0),0)</f>
        <v>0</v>
      </c>
      <c r="L2348" s="169">
        <f>IFERROR(MATCH(J2348,'Final List'!$D$4:$D$252,0),0)</f>
        <v>0</v>
      </c>
      <c r="M2348" s="169">
        <f>IFERROR(MATCH(J2348,'Final List'!$F$4:$F$251,0),0)</f>
        <v>0</v>
      </c>
      <c r="N2348" s="169">
        <f>IFERROR(MATCH(J2348,'Final List'!$H$4:$H$252,0),0)</f>
        <v>0</v>
      </c>
      <c r="O2348" s="169">
        <f>IFERROR(MATCH(J2348,'Final List'!$J$4:$J$252,0),0)</f>
        <v>0</v>
      </c>
      <c r="P2348" s="169">
        <f>IFERROR(MATCH(J2348,'Final List'!$L$4:$L$252,0),0)</f>
        <v>0</v>
      </c>
      <c r="Q2348" s="169">
        <f>IFERROR(MATCH(J2348,'Final List'!$N$4:$N$252,0),0)</f>
        <v>0</v>
      </c>
      <c r="R2348" s="169">
        <f>IFERROR(MATCH(J2348,'Final List'!$P$4:$P$252,0),0)</f>
        <v>0</v>
      </c>
      <c r="S2348" s="169">
        <f t="shared" si="148"/>
        <v>0</v>
      </c>
      <c r="V2348" s="169" t="str">
        <f t="shared" si="146"/>
        <v>OLIVEROS 4</v>
      </c>
      <c r="W2348" s="169" t="s">
        <v>2715</v>
      </c>
    </row>
    <row r="2349" spans="2:23" x14ac:dyDescent="0.25">
      <c r="B2349" s="169" t="s">
        <v>8904</v>
      </c>
      <c r="C2349" s="169" t="s">
        <v>41</v>
      </c>
      <c r="D2349" s="169" t="s">
        <v>7301</v>
      </c>
      <c r="E2349" s="169" t="s">
        <v>19</v>
      </c>
      <c r="F2349" s="245" t="str">
        <f t="shared" si="147"/>
        <v>DVR 72</v>
      </c>
      <c r="G2349" s="169" t="s">
        <v>9366</v>
      </c>
      <c r="I2349" s="169" t="str">
        <f t="shared" si="149"/>
        <v>L03_CTV_010W_RAISE</v>
      </c>
      <c r="J2349" s="169" t="s">
        <v>10720</v>
      </c>
      <c r="K2349" s="169">
        <f>IFERROR(MATCH(J2349,'Final List'!$B$4:$B$252,0),0)</f>
        <v>0</v>
      </c>
      <c r="L2349" s="169">
        <f>IFERROR(MATCH(J2349,'Final List'!$D$4:$D$252,0),0)</f>
        <v>0</v>
      </c>
      <c r="M2349" s="169">
        <f>IFERROR(MATCH(J2349,'Final List'!$F$4:$F$251,0),0)</f>
        <v>0</v>
      </c>
      <c r="N2349" s="169">
        <f>IFERROR(MATCH(J2349,'Final List'!$H$4:$H$252,0),0)</f>
        <v>0</v>
      </c>
      <c r="O2349" s="169">
        <f>IFERROR(MATCH(J2349,'Final List'!$J$4:$J$252,0),0)</f>
        <v>0</v>
      </c>
      <c r="P2349" s="169">
        <f>IFERROR(MATCH(J2349,'Final List'!$L$4:$L$252,0),0)</f>
        <v>0</v>
      </c>
      <c r="Q2349" s="169">
        <f>IFERROR(MATCH(J2349,'Final List'!$N$4:$N$252,0),0)</f>
        <v>0</v>
      </c>
      <c r="R2349" s="169">
        <f>IFERROR(MATCH(J2349,'Final List'!$P$4:$P$252,0),0)</f>
        <v>0</v>
      </c>
      <c r="S2349" s="169">
        <f t="shared" si="148"/>
        <v>0</v>
      </c>
      <c r="V2349" s="169" t="str">
        <f t="shared" si="146"/>
        <v>FERNANDEZ, RM 2</v>
      </c>
      <c r="W2349" s="169" t="s">
        <v>2715</v>
      </c>
    </row>
    <row r="2350" spans="2:23" x14ac:dyDescent="0.25">
      <c r="B2350" s="169" t="s">
        <v>95</v>
      </c>
      <c r="C2350" s="169" t="s">
        <v>87</v>
      </c>
      <c r="D2350" s="169" t="s">
        <v>99</v>
      </c>
      <c r="E2350" s="169" t="s">
        <v>63</v>
      </c>
      <c r="F2350" s="245" t="str">
        <f t="shared" si="147"/>
        <v>Dhoz 71</v>
      </c>
      <c r="G2350" s="169" t="s">
        <v>305</v>
      </c>
      <c r="I2350" s="169" t="str">
        <f t="shared" si="149"/>
        <v>L08_NONE_028W_XCS</v>
      </c>
      <c r="J2350" s="169" t="s">
        <v>10721</v>
      </c>
      <c r="K2350" s="169">
        <f>IFERROR(MATCH(J2350,'Final List'!$B$4:$B$252,0),0)</f>
        <v>0</v>
      </c>
      <c r="L2350" s="169">
        <f>IFERROR(MATCH(J2350,'Final List'!$D$4:$D$252,0),0)</f>
        <v>0</v>
      </c>
      <c r="M2350" s="169">
        <f>IFERROR(MATCH(J2350,'Final List'!$F$4:$F$251,0),0)</f>
        <v>0</v>
      </c>
      <c r="N2350" s="169">
        <f>IFERROR(MATCH(J2350,'Final List'!$H$4:$H$252,0),0)</f>
        <v>0</v>
      </c>
      <c r="O2350" s="169">
        <f>IFERROR(MATCH(J2350,'Final List'!$J$4:$J$252,0),0)</f>
        <v>0</v>
      </c>
      <c r="P2350" s="169">
        <f>IFERROR(MATCH(J2350,'Final List'!$L$4:$L$252,0),0)</f>
        <v>0</v>
      </c>
      <c r="Q2350" s="169">
        <f>IFERROR(MATCH(J2350,'Final List'!$N$4:$N$252,0),0)</f>
        <v>0</v>
      </c>
      <c r="R2350" s="169">
        <f>IFERROR(MATCH(J2350,'Final List'!$P$4:$P$252,0),0)</f>
        <v>0</v>
      </c>
      <c r="S2350" s="169">
        <f t="shared" si="148"/>
        <v>0</v>
      </c>
      <c r="V2350" s="169" t="str">
        <f t="shared" si="146"/>
        <v>CABONITA 1</v>
      </c>
      <c r="W2350" s="169" t="s">
        <v>8897</v>
      </c>
    </row>
    <row r="2351" spans="2:23" x14ac:dyDescent="0.25">
      <c r="B2351" s="169" t="s">
        <v>96</v>
      </c>
      <c r="C2351" s="169" t="s">
        <v>45</v>
      </c>
      <c r="D2351" s="169" t="s">
        <v>135</v>
      </c>
      <c r="E2351" s="169" t="s">
        <v>36</v>
      </c>
      <c r="F2351" s="245" t="str">
        <f t="shared" si="147"/>
        <v>StpS 77</v>
      </c>
      <c r="G2351" s="169" t="s">
        <v>10253</v>
      </c>
      <c r="I2351" s="169" t="str">
        <f t="shared" si="149"/>
        <v>L09_DPVE_034E_STOPE</v>
      </c>
      <c r="J2351" s="169" t="s">
        <v>10824</v>
      </c>
      <c r="K2351" s="169">
        <f>IFERROR(MATCH(J2351,'Final List'!$B$4:$B$252,0),0)</f>
        <v>0</v>
      </c>
      <c r="L2351" s="169">
        <f>IFERROR(MATCH(J2351,'Final List'!$D$4:$D$252,0),0)</f>
        <v>0</v>
      </c>
      <c r="M2351" s="169">
        <f>IFERROR(MATCH(J2351,'Final List'!$F$4:$F$251,0),0)</f>
        <v>0</v>
      </c>
      <c r="N2351" s="169">
        <f>IFERROR(MATCH(J2351,'Final List'!$H$4:$H$252,0),0)</f>
        <v>0</v>
      </c>
      <c r="O2351" s="169">
        <f>IFERROR(MATCH(J2351,'Final List'!$J$4:$J$252,0),0)</f>
        <v>0</v>
      </c>
      <c r="P2351" s="169">
        <f>IFERROR(MATCH(J2351,'Final List'!$L$4:$L$252,0),0)</f>
        <v>0</v>
      </c>
      <c r="Q2351" s="169">
        <f>IFERROR(MATCH(J2351,'Final List'!$N$4:$N$252,0),0)</f>
        <v>0</v>
      </c>
      <c r="R2351" s="169">
        <f>IFERROR(MATCH(J2351,'Final List'!$P$4:$P$252,0),0)</f>
        <v>0</v>
      </c>
      <c r="S2351" s="169">
        <f t="shared" si="148"/>
        <v>0</v>
      </c>
      <c r="T2351" s="169" t="s">
        <v>68</v>
      </c>
      <c r="V2351" s="169" t="str">
        <f t="shared" si="146"/>
        <v>PANSIT NORMAN 4</v>
      </c>
      <c r="W2351" s="169" t="s">
        <v>2713</v>
      </c>
    </row>
    <row r="2352" spans="2:23" x14ac:dyDescent="0.25">
      <c r="B2352" s="169" t="s">
        <v>96</v>
      </c>
      <c r="C2352" s="169" t="s">
        <v>59</v>
      </c>
      <c r="D2352" s="169" t="s">
        <v>134</v>
      </c>
      <c r="E2352" s="169" t="s">
        <v>60</v>
      </c>
      <c r="F2352" s="245" t="str">
        <f t="shared" si="147"/>
        <v>Dhoz 71</v>
      </c>
      <c r="G2352" s="169" t="s">
        <v>5101</v>
      </c>
      <c r="I2352" s="169" t="str">
        <f t="shared" si="149"/>
        <v>L09_GHVHW_016W_DE</v>
      </c>
      <c r="J2352" s="169" t="s">
        <v>10730</v>
      </c>
      <c r="K2352" s="169">
        <f>IFERROR(MATCH(J2352,'Final List'!$B$4:$B$252,0),0)</f>
        <v>0</v>
      </c>
      <c r="L2352" s="169">
        <f>IFERROR(MATCH(J2352,'Final List'!$D$4:$D$252,0),0)</f>
        <v>0</v>
      </c>
      <c r="M2352" s="169">
        <f>IFERROR(MATCH(J2352,'Final List'!$F$4:$F$251,0),0)</f>
        <v>0</v>
      </c>
      <c r="N2352" s="169">
        <f>IFERROR(MATCH(J2352,'Final List'!$H$4:$H$252,0),0)</f>
        <v>0</v>
      </c>
      <c r="O2352" s="169">
        <f>IFERROR(MATCH(J2352,'Final List'!$J$4:$J$252,0),0)</f>
        <v>0</v>
      </c>
      <c r="P2352" s="169">
        <f>IFERROR(MATCH(J2352,'Final List'!$L$4:$L$252,0),0)</f>
        <v>0</v>
      </c>
      <c r="Q2352" s="169">
        <f>IFERROR(MATCH(J2352,'Final List'!$N$4:$N$252,0),0)</f>
        <v>0</v>
      </c>
      <c r="R2352" s="169">
        <f>IFERROR(MATCH(J2352,'Final List'!$P$4:$P$252,0),0)</f>
        <v>0</v>
      </c>
      <c r="S2352" s="169">
        <f t="shared" si="148"/>
        <v>0</v>
      </c>
      <c r="V2352" s="169" t="str">
        <f t="shared" si="146"/>
        <v>DELOS REYES V3</v>
      </c>
      <c r="W2352" s="169" t="s">
        <v>8896</v>
      </c>
    </row>
    <row r="2353" spans="2:23" x14ac:dyDescent="0.25">
      <c r="B2353" s="169" t="s">
        <v>1166</v>
      </c>
      <c r="C2353" s="169" t="s">
        <v>87</v>
      </c>
      <c r="D2353" s="169" t="s">
        <v>142</v>
      </c>
      <c r="E2353" s="169" t="s">
        <v>63</v>
      </c>
      <c r="F2353" s="245" t="str">
        <f t="shared" si="147"/>
        <v>Dhoz 71</v>
      </c>
      <c r="G2353" s="169" t="s">
        <v>359</v>
      </c>
      <c r="H2353" s="169" t="s">
        <v>965</v>
      </c>
      <c r="I2353" s="169" t="str">
        <f t="shared" si="149"/>
        <v>L11_NONE_038E_XCS</v>
      </c>
      <c r="J2353" s="169" t="s">
        <v>10734</v>
      </c>
      <c r="K2353" s="169">
        <f>IFERROR(MATCH(J2353,'Final List'!$B$4:$B$252,0),0)</f>
        <v>0</v>
      </c>
      <c r="L2353" s="169">
        <f>IFERROR(MATCH(J2353,'Final List'!$D$4:$D$252,0),0)</f>
        <v>0</v>
      </c>
      <c r="M2353" s="169">
        <f>IFERROR(MATCH(J2353,'Final List'!$F$4:$F$251,0),0)</f>
        <v>0</v>
      </c>
      <c r="N2353" s="169">
        <f>IFERROR(MATCH(J2353,'Final List'!$H$4:$H$252,0),0)</f>
        <v>0</v>
      </c>
      <c r="O2353" s="169">
        <f>IFERROR(MATCH(J2353,'Final List'!$J$4:$J$252,0),0)</f>
        <v>0</v>
      </c>
      <c r="P2353" s="169">
        <f>IFERROR(MATCH(J2353,'Final List'!$L$4:$L$252,0),0)</f>
        <v>0</v>
      </c>
      <c r="Q2353" s="169">
        <f>IFERROR(MATCH(J2353,'Final List'!$N$4:$N$252,0),0)</f>
        <v>0</v>
      </c>
      <c r="R2353" s="169">
        <f>IFERROR(MATCH(J2353,'Final List'!$P$4:$P$252,0),0)</f>
        <v>0</v>
      </c>
      <c r="S2353" s="169">
        <f t="shared" si="148"/>
        <v>0</v>
      </c>
      <c r="V2353" s="169" t="str">
        <f t="shared" si="146"/>
        <v>DUHIG</v>
      </c>
      <c r="W2353" s="169" t="s">
        <v>8898</v>
      </c>
    </row>
    <row r="2354" spans="2:23" x14ac:dyDescent="0.25">
      <c r="B2354" s="169" t="s">
        <v>1166</v>
      </c>
      <c r="C2354" s="169" t="s">
        <v>45</v>
      </c>
      <c r="D2354" s="169" t="s">
        <v>5975</v>
      </c>
      <c r="E2354" s="169" t="s">
        <v>19</v>
      </c>
      <c r="F2354" s="245" t="str">
        <f t="shared" si="147"/>
        <v>DVR 72</v>
      </c>
      <c r="G2354" s="169" t="s">
        <v>454</v>
      </c>
      <c r="I2354" s="169" t="str">
        <f t="shared" si="149"/>
        <v>L11_DPVE_028E_RAISE</v>
      </c>
      <c r="J2354" s="169" t="s">
        <v>10735</v>
      </c>
      <c r="K2354" s="169">
        <f>IFERROR(MATCH(J2354,'Final List'!$B$4:$B$252,0),0)</f>
        <v>0</v>
      </c>
      <c r="L2354" s="169">
        <f>IFERROR(MATCH(J2354,'Final List'!$D$4:$D$252,0),0)</f>
        <v>0</v>
      </c>
      <c r="M2354" s="169">
        <f>IFERROR(MATCH(J2354,'Final List'!$F$4:$F$251,0),0)</f>
        <v>0</v>
      </c>
      <c r="N2354" s="169">
        <f>IFERROR(MATCH(J2354,'Final List'!$H$4:$H$252,0),0)</f>
        <v>0</v>
      </c>
      <c r="O2354" s="169">
        <f>IFERROR(MATCH(J2354,'Final List'!$J$4:$J$252,0),0)</f>
        <v>0</v>
      </c>
      <c r="P2354" s="169">
        <f>IFERROR(MATCH(J2354,'Final List'!$L$4:$L$252,0),0)</f>
        <v>0</v>
      </c>
      <c r="Q2354" s="169">
        <f>IFERROR(MATCH(J2354,'Final List'!$N$4:$N$252,0),0)</f>
        <v>0</v>
      </c>
      <c r="R2354" s="169">
        <f>IFERROR(MATCH(J2354,'Final List'!$P$4:$P$252,0),0)</f>
        <v>0</v>
      </c>
      <c r="S2354" s="169">
        <f t="shared" si="148"/>
        <v>0</v>
      </c>
      <c r="V2354" s="169" t="str">
        <f t="shared" si="146"/>
        <v>BAÑEZ 8</v>
      </c>
      <c r="W2354" s="169" t="s">
        <v>2715</v>
      </c>
    </row>
    <row r="2355" spans="2:23" x14ac:dyDescent="0.25">
      <c r="B2355" s="169" t="s">
        <v>258</v>
      </c>
      <c r="C2355" s="169" t="s">
        <v>42</v>
      </c>
      <c r="D2355" s="169" t="s">
        <v>178</v>
      </c>
      <c r="E2355" s="169" t="s">
        <v>36</v>
      </c>
      <c r="F2355" s="245" t="str">
        <f t="shared" si="147"/>
        <v>StpS 77</v>
      </c>
      <c r="G2355" s="169" t="s">
        <v>303</v>
      </c>
      <c r="I2355" s="169" t="str">
        <f t="shared" si="149"/>
        <v>L10_JV_048E_STOPE</v>
      </c>
      <c r="J2355" s="169" t="s">
        <v>10822</v>
      </c>
      <c r="K2355" s="169">
        <f>IFERROR(MATCH(J2355,'Final List'!$B$4:$B$252,0),0)</f>
        <v>0</v>
      </c>
      <c r="L2355" s="169">
        <f>IFERROR(MATCH(J2355,'Final List'!$D$4:$D$252,0),0)</f>
        <v>0</v>
      </c>
      <c r="M2355" s="169">
        <f>IFERROR(MATCH(J2355,'Final List'!$F$4:$F$251,0),0)</f>
        <v>0</v>
      </c>
      <c r="N2355" s="169">
        <f>IFERROR(MATCH(J2355,'Final List'!$H$4:$H$252,0),0)</f>
        <v>0</v>
      </c>
      <c r="O2355" s="169">
        <f>IFERROR(MATCH(J2355,'Final List'!$J$4:$J$252,0),0)</f>
        <v>0</v>
      </c>
      <c r="P2355" s="169">
        <f>IFERROR(MATCH(J2355,'Final List'!$L$4:$L$252,0),0)</f>
        <v>0</v>
      </c>
      <c r="Q2355" s="169">
        <f>IFERROR(MATCH(J2355,'Final List'!$N$4:$N$252,0),0)</f>
        <v>0</v>
      </c>
      <c r="R2355" s="169">
        <f>IFERROR(MATCH(J2355,'Final List'!$P$4:$P$252,0),0)</f>
        <v>0</v>
      </c>
      <c r="S2355" s="169">
        <f t="shared" si="148"/>
        <v>0</v>
      </c>
      <c r="T2355" s="169" t="s">
        <v>68</v>
      </c>
      <c r="V2355" s="169" t="str">
        <f t="shared" si="146"/>
        <v>BELICAN 1</v>
      </c>
      <c r="W2355" s="169" t="s">
        <v>2713</v>
      </c>
    </row>
    <row r="2356" spans="2:23" x14ac:dyDescent="0.25">
      <c r="B2356" s="169" t="s">
        <v>258</v>
      </c>
      <c r="C2356" s="169" t="s">
        <v>43</v>
      </c>
      <c r="D2356" s="169" t="s">
        <v>176</v>
      </c>
      <c r="E2356" s="169" t="s">
        <v>19</v>
      </c>
      <c r="F2356" s="245" t="str">
        <f t="shared" si="147"/>
        <v>DVR 72</v>
      </c>
      <c r="G2356" s="169" t="s">
        <v>310</v>
      </c>
      <c r="I2356" s="169" t="str">
        <f t="shared" si="149"/>
        <v>L10_GHVSPLIT_057E_RAISE</v>
      </c>
      <c r="J2356" s="169" t="s">
        <v>10745</v>
      </c>
      <c r="K2356" s="169">
        <f>IFERROR(MATCH(J2356,'Final List'!$B$4:$B$252,0),0)</f>
        <v>0</v>
      </c>
      <c r="L2356" s="169">
        <f>IFERROR(MATCH(J2356,'Final List'!$D$4:$D$252,0),0)</f>
        <v>0</v>
      </c>
      <c r="M2356" s="169">
        <f>IFERROR(MATCH(J2356,'Final List'!$F$4:$F$251,0),0)</f>
        <v>0</v>
      </c>
      <c r="N2356" s="169">
        <f>IFERROR(MATCH(J2356,'Final List'!$H$4:$H$252,0),0)</f>
        <v>0</v>
      </c>
      <c r="O2356" s="169">
        <f>IFERROR(MATCH(J2356,'Final List'!$J$4:$J$252,0),0)</f>
        <v>0</v>
      </c>
      <c r="P2356" s="169">
        <f>IFERROR(MATCH(J2356,'Final List'!$L$4:$L$252,0),0)</f>
        <v>0</v>
      </c>
      <c r="Q2356" s="169">
        <f>IFERROR(MATCH(J2356,'Final List'!$N$4:$N$252,0),0)</f>
        <v>0</v>
      </c>
      <c r="R2356" s="169">
        <f>IFERROR(MATCH(J2356,'Final List'!$P$4:$P$252,0),0)</f>
        <v>0</v>
      </c>
      <c r="S2356" s="169">
        <f t="shared" si="148"/>
        <v>0</v>
      </c>
      <c r="V2356" s="169" t="str">
        <f t="shared" si="146"/>
        <v>MARTINEZ DN 1</v>
      </c>
      <c r="W2356" s="169" t="s">
        <v>2715</v>
      </c>
    </row>
    <row r="2357" spans="2:23" x14ac:dyDescent="0.25">
      <c r="B2357" s="169" t="s">
        <v>1166</v>
      </c>
      <c r="C2357" s="169" t="s">
        <v>38</v>
      </c>
      <c r="D2357" s="169" t="s">
        <v>595</v>
      </c>
      <c r="E2357" s="169" t="s">
        <v>19</v>
      </c>
      <c r="F2357" s="245" t="str">
        <f t="shared" si="147"/>
        <v>DVR 72</v>
      </c>
      <c r="G2357" s="169" t="s">
        <v>356</v>
      </c>
      <c r="H2357" s="169" t="s">
        <v>401</v>
      </c>
      <c r="I2357" s="169" t="str">
        <f t="shared" si="149"/>
        <v>L11_GHV_072E_RAISE</v>
      </c>
      <c r="J2357" s="169" t="s">
        <v>10765</v>
      </c>
      <c r="K2357" s="169">
        <f>IFERROR(MATCH(J2357,'Final List'!$B$4:$B$252,0),0)</f>
        <v>0</v>
      </c>
      <c r="L2357" s="169">
        <f>IFERROR(MATCH(J2357,'Final List'!$D$4:$D$252,0),0)</f>
        <v>0</v>
      </c>
      <c r="M2357" s="169">
        <f>IFERROR(MATCH(J2357,'Final List'!$F$4:$F$251,0),0)</f>
        <v>0</v>
      </c>
      <c r="N2357" s="169">
        <f>IFERROR(MATCH(J2357,'Final List'!$H$4:$H$252,0),0)</f>
        <v>0</v>
      </c>
      <c r="O2357" s="169">
        <f>IFERROR(MATCH(J2357,'Final List'!$J$4:$J$252,0),0)</f>
        <v>0</v>
      </c>
      <c r="P2357" s="169">
        <f>IFERROR(MATCH(J2357,'Final List'!$L$4:$L$252,0),0)</f>
        <v>0</v>
      </c>
      <c r="Q2357" s="169">
        <f>IFERROR(MATCH(J2357,'Final List'!$N$4:$N$252,0),0)</f>
        <v>0</v>
      </c>
      <c r="R2357" s="169">
        <f>IFERROR(MATCH(J2357,'Final List'!$P$4:$P$252,0),0)</f>
        <v>0</v>
      </c>
      <c r="S2357" s="169">
        <f t="shared" si="148"/>
        <v>0</v>
      </c>
      <c r="T2357" s="169" t="s">
        <v>68</v>
      </c>
      <c r="V2357" s="169" t="str">
        <f t="shared" si="146"/>
        <v>MAPAYO 2</v>
      </c>
      <c r="W2357" s="169" t="s">
        <v>2715</v>
      </c>
    </row>
    <row r="2358" spans="2:23" x14ac:dyDescent="0.25">
      <c r="B2358" s="169" t="s">
        <v>258</v>
      </c>
      <c r="C2358" s="169" t="s">
        <v>59</v>
      </c>
      <c r="D2358" s="169" t="s">
        <v>284</v>
      </c>
      <c r="E2358" s="169" t="s">
        <v>60</v>
      </c>
      <c r="F2358" s="245" t="str">
        <f t="shared" si="147"/>
        <v>Dhoz 71</v>
      </c>
      <c r="G2358" s="169" t="s">
        <v>10635</v>
      </c>
      <c r="I2358" s="169" t="str">
        <f t="shared" si="149"/>
        <v>L10_GHVHW_061E_DE</v>
      </c>
      <c r="J2358" s="169" t="s">
        <v>10746</v>
      </c>
      <c r="K2358" s="169">
        <f>IFERROR(MATCH(J2358,'Final List'!$B$4:$B$252,0),0)</f>
        <v>0</v>
      </c>
      <c r="L2358" s="169">
        <f>IFERROR(MATCH(J2358,'Final List'!$D$4:$D$252,0),0)</f>
        <v>0</v>
      </c>
      <c r="M2358" s="169">
        <f>IFERROR(MATCH(J2358,'Final List'!$F$4:$F$251,0),0)</f>
        <v>0</v>
      </c>
      <c r="N2358" s="169">
        <f>IFERROR(MATCH(J2358,'Final List'!$H$4:$H$252,0),0)</f>
        <v>0</v>
      </c>
      <c r="O2358" s="169">
        <f>IFERROR(MATCH(J2358,'Final List'!$J$4:$J$252,0),0)</f>
        <v>0</v>
      </c>
      <c r="P2358" s="169">
        <f>IFERROR(MATCH(J2358,'Final List'!$L$4:$L$252,0),0)</f>
        <v>0</v>
      </c>
      <c r="Q2358" s="169">
        <f>IFERROR(MATCH(J2358,'Final List'!$N$4:$N$252,0),0)</f>
        <v>0</v>
      </c>
      <c r="R2358" s="169">
        <f>IFERROR(MATCH(J2358,'Final List'!$P$4:$P$252,0),0)</f>
        <v>0</v>
      </c>
      <c r="S2358" s="169">
        <f t="shared" si="148"/>
        <v>0</v>
      </c>
      <c r="V2358" s="169" t="str">
        <f t="shared" si="146"/>
        <v>SHEPHERD BD</v>
      </c>
      <c r="W2358" s="169" t="s">
        <v>8896</v>
      </c>
    </row>
    <row r="2359" spans="2:23" x14ac:dyDescent="0.25">
      <c r="B2359" s="169" t="s">
        <v>96</v>
      </c>
      <c r="C2359" s="169" t="s">
        <v>59</v>
      </c>
      <c r="D2359" s="169" t="s">
        <v>205</v>
      </c>
      <c r="E2359" s="169" t="s">
        <v>20</v>
      </c>
      <c r="F2359" s="245" t="str">
        <f t="shared" si="147"/>
        <v>DVW 74</v>
      </c>
      <c r="G2359" s="169" t="s">
        <v>10002</v>
      </c>
      <c r="I2359" s="169" t="str">
        <f t="shared" si="149"/>
        <v>L09_GHVHW_066E_WINZE</v>
      </c>
      <c r="J2359" s="169" t="s">
        <v>10747</v>
      </c>
      <c r="K2359" s="169">
        <f>IFERROR(MATCH(J2359,'Final List'!$B$4:$B$252,0),0)</f>
        <v>0</v>
      </c>
      <c r="L2359" s="169">
        <f>IFERROR(MATCH(J2359,'Final List'!$D$4:$D$252,0),0)</f>
        <v>0</v>
      </c>
      <c r="M2359" s="169">
        <f>IFERROR(MATCH(J2359,'Final List'!$F$4:$F$251,0),0)</f>
        <v>0</v>
      </c>
      <c r="N2359" s="169">
        <f>IFERROR(MATCH(J2359,'Final List'!$H$4:$H$252,0),0)</f>
        <v>0</v>
      </c>
      <c r="O2359" s="169">
        <f>IFERROR(MATCH(J2359,'Final List'!$J$4:$J$252,0),0)</f>
        <v>0</v>
      </c>
      <c r="P2359" s="169">
        <f>IFERROR(MATCH(J2359,'Final List'!$L$4:$L$252,0),0)</f>
        <v>0</v>
      </c>
      <c r="Q2359" s="169">
        <f>IFERROR(MATCH(J2359,'Final List'!$N$4:$N$252,0),0)</f>
        <v>0</v>
      </c>
      <c r="R2359" s="169">
        <f>IFERROR(MATCH(J2359,'Final List'!$P$4:$P$252,0),0)</f>
        <v>0</v>
      </c>
      <c r="S2359" s="169">
        <f t="shared" si="148"/>
        <v>0</v>
      </c>
      <c r="V2359" s="169" t="str">
        <f t="shared" si="146"/>
        <v>CAYMAN 3</v>
      </c>
      <c r="W2359" s="169" t="s">
        <v>2706</v>
      </c>
    </row>
    <row r="2360" spans="2:23" x14ac:dyDescent="0.25">
      <c r="B2360" s="169" t="s">
        <v>96</v>
      </c>
      <c r="C2360" s="169" t="s">
        <v>45</v>
      </c>
      <c r="D2360" s="169" t="s">
        <v>595</v>
      </c>
      <c r="E2360" s="169" t="s">
        <v>60</v>
      </c>
      <c r="F2360" s="245" t="str">
        <f t="shared" si="147"/>
        <v>Dhoz 71</v>
      </c>
      <c r="G2360" s="169" t="s">
        <v>6621</v>
      </c>
      <c r="I2360" s="169" t="str">
        <f t="shared" si="149"/>
        <v>L09_DPVE_072E_DE</v>
      </c>
      <c r="J2360" s="169" t="s">
        <v>10748</v>
      </c>
      <c r="K2360" s="169">
        <f>IFERROR(MATCH(J2360,'Final List'!$B$4:$B$252,0),0)</f>
        <v>0</v>
      </c>
      <c r="L2360" s="169">
        <f>IFERROR(MATCH(J2360,'Final List'!$D$4:$D$252,0),0)</f>
        <v>0</v>
      </c>
      <c r="M2360" s="169">
        <f>IFERROR(MATCH(J2360,'Final List'!$F$4:$F$251,0),0)</f>
        <v>0</v>
      </c>
      <c r="N2360" s="169">
        <f>IFERROR(MATCH(J2360,'Final List'!$H$4:$H$252,0),0)</f>
        <v>0</v>
      </c>
      <c r="O2360" s="169">
        <f>IFERROR(MATCH(J2360,'Final List'!$J$4:$J$252,0),0)</f>
        <v>0</v>
      </c>
      <c r="P2360" s="169">
        <f>IFERROR(MATCH(J2360,'Final List'!$L$4:$L$252,0),0)</f>
        <v>0</v>
      </c>
      <c r="Q2360" s="169">
        <f>IFERROR(MATCH(J2360,'Final List'!$N$4:$N$252,0),0)</f>
        <v>0</v>
      </c>
      <c r="R2360" s="169">
        <f>IFERROR(MATCH(J2360,'Final List'!$P$4:$P$252,0),0)</f>
        <v>0</v>
      </c>
      <c r="S2360" s="169">
        <f t="shared" si="148"/>
        <v>0</v>
      </c>
      <c r="V2360" s="169" t="str">
        <f t="shared" si="146"/>
        <v>DELOS REYES V1</v>
      </c>
      <c r="W2360" s="169" t="s">
        <v>8896</v>
      </c>
    </row>
    <row r="2361" spans="2:23" x14ac:dyDescent="0.25">
      <c r="B2361" s="169" t="s">
        <v>96</v>
      </c>
      <c r="C2361" s="169" t="s">
        <v>45</v>
      </c>
      <c r="D2361" s="169" t="s">
        <v>177</v>
      </c>
      <c r="E2361" s="169" t="s">
        <v>62</v>
      </c>
      <c r="F2361" s="245" t="str">
        <f t="shared" si="147"/>
        <v>RobS 79</v>
      </c>
      <c r="G2361" s="169" t="s">
        <v>10684</v>
      </c>
      <c r="I2361" s="169" t="str">
        <f t="shared" si="149"/>
        <v>L09_DPVE_054E_ROBBING</v>
      </c>
      <c r="J2361" s="169" t="s">
        <v>10752</v>
      </c>
      <c r="K2361" s="169">
        <f>IFERROR(MATCH(J2361,'Final List'!$B$4:$B$252,0),0)</f>
        <v>0</v>
      </c>
      <c r="L2361" s="169">
        <f>IFERROR(MATCH(J2361,'Final List'!$D$4:$D$252,0),0)</f>
        <v>0</v>
      </c>
      <c r="M2361" s="169">
        <f>IFERROR(MATCH(J2361,'Final List'!$F$4:$F$251,0),0)</f>
        <v>0</v>
      </c>
      <c r="N2361" s="169">
        <f>IFERROR(MATCH(J2361,'Final List'!$H$4:$H$252,0),0)</f>
        <v>0</v>
      </c>
      <c r="O2361" s="169">
        <f>IFERROR(MATCH(J2361,'Final List'!$J$4:$J$252,0),0)</f>
        <v>0</v>
      </c>
      <c r="P2361" s="169">
        <f>IFERROR(MATCH(J2361,'Final List'!$L$4:$L$252,0),0)</f>
        <v>0</v>
      </c>
      <c r="Q2361" s="169">
        <f>IFERROR(MATCH(J2361,'Final List'!$N$4:$N$252,0),0)</f>
        <v>0</v>
      </c>
      <c r="R2361" s="169">
        <f>IFERROR(MATCH(J2361,'Final List'!$P$4:$P$252,0),0)</f>
        <v>0</v>
      </c>
      <c r="S2361" s="169">
        <f t="shared" si="148"/>
        <v>0</v>
      </c>
      <c r="T2361" s="169" t="s">
        <v>68</v>
      </c>
      <c r="V2361" s="169" t="str">
        <f t="shared" si="146"/>
        <v>SHEPHERD AY</v>
      </c>
      <c r="W2361" s="169" t="s">
        <v>2707</v>
      </c>
    </row>
    <row r="2362" spans="2:23" x14ac:dyDescent="0.25">
      <c r="B2362" s="169" t="s">
        <v>96</v>
      </c>
      <c r="C2362" s="169" t="s">
        <v>56</v>
      </c>
      <c r="D2362" s="169" t="s">
        <v>175</v>
      </c>
      <c r="E2362" s="169" t="s">
        <v>62</v>
      </c>
      <c r="F2362" s="245" t="str">
        <f t="shared" si="147"/>
        <v>RobS 79</v>
      </c>
      <c r="G2362" s="169" t="s">
        <v>485</v>
      </c>
      <c r="I2362" s="169" t="str">
        <f t="shared" si="149"/>
        <v>L09_GHVFW_060E_ROBBING</v>
      </c>
      <c r="J2362" s="169" t="s">
        <v>10773</v>
      </c>
      <c r="K2362" s="169">
        <f>IFERROR(MATCH(J2362,'Final List'!$B$4:$B$252,0),0)</f>
        <v>0</v>
      </c>
      <c r="L2362" s="169">
        <f>IFERROR(MATCH(J2362,'Final List'!$D$4:$D$252,0),0)</f>
        <v>0</v>
      </c>
      <c r="M2362" s="169">
        <f>IFERROR(MATCH(J2362,'Final List'!$F$4:$F$251,0),0)</f>
        <v>0</v>
      </c>
      <c r="N2362" s="169">
        <f>IFERROR(MATCH(J2362,'Final List'!$H$4:$H$252,0),0)</f>
        <v>0</v>
      </c>
      <c r="O2362" s="169">
        <f>IFERROR(MATCH(J2362,'Final List'!$J$4:$J$252,0),0)</f>
        <v>0</v>
      </c>
      <c r="P2362" s="169">
        <f>IFERROR(MATCH(J2362,'Final List'!$L$4:$L$252,0),0)</f>
        <v>0</v>
      </c>
      <c r="Q2362" s="169">
        <f>IFERROR(MATCH(J2362,'Final List'!$N$4:$N$252,0),0)</f>
        <v>0</v>
      </c>
      <c r="R2362" s="169">
        <f>IFERROR(MATCH(J2362,'Final List'!$P$4:$P$252,0),0)</f>
        <v>0</v>
      </c>
      <c r="S2362" s="169">
        <f t="shared" si="148"/>
        <v>0</v>
      </c>
      <c r="T2362" s="169" t="s">
        <v>68</v>
      </c>
      <c r="V2362" s="169" t="str">
        <f t="shared" si="146"/>
        <v>BALANGHIG 3</v>
      </c>
      <c r="W2362" s="169" t="s">
        <v>236</v>
      </c>
    </row>
    <row r="2363" spans="2:23" x14ac:dyDescent="0.25">
      <c r="B2363" s="169" t="s">
        <v>95</v>
      </c>
      <c r="C2363" s="169" t="s">
        <v>45</v>
      </c>
      <c r="D2363" s="169" t="s">
        <v>170</v>
      </c>
      <c r="E2363" s="169" t="s">
        <v>20</v>
      </c>
      <c r="F2363" s="245" t="str">
        <f t="shared" si="147"/>
        <v>DVW 74</v>
      </c>
      <c r="G2363" s="169" t="s">
        <v>10087</v>
      </c>
      <c r="H2363" s="169" t="s">
        <v>526</v>
      </c>
      <c r="I2363" s="169" t="str">
        <f t="shared" si="149"/>
        <v>L08_DPVE_071E_WINZE</v>
      </c>
      <c r="J2363" s="169" t="s">
        <v>10756</v>
      </c>
      <c r="K2363" s="169">
        <f>IFERROR(MATCH(J2363,'Final List'!$B$4:$B$252,0),0)</f>
        <v>0</v>
      </c>
      <c r="L2363" s="169">
        <f>IFERROR(MATCH(J2363,'Final List'!$D$4:$D$252,0),0)</f>
        <v>0</v>
      </c>
      <c r="M2363" s="169">
        <f>IFERROR(MATCH(J2363,'Final List'!$F$4:$F$251,0),0)</f>
        <v>0</v>
      </c>
      <c r="N2363" s="169">
        <f>IFERROR(MATCH(J2363,'Final List'!$H$4:$H$252,0),0)</f>
        <v>0</v>
      </c>
      <c r="O2363" s="169">
        <f>IFERROR(MATCH(J2363,'Final List'!$J$4:$J$252,0),0)</f>
        <v>0</v>
      </c>
      <c r="P2363" s="169">
        <f>IFERROR(MATCH(J2363,'Final List'!$L$4:$L$252,0),0)</f>
        <v>0</v>
      </c>
      <c r="Q2363" s="169">
        <f>IFERROR(MATCH(J2363,'Final List'!$N$4:$N$252,0),0)</f>
        <v>0</v>
      </c>
      <c r="R2363" s="169">
        <f>IFERROR(MATCH(J2363,'Final List'!$P$4:$P$252,0),0)</f>
        <v>0</v>
      </c>
      <c r="S2363" s="169">
        <f t="shared" si="148"/>
        <v>0</v>
      </c>
      <c r="V2363" s="169" t="str">
        <f t="shared" si="146"/>
        <v>CARIKITAN 2</v>
      </c>
      <c r="W2363" s="169" t="s">
        <v>2714</v>
      </c>
    </row>
    <row r="2364" spans="2:23" x14ac:dyDescent="0.25">
      <c r="B2364" s="169" t="s">
        <v>95</v>
      </c>
      <c r="C2364" s="169" t="s">
        <v>59</v>
      </c>
      <c r="D2364" s="169" t="s">
        <v>197</v>
      </c>
      <c r="E2364" s="169" t="s">
        <v>20</v>
      </c>
      <c r="F2364" s="245" t="str">
        <f t="shared" si="147"/>
        <v>DVW 74</v>
      </c>
      <c r="G2364" s="169" t="s">
        <v>10758</v>
      </c>
      <c r="I2364" s="169" t="str">
        <f t="shared" si="149"/>
        <v>L08_GHVHW_070E_WINZE</v>
      </c>
      <c r="J2364" s="169" t="s">
        <v>10757</v>
      </c>
      <c r="K2364" s="169">
        <f>IFERROR(MATCH(J2364,'Final List'!$B$4:$B$252,0),0)</f>
        <v>0</v>
      </c>
      <c r="L2364" s="169">
        <f>IFERROR(MATCH(J2364,'Final List'!$D$4:$D$252,0),0)</f>
        <v>0</v>
      </c>
      <c r="M2364" s="169">
        <f>IFERROR(MATCH(J2364,'Final List'!$F$4:$F$251,0),0)</f>
        <v>0</v>
      </c>
      <c r="N2364" s="169">
        <f>IFERROR(MATCH(J2364,'Final List'!$H$4:$H$252,0),0)</f>
        <v>0</v>
      </c>
      <c r="O2364" s="169">
        <f>IFERROR(MATCH(J2364,'Final List'!$J$4:$J$252,0),0)</f>
        <v>0</v>
      </c>
      <c r="P2364" s="169">
        <f>IFERROR(MATCH(J2364,'Final List'!$L$4:$L$252,0),0)</f>
        <v>0</v>
      </c>
      <c r="Q2364" s="169">
        <f>IFERROR(MATCH(J2364,'Final List'!$N$4:$N$252,0),0)</f>
        <v>0</v>
      </c>
      <c r="R2364" s="169">
        <f>IFERROR(MATCH(J2364,'Final List'!$P$4:$P$252,0),0)</f>
        <v>0</v>
      </c>
      <c r="S2364" s="169">
        <f t="shared" si="148"/>
        <v>0</v>
      </c>
      <c r="V2364" s="169" t="str">
        <f t="shared" si="146"/>
        <v>MARTINEZ, DN</v>
      </c>
      <c r="W2364" s="169" t="s">
        <v>2706</v>
      </c>
    </row>
    <row r="2365" spans="2:23" x14ac:dyDescent="0.25">
      <c r="B2365" s="169" t="s">
        <v>95</v>
      </c>
      <c r="C2365" s="169" t="s">
        <v>45</v>
      </c>
      <c r="D2365" s="169" t="s">
        <v>5631</v>
      </c>
      <c r="E2365" s="169" t="s">
        <v>20</v>
      </c>
      <c r="F2365" s="245" t="str">
        <f t="shared" si="147"/>
        <v>DVW 74</v>
      </c>
      <c r="G2365" s="169" t="s">
        <v>6925</v>
      </c>
      <c r="I2365" s="169" t="str">
        <f t="shared" si="149"/>
        <v>L08_DPVE_020E_WINZE</v>
      </c>
      <c r="J2365" s="169" t="s">
        <v>10759</v>
      </c>
      <c r="K2365" s="169">
        <f>IFERROR(MATCH(J2365,'Final List'!$B$4:$B$252,0),0)</f>
        <v>0</v>
      </c>
      <c r="L2365" s="169">
        <f>IFERROR(MATCH(J2365,'Final List'!$D$4:$D$252,0),0)</f>
        <v>0</v>
      </c>
      <c r="M2365" s="169">
        <f>IFERROR(MATCH(J2365,'Final List'!$F$4:$F$251,0),0)</f>
        <v>0</v>
      </c>
      <c r="N2365" s="169">
        <f>IFERROR(MATCH(J2365,'Final List'!$H$4:$H$252,0),0)</f>
        <v>0</v>
      </c>
      <c r="O2365" s="169">
        <f>IFERROR(MATCH(J2365,'Final List'!$J$4:$J$252,0),0)</f>
        <v>0</v>
      </c>
      <c r="P2365" s="169">
        <f>IFERROR(MATCH(J2365,'Final List'!$L$4:$L$252,0),0)</f>
        <v>0</v>
      </c>
      <c r="Q2365" s="169">
        <f>IFERROR(MATCH(J2365,'Final List'!$N$4:$N$252,0),0)</f>
        <v>0</v>
      </c>
      <c r="R2365" s="169">
        <f>IFERROR(MATCH(J2365,'Final List'!$P$4:$P$252,0),0)</f>
        <v>0</v>
      </c>
      <c r="S2365" s="169">
        <f t="shared" si="148"/>
        <v>0</v>
      </c>
      <c r="V2365" s="169" t="str">
        <f t="shared" si="146"/>
        <v>CAPUYAN 1</v>
      </c>
      <c r="W2365" s="169" t="s">
        <v>2706</v>
      </c>
    </row>
    <row r="2366" spans="2:23" x14ac:dyDescent="0.25">
      <c r="B2366" s="169" t="s">
        <v>92</v>
      </c>
      <c r="C2366" s="169" t="s">
        <v>45</v>
      </c>
      <c r="D2366" s="169" t="s">
        <v>5602</v>
      </c>
      <c r="E2366" s="169" t="s">
        <v>6143</v>
      </c>
      <c r="F2366" s="245" t="str">
        <f t="shared" si="147"/>
        <v>Dhoz 71</v>
      </c>
      <c r="G2366" s="169" t="s">
        <v>5706</v>
      </c>
      <c r="H2366" s="169" t="s">
        <v>368</v>
      </c>
      <c r="I2366" s="169" t="str">
        <f t="shared" si="149"/>
        <v>L05_DPVE_053E_DE_ISL</v>
      </c>
      <c r="J2366" s="169" t="s">
        <v>10763</v>
      </c>
      <c r="K2366" s="169">
        <f>IFERROR(MATCH(J2366,'Final List'!$B$4:$B$252,0),0)</f>
        <v>0</v>
      </c>
      <c r="L2366" s="169">
        <f>IFERROR(MATCH(J2366,'Final List'!$D$4:$D$252,0),0)</f>
        <v>0</v>
      </c>
      <c r="M2366" s="169">
        <f>IFERROR(MATCH(J2366,'Final List'!$F$4:$F$251,0),0)</f>
        <v>0</v>
      </c>
      <c r="N2366" s="169">
        <f>IFERROR(MATCH(J2366,'Final List'!$H$4:$H$252,0),0)</f>
        <v>0</v>
      </c>
      <c r="O2366" s="169">
        <f>IFERROR(MATCH(J2366,'Final List'!$J$4:$J$252,0),0)</f>
        <v>0</v>
      </c>
      <c r="P2366" s="169">
        <f>IFERROR(MATCH(J2366,'Final List'!$L$4:$L$252,0),0)</f>
        <v>0</v>
      </c>
      <c r="Q2366" s="169">
        <f>IFERROR(MATCH(J2366,'Final List'!$N$4:$N$252,0),0)</f>
        <v>0</v>
      </c>
      <c r="R2366" s="169">
        <f>IFERROR(MATCH(J2366,'Final List'!$P$4:$P$252,0),0)</f>
        <v>0</v>
      </c>
      <c r="S2366" s="169">
        <f t="shared" si="148"/>
        <v>0</v>
      </c>
      <c r="V2366" s="169" t="str">
        <f t="shared" si="146"/>
        <v>LERIO 2</v>
      </c>
      <c r="W2366" s="169" t="s">
        <v>2708</v>
      </c>
    </row>
    <row r="2367" spans="2:23" x14ac:dyDescent="0.25">
      <c r="B2367" s="169" t="s">
        <v>258</v>
      </c>
      <c r="C2367" s="169" t="s">
        <v>43</v>
      </c>
      <c r="D2367" s="169" t="s">
        <v>595</v>
      </c>
      <c r="E2367" s="169" t="s">
        <v>36</v>
      </c>
      <c r="F2367" s="245" t="str">
        <f t="shared" si="147"/>
        <v>StpS 77</v>
      </c>
      <c r="G2367" s="169" t="s">
        <v>10893</v>
      </c>
      <c r="I2367" s="169" t="str">
        <f t="shared" si="149"/>
        <v>L10_GHVSPLIT_072E_STOPE</v>
      </c>
      <c r="J2367" s="169" t="s">
        <v>10902</v>
      </c>
      <c r="K2367" s="169">
        <f>IFERROR(MATCH(J2367,'Final List'!$B$4:$B$252,0),0)</f>
        <v>0</v>
      </c>
      <c r="L2367" s="169">
        <f>IFERROR(MATCH(J2367,'Final List'!$D$4:$D$252,0),0)</f>
        <v>0</v>
      </c>
      <c r="M2367" s="169">
        <f>IFERROR(MATCH(J2367,'Final List'!$F$4:$F$251,0),0)</f>
        <v>0</v>
      </c>
      <c r="N2367" s="169">
        <f>IFERROR(MATCH(J2367,'Final List'!$H$4:$H$252,0),0)</f>
        <v>0</v>
      </c>
      <c r="O2367" s="169">
        <f>IFERROR(MATCH(J2367,'Final List'!$J$4:$J$252,0),0)</f>
        <v>0</v>
      </c>
      <c r="P2367" s="169">
        <f>IFERROR(MATCH(J2367,'Final List'!$L$4:$L$252,0),0)</f>
        <v>0</v>
      </c>
      <c r="Q2367" s="169">
        <f>IFERROR(MATCH(J2367,'Final List'!$N$4:$N$252,0),0)</f>
        <v>0</v>
      </c>
      <c r="R2367" s="169">
        <f>IFERROR(MATCH(J2367,'Final List'!$P$4:$P$252,0),0)</f>
        <v>0</v>
      </c>
      <c r="S2367" s="169">
        <f t="shared" si="148"/>
        <v>0</v>
      </c>
      <c r="T2367" s="169" t="s">
        <v>68</v>
      </c>
      <c r="V2367" s="169" t="str">
        <f t="shared" si="146"/>
        <v>SHEPHERD BB 1</v>
      </c>
      <c r="W2367" s="169" t="s">
        <v>2713</v>
      </c>
    </row>
    <row r="2368" spans="2:23" x14ac:dyDescent="0.25">
      <c r="B2368" s="169" t="s">
        <v>258</v>
      </c>
      <c r="C2368" s="169" t="s">
        <v>45</v>
      </c>
      <c r="D2368" s="169" t="s">
        <v>205</v>
      </c>
      <c r="E2368" s="169" t="s">
        <v>60</v>
      </c>
      <c r="F2368" s="245" t="str">
        <f t="shared" si="147"/>
        <v>Dhoz 71</v>
      </c>
      <c r="G2368" s="169" t="s">
        <v>5714</v>
      </c>
      <c r="H2368" s="169" t="s">
        <v>10889</v>
      </c>
      <c r="I2368" s="169" t="str">
        <f t="shared" si="149"/>
        <v>L10_DPVE_066E_DE</v>
      </c>
      <c r="J2368" s="169" t="s">
        <v>10781</v>
      </c>
      <c r="K2368" s="169">
        <f>IFERROR(MATCH(J2368,'Final List'!$B$4:$B$252,0),0)</f>
        <v>0</v>
      </c>
      <c r="L2368" s="169">
        <f>IFERROR(MATCH(J2368,'Final List'!$D$4:$D$252,0),0)</f>
        <v>0</v>
      </c>
      <c r="M2368" s="169">
        <f>IFERROR(MATCH(J2368,'Final List'!$F$4:$F$251,0),0)</f>
        <v>0</v>
      </c>
      <c r="N2368" s="169">
        <f>IFERROR(MATCH(J2368,'Final List'!$H$4:$H$252,0),0)</f>
        <v>0</v>
      </c>
      <c r="O2368" s="169">
        <f>IFERROR(MATCH(J2368,'Final List'!$J$4:$J$252,0),0)</f>
        <v>0</v>
      </c>
      <c r="P2368" s="169">
        <f>IFERROR(MATCH(J2368,'Final List'!$L$4:$L$252,0),0)</f>
        <v>0</v>
      </c>
      <c r="Q2368" s="169">
        <f>IFERROR(MATCH(J2368,'Final List'!$N$4:$N$252,0),0)</f>
        <v>0</v>
      </c>
      <c r="R2368" s="169">
        <f>IFERROR(MATCH(J2368,'Final List'!$P$4:$P$252,0),0)</f>
        <v>0</v>
      </c>
      <c r="S2368" s="169">
        <f t="shared" si="148"/>
        <v>0</v>
      </c>
      <c r="V2368" s="169" t="str">
        <f t="shared" ref="V2368:V2387" si="150">IF(H2368="",G2368,H2368)</f>
        <v>LARGO 4</v>
      </c>
      <c r="W2368" s="169" t="s">
        <v>8896</v>
      </c>
    </row>
    <row r="2369" spans="2:23" x14ac:dyDescent="0.25">
      <c r="B2369" s="169" t="s">
        <v>96</v>
      </c>
      <c r="C2369" s="169" t="s">
        <v>45</v>
      </c>
      <c r="D2369" s="169" t="s">
        <v>226</v>
      </c>
      <c r="E2369" s="169" t="s">
        <v>61</v>
      </c>
      <c r="F2369" s="245" t="str">
        <f t="shared" si="147"/>
        <v>Dhoz 71</v>
      </c>
      <c r="G2369" s="169" t="s">
        <v>746</v>
      </c>
      <c r="I2369" s="169" t="str">
        <f t="shared" si="149"/>
        <v>L09_DPVE_074E_DW</v>
      </c>
      <c r="J2369" s="169" t="s">
        <v>10783</v>
      </c>
      <c r="K2369" s="169">
        <f>IFERROR(MATCH(J2369,'Final List'!$B$4:$B$252,0),0)</f>
        <v>0</v>
      </c>
      <c r="L2369" s="169">
        <f>IFERROR(MATCH(J2369,'Final List'!$D$4:$D$252,0),0)</f>
        <v>0</v>
      </c>
      <c r="M2369" s="169">
        <f>IFERROR(MATCH(J2369,'Final List'!$F$4:$F$251,0),0)</f>
        <v>0</v>
      </c>
      <c r="N2369" s="169">
        <f>IFERROR(MATCH(J2369,'Final List'!$H$4:$H$252,0),0)</f>
        <v>0</v>
      </c>
      <c r="O2369" s="169">
        <f>IFERROR(MATCH(J2369,'Final List'!$J$4:$J$252,0),0)</f>
        <v>0</v>
      </c>
      <c r="P2369" s="169">
        <f>IFERROR(MATCH(J2369,'Final List'!$L$4:$L$252,0),0)</f>
        <v>0</v>
      </c>
      <c r="Q2369" s="169">
        <f>IFERROR(MATCH(J2369,'Final List'!$N$4:$N$252,0),0)</f>
        <v>0</v>
      </c>
      <c r="R2369" s="169">
        <f>IFERROR(MATCH(J2369,'Final List'!$P$4:$P$252,0),0)</f>
        <v>0</v>
      </c>
      <c r="S2369" s="169">
        <f t="shared" si="148"/>
        <v>0</v>
      </c>
      <c r="V2369" s="169" t="str">
        <f t="shared" si="150"/>
        <v>CANOY 1</v>
      </c>
      <c r="W2369" s="169" t="s">
        <v>8896</v>
      </c>
    </row>
    <row r="2370" spans="2:23" x14ac:dyDescent="0.25">
      <c r="B2370" s="169" t="s">
        <v>258</v>
      </c>
      <c r="C2370" s="169" t="s">
        <v>87</v>
      </c>
      <c r="D2370" s="169" t="s">
        <v>174</v>
      </c>
      <c r="E2370" s="169" t="s">
        <v>72</v>
      </c>
      <c r="F2370" s="245" t="str">
        <f t="shared" si="147"/>
        <v>Dhoz 71</v>
      </c>
      <c r="G2370" s="169" t="s">
        <v>10502</v>
      </c>
      <c r="I2370" s="169" t="str">
        <f t="shared" si="149"/>
        <v>L10_NONE_052E_CHAMBER</v>
      </c>
      <c r="J2370" s="169" t="s">
        <v>10784</v>
      </c>
      <c r="K2370" s="169">
        <f>IFERROR(MATCH(J2370,'Final List'!$B$4:$B$252,0),0)</f>
        <v>0</v>
      </c>
      <c r="L2370" s="169">
        <f>IFERROR(MATCH(J2370,'Final List'!$D$4:$D$252,0),0)</f>
        <v>0</v>
      </c>
      <c r="M2370" s="169">
        <f>IFERROR(MATCH(J2370,'Final List'!$F$4:$F$251,0),0)</f>
        <v>0</v>
      </c>
      <c r="N2370" s="169">
        <f>IFERROR(MATCH(J2370,'Final List'!$H$4:$H$252,0),0)</f>
        <v>0</v>
      </c>
      <c r="O2370" s="169">
        <f>IFERROR(MATCH(J2370,'Final List'!$J$4:$J$252,0),0)</f>
        <v>0</v>
      </c>
      <c r="P2370" s="169">
        <f>IFERROR(MATCH(J2370,'Final List'!$L$4:$L$252,0),0)</f>
        <v>0</v>
      </c>
      <c r="Q2370" s="169">
        <f>IFERROR(MATCH(J2370,'Final List'!$N$4:$N$252,0),0)</f>
        <v>0</v>
      </c>
      <c r="R2370" s="169">
        <f>IFERROR(MATCH(J2370,'Final List'!$P$4:$P$252,0),0)</f>
        <v>0</v>
      </c>
      <c r="S2370" s="169">
        <f t="shared" si="148"/>
        <v>0</v>
      </c>
      <c r="V2370" s="169" t="str">
        <f t="shared" si="150"/>
        <v>SHEPHERD AX</v>
      </c>
      <c r="W2370" s="169" t="s">
        <v>2714</v>
      </c>
    </row>
    <row r="2371" spans="2:23" x14ac:dyDescent="0.25">
      <c r="B2371" s="169" t="s">
        <v>94</v>
      </c>
      <c r="C2371" s="169" t="s">
        <v>57</v>
      </c>
      <c r="D2371" s="169" t="s">
        <v>6710</v>
      </c>
      <c r="E2371" s="169" t="s">
        <v>62</v>
      </c>
      <c r="F2371" s="245" t="str">
        <f t="shared" ref="F2371:F2434" si="151">IF(OR(E2371="XCN",E2371="DE",E2371="DW",E2371="DN",E2371="XCS",E2371="XCE",E2371="XCW",E2371="SUMP",E2371="BYPASS",E2371="CHAMBER",E2371="DRAIN HOLE",E2371="DRILLING CHAMBER",E2371="DE_ISL",E2371="DW_ISL",E2371="REHAB"),"Dhoz 71",IF(OR(E2371="RAISE",E2371="RAISE_ISL"),"DVR 72",IF(E2371="ALIMAK","DVA 73",IF(E2371="WINZE","DVW 74",IF(E2371="SHAFT","DVS 75",IF(AND(E2371="WINZE STOPE",T2371="S"),"RobC 80",IF(AND(E2371="STOPE",T2371="S"),"StpS 77",IF(AND(E2371="WINZE STOPE",T2371="L"),"RobC 80",IF(AND(E2371="STOPE",T2371="L"),"StpL 78",IF(AND(E2371="WINZE STOPE PREP",T2371="S"),"RobC 80",IF(AND(E2371="STOPE PREP",T2371="S"),"StpS 77",IF(AND(E2371="WINZE STOPE PREP",T2371="L"),"RobC 80",IF(AND(E2371="STOPE PREP",T2371="L"),"StpL 78",IF(AND(E2371="ROBBING",T2371="L"),"RobC 80",IF(AND(E2371="ROBBING",T2371="S"),"RobS 79",0)))))))))))))))</f>
        <v>RobS 79</v>
      </c>
      <c r="G2371" s="169" t="s">
        <v>344</v>
      </c>
      <c r="I2371" s="169" t="str">
        <f t="shared" si="149"/>
        <v>L07_JVSPLIT_018W_ROBBING</v>
      </c>
      <c r="J2371" s="169" t="s">
        <v>10785</v>
      </c>
      <c r="K2371" s="169">
        <f>IFERROR(MATCH(J2371,'Final List'!$B$4:$B$252,0),0)</f>
        <v>0</v>
      </c>
      <c r="L2371" s="169">
        <f>IFERROR(MATCH(J2371,'Final List'!$D$4:$D$252,0),0)</f>
        <v>0</v>
      </c>
      <c r="M2371" s="169">
        <f>IFERROR(MATCH(J2371,'Final List'!$F$4:$F$251,0),0)</f>
        <v>0</v>
      </c>
      <c r="N2371" s="169">
        <f>IFERROR(MATCH(J2371,'Final List'!$H$4:$H$252,0),0)</f>
        <v>0</v>
      </c>
      <c r="O2371" s="169">
        <f>IFERROR(MATCH(J2371,'Final List'!$J$4:$J$252,0),0)</f>
        <v>0</v>
      </c>
      <c r="P2371" s="169">
        <f>IFERROR(MATCH(J2371,'Final List'!$L$4:$L$252,0),0)</f>
        <v>0</v>
      </c>
      <c r="Q2371" s="169">
        <f>IFERROR(MATCH(J2371,'Final List'!$N$4:$N$252,0),0)</f>
        <v>0</v>
      </c>
      <c r="R2371" s="169">
        <f>IFERROR(MATCH(J2371,'Final List'!$P$4:$P$252,0),0)</f>
        <v>0</v>
      </c>
      <c r="S2371" s="169">
        <f t="shared" ref="S2371:S2434" si="152">SUM(K2371:R2371)</f>
        <v>0</v>
      </c>
      <c r="T2371" s="169" t="s">
        <v>68</v>
      </c>
      <c r="V2371" s="169" t="str">
        <f t="shared" si="150"/>
        <v>UDLOS 1</v>
      </c>
      <c r="W2371" s="169" t="s">
        <v>2707</v>
      </c>
    </row>
    <row r="2372" spans="2:23" x14ac:dyDescent="0.25">
      <c r="B2372" s="169" t="s">
        <v>258</v>
      </c>
      <c r="C2372" s="169" t="s">
        <v>43</v>
      </c>
      <c r="D2372" s="169" t="s">
        <v>870</v>
      </c>
      <c r="E2372" s="169" t="s">
        <v>60</v>
      </c>
      <c r="F2372" s="245" t="str">
        <f t="shared" si="151"/>
        <v>Dhoz 71</v>
      </c>
      <c r="G2372" s="169" t="s">
        <v>10164</v>
      </c>
      <c r="I2372" s="169" t="str">
        <f t="shared" si="149"/>
        <v>L10_GHVSPLIT_073E_DE</v>
      </c>
      <c r="J2372" s="169" t="s">
        <v>10788</v>
      </c>
      <c r="K2372" s="169">
        <f>IFERROR(MATCH(J2372,'Final List'!$B$4:$B$252,0),0)</f>
        <v>0</v>
      </c>
      <c r="L2372" s="169">
        <f>IFERROR(MATCH(J2372,'Final List'!$D$4:$D$252,0),0)</f>
        <v>0</v>
      </c>
      <c r="M2372" s="169">
        <f>IFERROR(MATCH(J2372,'Final List'!$F$4:$F$251,0),0)</f>
        <v>0</v>
      </c>
      <c r="N2372" s="169">
        <f>IFERROR(MATCH(J2372,'Final List'!$H$4:$H$252,0),0)</f>
        <v>0</v>
      </c>
      <c r="O2372" s="169">
        <f>IFERROR(MATCH(J2372,'Final List'!$J$4:$J$252,0),0)</f>
        <v>0</v>
      </c>
      <c r="P2372" s="169">
        <f>IFERROR(MATCH(J2372,'Final List'!$L$4:$L$252,0),0)</f>
        <v>0</v>
      </c>
      <c r="Q2372" s="169">
        <f>IFERROR(MATCH(J2372,'Final List'!$N$4:$N$252,0),0)</f>
        <v>0</v>
      </c>
      <c r="R2372" s="169">
        <f>IFERROR(MATCH(J2372,'Final List'!$P$4:$P$252,0),0)</f>
        <v>0</v>
      </c>
      <c r="S2372" s="169">
        <f t="shared" si="152"/>
        <v>0</v>
      </c>
      <c r="V2372" s="169" t="str">
        <f t="shared" si="150"/>
        <v>SHEPHERD BA 1</v>
      </c>
      <c r="W2372" s="169" t="s">
        <v>8896</v>
      </c>
    </row>
    <row r="2373" spans="2:23" x14ac:dyDescent="0.25">
      <c r="B2373" s="169" t="s">
        <v>94</v>
      </c>
      <c r="C2373" s="169" t="s">
        <v>45</v>
      </c>
      <c r="D2373" s="169" t="s">
        <v>162</v>
      </c>
      <c r="E2373" s="169" t="s">
        <v>62</v>
      </c>
      <c r="F2373" s="245" t="str">
        <f t="shared" si="151"/>
        <v>RobS 79</v>
      </c>
      <c r="G2373" s="169" t="s">
        <v>8199</v>
      </c>
      <c r="I2373" s="169" t="str">
        <f t="shared" si="149"/>
        <v>L07_DPVE_008E_ROBBING</v>
      </c>
      <c r="J2373" s="169" t="s">
        <v>10790</v>
      </c>
      <c r="K2373" s="169">
        <f>IFERROR(MATCH(J2373,'Final List'!$B$4:$B$252,0),0)</f>
        <v>0</v>
      </c>
      <c r="L2373" s="169">
        <f>IFERROR(MATCH(J2373,'Final List'!$D$4:$D$252,0),0)</f>
        <v>0</v>
      </c>
      <c r="M2373" s="169">
        <f>IFERROR(MATCH(J2373,'Final List'!$F$4:$F$251,0),0)</f>
        <v>0</v>
      </c>
      <c r="N2373" s="169">
        <f>IFERROR(MATCH(J2373,'Final List'!$H$4:$H$252,0),0)</f>
        <v>0</v>
      </c>
      <c r="O2373" s="169">
        <f>IFERROR(MATCH(J2373,'Final List'!$J$4:$J$252,0),0)</f>
        <v>0</v>
      </c>
      <c r="P2373" s="169">
        <f>IFERROR(MATCH(J2373,'Final List'!$L$4:$L$252,0),0)</f>
        <v>0</v>
      </c>
      <c r="Q2373" s="169">
        <f>IFERROR(MATCH(J2373,'Final List'!$N$4:$N$252,0),0)</f>
        <v>0</v>
      </c>
      <c r="R2373" s="169">
        <f>IFERROR(MATCH(J2373,'Final List'!$P$4:$P$252,0),0)</f>
        <v>0</v>
      </c>
      <c r="S2373" s="169">
        <f t="shared" si="152"/>
        <v>0</v>
      </c>
      <c r="T2373" s="169" t="s">
        <v>68</v>
      </c>
      <c r="V2373" s="169" t="str">
        <f t="shared" si="150"/>
        <v>SHEPHERD AT 1</v>
      </c>
      <c r="W2373" s="169" t="s">
        <v>2707</v>
      </c>
    </row>
    <row r="2374" spans="2:23" x14ac:dyDescent="0.25">
      <c r="B2374" s="169" t="s">
        <v>95</v>
      </c>
      <c r="C2374" s="169" t="s">
        <v>57</v>
      </c>
      <c r="D2374" s="169" t="s">
        <v>1230</v>
      </c>
      <c r="E2374" s="169" t="s">
        <v>20</v>
      </c>
      <c r="F2374" s="245" t="str">
        <f t="shared" si="151"/>
        <v>DVW 74</v>
      </c>
      <c r="G2374" s="169" t="s">
        <v>583</v>
      </c>
      <c r="I2374" s="169" t="str">
        <f t="shared" si="149"/>
        <v>L08_JVSPLIT_075E_WINZE</v>
      </c>
      <c r="J2374" s="169" t="s">
        <v>10830</v>
      </c>
      <c r="K2374" s="169">
        <f>IFERROR(MATCH(J2374,'Final List'!$B$4:$B$252,0),0)</f>
        <v>0</v>
      </c>
      <c r="L2374" s="169">
        <f>IFERROR(MATCH(J2374,'Final List'!$D$4:$D$252,0),0)</f>
        <v>0</v>
      </c>
      <c r="M2374" s="169">
        <f>IFERROR(MATCH(J2374,'Final List'!$F$4:$F$251,0),0)</f>
        <v>0</v>
      </c>
      <c r="N2374" s="169">
        <f>IFERROR(MATCH(J2374,'Final List'!$H$4:$H$252,0),0)</f>
        <v>0</v>
      </c>
      <c r="O2374" s="169">
        <f>IFERROR(MATCH(J2374,'Final List'!$J$4:$J$252,0),0)</f>
        <v>0</v>
      </c>
      <c r="P2374" s="169">
        <f>IFERROR(MATCH(J2374,'Final List'!$L$4:$L$252,0),0)</f>
        <v>0</v>
      </c>
      <c r="Q2374" s="169">
        <f>IFERROR(MATCH(J2374,'Final List'!$N$4:$N$252,0),0)</f>
        <v>0</v>
      </c>
      <c r="R2374" s="169">
        <f>IFERROR(MATCH(J2374,'Final List'!$P$4:$P$252,0),0)</f>
        <v>0</v>
      </c>
      <c r="S2374" s="169">
        <f t="shared" si="152"/>
        <v>0</v>
      </c>
      <c r="V2374" s="169" t="str">
        <f t="shared" si="150"/>
        <v>VILLARANTE 1</v>
      </c>
      <c r="W2374" s="169" t="s">
        <v>2706</v>
      </c>
    </row>
    <row r="2375" spans="2:23" x14ac:dyDescent="0.25">
      <c r="B2375" s="169" t="s">
        <v>1166</v>
      </c>
      <c r="C2375" s="169" t="s">
        <v>45</v>
      </c>
      <c r="D2375" s="169" t="s">
        <v>160</v>
      </c>
      <c r="E2375" s="169" t="s">
        <v>19</v>
      </c>
      <c r="F2375" s="245" t="str">
        <f t="shared" si="151"/>
        <v>DVR 72</v>
      </c>
      <c r="G2375" s="169" t="s">
        <v>342</v>
      </c>
      <c r="I2375" s="169" t="str">
        <f t="shared" si="149"/>
        <v>L11_DPVE_042E_RAISE</v>
      </c>
      <c r="J2375" s="169" t="s">
        <v>10792</v>
      </c>
      <c r="K2375" s="169">
        <f>IFERROR(MATCH(J2375,'Final List'!$B$4:$B$252,0),0)</f>
        <v>0</v>
      </c>
      <c r="L2375" s="169">
        <f>IFERROR(MATCH(J2375,'Final List'!$D$4:$D$252,0),0)</f>
        <v>0</v>
      </c>
      <c r="M2375" s="169">
        <f>IFERROR(MATCH(J2375,'Final List'!$F$4:$F$251,0),0)</f>
        <v>0</v>
      </c>
      <c r="N2375" s="169">
        <f>IFERROR(MATCH(J2375,'Final List'!$H$4:$H$252,0),0)</f>
        <v>0</v>
      </c>
      <c r="O2375" s="169">
        <f>IFERROR(MATCH(J2375,'Final List'!$J$4:$J$252,0),0)</f>
        <v>0</v>
      </c>
      <c r="P2375" s="169">
        <f>IFERROR(MATCH(J2375,'Final List'!$L$4:$L$252,0),0)</f>
        <v>0</v>
      </c>
      <c r="Q2375" s="169">
        <f>IFERROR(MATCH(J2375,'Final List'!$N$4:$N$252,0),0)</f>
        <v>0</v>
      </c>
      <c r="R2375" s="169">
        <f>IFERROR(MATCH(J2375,'Final List'!$P$4:$P$252,0),0)</f>
        <v>0</v>
      </c>
      <c r="S2375" s="169">
        <f t="shared" si="152"/>
        <v>0</v>
      </c>
      <c r="V2375" s="169" t="str">
        <f t="shared" si="150"/>
        <v>BADBADON 2</v>
      </c>
      <c r="W2375" s="169" t="s">
        <v>2715</v>
      </c>
    </row>
    <row r="2376" spans="2:23" x14ac:dyDescent="0.25">
      <c r="B2376" s="169" t="s">
        <v>1166</v>
      </c>
      <c r="C2376" s="169" t="s">
        <v>56</v>
      </c>
      <c r="D2376" s="169" t="s">
        <v>133</v>
      </c>
      <c r="E2376" s="169" t="s">
        <v>60</v>
      </c>
      <c r="F2376" s="245" t="str">
        <f t="shared" si="151"/>
        <v>Dhoz 71</v>
      </c>
      <c r="G2376" s="169" t="s">
        <v>452</v>
      </c>
      <c r="I2376" s="169" t="str">
        <f t="shared" si="149"/>
        <v>L11_GHVFW_037E_DE</v>
      </c>
      <c r="J2376" s="169" t="s">
        <v>10793</v>
      </c>
      <c r="K2376" s="169">
        <f>IFERROR(MATCH(J2376,'Final List'!$B$4:$B$252,0),0)</f>
        <v>0</v>
      </c>
      <c r="L2376" s="169">
        <f>IFERROR(MATCH(J2376,'Final List'!$D$4:$D$252,0),0)</f>
        <v>0</v>
      </c>
      <c r="M2376" s="169">
        <f>IFERROR(MATCH(J2376,'Final List'!$F$4:$F$251,0),0)</f>
        <v>0</v>
      </c>
      <c r="N2376" s="169">
        <f>IFERROR(MATCH(J2376,'Final List'!$H$4:$H$252,0),0)</f>
        <v>0</v>
      </c>
      <c r="O2376" s="169">
        <f>IFERROR(MATCH(J2376,'Final List'!$J$4:$J$252,0),0)</f>
        <v>0</v>
      </c>
      <c r="P2376" s="169">
        <f>IFERROR(MATCH(J2376,'Final List'!$L$4:$L$252,0),0)</f>
        <v>0</v>
      </c>
      <c r="Q2376" s="169">
        <f>IFERROR(MATCH(J2376,'Final List'!$N$4:$N$252,0),0)</f>
        <v>0</v>
      </c>
      <c r="R2376" s="169">
        <f>IFERROR(MATCH(J2376,'Final List'!$P$4:$P$252,0),0)</f>
        <v>0</v>
      </c>
      <c r="S2376" s="169">
        <f t="shared" si="152"/>
        <v>0</v>
      </c>
      <c r="V2376" s="169" t="str">
        <f t="shared" si="150"/>
        <v>BAÑEZ 6</v>
      </c>
      <c r="W2376" s="169" t="s">
        <v>8896</v>
      </c>
    </row>
    <row r="2377" spans="2:23" x14ac:dyDescent="0.25">
      <c r="B2377" s="169" t="s">
        <v>1166</v>
      </c>
      <c r="C2377" s="169" t="s">
        <v>42</v>
      </c>
      <c r="D2377" s="169" t="s">
        <v>179</v>
      </c>
      <c r="E2377" s="169" t="s">
        <v>19</v>
      </c>
      <c r="F2377" s="245" t="str">
        <f t="shared" si="151"/>
        <v>DVR 72</v>
      </c>
      <c r="G2377" s="169" t="s">
        <v>453</v>
      </c>
      <c r="I2377" s="169" t="str">
        <f t="shared" si="149"/>
        <v>L11_JV_050E_RAISE</v>
      </c>
      <c r="J2377" s="169" t="s">
        <v>10806</v>
      </c>
      <c r="K2377" s="169">
        <f>IFERROR(MATCH(J2377,'Final List'!$B$4:$B$252,0),0)</f>
        <v>0</v>
      </c>
      <c r="L2377" s="169">
        <f>IFERROR(MATCH(J2377,'Final List'!$D$4:$D$252,0),0)</f>
        <v>0</v>
      </c>
      <c r="M2377" s="169">
        <f>IFERROR(MATCH(J2377,'Final List'!$F$4:$F$251,0),0)</f>
        <v>0</v>
      </c>
      <c r="N2377" s="169">
        <f>IFERROR(MATCH(J2377,'Final List'!$H$4:$H$252,0),0)</f>
        <v>0</v>
      </c>
      <c r="O2377" s="169">
        <f>IFERROR(MATCH(J2377,'Final List'!$J$4:$J$252,0),0)</f>
        <v>0</v>
      </c>
      <c r="P2377" s="169">
        <f>IFERROR(MATCH(J2377,'Final List'!$L$4:$L$252,0),0)</f>
        <v>0</v>
      </c>
      <c r="Q2377" s="169">
        <f>IFERROR(MATCH(J2377,'Final List'!$N$4:$N$252,0),0)</f>
        <v>0</v>
      </c>
      <c r="R2377" s="169">
        <f>IFERROR(MATCH(J2377,'Final List'!$P$4:$P$252,0),0)</f>
        <v>0</v>
      </c>
      <c r="S2377" s="169">
        <f t="shared" si="152"/>
        <v>0</v>
      </c>
      <c r="V2377" s="169" t="str">
        <f t="shared" si="150"/>
        <v>BAÑEZ 7</v>
      </c>
      <c r="W2377" s="169" t="s">
        <v>2715</v>
      </c>
    </row>
    <row r="2378" spans="2:23" x14ac:dyDescent="0.25">
      <c r="B2378" s="169" t="s">
        <v>96</v>
      </c>
      <c r="C2378" s="169" t="s">
        <v>57</v>
      </c>
      <c r="D2378" s="169" t="s">
        <v>178</v>
      </c>
      <c r="E2378" s="169" t="s">
        <v>20</v>
      </c>
      <c r="F2378" s="245" t="str">
        <f t="shared" si="151"/>
        <v>DVW 74</v>
      </c>
      <c r="G2378" s="169" t="s">
        <v>5706</v>
      </c>
      <c r="I2378" s="169" t="str">
        <f t="shared" si="149"/>
        <v>L09_JVSPLIT_048E_WINZE</v>
      </c>
      <c r="J2378" s="169" t="s">
        <v>10807</v>
      </c>
      <c r="K2378" s="169">
        <f>IFERROR(MATCH(J2378,'Final List'!$B$4:$B$252,0),0)</f>
        <v>0</v>
      </c>
      <c r="L2378" s="169">
        <f>IFERROR(MATCH(J2378,'Final List'!$D$4:$D$252,0),0)</f>
        <v>0</v>
      </c>
      <c r="M2378" s="169">
        <f>IFERROR(MATCH(J2378,'Final List'!$F$4:$F$251,0),0)</f>
        <v>0</v>
      </c>
      <c r="N2378" s="169">
        <f>IFERROR(MATCH(J2378,'Final List'!$H$4:$H$252,0),0)</f>
        <v>0</v>
      </c>
      <c r="O2378" s="169">
        <f>IFERROR(MATCH(J2378,'Final List'!$J$4:$J$252,0),0)</f>
        <v>0</v>
      </c>
      <c r="P2378" s="169">
        <f>IFERROR(MATCH(J2378,'Final List'!$L$4:$L$252,0),0)</f>
        <v>0</v>
      </c>
      <c r="Q2378" s="169">
        <f>IFERROR(MATCH(J2378,'Final List'!$N$4:$N$252,0),0)</f>
        <v>0</v>
      </c>
      <c r="R2378" s="169">
        <f>IFERROR(MATCH(J2378,'Final List'!$P$4:$P$252,0),0)</f>
        <v>0</v>
      </c>
      <c r="S2378" s="169">
        <f t="shared" si="152"/>
        <v>0</v>
      </c>
      <c r="V2378" s="169" t="str">
        <f t="shared" si="150"/>
        <v>SHEPHERD AF 1</v>
      </c>
      <c r="W2378" s="169" t="s">
        <v>2706</v>
      </c>
    </row>
    <row r="2379" spans="2:23" x14ac:dyDescent="0.25">
      <c r="B2379" s="169" t="s">
        <v>1167</v>
      </c>
      <c r="C2379" s="169" t="s">
        <v>45</v>
      </c>
      <c r="D2379" s="169" t="s">
        <v>180</v>
      </c>
      <c r="E2379" s="169" t="s">
        <v>60</v>
      </c>
      <c r="F2379" s="245" t="str">
        <f t="shared" si="151"/>
        <v>Dhoz 71</v>
      </c>
      <c r="G2379" s="169" t="s">
        <v>6928</v>
      </c>
      <c r="I2379" s="169" t="str">
        <f t="shared" si="149"/>
        <v>L12_DPVE_041E_DE</v>
      </c>
      <c r="J2379" s="169" t="s">
        <v>10810</v>
      </c>
      <c r="K2379" s="169">
        <f>IFERROR(MATCH(J2379,'Final List'!$B$4:$B$252,0),0)</f>
        <v>0</v>
      </c>
      <c r="L2379" s="169">
        <f>IFERROR(MATCH(J2379,'Final List'!$D$4:$D$252,0),0)</f>
        <v>0</v>
      </c>
      <c r="M2379" s="169">
        <f>IFERROR(MATCH(J2379,'Final List'!$F$4:$F$251,0),0)</f>
        <v>0</v>
      </c>
      <c r="N2379" s="169">
        <f>IFERROR(MATCH(J2379,'Final List'!$H$4:$H$252,0),0)</f>
        <v>0</v>
      </c>
      <c r="O2379" s="169">
        <f>IFERROR(MATCH(J2379,'Final List'!$J$4:$J$252,0),0)</f>
        <v>0</v>
      </c>
      <c r="P2379" s="169">
        <f>IFERROR(MATCH(J2379,'Final List'!$L$4:$L$252,0),0)</f>
        <v>0</v>
      </c>
      <c r="Q2379" s="169">
        <f>IFERROR(MATCH(J2379,'Final List'!$N$4:$N$252,0),0)</f>
        <v>0</v>
      </c>
      <c r="R2379" s="169">
        <f>IFERROR(MATCH(J2379,'Final List'!$P$4:$P$252,0),0)</f>
        <v>0</v>
      </c>
      <c r="S2379" s="169">
        <f t="shared" si="152"/>
        <v>0</v>
      </c>
      <c r="V2379" s="169" t="str">
        <f t="shared" si="150"/>
        <v>DUHIG, P5</v>
      </c>
      <c r="W2379" s="169" t="s">
        <v>8896</v>
      </c>
    </row>
    <row r="2380" spans="2:23" x14ac:dyDescent="0.25">
      <c r="B2380" s="169" t="s">
        <v>1167</v>
      </c>
      <c r="C2380" s="169" t="s">
        <v>87</v>
      </c>
      <c r="D2380" s="169" t="s">
        <v>178</v>
      </c>
      <c r="E2380" s="169" t="s">
        <v>19</v>
      </c>
      <c r="F2380" s="245" t="str">
        <f t="shared" si="151"/>
        <v>DVR 72</v>
      </c>
      <c r="G2380" s="169" t="s">
        <v>389</v>
      </c>
      <c r="I2380" s="169" t="str">
        <f t="shared" si="149"/>
        <v>L12_NONE_048E_RAISE</v>
      </c>
      <c r="J2380" s="169" t="s">
        <v>10812</v>
      </c>
      <c r="K2380" s="169">
        <f>IFERROR(MATCH(J2380,'Final List'!$B$4:$B$252,0),0)</f>
        <v>0</v>
      </c>
      <c r="L2380" s="169">
        <f>IFERROR(MATCH(J2380,'Final List'!$D$4:$D$252,0),0)</f>
        <v>0</v>
      </c>
      <c r="M2380" s="169">
        <f>IFERROR(MATCH(J2380,'Final List'!$F$4:$F$251,0),0)</f>
        <v>0</v>
      </c>
      <c r="N2380" s="169">
        <f>IFERROR(MATCH(J2380,'Final List'!$H$4:$H$252,0),0)</f>
        <v>0</v>
      </c>
      <c r="O2380" s="169">
        <f>IFERROR(MATCH(J2380,'Final List'!$J$4:$J$252,0),0)</f>
        <v>0</v>
      </c>
      <c r="P2380" s="169">
        <f>IFERROR(MATCH(J2380,'Final List'!$L$4:$L$252,0),0)</f>
        <v>0</v>
      </c>
      <c r="Q2380" s="169">
        <f>IFERROR(MATCH(J2380,'Final List'!$N$4:$N$252,0),0)</f>
        <v>0</v>
      </c>
      <c r="R2380" s="169">
        <f>IFERROR(MATCH(J2380,'Final List'!$P$4:$P$252,0),0)</f>
        <v>0</v>
      </c>
      <c r="S2380" s="169">
        <f t="shared" si="152"/>
        <v>0</v>
      </c>
      <c r="V2380" s="169" t="str">
        <f t="shared" si="150"/>
        <v>CAPPUYO 1</v>
      </c>
      <c r="W2380" s="169" t="s">
        <v>2714</v>
      </c>
    </row>
    <row r="2381" spans="2:23" x14ac:dyDescent="0.25">
      <c r="B2381" s="169" t="s">
        <v>1167</v>
      </c>
      <c r="C2381" s="169" t="s">
        <v>42</v>
      </c>
      <c r="D2381" s="169" t="s">
        <v>177</v>
      </c>
      <c r="E2381" s="169" t="s">
        <v>60</v>
      </c>
      <c r="F2381" s="245" t="str">
        <f t="shared" si="151"/>
        <v>Dhoz 71</v>
      </c>
      <c r="G2381" s="169" t="s">
        <v>6929</v>
      </c>
      <c r="I2381" s="169" t="str">
        <f t="shared" si="149"/>
        <v>L12_JV_054E_DE</v>
      </c>
      <c r="J2381" s="169" t="s">
        <v>10813</v>
      </c>
      <c r="K2381" s="169">
        <f>IFERROR(MATCH(J2381,'Final List'!$B$4:$B$252,0),0)</f>
        <v>0</v>
      </c>
      <c r="L2381" s="169">
        <f>IFERROR(MATCH(J2381,'Final List'!$D$4:$D$252,0),0)</f>
        <v>0</v>
      </c>
      <c r="M2381" s="169">
        <f>IFERROR(MATCH(J2381,'Final List'!$F$4:$F$251,0),0)</f>
        <v>0</v>
      </c>
      <c r="N2381" s="169">
        <f>IFERROR(MATCH(J2381,'Final List'!$H$4:$H$252,0),0)</f>
        <v>0</v>
      </c>
      <c r="O2381" s="169">
        <f>IFERROR(MATCH(J2381,'Final List'!$J$4:$J$252,0),0)</f>
        <v>0</v>
      </c>
      <c r="P2381" s="169">
        <f>IFERROR(MATCH(J2381,'Final List'!$L$4:$L$252,0),0)</f>
        <v>0</v>
      </c>
      <c r="Q2381" s="169">
        <f>IFERROR(MATCH(J2381,'Final List'!$N$4:$N$252,0),0)</f>
        <v>0</v>
      </c>
      <c r="R2381" s="169">
        <f>IFERROR(MATCH(J2381,'Final List'!$P$4:$P$252,0),0)</f>
        <v>0</v>
      </c>
      <c r="S2381" s="169">
        <f t="shared" si="152"/>
        <v>0</v>
      </c>
      <c r="V2381" s="169" t="str">
        <f t="shared" si="150"/>
        <v>DUHIG, P4</v>
      </c>
      <c r="W2381" s="169" t="s">
        <v>8896</v>
      </c>
    </row>
    <row r="2382" spans="2:23" x14ac:dyDescent="0.25">
      <c r="B2382" s="169" t="s">
        <v>1166</v>
      </c>
      <c r="C2382" s="169" t="s">
        <v>56</v>
      </c>
      <c r="D2382" s="169" t="s">
        <v>128</v>
      </c>
      <c r="E2382" s="169" t="s">
        <v>61</v>
      </c>
      <c r="F2382" s="245" t="str">
        <f t="shared" si="151"/>
        <v>Dhoz 71</v>
      </c>
      <c r="G2382" s="169" t="s">
        <v>359</v>
      </c>
      <c r="H2382" s="169" t="s">
        <v>584</v>
      </c>
      <c r="I2382" s="169" t="str">
        <f t="shared" si="149"/>
        <v>L11_GHVFW_027E_DW</v>
      </c>
      <c r="J2382" s="169" t="s">
        <v>10816</v>
      </c>
      <c r="K2382" s="169">
        <f>IFERROR(MATCH(J2382,'Final List'!$B$4:$B$252,0),0)</f>
        <v>0</v>
      </c>
      <c r="L2382" s="169">
        <f>IFERROR(MATCH(J2382,'Final List'!$D$4:$D$252,0),0)</f>
        <v>0</v>
      </c>
      <c r="M2382" s="169">
        <f>IFERROR(MATCH(J2382,'Final List'!$F$4:$F$251,0),0)</f>
        <v>0</v>
      </c>
      <c r="N2382" s="169">
        <f>IFERROR(MATCH(J2382,'Final List'!$H$4:$H$252,0),0)</f>
        <v>0</v>
      </c>
      <c r="O2382" s="169">
        <f>IFERROR(MATCH(J2382,'Final List'!$J$4:$J$252,0),0)</f>
        <v>0</v>
      </c>
      <c r="P2382" s="169">
        <f>IFERROR(MATCH(J2382,'Final List'!$L$4:$L$252,0),0)</f>
        <v>0</v>
      </c>
      <c r="Q2382" s="169">
        <f>IFERROR(MATCH(J2382,'Final List'!$N$4:$N$252,0),0)</f>
        <v>0</v>
      </c>
      <c r="R2382" s="169">
        <f>IFERROR(MATCH(J2382,'Final List'!$P$4:$P$252,0),0)</f>
        <v>0</v>
      </c>
      <c r="S2382" s="169">
        <f t="shared" si="152"/>
        <v>0</v>
      </c>
      <c r="V2382" s="169" t="str">
        <f t="shared" si="150"/>
        <v>VILLARANTE 2</v>
      </c>
      <c r="W2382" s="169" t="s">
        <v>8896</v>
      </c>
    </row>
    <row r="2383" spans="2:23" x14ac:dyDescent="0.25">
      <c r="B2383" s="169" t="s">
        <v>96</v>
      </c>
      <c r="C2383" s="169" t="s">
        <v>57</v>
      </c>
      <c r="D2383" s="169" t="s">
        <v>5975</v>
      </c>
      <c r="E2383" s="169" t="s">
        <v>62</v>
      </c>
      <c r="F2383" s="245" t="str">
        <f t="shared" si="151"/>
        <v>RobS 79</v>
      </c>
      <c r="G2383" s="169" t="s">
        <v>336</v>
      </c>
      <c r="I2383" s="169" t="str">
        <f t="shared" si="149"/>
        <v>L09_JVSPLIT_028E_ROBBING</v>
      </c>
      <c r="J2383" s="169" t="s">
        <v>10819</v>
      </c>
      <c r="K2383" s="169">
        <f>IFERROR(MATCH(J2383,'Final List'!$B$4:$B$252,0),0)</f>
        <v>0</v>
      </c>
      <c r="L2383" s="169">
        <f>IFERROR(MATCH(J2383,'Final List'!$D$4:$D$252,0),0)</f>
        <v>0</v>
      </c>
      <c r="M2383" s="169">
        <f>IFERROR(MATCH(J2383,'Final List'!$F$4:$F$251,0),0)</f>
        <v>0</v>
      </c>
      <c r="N2383" s="169">
        <f>IFERROR(MATCH(J2383,'Final List'!$H$4:$H$252,0),0)</f>
        <v>0</v>
      </c>
      <c r="O2383" s="169">
        <f>IFERROR(MATCH(J2383,'Final List'!$J$4:$J$252,0),0)</f>
        <v>0</v>
      </c>
      <c r="P2383" s="169">
        <f>IFERROR(MATCH(J2383,'Final List'!$L$4:$L$252,0),0)</f>
        <v>0</v>
      </c>
      <c r="Q2383" s="169">
        <f>IFERROR(MATCH(J2383,'Final List'!$N$4:$N$252,0),0)</f>
        <v>0</v>
      </c>
      <c r="R2383" s="169">
        <f>IFERROR(MATCH(J2383,'Final List'!$P$4:$P$252,0),0)</f>
        <v>0</v>
      </c>
      <c r="S2383" s="169">
        <f t="shared" si="152"/>
        <v>0</v>
      </c>
      <c r="T2383" s="169" t="s">
        <v>68</v>
      </c>
      <c r="V2383" s="169" t="str">
        <f t="shared" si="150"/>
        <v>BALANGHIG 1</v>
      </c>
      <c r="W2383" s="169" t="s">
        <v>2707</v>
      </c>
    </row>
    <row r="2384" spans="2:23" x14ac:dyDescent="0.25">
      <c r="B2384" s="169" t="s">
        <v>95</v>
      </c>
      <c r="C2384" s="169" t="s">
        <v>45</v>
      </c>
      <c r="D2384" s="169" t="s">
        <v>166</v>
      </c>
      <c r="E2384" s="169" t="s">
        <v>6144</v>
      </c>
      <c r="F2384" s="245" t="str">
        <f t="shared" si="151"/>
        <v>DVR 72</v>
      </c>
      <c r="G2384" s="169" t="s">
        <v>380</v>
      </c>
      <c r="I2384" s="169" t="str">
        <f t="shared" si="149"/>
        <v>L08_DPVE_068E_RAISE_ISL</v>
      </c>
      <c r="J2384" s="169" t="s">
        <v>10828</v>
      </c>
      <c r="K2384" s="169">
        <f>IFERROR(MATCH(J2384,'Final List'!$B$4:$B$252,0),0)</f>
        <v>0</v>
      </c>
      <c r="L2384" s="169">
        <f>IFERROR(MATCH(J2384,'Final List'!$D$4:$D$252,0),0)</f>
        <v>0</v>
      </c>
      <c r="M2384" s="169">
        <f>IFERROR(MATCH(J2384,'Final List'!$F$4:$F$251,0),0)</f>
        <v>0</v>
      </c>
      <c r="N2384" s="169">
        <f>IFERROR(MATCH(J2384,'Final List'!$H$4:$H$252,0),0)</f>
        <v>0</v>
      </c>
      <c r="O2384" s="169">
        <f>IFERROR(MATCH(J2384,'Final List'!$J$4:$J$252,0),0)</f>
        <v>0</v>
      </c>
      <c r="P2384" s="169">
        <f>IFERROR(MATCH(J2384,'Final List'!$L$4:$L$252,0),0)</f>
        <v>0</v>
      </c>
      <c r="Q2384" s="169">
        <f>IFERROR(MATCH(J2384,'Final List'!$N$4:$N$252,0),0)</f>
        <v>0</v>
      </c>
      <c r="R2384" s="169">
        <f>IFERROR(MATCH(J2384,'Final List'!$P$4:$P$252,0),0)</f>
        <v>0</v>
      </c>
      <c r="S2384" s="169">
        <f t="shared" si="152"/>
        <v>0</v>
      </c>
      <c r="V2384" s="169" t="str">
        <f t="shared" si="150"/>
        <v>AGLOLO 1</v>
      </c>
      <c r="W2384" s="169" t="s">
        <v>2715</v>
      </c>
    </row>
    <row r="2385" spans="2:23" x14ac:dyDescent="0.25">
      <c r="B2385" s="169" t="s">
        <v>1166</v>
      </c>
      <c r="C2385" s="169" t="s">
        <v>45</v>
      </c>
      <c r="D2385" s="169" t="s">
        <v>141</v>
      </c>
      <c r="E2385" s="169" t="s">
        <v>19</v>
      </c>
      <c r="F2385" s="245" t="str">
        <f t="shared" si="151"/>
        <v>DVR 72</v>
      </c>
      <c r="G2385" s="169" t="s">
        <v>353</v>
      </c>
      <c r="I2385" s="169" t="str">
        <f t="shared" si="149"/>
        <v>L11_DPVE_029E_RAISE</v>
      </c>
      <c r="J2385" s="169" t="s">
        <v>10831</v>
      </c>
      <c r="K2385" s="169">
        <f>IFERROR(MATCH(J2385,'Final List'!$B$4:$B$252,0),0)</f>
        <v>0</v>
      </c>
      <c r="L2385" s="169">
        <f>IFERROR(MATCH(J2385,'Final List'!$D$4:$D$252,0),0)</f>
        <v>0</v>
      </c>
      <c r="M2385" s="169">
        <f>IFERROR(MATCH(J2385,'Final List'!$F$4:$F$251,0),0)</f>
        <v>0</v>
      </c>
      <c r="N2385" s="169">
        <f>IFERROR(MATCH(J2385,'Final List'!$H$4:$H$252,0),0)</f>
        <v>0</v>
      </c>
      <c r="O2385" s="169">
        <f>IFERROR(MATCH(J2385,'Final List'!$J$4:$J$252,0),0)</f>
        <v>0</v>
      </c>
      <c r="P2385" s="169">
        <f>IFERROR(MATCH(J2385,'Final List'!$L$4:$L$252,0),0)</f>
        <v>0</v>
      </c>
      <c r="Q2385" s="169">
        <f>IFERROR(MATCH(J2385,'Final List'!$N$4:$N$252,0),0)</f>
        <v>0</v>
      </c>
      <c r="R2385" s="169">
        <f>IFERROR(MATCH(J2385,'Final List'!$P$4:$P$252,0),0)</f>
        <v>0</v>
      </c>
      <c r="S2385" s="169">
        <f t="shared" si="152"/>
        <v>0</v>
      </c>
      <c r="V2385" s="169" t="str">
        <f t="shared" si="150"/>
        <v>BAÑEZ 4</v>
      </c>
      <c r="W2385" s="169" t="s">
        <v>2715</v>
      </c>
    </row>
    <row r="2386" spans="2:23" x14ac:dyDescent="0.25">
      <c r="B2386" s="169" t="s">
        <v>95</v>
      </c>
      <c r="C2386" s="169" t="s">
        <v>43</v>
      </c>
      <c r="D2386" s="169" t="s">
        <v>6710</v>
      </c>
      <c r="E2386" s="169" t="s">
        <v>60</v>
      </c>
      <c r="F2386" s="245" t="str">
        <f t="shared" si="151"/>
        <v>Dhoz 71</v>
      </c>
      <c r="G2386" s="169" t="s">
        <v>472</v>
      </c>
      <c r="I2386" s="169" t="str">
        <f t="shared" si="149"/>
        <v>L08_GHVSPLIT_018W_DE</v>
      </c>
      <c r="J2386" s="169" t="s">
        <v>10832</v>
      </c>
      <c r="K2386" s="169">
        <f>IFERROR(MATCH(J2386,'Final List'!$B$4:$B$252,0),0)</f>
        <v>0</v>
      </c>
      <c r="L2386" s="169">
        <f>IFERROR(MATCH(J2386,'Final List'!$D$4:$D$252,0),0)</f>
        <v>0</v>
      </c>
      <c r="M2386" s="169">
        <f>IFERROR(MATCH(J2386,'Final List'!$F$4:$F$251,0),0)</f>
        <v>0</v>
      </c>
      <c r="N2386" s="169">
        <f>IFERROR(MATCH(J2386,'Final List'!$H$4:$H$252,0),0)</f>
        <v>0</v>
      </c>
      <c r="O2386" s="169">
        <f>IFERROR(MATCH(J2386,'Final List'!$J$4:$J$252,0),0)</f>
        <v>0</v>
      </c>
      <c r="P2386" s="169">
        <f>IFERROR(MATCH(J2386,'Final List'!$L$4:$L$252,0),0)</f>
        <v>0</v>
      </c>
      <c r="Q2386" s="169">
        <f>IFERROR(MATCH(J2386,'Final List'!$N$4:$N$252,0),0)</f>
        <v>0</v>
      </c>
      <c r="R2386" s="169">
        <f>IFERROR(MATCH(J2386,'Final List'!$P$4:$P$252,0),0)</f>
        <v>0</v>
      </c>
      <c r="S2386" s="169">
        <f t="shared" si="152"/>
        <v>0</v>
      </c>
      <c r="V2386" s="169" t="str">
        <f t="shared" si="150"/>
        <v>LERIO 3</v>
      </c>
      <c r="W2386" s="169" t="s">
        <v>8895</v>
      </c>
    </row>
    <row r="2387" spans="2:23" x14ac:dyDescent="0.25">
      <c r="B2387" s="169" t="s">
        <v>258</v>
      </c>
      <c r="C2387" s="169" t="s">
        <v>87</v>
      </c>
      <c r="D2387" s="169" t="s">
        <v>5078</v>
      </c>
      <c r="E2387" s="169" t="s">
        <v>37</v>
      </c>
      <c r="F2387" s="245" t="str">
        <f t="shared" si="151"/>
        <v>Dhoz 71</v>
      </c>
      <c r="G2387" s="169" t="s">
        <v>6927</v>
      </c>
      <c r="I2387" s="169" t="str">
        <f t="shared" si="149"/>
        <v>L10_NONE_086E_XCN</v>
      </c>
      <c r="J2387" s="169" t="s">
        <v>10833</v>
      </c>
      <c r="K2387" s="169">
        <f>IFERROR(MATCH(J2387,'Final List'!$B$4:$B$252,0),0)</f>
        <v>0</v>
      </c>
      <c r="L2387" s="169">
        <f>IFERROR(MATCH(J2387,'Final List'!$D$4:$D$252,0),0)</f>
        <v>0</v>
      </c>
      <c r="M2387" s="169">
        <f>IFERROR(MATCH(J2387,'Final List'!$F$4:$F$251,0),0)</f>
        <v>0</v>
      </c>
      <c r="N2387" s="169">
        <f>IFERROR(MATCH(J2387,'Final List'!$H$4:$H$252,0),0)</f>
        <v>0</v>
      </c>
      <c r="O2387" s="169">
        <f>IFERROR(MATCH(J2387,'Final List'!$J$4:$J$252,0),0)</f>
        <v>0</v>
      </c>
      <c r="P2387" s="169">
        <f>IFERROR(MATCH(J2387,'Final List'!$L$4:$L$252,0),0)</f>
        <v>0</v>
      </c>
      <c r="Q2387" s="169">
        <f>IFERROR(MATCH(J2387,'Final List'!$N$4:$N$252,0),0)</f>
        <v>0</v>
      </c>
      <c r="R2387" s="169">
        <f>IFERROR(MATCH(J2387,'Final List'!$P$4:$P$252,0),0)</f>
        <v>0</v>
      </c>
      <c r="S2387" s="169">
        <f t="shared" si="152"/>
        <v>0</v>
      </c>
      <c r="V2387" s="169" t="str">
        <f t="shared" si="150"/>
        <v>DUHIG, R2</v>
      </c>
      <c r="W2387" s="169" t="s">
        <v>8898</v>
      </c>
    </row>
    <row r="2388" spans="2:23" x14ac:dyDescent="0.25">
      <c r="B2388" s="169" t="s">
        <v>258</v>
      </c>
      <c r="C2388" s="169" t="s">
        <v>45</v>
      </c>
      <c r="D2388" s="169" t="s">
        <v>197</v>
      </c>
      <c r="E2388" s="169" t="s">
        <v>36</v>
      </c>
      <c r="F2388" s="245" t="str">
        <f t="shared" si="151"/>
        <v>StpS 77</v>
      </c>
      <c r="G2388" s="169" t="s">
        <v>5703</v>
      </c>
      <c r="I2388" s="169" t="str">
        <f t="shared" si="149"/>
        <v>L10_DPVE_070E_STOPE</v>
      </c>
      <c r="J2388" s="169" t="s">
        <v>10982</v>
      </c>
      <c r="K2388" s="169">
        <f>IFERROR(MATCH(J2388,'Final List'!$B$4:$B$252,0),0)</f>
        <v>0</v>
      </c>
      <c r="L2388" s="169">
        <f>IFERROR(MATCH(J2388,'Final List'!$D$4:$D$252,0),0)</f>
        <v>0</v>
      </c>
      <c r="M2388" s="169">
        <f>IFERROR(MATCH(J2388,'Final List'!$F$4:$F$251,0),0)</f>
        <v>0</v>
      </c>
      <c r="N2388" s="169">
        <f>IFERROR(MATCH(J2388,'Final List'!$H$4:$H$252,0),0)</f>
        <v>0</v>
      </c>
      <c r="O2388" s="169">
        <f>IFERROR(MATCH(J2388,'Final List'!$J$4:$J$252,0),0)</f>
        <v>0</v>
      </c>
      <c r="P2388" s="169">
        <f>IFERROR(MATCH(J2388,'Final List'!$L$4:$L$252,0),0)</f>
        <v>0</v>
      </c>
      <c r="Q2388" s="169">
        <f>IFERROR(MATCH(J2388,'Final List'!$N$4:$N$252,0),0)</f>
        <v>0</v>
      </c>
      <c r="R2388" s="169">
        <f>IFERROR(MATCH(J2388,'Final List'!$P$4:$P$252,0),0)</f>
        <v>0</v>
      </c>
      <c r="S2388" s="169">
        <f t="shared" si="152"/>
        <v>0</v>
      </c>
      <c r="T2388" s="169" t="s">
        <v>68</v>
      </c>
      <c r="V2388" s="169" t="s">
        <v>5703</v>
      </c>
      <c r="W2388" s="169" t="s">
        <v>2711</v>
      </c>
    </row>
    <row r="2389" spans="2:23" x14ac:dyDescent="0.25">
      <c r="B2389" s="169" t="s">
        <v>96</v>
      </c>
      <c r="C2389" s="169" t="s">
        <v>45</v>
      </c>
      <c r="D2389" s="169" t="s">
        <v>197</v>
      </c>
      <c r="E2389" s="169" t="s">
        <v>61</v>
      </c>
      <c r="F2389" s="245" t="str">
        <f t="shared" si="151"/>
        <v>Dhoz 71</v>
      </c>
      <c r="G2389" s="169" t="s">
        <v>2972</v>
      </c>
      <c r="I2389" s="169" t="str">
        <f t="shared" si="149"/>
        <v>L09_DPVE_070E_DW</v>
      </c>
      <c r="J2389" s="169" t="s">
        <v>10835</v>
      </c>
      <c r="K2389" s="169">
        <f>IFERROR(MATCH(J2389,'Final List'!$B$4:$B$252,0),0)</f>
        <v>0</v>
      </c>
      <c r="L2389" s="169">
        <f>IFERROR(MATCH(J2389,'Final List'!$D$4:$D$252,0),0)</f>
        <v>0</v>
      </c>
      <c r="M2389" s="169">
        <f>IFERROR(MATCH(J2389,'Final List'!$F$4:$F$251,0),0)</f>
        <v>0</v>
      </c>
      <c r="N2389" s="169">
        <f>IFERROR(MATCH(J2389,'Final List'!$H$4:$H$252,0),0)</f>
        <v>0</v>
      </c>
      <c r="O2389" s="169">
        <f>IFERROR(MATCH(J2389,'Final List'!$J$4:$J$252,0),0)</f>
        <v>0</v>
      </c>
      <c r="P2389" s="169">
        <f>IFERROR(MATCH(J2389,'Final List'!$L$4:$L$252,0),0)</f>
        <v>0</v>
      </c>
      <c r="Q2389" s="169">
        <f>IFERROR(MATCH(J2389,'Final List'!$N$4:$N$252,0),0)</f>
        <v>0</v>
      </c>
      <c r="R2389" s="169">
        <f>IFERROR(MATCH(J2389,'Final List'!$P$4:$P$252,0),0)</f>
        <v>0</v>
      </c>
      <c r="S2389" s="169">
        <f t="shared" si="152"/>
        <v>0</v>
      </c>
      <c r="V2389" s="169" t="str">
        <f t="shared" ref="V2389:V2452" si="153">IF(H2389="",G2389,H2389)</f>
        <v>FABROA 1</v>
      </c>
      <c r="W2389" s="169" t="s">
        <v>8896</v>
      </c>
    </row>
    <row r="2390" spans="2:23" x14ac:dyDescent="0.25">
      <c r="B2390" s="169" t="s">
        <v>258</v>
      </c>
      <c r="C2390" s="169" t="s">
        <v>57</v>
      </c>
      <c r="D2390" s="169" t="s">
        <v>144</v>
      </c>
      <c r="E2390" s="169" t="s">
        <v>19</v>
      </c>
      <c r="F2390" s="245" t="str">
        <f t="shared" si="151"/>
        <v>DVR 72</v>
      </c>
      <c r="G2390" s="169" t="s">
        <v>9964</v>
      </c>
      <c r="I2390" s="169" t="str">
        <f t="shared" si="149"/>
        <v>L10_JVSPLIT_043E_RAISE</v>
      </c>
      <c r="J2390" s="169" t="s">
        <v>10837</v>
      </c>
      <c r="K2390" s="169">
        <f>IFERROR(MATCH(J2390,'Final List'!$B$4:$B$252,0),0)</f>
        <v>0</v>
      </c>
      <c r="L2390" s="169">
        <f>IFERROR(MATCH(J2390,'Final List'!$D$4:$D$252,0),0)</f>
        <v>0</v>
      </c>
      <c r="M2390" s="169">
        <f>IFERROR(MATCH(J2390,'Final List'!$F$4:$F$251,0),0)</f>
        <v>0</v>
      </c>
      <c r="N2390" s="169">
        <f>IFERROR(MATCH(J2390,'Final List'!$H$4:$H$252,0),0)</f>
        <v>0</v>
      </c>
      <c r="O2390" s="169">
        <f>IFERROR(MATCH(J2390,'Final List'!$J$4:$J$252,0),0)</f>
        <v>0</v>
      </c>
      <c r="P2390" s="169">
        <f>IFERROR(MATCH(J2390,'Final List'!$L$4:$L$252,0),0)</f>
        <v>0</v>
      </c>
      <c r="Q2390" s="169">
        <f>IFERROR(MATCH(J2390,'Final List'!$N$4:$N$252,0),0)</f>
        <v>0</v>
      </c>
      <c r="R2390" s="169">
        <f>IFERROR(MATCH(J2390,'Final List'!$P$4:$P$252,0),0)</f>
        <v>0</v>
      </c>
      <c r="S2390" s="169">
        <f t="shared" si="152"/>
        <v>0</v>
      </c>
      <c r="V2390" s="169" t="str">
        <f t="shared" si="153"/>
        <v>SHEPHERD BA</v>
      </c>
      <c r="W2390" s="169" t="s">
        <v>2715</v>
      </c>
    </row>
    <row r="2391" spans="2:23" x14ac:dyDescent="0.25">
      <c r="B2391" s="169" t="s">
        <v>258</v>
      </c>
      <c r="C2391" s="169" t="s">
        <v>57</v>
      </c>
      <c r="D2391" s="169" t="s">
        <v>133</v>
      </c>
      <c r="E2391" s="169" t="s">
        <v>61</v>
      </c>
      <c r="F2391" s="245" t="str">
        <f t="shared" si="151"/>
        <v>Dhoz 71</v>
      </c>
      <c r="G2391" s="169" t="s">
        <v>9964</v>
      </c>
      <c r="I2391" s="169" t="str">
        <f t="shared" si="149"/>
        <v>L10_JVSPLIT_037E_DW</v>
      </c>
      <c r="J2391" s="169" t="s">
        <v>10838</v>
      </c>
      <c r="K2391" s="169">
        <f>IFERROR(MATCH(J2391,'Final List'!$B$4:$B$252,0),0)</f>
        <v>0</v>
      </c>
      <c r="L2391" s="169">
        <f>IFERROR(MATCH(J2391,'Final List'!$D$4:$D$252,0),0)</f>
        <v>0</v>
      </c>
      <c r="M2391" s="169">
        <f>IFERROR(MATCH(J2391,'Final List'!$F$4:$F$251,0),0)</f>
        <v>0</v>
      </c>
      <c r="N2391" s="169">
        <f>IFERROR(MATCH(J2391,'Final List'!$H$4:$H$252,0),0)</f>
        <v>0</v>
      </c>
      <c r="O2391" s="169">
        <f>IFERROR(MATCH(J2391,'Final List'!$J$4:$J$252,0),0)</f>
        <v>0</v>
      </c>
      <c r="P2391" s="169">
        <f>IFERROR(MATCH(J2391,'Final List'!$L$4:$L$252,0),0)</f>
        <v>0</v>
      </c>
      <c r="Q2391" s="169">
        <f>IFERROR(MATCH(J2391,'Final List'!$N$4:$N$252,0),0)</f>
        <v>0</v>
      </c>
      <c r="R2391" s="169">
        <f>IFERROR(MATCH(J2391,'Final List'!$P$4:$P$252,0),0)</f>
        <v>0</v>
      </c>
      <c r="S2391" s="169">
        <f t="shared" si="152"/>
        <v>0</v>
      </c>
      <c r="V2391" s="169" t="str">
        <f t="shared" si="153"/>
        <v>SHEPHERD BA</v>
      </c>
      <c r="W2391" s="169" t="s">
        <v>8896</v>
      </c>
    </row>
    <row r="2392" spans="2:23" x14ac:dyDescent="0.25">
      <c r="B2392" s="169" t="s">
        <v>92</v>
      </c>
      <c r="C2392" s="169" t="s">
        <v>42</v>
      </c>
      <c r="D2392" s="169" t="s">
        <v>6864</v>
      </c>
      <c r="E2392" s="169" t="s">
        <v>60</v>
      </c>
      <c r="F2392" s="245" t="str">
        <f t="shared" si="151"/>
        <v>Dhoz 71</v>
      </c>
      <c r="G2392" s="169" t="s">
        <v>636</v>
      </c>
      <c r="I2392" s="169" t="str">
        <f t="shared" ref="I2392:I2455" si="154">CONCATENATE(B2392,"_",C2392,"_",D2392,"_",E2392)</f>
        <v>L05_JV_006E_DE</v>
      </c>
      <c r="J2392" s="169" t="s">
        <v>10839</v>
      </c>
      <c r="K2392" s="169">
        <f>IFERROR(MATCH(J2392,'Final List'!$B$4:$B$252,0),0)</f>
        <v>0</v>
      </c>
      <c r="L2392" s="169">
        <f>IFERROR(MATCH(J2392,'Final List'!$D$4:$D$252,0),0)</f>
        <v>0</v>
      </c>
      <c r="M2392" s="169">
        <f>IFERROR(MATCH(J2392,'Final List'!$F$4:$F$251,0),0)</f>
        <v>0</v>
      </c>
      <c r="N2392" s="169">
        <f>IFERROR(MATCH(J2392,'Final List'!$H$4:$H$252,0),0)</f>
        <v>0</v>
      </c>
      <c r="O2392" s="169">
        <f>IFERROR(MATCH(J2392,'Final List'!$J$4:$J$252,0),0)</f>
        <v>0</v>
      </c>
      <c r="P2392" s="169">
        <f>IFERROR(MATCH(J2392,'Final List'!$L$4:$L$252,0),0)</f>
        <v>0</v>
      </c>
      <c r="Q2392" s="169">
        <f>IFERROR(MATCH(J2392,'Final List'!$N$4:$N$252,0),0)</f>
        <v>0</v>
      </c>
      <c r="R2392" s="169">
        <f>IFERROR(MATCH(J2392,'Final List'!$P$4:$P$252,0),0)</f>
        <v>0</v>
      </c>
      <c r="S2392" s="169">
        <f t="shared" si="152"/>
        <v>0</v>
      </c>
      <c r="V2392" s="169" t="str">
        <f t="shared" si="153"/>
        <v>PANCIT, NOEL 5</v>
      </c>
      <c r="W2392" s="169" t="s">
        <v>8895</v>
      </c>
    </row>
    <row r="2393" spans="2:23" x14ac:dyDescent="0.25">
      <c r="B2393" s="169" t="s">
        <v>1166</v>
      </c>
      <c r="C2393" s="169" t="s">
        <v>42</v>
      </c>
      <c r="D2393" s="169" t="s">
        <v>5741</v>
      </c>
      <c r="E2393" s="169" t="s">
        <v>19</v>
      </c>
      <c r="F2393" s="245" t="str">
        <f t="shared" si="151"/>
        <v>DVR 72</v>
      </c>
      <c r="G2393" s="169" t="s">
        <v>5720</v>
      </c>
      <c r="I2393" s="169" t="str">
        <f t="shared" si="154"/>
        <v>L11_JV_035E_RAISE</v>
      </c>
      <c r="J2393" s="169" t="s">
        <v>10864</v>
      </c>
      <c r="K2393" s="169">
        <f>IFERROR(MATCH(J2393,'Final List'!$B$4:$B$252,0),0)</f>
        <v>0</v>
      </c>
      <c r="L2393" s="169">
        <f>IFERROR(MATCH(J2393,'Final List'!$D$4:$D$252,0),0)</f>
        <v>0</v>
      </c>
      <c r="M2393" s="169">
        <f>IFERROR(MATCH(J2393,'Final List'!$F$4:$F$251,0),0)</f>
        <v>0</v>
      </c>
      <c r="N2393" s="169">
        <f>IFERROR(MATCH(J2393,'Final List'!$H$4:$H$252,0),0)</f>
        <v>0</v>
      </c>
      <c r="O2393" s="169">
        <f>IFERROR(MATCH(J2393,'Final List'!$J$4:$J$252,0),0)</f>
        <v>0</v>
      </c>
      <c r="P2393" s="169">
        <f>IFERROR(MATCH(J2393,'Final List'!$L$4:$L$252,0),0)</f>
        <v>0</v>
      </c>
      <c r="Q2393" s="169">
        <f>IFERROR(MATCH(J2393,'Final List'!$N$4:$N$252,0),0)</f>
        <v>0</v>
      </c>
      <c r="R2393" s="169">
        <f>IFERROR(MATCH(J2393,'Final List'!$P$4:$P$252,0),0)</f>
        <v>0</v>
      </c>
      <c r="S2393" s="169">
        <f t="shared" si="152"/>
        <v>0</v>
      </c>
      <c r="V2393" s="169" t="str">
        <f t="shared" si="153"/>
        <v>TURRA 1</v>
      </c>
      <c r="W2393" s="169" t="s">
        <v>2715</v>
      </c>
    </row>
    <row r="2394" spans="2:23" x14ac:dyDescent="0.25">
      <c r="B2394" s="169" t="s">
        <v>95</v>
      </c>
      <c r="C2394" s="169" t="s">
        <v>45</v>
      </c>
      <c r="D2394" s="169" t="s">
        <v>121</v>
      </c>
      <c r="E2394" s="169" t="s">
        <v>62</v>
      </c>
      <c r="F2394" s="245" t="str">
        <f t="shared" si="151"/>
        <v>RobS 79</v>
      </c>
      <c r="G2394" s="169" t="s">
        <v>6925</v>
      </c>
      <c r="I2394" s="169" t="str">
        <f t="shared" si="154"/>
        <v>L08_DPVE_022E_ROBBING</v>
      </c>
      <c r="J2394" s="169" t="s">
        <v>10850</v>
      </c>
      <c r="K2394" s="169">
        <f>IFERROR(MATCH(J2394,'Final List'!$B$4:$B$252,0),0)</f>
        <v>0</v>
      </c>
      <c r="L2394" s="169">
        <f>IFERROR(MATCH(J2394,'Final List'!$D$4:$D$252,0),0)</f>
        <v>0</v>
      </c>
      <c r="M2394" s="169">
        <f>IFERROR(MATCH(J2394,'Final List'!$F$4:$F$251,0),0)</f>
        <v>0</v>
      </c>
      <c r="N2394" s="169">
        <f>IFERROR(MATCH(J2394,'Final List'!$H$4:$H$252,0),0)</f>
        <v>0</v>
      </c>
      <c r="O2394" s="169">
        <f>IFERROR(MATCH(J2394,'Final List'!$J$4:$J$252,0),0)</f>
        <v>0</v>
      </c>
      <c r="P2394" s="169">
        <f>IFERROR(MATCH(J2394,'Final List'!$L$4:$L$252,0),0)</f>
        <v>0</v>
      </c>
      <c r="Q2394" s="169">
        <f>IFERROR(MATCH(J2394,'Final List'!$N$4:$N$252,0),0)</f>
        <v>0</v>
      </c>
      <c r="R2394" s="169">
        <f>IFERROR(MATCH(J2394,'Final List'!$P$4:$P$252,0),0)</f>
        <v>0</v>
      </c>
      <c r="S2394" s="169">
        <f t="shared" si="152"/>
        <v>0</v>
      </c>
      <c r="T2394" s="169" t="s">
        <v>68</v>
      </c>
      <c r="V2394" s="169" t="str">
        <f t="shared" si="153"/>
        <v>CAPUYAN 1</v>
      </c>
      <c r="W2394" s="169" t="s">
        <v>236</v>
      </c>
    </row>
    <row r="2395" spans="2:23" x14ac:dyDescent="0.25">
      <c r="B2395" s="169" t="s">
        <v>95</v>
      </c>
      <c r="C2395" s="169" t="s">
        <v>45</v>
      </c>
      <c r="D2395" s="169" t="s">
        <v>146</v>
      </c>
      <c r="E2395" s="169" t="s">
        <v>20</v>
      </c>
      <c r="F2395" s="245" t="str">
        <f t="shared" si="151"/>
        <v>DVW 74</v>
      </c>
      <c r="G2395" s="169" t="s">
        <v>577</v>
      </c>
      <c r="I2395" s="169" t="str">
        <f t="shared" si="154"/>
        <v>L08_DPVE_030E_WINZE</v>
      </c>
      <c r="J2395" s="169" t="s">
        <v>10875</v>
      </c>
      <c r="K2395" s="169">
        <f>IFERROR(MATCH(J2395,'Final List'!$B$4:$B$252,0),0)</f>
        <v>0</v>
      </c>
      <c r="L2395" s="169">
        <f>IFERROR(MATCH(J2395,'Final List'!$D$4:$D$252,0),0)</f>
        <v>0</v>
      </c>
      <c r="M2395" s="169">
        <f>IFERROR(MATCH(J2395,'Final List'!$F$4:$F$251,0),0)</f>
        <v>0</v>
      </c>
      <c r="N2395" s="169">
        <f>IFERROR(MATCH(J2395,'Final List'!$H$4:$H$252,0),0)</f>
        <v>0</v>
      </c>
      <c r="O2395" s="169">
        <f>IFERROR(MATCH(J2395,'Final List'!$J$4:$J$252,0),0)</f>
        <v>0</v>
      </c>
      <c r="P2395" s="169">
        <f>IFERROR(MATCH(J2395,'Final List'!$L$4:$L$252,0),0)</f>
        <v>0</v>
      </c>
      <c r="Q2395" s="169">
        <f>IFERROR(MATCH(J2395,'Final List'!$N$4:$N$252,0),0)</f>
        <v>0</v>
      </c>
      <c r="R2395" s="169">
        <f>IFERROR(MATCH(J2395,'Final List'!$P$4:$P$252,0),0)</f>
        <v>0</v>
      </c>
      <c r="S2395" s="169">
        <f t="shared" si="152"/>
        <v>0</v>
      </c>
      <c r="V2395" s="169" t="str">
        <f t="shared" si="153"/>
        <v>CARIKITAN 1</v>
      </c>
      <c r="W2395" s="169" t="s">
        <v>2706</v>
      </c>
    </row>
    <row r="2396" spans="2:23" x14ac:dyDescent="0.25">
      <c r="B2396" s="169" t="s">
        <v>1166</v>
      </c>
      <c r="C2396" s="169" t="s">
        <v>87</v>
      </c>
      <c r="D2396" s="169" t="s">
        <v>142</v>
      </c>
      <c r="E2396" s="169" t="s">
        <v>37</v>
      </c>
      <c r="F2396" s="245" t="str">
        <f t="shared" si="151"/>
        <v>Dhoz 71</v>
      </c>
      <c r="G2396" s="169" t="s">
        <v>5698</v>
      </c>
      <c r="H2396" s="169" t="s">
        <v>13172</v>
      </c>
      <c r="I2396" s="169" t="str">
        <f t="shared" si="154"/>
        <v>L11_NONE_038E_XCN</v>
      </c>
      <c r="J2396" s="169" t="s">
        <v>10853</v>
      </c>
      <c r="K2396" s="169">
        <f>IFERROR(MATCH(J2396,'Final List'!$B$4:$B$252,0),0)</f>
        <v>0</v>
      </c>
      <c r="L2396" s="169">
        <f>IFERROR(MATCH(J2396,'Final List'!$D$4:$D$252,0),0)</f>
        <v>0</v>
      </c>
      <c r="M2396" s="169">
        <f>IFERROR(MATCH(J2396,'Final List'!$F$4:$F$251,0),0)</f>
        <v>0</v>
      </c>
      <c r="N2396" s="169">
        <f>IFERROR(MATCH(J2396,'Final List'!$H$4:$H$252,0),0)</f>
        <v>0</v>
      </c>
      <c r="O2396" s="169">
        <f>IFERROR(MATCH(J2396,'Final List'!$J$4:$J$252,0),0)</f>
        <v>0</v>
      </c>
      <c r="P2396" s="169">
        <f>IFERROR(MATCH(J2396,'Final List'!$L$4:$L$252,0),0)</f>
        <v>0</v>
      </c>
      <c r="Q2396" s="169">
        <f>IFERROR(MATCH(J2396,'Final List'!$N$4:$N$252,0),0)</f>
        <v>0</v>
      </c>
      <c r="R2396" s="169">
        <f>IFERROR(MATCH(J2396,'Final List'!$P$4:$P$252,0),0)</f>
        <v>0</v>
      </c>
      <c r="S2396" s="169">
        <f t="shared" si="152"/>
        <v>0</v>
      </c>
      <c r="V2396" s="169" t="str">
        <f t="shared" si="153"/>
        <v>NITRO CB</v>
      </c>
      <c r="W2396" s="169" t="s">
        <v>8898</v>
      </c>
    </row>
    <row r="2397" spans="2:23" x14ac:dyDescent="0.25">
      <c r="B2397" s="169" t="s">
        <v>1166</v>
      </c>
      <c r="C2397" s="169" t="s">
        <v>42</v>
      </c>
      <c r="D2397" s="169" t="s">
        <v>177</v>
      </c>
      <c r="E2397" s="169" t="s">
        <v>36</v>
      </c>
      <c r="F2397" s="245" t="str">
        <f t="shared" si="151"/>
        <v>StpS 77</v>
      </c>
      <c r="G2397" s="169" t="s">
        <v>3303</v>
      </c>
      <c r="I2397" s="169" t="str">
        <f t="shared" si="154"/>
        <v>L11_JV_054E_STOPE</v>
      </c>
      <c r="J2397" s="169" t="s">
        <v>11125</v>
      </c>
      <c r="K2397" s="169">
        <f>IFERROR(MATCH(J2397,'Final List'!$B$4:$B$252,0),0)</f>
        <v>0</v>
      </c>
      <c r="L2397" s="169">
        <f>IFERROR(MATCH(J2397,'Final List'!$D$4:$D$252,0),0)</f>
        <v>0</v>
      </c>
      <c r="M2397" s="169">
        <f>IFERROR(MATCH(J2397,'Final List'!$F$4:$F$251,0),0)</f>
        <v>0</v>
      </c>
      <c r="N2397" s="169">
        <f>IFERROR(MATCH(J2397,'Final List'!$H$4:$H$252,0),0)</f>
        <v>0</v>
      </c>
      <c r="O2397" s="169">
        <f>IFERROR(MATCH(J2397,'Final List'!$J$4:$J$252,0),0)</f>
        <v>0</v>
      </c>
      <c r="P2397" s="169">
        <f>IFERROR(MATCH(J2397,'Final List'!$L$4:$L$252,0),0)</f>
        <v>0</v>
      </c>
      <c r="Q2397" s="169">
        <f>IFERROR(MATCH(J2397,'Final List'!$N$4:$N$252,0),0)</f>
        <v>0</v>
      </c>
      <c r="R2397" s="169">
        <f>IFERROR(MATCH(J2397,'Final List'!$P$4:$P$252,0),0)</f>
        <v>0</v>
      </c>
      <c r="S2397" s="169">
        <f t="shared" si="152"/>
        <v>0</v>
      </c>
      <c r="T2397" s="169" t="s">
        <v>68</v>
      </c>
      <c r="V2397" s="169" t="str">
        <f t="shared" si="153"/>
        <v>SHEPHERD AC</v>
      </c>
      <c r="W2397" s="169" t="s">
        <v>2713</v>
      </c>
    </row>
    <row r="2398" spans="2:23" x14ac:dyDescent="0.25">
      <c r="B2398" s="169" t="s">
        <v>96</v>
      </c>
      <c r="C2398" s="169" t="s">
        <v>38</v>
      </c>
      <c r="D2398" s="169" t="s">
        <v>111</v>
      </c>
      <c r="E2398" s="169" t="s">
        <v>62</v>
      </c>
      <c r="F2398" s="245" t="str">
        <f t="shared" si="151"/>
        <v>RobS 79</v>
      </c>
      <c r="G2398" s="169" t="s">
        <v>9352</v>
      </c>
      <c r="I2398" s="169" t="str">
        <f t="shared" si="154"/>
        <v>L09_GHV_004W_ROBBING</v>
      </c>
      <c r="J2398" s="169" t="s">
        <v>11118</v>
      </c>
      <c r="K2398" s="169">
        <f>IFERROR(MATCH(J2398,'Final List'!$B$4:$B$252,0),0)</f>
        <v>0</v>
      </c>
      <c r="L2398" s="169">
        <f>IFERROR(MATCH(J2398,'Final List'!$D$4:$D$252,0),0)</f>
        <v>0</v>
      </c>
      <c r="M2398" s="169">
        <f>IFERROR(MATCH(J2398,'Final List'!$F$4:$F$251,0),0)</f>
        <v>0</v>
      </c>
      <c r="N2398" s="169">
        <f>IFERROR(MATCH(J2398,'Final List'!$H$4:$H$252,0),0)</f>
        <v>0</v>
      </c>
      <c r="O2398" s="169">
        <f>IFERROR(MATCH(J2398,'Final List'!$J$4:$J$252,0),0)</f>
        <v>0</v>
      </c>
      <c r="P2398" s="169">
        <f>IFERROR(MATCH(J2398,'Final List'!$L$4:$L$252,0),0)</f>
        <v>0</v>
      </c>
      <c r="Q2398" s="169">
        <f>IFERROR(MATCH(J2398,'Final List'!$N$4:$N$252,0),0)</f>
        <v>0</v>
      </c>
      <c r="R2398" s="169">
        <f>IFERROR(MATCH(J2398,'Final List'!$P$4:$P$252,0),0)</f>
        <v>0</v>
      </c>
      <c r="S2398" s="169">
        <f t="shared" si="152"/>
        <v>0</v>
      </c>
      <c r="T2398" s="169" t="s">
        <v>68</v>
      </c>
      <c r="V2398" s="169" t="str">
        <f t="shared" si="153"/>
        <v>SHEPHERD AA 1</v>
      </c>
      <c r="W2398" s="169" t="s">
        <v>2707</v>
      </c>
    </row>
    <row r="2399" spans="2:23" x14ac:dyDescent="0.25">
      <c r="B2399" s="169" t="s">
        <v>95</v>
      </c>
      <c r="C2399" s="169" t="s">
        <v>42</v>
      </c>
      <c r="D2399" s="169" t="s">
        <v>99</v>
      </c>
      <c r="E2399" s="169" t="s">
        <v>61</v>
      </c>
      <c r="F2399" s="245" t="str">
        <f t="shared" si="151"/>
        <v>Dhoz 71</v>
      </c>
      <c r="G2399" s="169" t="s">
        <v>305</v>
      </c>
      <c r="I2399" s="169" t="str">
        <f t="shared" si="154"/>
        <v>L08_JV_028W_DW</v>
      </c>
      <c r="J2399" s="169" t="s">
        <v>10858</v>
      </c>
      <c r="K2399" s="169">
        <f>IFERROR(MATCH(J2399,'Final List'!$B$4:$B$252,0),0)</f>
        <v>0</v>
      </c>
      <c r="L2399" s="169">
        <f>IFERROR(MATCH(J2399,'Final List'!$D$4:$D$252,0),0)</f>
        <v>0</v>
      </c>
      <c r="M2399" s="169">
        <f>IFERROR(MATCH(J2399,'Final List'!$F$4:$F$251,0),0)</f>
        <v>0</v>
      </c>
      <c r="N2399" s="169">
        <f>IFERROR(MATCH(J2399,'Final List'!$H$4:$H$252,0),0)</f>
        <v>0</v>
      </c>
      <c r="O2399" s="169">
        <f>IFERROR(MATCH(J2399,'Final List'!$J$4:$J$252,0),0)</f>
        <v>0</v>
      </c>
      <c r="P2399" s="169">
        <f>IFERROR(MATCH(J2399,'Final List'!$L$4:$L$252,0),0)</f>
        <v>0</v>
      </c>
      <c r="Q2399" s="169">
        <f>IFERROR(MATCH(J2399,'Final List'!$N$4:$N$252,0),0)</f>
        <v>0</v>
      </c>
      <c r="R2399" s="169">
        <f>IFERROR(MATCH(J2399,'Final List'!$P$4:$P$252,0),0)</f>
        <v>0</v>
      </c>
      <c r="S2399" s="169">
        <f t="shared" si="152"/>
        <v>0</v>
      </c>
      <c r="V2399" s="169" t="str">
        <f t="shared" si="153"/>
        <v>CABONITA 1</v>
      </c>
      <c r="W2399" s="169" t="s">
        <v>8895</v>
      </c>
    </row>
    <row r="2400" spans="2:23" x14ac:dyDescent="0.25">
      <c r="B2400" s="169" t="s">
        <v>96</v>
      </c>
      <c r="C2400" s="169" t="s">
        <v>59</v>
      </c>
      <c r="D2400" s="169" t="s">
        <v>171</v>
      </c>
      <c r="E2400" s="169" t="s">
        <v>19</v>
      </c>
      <c r="F2400" s="245" t="str">
        <f t="shared" si="151"/>
        <v>DVR 72</v>
      </c>
      <c r="G2400" s="169" t="s">
        <v>5101</v>
      </c>
      <c r="H2400" s="169" t="s">
        <v>2972</v>
      </c>
      <c r="I2400" s="169" t="str">
        <f t="shared" si="154"/>
        <v>L09_GHVHW_015W_RAISE</v>
      </c>
      <c r="J2400" s="169" t="s">
        <v>10859</v>
      </c>
      <c r="K2400" s="169">
        <f>IFERROR(MATCH(J2400,'Final List'!$B$4:$B$252,0),0)</f>
        <v>0</v>
      </c>
      <c r="L2400" s="169">
        <f>IFERROR(MATCH(J2400,'Final List'!$D$4:$D$252,0),0)</f>
        <v>0</v>
      </c>
      <c r="M2400" s="169">
        <f>IFERROR(MATCH(J2400,'Final List'!$F$4:$F$251,0),0)</f>
        <v>0</v>
      </c>
      <c r="N2400" s="169">
        <f>IFERROR(MATCH(J2400,'Final List'!$H$4:$H$252,0),0)</f>
        <v>0</v>
      </c>
      <c r="O2400" s="169">
        <f>IFERROR(MATCH(J2400,'Final List'!$J$4:$J$252,0),0)</f>
        <v>0</v>
      </c>
      <c r="P2400" s="169">
        <f>IFERROR(MATCH(J2400,'Final List'!$L$4:$L$252,0),0)</f>
        <v>0</v>
      </c>
      <c r="Q2400" s="169">
        <f>IFERROR(MATCH(J2400,'Final List'!$N$4:$N$252,0),0)</f>
        <v>0</v>
      </c>
      <c r="R2400" s="169">
        <f>IFERROR(MATCH(J2400,'Final List'!$P$4:$P$252,0),0)</f>
        <v>0</v>
      </c>
      <c r="S2400" s="169">
        <f t="shared" si="152"/>
        <v>0</v>
      </c>
      <c r="V2400" s="169" t="str">
        <f t="shared" si="153"/>
        <v>FABROA 1</v>
      </c>
      <c r="W2400" s="169" t="s">
        <v>2715</v>
      </c>
    </row>
    <row r="2401" spans="2:23" x14ac:dyDescent="0.25">
      <c r="B2401" s="169" t="s">
        <v>258</v>
      </c>
      <c r="C2401" s="169" t="s">
        <v>45</v>
      </c>
      <c r="D2401" s="169" t="s">
        <v>4482</v>
      </c>
      <c r="E2401" s="169" t="s">
        <v>60</v>
      </c>
      <c r="F2401" s="245" t="str">
        <f t="shared" si="151"/>
        <v>Dhoz 71</v>
      </c>
      <c r="G2401" s="169" t="s">
        <v>10805</v>
      </c>
      <c r="I2401" s="169" t="str">
        <f t="shared" si="154"/>
        <v>L10_DPVE_084E_DE</v>
      </c>
      <c r="J2401" s="169" t="s">
        <v>10861</v>
      </c>
      <c r="K2401" s="169">
        <f>IFERROR(MATCH(J2401,'Final List'!$B$4:$B$252,0),0)</f>
        <v>0</v>
      </c>
      <c r="L2401" s="169">
        <f>IFERROR(MATCH(J2401,'Final List'!$D$4:$D$252,0),0)</f>
        <v>0</v>
      </c>
      <c r="M2401" s="169">
        <f>IFERROR(MATCH(J2401,'Final List'!$F$4:$F$251,0),0)</f>
        <v>0</v>
      </c>
      <c r="N2401" s="169">
        <f>IFERROR(MATCH(J2401,'Final List'!$H$4:$H$252,0),0)</f>
        <v>0</v>
      </c>
      <c r="O2401" s="169">
        <f>IFERROR(MATCH(J2401,'Final List'!$J$4:$J$252,0),0)</f>
        <v>0</v>
      </c>
      <c r="P2401" s="169">
        <f>IFERROR(MATCH(J2401,'Final List'!$L$4:$L$252,0),0)</f>
        <v>0</v>
      </c>
      <c r="Q2401" s="169">
        <f>IFERROR(MATCH(J2401,'Final List'!$N$4:$N$252,0),0)</f>
        <v>0</v>
      </c>
      <c r="R2401" s="169">
        <f>IFERROR(MATCH(J2401,'Final List'!$P$4:$P$252,0),0)</f>
        <v>0</v>
      </c>
      <c r="S2401" s="169">
        <f t="shared" si="152"/>
        <v>0</v>
      </c>
      <c r="V2401" s="169" t="str">
        <f t="shared" si="153"/>
        <v>SHEPHERD BD 1</v>
      </c>
      <c r="W2401" s="169" t="s">
        <v>8896</v>
      </c>
    </row>
    <row r="2402" spans="2:23" x14ac:dyDescent="0.25">
      <c r="B2402" s="169" t="s">
        <v>8904</v>
      </c>
      <c r="C2402" s="169" t="s">
        <v>41</v>
      </c>
      <c r="D2402" s="169" t="s">
        <v>7301</v>
      </c>
      <c r="E2402" s="169" t="s">
        <v>62</v>
      </c>
      <c r="F2402" s="245" t="str">
        <f t="shared" si="151"/>
        <v>RobS 79</v>
      </c>
      <c r="G2402" s="169" t="s">
        <v>9366</v>
      </c>
      <c r="I2402" s="169" t="str">
        <f t="shared" si="154"/>
        <v>L03_CTV_010W_ROBBING</v>
      </c>
      <c r="J2402" s="169" t="s">
        <v>10862</v>
      </c>
      <c r="K2402" s="169">
        <f>IFERROR(MATCH(J2402,'Final List'!$B$4:$B$252,0),0)</f>
        <v>0</v>
      </c>
      <c r="L2402" s="169">
        <f>IFERROR(MATCH(J2402,'Final List'!$D$4:$D$252,0),0)</f>
        <v>0</v>
      </c>
      <c r="M2402" s="169">
        <f>IFERROR(MATCH(J2402,'Final List'!$F$4:$F$251,0),0)</f>
        <v>0</v>
      </c>
      <c r="N2402" s="169">
        <f>IFERROR(MATCH(J2402,'Final List'!$H$4:$H$252,0),0)</f>
        <v>0</v>
      </c>
      <c r="O2402" s="169">
        <f>IFERROR(MATCH(J2402,'Final List'!$J$4:$J$252,0),0)</f>
        <v>0</v>
      </c>
      <c r="P2402" s="169">
        <f>IFERROR(MATCH(J2402,'Final List'!$L$4:$L$252,0),0)</f>
        <v>0</v>
      </c>
      <c r="Q2402" s="169">
        <f>IFERROR(MATCH(J2402,'Final List'!$N$4:$N$252,0),0)</f>
        <v>0</v>
      </c>
      <c r="R2402" s="169">
        <f>IFERROR(MATCH(J2402,'Final List'!$P$4:$P$252,0),0)</f>
        <v>0</v>
      </c>
      <c r="S2402" s="169">
        <f t="shared" si="152"/>
        <v>0</v>
      </c>
      <c r="T2402" s="169" t="s">
        <v>68</v>
      </c>
      <c r="V2402" s="169" t="str">
        <f t="shared" si="153"/>
        <v>FERNANDEZ, RM 2</v>
      </c>
      <c r="W2402" s="169" t="s">
        <v>2707</v>
      </c>
    </row>
    <row r="2403" spans="2:23" x14ac:dyDescent="0.25">
      <c r="B2403" s="169" t="s">
        <v>1166</v>
      </c>
      <c r="C2403" s="169" t="s">
        <v>87</v>
      </c>
      <c r="D2403" s="169" t="s">
        <v>218</v>
      </c>
      <c r="E2403" s="169" t="s">
        <v>37</v>
      </c>
      <c r="F2403" s="245" t="str">
        <f t="shared" si="151"/>
        <v>Dhoz 71</v>
      </c>
      <c r="G2403" s="169" t="s">
        <v>597</v>
      </c>
      <c r="I2403" s="169" t="str">
        <f t="shared" si="154"/>
        <v>L11_NONE_062E_XCN</v>
      </c>
      <c r="J2403" s="169" t="s">
        <v>10869</v>
      </c>
      <c r="K2403" s="169">
        <f>IFERROR(MATCH(J2403,'Final List'!$B$4:$B$252,0),0)</f>
        <v>0</v>
      </c>
      <c r="L2403" s="169">
        <f>IFERROR(MATCH(J2403,'Final List'!$D$4:$D$252,0),0)</f>
        <v>0</v>
      </c>
      <c r="M2403" s="169">
        <f>IFERROR(MATCH(J2403,'Final List'!$F$4:$F$251,0),0)</f>
        <v>0</v>
      </c>
      <c r="N2403" s="169">
        <f>IFERROR(MATCH(J2403,'Final List'!$H$4:$H$252,0),0)</f>
        <v>0</v>
      </c>
      <c r="O2403" s="169">
        <f>IFERROR(MATCH(J2403,'Final List'!$J$4:$J$252,0),0)</f>
        <v>0</v>
      </c>
      <c r="P2403" s="169">
        <f>IFERROR(MATCH(J2403,'Final List'!$L$4:$L$252,0),0)</f>
        <v>0</v>
      </c>
      <c r="Q2403" s="169">
        <f>IFERROR(MATCH(J2403,'Final List'!$N$4:$N$252,0),0)</f>
        <v>0</v>
      </c>
      <c r="R2403" s="169">
        <f>IFERROR(MATCH(J2403,'Final List'!$P$4:$P$252,0),0)</f>
        <v>0</v>
      </c>
      <c r="S2403" s="169">
        <f t="shared" si="152"/>
        <v>0</v>
      </c>
      <c r="V2403" s="169" t="str">
        <f t="shared" si="153"/>
        <v>PANCIT, NOEL 6</v>
      </c>
      <c r="W2403" s="169" t="s">
        <v>8898</v>
      </c>
    </row>
    <row r="2404" spans="2:23" x14ac:dyDescent="0.25">
      <c r="B2404" s="169" t="s">
        <v>96</v>
      </c>
      <c r="C2404" s="169" t="s">
        <v>42</v>
      </c>
      <c r="D2404" s="169" t="s">
        <v>289</v>
      </c>
      <c r="E2404" s="169" t="s">
        <v>20</v>
      </c>
      <c r="F2404" s="245" t="str">
        <f t="shared" si="151"/>
        <v>DVW 74</v>
      </c>
      <c r="G2404" s="169" t="s">
        <v>363</v>
      </c>
      <c r="H2404" s="169" t="s">
        <v>485</v>
      </c>
      <c r="I2404" s="169" t="str">
        <f t="shared" si="154"/>
        <v>L09_JV_059E_WINZE</v>
      </c>
      <c r="J2404" s="169" t="s">
        <v>10866</v>
      </c>
      <c r="K2404" s="169">
        <f>IFERROR(MATCH(J2404,'Final List'!$B$4:$B$252,0),0)</f>
        <v>0</v>
      </c>
      <c r="L2404" s="169">
        <f>IFERROR(MATCH(J2404,'Final List'!$D$4:$D$252,0),0)</f>
        <v>0</v>
      </c>
      <c r="M2404" s="169">
        <f>IFERROR(MATCH(J2404,'Final List'!$F$4:$F$251,0),0)</f>
        <v>0</v>
      </c>
      <c r="N2404" s="169">
        <f>IFERROR(MATCH(J2404,'Final List'!$H$4:$H$252,0),0)</f>
        <v>0</v>
      </c>
      <c r="O2404" s="169">
        <f>IFERROR(MATCH(J2404,'Final List'!$J$4:$J$252,0),0)</f>
        <v>0</v>
      </c>
      <c r="P2404" s="169">
        <f>IFERROR(MATCH(J2404,'Final List'!$L$4:$L$252,0),0)</f>
        <v>0</v>
      </c>
      <c r="Q2404" s="169">
        <f>IFERROR(MATCH(J2404,'Final List'!$N$4:$N$252,0),0)</f>
        <v>0</v>
      </c>
      <c r="R2404" s="169">
        <f>IFERROR(MATCH(J2404,'Final List'!$P$4:$P$252,0),0)</f>
        <v>0</v>
      </c>
      <c r="S2404" s="169">
        <f t="shared" si="152"/>
        <v>0</v>
      </c>
      <c r="V2404" s="169" t="str">
        <f t="shared" si="153"/>
        <v>BALANGHIG 3</v>
      </c>
      <c r="W2404" s="169" t="s">
        <v>2706</v>
      </c>
    </row>
    <row r="2405" spans="2:23" x14ac:dyDescent="0.25">
      <c r="B2405" s="169" t="s">
        <v>1166</v>
      </c>
      <c r="C2405" s="169" t="s">
        <v>45</v>
      </c>
      <c r="D2405" s="169" t="s">
        <v>147</v>
      </c>
      <c r="E2405" s="169" t="s">
        <v>19</v>
      </c>
      <c r="F2405" s="245" t="str">
        <f t="shared" si="151"/>
        <v>DVR 72</v>
      </c>
      <c r="G2405" s="169" t="s">
        <v>862</v>
      </c>
      <c r="H2405" s="169" t="s">
        <v>367</v>
      </c>
      <c r="I2405" s="169" t="str">
        <f t="shared" si="154"/>
        <v>L11_DPVE_024E_RAISE</v>
      </c>
      <c r="J2405" s="169" t="s">
        <v>10867</v>
      </c>
      <c r="K2405" s="169">
        <f>IFERROR(MATCH(J2405,'Final List'!$B$4:$B$252,0),0)</f>
        <v>0</v>
      </c>
      <c r="L2405" s="169">
        <f>IFERROR(MATCH(J2405,'Final List'!$D$4:$D$252,0),0)</f>
        <v>0</v>
      </c>
      <c r="M2405" s="169">
        <f>IFERROR(MATCH(J2405,'Final List'!$F$4:$F$251,0),0)</f>
        <v>0</v>
      </c>
      <c r="N2405" s="169">
        <f>IFERROR(MATCH(J2405,'Final List'!$H$4:$H$252,0),0)</f>
        <v>0</v>
      </c>
      <c r="O2405" s="169">
        <f>IFERROR(MATCH(J2405,'Final List'!$J$4:$J$252,0),0)</f>
        <v>0</v>
      </c>
      <c r="P2405" s="169">
        <f>IFERROR(MATCH(J2405,'Final List'!$L$4:$L$252,0),0)</f>
        <v>0</v>
      </c>
      <c r="Q2405" s="169">
        <f>IFERROR(MATCH(J2405,'Final List'!$N$4:$N$252,0),0)</f>
        <v>0</v>
      </c>
      <c r="R2405" s="169">
        <f>IFERROR(MATCH(J2405,'Final List'!$P$4:$P$252,0),0)</f>
        <v>0</v>
      </c>
      <c r="S2405" s="169">
        <f t="shared" si="152"/>
        <v>0</v>
      </c>
      <c r="V2405" s="169" t="str">
        <f t="shared" si="153"/>
        <v>LERIO 1</v>
      </c>
      <c r="W2405" s="169" t="s">
        <v>2715</v>
      </c>
    </row>
    <row r="2406" spans="2:23" x14ac:dyDescent="0.25">
      <c r="B2406" s="169" t="s">
        <v>258</v>
      </c>
      <c r="C2406" s="169" t="s">
        <v>57</v>
      </c>
      <c r="D2406" s="169" t="s">
        <v>201</v>
      </c>
      <c r="E2406" s="169" t="s">
        <v>211</v>
      </c>
      <c r="F2406" s="245" t="str">
        <f t="shared" si="151"/>
        <v>StpS 77</v>
      </c>
      <c r="G2406" s="169" t="s">
        <v>5703</v>
      </c>
      <c r="I2406" s="169" t="str">
        <f t="shared" si="154"/>
        <v>L10_JVSPLIT_067E_STOPE PREP</v>
      </c>
      <c r="J2406" s="169" t="s">
        <v>10868</v>
      </c>
      <c r="K2406" s="169">
        <f>IFERROR(MATCH(J2406,'Final List'!$B$4:$B$252,0),0)</f>
        <v>0</v>
      </c>
      <c r="L2406" s="169">
        <f>IFERROR(MATCH(J2406,'Final List'!$D$4:$D$252,0),0)</f>
        <v>0</v>
      </c>
      <c r="M2406" s="169">
        <f>IFERROR(MATCH(J2406,'Final List'!$F$4:$F$251,0),0)</f>
        <v>0</v>
      </c>
      <c r="N2406" s="169">
        <f>IFERROR(MATCH(J2406,'Final List'!$H$4:$H$252,0),0)</f>
        <v>0</v>
      </c>
      <c r="O2406" s="169">
        <f>IFERROR(MATCH(J2406,'Final List'!$J$4:$J$252,0),0)</f>
        <v>0</v>
      </c>
      <c r="P2406" s="169">
        <f>IFERROR(MATCH(J2406,'Final List'!$L$4:$L$252,0),0)</f>
        <v>0</v>
      </c>
      <c r="Q2406" s="169">
        <f>IFERROR(MATCH(J2406,'Final List'!$N$4:$N$252,0),0)</f>
        <v>0</v>
      </c>
      <c r="R2406" s="169">
        <f>IFERROR(MATCH(J2406,'Final List'!$P$4:$P$252,0),0)</f>
        <v>0</v>
      </c>
      <c r="S2406" s="169">
        <f t="shared" si="152"/>
        <v>0</v>
      </c>
      <c r="T2406" s="169" t="s">
        <v>68</v>
      </c>
      <c r="V2406" s="169" t="str">
        <f t="shared" si="153"/>
        <v>OLIVEROS 2</v>
      </c>
      <c r="W2406" s="169" t="s">
        <v>2712</v>
      </c>
    </row>
    <row r="2407" spans="2:23" x14ac:dyDescent="0.25">
      <c r="B2407" s="169" t="s">
        <v>258</v>
      </c>
      <c r="C2407" s="169" t="s">
        <v>43</v>
      </c>
      <c r="D2407" s="169" t="s">
        <v>870</v>
      </c>
      <c r="E2407" s="169" t="s">
        <v>19</v>
      </c>
      <c r="F2407" s="245" t="str">
        <f t="shared" si="151"/>
        <v>DVR 72</v>
      </c>
      <c r="G2407" s="169" t="s">
        <v>10164</v>
      </c>
      <c r="I2407" s="169" t="str">
        <f t="shared" si="154"/>
        <v>L10_GHVSPLIT_073E_RAISE</v>
      </c>
      <c r="J2407" s="169" t="s">
        <v>4194</v>
      </c>
      <c r="K2407" s="169">
        <f>IFERROR(MATCH(J2407,'Final List'!$B$4:$B$252,0),0)</f>
        <v>0</v>
      </c>
      <c r="L2407" s="169">
        <f>IFERROR(MATCH(J2407,'Final List'!$D$4:$D$252,0),0)</f>
        <v>0</v>
      </c>
      <c r="M2407" s="169">
        <f>IFERROR(MATCH(J2407,'Final List'!$F$4:$F$251,0),0)</f>
        <v>0</v>
      </c>
      <c r="N2407" s="169">
        <f>IFERROR(MATCH(J2407,'Final List'!$H$4:$H$252,0),0)</f>
        <v>0</v>
      </c>
      <c r="O2407" s="169">
        <f>IFERROR(MATCH(J2407,'Final List'!$J$4:$J$252,0),0)</f>
        <v>0</v>
      </c>
      <c r="P2407" s="169">
        <f>IFERROR(MATCH(J2407,'Final List'!$L$4:$L$252,0),0)</f>
        <v>0</v>
      </c>
      <c r="Q2407" s="169">
        <f>IFERROR(MATCH(J2407,'Final List'!$N$4:$N$252,0),0)</f>
        <v>0</v>
      </c>
      <c r="R2407" s="169">
        <f>IFERROR(MATCH(J2407,'Final List'!$P$4:$P$252,0),0)</f>
        <v>0</v>
      </c>
      <c r="S2407" s="169">
        <f t="shared" si="152"/>
        <v>0</v>
      </c>
      <c r="V2407" s="169" t="str">
        <f t="shared" si="153"/>
        <v>SHEPHERD BA 1</v>
      </c>
      <c r="W2407" s="169" t="s">
        <v>2715</v>
      </c>
    </row>
    <row r="2408" spans="2:23" x14ac:dyDescent="0.25">
      <c r="B2408" s="169" t="s">
        <v>96</v>
      </c>
      <c r="C2408" s="169" t="s">
        <v>57</v>
      </c>
      <c r="D2408" s="169" t="s">
        <v>218</v>
      </c>
      <c r="E2408" s="169" t="s">
        <v>61</v>
      </c>
      <c r="F2408" s="245" t="str">
        <f t="shared" si="151"/>
        <v>Dhoz 71</v>
      </c>
      <c r="G2408" s="169" t="s">
        <v>745</v>
      </c>
      <c r="I2408" s="169" t="str">
        <f t="shared" si="154"/>
        <v>L09_JVSPLIT_062E_DW</v>
      </c>
      <c r="J2408" s="169" t="s">
        <v>10876</v>
      </c>
      <c r="K2408" s="169">
        <f>IFERROR(MATCH(J2408,'Final List'!$B$4:$B$252,0),0)</f>
        <v>0</v>
      </c>
      <c r="L2408" s="169">
        <f>IFERROR(MATCH(J2408,'Final List'!$D$4:$D$252,0),0)</f>
        <v>0</v>
      </c>
      <c r="M2408" s="169">
        <f>IFERROR(MATCH(J2408,'Final List'!$F$4:$F$251,0),0)</f>
        <v>0</v>
      </c>
      <c r="N2408" s="169">
        <f>IFERROR(MATCH(J2408,'Final List'!$H$4:$H$252,0),0)</f>
        <v>0</v>
      </c>
      <c r="O2408" s="169">
        <f>IFERROR(MATCH(J2408,'Final List'!$J$4:$J$252,0),0)</f>
        <v>0</v>
      </c>
      <c r="P2408" s="169">
        <f>IFERROR(MATCH(J2408,'Final List'!$L$4:$L$252,0),0)</f>
        <v>0</v>
      </c>
      <c r="Q2408" s="169">
        <f>IFERROR(MATCH(J2408,'Final List'!$N$4:$N$252,0),0)</f>
        <v>0</v>
      </c>
      <c r="R2408" s="169">
        <f>IFERROR(MATCH(J2408,'Final List'!$P$4:$P$252,0),0)</f>
        <v>0</v>
      </c>
      <c r="S2408" s="169">
        <f t="shared" si="152"/>
        <v>0</v>
      </c>
      <c r="V2408" s="169" t="str">
        <f t="shared" si="153"/>
        <v>CANOY 2</v>
      </c>
      <c r="W2408" s="169" t="s">
        <v>8896</v>
      </c>
    </row>
    <row r="2409" spans="2:23" x14ac:dyDescent="0.25">
      <c r="B2409" s="169" t="s">
        <v>1167</v>
      </c>
      <c r="C2409" s="169" t="s">
        <v>87</v>
      </c>
      <c r="D2409" s="169" t="s">
        <v>165</v>
      </c>
      <c r="E2409" s="169" t="s">
        <v>63</v>
      </c>
      <c r="F2409" s="245" t="str">
        <f t="shared" si="151"/>
        <v>Dhoz 71</v>
      </c>
      <c r="G2409" s="169" t="s">
        <v>3020</v>
      </c>
      <c r="I2409" s="169" t="str">
        <f t="shared" si="154"/>
        <v>L12_NONE_056E_XCS</v>
      </c>
      <c r="J2409" s="169" t="s">
        <v>10877</v>
      </c>
      <c r="K2409" s="169">
        <f>IFERROR(MATCH(J2409,'Final List'!$B$4:$B$252,0),0)</f>
        <v>0</v>
      </c>
      <c r="L2409" s="169">
        <f>IFERROR(MATCH(J2409,'Final List'!$D$4:$D$252,0),0)</f>
        <v>0</v>
      </c>
      <c r="M2409" s="169">
        <f>IFERROR(MATCH(J2409,'Final List'!$F$4:$F$251,0),0)</f>
        <v>0</v>
      </c>
      <c r="N2409" s="169">
        <f>IFERROR(MATCH(J2409,'Final List'!$H$4:$H$252,0),0)</f>
        <v>0</v>
      </c>
      <c r="O2409" s="169">
        <f>IFERROR(MATCH(J2409,'Final List'!$J$4:$J$252,0),0)</f>
        <v>0</v>
      </c>
      <c r="P2409" s="169">
        <f>IFERROR(MATCH(J2409,'Final List'!$L$4:$L$252,0),0)</f>
        <v>0</v>
      </c>
      <c r="Q2409" s="169">
        <f>IFERROR(MATCH(J2409,'Final List'!$N$4:$N$252,0),0)</f>
        <v>0</v>
      </c>
      <c r="R2409" s="169">
        <f>IFERROR(MATCH(J2409,'Final List'!$P$4:$P$252,0),0)</f>
        <v>0</v>
      </c>
      <c r="S2409" s="169">
        <f t="shared" si="152"/>
        <v>0</v>
      </c>
      <c r="V2409" s="169" t="str">
        <f t="shared" si="153"/>
        <v>PANCIT, NOEL 7</v>
      </c>
      <c r="W2409" s="169" t="s">
        <v>8898</v>
      </c>
    </row>
    <row r="2410" spans="2:23" x14ac:dyDescent="0.25">
      <c r="B2410" s="169" t="s">
        <v>96</v>
      </c>
      <c r="C2410" s="169" t="s">
        <v>45</v>
      </c>
      <c r="D2410" s="169" t="s">
        <v>143</v>
      </c>
      <c r="E2410" s="169" t="s">
        <v>6143</v>
      </c>
      <c r="F2410" s="245" t="str">
        <f t="shared" si="151"/>
        <v>Dhoz 71</v>
      </c>
      <c r="G2410" s="169" t="s">
        <v>350</v>
      </c>
      <c r="I2410" s="169" t="str">
        <f t="shared" si="154"/>
        <v>L09_DPVE_032E_DE_ISL</v>
      </c>
      <c r="J2410" s="169" t="s">
        <v>10878</v>
      </c>
      <c r="K2410" s="169">
        <f>IFERROR(MATCH(J2410,'Final List'!$B$4:$B$252,0),0)</f>
        <v>0</v>
      </c>
      <c r="L2410" s="169">
        <f>IFERROR(MATCH(J2410,'Final List'!$D$4:$D$252,0),0)</f>
        <v>0</v>
      </c>
      <c r="M2410" s="169">
        <f>IFERROR(MATCH(J2410,'Final List'!$F$4:$F$251,0),0)</f>
        <v>0</v>
      </c>
      <c r="N2410" s="169">
        <f>IFERROR(MATCH(J2410,'Final List'!$H$4:$H$252,0),0)</f>
        <v>0</v>
      </c>
      <c r="O2410" s="169">
        <f>IFERROR(MATCH(J2410,'Final List'!$J$4:$J$252,0),0)</f>
        <v>0</v>
      </c>
      <c r="P2410" s="169">
        <f>IFERROR(MATCH(J2410,'Final List'!$L$4:$L$252,0),0)</f>
        <v>0</v>
      </c>
      <c r="Q2410" s="169">
        <f>IFERROR(MATCH(J2410,'Final List'!$N$4:$N$252,0),0)</f>
        <v>0</v>
      </c>
      <c r="R2410" s="169">
        <f>IFERROR(MATCH(J2410,'Final List'!$P$4:$P$252,0),0)</f>
        <v>0</v>
      </c>
      <c r="S2410" s="169">
        <f t="shared" si="152"/>
        <v>0</v>
      </c>
      <c r="V2410" s="169" t="str">
        <f t="shared" si="153"/>
        <v>QUIJANO 1</v>
      </c>
      <c r="W2410" s="169" t="s">
        <v>8896</v>
      </c>
    </row>
    <row r="2411" spans="2:23" x14ac:dyDescent="0.25">
      <c r="B2411" s="169" t="s">
        <v>95</v>
      </c>
      <c r="C2411" s="169" t="s">
        <v>38</v>
      </c>
      <c r="D2411" s="169" t="s">
        <v>110</v>
      </c>
      <c r="E2411" s="169" t="s">
        <v>221</v>
      </c>
      <c r="F2411" s="245" t="str">
        <f t="shared" si="151"/>
        <v>RobC 80</v>
      </c>
      <c r="G2411" s="169" t="s">
        <v>942</v>
      </c>
      <c r="I2411" s="169" t="str">
        <f t="shared" si="154"/>
        <v>L08_GHV_004E_WINZE STOPE</v>
      </c>
      <c r="J2411" s="169" t="s">
        <v>11016</v>
      </c>
      <c r="K2411" s="169">
        <f>IFERROR(MATCH(J2411,'Final List'!$B$4:$B$252,0),0)</f>
        <v>0</v>
      </c>
      <c r="L2411" s="169">
        <f>IFERROR(MATCH(J2411,'Final List'!$D$4:$D$252,0),0)</f>
        <v>0</v>
      </c>
      <c r="M2411" s="169">
        <f>IFERROR(MATCH(J2411,'Final List'!$F$4:$F$251,0),0)</f>
        <v>0</v>
      </c>
      <c r="N2411" s="169">
        <f>IFERROR(MATCH(J2411,'Final List'!$H$4:$H$252,0),0)</f>
        <v>0</v>
      </c>
      <c r="O2411" s="169">
        <f>IFERROR(MATCH(J2411,'Final List'!$J$4:$J$252,0),0)</f>
        <v>0</v>
      </c>
      <c r="P2411" s="169">
        <f>IFERROR(MATCH(J2411,'Final List'!$L$4:$L$252,0),0)</f>
        <v>0</v>
      </c>
      <c r="Q2411" s="169">
        <f>IFERROR(MATCH(J2411,'Final List'!$N$4:$N$252,0),0)</f>
        <v>0</v>
      </c>
      <c r="R2411" s="169">
        <f>IFERROR(MATCH(J2411,'Final List'!$P$4:$P$252,0),0)</f>
        <v>0</v>
      </c>
      <c r="S2411" s="169">
        <f t="shared" si="152"/>
        <v>0</v>
      </c>
      <c r="T2411" s="169" t="s">
        <v>68</v>
      </c>
      <c r="V2411" s="169" t="str">
        <f t="shared" si="153"/>
        <v>AGLOLO 3</v>
      </c>
      <c r="W2411" s="169" t="s">
        <v>2719</v>
      </c>
    </row>
    <row r="2412" spans="2:23" x14ac:dyDescent="0.25">
      <c r="B2412" s="169" t="s">
        <v>96</v>
      </c>
      <c r="C2412" s="169" t="s">
        <v>45</v>
      </c>
      <c r="D2412" s="169" t="s">
        <v>145</v>
      </c>
      <c r="E2412" s="169" t="s">
        <v>19</v>
      </c>
      <c r="F2412" s="245" t="str">
        <f t="shared" si="151"/>
        <v>DVR 72</v>
      </c>
      <c r="G2412" s="169" t="s">
        <v>9885</v>
      </c>
      <c r="I2412" s="169" t="str">
        <f t="shared" si="154"/>
        <v>L09_DPVE_009E_RAISE</v>
      </c>
      <c r="J2412" s="169" t="s">
        <v>10884</v>
      </c>
      <c r="K2412" s="169">
        <f>IFERROR(MATCH(J2412,'Final List'!$B$4:$B$252,0),0)</f>
        <v>0</v>
      </c>
      <c r="L2412" s="169">
        <f>IFERROR(MATCH(J2412,'Final List'!$D$4:$D$252,0),0)</f>
        <v>0</v>
      </c>
      <c r="M2412" s="169">
        <f>IFERROR(MATCH(J2412,'Final List'!$F$4:$F$251,0),0)</f>
        <v>0</v>
      </c>
      <c r="N2412" s="169">
        <f>IFERROR(MATCH(J2412,'Final List'!$H$4:$H$252,0),0)</f>
        <v>0</v>
      </c>
      <c r="O2412" s="169">
        <f>IFERROR(MATCH(J2412,'Final List'!$J$4:$J$252,0),0)</f>
        <v>0</v>
      </c>
      <c r="P2412" s="169">
        <f>IFERROR(MATCH(J2412,'Final List'!$L$4:$L$252,0),0)</f>
        <v>0</v>
      </c>
      <c r="Q2412" s="169">
        <f>IFERROR(MATCH(J2412,'Final List'!$N$4:$N$252,0),0)</f>
        <v>0</v>
      </c>
      <c r="R2412" s="169">
        <f>IFERROR(MATCH(J2412,'Final List'!$P$4:$P$252,0),0)</f>
        <v>0</v>
      </c>
      <c r="S2412" s="169">
        <f t="shared" si="152"/>
        <v>0</v>
      </c>
      <c r="V2412" s="169" t="str">
        <f t="shared" si="153"/>
        <v>CAYMAN 2</v>
      </c>
      <c r="W2412" s="169" t="s">
        <v>2715</v>
      </c>
    </row>
    <row r="2413" spans="2:23" x14ac:dyDescent="0.25">
      <c r="B2413" s="169" t="s">
        <v>258</v>
      </c>
      <c r="C2413" s="169" t="s">
        <v>43</v>
      </c>
      <c r="D2413" s="169" t="s">
        <v>135</v>
      </c>
      <c r="E2413" s="169" t="s">
        <v>60</v>
      </c>
      <c r="F2413" s="245" t="str">
        <f t="shared" si="151"/>
        <v>Dhoz 71</v>
      </c>
      <c r="G2413" s="169" t="s">
        <v>10894</v>
      </c>
      <c r="H2413" s="169" t="s">
        <v>318</v>
      </c>
      <c r="I2413" s="169" t="str">
        <f t="shared" si="154"/>
        <v>L10_GHVSPLIT_034E_DE</v>
      </c>
      <c r="J2413" s="169" t="s">
        <v>10906</v>
      </c>
      <c r="K2413" s="169">
        <f>IFERROR(MATCH(J2413,'Final List'!$B$4:$B$252,0),0)</f>
        <v>0</v>
      </c>
      <c r="L2413" s="169">
        <f>IFERROR(MATCH(J2413,'Final List'!$D$4:$D$252,0),0)</f>
        <v>0</v>
      </c>
      <c r="M2413" s="169">
        <f>IFERROR(MATCH(J2413,'Final List'!$F$4:$F$251,0),0)</f>
        <v>0</v>
      </c>
      <c r="N2413" s="169">
        <f>IFERROR(MATCH(J2413,'Final List'!$H$4:$H$252,0),0)</f>
        <v>0</v>
      </c>
      <c r="O2413" s="169">
        <f>IFERROR(MATCH(J2413,'Final List'!$J$4:$J$252,0),0)</f>
        <v>0</v>
      </c>
      <c r="P2413" s="169">
        <f>IFERROR(MATCH(J2413,'Final List'!$L$4:$L$252,0),0)</f>
        <v>0</v>
      </c>
      <c r="Q2413" s="169">
        <f>IFERROR(MATCH(J2413,'Final List'!$N$4:$N$252,0),0)</f>
        <v>0</v>
      </c>
      <c r="R2413" s="169">
        <f>IFERROR(MATCH(J2413,'Final List'!$P$4:$P$252,0),0)</f>
        <v>0</v>
      </c>
      <c r="S2413" s="169">
        <f t="shared" si="152"/>
        <v>0</v>
      </c>
      <c r="V2413" s="169" t="str">
        <f t="shared" si="153"/>
        <v>PARAGUYA 3</v>
      </c>
      <c r="W2413" s="169" t="s">
        <v>8896</v>
      </c>
    </row>
    <row r="2414" spans="2:23" x14ac:dyDescent="0.25">
      <c r="B2414" s="169" t="s">
        <v>8904</v>
      </c>
      <c r="C2414" s="169" t="s">
        <v>57</v>
      </c>
      <c r="D2414" s="169" t="s">
        <v>195</v>
      </c>
      <c r="E2414" s="169" t="s">
        <v>60</v>
      </c>
      <c r="F2414" s="245" t="str">
        <f t="shared" si="151"/>
        <v>Dhoz 71</v>
      </c>
      <c r="G2414" s="169" t="s">
        <v>9348</v>
      </c>
      <c r="I2414" s="169" t="str">
        <f t="shared" si="154"/>
        <v>L03_JVSPLIT_008W_DE</v>
      </c>
      <c r="J2414" s="169" t="s">
        <v>10909</v>
      </c>
      <c r="K2414" s="169">
        <f>IFERROR(MATCH(J2414,'Final List'!$B$4:$B$252,0),0)</f>
        <v>0</v>
      </c>
      <c r="L2414" s="169">
        <f>IFERROR(MATCH(J2414,'Final List'!$D$4:$D$252,0),0)</f>
        <v>0</v>
      </c>
      <c r="M2414" s="169">
        <f>IFERROR(MATCH(J2414,'Final List'!$F$4:$F$251,0),0)</f>
        <v>0</v>
      </c>
      <c r="N2414" s="169">
        <f>IFERROR(MATCH(J2414,'Final List'!$H$4:$H$252,0),0)</f>
        <v>0</v>
      </c>
      <c r="O2414" s="169">
        <f>IFERROR(MATCH(J2414,'Final List'!$J$4:$J$252,0),0)</f>
        <v>0</v>
      </c>
      <c r="P2414" s="169">
        <f>IFERROR(MATCH(J2414,'Final List'!$L$4:$L$252,0),0)</f>
        <v>0</v>
      </c>
      <c r="Q2414" s="169">
        <f>IFERROR(MATCH(J2414,'Final List'!$N$4:$N$252,0),0)</f>
        <v>0</v>
      </c>
      <c r="R2414" s="169">
        <f>IFERROR(MATCH(J2414,'Final List'!$P$4:$P$252,0),0)</f>
        <v>0</v>
      </c>
      <c r="S2414" s="169">
        <f t="shared" si="152"/>
        <v>0</v>
      </c>
      <c r="V2414" s="169" t="str">
        <f t="shared" si="153"/>
        <v>FERNANDEZ, RM 1</v>
      </c>
      <c r="W2414" s="169" t="s">
        <v>8895</v>
      </c>
    </row>
    <row r="2415" spans="2:23" x14ac:dyDescent="0.25">
      <c r="B2415" s="169" t="s">
        <v>1167</v>
      </c>
      <c r="C2415" s="169" t="s">
        <v>38</v>
      </c>
      <c r="D2415" s="169" t="s">
        <v>284</v>
      </c>
      <c r="E2415" s="169" t="s">
        <v>19</v>
      </c>
      <c r="F2415" s="245" t="str">
        <f t="shared" si="151"/>
        <v>DVR 72</v>
      </c>
      <c r="G2415" s="169" t="s">
        <v>636</v>
      </c>
      <c r="I2415" s="169" t="str">
        <f t="shared" si="154"/>
        <v>L12_GHV_061E_RAISE</v>
      </c>
      <c r="J2415" s="169" t="s">
        <v>10910</v>
      </c>
      <c r="K2415" s="169">
        <f>IFERROR(MATCH(J2415,'Final List'!$B$4:$B$252,0),0)</f>
        <v>0</v>
      </c>
      <c r="L2415" s="169">
        <f>IFERROR(MATCH(J2415,'Final List'!$D$4:$D$252,0),0)</f>
        <v>0</v>
      </c>
      <c r="M2415" s="169">
        <f>IFERROR(MATCH(J2415,'Final List'!$F$4:$F$251,0),0)</f>
        <v>0</v>
      </c>
      <c r="N2415" s="169">
        <f>IFERROR(MATCH(J2415,'Final List'!$H$4:$H$252,0),0)</f>
        <v>0</v>
      </c>
      <c r="O2415" s="169">
        <f>IFERROR(MATCH(J2415,'Final List'!$J$4:$J$252,0),0)</f>
        <v>0</v>
      </c>
      <c r="P2415" s="169">
        <f>IFERROR(MATCH(J2415,'Final List'!$L$4:$L$252,0),0)</f>
        <v>0</v>
      </c>
      <c r="Q2415" s="169">
        <f>IFERROR(MATCH(J2415,'Final List'!$N$4:$N$252,0),0)</f>
        <v>0</v>
      </c>
      <c r="R2415" s="169">
        <f>IFERROR(MATCH(J2415,'Final List'!$P$4:$P$252,0),0)</f>
        <v>0</v>
      </c>
      <c r="S2415" s="169">
        <f t="shared" si="152"/>
        <v>0</v>
      </c>
      <c r="V2415" s="169" t="str">
        <f t="shared" si="153"/>
        <v>PANCIT, NOEL 5</v>
      </c>
      <c r="W2415" s="169" t="s">
        <v>2715</v>
      </c>
    </row>
    <row r="2416" spans="2:23" x14ac:dyDescent="0.25">
      <c r="B2416" s="169" t="s">
        <v>96</v>
      </c>
      <c r="C2416" s="169" t="s">
        <v>45</v>
      </c>
      <c r="D2416" s="169" t="s">
        <v>172</v>
      </c>
      <c r="E2416" s="169" t="s">
        <v>19</v>
      </c>
      <c r="F2416" s="245" t="str">
        <f t="shared" si="151"/>
        <v>DVR 72</v>
      </c>
      <c r="G2416" s="169" t="s">
        <v>5101</v>
      </c>
      <c r="H2416" s="169" t="s">
        <v>9422</v>
      </c>
      <c r="I2416" s="169" t="str">
        <f t="shared" si="154"/>
        <v>L09_DPVE_045E_RAISE</v>
      </c>
      <c r="J2416" s="169" t="s">
        <v>10913</v>
      </c>
      <c r="K2416" s="169">
        <f>IFERROR(MATCH(J2416,'Final List'!$B$4:$B$252,0),0)</f>
        <v>0</v>
      </c>
      <c r="L2416" s="169">
        <f>IFERROR(MATCH(J2416,'Final List'!$D$4:$D$252,0),0)</f>
        <v>0</v>
      </c>
      <c r="M2416" s="169">
        <f>IFERROR(MATCH(J2416,'Final List'!$F$4:$F$251,0),0)</f>
        <v>0</v>
      </c>
      <c r="N2416" s="169">
        <f>IFERROR(MATCH(J2416,'Final List'!$H$4:$H$252,0),0)</f>
        <v>0</v>
      </c>
      <c r="O2416" s="169">
        <f>IFERROR(MATCH(J2416,'Final List'!$J$4:$J$252,0),0)</f>
        <v>0</v>
      </c>
      <c r="P2416" s="169">
        <f>IFERROR(MATCH(J2416,'Final List'!$L$4:$L$252,0),0)</f>
        <v>0</v>
      </c>
      <c r="Q2416" s="169">
        <f>IFERROR(MATCH(J2416,'Final List'!$N$4:$N$252,0),0)</f>
        <v>0</v>
      </c>
      <c r="R2416" s="169">
        <f>IFERROR(MATCH(J2416,'Final List'!$P$4:$P$252,0),0)</f>
        <v>0</v>
      </c>
      <c r="S2416" s="169">
        <f t="shared" si="152"/>
        <v>0</v>
      </c>
      <c r="V2416" s="169" t="str">
        <f t="shared" si="153"/>
        <v>SHEPHERD AY 1</v>
      </c>
      <c r="W2416" s="169" t="s">
        <v>2715</v>
      </c>
    </row>
    <row r="2417" spans="2:23" x14ac:dyDescent="0.25">
      <c r="B2417" s="169" t="s">
        <v>96</v>
      </c>
      <c r="C2417" s="169" t="s">
        <v>45</v>
      </c>
      <c r="D2417" s="169" t="s">
        <v>119</v>
      </c>
      <c r="E2417" s="169" t="s">
        <v>61</v>
      </c>
      <c r="F2417" s="245" t="str">
        <f t="shared" si="151"/>
        <v>Dhoz 71</v>
      </c>
      <c r="G2417" s="169" t="s">
        <v>6621</v>
      </c>
      <c r="I2417" s="169" t="str">
        <f t="shared" si="154"/>
        <v>L09_DPVE_012E_DW</v>
      </c>
      <c r="J2417" s="169" t="s">
        <v>10914</v>
      </c>
      <c r="K2417" s="169">
        <f>IFERROR(MATCH(J2417,'Final List'!$B$4:$B$252,0),0)</f>
        <v>0</v>
      </c>
      <c r="L2417" s="169">
        <f>IFERROR(MATCH(J2417,'Final List'!$D$4:$D$252,0),0)</f>
        <v>0</v>
      </c>
      <c r="M2417" s="169">
        <f>IFERROR(MATCH(J2417,'Final List'!$F$4:$F$251,0),0)</f>
        <v>0</v>
      </c>
      <c r="N2417" s="169">
        <f>IFERROR(MATCH(J2417,'Final List'!$H$4:$H$252,0),0)</f>
        <v>0</v>
      </c>
      <c r="O2417" s="169">
        <f>IFERROR(MATCH(J2417,'Final List'!$J$4:$J$252,0),0)</f>
        <v>0</v>
      </c>
      <c r="P2417" s="169">
        <f>IFERROR(MATCH(J2417,'Final List'!$L$4:$L$252,0),0)</f>
        <v>0</v>
      </c>
      <c r="Q2417" s="169">
        <f>IFERROR(MATCH(J2417,'Final List'!$N$4:$N$252,0),0)</f>
        <v>0</v>
      </c>
      <c r="R2417" s="169">
        <f>IFERROR(MATCH(J2417,'Final List'!$P$4:$P$252,0),0)</f>
        <v>0</v>
      </c>
      <c r="S2417" s="169">
        <f t="shared" si="152"/>
        <v>0</v>
      </c>
      <c r="V2417" s="169" t="str">
        <f t="shared" si="153"/>
        <v>DELOS REYES V1</v>
      </c>
      <c r="W2417" s="169" t="s">
        <v>8896</v>
      </c>
    </row>
    <row r="2418" spans="2:23" x14ac:dyDescent="0.25">
      <c r="B2418" s="169" t="s">
        <v>258</v>
      </c>
      <c r="C2418" s="169" t="s">
        <v>56</v>
      </c>
      <c r="D2418" s="169" t="s">
        <v>289</v>
      </c>
      <c r="E2418" s="169" t="s">
        <v>20</v>
      </c>
      <c r="F2418" s="245" t="str">
        <f t="shared" si="151"/>
        <v>DVW 74</v>
      </c>
      <c r="G2418" s="169" t="s">
        <v>318</v>
      </c>
      <c r="I2418" s="169" t="str">
        <f t="shared" si="154"/>
        <v>L10_GHVFW_059E_WINZE</v>
      </c>
      <c r="J2418" s="169" t="s">
        <v>10916</v>
      </c>
      <c r="K2418" s="169">
        <f>IFERROR(MATCH(J2418,'Final List'!$B$4:$B$252,0),0)</f>
        <v>0</v>
      </c>
      <c r="L2418" s="169">
        <f>IFERROR(MATCH(J2418,'Final List'!$D$4:$D$252,0),0)</f>
        <v>0</v>
      </c>
      <c r="M2418" s="169">
        <f>IFERROR(MATCH(J2418,'Final List'!$F$4:$F$251,0),0)</f>
        <v>0</v>
      </c>
      <c r="N2418" s="169">
        <f>IFERROR(MATCH(J2418,'Final List'!$H$4:$H$252,0),0)</f>
        <v>0</v>
      </c>
      <c r="O2418" s="169">
        <f>IFERROR(MATCH(J2418,'Final List'!$J$4:$J$252,0),0)</f>
        <v>0</v>
      </c>
      <c r="P2418" s="169">
        <f>IFERROR(MATCH(J2418,'Final List'!$L$4:$L$252,0),0)</f>
        <v>0</v>
      </c>
      <c r="Q2418" s="169">
        <f>IFERROR(MATCH(J2418,'Final List'!$N$4:$N$252,0),0)</f>
        <v>0</v>
      </c>
      <c r="R2418" s="169">
        <f>IFERROR(MATCH(J2418,'Final List'!$P$4:$P$252,0),0)</f>
        <v>0</v>
      </c>
      <c r="S2418" s="169">
        <f t="shared" si="152"/>
        <v>0</v>
      </c>
      <c r="V2418" s="169" t="str">
        <f t="shared" si="153"/>
        <v>PARAGUYA 3</v>
      </c>
      <c r="W2418" s="169" t="s">
        <v>2706</v>
      </c>
    </row>
    <row r="2419" spans="2:23" x14ac:dyDescent="0.25">
      <c r="B2419" s="169" t="s">
        <v>258</v>
      </c>
      <c r="C2419" s="169" t="s">
        <v>56</v>
      </c>
      <c r="D2419" s="169" t="s">
        <v>161</v>
      </c>
      <c r="E2419" s="169" t="s">
        <v>61</v>
      </c>
      <c r="F2419" s="245" t="str">
        <f t="shared" si="151"/>
        <v>Dhoz 71</v>
      </c>
      <c r="G2419" s="169" t="s">
        <v>317</v>
      </c>
      <c r="I2419" s="169" t="str">
        <f t="shared" si="154"/>
        <v>L10_GHVFW_044E_DW</v>
      </c>
      <c r="J2419" s="169" t="s">
        <v>10917</v>
      </c>
      <c r="K2419" s="169">
        <f>IFERROR(MATCH(J2419,'Final List'!$B$4:$B$252,0),0)</f>
        <v>0</v>
      </c>
      <c r="L2419" s="169">
        <f>IFERROR(MATCH(J2419,'Final List'!$D$4:$D$252,0),0)</f>
        <v>0</v>
      </c>
      <c r="M2419" s="169">
        <f>IFERROR(MATCH(J2419,'Final List'!$F$4:$F$251,0),0)</f>
        <v>0</v>
      </c>
      <c r="N2419" s="169">
        <f>IFERROR(MATCH(J2419,'Final List'!$H$4:$H$252,0),0)</f>
        <v>0</v>
      </c>
      <c r="O2419" s="169">
        <f>IFERROR(MATCH(J2419,'Final List'!$J$4:$J$252,0),0)</f>
        <v>0</v>
      </c>
      <c r="P2419" s="169">
        <f>IFERROR(MATCH(J2419,'Final List'!$L$4:$L$252,0),0)</f>
        <v>0</v>
      </c>
      <c r="Q2419" s="169">
        <f>IFERROR(MATCH(J2419,'Final List'!$N$4:$N$252,0),0)</f>
        <v>0</v>
      </c>
      <c r="R2419" s="169">
        <f>IFERROR(MATCH(J2419,'Final List'!$P$4:$P$252,0),0)</f>
        <v>0</v>
      </c>
      <c r="S2419" s="169">
        <f t="shared" si="152"/>
        <v>0</v>
      </c>
      <c r="V2419" s="169" t="str">
        <f t="shared" si="153"/>
        <v>PARAGUYA 2</v>
      </c>
      <c r="W2419" s="169" t="s">
        <v>8896</v>
      </c>
    </row>
    <row r="2420" spans="2:23" x14ac:dyDescent="0.25">
      <c r="B2420" s="169" t="s">
        <v>258</v>
      </c>
      <c r="C2420" s="169" t="s">
        <v>39</v>
      </c>
      <c r="D2420" s="169" t="s">
        <v>164</v>
      </c>
      <c r="E2420" s="169" t="s">
        <v>19</v>
      </c>
      <c r="F2420" s="245" t="str">
        <f t="shared" si="151"/>
        <v>DVR 72</v>
      </c>
      <c r="G2420" s="169" t="s">
        <v>5704</v>
      </c>
      <c r="I2420" s="169" t="str">
        <f t="shared" si="154"/>
        <v>L10_JVHW_064E_RAISE</v>
      </c>
      <c r="J2420" s="169" t="s">
        <v>5750</v>
      </c>
      <c r="K2420" s="169">
        <f>IFERROR(MATCH(J2420,'Final List'!$B$4:$B$252,0),0)</f>
        <v>0</v>
      </c>
      <c r="L2420" s="169">
        <f>IFERROR(MATCH(J2420,'Final List'!$D$4:$D$252,0),0)</f>
        <v>0</v>
      </c>
      <c r="M2420" s="169">
        <f>IFERROR(MATCH(J2420,'Final List'!$F$4:$F$251,0),0)</f>
        <v>0</v>
      </c>
      <c r="N2420" s="169">
        <f>IFERROR(MATCH(J2420,'Final List'!$H$4:$H$252,0),0)</f>
        <v>0</v>
      </c>
      <c r="O2420" s="169">
        <f>IFERROR(MATCH(J2420,'Final List'!$J$4:$J$252,0),0)</f>
        <v>0</v>
      </c>
      <c r="P2420" s="169">
        <f>IFERROR(MATCH(J2420,'Final List'!$L$4:$L$252,0),0)</f>
        <v>0</v>
      </c>
      <c r="Q2420" s="169">
        <f>IFERROR(MATCH(J2420,'Final List'!$N$4:$N$252,0),0)</f>
        <v>0</v>
      </c>
      <c r="R2420" s="169">
        <f>IFERROR(MATCH(J2420,'Final List'!$P$4:$P$252,0),0)</f>
        <v>0</v>
      </c>
      <c r="S2420" s="169">
        <f t="shared" si="152"/>
        <v>0</v>
      </c>
      <c r="V2420" s="169" t="str">
        <f t="shared" si="153"/>
        <v>OLIVEROS 3</v>
      </c>
      <c r="W2420" s="169" t="s">
        <v>2715</v>
      </c>
    </row>
    <row r="2421" spans="2:23" x14ac:dyDescent="0.25">
      <c r="B2421" s="169" t="s">
        <v>1166</v>
      </c>
      <c r="C2421" s="169" t="s">
        <v>87</v>
      </c>
      <c r="D2421" s="169" t="s">
        <v>130</v>
      </c>
      <c r="E2421" s="169" t="s">
        <v>72</v>
      </c>
      <c r="F2421" s="245" t="str">
        <f t="shared" si="151"/>
        <v>Dhoz 71</v>
      </c>
      <c r="G2421" s="169" t="s">
        <v>385</v>
      </c>
      <c r="I2421" s="169" t="str">
        <f t="shared" si="154"/>
        <v>L11_NONE_036E_CHAMBER</v>
      </c>
      <c r="J2421" s="169" t="s">
        <v>10919</v>
      </c>
      <c r="K2421" s="169">
        <f>IFERROR(MATCH(J2421,'Final List'!$B$4:$B$252,0),0)</f>
        <v>0</v>
      </c>
      <c r="L2421" s="169">
        <f>IFERROR(MATCH(J2421,'Final List'!$D$4:$D$252,0),0)</f>
        <v>0</v>
      </c>
      <c r="M2421" s="169">
        <f>IFERROR(MATCH(J2421,'Final List'!$F$4:$F$251,0),0)</f>
        <v>0</v>
      </c>
      <c r="N2421" s="169">
        <f>IFERROR(MATCH(J2421,'Final List'!$H$4:$H$252,0),0)</f>
        <v>0</v>
      </c>
      <c r="O2421" s="169">
        <f>IFERROR(MATCH(J2421,'Final List'!$J$4:$J$252,0),0)</f>
        <v>0</v>
      </c>
      <c r="P2421" s="169">
        <f>IFERROR(MATCH(J2421,'Final List'!$L$4:$L$252,0),0)</f>
        <v>0</v>
      </c>
      <c r="Q2421" s="169">
        <f>IFERROR(MATCH(J2421,'Final List'!$N$4:$N$252,0),0)</f>
        <v>0</v>
      </c>
      <c r="R2421" s="169">
        <f>IFERROR(MATCH(J2421,'Final List'!$P$4:$P$252,0),0)</f>
        <v>0</v>
      </c>
      <c r="S2421" s="169">
        <f t="shared" si="152"/>
        <v>0</v>
      </c>
      <c r="V2421" s="169" t="str">
        <f t="shared" si="153"/>
        <v>SILVOZA 1</v>
      </c>
      <c r="W2421" s="169" t="s">
        <v>2714</v>
      </c>
    </row>
    <row r="2422" spans="2:23" x14ac:dyDescent="0.25">
      <c r="B2422" s="169" t="s">
        <v>95</v>
      </c>
      <c r="C2422" s="169" t="s">
        <v>42</v>
      </c>
      <c r="D2422" s="169" t="s">
        <v>99</v>
      </c>
      <c r="E2422" s="169" t="s">
        <v>60</v>
      </c>
      <c r="F2422" s="245" t="str">
        <f t="shared" si="151"/>
        <v>Dhoz 71</v>
      </c>
      <c r="G2422" s="169" t="s">
        <v>305</v>
      </c>
      <c r="I2422" s="169" t="str">
        <f t="shared" si="154"/>
        <v>L08_JV_028W_DE</v>
      </c>
      <c r="J2422" t="s">
        <v>10920</v>
      </c>
      <c r="K2422" s="169">
        <f>IFERROR(MATCH(J2422,'Final List'!$B$4:$B$252,0),0)</f>
        <v>0</v>
      </c>
      <c r="L2422" s="169">
        <f>IFERROR(MATCH(J2422,'Final List'!$D$4:$D$252,0),0)</f>
        <v>0</v>
      </c>
      <c r="M2422" s="169">
        <f>IFERROR(MATCH(J2422,'Final List'!$F$4:$F$251,0),0)</f>
        <v>0</v>
      </c>
      <c r="N2422" s="169">
        <f>IFERROR(MATCH(J2422,'Final List'!$H$4:$H$252,0),0)</f>
        <v>0</v>
      </c>
      <c r="O2422" s="169">
        <f>IFERROR(MATCH(J2422,'Final List'!$J$4:$J$252,0),0)</f>
        <v>0</v>
      </c>
      <c r="P2422" s="169">
        <f>IFERROR(MATCH(J2422,'Final List'!$L$4:$L$252,0),0)</f>
        <v>0</v>
      </c>
      <c r="Q2422" s="169">
        <f>IFERROR(MATCH(J2422,'Final List'!$N$4:$N$252,0),0)</f>
        <v>0</v>
      </c>
      <c r="R2422" s="169">
        <f>IFERROR(MATCH(J2422,'Final List'!$P$4:$P$252,0),0)</f>
        <v>0</v>
      </c>
      <c r="S2422" s="169">
        <f t="shared" si="152"/>
        <v>0</v>
      </c>
      <c r="V2422" s="169" t="str">
        <f t="shared" si="153"/>
        <v>CABONITA 1</v>
      </c>
      <c r="W2422" s="169" t="s">
        <v>8895</v>
      </c>
    </row>
    <row r="2423" spans="2:23" x14ac:dyDescent="0.25">
      <c r="B2423" s="169" t="s">
        <v>258</v>
      </c>
      <c r="C2423" s="169" t="s">
        <v>59</v>
      </c>
      <c r="D2423" s="169" t="s">
        <v>284</v>
      </c>
      <c r="E2423" s="169" t="s">
        <v>211</v>
      </c>
      <c r="F2423" s="245" t="str">
        <f t="shared" si="151"/>
        <v>StpS 77</v>
      </c>
      <c r="G2423" s="169" t="s">
        <v>10890</v>
      </c>
      <c r="I2423" s="169" t="str">
        <f t="shared" si="154"/>
        <v>L10_GHVHW_061E_STOPE PREP</v>
      </c>
      <c r="J2423" t="s">
        <v>10921</v>
      </c>
      <c r="K2423" s="169">
        <f>IFERROR(MATCH(J2423,'Final List'!$B$4:$B$252,0),0)</f>
        <v>0</v>
      </c>
      <c r="L2423" s="169">
        <f>IFERROR(MATCH(J2423,'Final List'!$D$4:$D$252,0),0)</f>
        <v>0</v>
      </c>
      <c r="M2423" s="169">
        <f>IFERROR(MATCH(J2423,'Final List'!$F$4:$F$251,0),0)</f>
        <v>0</v>
      </c>
      <c r="N2423" s="169">
        <f>IFERROR(MATCH(J2423,'Final List'!$H$4:$H$252,0),0)</f>
        <v>0</v>
      </c>
      <c r="O2423" s="169">
        <f>IFERROR(MATCH(J2423,'Final List'!$J$4:$J$252,0),0)</f>
        <v>0</v>
      </c>
      <c r="P2423" s="169">
        <f>IFERROR(MATCH(J2423,'Final List'!$L$4:$L$252,0),0)</f>
        <v>0</v>
      </c>
      <c r="Q2423" s="169">
        <f>IFERROR(MATCH(J2423,'Final List'!$N$4:$N$252,0),0)</f>
        <v>0</v>
      </c>
      <c r="R2423" s="169">
        <f>IFERROR(MATCH(J2423,'Final List'!$P$4:$P$252,0),0)</f>
        <v>0</v>
      </c>
      <c r="S2423" s="169">
        <f t="shared" si="152"/>
        <v>0</v>
      </c>
      <c r="T2423" s="169" t="s">
        <v>68</v>
      </c>
      <c r="V2423" s="169" t="str">
        <f t="shared" si="153"/>
        <v>MARTINEZ, DN 1</v>
      </c>
      <c r="W2423" s="169" t="s">
        <v>2712</v>
      </c>
    </row>
    <row r="2424" spans="2:23" x14ac:dyDescent="0.25">
      <c r="B2424" s="169" t="s">
        <v>95</v>
      </c>
      <c r="C2424" s="169" t="s">
        <v>45</v>
      </c>
      <c r="D2424" s="169" t="s">
        <v>218</v>
      </c>
      <c r="E2424" s="169" t="s">
        <v>221</v>
      </c>
      <c r="F2424" s="245" t="str">
        <f t="shared" si="151"/>
        <v>RobC 80</v>
      </c>
      <c r="G2424" s="169" t="s">
        <v>368</v>
      </c>
      <c r="I2424" s="169" t="str">
        <f t="shared" si="154"/>
        <v>L08_DPVE_062E_WINZE STOPE</v>
      </c>
      <c r="J2424" t="s">
        <v>11079</v>
      </c>
      <c r="K2424" s="169">
        <f>IFERROR(MATCH(J2424,'Final List'!$B$4:$B$252,0),0)</f>
        <v>0</v>
      </c>
      <c r="L2424" s="169">
        <f>IFERROR(MATCH(J2424,'Final List'!$D$4:$D$252,0),0)</f>
        <v>0</v>
      </c>
      <c r="M2424" s="169">
        <f>IFERROR(MATCH(J2424,'Final List'!$F$4:$F$251,0),0)</f>
        <v>0</v>
      </c>
      <c r="N2424" s="169">
        <f>IFERROR(MATCH(J2424,'Final List'!$H$4:$H$252,0),0)</f>
        <v>0</v>
      </c>
      <c r="O2424" s="169">
        <f>IFERROR(MATCH(J2424,'Final List'!$J$4:$J$252,0),0)</f>
        <v>0</v>
      </c>
      <c r="P2424" s="169">
        <f>IFERROR(MATCH(J2424,'Final List'!$L$4:$L$252,0),0)</f>
        <v>0</v>
      </c>
      <c r="Q2424" s="169">
        <f>IFERROR(MATCH(J2424,'Final List'!$N$4:$N$252,0),0)</f>
        <v>0</v>
      </c>
      <c r="R2424" s="169">
        <f>IFERROR(MATCH(J2424,'Final List'!$P$4:$P$252,0),0)</f>
        <v>0</v>
      </c>
      <c r="S2424" s="169">
        <f t="shared" si="152"/>
        <v>0</v>
      </c>
      <c r="T2424" s="169" t="s">
        <v>68</v>
      </c>
      <c r="V2424" s="169" t="str">
        <f t="shared" si="153"/>
        <v>LERIO 2</v>
      </c>
      <c r="W2424" s="169" t="s">
        <v>2719</v>
      </c>
    </row>
    <row r="2425" spans="2:23" x14ac:dyDescent="0.25">
      <c r="B2425" s="169" t="s">
        <v>1167</v>
      </c>
      <c r="C2425" s="169" t="s">
        <v>42</v>
      </c>
      <c r="D2425" s="169" t="s">
        <v>5614</v>
      </c>
      <c r="E2425" s="169" t="s">
        <v>60</v>
      </c>
      <c r="F2425" s="245" t="str">
        <f t="shared" si="151"/>
        <v>Dhoz 71</v>
      </c>
      <c r="G2425" s="169" t="s">
        <v>9354</v>
      </c>
      <c r="H2425" s="169" t="s">
        <v>6928</v>
      </c>
      <c r="I2425" s="169" t="str">
        <f t="shared" si="154"/>
        <v>L12_JV_055E_DE</v>
      </c>
      <c r="J2425" t="s">
        <v>10925</v>
      </c>
      <c r="K2425" s="169">
        <f>IFERROR(MATCH(J2425,'Final List'!$B$4:$B$252,0),0)</f>
        <v>0</v>
      </c>
      <c r="L2425" s="169">
        <f>IFERROR(MATCH(J2425,'Final List'!$D$4:$D$252,0),0)</f>
        <v>0</v>
      </c>
      <c r="M2425" s="169">
        <f>IFERROR(MATCH(J2425,'Final List'!$F$4:$F$251,0),0)</f>
        <v>0</v>
      </c>
      <c r="N2425" s="169">
        <f>IFERROR(MATCH(J2425,'Final List'!$H$4:$H$252,0),0)</f>
        <v>0</v>
      </c>
      <c r="O2425" s="169">
        <f>IFERROR(MATCH(J2425,'Final List'!$J$4:$J$252,0),0)</f>
        <v>0</v>
      </c>
      <c r="P2425" s="169">
        <f>IFERROR(MATCH(J2425,'Final List'!$L$4:$L$252,0),0)</f>
        <v>0</v>
      </c>
      <c r="Q2425" s="169">
        <f>IFERROR(MATCH(J2425,'Final List'!$N$4:$N$252,0),0)</f>
        <v>0</v>
      </c>
      <c r="R2425" s="169">
        <f>IFERROR(MATCH(J2425,'Final List'!$P$4:$P$252,0),0)</f>
        <v>0</v>
      </c>
      <c r="S2425" s="169">
        <f t="shared" si="152"/>
        <v>0</v>
      </c>
      <c r="V2425" s="169" t="str">
        <f t="shared" si="153"/>
        <v>DUHIG, P5</v>
      </c>
      <c r="W2425" s="169" t="s">
        <v>8896</v>
      </c>
    </row>
    <row r="2426" spans="2:23" x14ac:dyDescent="0.25">
      <c r="B2426" s="169" t="s">
        <v>1166</v>
      </c>
      <c r="C2426" s="169" t="s">
        <v>42</v>
      </c>
      <c r="D2426" s="169" t="s">
        <v>218</v>
      </c>
      <c r="E2426" s="169" t="s">
        <v>60</v>
      </c>
      <c r="F2426" s="245" t="str">
        <f t="shared" si="151"/>
        <v>Dhoz 71</v>
      </c>
      <c r="G2426" s="169" t="s">
        <v>1808</v>
      </c>
      <c r="I2426" s="169" t="str">
        <f t="shared" si="154"/>
        <v>L11_JV_062E_DE</v>
      </c>
      <c r="J2426" t="s">
        <v>10926</v>
      </c>
      <c r="K2426" s="169">
        <f>IFERROR(MATCH(J2426,'Final List'!$B$4:$B$252,0),0)</f>
        <v>0</v>
      </c>
      <c r="L2426" s="169">
        <f>IFERROR(MATCH(J2426,'Final List'!$D$4:$D$252,0),0)</f>
        <v>0</v>
      </c>
      <c r="M2426" s="169">
        <f>IFERROR(MATCH(J2426,'Final List'!$F$4:$F$251,0),0)</f>
        <v>0</v>
      </c>
      <c r="N2426" s="169">
        <f>IFERROR(MATCH(J2426,'Final List'!$H$4:$H$252,0),0)</f>
        <v>0</v>
      </c>
      <c r="O2426" s="169">
        <f>IFERROR(MATCH(J2426,'Final List'!$J$4:$J$252,0),0)</f>
        <v>0</v>
      </c>
      <c r="P2426" s="169">
        <f>IFERROR(MATCH(J2426,'Final List'!$L$4:$L$252,0),0)</f>
        <v>0</v>
      </c>
      <c r="Q2426" s="169">
        <f>IFERROR(MATCH(J2426,'Final List'!$N$4:$N$252,0),0)</f>
        <v>0</v>
      </c>
      <c r="R2426" s="169">
        <f>IFERROR(MATCH(J2426,'Final List'!$P$4:$P$252,0),0)</f>
        <v>0</v>
      </c>
      <c r="S2426" s="169">
        <f t="shared" si="152"/>
        <v>0</v>
      </c>
      <c r="V2426" s="169" t="str">
        <f t="shared" si="153"/>
        <v>PANCIT NOEL 4</v>
      </c>
      <c r="W2426" s="169" t="s">
        <v>8896</v>
      </c>
    </row>
    <row r="2427" spans="2:23" x14ac:dyDescent="0.25">
      <c r="B2427" s="169" t="s">
        <v>1166</v>
      </c>
      <c r="C2427" s="169" t="s">
        <v>42</v>
      </c>
      <c r="D2427" s="169" t="s">
        <v>176</v>
      </c>
      <c r="E2427" s="169" t="s">
        <v>60</v>
      </c>
      <c r="F2427" s="245" t="str">
        <f t="shared" si="151"/>
        <v>Dhoz 71</v>
      </c>
      <c r="G2427" s="169" t="s">
        <v>359</v>
      </c>
      <c r="I2427" s="169" t="str">
        <f t="shared" si="154"/>
        <v>L11_JV_057E_DE</v>
      </c>
      <c r="J2427" t="s">
        <v>10930</v>
      </c>
      <c r="K2427" s="169">
        <f>IFERROR(MATCH(J2427,'Final List'!$B$4:$B$252,0),0)</f>
        <v>0</v>
      </c>
      <c r="L2427" s="169">
        <f>IFERROR(MATCH(J2427,'Final List'!$D$4:$D$252,0),0)</f>
        <v>0</v>
      </c>
      <c r="M2427" s="169">
        <f>IFERROR(MATCH(J2427,'Final List'!$F$4:$F$251,0),0)</f>
        <v>0</v>
      </c>
      <c r="N2427" s="169">
        <f>IFERROR(MATCH(J2427,'Final List'!$H$4:$H$252,0),0)</f>
        <v>0</v>
      </c>
      <c r="O2427" s="169">
        <f>IFERROR(MATCH(J2427,'Final List'!$J$4:$J$252,0),0)</f>
        <v>0</v>
      </c>
      <c r="P2427" s="169">
        <f>IFERROR(MATCH(J2427,'Final List'!$L$4:$L$252,0),0)</f>
        <v>0</v>
      </c>
      <c r="Q2427" s="169">
        <f>IFERROR(MATCH(J2427,'Final List'!$N$4:$N$252,0),0)</f>
        <v>0</v>
      </c>
      <c r="R2427" s="169">
        <f>IFERROR(MATCH(J2427,'Final List'!$P$4:$P$252,0),0)</f>
        <v>0</v>
      </c>
      <c r="S2427" s="169">
        <f t="shared" si="152"/>
        <v>0</v>
      </c>
      <c r="V2427" s="169" t="str">
        <f t="shared" si="153"/>
        <v>ALEÑAR 2</v>
      </c>
      <c r="W2427" s="169" t="s">
        <v>8896</v>
      </c>
    </row>
    <row r="2428" spans="2:23" x14ac:dyDescent="0.25">
      <c r="B2428" s="169" t="s">
        <v>258</v>
      </c>
      <c r="C2428" s="169" t="s">
        <v>45</v>
      </c>
      <c r="D2428" s="169" t="s">
        <v>119</v>
      </c>
      <c r="E2428" s="169" t="s">
        <v>211</v>
      </c>
      <c r="F2428" s="245" t="str">
        <f t="shared" si="151"/>
        <v>StpS 77</v>
      </c>
      <c r="G2428" s="169" t="s">
        <v>10896</v>
      </c>
      <c r="I2428" s="169" t="str">
        <f t="shared" si="154"/>
        <v>L10_DPVE_012E_STOPE PREP</v>
      </c>
      <c r="J2428" t="s">
        <v>10932</v>
      </c>
      <c r="K2428" s="169">
        <f>IFERROR(MATCH(J2428,'Final List'!$B$4:$B$252,0),0)</f>
        <v>0</v>
      </c>
      <c r="L2428" s="169">
        <f>IFERROR(MATCH(J2428,'Final List'!$D$4:$D$252,0),0)</f>
        <v>0</v>
      </c>
      <c r="M2428" s="169">
        <f>IFERROR(MATCH(J2428,'Final List'!$F$4:$F$251,0),0)</f>
        <v>0</v>
      </c>
      <c r="N2428" s="169">
        <f>IFERROR(MATCH(J2428,'Final List'!$H$4:$H$252,0),0)</f>
        <v>0</v>
      </c>
      <c r="O2428" s="169">
        <f>IFERROR(MATCH(J2428,'Final List'!$J$4:$J$252,0),0)</f>
        <v>0</v>
      </c>
      <c r="P2428" s="169">
        <f>IFERROR(MATCH(J2428,'Final List'!$L$4:$L$252,0),0)</f>
        <v>0</v>
      </c>
      <c r="Q2428" s="169">
        <f>IFERROR(MATCH(J2428,'Final List'!$N$4:$N$252,0),0)</f>
        <v>0</v>
      </c>
      <c r="R2428" s="169">
        <f>IFERROR(MATCH(J2428,'Final List'!$P$4:$P$252,0),0)</f>
        <v>0</v>
      </c>
      <c r="S2428" s="169">
        <f t="shared" si="152"/>
        <v>0</v>
      </c>
      <c r="T2428" s="169" t="s">
        <v>68</v>
      </c>
      <c r="V2428" s="169" t="str">
        <f t="shared" si="153"/>
        <v>SHEPHERD BC 2</v>
      </c>
      <c r="W2428" s="169" t="s">
        <v>2712</v>
      </c>
    </row>
    <row r="2429" spans="2:23" x14ac:dyDescent="0.25">
      <c r="B2429" s="169" t="s">
        <v>96</v>
      </c>
      <c r="C2429" s="169" t="s">
        <v>87</v>
      </c>
      <c r="D2429" s="169" t="s">
        <v>98</v>
      </c>
      <c r="E2429" s="169" t="s">
        <v>63</v>
      </c>
      <c r="F2429" s="245" t="str">
        <f t="shared" si="151"/>
        <v>Dhoz 71</v>
      </c>
      <c r="G2429" s="169" t="s">
        <v>1661</v>
      </c>
      <c r="I2429" s="169" t="str">
        <f t="shared" si="154"/>
        <v>L09_NONE_014W_XCS</v>
      </c>
      <c r="J2429" t="s">
        <v>10940</v>
      </c>
      <c r="K2429" s="169">
        <f>IFERROR(MATCH(J2429,'Final List'!$B$4:$B$252,0),0)</f>
        <v>0</v>
      </c>
      <c r="L2429" s="169">
        <f>IFERROR(MATCH(J2429,'Final List'!$D$4:$D$252,0),0)</f>
        <v>0</v>
      </c>
      <c r="M2429" s="169">
        <f>IFERROR(MATCH(J2429,'Final List'!$F$4:$F$251,0),0)</f>
        <v>0</v>
      </c>
      <c r="N2429" s="169">
        <f>IFERROR(MATCH(J2429,'Final List'!$H$4:$H$252,0),0)</f>
        <v>0</v>
      </c>
      <c r="O2429" s="169">
        <f>IFERROR(MATCH(J2429,'Final List'!$J$4:$J$252,0),0)</f>
        <v>0</v>
      </c>
      <c r="P2429" s="169">
        <f>IFERROR(MATCH(J2429,'Final List'!$L$4:$L$252,0),0)</f>
        <v>0</v>
      </c>
      <c r="Q2429" s="169">
        <f>IFERROR(MATCH(J2429,'Final List'!$N$4:$N$252,0),0)</f>
        <v>0</v>
      </c>
      <c r="R2429" s="169">
        <f>IFERROR(MATCH(J2429,'Final List'!$P$4:$P$252,0),0)</f>
        <v>0</v>
      </c>
      <c r="S2429" s="169">
        <f t="shared" si="152"/>
        <v>0</v>
      </c>
      <c r="V2429" s="169" t="str">
        <f t="shared" si="153"/>
        <v>DELOS REYES V2</v>
      </c>
      <c r="W2429" s="169" t="s">
        <v>8898</v>
      </c>
    </row>
    <row r="2430" spans="2:23" x14ac:dyDescent="0.25">
      <c r="B2430" s="169" t="s">
        <v>258</v>
      </c>
      <c r="C2430" s="169" t="s">
        <v>43</v>
      </c>
      <c r="D2430" s="169" t="s">
        <v>143</v>
      </c>
      <c r="E2430" s="169" t="s">
        <v>61</v>
      </c>
      <c r="F2430" s="245" t="str">
        <f t="shared" si="151"/>
        <v>Dhoz 71</v>
      </c>
      <c r="G2430" s="169" t="s">
        <v>10892</v>
      </c>
      <c r="I2430" s="169" t="str">
        <f t="shared" si="154"/>
        <v>L10_GHVSPLIT_032E_DW</v>
      </c>
      <c r="J2430" t="s">
        <v>10941</v>
      </c>
      <c r="K2430" s="169">
        <f>IFERROR(MATCH(J2430,'Final List'!$B$4:$B$252,0),0)</f>
        <v>0</v>
      </c>
      <c r="L2430" s="169">
        <f>IFERROR(MATCH(J2430,'Final List'!$D$4:$D$252,0),0)</f>
        <v>0</v>
      </c>
      <c r="M2430" s="169">
        <f>IFERROR(MATCH(J2430,'Final List'!$F$4:$F$251,0),0)</f>
        <v>0</v>
      </c>
      <c r="N2430" s="169">
        <f>IFERROR(MATCH(J2430,'Final List'!$H$4:$H$252,0),0)</f>
        <v>0</v>
      </c>
      <c r="O2430" s="169">
        <f>IFERROR(MATCH(J2430,'Final List'!$J$4:$J$252,0),0)</f>
        <v>0</v>
      </c>
      <c r="P2430" s="169">
        <f>IFERROR(MATCH(J2430,'Final List'!$L$4:$L$252,0),0)</f>
        <v>0</v>
      </c>
      <c r="Q2430" s="169">
        <f>IFERROR(MATCH(J2430,'Final List'!$N$4:$N$252,0),0)</f>
        <v>0</v>
      </c>
      <c r="R2430" s="169">
        <f>IFERROR(MATCH(J2430,'Final List'!$P$4:$P$252,0),0)</f>
        <v>0</v>
      </c>
      <c r="S2430" s="169">
        <f t="shared" si="152"/>
        <v>0</v>
      </c>
      <c r="V2430" s="169" t="str">
        <f t="shared" si="153"/>
        <v>SHEPHERD BA 3</v>
      </c>
      <c r="W2430" s="169" t="s">
        <v>8896</v>
      </c>
    </row>
    <row r="2431" spans="2:23" x14ac:dyDescent="0.25">
      <c r="B2431" s="169" t="s">
        <v>96</v>
      </c>
      <c r="C2431" s="169" t="s">
        <v>45</v>
      </c>
      <c r="D2431" s="169" t="s">
        <v>6114</v>
      </c>
      <c r="E2431" s="169" t="s">
        <v>441</v>
      </c>
      <c r="F2431" s="245" t="str">
        <f t="shared" si="151"/>
        <v>RobC 80</v>
      </c>
      <c r="G2431" s="169" t="s">
        <v>344</v>
      </c>
      <c r="I2431" s="169" t="str">
        <f t="shared" si="154"/>
        <v>L09_DPVE_078E_WINZE STOPE PREP</v>
      </c>
      <c r="J2431" t="s">
        <v>10944</v>
      </c>
      <c r="K2431" s="169">
        <f>IFERROR(MATCH(J2431,'Final List'!$B$4:$B$252,0),0)</f>
        <v>0</v>
      </c>
      <c r="L2431" s="169">
        <f>IFERROR(MATCH(J2431,'Final List'!$D$4:$D$252,0),0)</f>
        <v>0</v>
      </c>
      <c r="M2431" s="169">
        <f>IFERROR(MATCH(J2431,'Final List'!$F$4:$F$251,0),0)</f>
        <v>0</v>
      </c>
      <c r="N2431" s="169">
        <f>IFERROR(MATCH(J2431,'Final List'!$H$4:$H$252,0),0)</f>
        <v>0</v>
      </c>
      <c r="O2431" s="169">
        <f>IFERROR(MATCH(J2431,'Final List'!$J$4:$J$252,0),0)</f>
        <v>0</v>
      </c>
      <c r="P2431" s="169">
        <f>IFERROR(MATCH(J2431,'Final List'!$L$4:$L$252,0),0)</f>
        <v>0</v>
      </c>
      <c r="Q2431" s="169">
        <f>IFERROR(MATCH(J2431,'Final List'!$N$4:$N$252,0),0)</f>
        <v>0</v>
      </c>
      <c r="R2431" s="169">
        <f>IFERROR(MATCH(J2431,'Final List'!$P$4:$P$252,0),0)</f>
        <v>0</v>
      </c>
      <c r="S2431" s="169">
        <f t="shared" si="152"/>
        <v>0</v>
      </c>
      <c r="T2431" s="169" t="s">
        <v>68</v>
      </c>
      <c r="V2431" s="169" t="str">
        <f t="shared" si="153"/>
        <v>UDLOS 1</v>
      </c>
      <c r="W2431" s="169" t="s">
        <v>2716</v>
      </c>
    </row>
    <row r="2432" spans="2:23" x14ac:dyDescent="0.25">
      <c r="B2432" s="169" t="s">
        <v>96</v>
      </c>
      <c r="C2432" s="169" t="s">
        <v>45</v>
      </c>
      <c r="D2432" s="169" t="s">
        <v>1230</v>
      </c>
      <c r="E2432" s="169" t="s">
        <v>19</v>
      </c>
      <c r="F2432" s="245" t="str">
        <f t="shared" si="151"/>
        <v>DVR 72</v>
      </c>
      <c r="G2432" s="169" t="s">
        <v>746</v>
      </c>
      <c r="I2432" s="169" t="str">
        <f t="shared" si="154"/>
        <v>L09_DPVE_075E_RAISE</v>
      </c>
      <c r="J2432" t="s">
        <v>10947</v>
      </c>
      <c r="K2432" s="169">
        <f>IFERROR(MATCH(J2432,'Final List'!$B$4:$B$252,0),0)</f>
        <v>0</v>
      </c>
      <c r="L2432" s="169">
        <f>IFERROR(MATCH(J2432,'Final List'!$D$4:$D$252,0),0)</f>
        <v>0</v>
      </c>
      <c r="M2432" s="169">
        <f>IFERROR(MATCH(J2432,'Final List'!$F$4:$F$251,0),0)</f>
        <v>0</v>
      </c>
      <c r="N2432" s="169">
        <f>IFERROR(MATCH(J2432,'Final List'!$H$4:$H$252,0),0)</f>
        <v>0</v>
      </c>
      <c r="O2432" s="169">
        <f>IFERROR(MATCH(J2432,'Final List'!$J$4:$J$252,0),0)</f>
        <v>0</v>
      </c>
      <c r="P2432" s="169">
        <f>IFERROR(MATCH(J2432,'Final List'!$L$4:$L$252,0),0)</f>
        <v>0</v>
      </c>
      <c r="Q2432" s="169">
        <f>IFERROR(MATCH(J2432,'Final List'!$N$4:$N$252,0),0)</f>
        <v>0</v>
      </c>
      <c r="R2432" s="169">
        <f>IFERROR(MATCH(J2432,'Final List'!$P$4:$P$252,0),0)</f>
        <v>0</v>
      </c>
      <c r="S2432" s="169">
        <f t="shared" si="152"/>
        <v>0</v>
      </c>
      <c r="V2432" s="169" t="str">
        <f t="shared" si="153"/>
        <v>CANOY 1</v>
      </c>
      <c r="W2432" s="169" t="s">
        <v>2715</v>
      </c>
    </row>
    <row r="2433" spans="2:23" x14ac:dyDescent="0.25">
      <c r="B2433" s="169" t="s">
        <v>96</v>
      </c>
      <c r="C2433" s="169" t="s">
        <v>57</v>
      </c>
      <c r="D2433" s="169" t="s">
        <v>142</v>
      </c>
      <c r="E2433" s="169" t="s">
        <v>61</v>
      </c>
      <c r="F2433" s="245" t="str">
        <f t="shared" si="151"/>
        <v>Dhoz 71</v>
      </c>
      <c r="G2433" s="169" t="s">
        <v>5101</v>
      </c>
      <c r="I2433" s="169" t="str">
        <f t="shared" si="154"/>
        <v>L09_JVSPLIT_038E_DW</v>
      </c>
      <c r="J2433" t="s">
        <v>10948</v>
      </c>
      <c r="K2433" s="169">
        <f>IFERROR(MATCH(J2433,'Final List'!$B$4:$B$252,0),0)</f>
        <v>0</v>
      </c>
      <c r="L2433" s="169">
        <f>IFERROR(MATCH(J2433,'Final List'!$D$4:$D$252,0),0)</f>
        <v>0</v>
      </c>
      <c r="M2433" s="169">
        <f>IFERROR(MATCH(J2433,'Final List'!$F$4:$F$251,0),0)</f>
        <v>0</v>
      </c>
      <c r="N2433" s="169">
        <f>IFERROR(MATCH(J2433,'Final List'!$H$4:$H$252,0),0)</f>
        <v>0</v>
      </c>
      <c r="O2433" s="169">
        <f>IFERROR(MATCH(J2433,'Final List'!$J$4:$J$252,0),0)</f>
        <v>0</v>
      </c>
      <c r="P2433" s="169">
        <f>IFERROR(MATCH(J2433,'Final List'!$L$4:$L$252,0),0)</f>
        <v>0</v>
      </c>
      <c r="Q2433" s="169">
        <f>IFERROR(MATCH(J2433,'Final List'!$N$4:$N$252,0),0)</f>
        <v>0</v>
      </c>
      <c r="R2433" s="169">
        <f>IFERROR(MATCH(J2433,'Final List'!$P$4:$P$252,0),0)</f>
        <v>0</v>
      </c>
      <c r="S2433" s="169">
        <f t="shared" si="152"/>
        <v>0</v>
      </c>
      <c r="V2433" s="169" t="str">
        <f t="shared" si="153"/>
        <v>DELOS REYES V3</v>
      </c>
      <c r="W2433" s="169" t="s">
        <v>8896</v>
      </c>
    </row>
    <row r="2434" spans="2:23" x14ac:dyDescent="0.25">
      <c r="B2434" s="169" t="s">
        <v>96</v>
      </c>
      <c r="C2434" s="169" t="s">
        <v>56</v>
      </c>
      <c r="D2434" s="169" t="s">
        <v>164</v>
      </c>
      <c r="E2434" s="169" t="s">
        <v>62</v>
      </c>
      <c r="F2434" s="245" t="str">
        <f t="shared" si="151"/>
        <v>RobS 79</v>
      </c>
      <c r="G2434" s="169" t="s">
        <v>485</v>
      </c>
      <c r="I2434" s="169" t="str">
        <f t="shared" si="154"/>
        <v>L09_GHVFW_064E_ROBBING</v>
      </c>
      <c r="J2434" t="s">
        <v>10949</v>
      </c>
      <c r="K2434" s="169">
        <f>IFERROR(MATCH(J2434,'Final List'!$B$4:$B$252,0),0)</f>
        <v>0</v>
      </c>
      <c r="L2434" s="169">
        <f>IFERROR(MATCH(J2434,'Final List'!$D$4:$D$252,0),0)</f>
        <v>0</v>
      </c>
      <c r="M2434" s="169">
        <f>IFERROR(MATCH(J2434,'Final List'!$F$4:$F$251,0),0)</f>
        <v>0</v>
      </c>
      <c r="N2434" s="169">
        <f>IFERROR(MATCH(J2434,'Final List'!$H$4:$H$252,0),0)</f>
        <v>0</v>
      </c>
      <c r="O2434" s="169">
        <f>IFERROR(MATCH(J2434,'Final List'!$J$4:$J$252,0),0)</f>
        <v>0</v>
      </c>
      <c r="P2434" s="169">
        <f>IFERROR(MATCH(J2434,'Final List'!$L$4:$L$252,0),0)</f>
        <v>0</v>
      </c>
      <c r="Q2434" s="169">
        <f>IFERROR(MATCH(J2434,'Final List'!$N$4:$N$252,0),0)</f>
        <v>0</v>
      </c>
      <c r="R2434" s="169">
        <f>IFERROR(MATCH(J2434,'Final List'!$P$4:$P$252,0),0)</f>
        <v>0</v>
      </c>
      <c r="S2434" s="169">
        <f t="shared" si="152"/>
        <v>0</v>
      </c>
      <c r="T2434" s="169" t="s">
        <v>68</v>
      </c>
      <c r="V2434" s="169" t="str">
        <f t="shared" si="153"/>
        <v>BALANGHIG 3</v>
      </c>
      <c r="W2434" s="169" t="s">
        <v>2707</v>
      </c>
    </row>
    <row r="2435" spans="2:23" x14ac:dyDescent="0.25">
      <c r="B2435" s="169" t="s">
        <v>1166</v>
      </c>
      <c r="C2435" s="169" t="s">
        <v>87</v>
      </c>
      <c r="D2435" s="169" t="s">
        <v>148</v>
      </c>
      <c r="E2435" s="169" t="s">
        <v>37</v>
      </c>
      <c r="F2435" s="245" t="str">
        <f t="shared" ref="F2435:F2498" si="155">IF(OR(E2435="XCN",E2435="DE",E2435="DW",E2435="DN",E2435="XCS",E2435="XCE",E2435="XCW",E2435="SUMP",E2435="BYPASS",E2435="CHAMBER",E2435="DRAIN HOLE",E2435="DRILLING CHAMBER",E2435="DE_ISL",E2435="DW_ISL",E2435="REHAB"),"Dhoz 71",IF(OR(E2435="RAISE",E2435="RAISE_ISL"),"DVR 72",IF(E2435="ALIMAK","DVA 73",IF(E2435="WINZE","DVW 74",IF(E2435="SHAFT","DVS 75",IF(AND(E2435="WINZE STOPE",T2435="S"),"RobC 80",IF(AND(E2435="STOPE",T2435="S"),"StpS 77",IF(AND(E2435="WINZE STOPE",T2435="L"),"RobC 80",IF(AND(E2435="STOPE",T2435="L"),"StpL 78",IF(AND(E2435="WINZE STOPE PREP",T2435="S"),"RobC 80",IF(AND(E2435="STOPE PREP",T2435="S"),"StpS 77",IF(AND(E2435="WINZE STOPE PREP",T2435="L"),"RobC 80",IF(AND(E2435="STOPE PREP",T2435="L"),"StpL 78",IF(AND(E2435="ROBBING",T2435="L"),"RobC 80",IF(AND(E2435="ROBBING",T2435="S"),"RobS 79",0)))))))))))))))</f>
        <v>Dhoz 71</v>
      </c>
      <c r="G2435" s="169" t="s">
        <v>5720</v>
      </c>
      <c r="H2435" s="169" t="s">
        <v>1369</v>
      </c>
      <c r="I2435" s="169" t="str">
        <f t="shared" si="154"/>
        <v>L11_NONE_039E_XCN</v>
      </c>
      <c r="J2435" t="s">
        <v>10950</v>
      </c>
      <c r="K2435" s="169">
        <f>IFERROR(MATCH(J2435,'Final List'!$B$4:$B$252,0),0)</f>
        <v>0</v>
      </c>
      <c r="L2435" s="169">
        <f>IFERROR(MATCH(J2435,'Final List'!$D$4:$D$252,0),0)</f>
        <v>0</v>
      </c>
      <c r="M2435" s="169">
        <f>IFERROR(MATCH(J2435,'Final List'!$F$4:$F$251,0),0)</f>
        <v>0</v>
      </c>
      <c r="N2435" s="169">
        <f>IFERROR(MATCH(J2435,'Final List'!$H$4:$H$252,0),0)</f>
        <v>0</v>
      </c>
      <c r="O2435" s="169">
        <f>IFERROR(MATCH(J2435,'Final List'!$J$4:$J$252,0),0)</f>
        <v>0</v>
      </c>
      <c r="P2435" s="169">
        <f>IFERROR(MATCH(J2435,'Final List'!$L$4:$L$252,0),0)</f>
        <v>0</v>
      </c>
      <c r="Q2435" s="169">
        <f>IFERROR(MATCH(J2435,'Final List'!$N$4:$N$252,0),0)</f>
        <v>0</v>
      </c>
      <c r="R2435" s="169">
        <f>IFERROR(MATCH(J2435,'Final List'!$P$4:$P$252,0),0)</f>
        <v>0</v>
      </c>
      <c r="S2435" s="169">
        <f t="shared" ref="S2435:S2498" si="156">SUM(K2435:R2435)</f>
        <v>0</v>
      </c>
      <c r="V2435" s="169" t="str">
        <f t="shared" si="153"/>
        <v>TORMIS</v>
      </c>
      <c r="W2435" s="169" t="s">
        <v>8898</v>
      </c>
    </row>
    <row r="2436" spans="2:23" x14ac:dyDescent="0.25">
      <c r="B2436" s="169" t="s">
        <v>258</v>
      </c>
      <c r="C2436" s="169" t="s">
        <v>45</v>
      </c>
      <c r="D2436" s="169" t="s">
        <v>9640</v>
      </c>
      <c r="E2436" s="169" t="s">
        <v>19</v>
      </c>
      <c r="F2436" s="245" t="str">
        <f t="shared" si="155"/>
        <v>DVR 72</v>
      </c>
      <c r="G2436" s="169" t="s">
        <v>451</v>
      </c>
      <c r="I2436" s="169" t="str">
        <f t="shared" si="154"/>
        <v>L10_DPVE_094E_RAISE</v>
      </c>
      <c r="J2436" t="s">
        <v>10953</v>
      </c>
      <c r="K2436" s="169">
        <f>IFERROR(MATCH(J2436,'Final List'!$B$4:$B$252,0),0)</f>
        <v>0</v>
      </c>
      <c r="L2436" s="169">
        <f>IFERROR(MATCH(J2436,'Final List'!$D$4:$D$252,0),0)</f>
        <v>0</v>
      </c>
      <c r="M2436" s="169">
        <f>IFERROR(MATCH(J2436,'Final List'!$F$4:$F$251,0),0)</f>
        <v>0</v>
      </c>
      <c r="N2436" s="169">
        <f>IFERROR(MATCH(J2436,'Final List'!$H$4:$H$252,0),0)</f>
        <v>0</v>
      </c>
      <c r="O2436" s="169">
        <f>IFERROR(MATCH(J2436,'Final List'!$J$4:$J$252,0),0)</f>
        <v>0</v>
      </c>
      <c r="P2436" s="169">
        <f>IFERROR(MATCH(J2436,'Final List'!$L$4:$L$252,0),0)</f>
        <v>0</v>
      </c>
      <c r="Q2436" s="169">
        <f>IFERROR(MATCH(J2436,'Final List'!$N$4:$N$252,0),0)</f>
        <v>0</v>
      </c>
      <c r="R2436" s="169">
        <f>IFERROR(MATCH(J2436,'Final List'!$P$4:$P$252,0),0)</f>
        <v>0</v>
      </c>
      <c r="S2436" s="169">
        <f t="shared" si="156"/>
        <v>0</v>
      </c>
      <c r="V2436" s="169" t="str">
        <f t="shared" si="153"/>
        <v>BELICAN 2</v>
      </c>
      <c r="W2436" s="169" t="s">
        <v>2715</v>
      </c>
    </row>
    <row r="2437" spans="2:23" x14ac:dyDescent="0.25">
      <c r="B2437" s="169" t="s">
        <v>96</v>
      </c>
      <c r="C2437" s="169" t="s">
        <v>45</v>
      </c>
      <c r="D2437" s="169" t="s">
        <v>205</v>
      </c>
      <c r="E2437" s="169" t="s">
        <v>62</v>
      </c>
      <c r="F2437" s="245" t="str">
        <f t="shared" si="155"/>
        <v>RobS 79</v>
      </c>
      <c r="G2437" s="169" t="s">
        <v>336</v>
      </c>
      <c r="I2437" s="169" t="str">
        <f t="shared" si="154"/>
        <v>L09_DPVE_066E_ROBBING</v>
      </c>
      <c r="J2437" t="s">
        <v>10971</v>
      </c>
      <c r="K2437" s="169">
        <f>IFERROR(MATCH(J2437,'Final List'!$B$4:$B$252,0),0)</f>
        <v>0</v>
      </c>
      <c r="L2437" s="169">
        <f>IFERROR(MATCH(J2437,'Final List'!$D$4:$D$252,0),0)</f>
        <v>0</v>
      </c>
      <c r="M2437" s="169">
        <f>IFERROR(MATCH(J2437,'Final List'!$F$4:$F$251,0),0)</f>
        <v>0</v>
      </c>
      <c r="N2437" s="169">
        <f>IFERROR(MATCH(J2437,'Final List'!$H$4:$H$252,0),0)</f>
        <v>0</v>
      </c>
      <c r="O2437" s="169">
        <f>IFERROR(MATCH(J2437,'Final List'!$J$4:$J$252,0),0)</f>
        <v>0</v>
      </c>
      <c r="P2437" s="169">
        <f>IFERROR(MATCH(J2437,'Final List'!$L$4:$L$252,0),0)</f>
        <v>0</v>
      </c>
      <c r="Q2437" s="169">
        <f>IFERROR(MATCH(J2437,'Final List'!$N$4:$N$252,0),0)</f>
        <v>0</v>
      </c>
      <c r="R2437" s="169">
        <f>IFERROR(MATCH(J2437,'Final List'!$P$4:$P$252,0),0)</f>
        <v>0</v>
      </c>
      <c r="S2437" s="169">
        <f t="shared" si="156"/>
        <v>0</v>
      </c>
      <c r="T2437" s="169" t="s">
        <v>68</v>
      </c>
      <c r="V2437" s="169" t="str">
        <f t="shared" si="153"/>
        <v>BALANGHIG 1</v>
      </c>
      <c r="W2437" s="169" t="s">
        <v>2707</v>
      </c>
    </row>
    <row r="2438" spans="2:23" x14ac:dyDescent="0.25">
      <c r="B2438" s="169" t="s">
        <v>1167</v>
      </c>
      <c r="C2438" s="169" t="s">
        <v>59</v>
      </c>
      <c r="D2438" s="169" t="s">
        <v>289</v>
      </c>
      <c r="E2438" s="169" t="s">
        <v>19</v>
      </c>
      <c r="F2438" s="245" t="str">
        <f t="shared" si="155"/>
        <v>DVR 72</v>
      </c>
      <c r="G2438" s="169" t="s">
        <v>597</v>
      </c>
      <c r="I2438" s="169" t="str">
        <f t="shared" si="154"/>
        <v>L12_GHVHW_059E_RAISE</v>
      </c>
      <c r="J2438" t="s">
        <v>10956</v>
      </c>
      <c r="K2438" s="169">
        <f>IFERROR(MATCH(J2438,'Final List'!$B$4:$B$252,0),0)</f>
        <v>0</v>
      </c>
      <c r="L2438" s="169">
        <f>IFERROR(MATCH(J2438,'Final List'!$D$4:$D$252,0),0)</f>
        <v>0</v>
      </c>
      <c r="M2438" s="169">
        <f>IFERROR(MATCH(J2438,'Final List'!$F$4:$F$251,0),0)</f>
        <v>0</v>
      </c>
      <c r="N2438" s="169">
        <f>IFERROR(MATCH(J2438,'Final List'!$H$4:$H$252,0),0)</f>
        <v>0</v>
      </c>
      <c r="O2438" s="169">
        <f>IFERROR(MATCH(J2438,'Final List'!$J$4:$J$252,0),0)</f>
        <v>0</v>
      </c>
      <c r="P2438" s="169">
        <f>IFERROR(MATCH(J2438,'Final List'!$L$4:$L$252,0),0)</f>
        <v>0</v>
      </c>
      <c r="Q2438" s="169">
        <f>IFERROR(MATCH(J2438,'Final List'!$N$4:$N$252,0),0)</f>
        <v>0</v>
      </c>
      <c r="R2438" s="169">
        <f>IFERROR(MATCH(J2438,'Final List'!$P$4:$P$252,0),0)</f>
        <v>0</v>
      </c>
      <c r="S2438" s="169">
        <f t="shared" si="156"/>
        <v>0</v>
      </c>
      <c r="V2438" s="169" t="str">
        <f t="shared" si="153"/>
        <v>PANCIT, NOEL 6</v>
      </c>
      <c r="W2438" s="169" t="s">
        <v>2715</v>
      </c>
    </row>
    <row r="2439" spans="2:23" x14ac:dyDescent="0.25">
      <c r="B2439" s="169" t="s">
        <v>96</v>
      </c>
      <c r="C2439" s="169" t="s">
        <v>45</v>
      </c>
      <c r="D2439" s="169" t="s">
        <v>169</v>
      </c>
      <c r="E2439" s="169" t="s">
        <v>62</v>
      </c>
      <c r="F2439" s="245" t="str">
        <f t="shared" si="155"/>
        <v>RobS 79</v>
      </c>
      <c r="G2439" s="169" t="s">
        <v>337</v>
      </c>
      <c r="I2439" s="169" t="str">
        <f t="shared" si="154"/>
        <v>L09_DPVE_065E_ROBBING</v>
      </c>
      <c r="J2439" t="s">
        <v>10960</v>
      </c>
      <c r="K2439" s="169">
        <f>IFERROR(MATCH(J2439,'Final List'!$B$4:$B$252,0),0)</f>
        <v>0</v>
      </c>
      <c r="L2439" s="169">
        <f>IFERROR(MATCH(J2439,'Final List'!$D$4:$D$252,0),0)</f>
        <v>0</v>
      </c>
      <c r="M2439" s="169">
        <f>IFERROR(MATCH(J2439,'Final List'!$F$4:$F$251,0),0)</f>
        <v>0</v>
      </c>
      <c r="N2439" s="169">
        <f>IFERROR(MATCH(J2439,'Final List'!$H$4:$H$252,0),0)</f>
        <v>0</v>
      </c>
      <c r="O2439" s="169">
        <f>IFERROR(MATCH(J2439,'Final List'!$J$4:$J$252,0),0)</f>
        <v>0</v>
      </c>
      <c r="P2439" s="169">
        <f>IFERROR(MATCH(J2439,'Final List'!$L$4:$L$252,0),0)</f>
        <v>0</v>
      </c>
      <c r="Q2439" s="169">
        <f>IFERROR(MATCH(J2439,'Final List'!$N$4:$N$252,0),0)</f>
        <v>0</v>
      </c>
      <c r="R2439" s="169">
        <f>IFERROR(MATCH(J2439,'Final List'!$P$4:$P$252,0),0)</f>
        <v>0</v>
      </c>
      <c r="S2439" s="169">
        <f t="shared" si="156"/>
        <v>0</v>
      </c>
      <c r="T2439" s="169" t="s">
        <v>68</v>
      </c>
      <c r="V2439" s="169" t="str">
        <f t="shared" si="153"/>
        <v>BALANGHIG 2</v>
      </c>
      <c r="W2439" s="169" t="s">
        <v>2707</v>
      </c>
    </row>
    <row r="2440" spans="2:23" x14ac:dyDescent="0.25">
      <c r="B2440" s="169" t="s">
        <v>95</v>
      </c>
      <c r="C2440" s="169" t="s">
        <v>59</v>
      </c>
      <c r="D2440" s="169" t="s">
        <v>197</v>
      </c>
      <c r="E2440" s="169" t="s">
        <v>6154</v>
      </c>
      <c r="F2440" s="245" t="str">
        <f t="shared" si="155"/>
        <v>Dhoz 71</v>
      </c>
      <c r="G2440" s="169" t="s">
        <v>10087</v>
      </c>
      <c r="H2440" s="169" t="s">
        <v>6925</v>
      </c>
      <c r="I2440" s="169" t="str">
        <f t="shared" si="154"/>
        <v>L08_GHVHW_070E_DW_ISL</v>
      </c>
      <c r="J2440" t="s">
        <v>10964</v>
      </c>
      <c r="K2440" s="169">
        <f>IFERROR(MATCH(J2440,'Final List'!$B$4:$B$252,0),0)</f>
        <v>0</v>
      </c>
      <c r="L2440" s="169">
        <f>IFERROR(MATCH(J2440,'Final List'!$D$4:$D$252,0),0)</f>
        <v>0</v>
      </c>
      <c r="M2440" s="169">
        <f>IFERROR(MATCH(J2440,'Final List'!$F$4:$F$251,0),0)</f>
        <v>0</v>
      </c>
      <c r="N2440" s="169">
        <f>IFERROR(MATCH(J2440,'Final List'!$H$4:$H$252,0),0)</f>
        <v>0</v>
      </c>
      <c r="O2440" s="169">
        <f>IFERROR(MATCH(J2440,'Final List'!$J$4:$J$252,0),0)</f>
        <v>0</v>
      </c>
      <c r="P2440" s="169">
        <f>IFERROR(MATCH(J2440,'Final List'!$L$4:$L$252,0),0)</f>
        <v>0</v>
      </c>
      <c r="Q2440" s="169">
        <f>IFERROR(MATCH(J2440,'Final List'!$N$4:$N$252,0),0)</f>
        <v>0</v>
      </c>
      <c r="R2440" s="169">
        <f>IFERROR(MATCH(J2440,'Final List'!$P$4:$P$252,0),0)</f>
        <v>0</v>
      </c>
      <c r="S2440" s="169">
        <f t="shared" si="156"/>
        <v>0</v>
      </c>
      <c r="V2440" s="169" t="str">
        <f t="shared" si="153"/>
        <v>CAPUYAN 1</v>
      </c>
      <c r="W2440" s="169" t="s">
        <v>2708</v>
      </c>
    </row>
    <row r="2441" spans="2:23" x14ac:dyDescent="0.25">
      <c r="B2441" s="169" t="s">
        <v>258</v>
      </c>
      <c r="C2441" s="169" t="s">
        <v>57</v>
      </c>
      <c r="D2441" s="169" t="s">
        <v>201</v>
      </c>
      <c r="E2441" s="169" t="s">
        <v>36</v>
      </c>
      <c r="F2441" s="245" t="str">
        <f t="shared" si="155"/>
        <v>StpS 77</v>
      </c>
      <c r="G2441" s="169" t="s">
        <v>5697</v>
      </c>
      <c r="I2441" s="169" t="str">
        <f t="shared" si="154"/>
        <v>L10_JVSPLIT_067E_STOPE</v>
      </c>
      <c r="J2441" t="s">
        <v>10967</v>
      </c>
      <c r="K2441" s="169">
        <f>IFERROR(MATCH(J2441,'Final List'!$B$4:$B$252,0),0)</f>
        <v>0</v>
      </c>
      <c r="L2441" s="169">
        <f>IFERROR(MATCH(J2441,'Final List'!$D$4:$D$252,0),0)</f>
        <v>0</v>
      </c>
      <c r="M2441" s="169">
        <f>IFERROR(MATCH(J2441,'Final List'!$F$4:$F$251,0),0)</f>
        <v>0</v>
      </c>
      <c r="N2441" s="169">
        <f>IFERROR(MATCH(J2441,'Final List'!$H$4:$H$252,0),0)</f>
        <v>0</v>
      </c>
      <c r="O2441" s="169">
        <f>IFERROR(MATCH(J2441,'Final List'!$J$4:$J$252,0),0)</f>
        <v>0</v>
      </c>
      <c r="P2441" s="169">
        <f>IFERROR(MATCH(J2441,'Final List'!$L$4:$L$252,0),0)</f>
        <v>0</v>
      </c>
      <c r="Q2441" s="169">
        <f>IFERROR(MATCH(J2441,'Final List'!$N$4:$N$252,0),0)</f>
        <v>0</v>
      </c>
      <c r="R2441" s="169">
        <f>IFERROR(MATCH(J2441,'Final List'!$P$4:$P$252,0),0)</f>
        <v>0</v>
      </c>
      <c r="S2441" s="169">
        <f t="shared" si="156"/>
        <v>0</v>
      </c>
      <c r="T2441" s="169" t="s">
        <v>68</v>
      </c>
      <c r="V2441" s="169" t="str">
        <f t="shared" si="153"/>
        <v>OLIVEROS 1</v>
      </c>
      <c r="W2441" s="169" t="s">
        <v>2713</v>
      </c>
    </row>
    <row r="2442" spans="2:23" x14ac:dyDescent="0.25">
      <c r="B2442" s="169" t="s">
        <v>258</v>
      </c>
      <c r="C2442" s="169" t="s">
        <v>55</v>
      </c>
      <c r="D2442" s="169" t="s">
        <v>169</v>
      </c>
      <c r="E2442" s="169" t="s">
        <v>62</v>
      </c>
      <c r="F2442" s="245" t="str">
        <f t="shared" si="155"/>
        <v>RobS 79</v>
      </c>
      <c r="G2442" s="169" t="s">
        <v>9964</v>
      </c>
      <c r="I2442" s="169" t="str">
        <f t="shared" si="154"/>
        <v>L10_JVFW_065E_ROBBING</v>
      </c>
      <c r="J2442" t="s">
        <v>10968</v>
      </c>
      <c r="K2442" s="169">
        <f>IFERROR(MATCH(J2442,'Final List'!$B$4:$B$252,0),0)</f>
        <v>0</v>
      </c>
      <c r="L2442" s="169">
        <f>IFERROR(MATCH(J2442,'Final List'!$D$4:$D$252,0),0)</f>
        <v>0</v>
      </c>
      <c r="M2442" s="169">
        <f>IFERROR(MATCH(J2442,'Final List'!$F$4:$F$251,0),0)</f>
        <v>0</v>
      </c>
      <c r="N2442" s="169">
        <f>IFERROR(MATCH(J2442,'Final List'!$H$4:$H$252,0),0)</f>
        <v>0</v>
      </c>
      <c r="O2442" s="169">
        <f>IFERROR(MATCH(J2442,'Final List'!$J$4:$J$252,0),0)</f>
        <v>0</v>
      </c>
      <c r="P2442" s="169">
        <f>IFERROR(MATCH(J2442,'Final List'!$L$4:$L$252,0),0)</f>
        <v>0</v>
      </c>
      <c r="Q2442" s="169">
        <f>IFERROR(MATCH(J2442,'Final List'!$N$4:$N$252,0),0)</f>
        <v>0</v>
      </c>
      <c r="R2442" s="169">
        <f>IFERROR(MATCH(J2442,'Final List'!$P$4:$P$252,0),0)</f>
        <v>0</v>
      </c>
      <c r="S2442" s="169">
        <f t="shared" si="156"/>
        <v>0</v>
      </c>
      <c r="T2442" s="169" t="s">
        <v>68</v>
      </c>
      <c r="V2442" s="169" t="str">
        <f t="shared" si="153"/>
        <v>SHEPHERD BA</v>
      </c>
      <c r="W2442" s="169" t="s">
        <v>2707</v>
      </c>
    </row>
    <row r="2443" spans="2:23" x14ac:dyDescent="0.25">
      <c r="B2443" s="169" t="s">
        <v>258</v>
      </c>
      <c r="C2443" s="169" t="s">
        <v>45</v>
      </c>
      <c r="D2443" s="169" t="s">
        <v>5604</v>
      </c>
      <c r="E2443" s="169" t="s">
        <v>62</v>
      </c>
      <c r="F2443" s="245" t="str">
        <f t="shared" si="155"/>
        <v>RobS 79</v>
      </c>
      <c r="G2443" s="169" t="s">
        <v>10889</v>
      </c>
      <c r="I2443" s="169" t="str">
        <f t="shared" si="154"/>
        <v>L10_DPVE_063E_ROBBING</v>
      </c>
      <c r="J2443" t="s">
        <v>10969</v>
      </c>
      <c r="K2443" s="169">
        <f>IFERROR(MATCH(J2443,'Final List'!$B$4:$B$252,0),0)</f>
        <v>0</v>
      </c>
      <c r="L2443" s="169">
        <f>IFERROR(MATCH(J2443,'Final List'!$D$4:$D$252,0),0)</f>
        <v>0</v>
      </c>
      <c r="M2443" s="169">
        <f>IFERROR(MATCH(J2443,'Final List'!$F$4:$F$251,0),0)</f>
        <v>0</v>
      </c>
      <c r="N2443" s="169">
        <f>IFERROR(MATCH(J2443,'Final List'!$H$4:$H$252,0),0)</f>
        <v>0</v>
      </c>
      <c r="O2443" s="169">
        <f>IFERROR(MATCH(J2443,'Final List'!$J$4:$J$252,0),0)</f>
        <v>0</v>
      </c>
      <c r="P2443" s="169">
        <f>IFERROR(MATCH(J2443,'Final List'!$L$4:$L$252,0),0)</f>
        <v>0</v>
      </c>
      <c r="Q2443" s="169">
        <f>IFERROR(MATCH(J2443,'Final List'!$N$4:$N$252,0),0)</f>
        <v>0</v>
      </c>
      <c r="R2443" s="169">
        <f>IFERROR(MATCH(J2443,'Final List'!$P$4:$P$252,0),0)</f>
        <v>0</v>
      </c>
      <c r="S2443" s="169">
        <f t="shared" si="156"/>
        <v>0</v>
      </c>
      <c r="T2443" s="169" t="s">
        <v>68</v>
      </c>
      <c r="V2443" s="169" t="str">
        <f t="shared" si="153"/>
        <v>LARGO 4</v>
      </c>
      <c r="W2443" s="169" t="s">
        <v>2707</v>
      </c>
    </row>
    <row r="2444" spans="2:23" x14ac:dyDescent="0.25">
      <c r="B2444" s="169" t="s">
        <v>1167</v>
      </c>
      <c r="C2444" s="169" t="s">
        <v>39</v>
      </c>
      <c r="D2444" s="169" t="s">
        <v>160</v>
      </c>
      <c r="E2444" s="169" t="s">
        <v>19</v>
      </c>
      <c r="F2444" s="245" t="str">
        <f t="shared" si="155"/>
        <v>DVR 72</v>
      </c>
      <c r="G2444" s="169" t="s">
        <v>1577</v>
      </c>
      <c r="I2444" s="169" t="str">
        <f t="shared" si="154"/>
        <v>L12_JVHW_042E_RAISE</v>
      </c>
      <c r="J2444" t="s">
        <v>11122</v>
      </c>
      <c r="K2444" s="169">
        <f>IFERROR(MATCH(J2444,'Final List'!$B$4:$B$252,0),0)</f>
        <v>0</v>
      </c>
      <c r="L2444" s="169">
        <f>IFERROR(MATCH(J2444,'Final List'!$D$4:$D$252,0),0)</f>
        <v>0</v>
      </c>
      <c r="M2444" s="169">
        <f>IFERROR(MATCH(J2444,'Final List'!$F$4:$F$251,0),0)</f>
        <v>0</v>
      </c>
      <c r="N2444" s="169">
        <f>IFERROR(MATCH(J2444,'Final List'!$H$4:$H$252,0),0)</f>
        <v>0</v>
      </c>
      <c r="O2444" s="169">
        <f>IFERROR(MATCH(J2444,'Final List'!$J$4:$J$252,0),0)</f>
        <v>0</v>
      </c>
      <c r="P2444" s="169">
        <f>IFERROR(MATCH(J2444,'Final List'!$L$4:$L$252,0),0)</f>
        <v>0</v>
      </c>
      <c r="Q2444" s="169">
        <f>IFERROR(MATCH(J2444,'Final List'!$N$4:$N$252,0),0)</f>
        <v>0</v>
      </c>
      <c r="R2444" s="169">
        <f>IFERROR(MATCH(J2444,'Final List'!$P$4:$P$252,0),0)</f>
        <v>0</v>
      </c>
      <c r="S2444" s="169">
        <f t="shared" si="156"/>
        <v>0</v>
      </c>
      <c r="V2444" s="169" t="str">
        <f t="shared" si="153"/>
        <v>PANCIT, NOEL 2</v>
      </c>
      <c r="W2444" s="169" t="s">
        <v>2715</v>
      </c>
    </row>
    <row r="2445" spans="2:23" x14ac:dyDescent="0.25">
      <c r="B2445" s="169" t="s">
        <v>1166</v>
      </c>
      <c r="C2445" s="169" t="s">
        <v>45</v>
      </c>
      <c r="D2445" s="169" t="s">
        <v>5601</v>
      </c>
      <c r="E2445" s="169" t="s">
        <v>36</v>
      </c>
      <c r="F2445" s="245" t="str">
        <f t="shared" si="155"/>
        <v>StpS 77</v>
      </c>
      <c r="G2445" s="169" t="s">
        <v>454</v>
      </c>
      <c r="H2445" s="169" t="s">
        <v>355</v>
      </c>
      <c r="I2445" s="169" t="str">
        <f t="shared" si="154"/>
        <v>L11_DPVE_026E_STOPE</v>
      </c>
      <c r="J2445" t="s">
        <v>11073</v>
      </c>
      <c r="K2445" s="169">
        <f>IFERROR(MATCH(J2445,'Final List'!$B$4:$B$252,0),0)</f>
        <v>0</v>
      </c>
      <c r="L2445" s="169">
        <f>IFERROR(MATCH(J2445,'Final List'!$D$4:$D$252,0),0)</f>
        <v>0</v>
      </c>
      <c r="M2445" s="169">
        <f>IFERROR(MATCH(J2445,'Final List'!$F$4:$F$251,0),0)</f>
        <v>0</v>
      </c>
      <c r="N2445" s="169">
        <f>IFERROR(MATCH(J2445,'Final List'!$H$4:$H$252,0),0)</f>
        <v>0</v>
      </c>
      <c r="O2445" s="169">
        <f>IFERROR(MATCH(J2445,'Final List'!$J$4:$J$252,0),0)</f>
        <v>0</v>
      </c>
      <c r="P2445" s="169">
        <f>IFERROR(MATCH(J2445,'Final List'!$L$4:$L$252,0),0)</f>
        <v>0</v>
      </c>
      <c r="Q2445" s="169">
        <f>IFERROR(MATCH(J2445,'Final List'!$N$4:$N$252,0),0)</f>
        <v>0</v>
      </c>
      <c r="R2445" s="169">
        <f>IFERROR(MATCH(J2445,'Final List'!$P$4:$P$252,0),0)</f>
        <v>0</v>
      </c>
      <c r="S2445" s="169">
        <f t="shared" si="156"/>
        <v>0</v>
      </c>
      <c r="T2445" s="169" t="s">
        <v>68</v>
      </c>
      <c r="V2445" s="169" t="str">
        <f t="shared" si="153"/>
        <v>BAÑEZ 2</v>
      </c>
      <c r="W2445" s="169" t="s">
        <v>2713</v>
      </c>
    </row>
    <row r="2446" spans="2:23" x14ac:dyDescent="0.25">
      <c r="B2446" s="169" t="s">
        <v>1166</v>
      </c>
      <c r="C2446" s="169" t="s">
        <v>45</v>
      </c>
      <c r="D2446" s="169" t="s">
        <v>143</v>
      </c>
      <c r="E2446" s="169" t="s">
        <v>36</v>
      </c>
      <c r="F2446" s="245" t="str">
        <f t="shared" si="155"/>
        <v>StpS 77</v>
      </c>
      <c r="G2446" s="169" t="s">
        <v>342</v>
      </c>
      <c r="I2446" s="169" t="str">
        <f t="shared" si="154"/>
        <v>L11_DPVE_032E_STOPE</v>
      </c>
      <c r="J2446" t="s">
        <v>11087</v>
      </c>
      <c r="K2446" s="169">
        <f>IFERROR(MATCH(J2446,'Final List'!$B$4:$B$252,0),0)</f>
        <v>0</v>
      </c>
      <c r="L2446" s="169">
        <f>IFERROR(MATCH(J2446,'Final List'!$D$4:$D$252,0),0)</f>
        <v>0</v>
      </c>
      <c r="M2446" s="169">
        <f>IFERROR(MATCH(J2446,'Final List'!$F$4:$F$251,0),0)</f>
        <v>0</v>
      </c>
      <c r="N2446" s="169">
        <f>IFERROR(MATCH(J2446,'Final List'!$H$4:$H$252,0),0)</f>
        <v>0</v>
      </c>
      <c r="O2446" s="169">
        <f>IFERROR(MATCH(J2446,'Final List'!$J$4:$J$252,0),0)</f>
        <v>0</v>
      </c>
      <c r="P2446" s="169">
        <f>IFERROR(MATCH(J2446,'Final List'!$L$4:$L$252,0),0)</f>
        <v>0</v>
      </c>
      <c r="Q2446" s="169">
        <f>IFERROR(MATCH(J2446,'Final List'!$N$4:$N$252,0),0)</f>
        <v>0</v>
      </c>
      <c r="R2446" s="169">
        <f>IFERROR(MATCH(J2446,'Final List'!$P$4:$P$252,0),0)</f>
        <v>0</v>
      </c>
      <c r="S2446" s="169">
        <f t="shared" si="156"/>
        <v>0</v>
      </c>
      <c r="T2446" s="169" t="s">
        <v>68</v>
      </c>
      <c r="V2446" s="169" t="str">
        <f t="shared" si="153"/>
        <v>BADBADON 2</v>
      </c>
      <c r="W2446" s="169" t="s">
        <v>2711</v>
      </c>
    </row>
    <row r="2447" spans="2:23" x14ac:dyDescent="0.25">
      <c r="B2447" s="169" t="s">
        <v>96</v>
      </c>
      <c r="C2447" s="169" t="s">
        <v>45</v>
      </c>
      <c r="D2447" s="169" t="s">
        <v>9827</v>
      </c>
      <c r="E2447" s="169" t="s">
        <v>20</v>
      </c>
      <c r="F2447" s="245" t="str">
        <f t="shared" si="155"/>
        <v>DVW 74</v>
      </c>
      <c r="G2447" s="169" t="s">
        <v>350</v>
      </c>
      <c r="I2447" s="169" t="str">
        <f t="shared" si="154"/>
        <v>L09_DPVE_088E_WINZE</v>
      </c>
      <c r="J2447" t="s">
        <v>10981</v>
      </c>
      <c r="K2447" s="169">
        <f>IFERROR(MATCH(J2447,'Final List'!$B$4:$B$252,0),0)</f>
        <v>0</v>
      </c>
      <c r="L2447" s="169">
        <f>IFERROR(MATCH(J2447,'Final List'!$D$4:$D$252,0),0)</f>
        <v>0</v>
      </c>
      <c r="M2447" s="169">
        <f>IFERROR(MATCH(J2447,'Final List'!$F$4:$F$251,0),0)</f>
        <v>0</v>
      </c>
      <c r="N2447" s="169">
        <f>IFERROR(MATCH(J2447,'Final List'!$H$4:$H$252,0),0)</f>
        <v>0</v>
      </c>
      <c r="O2447" s="169">
        <f>IFERROR(MATCH(J2447,'Final List'!$J$4:$J$252,0),0)</f>
        <v>0</v>
      </c>
      <c r="P2447" s="169">
        <f>IFERROR(MATCH(J2447,'Final List'!$L$4:$L$252,0),0)</f>
        <v>0</v>
      </c>
      <c r="Q2447" s="169">
        <f>IFERROR(MATCH(J2447,'Final List'!$N$4:$N$252,0),0)</f>
        <v>0</v>
      </c>
      <c r="R2447" s="169">
        <f>IFERROR(MATCH(J2447,'Final List'!$P$4:$P$252,0),0)</f>
        <v>0</v>
      </c>
      <c r="S2447" s="169">
        <f t="shared" si="156"/>
        <v>0</v>
      </c>
      <c r="V2447" s="169" t="str">
        <f t="shared" si="153"/>
        <v>QUIJANO 1</v>
      </c>
      <c r="W2447" s="169" t="s">
        <v>2706</v>
      </c>
    </row>
    <row r="2448" spans="2:23" x14ac:dyDescent="0.25">
      <c r="B2448" s="169" t="s">
        <v>258</v>
      </c>
      <c r="C2448" s="169" t="s">
        <v>43</v>
      </c>
      <c r="D2448" s="169" t="s">
        <v>146</v>
      </c>
      <c r="E2448" s="169" t="s">
        <v>60</v>
      </c>
      <c r="F2448" s="245" t="str">
        <f t="shared" si="155"/>
        <v>Dhoz 71</v>
      </c>
      <c r="G2448" s="169" t="s">
        <v>5701</v>
      </c>
      <c r="I2448" s="169" t="str">
        <f t="shared" si="154"/>
        <v>L10_GHVSPLIT_030E_DE</v>
      </c>
      <c r="J2448" t="s">
        <v>10984</v>
      </c>
      <c r="K2448" s="169">
        <f>IFERROR(MATCH(J2448,'Final List'!$B$4:$B$252,0),0)</f>
        <v>0</v>
      </c>
      <c r="L2448" s="169">
        <f>IFERROR(MATCH(J2448,'Final List'!$D$4:$D$252,0),0)</f>
        <v>0</v>
      </c>
      <c r="M2448" s="169">
        <f>IFERROR(MATCH(J2448,'Final List'!$F$4:$F$251,0),0)</f>
        <v>0</v>
      </c>
      <c r="N2448" s="169">
        <f>IFERROR(MATCH(J2448,'Final List'!$H$4:$H$252,0),0)</f>
        <v>0</v>
      </c>
      <c r="O2448" s="169">
        <f>IFERROR(MATCH(J2448,'Final List'!$J$4:$J$252,0),0)</f>
        <v>0</v>
      </c>
      <c r="P2448" s="169">
        <f>IFERROR(MATCH(J2448,'Final List'!$L$4:$L$252,0),0)</f>
        <v>0</v>
      </c>
      <c r="Q2448" s="169">
        <f>IFERROR(MATCH(J2448,'Final List'!$N$4:$N$252,0),0)</f>
        <v>0</v>
      </c>
      <c r="R2448" s="169">
        <f>IFERROR(MATCH(J2448,'Final List'!$P$4:$P$252,0),0)</f>
        <v>0</v>
      </c>
      <c r="S2448" s="169">
        <f t="shared" si="156"/>
        <v>0</v>
      </c>
      <c r="V2448" s="169" t="str">
        <f t="shared" si="153"/>
        <v>LARGO 2</v>
      </c>
      <c r="W2448" s="169" t="s">
        <v>8896</v>
      </c>
    </row>
    <row r="2449" spans="2:23" x14ac:dyDescent="0.25">
      <c r="B2449" s="169" t="s">
        <v>258</v>
      </c>
      <c r="C2449" s="169" t="s">
        <v>45</v>
      </c>
      <c r="D2449" s="169" t="s">
        <v>162</v>
      </c>
      <c r="E2449" s="169" t="s">
        <v>61</v>
      </c>
      <c r="F2449" s="245" t="str">
        <f t="shared" si="155"/>
        <v>Dhoz 71</v>
      </c>
      <c r="G2449" s="169" t="s">
        <v>10987</v>
      </c>
      <c r="H2449" s="169" t="s">
        <v>316</v>
      </c>
      <c r="I2449" s="169" t="str">
        <f t="shared" si="154"/>
        <v>L10_DPVE_008E_DW</v>
      </c>
      <c r="J2449" t="s">
        <v>10986</v>
      </c>
      <c r="K2449" s="169">
        <f>IFERROR(MATCH(J2449,'Final List'!$B$4:$B$252,0),0)</f>
        <v>0</v>
      </c>
      <c r="L2449" s="169">
        <f>IFERROR(MATCH(J2449,'Final List'!$D$4:$D$252,0),0)</f>
        <v>0</v>
      </c>
      <c r="M2449" s="169">
        <f>IFERROR(MATCH(J2449,'Final List'!$F$4:$F$251,0),0)</f>
        <v>0</v>
      </c>
      <c r="N2449" s="169">
        <f>IFERROR(MATCH(J2449,'Final List'!$H$4:$H$252,0),0)</f>
        <v>0</v>
      </c>
      <c r="O2449" s="169">
        <f>IFERROR(MATCH(J2449,'Final List'!$J$4:$J$252,0),0)</f>
        <v>0</v>
      </c>
      <c r="P2449" s="169">
        <f>IFERROR(MATCH(J2449,'Final List'!$L$4:$L$252,0),0)</f>
        <v>0</v>
      </c>
      <c r="Q2449" s="169">
        <f>IFERROR(MATCH(J2449,'Final List'!$N$4:$N$252,0),0)</f>
        <v>0</v>
      </c>
      <c r="R2449" s="169">
        <f>IFERROR(MATCH(J2449,'Final List'!$P$4:$P$252,0),0)</f>
        <v>0</v>
      </c>
      <c r="S2449" s="169">
        <f t="shared" si="156"/>
        <v>0</v>
      </c>
      <c r="V2449" s="169" t="str">
        <f t="shared" si="153"/>
        <v>PARAGUYA 1</v>
      </c>
      <c r="W2449" s="169" t="s">
        <v>8896</v>
      </c>
    </row>
    <row r="2450" spans="2:23" x14ac:dyDescent="0.25">
      <c r="B2450" s="169" t="s">
        <v>1167</v>
      </c>
      <c r="C2450" s="169" t="s">
        <v>45</v>
      </c>
      <c r="D2450" s="169" t="s">
        <v>144</v>
      </c>
      <c r="E2450" s="169" t="s">
        <v>19</v>
      </c>
      <c r="F2450" s="245" t="str">
        <f t="shared" si="155"/>
        <v>DVR 72</v>
      </c>
      <c r="G2450" s="169" t="s">
        <v>6932</v>
      </c>
      <c r="I2450" s="169" t="str">
        <f t="shared" si="154"/>
        <v>L12_DPVE_043E_RAISE</v>
      </c>
      <c r="J2450" t="s">
        <v>10997</v>
      </c>
      <c r="K2450" s="169">
        <f>IFERROR(MATCH(J2450,'Final List'!$B$4:$B$252,0),0)</f>
        <v>0</v>
      </c>
      <c r="L2450" s="169">
        <f>IFERROR(MATCH(J2450,'Final List'!$D$4:$D$252,0),0)</f>
        <v>0</v>
      </c>
      <c r="M2450" s="169">
        <f>IFERROR(MATCH(J2450,'Final List'!$F$4:$F$251,0),0)</f>
        <v>0</v>
      </c>
      <c r="N2450" s="169">
        <f>IFERROR(MATCH(J2450,'Final List'!$H$4:$H$252,0),0)</f>
        <v>0</v>
      </c>
      <c r="O2450" s="169">
        <f>IFERROR(MATCH(J2450,'Final List'!$J$4:$J$252,0),0)</f>
        <v>0</v>
      </c>
      <c r="P2450" s="169">
        <f>IFERROR(MATCH(J2450,'Final List'!$L$4:$L$252,0),0)</f>
        <v>0</v>
      </c>
      <c r="Q2450" s="169">
        <f>IFERROR(MATCH(J2450,'Final List'!$N$4:$N$252,0),0)</f>
        <v>0</v>
      </c>
      <c r="R2450" s="169">
        <f>IFERROR(MATCH(J2450,'Final List'!$P$4:$P$252,0),0)</f>
        <v>0</v>
      </c>
      <c r="S2450" s="169">
        <f t="shared" si="156"/>
        <v>0</v>
      </c>
      <c r="V2450" s="169" t="str">
        <f t="shared" si="153"/>
        <v>DUHIG, P3</v>
      </c>
      <c r="W2450" s="169" t="s">
        <v>2715</v>
      </c>
    </row>
    <row r="2451" spans="2:23" x14ac:dyDescent="0.25">
      <c r="B2451" s="169" t="s">
        <v>1166</v>
      </c>
      <c r="C2451" s="169" t="s">
        <v>45</v>
      </c>
      <c r="D2451" s="169" t="s">
        <v>141</v>
      </c>
      <c r="E2451" s="169" t="s">
        <v>211</v>
      </c>
      <c r="F2451" s="245" t="str">
        <f t="shared" si="155"/>
        <v>StpS 77</v>
      </c>
      <c r="G2451" t="s">
        <v>4155</v>
      </c>
      <c r="I2451" s="169" t="str">
        <f t="shared" si="154"/>
        <v>L11_DPVE_029E_STOPE PREP</v>
      </c>
      <c r="J2451" t="s">
        <v>10991</v>
      </c>
      <c r="K2451" s="169">
        <f>IFERROR(MATCH(J2451,'Final List'!$B$4:$B$252,0),0)</f>
        <v>0</v>
      </c>
      <c r="L2451" s="169">
        <f>IFERROR(MATCH(J2451,'Final List'!$D$4:$D$252,0),0)</f>
        <v>0</v>
      </c>
      <c r="M2451" s="169">
        <f>IFERROR(MATCH(J2451,'Final List'!$F$4:$F$251,0),0)</f>
        <v>0</v>
      </c>
      <c r="N2451" s="169">
        <f>IFERROR(MATCH(J2451,'Final List'!$H$4:$H$252,0),0)</f>
        <v>0</v>
      </c>
      <c r="O2451" s="169">
        <f>IFERROR(MATCH(J2451,'Final List'!$J$4:$J$252,0),0)</f>
        <v>0</v>
      </c>
      <c r="P2451" s="169">
        <f>IFERROR(MATCH(J2451,'Final List'!$L$4:$L$252,0),0)</f>
        <v>0</v>
      </c>
      <c r="Q2451" s="169">
        <f>IFERROR(MATCH(J2451,'Final List'!$N$4:$N$252,0),0)</f>
        <v>0</v>
      </c>
      <c r="R2451" s="169">
        <f>IFERROR(MATCH(J2451,'Final List'!$P$4:$P$252,0),0)</f>
        <v>0</v>
      </c>
      <c r="S2451" s="169">
        <f t="shared" si="156"/>
        <v>0</v>
      </c>
      <c r="T2451" s="169" t="s">
        <v>68</v>
      </c>
      <c r="V2451" s="169" t="str">
        <f t="shared" si="153"/>
        <v>BAÑEZ</v>
      </c>
      <c r="W2451" s="169" t="s">
        <v>2712</v>
      </c>
    </row>
    <row r="2452" spans="2:23" x14ac:dyDescent="0.25">
      <c r="B2452" s="169" t="s">
        <v>1166</v>
      </c>
      <c r="C2452" s="169" t="s">
        <v>42</v>
      </c>
      <c r="D2452" s="169" t="s">
        <v>5741</v>
      </c>
      <c r="E2452" s="169" t="s">
        <v>36</v>
      </c>
      <c r="F2452" s="245" t="str">
        <f t="shared" si="155"/>
        <v>StpS 77</v>
      </c>
      <c r="G2452" s="169" t="s">
        <v>5720</v>
      </c>
      <c r="I2452" s="169" t="str">
        <f t="shared" si="154"/>
        <v>L11_JV_035E_STOPE</v>
      </c>
      <c r="J2452" t="s">
        <v>11088</v>
      </c>
      <c r="K2452" s="169">
        <f>IFERROR(MATCH(J2452,'Final List'!$B$4:$B$252,0),0)</f>
        <v>0</v>
      </c>
      <c r="L2452" s="169">
        <f>IFERROR(MATCH(J2452,'Final List'!$D$4:$D$252,0),0)</f>
        <v>0</v>
      </c>
      <c r="M2452" s="169">
        <f>IFERROR(MATCH(J2452,'Final List'!$F$4:$F$251,0),0)</f>
        <v>0</v>
      </c>
      <c r="N2452" s="169">
        <f>IFERROR(MATCH(J2452,'Final List'!$H$4:$H$252,0),0)</f>
        <v>0</v>
      </c>
      <c r="O2452" s="169">
        <f>IFERROR(MATCH(J2452,'Final List'!$J$4:$J$252,0),0)</f>
        <v>0</v>
      </c>
      <c r="P2452" s="169">
        <f>IFERROR(MATCH(J2452,'Final List'!$L$4:$L$252,0),0)</f>
        <v>0</v>
      </c>
      <c r="Q2452" s="169">
        <f>IFERROR(MATCH(J2452,'Final List'!$N$4:$N$252,0),0)</f>
        <v>0</v>
      </c>
      <c r="R2452" s="169">
        <f>IFERROR(MATCH(J2452,'Final List'!$P$4:$P$252,0),0)</f>
        <v>0</v>
      </c>
      <c r="S2452" s="169">
        <f t="shared" si="156"/>
        <v>0</v>
      </c>
      <c r="T2452" s="169" t="s">
        <v>68</v>
      </c>
      <c r="V2452" s="169" t="str">
        <f t="shared" si="153"/>
        <v>TURRA 1</v>
      </c>
      <c r="W2452" s="169" t="s">
        <v>2713</v>
      </c>
    </row>
    <row r="2453" spans="2:23" x14ac:dyDescent="0.25">
      <c r="B2453" s="169" t="s">
        <v>96</v>
      </c>
      <c r="C2453" s="169" t="s">
        <v>45</v>
      </c>
      <c r="D2453" s="169" t="s">
        <v>5078</v>
      </c>
      <c r="E2453" s="169" t="s">
        <v>62</v>
      </c>
      <c r="F2453" s="245" t="str">
        <f t="shared" si="155"/>
        <v>RobC 80</v>
      </c>
      <c r="G2453" s="169" t="s">
        <v>349</v>
      </c>
      <c r="I2453" s="169" t="str">
        <f t="shared" si="154"/>
        <v>L09_DPVE_086E_ROBBING</v>
      </c>
      <c r="J2453" t="s">
        <v>10992</v>
      </c>
      <c r="K2453" s="169">
        <f>IFERROR(MATCH(J2453,'Final List'!$B$4:$B$252,0),0)</f>
        <v>0</v>
      </c>
      <c r="L2453" s="169">
        <f>IFERROR(MATCH(J2453,'Final List'!$D$4:$D$252,0),0)</f>
        <v>0</v>
      </c>
      <c r="M2453" s="169">
        <f>IFERROR(MATCH(J2453,'Final List'!$F$4:$F$251,0),0)</f>
        <v>0</v>
      </c>
      <c r="N2453" s="169">
        <f>IFERROR(MATCH(J2453,'Final List'!$H$4:$H$252,0),0)</f>
        <v>0</v>
      </c>
      <c r="O2453" s="169">
        <f>IFERROR(MATCH(J2453,'Final List'!$J$4:$J$252,0),0)</f>
        <v>0</v>
      </c>
      <c r="P2453" s="169">
        <f>IFERROR(MATCH(J2453,'Final List'!$L$4:$L$252,0),0)</f>
        <v>0</v>
      </c>
      <c r="Q2453" s="169">
        <f>IFERROR(MATCH(J2453,'Final List'!$N$4:$N$252,0),0)</f>
        <v>0</v>
      </c>
      <c r="R2453" s="169">
        <f>IFERROR(MATCH(J2453,'Final List'!$P$4:$P$252,0),0)</f>
        <v>0</v>
      </c>
      <c r="S2453" s="169">
        <f t="shared" si="156"/>
        <v>0</v>
      </c>
      <c r="T2453" s="169" t="s">
        <v>48</v>
      </c>
      <c r="V2453" s="169" t="str">
        <f t="shared" ref="V2453:V2516" si="157">IF(H2453="",G2453,H2453)</f>
        <v>QUIJANO 2</v>
      </c>
      <c r="W2453" s="169" t="s">
        <v>236</v>
      </c>
    </row>
    <row r="2454" spans="2:23" x14ac:dyDescent="0.25">
      <c r="B2454" s="169" t="s">
        <v>258</v>
      </c>
      <c r="C2454" s="169" t="s">
        <v>45</v>
      </c>
      <c r="D2454" s="169" t="s">
        <v>5614</v>
      </c>
      <c r="E2454" s="169" t="s">
        <v>62</v>
      </c>
      <c r="F2454" s="245" t="str">
        <f t="shared" si="155"/>
        <v>RobS 79</v>
      </c>
      <c r="G2454" s="169" t="s">
        <v>297</v>
      </c>
      <c r="I2454" s="169" t="str">
        <f t="shared" si="154"/>
        <v>L10_DPVE_055E_ROBBING</v>
      </c>
      <c r="J2454" t="s">
        <v>10994</v>
      </c>
      <c r="K2454" s="169">
        <f>IFERROR(MATCH(J2454,'Final List'!$B$4:$B$252,0),0)</f>
        <v>0</v>
      </c>
      <c r="L2454" s="169">
        <f>IFERROR(MATCH(J2454,'Final List'!$D$4:$D$252,0),0)</f>
        <v>0</v>
      </c>
      <c r="M2454" s="169">
        <f>IFERROR(MATCH(J2454,'Final List'!$F$4:$F$251,0),0)</f>
        <v>0</v>
      </c>
      <c r="N2454" s="169">
        <f>IFERROR(MATCH(J2454,'Final List'!$H$4:$H$252,0),0)</f>
        <v>0</v>
      </c>
      <c r="O2454" s="169">
        <f>IFERROR(MATCH(J2454,'Final List'!$J$4:$J$252,0),0)</f>
        <v>0</v>
      </c>
      <c r="P2454" s="169">
        <f>IFERROR(MATCH(J2454,'Final List'!$L$4:$L$252,0),0)</f>
        <v>0</v>
      </c>
      <c r="Q2454" s="169">
        <f>IFERROR(MATCH(J2454,'Final List'!$N$4:$N$252,0),0)</f>
        <v>0</v>
      </c>
      <c r="R2454" s="169">
        <f>IFERROR(MATCH(J2454,'Final List'!$P$4:$P$252,0),0)</f>
        <v>0</v>
      </c>
      <c r="S2454" s="169">
        <f t="shared" si="156"/>
        <v>0</v>
      </c>
      <c r="T2454" s="169" t="s">
        <v>68</v>
      </c>
      <c r="V2454" s="169" t="str">
        <f t="shared" si="157"/>
        <v>MONTEBON 3</v>
      </c>
      <c r="W2454" s="169" t="s">
        <v>2707</v>
      </c>
    </row>
    <row r="2455" spans="2:23" x14ac:dyDescent="0.25">
      <c r="B2455" s="169" t="s">
        <v>258</v>
      </c>
      <c r="C2455" s="169" t="s">
        <v>45</v>
      </c>
      <c r="D2455" s="169" t="s">
        <v>161</v>
      </c>
      <c r="E2455" s="169" t="s">
        <v>62</v>
      </c>
      <c r="F2455" s="245" t="str">
        <f t="shared" si="155"/>
        <v>RobS 79</v>
      </c>
      <c r="G2455" s="169" t="s">
        <v>5704</v>
      </c>
      <c r="I2455" s="169" t="str">
        <f t="shared" si="154"/>
        <v>L10_DPVE_044E_ROBBING</v>
      </c>
      <c r="J2455" t="s">
        <v>10995</v>
      </c>
      <c r="K2455" s="169">
        <f>IFERROR(MATCH(J2455,'Final List'!$B$4:$B$252,0),0)</f>
        <v>0</v>
      </c>
      <c r="L2455" s="169">
        <f>IFERROR(MATCH(J2455,'Final List'!$D$4:$D$252,0),0)</f>
        <v>0</v>
      </c>
      <c r="M2455" s="169">
        <f>IFERROR(MATCH(J2455,'Final List'!$F$4:$F$251,0),0)</f>
        <v>0</v>
      </c>
      <c r="N2455" s="169">
        <f>IFERROR(MATCH(J2455,'Final List'!$H$4:$H$252,0),0)</f>
        <v>0</v>
      </c>
      <c r="O2455" s="169">
        <f>IFERROR(MATCH(J2455,'Final List'!$J$4:$J$252,0),0)</f>
        <v>0</v>
      </c>
      <c r="P2455" s="169">
        <f>IFERROR(MATCH(J2455,'Final List'!$L$4:$L$252,0),0)</f>
        <v>0</v>
      </c>
      <c r="Q2455" s="169">
        <f>IFERROR(MATCH(J2455,'Final List'!$N$4:$N$252,0),0)</f>
        <v>0</v>
      </c>
      <c r="R2455" s="169">
        <f>IFERROR(MATCH(J2455,'Final List'!$P$4:$P$252,0),0)</f>
        <v>0</v>
      </c>
      <c r="S2455" s="169">
        <f t="shared" si="156"/>
        <v>0</v>
      </c>
      <c r="T2455" s="169" t="s">
        <v>68</v>
      </c>
      <c r="V2455" s="169" t="str">
        <f t="shared" si="157"/>
        <v>OLIVEROS 3</v>
      </c>
      <c r="W2455" s="169" t="s">
        <v>2707</v>
      </c>
    </row>
    <row r="2456" spans="2:23" x14ac:dyDescent="0.25">
      <c r="B2456" s="169" t="s">
        <v>258</v>
      </c>
      <c r="C2456" s="169" t="s">
        <v>45</v>
      </c>
      <c r="D2456" s="169" t="s">
        <v>160</v>
      </c>
      <c r="E2456" s="169" t="s">
        <v>62</v>
      </c>
      <c r="F2456" s="245" t="str">
        <f t="shared" si="155"/>
        <v>RobS 79</v>
      </c>
      <c r="G2456" s="169" t="s">
        <v>317</v>
      </c>
      <c r="I2456" s="169" t="str">
        <f t="shared" ref="I2456:I2519" si="158">CONCATENATE(B2456,"_",C2456,"_",D2456,"_",E2456)</f>
        <v>L10_DPVE_042E_ROBBING</v>
      </c>
      <c r="J2456" t="s">
        <v>10996</v>
      </c>
      <c r="K2456" s="169">
        <f>IFERROR(MATCH(J2456,'Final List'!$B$4:$B$252,0),0)</f>
        <v>0</v>
      </c>
      <c r="L2456" s="169">
        <f>IFERROR(MATCH(J2456,'Final List'!$D$4:$D$252,0),0)</f>
        <v>0</v>
      </c>
      <c r="M2456" s="169">
        <f>IFERROR(MATCH(J2456,'Final List'!$F$4:$F$251,0),0)</f>
        <v>0</v>
      </c>
      <c r="N2456" s="169">
        <f>IFERROR(MATCH(J2456,'Final List'!$H$4:$H$252,0),0)</f>
        <v>0</v>
      </c>
      <c r="O2456" s="169">
        <f>IFERROR(MATCH(J2456,'Final List'!$J$4:$J$252,0),0)</f>
        <v>0</v>
      </c>
      <c r="P2456" s="169">
        <f>IFERROR(MATCH(J2456,'Final List'!$L$4:$L$252,0),0)</f>
        <v>0</v>
      </c>
      <c r="Q2456" s="169">
        <f>IFERROR(MATCH(J2456,'Final List'!$N$4:$N$252,0),0)</f>
        <v>0</v>
      </c>
      <c r="R2456" s="169">
        <f>IFERROR(MATCH(J2456,'Final List'!$P$4:$P$252,0),0)</f>
        <v>0</v>
      </c>
      <c r="S2456" s="169">
        <f t="shared" si="156"/>
        <v>0</v>
      </c>
      <c r="T2456" s="169" t="s">
        <v>68</v>
      </c>
      <c r="V2456" s="169" t="str">
        <f t="shared" si="157"/>
        <v>PARAGUYA 2</v>
      </c>
      <c r="W2456" s="169" t="s">
        <v>2707</v>
      </c>
    </row>
    <row r="2457" spans="2:23" x14ac:dyDescent="0.25">
      <c r="B2457" s="169" t="s">
        <v>1166</v>
      </c>
      <c r="C2457" s="169" t="s">
        <v>55</v>
      </c>
      <c r="D2457" s="169" t="s">
        <v>5781</v>
      </c>
      <c r="E2457" s="169" t="s">
        <v>19</v>
      </c>
      <c r="F2457" s="245" t="str">
        <f t="shared" si="155"/>
        <v>DVR 72</v>
      </c>
      <c r="G2457" s="169" t="s">
        <v>1905</v>
      </c>
      <c r="H2457" s="169" t="s">
        <v>742</v>
      </c>
      <c r="I2457" s="169" t="str">
        <f t="shared" si="158"/>
        <v>L11_JVFW_051E_RAISE</v>
      </c>
      <c r="J2457" t="s">
        <v>11046</v>
      </c>
      <c r="K2457" s="169">
        <f>IFERROR(MATCH(J2457,'Final List'!$B$4:$B$252,0),0)</f>
        <v>0</v>
      </c>
      <c r="L2457" s="169">
        <f>IFERROR(MATCH(J2457,'Final List'!$D$4:$D$252,0),0)</f>
        <v>0</v>
      </c>
      <c r="M2457" s="169">
        <f>IFERROR(MATCH(J2457,'Final List'!$F$4:$F$251,0),0)</f>
        <v>0</v>
      </c>
      <c r="N2457" s="169">
        <f>IFERROR(MATCH(J2457,'Final List'!$H$4:$H$252,0),0)</f>
        <v>0</v>
      </c>
      <c r="O2457" s="169">
        <f>IFERROR(MATCH(J2457,'Final List'!$J$4:$J$252,0),0)</f>
        <v>0</v>
      </c>
      <c r="P2457" s="169">
        <f>IFERROR(MATCH(J2457,'Final List'!$L$4:$L$252,0),0)</f>
        <v>0</v>
      </c>
      <c r="Q2457" s="169">
        <f>IFERROR(MATCH(J2457,'Final List'!$N$4:$N$252,0),0)</f>
        <v>0</v>
      </c>
      <c r="R2457" s="169">
        <f>IFERROR(MATCH(J2457,'Final List'!$P$4:$P$252,0),0)</f>
        <v>0</v>
      </c>
      <c r="S2457" s="169">
        <f t="shared" si="156"/>
        <v>0</v>
      </c>
      <c r="V2457" s="169" t="str">
        <f t="shared" si="157"/>
        <v>REBOTE 2</v>
      </c>
      <c r="W2457" s="169" t="s">
        <v>2715</v>
      </c>
    </row>
    <row r="2458" spans="2:23" x14ac:dyDescent="0.25">
      <c r="B2458" s="169" t="s">
        <v>1166</v>
      </c>
      <c r="C2458" s="169" t="s">
        <v>56</v>
      </c>
      <c r="D2458" s="169" t="s">
        <v>180</v>
      </c>
      <c r="E2458" s="169" t="s">
        <v>19</v>
      </c>
      <c r="F2458" s="245" t="str">
        <f t="shared" si="155"/>
        <v>DVR 72</v>
      </c>
      <c r="G2458" s="169" t="s">
        <v>10729</v>
      </c>
      <c r="H2458" s="169" t="s">
        <v>584</v>
      </c>
      <c r="I2458" s="169" t="str">
        <f t="shared" si="158"/>
        <v>L11_GHVFW_041E_RAISE</v>
      </c>
      <c r="J2458" t="s">
        <v>10998</v>
      </c>
      <c r="K2458" s="169">
        <f>IFERROR(MATCH(J2458,'Final List'!$B$4:$B$252,0),0)</f>
        <v>0</v>
      </c>
      <c r="L2458" s="169">
        <f>IFERROR(MATCH(J2458,'Final List'!$D$4:$D$252,0),0)</f>
        <v>0</v>
      </c>
      <c r="M2458" s="169">
        <f>IFERROR(MATCH(J2458,'Final List'!$F$4:$F$251,0),0)</f>
        <v>0</v>
      </c>
      <c r="N2458" s="169">
        <f>IFERROR(MATCH(J2458,'Final List'!$H$4:$H$252,0),0)</f>
        <v>0</v>
      </c>
      <c r="O2458" s="169">
        <f>IFERROR(MATCH(J2458,'Final List'!$J$4:$J$252,0),0)</f>
        <v>0</v>
      </c>
      <c r="P2458" s="169">
        <f>IFERROR(MATCH(J2458,'Final List'!$L$4:$L$252,0),0)</f>
        <v>0</v>
      </c>
      <c r="Q2458" s="169">
        <f>IFERROR(MATCH(J2458,'Final List'!$N$4:$N$252,0),0)</f>
        <v>0</v>
      </c>
      <c r="R2458" s="169">
        <f>IFERROR(MATCH(J2458,'Final List'!$P$4:$P$252,0),0)</f>
        <v>0</v>
      </c>
      <c r="S2458" s="169">
        <f t="shared" si="156"/>
        <v>0</v>
      </c>
      <c r="V2458" s="169" t="str">
        <f t="shared" si="157"/>
        <v>VILLARANTE 2</v>
      </c>
      <c r="W2458" s="169" t="s">
        <v>2715</v>
      </c>
    </row>
    <row r="2459" spans="2:23" x14ac:dyDescent="0.25">
      <c r="B2459" s="169" t="s">
        <v>95</v>
      </c>
      <c r="C2459" s="169" t="s">
        <v>45</v>
      </c>
      <c r="D2459" s="169" t="s">
        <v>140</v>
      </c>
      <c r="E2459" s="169" t="s">
        <v>61</v>
      </c>
      <c r="F2459" s="245" t="str">
        <f t="shared" si="155"/>
        <v>Dhoz 71</v>
      </c>
      <c r="G2459" s="169" t="s">
        <v>305</v>
      </c>
      <c r="I2459" s="169" t="str">
        <f t="shared" si="158"/>
        <v>L08_DPVE_005W_DW</v>
      </c>
      <c r="J2459" t="s">
        <v>10999</v>
      </c>
      <c r="K2459" s="169">
        <f>IFERROR(MATCH(J2459,'Final List'!$B$4:$B$252,0),0)</f>
        <v>0</v>
      </c>
      <c r="L2459" s="169">
        <f>IFERROR(MATCH(J2459,'Final List'!$D$4:$D$252,0),0)</f>
        <v>0</v>
      </c>
      <c r="M2459" s="169">
        <f>IFERROR(MATCH(J2459,'Final List'!$F$4:$F$251,0),0)</f>
        <v>0</v>
      </c>
      <c r="N2459" s="169">
        <f>IFERROR(MATCH(J2459,'Final List'!$H$4:$H$252,0),0)</f>
        <v>0</v>
      </c>
      <c r="O2459" s="169">
        <f>IFERROR(MATCH(J2459,'Final List'!$J$4:$J$252,0),0)</f>
        <v>0</v>
      </c>
      <c r="P2459" s="169">
        <f>IFERROR(MATCH(J2459,'Final List'!$L$4:$L$252,0),0)</f>
        <v>0</v>
      </c>
      <c r="Q2459" s="169">
        <f>IFERROR(MATCH(J2459,'Final List'!$N$4:$N$252,0),0)</f>
        <v>0</v>
      </c>
      <c r="R2459" s="169">
        <f>IFERROR(MATCH(J2459,'Final List'!$P$4:$P$252,0),0)</f>
        <v>0</v>
      </c>
      <c r="S2459" s="169">
        <f t="shared" si="156"/>
        <v>0</v>
      </c>
      <c r="V2459" s="169" t="str">
        <f t="shared" si="157"/>
        <v>CABONITA 1</v>
      </c>
      <c r="W2459" s="169" t="s">
        <v>8895</v>
      </c>
    </row>
    <row r="2460" spans="2:23" x14ac:dyDescent="0.25">
      <c r="B2460" s="169" t="s">
        <v>258</v>
      </c>
      <c r="C2460" s="169" t="s">
        <v>45</v>
      </c>
      <c r="D2460" s="169" t="s">
        <v>6358</v>
      </c>
      <c r="E2460" s="169" t="s">
        <v>60</v>
      </c>
      <c r="F2460" s="245" t="str">
        <f t="shared" si="155"/>
        <v>Dhoz 71</v>
      </c>
      <c r="G2460" s="169" t="s">
        <v>6927</v>
      </c>
      <c r="H2460" s="169" t="s">
        <v>11753</v>
      </c>
      <c r="I2460" s="169" t="str">
        <f t="shared" si="158"/>
        <v>L10_DPVE_087E_DE</v>
      </c>
      <c r="J2460" t="s">
        <v>11000</v>
      </c>
      <c r="K2460" s="169">
        <f>IFERROR(MATCH(J2460,'Final List'!$B$4:$B$252,0),0)</f>
        <v>0</v>
      </c>
      <c r="L2460" s="169">
        <f>IFERROR(MATCH(J2460,'Final List'!$D$4:$D$252,0),0)</f>
        <v>0</v>
      </c>
      <c r="M2460" s="169">
        <f>IFERROR(MATCH(J2460,'Final List'!$F$4:$F$251,0),0)</f>
        <v>0</v>
      </c>
      <c r="N2460" s="169">
        <f>IFERROR(MATCH(J2460,'Final List'!$H$4:$H$252,0),0)</f>
        <v>0</v>
      </c>
      <c r="O2460" s="169">
        <f>IFERROR(MATCH(J2460,'Final List'!$J$4:$J$252,0),0)</f>
        <v>0</v>
      </c>
      <c r="P2460" s="169">
        <f>IFERROR(MATCH(J2460,'Final List'!$L$4:$L$252,0),0)</f>
        <v>0</v>
      </c>
      <c r="Q2460" s="169">
        <f>IFERROR(MATCH(J2460,'Final List'!$N$4:$N$252,0),0)</f>
        <v>0</v>
      </c>
      <c r="R2460" s="169">
        <f>IFERROR(MATCH(J2460,'Final List'!$P$4:$P$252,0),0)</f>
        <v>0</v>
      </c>
      <c r="S2460" s="169">
        <f t="shared" si="156"/>
        <v>0</v>
      </c>
      <c r="V2460" s="169" t="str">
        <f t="shared" si="157"/>
        <v>SHEPHERD BB1</v>
      </c>
      <c r="W2460" s="169" t="s">
        <v>8896</v>
      </c>
    </row>
    <row r="2461" spans="2:23" x14ac:dyDescent="0.25">
      <c r="B2461" s="169" t="s">
        <v>8904</v>
      </c>
      <c r="C2461" s="169" t="s">
        <v>41</v>
      </c>
      <c r="D2461" s="169" t="s">
        <v>111</v>
      </c>
      <c r="E2461" s="169" t="s">
        <v>62</v>
      </c>
      <c r="F2461" s="245" t="str">
        <f t="shared" si="155"/>
        <v>RobS 79</v>
      </c>
      <c r="G2461" s="169" t="s">
        <v>9349</v>
      </c>
      <c r="H2461" s="169" t="s">
        <v>11295</v>
      </c>
      <c r="I2461" s="169" t="str">
        <f t="shared" si="158"/>
        <v>L03_CTV_004W_ROBBING</v>
      </c>
      <c r="J2461" t="s">
        <v>11048</v>
      </c>
      <c r="K2461" s="169">
        <f>IFERROR(MATCH(J2461,'Final List'!$B$4:$B$252,0),0)</f>
        <v>0</v>
      </c>
      <c r="L2461" s="169">
        <f>IFERROR(MATCH(J2461,'Final List'!$D$4:$D$252,0),0)</f>
        <v>0</v>
      </c>
      <c r="M2461" s="169">
        <f>IFERROR(MATCH(J2461,'Final List'!$F$4:$F$251,0),0)</f>
        <v>0</v>
      </c>
      <c r="N2461" s="169">
        <f>IFERROR(MATCH(J2461,'Final List'!$H$4:$H$252,0),0)</f>
        <v>0</v>
      </c>
      <c r="O2461" s="169">
        <f>IFERROR(MATCH(J2461,'Final List'!$J$4:$J$252,0),0)</f>
        <v>0</v>
      </c>
      <c r="P2461" s="169">
        <f>IFERROR(MATCH(J2461,'Final List'!$L$4:$L$252,0),0)</f>
        <v>0</v>
      </c>
      <c r="Q2461" s="169">
        <f>IFERROR(MATCH(J2461,'Final List'!$N$4:$N$252,0),0)</f>
        <v>0</v>
      </c>
      <c r="R2461" s="169">
        <f>IFERROR(MATCH(J2461,'Final List'!$P$4:$P$252,0),0)</f>
        <v>0</v>
      </c>
      <c r="S2461" s="169">
        <f t="shared" si="156"/>
        <v>0</v>
      </c>
      <c r="T2461" s="169" t="s">
        <v>68</v>
      </c>
      <c r="V2461" s="169" t="str">
        <f t="shared" si="157"/>
        <v>MARTINEZ DN 5</v>
      </c>
      <c r="W2461" s="169" t="s">
        <v>2707</v>
      </c>
    </row>
    <row r="2462" spans="2:23" x14ac:dyDescent="0.25">
      <c r="B2462" s="169" t="s">
        <v>1166</v>
      </c>
      <c r="C2462" s="169" t="s">
        <v>87</v>
      </c>
      <c r="D2462" s="169" t="s">
        <v>144</v>
      </c>
      <c r="E2462" s="169" t="s">
        <v>63</v>
      </c>
      <c r="F2462" s="245" t="str">
        <f t="shared" si="155"/>
        <v>Dhoz 71</v>
      </c>
      <c r="G2462" s="169" t="s">
        <v>6825</v>
      </c>
      <c r="I2462" s="169" t="str">
        <f t="shared" si="158"/>
        <v>L11_NONE_043E_XCS</v>
      </c>
      <c r="J2462" t="s">
        <v>11003</v>
      </c>
      <c r="K2462" s="169">
        <f>IFERROR(MATCH(J2462,'Final List'!$B$4:$B$252,0),0)</f>
        <v>0</v>
      </c>
      <c r="L2462" s="169">
        <f>IFERROR(MATCH(J2462,'Final List'!$D$4:$D$252,0),0)</f>
        <v>0</v>
      </c>
      <c r="M2462" s="169">
        <f>IFERROR(MATCH(J2462,'Final List'!$F$4:$F$251,0),0)</f>
        <v>0</v>
      </c>
      <c r="N2462" s="169">
        <f>IFERROR(MATCH(J2462,'Final List'!$H$4:$H$252,0),0)</f>
        <v>0</v>
      </c>
      <c r="O2462" s="169">
        <f>IFERROR(MATCH(J2462,'Final List'!$J$4:$J$252,0),0)</f>
        <v>0</v>
      </c>
      <c r="P2462" s="169">
        <f>IFERROR(MATCH(J2462,'Final List'!$L$4:$L$252,0),0)</f>
        <v>0</v>
      </c>
      <c r="Q2462" s="169">
        <f>IFERROR(MATCH(J2462,'Final List'!$N$4:$N$252,0),0)</f>
        <v>0</v>
      </c>
      <c r="R2462" s="169">
        <f>IFERROR(MATCH(J2462,'Final List'!$P$4:$P$252,0),0)</f>
        <v>0</v>
      </c>
      <c r="S2462" s="169">
        <f t="shared" si="156"/>
        <v>0</v>
      </c>
      <c r="V2462" s="169" t="str">
        <f t="shared" si="157"/>
        <v>BANEZ 1</v>
      </c>
      <c r="W2462" s="169" t="s">
        <v>8898</v>
      </c>
    </row>
    <row r="2463" spans="2:23" x14ac:dyDescent="0.25">
      <c r="B2463" s="169" t="s">
        <v>96</v>
      </c>
      <c r="C2463" s="169" t="s">
        <v>87</v>
      </c>
      <c r="D2463" s="169" t="s">
        <v>595</v>
      </c>
      <c r="E2463" s="169" t="s">
        <v>37</v>
      </c>
      <c r="F2463" s="245" t="str">
        <f t="shared" si="155"/>
        <v>Dhoz 71</v>
      </c>
      <c r="G2463" s="169" t="s">
        <v>5101</v>
      </c>
      <c r="I2463" s="169" t="str">
        <f t="shared" si="158"/>
        <v>L09_NONE_072E_XCN</v>
      </c>
      <c r="J2463" t="s">
        <v>11012</v>
      </c>
      <c r="K2463" s="169">
        <f>IFERROR(MATCH(J2463,'Final List'!$B$4:$B$252,0),0)</f>
        <v>0</v>
      </c>
      <c r="L2463" s="169">
        <f>IFERROR(MATCH(J2463,'Final List'!$D$4:$D$252,0),0)</f>
        <v>0</v>
      </c>
      <c r="M2463" s="169">
        <f>IFERROR(MATCH(J2463,'Final List'!$F$4:$F$251,0),0)</f>
        <v>0</v>
      </c>
      <c r="N2463" s="169">
        <f>IFERROR(MATCH(J2463,'Final List'!$H$4:$H$252,0),0)</f>
        <v>0</v>
      </c>
      <c r="O2463" s="169">
        <f>IFERROR(MATCH(J2463,'Final List'!$J$4:$J$252,0),0)</f>
        <v>0</v>
      </c>
      <c r="P2463" s="169">
        <f>IFERROR(MATCH(J2463,'Final List'!$L$4:$L$252,0),0)</f>
        <v>0</v>
      </c>
      <c r="Q2463" s="169">
        <f>IFERROR(MATCH(J2463,'Final List'!$N$4:$N$252,0),0)</f>
        <v>0</v>
      </c>
      <c r="R2463" s="169">
        <f>IFERROR(MATCH(J2463,'Final List'!$P$4:$P$252,0),0)</f>
        <v>0</v>
      </c>
      <c r="S2463" s="169">
        <f t="shared" si="156"/>
        <v>0</v>
      </c>
      <c r="V2463" s="169" t="str">
        <f t="shared" si="157"/>
        <v>DELOS REYES V3</v>
      </c>
      <c r="W2463" s="169" t="s">
        <v>8898</v>
      </c>
    </row>
    <row r="2464" spans="2:23" x14ac:dyDescent="0.25">
      <c r="B2464" s="169" t="s">
        <v>1166</v>
      </c>
      <c r="C2464" s="169" t="s">
        <v>55</v>
      </c>
      <c r="D2464" s="169" t="s">
        <v>165</v>
      </c>
      <c r="E2464" s="169" t="s">
        <v>19</v>
      </c>
      <c r="F2464" s="245" t="str">
        <f t="shared" si="155"/>
        <v>DVR 72</v>
      </c>
      <c r="G2464" s="169" t="s">
        <v>742</v>
      </c>
      <c r="I2464" s="169" t="str">
        <f t="shared" si="158"/>
        <v>L11_JVFW_056E_RAISE</v>
      </c>
      <c r="J2464" t="s">
        <v>11013</v>
      </c>
      <c r="K2464" s="169">
        <f>IFERROR(MATCH(J2464,'Final List'!$B$4:$B$252,0),0)</f>
        <v>0</v>
      </c>
      <c r="L2464" s="169">
        <f>IFERROR(MATCH(J2464,'Final List'!$D$4:$D$252,0),0)</f>
        <v>0</v>
      </c>
      <c r="M2464" s="169">
        <f>IFERROR(MATCH(J2464,'Final List'!$F$4:$F$251,0),0)</f>
        <v>0</v>
      </c>
      <c r="N2464" s="169">
        <f>IFERROR(MATCH(J2464,'Final List'!$H$4:$H$252,0),0)</f>
        <v>0</v>
      </c>
      <c r="O2464" s="169">
        <f>IFERROR(MATCH(J2464,'Final List'!$J$4:$J$252,0),0)</f>
        <v>0</v>
      </c>
      <c r="P2464" s="169">
        <f>IFERROR(MATCH(J2464,'Final List'!$L$4:$L$252,0),0)</f>
        <v>0</v>
      </c>
      <c r="Q2464" s="169">
        <f>IFERROR(MATCH(J2464,'Final List'!$N$4:$N$252,0),0)</f>
        <v>0</v>
      </c>
      <c r="R2464" s="169">
        <f>IFERROR(MATCH(J2464,'Final List'!$P$4:$P$252,0),0)</f>
        <v>0</v>
      </c>
      <c r="S2464" s="169">
        <f t="shared" si="156"/>
        <v>0</v>
      </c>
      <c r="V2464" s="169" t="str">
        <f t="shared" si="157"/>
        <v>REBOTE 2</v>
      </c>
      <c r="W2464" s="169" t="s">
        <v>2715</v>
      </c>
    </row>
    <row r="2465" spans="2:24" x14ac:dyDescent="0.25">
      <c r="B2465" s="169" t="s">
        <v>258</v>
      </c>
      <c r="C2465" s="169" t="s">
        <v>59</v>
      </c>
      <c r="D2465" s="169" t="s">
        <v>284</v>
      </c>
      <c r="E2465" s="169" t="s">
        <v>36</v>
      </c>
      <c r="F2465" s="245" t="str">
        <f t="shared" si="155"/>
        <v>StpS 77</v>
      </c>
      <c r="G2465" s="169" t="s">
        <v>10890</v>
      </c>
      <c r="I2465" s="169" t="str">
        <f t="shared" si="158"/>
        <v>L10_GHVHW_061E_STOPE</v>
      </c>
      <c r="J2465" t="s">
        <v>11004</v>
      </c>
      <c r="K2465" s="169">
        <f>IFERROR(MATCH(J2465,'Final List'!$B$4:$B$252,0),0)</f>
        <v>0</v>
      </c>
      <c r="L2465" s="169">
        <f>IFERROR(MATCH(J2465,'Final List'!$D$4:$D$252,0),0)</f>
        <v>0</v>
      </c>
      <c r="M2465" s="169">
        <f>IFERROR(MATCH(J2465,'Final List'!$F$4:$F$251,0),0)</f>
        <v>0</v>
      </c>
      <c r="N2465" s="169">
        <f>IFERROR(MATCH(J2465,'Final List'!$H$4:$H$252,0),0)</f>
        <v>0</v>
      </c>
      <c r="O2465" s="169">
        <f>IFERROR(MATCH(J2465,'Final List'!$J$4:$J$252,0),0)</f>
        <v>0</v>
      </c>
      <c r="P2465" s="169">
        <f>IFERROR(MATCH(J2465,'Final List'!$L$4:$L$252,0),0)</f>
        <v>0</v>
      </c>
      <c r="Q2465" s="169">
        <f>IFERROR(MATCH(J2465,'Final List'!$N$4:$N$252,0),0)</f>
        <v>0</v>
      </c>
      <c r="R2465" s="169">
        <f>IFERROR(MATCH(J2465,'Final List'!$P$4:$P$252,0),0)</f>
        <v>0</v>
      </c>
      <c r="S2465" s="169">
        <f t="shared" si="156"/>
        <v>0</v>
      </c>
      <c r="T2465" s="169" t="s">
        <v>68</v>
      </c>
      <c r="V2465" s="169" t="str">
        <f t="shared" si="157"/>
        <v>MARTINEZ, DN 1</v>
      </c>
      <c r="W2465" s="169" t="s">
        <v>2713</v>
      </c>
    </row>
    <row r="2466" spans="2:24" x14ac:dyDescent="0.25">
      <c r="B2466" s="169" t="s">
        <v>258</v>
      </c>
      <c r="C2466" s="169" t="s">
        <v>45</v>
      </c>
      <c r="D2466" s="169" t="s">
        <v>119</v>
      </c>
      <c r="E2466" s="169" t="s">
        <v>36</v>
      </c>
      <c r="F2466" s="245" t="str">
        <f t="shared" si="155"/>
        <v>StpS 77</v>
      </c>
      <c r="G2466" s="169" t="s">
        <v>10896</v>
      </c>
      <c r="I2466" s="169" t="str">
        <f t="shared" si="158"/>
        <v>L10_DPVE_012E_STOPE</v>
      </c>
      <c r="J2466" t="s">
        <v>11006</v>
      </c>
      <c r="K2466" s="169">
        <f>IFERROR(MATCH(J2466,'Final List'!$B$4:$B$252,0),0)</f>
        <v>0</v>
      </c>
      <c r="L2466" s="169">
        <f>IFERROR(MATCH(J2466,'Final List'!$D$4:$D$252,0),0)</f>
        <v>0</v>
      </c>
      <c r="M2466" s="169">
        <f>IFERROR(MATCH(J2466,'Final List'!$F$4:$F$251,0),0)</f>
        <v>0</v>
      </c>
      <c r="N2466" s="169">
        <f>IFERROR(MATCH(J2466,'Final List'!$H$4:$H$252,0),0)</f>
        <v>0</v>
      </c>
      <c r="O2466" s="169">
        <f>IFERROR(MATCH(J2466,'Final List'!$J$4:$J$252,0),0)</f>
        <v>0</v>
      </c>
      <c r="P2466" s="169">
        <f>IFERROR(MATCH(J2466,'Final List'!$L$4:$L$252,0),0)</f>
        <v>0</v>
      </c>
      <c r="Q2466" s="169">
        <f>IFERROR(MATCH(J2466,'Final List'!$N$4:$N$252,0),0)</f>
        <v>0</v>
      </c>
      <c r="R2466" s="169">
        <f>IFERROR(MATCH(J2466,'Final List'!$P$4:$P$252,0),0)</f>
        <v>0</v>
      </c>
      <c r="S2466" s="169">
        <f t="shared" si="156"/>
        <v>0</v>
      </c>
      <c r="T2466" s="169" t="s">
        <v>68</v>
      </c>
      <c r="V2466" s="169" t="str">
        <f t="shared" si="157"/>
        <v>SHEPHERD BC 2</v>
      </c>
      <c r="W2466" s="169" t="s">
        <v>2713</v>
      </c>
    </row>
    <row r="2467" spans="2:24" x14ac:dyDescent="0.25">
      <c r="B2467" s="169" t="s">
        <v>258</v>
      </c>
      <c r="C2467" s="169" t="s">
        <v>43</v>
      </c>
      <c r="D2467" s="169" t="s">
        <v>5741</v>
      </c>
      <c r="E2467" s="169" t="s">
        <v>19</v>
      </c>
      <c r="F2467" s="245" t="str">
        <f t="shared" si="155"/>
        <v>DVR 72</v>
      </c>
      <c r="G2467" s="169" t="s">
        <v>10894</v>
      </c>
      <c r="I2467" s="169" t="str">
        <f t="shared" si="158"/>
        <v>L10_GHVSPLIT_035E_RAISE</v>
      </c>
      <c r="J2467" t="s">
        <v>11014</v>
      </c>
      <c r="K2467" s="169">
        <f>IFERROR(MATCH(J2467,'Final List'!$B$4:$B$252,0),0)</f>
        <v>0</v>
      </c>
      <c r="L2467" s="169">
        <f>IFERROR(MATCH(J2467,'Final List'!$D$4:$D$252,0),0)</f>
        <v>0</v>
      </c>
      <c r="M2467" s="169">
        <f>IFERROR(MATCH(J2467,'Final List'!$F$4:$F$251,0),0)</f>
        <v>0</v>
      </c>
      <c r="N2467" s="169">
        <f>IFERROR(MATCH(J2467,'Final List'!$H$4:$H$252,0),0)</f>
        <v>0</v>
      </c>
      <c r="O2467" s="169">
        <f>IFERROR(MATCH(J2467,'Final List'!$J$4:$J$252,0),0)</f>
        <v>0</v>
      </c>
      <c r="P2467" s="169">
        <f>IFERROR(MATCH(J2467,'Final List'!$L$4:$L$252,0),0)</f>
        <v>0</v>
      </c>
      <c r="Q2467" s="169">
        <f>IFERROR(MATCH(J2467,'Final List'!$N$4:$N$252,0),0)</f>
        <v>0</v>
      </c>
      <c r="R2467" s="169">
        <f>IFERROR(MATCH(J2467,'Final List'!$P$4:$P$252,0),0)</f>
        <v>0</v>
      </c>
      <c r="S2467" s="169">
        <f t="shared" si="156"/>
        <v>0</v>
      </c>
      <c r="V2467" s="169" t="str">
        <f t="shared" si="157"/>
        <v>SHEPHERD BB 2</v>
      </c>
      <c r="W2467" s="169" t="s">
        <v>2715</v>
      </c>
    </row>
    <row r="2468" spans="2:24" x14ac:dyDescent="0.25">
      <c r="B2468" s="169" t="s">
        <v>96</v>
      </c>
      <c r="C2468" s="169" t="s">
        <v>87</v>
      </c>
      <c r="D2468" s="169" t="s">
        <v>165</v>
      </c>
      <c r="E2468" s="169" t="s">
        <v>37</v>
      </c>
      <c r="F2468" s="245" t="str">
        <f t="shared" si="155"/>
        <v>Dhoz 71</v>
      </c>
      <c r="G2468" s="169" t="s">
        <v>6621</v>
      </c>
      <c r="H2468" s="169" t="s">
        <v>350</v>
      </c>
      <c r="I2468" s="169" t="str">
        <f t="shared" si="158"/>
        <v>L09_NONE_056E_XCN</v>
      </c>
      <c r="J2468" t="s">
        <v>2612</v>
      </c>
      <c r="K2468" s="169">
        <f>IFERROR(MATCH(J2468,'Final List'!$B$4:$B$252,0),0)</f>
        <v>0</v>
      </c>
      <c r="L2468" s="169">
        <f>IFERROR(MATCH(J2468,'Final List'!$D$4:$D$252,0),0)</f>
        <v>0</v>
      </c>
      <c r="M2468" s="169">
        <f>IFERROR(MATCH(J2468,'Final List'!$F$4:$F$251,0),0)</f>
        <v>0</v>
      </c>
      <c r="N2468" s="169">
        <f>IFERROR(MATCH(J2468,'Final List'!$H$4:$H$252,0),0)</f>
        <v>0</v>
      </c>
      <c r="O2468" s="169">
        <f>IFERROR(MATCH(J2468,'Final List'!$J$4:$J$252,0),0)</f>
        <v>0</v>
      </c>
      <c r="P2468" s="169">
        <f>IFERROR(MATCH(J2468,'Final List'!$L$4:$L$252,0),0)</f>
        <v>0</v>
      </c>
      <c r="Q2468" s="169">
        <f>IFERROR(MATCH(J2468,'Final List'!$N$4:$N$252,0),0)</f>
        <v>0</v>
      </c>
      <c r="R2468" s="169">
        <f>IFERROR(MATCH(J2468,'Final List'!$P$4:$P$252,0),0)</f>
        <v>0</v>
      </c>
      <c r="S2468" s="169">
        <f t="shared" si="156"/>
        <v>0</v>
      </c>
      <c r="V2468" s="169" t="str">
        <f t="shared" si="157"/>
        <v>QUIJANO 1</v>
      </c>
      <c r="W2468" s="169" t="s">
        <v>8898</v>
      </c>
    </row>
    <row r="2469" spans="2:24" x14ac:dyDescent="0.25">
      <c r="B2469" s="169" t="s">
        <v>95</v>
      </c>
      <c r="C2469" s="169" t="s">
        <v>57</v>
      </c>
      <c r="D2469" s="169" t="s">
        <v>226</v>
      </c>
      <c r="E2469" s="169" t="s">
        <v>20</v>
      </c>
      <c r="F2469" s="245" t="str">
        <f t="shared" si="155"/>
        <v>DVW 74</v>
      </c>
      <c r="G2469" s="169" t="s">
        <v>583</v>
      </c>
      <c r="I2469" s="169" t="str">
        <f t="shared" si="158"/>
        <v>L08_JVSPLIT_074E_WINZE</v>
      </c>
      <c r="J2469" t="s">
        <v>11221</v>
      </c>
      <c r="K2469" s="169">
        <f>IFERROR(MATCH(J2469,'Final List'!$B$4:$B$252,0),0)</f>
        <v>0</v>
      </c>
      <c r="L2469" s="169">
        <f>IFERROR(MATCH(J2469,'Final List'!$D$4:$D$252,0),0)</f>
        <v>0</v>
      </c>
      <c r="M2469" s="169">
        <f>IFERROR(MATCH(J2469,'Final List'!$F$4:$F$251,0),0)</f>
        <v>0</v>
      </c>
      <c r="N2469" s="169">
        <f>IFERROR(MATCH(J2469,'Final List'!$H$4:$H$252,0),0)</f>
        <v>0</v>
      </c>
      <c r="O2469" s="169">
        <f>IFERROR(MATCH(J2469,'Final List'!$J$4:$J$252,0),0)</f>
        <v>0</v>
      </c>
      <c r="P2469" s="169">
        <f>IFERROR(MATCH(J2469,'Final List'!$L$4:$L$252,0),0)</f>
        <v>0</v>
      </c>
      <c r="Q2469" s="169">
        <f>IFERROR(MATCH(J2469,'Final List'!$N$4:$N$252,0),0)</f>
        <v>0</v>
      </c>
      <c r="R2469" s="169">
        <f>IFERROR(MATCH(J2469,'Final List'!$P$4:$P$252,0),0)</f>
        <v>0</v>
      </c>
      <c r="S2469" s="169">
        <f t="shared" si="156"/>
        <v>0</v>
      </c>
      <c r="V2469" s="169" t="str">
        <f t="shared" si="157"/>
        <v>VILLARANTE 1</v>
      </c>
      <c r="W2469" s="169" t="s">
        <v>2706</v>
      </c>
    </row>
    <row r="2470" spans="2:24" x14ac:dyDescent="0.25">
      <c r="B2470" s="169" t="s">
        <v>258</v>
      </c>
      <c r="C2470" s="169" t="s">
        <v>45</v>
      </c>
      <c r="D2470" s="169" t="s">
        <v>5850</v>
      </c>
      <c r="E2470" s="169" t="s">
        <v>19</v>
      </c>
      <c r="F2470" s="245" t="str">
        <f t="shared" si="155"/>
        <v>DVR 72</v>
      </c>
      <c r="G2470" s="169" t="s">
        <v>10897</v>
      </c>
      <c r="I2470" s="169" t="str">
        <f t="shared" si="158"/>
        <v>L10_DPVE_016E_RAISE</v>
      </c>
      <c r="J2470" t="s">
        <v>11018</v>
      </c>
      <c r="K2470" s="169">
        <f>IFERROR(MATCH(J2470,'Final List'!$B$4:$B$252,0),0)</f>
        <v>0</v>
      </c>
      <c r="L2470" s="169">
        <f>IFERROR(MATCH(J2470,'Final List'!$D$4:$D$252,0),0)</f>
        <v>0</v>
      </c>
      <c r="M2470" s="169">
        <f>IFERROR(MATCH(J2470,'Final List'!$F$4:$F$251,0),0)</f>
        <v>0</v>
      </c>
      <c r="N2470" s="169">
        <f>IFERROR(MATCH(J2470,'Final List'!$H$4:$H$252,0),0)</f>
        <v>0</v>
      </c>
      <c r="O2470" s="169">
        <f>IFERROR(MATCH(J2470,'Final List'!$J$4:$J$252,0),0)</f>
        <v>0</v>
      </c>
      <c r="P2470" s="169">
        <f>IFERROR(MATCH(J2470,'Final List'!$L$4:$L$252,0),0)</f>
        <v>0</v>
      </c>
      <c r="Q2470" s="169">
        <f>IFERROR(MATCH(J2470,'Final List'!$N$4:$N$252,0),0)</f>
        <v>0</v>
      </c>
      <c r="R2470" s="169">
        <f>IFERROR(MATCH(J2470,'Final List'!$P$4:$P$252,0),0)</f>
        <v>0</v>
      </c>
      <c r="S2470" s="169">
        <f t="shared" si="156"/>
        <v>0</v>
      </c>
      <c r="V2470" s="169" t="str">
        <f t="shared" si="157"/>
        <v>SHEPHERD BC 3</v>
      </c>
      <c r="W2470" s="169" t="s">
        <v>2715</v>
      </c>
    </row>
    <row r="2471" spans="2:24" x14ac:dyDescent="0.25">
      <c r="B2471" s="169" t="s">
        <v>1166</v>
      </c>
      <c r="C2471" s="169" t="s">
        <v>42</v>
      </c>
      <c r="D2471" s="169" t="s">
        <v>176</v>
      </c>
      <c r="E2471" s="169" t="s">
        <v>19</v>
      </c>
      <c r="F2471" s="245" t="str">
        <f t="shared" si="155"/>
        <v>DVR 72</v>
      </c>
      <c r="G2471" s="169" t="s">
        <v>359</v>
      </c>
      <c r="H2471" s="169" t="s">
        <v>862</v>
      </c>
      <c r="I2471" s="169" t="str">
        <f t="shared" si="158"/>
        <v>L11_JV_057E_RAISE</v>
      </c>
      <c r="J2471" t="s">
        <v>11027</v>
      </c>
      <c r="K2471" s="169">
        <f>IFERROR(MATCH(J2471,'Final List'!$B$4:$B$252,0),0)</f>
        <v>0</v>
      </c>
      <c r="L2471" s="169">
        <f>IFERROR(MATCH(J2471,'Final List'!$D$4:$D$252,0),0)</f>
        <v>0</v>
      </c>
      <c r="M2471" s="169">
        <f>IFERROR(MATCH(J2471,'Final List'!$F$4:$F$251,0),0)</f>
        <v>0</v>
      </c>
      <c r="N2471" s="169">
        <f>IFERROR(MATCH(J2471,'Final List'!$H$4:$H$252,0),0)</f>
        <v>0</v>
      </c>
      <c r="O2471" s="169">
        <f>IFERROR(MATCH(J2471,'Final List'!$J$4:$J$252,0),0)</f>
        <v>0</v>
      </c>
      <c r="P2471" s="169">
        <f>IFERROR(MATCH(J2471,'Final List'!$L$4:$L$252,0),0)</f>
        <v>0</v>
      </c>
      <c r="Q2471" s="169">
        <f>IFERROR(MATCH(J2471,'Final List'!$N$4:$N$252,0),0)</f>
        <v>0</v>
      </c>
      <c r="R2471" s="169">
        <f>IFERROR(MATCH(J2471,'Final List'!$P$4:$P$252,0),0)</f>
        <v>0</v>
      </c>
      <c r="S2471" s="169">
        <f t="shared" si="156"/>
        <v>0</v>
      </c>
      <c r="V2471" s="169" t="str">
        <f t="shared" si="157"/>
        <v>REBOTE 1</v>
      </c>
      <c r="W2471" s="169" t="s">
        <v>2715</v>
      </c>
    </row>
    <row r="2472" spans="2:24" x14ac:dyDescent="0.25">
      <c r="B2472" s="169" t="s">
        <v>95</v>
      </c>
      <c r="C2472" s="169" t="s">
        <v>45</v>
      </c>
      <c r="D2472" s="169" t="s">
        <v>146</v>
      </c>
      <c r="E2472" s="169" t="s">
        <v>6143</v>
      </c>
      <c r="F2472" s="245" t="str">
        <f t="shared" si="155"/>
        <v>Dhoz 71</v>
      </c>
      <c r="G2472" s="169" t="s">
        <v>577</v>
      </c>
      <c r="I2472" s="169" t="str">
        <f t="shared" si="158"/>
        <v>L08_DPVE_030E_DE_ISL</v>
      </c>
      <c r="J2472" t="s">
        <v>11028</v>
      </c>
      <c r="K2472" s="169">
        <f>IFERROR(MATCH(J2472,'Final List'!$B$4:$B$252,0),0)</f>
        <v>0</v>
      </c>
      <c r="L2472" s="169">
        <f>IFERROR(MATCH(J2472,'Final List'!$D$4:$D$252,0),0)</f>
        <v>0</v>
      </c>
      <c r="M2472" s="169">
        <f>IFERROR(MATCH(J2472,'Final List'!$F$4:$F$251,0),0)</f>
        <v>0</v>
      </c>
      <c r="N2472" s="169">
        <f>IFERROR(MATCH(J2472,'Final List'!$H$4:$H$252,0),0)</f>
        <v>0</v>
      </c>
      <c r="O2472" s="169">
        <f>IFERROR(MATCH(J2472,'Final List'!$J$4:$J$252,0),0)</f>
        <v>0</v>
      </c>
      <c r="P2472" s="169">
        <f>IFERROR(MATCH(J2472,'Final List'!$L$4:$L$252,0),0)</f>
        <v>0</v>
      </c>
      <c r="Q2472" s="169">
        <f>IFERROR(MATCH(J2472,'Final List'!$N$4:$N$252,0),0)</f>
        <v>0</v>
      </c>
      <c r="R2472" s="169">
        <f>IFERROR(MATCH(J2472,'Final List'!$P$4:$P$252,0),0)</f>
        <v>0</v>
      </c>
      <c r="S2472" s="169">
        <f t="shared" si="156"/>
        <v>0</v>
      </c>
      <c r="V2472" s="169" t="str">
        <f t="shared" si="157"/>
        <v>CARIKITAN 1</v>
      </c>
      <c r="W2472" s="169" t="s">
        <v>8895</v>
      </c>
    </row>
    <row r="2473" spans="2:24" x14ac:dyDescent="0.25">
      <c r="B2473" s="169" t="s">
        <v>1166</v>
      </c>
      <c r="C2473" s="169" t="s">
        <v>87</v>
      </c>
      <c r="D2473" s="169" t="s">
        <v>121</v>
      </c>
      <c r="E2473" s="169" t="s">
        <v>63</v>
      </c>
      <c r="F2473" s="245" t="str">
        <f t="shared" si="155"/>
        <v>Dhoz 71</v>
      </c>
      <c r="G2473" s="169" t="s">
        <v>353</v>
      </c>
      <c r="I2473" s="169" t="str">
        <f t="shared" si="158"/>
        <v>L11_NONE_022E_XCS</v>
      </c>
      <c r="J2473" t="s">
        <v>11030</v>
      </c>
      <c r="K2473" s="169">
        <f>IFERROR(MATCH(J2473,'Final List'!$B$4:$B$252,0),0)</f>
        <v>0</v>
      </c>
      <c r="L2473" s="169">
        <f>IFERROR(MATCH(J2473,'Final List'!$D$4:$D$252,0),0)</f>
        <v>0</v>
      </c>
      <c r="M2473" s="169">
        <f>IFERROR(MATCH(J2473,'Final List'!$F$4:$F$251,0),0)</f>
        <v>0</v>
      </c>
      <c r="N2473" s="169">
        <f>IFERROR(MATCH(J2473,'Final List'!$H$4:$H$252,0),0)</f>
        <v>0</v>
      </c>
      <c r="O2473" s="169">
        <f>IFERROR(MATCH(J2473,'Final List'!$J$4:$J$252,0),0)</f>
        <v>0</v>
      </c>
      <c r="P2473" s="169">
        <f>IFERROR(MATCH(J2473,'Final List'!$L$4:$L$252,0),0)</f>
        <v>0</v>
      </c>
      <c r="Q2473" s="169">
        <f>IFERROR(MATCH(J2473,'Final List'!$N$4:$N$252,0),0)</f>
        <v>0</v>
      </c>
      <c r="R2473" s="169">
        <f>IFERROR(MATCH(J2473,'Final List'!$P$4:$P$252,0),0)</f>
        <v>0</v>
      </c>
      <c r="S2473" s="169">
        <f t="shared" si="156"/>
        <v>0</v>
      </c>
      <c r="V2473" s="169" t="str">
        <f t="shared" si="157"/>
        <v>BAÑEZ 4</v>
      </c>
      <c r="W2473" s="169" t="s">
        <v>8898</v>
      </c>
    </row>
    <row r="2474" spans="2:24" x14ac:dyDescent="0.25">
      <c r="B2474" s="169" t="s">
        <v>258</v>
      </c>
      <c r="C2474" s="169" t="s">
        <v>45</v>
      </c>
      <c r="D2474" s="169" t="s">
        <v>11032</v>
      </c>
      <c r="E2474" s="169" t="s">
        <v>19</v>
      </c>
      <c r="F2474" s="245" t="str">
        <f t="shared" si="155"/>
        <v>DVR 72</v>
      </c>
      <c r="G2474" s="169" t="s">
        <v>9884</v>
      </c>
      <c r="I2474" s="169" t="str">
        <f t="shared" si="158"/>
        <v>L10_DPVE_089E_RAISE</v>
      </c>
      <c r="J2474" t="s">
        <v>11031</v>
      </c>
      <c r="K2474" s="169">
        <f>IFERROR(MATCH(J2474,'Final List'!$B$4:$B$252,0),0)</f>
        <v>0</v>
      </c>
      <c r="L2474" s="169">
        <f>IFERROR(MATCH(J2474,'Final List'!$D$4:$D$252,0),0)</f>
        <v>0</v>
      </c>
      <c r="M2474" s="169">
        <f>IFERROR(MATCH(J2474,'Final List'!$F$4:$F$251,0),0)</f>
        <v>0</v>
      </c>
      <c r="N2474" s="169">
        <f>IFERROR(MATCH(J2474,'Final List'!$H$4:$H$252,0),0)</f>
        <v>0</v>
      </c>
      <c r="O2474" s="169">
        <f>IFERROR(MATCH(J2474,'Final List'!$J$4:$J$252,0),0)</f>
        <v>0</v>
      </c>
      <c r="P2474" s="169">
        <f>IFERROR(MATCH(J2474,'Final List'!$L$4:$L$252,0),0)</f>
        <v>0</v>
      </c>
      <c r="Q2474" s="169">
        <f>IFERROR(MATCH(J2474,'Final List'!$N$4:$N$252,0),0)</f>
        <v>0</v>
      </c>
      <c r="R2474" s="169">
        <f>IFERROR(MATCH(J2474,'Final List'!$P$4:$P$252,0),0)</f>
        <v>0</v>
      </c>
      <c r="S2474" s="169">
        <f t="shared" si="156"/>
        <v>0</v>
      </c>
      <c r="V2474" s="169" t="str">
        <f t="shared" si="157"/>
        <v>APA 1</v>
      </c>
      <c r="W2474" s="169" t="s">
        <v>2715</v>
      </c>
    </row>
    <row r="2475" spans="2:24" x14ac:dyDescent="0.25">
      <c r="B2475" s="169" t="s">
        <v>96</v>
      </c>
      <c r="C2475" s="169" t="s">
        <v>59</v>
      </c>
      <c r="D2475" s="169" t="s">
        <v>147</v>
      </c>
      <c r="E2475" s="169" t="s">
        <v>36</v>
      </c>
      <c r="F2475" s="245" t="str">
        <f t="shared" si="155"/>
        <v>StpS 77</v>
      </c>
      <c r="G2475" s="169" t="s">
        <v>10253</v>
      </c>
      <c r="I2475" s="169" t="str">
        <f t="shared" si="158"/>
        <v>L09_GHVHW_024E_STOPE</v>
      </c>
      <c r="J2475" t="s">
        <v>11138</v>
      </c>
      <c r="K2475" s="169">
        <f>IFERROR(MATCH(J2475,'Final List'!$B$4:$B$252,0),0)</f>
        <v>0</v>
      </c>
      <c r="L2475" s="169">
        <f>IFERROR(MATCH(J2475,'Final List'!$D$4:$D$252,0),0)</f>
        <v>0</v>
      </c>
      <c r="M2475" s="169">
        <f>IFERROR(MATCH(J2475,'Final List'!$F$4:$F$251,0),0)</f>
        <v>0</v>
      </c>
      <c r="N2475" s="169">
        <f>IFERROR(MATCH(J2475,'Final List'!$H$4:$H$252,0),0)</f>
        <v>0</v>
      </c>
      <c r="O2475" s="169">
        <f>IFERROR(MATCH(J2475,'Final List'!$J$4:$J$252,0),0)</f>
        <v>0</v>
      </c>
      <c r="P2475" s="169">
        <f>IFERROR(MATCH(J2475,'Final List'!$L$4:$L$252,0),0)</f>
        <v>0</v>
      </c>
      <c r="Q2475" s="169">
        <f>IFERROR(MATCH(J2475,'Final List'!$N$4:$N$252,0),0)</f>
        <v>0</v>
      </c>
      <c r="R2475" s="169">
        <f>IFERROR(MATCH(J2475,'Final List'!$P$4:$P$252,0),0)</f>
        <v>0</v>
      </c>
      <c r="S2475" s="169">
        <f t="shared" si="156"/>
        <v>0</v>
      </c>
      <c r="T2475" s="169" t="s">
        <v>68</v>
      </c>
      <c r="V2475" s="169" t="str">
        <f t="shared" si="157"/>
        <v>PANSIT NORMAN 4</v>
      </c>
      <c r="W2475" s="169" t="s">
        <v>2711</v>
      </c>
    </row>
    <row r="2476" spans="2:24" x14ac:dyDescent="0.25">
      <c r="B2476" s="169" t="s">
        <v>258</v>
      </c>
      <c r="C2476" s="169" t="s">
        <v>45</v>
      </c>
      <c r="D2476" s="169" t="s">
        <v>8279</v>
      </c>
      <c r="E2476" s="169" t="s">
        <v>61</v>
      </c>
      <c r="F2476" s="245" t="str">
        <f t="shared" si="155"/>
        <v>Dhoz 71</v>
      </c>
      <c r="G2476" s="169" t="s">
        <v>12901</v>
      </c>
      <c r="I2476" s="169" t="str">
        <f t="shared" si="158"/>
        <v>L10_DPVE_090E_DW</v>
      </c>
      <c r="J2476" t="s">
        <v>9979</v>
      </c>
      <c r="K2476" s="169">
        <f>IFERROR(MATCH(J2476,'Final List'!$B$4:$B$252,0),0)</f>
        <v>0</v>
      </c>
      <c r="L2476" s="169">
        <f>IFERROR(MATCH(J2476,'Final List'!$D$4:$D$252,0),0)</f>
        <v>0</v>
      </c>
      <c r="M2476" s="169">
        <f>IFERROR(MATCH(J2476,'Final List'!$F$4:$F$251,0),0)</f>
        <v>0</v>
      </c>
      <c r="N2476" s="169">
        <f>IFERROR(MATCH(J2476,'Final List'!$H$4:$H$252,0),0)</f>
        <v>0</v>
      </c>
      <c r="O2476" s="169">
        <f>IFERROR(MATCH(J2476,'Final List'!$J$4:$J$252,0),0)</f>
        <v>0</v>
      </c>
      <c r="P2476" s="169">
        <f>IFERROR(MATCH(J2476,'Final List'!$L$4:$L$252,0),0)</f>
        <v>0</v>
      </c>
      <c r="Q2476" s="169">
        <f>IFERROR(MATCH(J2476,'Final List'!$N$4:$N$252,0),0)</f>
        <v>0</v>
      </c>
      <c r="R2476" s="169">
        <f>IFERROR(MATCH(J2476,'Final List'!$P$4:$P$252,0),0)</f>
        <v>0</v>
      </c>
      <c r="S2476" s="169">
        <f t="shared" si="156"/>
        <v>0</v>
      </c>
      <c r="V2476" s="169" t="str">
        <f t="shared" si="157"/>
        <v>NITRO BW</v>
      </c>
      <c r="W2476" s="169" t="s">
        <v>8896</v>
      </c>
    </row>
    <row r="2477" spans="2:24" x14ac:dyDescent="0.25">
      <c r="B2477" s="169" t="s">
        <v>96</v>
      </c>
      <c r="C2477" s="169" t="s">
        <v>45</v>
      </c>
      <c r="D2477" s="169" t="s">
        <v>132</v>
      </c>
      <c r="E2477" s="169" t="s">
        <v>36</v>
      </c>
      <c r="F2477" s="245" t="str">
        <f t="shared" si="155"/>
        <v>StpS 77</v>
      </c>
      <c r="G2477" s="169" t="s">
        <v>2972</v>
      </c>
      <c r="I2477" s="169" t="str">
        <f t="shared" si="158"/>
        <v>L09_DPVE_033E_STOPE</v>
      </c>
      <c r="J2477" t="s">
        <v>11136</v>
      </c>
      <c r="K2477" s="169">
        <f>IFERROR(MATCH(J2477,'Final List'!$B$4:$B$252,0),0)</f>
        <v>0</v>
      </c>
      <c r="L2477" s="169">
        <f>IFERROR(MATCH(J2477,'Final List'!$D$4:$D$252,0),0)</f>
        <v>0</v>
      </c>
      <c r="M2477" s="169">
        <f>IFERROR(MATCH(J2477,'Final List'!$F$4:$F$251,0),0)</f>
        <v>0</v>
      </c>
      <c r="N2477" s="169">
        <f>IFERROR(MATCH(J2477,'Final List'!$H$4:$H$252,0),0)</f>
        <v>0</v>
      </c>
      <c r="O2477" s="169">
        <f>IFERROR(MATCH(J2477,'Final List'!$J$4:$J$252,0),0)</f>
        <v>0</v>
      </c>
      <c r="P2477" s="169">
        <f>IFERROR(MATCH(J2477,'Final List'!$L$4:$L$252,0),0)</f>
        <v>0</v>
      </c>
      <c r="Q2477" s="169">
        <f>IFERROR(MATCH(J2477,'Final List'!$N$4:$N$252,0),0)</f>
        <v>0</v>
      </c>
      <c r="R2477" s="169">
        <f>IFERROR(MATCH(J2477,'Final List'!$P$4:$P$252,0),0)</f>
        <v>0</v>
      </c>
      <c r="S2477" s="169">
        <f t="shared" si="156"/>
        <v>0</v>
      </c>
      <c r="T2477" s="169" t="s">
        <v>68</v>
      </c>
      <c r="V2477" s="169" t="str">
        <f t="shared" si="157"/>
        <v>FABROA 1</v>
      </c>
      <c r="W2477" s="169" t="s">
        <v>2713</v>
      </c>
      <c r="X2477" t="s">
        <v>47</v>
      </c>
    </row>
    <row r="2478" spans="2:24" x14ac:dyDescent="0.25">
      <c r="B2478" s="169" t="s">
        <v>96</v>
      </c>
      <c r="C2478" s="169" t="s">
        <v>57</v>
      </c>
      <c r="D2478" s="169" t="s">
        <v>180</v>
      </c>
      <c r="E2478" s="169" t="s">
        <v>62</v>
      </c>
      <c r="F2478" s="245" t="str">
        <f t="shared" si="155"/>
        <v>RobS 79</v>
      </c>
      <c r="G2478" s="169" t="s">
        <v>9885</v>
      </c>
      <c r="H2478" s="169" t="s">
        <v>6621</v>
      </c>
      <c r="I2478" s="169" t="str">
        <f t="shared" si="158"/>
        <v>L09_JVSPLIT_041E_ROBBING</v>
      </c>
      <c r="J2478" t="s">
        <v>11040</v>
      </c>
      <c r="K2478" s="169">
        <f>IFERROR(MATCH(J2478,'Final List'!$B$4:$B$252,0),0)</f>
        <v>0</v>
      </c>
      <c r="L2478" s="169">
        <f>IFERROR(MATCH(J2478,'Final List'!$D$4:$D$252,0),0)</f>
        <v>0</v>
      </c>
      <c r="M2478" s="169">
        <f>IFERROR(MATCH(J2478,'Final List'!$F$4:$F$251,0),0)</f>
        <v>0</v>
      </c>
      <c r="N2478" s="169">
        <f>IFERROR(MATCH(J2478,'Final List'!$H$4:$H$252,0),0)</f>
        <v>0</v>
      </c>
      <c r="O2478" s="169">
        <f>IFERROR(MATCH(J2478,'Final List'!$J$4:$J$252,0),0)</f>
        <v>0</v>
      </c>
      <c r="P2478" s="169">
        <f>IFERROR(MATCH(J2478,'Final List'!$L$4:$L$252,0),0)</f>
        <v>0</v>
      </c>
      <c r="Q2478" s="169">
        <f>IFERROR(MATCH(J2478,'Final List'!$N$4:$N$252,0),0)</f>
        <v>0</v>
      </c>
      <c r="R2478" s="169">
        <f>IFERROR(MATCH(J2478,'Final List'!$P$4:$P$252,0),0)</f>
        <v>0</v>
      </c>
      <c r="S2478" s="169">
        <f t="shared" si="156"/>
        <v>0</v>
      </c>
      <c r="T2478" s="169" t="s">
        <v>68</v>
      </c>
      <c r="V2478" s="169" t="str">
        <f t="shared" si="157"/>
        <v>DELOS REYES V1</v>
      </c>
      <c r="W2478" s="169" t="s">
        <v>2707</v>
      </c>
    </row>
    <row r="2479" spans="2:24" x14ac:dyDescent="0.25">
      <c r="B2479" s="169" t="s">
        <v>1166</v>
      </c>
      <c r="C2479" s="169" t="s">
        <v>43</v>
      </c>
      <c r="D2479" s="169" t="s">
        <v>284</v>
      </c>
      <c r="E2479" s="169" t="s">
        <v>60</v>
      </c>
      <c r="F2479" s="245" t="str">
        <f t="shared" si="155"/>
        <v>Dhoz 71</v>
      </c>
      <c r="G2479" s="169" t="s">
        <v>551</v>
      </c>
      <c r="I2479" s="169" t="str">
        <f t="shared" si="158"/>
        <v>L11_GHVSPLIT_061E_DE</v>
      </c>
      <c r="J2479" t="s">
        <v>11047</v>
      </c>
      <c r="K2479" s="169">
        <f>IFERROR(MATCH(J2479,'Final List'!$B$4:$B$252,0),0)</f>
        <v>0</v>
      </c>
      <c r="L2479" s="169">
        <f>IFERROR(MATCH(J2479,'Final List'!$D$4:$D$252,0),0)</f>
        <v>0</v>
      </c>
      <c r="M2479" s="169">
        <f>IFERROR(MATCH(J2479,'Final List'!$F$4:$F$251,0),0)</f>
        <v>0</v>
      </c>
      <c r="N2479" s="169">
        <f>IFERROR(MATCH(J2479,'Final List'!$H$4:$H$252,0),0)</f>
        <v>0</v>
      </c>
      <c r="O2479" s="169">
        <f>IFERROR(MATCH(J2479,'Final List'!$J$4:$J$252,0),0)</f>
        <v>0</v>
      </c>
      <c r="P2479" s="169">
        <f>IFERROR(MATCH(J2479,'Final List'!$L$4:$L$252,0),0)</f>
        <v>0</v>
      </c>
      <c r="Q2479" s="169">
        <f>IFERROR(MATCH(J2479,'Final List'!$N$4:$N$252,0),0)</f>
        <v>0</v>
      </c>
      <c r="R2479" s="169">
        <f>IFERROR(MATCH(J2479,'Final List'!$P$4:$P$252,0),0)</f>
        <v>0</v>
      </c>
      <c r="S2479" s="169">
        <f t="shared" si="156"/>
        <v>0</v>
      </c>
      <c r="V2479" s="169" t="str">
        <f t="shared" si="157"/>
        <v>PANCIT, NOEL 3</v>
      </c>
      <c r="W2479" s="169" t="s">
        <v>8896</v>
      </c>
    </row>
    <row r="2480" spans="2:24" x14ac:dyDescent="0.25">
      <c r="B2480" s="169" t="s">
        <v>96</v>
      </c>
      <c r="C2480" s="169" t="s">
        <v>45</v>
      </c>
      <c r="D2480" s="169" t="s">
        <v>164</v>
      </c>
      <c r="E2480" s="169" t="s">
        <v>20</v>
      </c>
      <c r="F2480" s="245" t="str">
        <f t="shared" si="155"/>
        <v>DVW 74</v>
      </c>
      <c r="G2480" s="169" t="s">
        <v>336</v>
      </c>
      <c r="I2480" s="169" t="str">
        <f t="shared" si="158"/>
        <v>L09_DPVE_064E_WINZE</v>
      </c>
      <c r="J2480" t="s">
        <v>11050</v>
      </c>
      <c r="K2480" s="169">
        <f>IFERROR(MATCH(J2480,'Final List'!$B$4:$B$252,0),0)</f>
        <v>0</v>
      </c>
      <c r="L2480" s="169">
        <f>IFERROR(MATCH(J2480,'Final List'!$D$4:$D$252,0),0)</f>
        <v>0</v>
      </c>
      <c r="M2480" s="169">
        <f>IFERROR(MATCH(J2480,'Final List'!$F$4:$F$251,0),0)</f>
        <v>0</v>
      </c>
      <c r="N2480" s="169">
        <f>IFERROR(MATCH(J2480,'Final List'!$H$4:$H$252,0),0)</f>
        <v>0</v>
      </c>
      <c r="O2480" s="169">
        <f>IFERROR(MATCH(J2480,'Final List'!$J$4:$J$252,0),0)</f>
        <v>0</v>
      </c>
      <c r="P2480" s="169">
        <f>IFERROR(MATCH(J2480,'Final List'!$L$4:$L$252,0),0)</f>
        <v>0</v>
      </c>
      <c r="Q2480" s="169">
        <f>IFERROR(MATCH(J2480,'Final List'!$N$4:$N$252,0),0)</f>
        <v>0</v>
      </c>
      <c r="R2480" s="169">
        <f>IFERROR(MATCH(J2480,'Final List'!$P$4:$P$252,0),0)</f>
        <v>0</v>
      </c>
      <c r="S2480" s="169">
        <f t="shared" si="156"/>
        <v>0</v>
      </c>
      <c r="V2480" s="169" t="str">
        <f t="shared" si="157"/>
        <v>BALANGHIG 1</v>
      </c>
      <c r="W2480" s="169" t="s">
        <v>2706</v>
      </c>
    </row>
    <row r="2481" spans="2:23" x14ac:dyDescent="0.25">
      <c r="B2481" s="169" t="s">
        <v>96</v>
      </c>
      <c r="C2481" s="169" t="s">
        <v>56</v>
      </c>
      <c r="D2481" s="169" t="s">
        <v>218</v>
      </c>
      <c r="E2481" s="169" t="s">
        <v>62</v>
      </c>
      <c r="F2481" s="245" t="str">
        <f t="shared" si="155"/>
        <v>RobS 79</v>
      </c>
      <c r="G2481" s="169" t="s">
        <v>485</v>
      </c>
      <c r="I2481" s="169" t="str">
        <f t="shared" si="158"/>
        <v>L09_GHVFW_062E_ROBBING</v>
      </c>
      <c r="J2481" t="s">
        <v>11076</v>
      </c>
      <c r="K2481" s="169">
        <f>IFERROR(MATCH(J2481,'Final List'!$B$4:$B$252,0),0)</f>
        <v>0</v>
      </c>
      <c r="L2481" s="169">
        <f>IFERROR(MATCH(J2481,'Final List'!$D$4:$D$252,0),0)</f>
        <v>0</v>
      </c>
      <c r="M2481" s="169">
        <f>IFERROR(MATCH(J2481,'Final List'!$F$4:$F$251,0),0)</f>
        <v>0</v>
      </c>
      <c r="N2481" s="169">
        <f>IFERROR(MATCH(J2481,'Final List'!$H$4:$H$252,0),0)</f>
        <v>0</v>
      </c>
      <c r="O2481" s="169">
        <f>IFERROR(MATCH(J2481,'Final List'!$J$4:$J$252,0),0)</f>
        <v>0</v>
      </c>
      <c r="P2481" s="169">
        <f>IFERROR(MATCH(J2481,'Final List'!$L$4:$L$252,0),0)</f>
        <v>0</v>
      </c>
      <c r="Q2481" s="169">
        <f>IFERROR(MATCH(J2481,'Final List'!$N$4:$N$252,0),0)</f>
        <v>0</v>
      </c>
      <c r="R2481" s="169">
        <f>IFERROR(MATCH(J2481,'Final List'!$P$4:$P$252,0),0)</f>
        <v>0</v>
      </c>
      <c r="S2481" s="169">
        <f t="shared" si="156"/>
        <v>0</v>
      </c>
      <c r="T2481" s="169" t="s">
        <v>68</v>
      </c>
      <c r="V2481" s="169" t="str">
        <f t="shared" si="157"/>
        <v>BALANGHIG 3</v>
      </c>
      <c r="W2481" s="169" t="s">
        <v>2707</v>
      </c>
    </row>
    <row r="2482" spans="2:23" x14ac:dyDescent="0.25">
      <c r="B2482" s="169" t="s">
        <v>96</v>
      </c>
      <c r="C2482" s="169" t="s">
        <v>43</v>
      </c>
      <c r="D2482" s="169" t="s">
        <v>284</v>
      </c>
      <c r="E2482" s="169" t="s">
        <v>19</v>
      </c>
      <c r="F2482" s="245" t="str">
        <f t="shared" si="155"/>
        <v>DVR 72</v>
      </c>
      <c r="G2482" s="169" t="s">
        <v>745</v>
      </c>
      <c r="I2482" s="169" t="str">
        <f t="shared" si="158"/>
        <v>L09_GHVSPLIT_061E_RAISE</v>
      </c>
      <c r="J2482" t="s">
        <v>5444</v>
      </c>
      <c r="K2482" s="169">
        <f>IFERROR(MATCH(J2482,'Final List'!$B$4:$B$252,0),0)</f>
        <v>0</v>
      </c>
      <c r="L2482" s="169">
        <f>IFERROR(MATCH(J2482,'Final List'!$D$4:$D$252,0),0)</f>
        <v>0</v>
      </c>
      <c r="M2482" s="169">
        <f>IFERROR(MATCH(J2482,'Final List'!$F$4:$F$251,0),0)</f>
        <v>0</v>
      </c>
      <c r="N2482" s="169">
        <f>IFERROR(MATCH(J2482,'Final List'!$H$4:$H$252,0),0)</f>
        <v>0</v>
      </c>
      <c r="O2482" s="169">
        <f>IFERROR(MATCH(J2482,'Final List'!$J$4:$J$252,0),0)</f>
        <v>0</v>
      </c>
      <c r="P2482" s="169">
        <f>IFERROR(MATCH(J2482,'Final List'!$L$4:$L$252,0),0)</f>
        <v>0</v>
      </c>
      <c r="Q2482" s="169">
        <f>IFERROR(MATCH(J2482,'Final List'!$N$4:$N$252,0),0)</f>
        <v>0</v>
      </c>
      <c r="R2482" s="169">
        <f>IFERROR(MATCH(J2482,'Final List'!$P$4:$P$252,0),0)</f>
        <v>0</v>
      </c>
      <c r="S2482" s="169">
        <f t="shared" si="156"/>
        <v>0</v>
      </c>
      <c r="V2482" s="169" t="str">
        <f t="shared" si="157"/>
        <v>CANOY 2</v>
      </c>
      <c r="W2482" s="169" t="s">
        <v>2715</v>
      </c>
    </row>
    <row r="2483" spans="2:23" x14ac:dyDescent="0.25">
      <c r="B2483" s="169" t="s">
        <v>96</v>
      </c>
      <c r="C2483" s="169" t="s">
        <v>57</v>
      </c>
      <c r="D2483" s="169" t="s">
        <v>176</v>
      </c>
      <c r="E2483" s="169" t="s">
        <v>19</v>
      </c>
      <c r="F2483" s="245" t="str">
        <f t="shared" si="155"/>
        <v>DVR 72</v>
      </c>
      <c r="G2483" s="169" t="s">
        <v>746</v>
      </c>
      <c r="I2483" s="169" t="str">
        <f t="shared" si="158"/>
        <v>L09_JVSPLIT_057E_RAISE</v>
      </c>
      <c r="J2483" t="s">
        <v>1277</v>
      </c>
      <c r="K2483" s="169">
        <f>IFERROR(MATCH(J2483,'Final List'!$B$4:$B$252,0),0)</f>
        <v>0</v>
      </c>
      <c r="L2483" s="169">
        <f>IFERROR(MATCH(J2483,'Final List'!$D$4:$D$252,0),0)</f>
        <v>0</v>
      </c>
      <c r="M2483" s="169">
        <f>IFERROR(MATCH(J2483,'Final List'!$F$4:$F$251,0),0)</f>
        <v>0</v>
      </c>
      <c r="N2483" s="169">
        <f>IFERROR(MATCH(J2483,'Final List'!$H$4:$H$252,0),0)</f>
        <v>0</v>
      </c>
      <c r="O2483" s="169">
        <f>IFERROR(MATCH(J2483,'Final List'!$J$4:$J$252,0),0)</f>
        <v>0</v>
      </c>
      <c r="P2483" s="169">
        <f>IFERROR(MATCH(J2483,'Final List'!$L$4:$L$252,0),0)</f>
        <v>0</v>
      </c>
      <c r="Q2483" s="169">
        <f>IFERROR(MATCH(J2483,'Final List'!$N$4:$N$252,0),0)</f>
        <v>0</v>
      </c>
      <c r="R2483" s="169">
        <f>IFERROR(MATCH(J2483,'Final List'!$P$4:$P$252,0),0)</f>
        <v>0</v>
      </c>
      <c r="S2483" s="169">
        <f t="shared" si="156"/>
        <v>0</v>
      </c>
      <c r="V2483" s="169" t="str">
        <f t="shared" si="157"/>
        <v>CANOY 1</v>
      </c>
      <c r="W2483" s="169" t="s">
        <v>2715</v>
      </c>
    </row>
    <row r="2484" spans="2:23" x14ac:dyDescent="0.25">
      <c r="B2484" s="169" t="s">
        <v>258</v>
      </c>
      <c r="C2484" s="169" t="s">
        <v>42</v>
      </c>
      <c r="D2484" s="169" t="s">
        <v>205</v>
      </c>
      <c r="E2484" s="169" t="s">
        <v>20</v>
      </c>
      <c r="F2484" s="245" t="str">
        <f t="shared" si="155"/>
        <v>DVW 74</v>
      </c>
      <c r="G2484" s="169" t="s">
        <v>3277</v>
      </c>
      <c r="I2484" s="169" t="str">
        <f t="shared" si="158"/>
        <v>L10_JV_066E_WINZE</v>
      </c>
      <c r="J2484" t="s">
        <v>11056</v>
      </c>
      <c r="K2484" s="169">
        <f>IFERROR(MATCH(J2484,'Final List'!$B$4:$B$252,0),0)</f>
        <v>0</v>
      </c>
      <c r="L2484" s="169">
        <f>IFERROR(MATCH(J2484,'Final List'!$D$4:$D$252,0),0)</f>
        <v>0</v>
      </c>
      <c r="M2484" s="169">
        <f>IFERROR(MATCH(J2484,'Final List'!$F$4:$F$251,0),0)</f>
        <v>0</v>
      </c>
      <c r="N2484" s="169">
        <f>IFERROR(MATCH(J2484,'Final List'!$H$4:$H$252,0),0)</f>
        <v>0</v>
      </c>
      <c r="O2484" s="169">
        <f>IFERROR(MATCH(J2484,'Final List'!$J$4:$J$252,0),0)</f>
        <v>0</v>
      </c>
      <c r="P2484" s="169">
        <f>IFERROR(MATCH(J2484,'Final List'!$L$4:$L$252,0),0)</f>
        <v>0</v>
      </c>
      <c r="Q2484" s="169">
        <f>IFERROR(MATCH(J2484,'Final List'!$N$4:$N$252,0),0)</f>
        <v>0</v>
      </c>
      <c r="R2484" s="169">
        <f>IFERROR(MATCH(J2484,'Final List'!$P$4:$P$252,0),0)</f>
        <v>0</v>
      </c>
      <c r="S2484" s="169">
        <f t="shared" si="156"/>
        <v>0</v>
      </c>
      <c r="V2484" s="169" t="str">
        <f t="shared" si="157"/>
        <v>MARTINEZ, DN 2</v>
      </c>
      <c r="W2484" s="169" t="s">
        <v>2706</v>
      </c>
    </row>
    <row r="2485" spans="2:23" x14ac:dyDescent="0.25">
      <c r="B2485" s="169" t="s">
        <v>1166</v>
      </c>
      <c r="C2485" s="169" t="s">
        <v>45</v>
      </c>
      <c r="D2485" s="169" t="s">
        <v>160</v>
      </c>
      <c r="E2485" s="169" t="s">
        <v>211</v>
      </c>
      <c r="F2485" s="245" t="str">
        <f t="shared" si="155"/>
        <v>StpS 77</v>
      </c>
      <c r="G2485" s="169" t="s">
        <v>6980</v>
      </c>
      <c r="I2485" s="169" t="str">
        <f t="shared" si="158"/>
        <v>L11_DPVE_042E_STOPE PREP</v>
      </c>
      <c r="J2485" t="s">
        <v>11057</v>
      </c>
      <c r="K2485" s="169">
        <f>IFERROR(MATCH(J2485,'Final List'!$B$4:$B$252,0),0)</f>
        <v>0</v>
      </c>
      <c r="L2485" s="169">
        <f>IFERROR(MATCH(J2485,'Final List'!$D$4:$D$252,0),0)</f>
        <v>0</v>
      </c>
      <c r="M2485" s="169">
        <f>IFERROR(MATCH(J2485,'Final List'!$F$4:$F$251,0),0)</f>
        <v>0</v>
      </c>
      <c r="N2485" s="169">
        <f>IFERROR(MATCH(J2485,'Final List'!$H$4:$H$252,0),0)</f>
        <v>0</v>
      </c>
      <c r="O2485" s="169">
        <f>IFERROR(MATCH(J2485,'Final List'!$J$4:$J$252,0),0)</f>
        <v>0</v>
      </c>
      <c r="P2485" s="169">
        <f>IFERROR(MATCH(J2485,'Final List'!$L$4:$L$252,0),0)</f>
        <v>0</v>
      </c>
      <c r="Q2485" s="169">
        <f>IFERROR(MATCH(J2485,'Final List'!$N$4:$N$252,0),0)</f>
        <v>0</v>
      </c>
      <c r="R2485" s="169">
        <f>IFERROR(MATCH(J2485,'Final List'!$P$4:$P$252,0),0)</f>
        <v>0</v>
      </c>
      <c r="S2485" s="169">
        <f t="shared" si="156"/>
        <v>0</v>
      </c>
      <c r="T2485" s="169" t="s">
        <v>68</v>
      </c>
      <c r="V2485" s="169" t="str">
        <f t="shared" si="157"/>
        <v>BADBADON 3</v>
      </c>
      <c r="W2485" s="169" t="s">
        <v>2712</v>
      </c>
    </row>
    <row r="2486" spans="2:23" x14ac:dyDescent="0.25">
      <c r="B2486" s="169" t="s">
        <v>1167</v>
      </c>
      <c r="C2486" s="169" t="s">
        <v>38</v>
      </c>
      <c r="D2486" s="169" t="s">
        <v>164</v>
      </c>
      <c r="E2486" s="169" t="s">
        <v>60</v>
      </c>
      <c r="F2486" s="245" t="str">
        <f t="shared" si="155"/>
        <v>Dhoz 71</v>
      </c>
      <c r="G2486" s="169" t="s">
        <v>6930</v>
      </c>
      <c r="H2486" s="169" t="s">
        <v>316</v>
      </c>
      <c r="I2486" s="169" t="str">
        <f t="shared" si="158"/>
        <v>L12_GHV_064E_DE</v>
      </c>
      <c r="J2486" t="s">
        <v>11059</v>
      </c>
      <c r="K2486" s="169">
        <f>IFERROR(MATCH(J2486,'Final List'!$B$4:$B$252,0),0)</f>
        <v>0</v>
      </c>
      <c r="L2486" s="169">
        <f>IFERROR(MATCH(J2486,'Final List'!$D$4:$D$252,0),0)</f>
        <v>0</v>
      </c>
      <c r="M2486" s="169">
        <f>IFERROR(MATCH(J2486,'Final List'!$F$4:$F$251,0),0)</f>
        <v>0</v>
      </c>
      <c r="N2486" s="169">
        <f>IFERROR(MATCH(J2486,'Final List'!$H$4:$H$252,0),0)</f>
        <v>0</v>
      </c>
      <c r="O2486" s="169">
        <f>IFERROR(MATCH(J2486,'Final List'!$J$4:$J$252,0),0)</f>
        <v>0</v>
      </c>
      <c r="P2486" s="169">
        <f>IFERROR(MATCH(J2486,'Final List'!$L$4:$L$252,0),0)</f>
        <v>0</v>
      </c>
      <c r="Q2486" s="169">
        <f>IFERROR(MATCH(J2486,'Final List'!$N$4:$N$252,0),0)</f>
        <v>0</v>
      </c>
      <c r="R2486" s="169">
        <f>IFERROR(MATCH(J2486,'Final List'!$P$4:$P$252,0),0)</f>
        <v>0</v>
      </c>
      <c r="S2486" s="169">
        <f t="shared" si="156"/>
        <v>0</v>
      </c>
      <c r="V2486" s="169" t="str">
        <f t="shared" si="157"/>
        <v>PARAGUYA 1</v>
      </c>
      <c r="W2486" s="169" t="s">
        <v>8896</v>
      </c>
    </row>
    <row r="2487" spans="2:23" x14ac:dyDescent="0.25">
      <c r="B2487" s="169" t="s">
        <v>95</v>
      </c>
      <c r="C2487" s="169" t="s">
        <v>59</v>
      </c>
      <c r="D2487" s="169" t="s">
        <v>197</v>
      </c>
      <c r="E2487" s="169" t="s">
        <v>62</v>
      </c>
      <c r="F2487" s="245" t="str">
        <f t="shared" si="155"/>
        <v>RobC 80</v>
      </c>
      <c r="G2487" s="169" t="s">
        <v>1507</v>
      </c>
      <c r="I2487" s="169" t="str">
        <f t="shared" si="158"/>
        <v>L08_GHVHW_070E_ROBBING</v>
      </c>
      <c r="J2487" t="s">
        <v>11061</v>
      </c>
      <c r="K2487" s="169">
        <f>IFERROR(MATCH(J2487,'Final List'!$B$4:$B$252,0),0)</f>
        <v>0</v>
      </c>
      <c r="L2487" s="169">
        <f>IFERROR(MATCH(J2487,'Final List'!$D$4:$D$252,0),0)</f>
        <v>0</v>
      </c>
      <c r="M2487" s="169">
        <f>IFERROR(MATCH(J2487,'Final List'!$F$4:$F$251,0),0)</f>
        <v>0</v>
      </c>
      <c r="N2487" s="169">
        <f>IFERROR(MATCH(J2487,'Final List'!$H$4:$H$252,0),0)</f>
        <v>0</v>
      </c>
      <c r="O2487" s="169">
        <f>IFERROR(MATCH(J2487,'Final List'!$J$4:$J$252,0),0)</f>
        <v>0</v>
      </c>
      <c r="P2487" s="169">
        <f>IFERROR(MATCH(J2487,'Final List'!$L$4:$L$252,0),0)</f>
        <v>0</v>
      </c>
      <c r="Q2487" s="169">
        <f>IFERROR(MATCH(J2487,'Final List'!$N$4:$N$252,0),0)</f>
        <v>0</v>
      </c>
      <c r="R2487" s="169">
        <f>IFERROR(MATCH(J2487,'Final List'!$P$4:$P$252,0),0)</f>
        <v>0</v>
      </c>
      <c r="S2487" s="169">
        <f t="shared" si="156"/>
        <v>0</v>
      </c>
      <c r="T2487" s="169" t="s">
        <v>48</v>
      </c>
      <c r="V2487" s="169" t="str">
        <f t="shared" si="157"/>
        <v>FERNANDEZ 1</v>
      </c>
      <c r="W2487" s="169" t="s">
        <v>236</v>
      </c>
    </row>
    <row r="2488" spans="2:23" x14ac:dyDescent="0.25">
      <c r="B2488" s="169" t="s">
        <v>1167</v>
      </c>
      <c r="C2488" s="169" t="s">
        <v>42</v>
      </c>
      <c r="D2488" s="169" t="s">
        <v>165</v>
      </c>
      <c r="E2488" s="169" t="s">
        <v>60</v>
      </c>
      <c r="F2488" s="245" t="str">
        <f t="shared" si="155"/>
        <v>Dhoz 71</v>
      </c>
      <c r="G2488" s="169" t="s">
        <v>9354</v>
      </c>
      <c r="I2488" s="169" t="str">
        <f t="shared" si="158"/>
        <v>L12_JV_056E_DE</v>
      </c>
      <c r="J2488" t="s">
        <v>11060</v>
      </c>
      <c r="K2488" s="169">
        <f>IFERROR(MATCH(J2488,'Final List'!$B$4:$B$252,0),0)</f>
        <v>0</v>
      </c>
      <c r="L2488" s="169">
        <f>IFERROR(MATCH(J2488,'Final List'!$D$4:$D$252,0),0)</f>
        <v>0</v>
      </c>
      <c r="M2488" s="169">
        <f>IFERROR(MATCH(J2488,'Final List'!$F$4:$F$251,0),0)</f>
        <v>0</v>
      </c>
      <c r="N2488" s="169">
        <f>IFERROR(MATCH(J2488,'Final List'!$H$4:$H$252,0),0)</f>
        <v>0</v>
      </c>
      <c r="O2488" s="169">
        <f>IFERROR(MATCH(J2488,'Final List'!$J$4:$J$252,0),0)</f>
        <v>0</v>
      </c>
      <c r="P2488" s="169">
        <f>IFERROR(MATCH(J2488,'Final List'!$L$4:$L$252,0),0)</f>
        <v>0</v>
      </c>
      <c r="Q2488" s="169">
        <f>IFERROR(MATCH(J2488,'Final List'!$N$4:$N$252,0),0)</f>
        <v>0</v>
      </c>
      <c r="R2488" s="169">
        <f>IFERROR(MATCH(J2488,'Final List'!$P$4:$P$252,0),0)</f>
        <v>0</v>
      </c>
      <c r="S2488" s="169">
        <f t="shared" si="156"/>
        <v>0</v>
      </c>
      <c r="V2488" s="169" t="str">
        <f t="shared" si="157"/>
        <v>DUHIG, P8</v>
      </c>
      <c r="W2488" s="169" t="s">
        <v>8896</v>
      </c>
    </row>
    <row r="2489" spans="2:23" x14ac:dyDescent="0.25">
      <c r="B2489" s="169" t="s">
        <v>258</v>
      </c>
      <c r="C2489" s="169" t="s">
        <v>45</v>
      </c>
      <c r="D2489" s="169" t="s">
        <v>11064</v>
      </c>
      <c r="E2489" s="169" t="s">
        <v>61</v>
      </c>
      <c r="F2489" s="245" t="str">
        <f t="shared" si="155"/>
        <v>Dhoz 71</v>
      </c>
      <c r="G2489" s="169" t="s">
        <v>5703</v>
      </c>
      <c r="I2489" s="169" t="str">
        <f t="shared" si="158"/>
        <v>L10_DPVE_099E_DW</v>
      </c>
      <c r="J2489" t="s">
        <v>11063</v>
      </c>
      <c r="K2489" s="169">
        <f>IFERROR(MATCH(J2489,'Final List'!$B$4:$B$252,0),0)</f>
        <v>0</v>
      </c>
      <c r="L2489" s="169">
        <f>IFERROR(MATCH(J2489,'Final List'!$D$4:$D$252,0),0)</f>
        <v>0</v>
      </c>
      <c r="M2489" s="169">
        <f>IFERROR(MATCH(J2489,'Final List'!$F$4:$F$251,0),0)</f>
        <v>0</v>
      </c>
      <c r="N2489" s="169">
        <f>IFERROR(MATCH(J2489,'Final List'!$H$4:$H$252,0),0)</f>
        <v>0</v>
      </c>
      <c r="O2489" s="169">
        <f>IFERROR(MATCH(J2489,'Final List'!$J$4:$J$252,0),0)</f>
        <v>0</v>
      </c>
      <c r="P2489" s="169">
        <f>IFERROR(MATCH(J2489,'Final List'!$L$4:$L$252,0),0)</f>
        <v>0</v>
      </c>
      <c r="Q2489" s="169">
        <f>IFERROR(MATCH(J2489,'Final List'!$N$4:$N$252,0),0)</f>
        <v>0</v>
      </c>
      <c r="R2489" s="169">
        <f>IFERROR(MATCH(J2489,'Final List'!$P$4:$P$252,0),0)</f>
        <v>0</v>
      </c>
      <c r="S2489" s="169">
        <f t="shared" si="156"/>
        <v>0</v>
      </c>
      <c r="V2489" s="169" t="str">
        <f t="shared" si="157"/>
        <v>OLIVEROS 2</v>
      </c>
      <c r="W2489" s="169" t="s">
        <v>8896</v>
      </c>
    </row>
    <row r="2490" spans="2:23" x14ac:dyDescent="0.25">
      <c r="B2490" s="169" t="s">
        <v>95</v>
      </c>
      <c r="C2490" s="169" t="s">
        <v>45</v>
      </c>
      <c r="D2490" s="169" t="s">
        <v>140</v>
      </c>
      <c r="E2490" s="169" t="s">
        <v>60</v>
      </c>
      <c r="F2490" s="245" t="str">
        <f t="shared" si="155"/>
        <v>Dhoz 71</v>
      </c>
      <c r="G2490" s="169" t="s">
        <v>305</v>
      </c>
      <c r="I2490" s="169" t="str">
        <f t="shared" si="158"/>
        <v>L08_DPVE_005W_DE</v>
      </c>
      <c r="J2490" t="s">
        <v>11077</v>
      </c>
      <c r="K2490" s="169">
        <f>IFERROR(MATCH(J2490,'Final List'!$B$4:$B$252,0),0)</f>
        <v>0</v>
      </c>
      <c r="L2490" s="169">
        <f>IFERROR(MATCH(J2490,'Final List'!$D$4:$D$252,0),0)</f>
        <v>0</v>
      </c>
      <c r="M2490" s="169">
        <f>IFERROR(MATCH(J2490,'Final List'!$F$4:$F$251,0),0)</f>
        <v>0</v>
      </c>
      <c r="N2490" s="169">
        <f>IFERROR(MATCH(J2490,'Final List'!$H$4:$H$252,0),0)</f>
        <v>0</v>
      </c>
      <c r="O2490" s="169">
        <f>IFERROR(MATCH(J2490,'Final List'!$J$4:$J$252,0),0)</f>
        <v>0</v>
      </c>
      <c r="P2490" s="169">
        <f>IFERROR(MATCH(J2490,'Final List'!$L$4:$L$252,0),0)</f>
        <v>0</v>
      </c>
      <c r="Q2490" s="169">
        <f>IFERROR(MATCH(J2490,'Final List'!$N$4:$N$252,0),0)</f>
        <v>0</v>
      </c>
      <c r="R2490" s="169">
        <f>IFERROR(MATCH(J2490,'Final List'!$P$4:$P$252,0),0)</f>
        <v>0</v>
      </c>
      <c r="S2490" s="169">
        <f t="shared" si="156"/>
        <v>0</v>
      </c>
      <c r="V2490" s="169" t="str">
        <f t="shared" si="157"/>
        <v>CABONITA 1</v>
      </c>
      <c r="W2490" s="169" t="s">
        <v>8895</v>
      </c>
    </row>
    <row r="2491" spans="2:23" x14ac:dyDescent="0.25">
      <c r="B2491" s="169" t="s">
        <v>96</v>
      </c>
      <c r="C2491" s="169" t="s">
        <v>45</v>
      </c>
      <c r="D2491" s="169" t="s">
        <v>6114</v>
      </c>
      <c r="E2491" s="169" t="s">
        <v>221</v>
      </c>
      <c r="F2491" s="245" t="str">
        <f t="shared" si="155"/>
        <v>RobC 80</v>
      </c>
      <c r="G2491" s="169" t="s">
        <v>344</v>
      </c>
      <c r="I2491" s="169" t="str">
        <f t="shared" si="158"/>
        <v>L09_DPVE_078E_WINZE STOPE</v>
      </c>
      <c r="J2491" t="s">
        <v>11082</v>
      </c>
      <c r="K2491" s="169">
        <f>IFERROR(MATCH(J2491,'Final List'!$B$4:$B$252,0),0)</f>
        <v>0</v>
      </c>
      <c r="L2491" s="169">
        <f>IFERROR(MATCH(J2491,'Final List'!$D$4:$D$252,0),0)</f>
        <v>0</v>
      </c>
      <c r="M2491" s="169">
        <f>IFERROR(MATCH(J2491,'Final List'!$F$4:$F$251,0),0)</f>
        <v>0</v>
      </c>
      <c r="N2491" s="169">
        <f>IFERROR(MATCH(J2491,'Final List'!$H$4:$H$252,0),0)</f>
        <v>0</v>
      </c>
      <c r="O2491" s="169">
        <f>IFERROR(MATCH(J2491,'Final List'!$J$4:$J$252,0),0)</f>
        <v>0</v>
      </c>
      <c r="P2491" s="169">
        <f>IFERROR(MATCH(J2491,'Final List'!$L$4:$L$252,0),0)</f>
        <v>0</v>
      </c>
      <c r="Q2491" s="169">
        <f>IFERROR(MATCH(J2491,'Final List'!$N$4:$N$252,0),0)</f>
        <v>0</v>
      </c>
      <c r="R2491" s="169">
        <f>IFERROR(MATCH(J2491,'Final List'!$P$4:$P$252,0),0)</f>
        <v>0</v>
      </c>
      <c r="S2491" s="169">
        <f t="shared" si="156"/>
        <v>0</v>
      </c>
      <c r="T2491" s="169" t="s">
        <v>68</v>
      </c>
      <c r="V2491" s="169" t="str">
        <f t="shared" si="157"/>
        <v>UDLOS 1</v>
      </c>
      <c r="W2491" s="169" t="s">
        <v>2719</v>
      </c>
    </row>
    <row r="2492" spans="2:23" x14ac:dyDescent="0.25">
      <c r="B2492" s="169" t="s">
        <v>1167</v>
      </c>
      <c r="C2492" s="169" t="s">
        <v>38</v>
      </c>
      <c r="D2492" s="169" t="s">
        <v>169</v>
      </c>
      <c r="E2492" s="169" t="s">
        <v>36</v>
      </c>
      <c r="F2492" s="245" t="str">
        <f t="shared" si="155"/>
        <v>StpS 77</v>
      </c>
      <c r="G2492" s="169" t="s">
        <v>9885</v>
      </c>
      <c r="I2492" s="169" t="str">
        <f t="shared" si="158"/>
        <v>L12_GHV_065E_STOPE</v>
      </c>
      <c r="J2492" t="s">
        <v>11284</v>
      </c>
      <c r="K2492" s="169">
        <f>IFERROR(MATCH(J2492,'Final List'!$B$4:$B$252,0),0)</f>
        <v>0</v>
      </c>
      <c r="L2492" s="169">
        <f>IFERROR(MATCH(J2492,'Final List'!$D$4:$D$252,0),0)</f>
        <v>0</v>
      </c>
      <c r="M2492" s="169">
        <f>IFERROR(MATCH(J2492,'Final List'!$F$4:$F$251,0),0)</f>
        <v>0</v>
      </c>
      <c r="N2492" s="169">
        <f>IFERROR(MATCH(J2492,'Final List'!$H$4:$H$252,0),0)</f>
        <v>0</v>
      </c>
      <c r="O2492" s="169">
        <f>IFERROR(MATCH(J2492,'Final List'!$J$4:$J$252,0),0)</f>
        <v>0</v>
      </c>
      <c r="P2492" s="169">
        <f>IFERROR(MATCH(J2492,'Final List'!$L$4:$L$252,0),0)</f>
        <v>0</v>
      </c>
      <c r="Q2492" s="169">
        <f>IFERROR(MATCH(J2492,'Final List'!$N$4:$N$252,0),0)</f>
        <v>0</v>
      </c>
      <c r="R2492" s="169">
        <f>IFERROR(MATCH(J2492,'Final List'!$P$4:$P$252,0),0)</f>
        <v>0</v>
      </c>
      <c r="S2492" s="169">
        <f t="shared" si="156"/>
        <v>0</v>
      </c>
      <c r="T2492" s="169" t="s">
        <v>68</v>
      </c>
      <c r="V2492" s="169" t="str">
        <f t="shared" si="157"/>
        <v>CAYMAN 2</v>
      </c>
      <c r="W2492" s="169" t="s">
        <v>2713</v>
      </c>
    </row>
    <row r="2493" spans="2:23" x14ac:dyDescent="0.25">
      <c r="B2493" s="169" t="s">
        <v>1167</v>
      </c>
      <c r="C2493" s="169" t="s">
        <v>43</v>
      </c>
      <c r="D2493" s="169" t="s">
        <v>205</v>
      </c>
      <c r="E2493" s="169" t="s">
        <v>36</v>
      </c>
      <c r="F2493" s="245" t="str">
        <f t="shared" si="155"/>
        <v>StpS 77</v>
      </c>
      <c r="G2493" s="169" t="s">
        <v>14126</v>
      </c>
      <c r="I2493" s="169" t="str">
        <f t="shared" si="158"/>
        <v>L12_GHVSPLIT_066E_STOPE</v>
      </c>
      <c r="J2493" t="s">
        <v>11281</v>
      </c>
      <c r="K2493" s="169">
        <f>IFERROR(MATCH(J2493,'Final List'!$B$4:$B$252,0),0)</f>
        <v>0</v>
      </c>
      <c r="L2493" s="169">
        <f>IFERROR(MATCH(J2493,'Final List'!$D$4:$D$252,0),0)</f>
        <v>0</v>
      </c>
      <c r="M2493" s="169">
        <f>IFERROR(MATCH(J2493,'Final List'!$F$4:$F$251,0),0)</f>
        <v>0</v>
      </c>
      <c r="N2493" s="169">
        <f>IFERROR(MATCH(J2493,'Final List'!$H$4:$H$252,0),0)</f>
        <v>0</v>
      </c>
      <c r="O2493" s="169">
        <f>IFERROR(MATCH(J2493,'Final List'!$J$4:$J$252,0),0)</f>
        <v>0</v>
      </c>
      <c r="P2493" s="169">
        <f>IFERROR(MATCH(J2493,'Final List'!$L$4:$L$252,0),0)</f>
        <v>0</v>
      </c>
      <c r="Q2493" s="169">
        <f>IFERROR(MATCH(J2493,'Final List'!$N$4:$N$252,0),0)</f>
        <v>0</v>
      </c>
      <c r="R2493" s="169">
        <f>IFERROR(MATCH(J2493,'Final List'!$P$4:$P$252,0),0)</f>
        <v>0</v>
      </c>
      <c r="S2493" s="169">
        <f t="shared" si="156"/>
        <v>0</v>
      </c>
      <c r="T2493" s="169" t="s">
        <v>68</v>
      </c>
      <c r="V2493" s="169" t="str">
        <f t="shared" si="157"/>
        <v>HAGANAS</v>
      </c>
      <c r="W2493" s="169" t="s">
        <v>2713</v>
      </c>
    </row>
    <row r="2494" spans="2:23" x14ac:dyDescent="0.25">
      <c r="B2494" s="169" t="s">
        <v>1167</v>
      </c>
      <c r="C2494" s="169" t="s">
        <v>38</v>
      </c>
      <c r="D2494" s="169" t="s">
        <v>167</v>
      </c>
      <c r="E2494" s="169" t="s">
        <v>19</v>
      </c>
      <c r="F2494" s="245" t="str">
        <f t="shared" si="155"/>
        <v>DVR 72</v>
      </c>
      <c r="G2494" s="169" t="s">
        <v>10894</v>
      </c>
      <c r="H2494" s="169" t="s">
        <v>364</v>
      </c>
      <c r="I2494" s="169" t="str">
        <f t="shared" si="158"/>
        <v>L12_GHV_058E_RAISE</v>
      </c>
      <c r="J2494" t="s">
        <v>11084</v>
      </c>
      <c r="K2494" s="169">
        <f>IFERROR(MATCH(J2494,'Final List'!$B$4:$B$252,0),0)</f>
        <v>0</v>
      </c>
      <c r="L2494" s="169">
        <f>IFERROR(MATCH(J2494,'Final List'!$D$4:$D$252,0),0)</f>
        <v>0</v>
      </c>
      <c r="M2494" s="169">
        <f>IFERROR(MATCH(J2494,'Final List'!$F$4:$F$251,0),0)</f>
        <v>0</v>
      </c>
      <c r="N2494" s="169">
        <f>IFERROR(MATCH(J2494,'Final List'!$H$4:$H$252,0),0)</f>
        <v>0</v>
      </c>
      <c r="O2494" s="169">
        <f>IFERROR(MATCH(J2494,'Final List'!$J$4:$J$252,0),0)</f>
        <v>0</v>
      </c>
      <c r="P2494" s="169">
        <f>IFERROR(MATCH(J2494,'Final List'!$L$4:$L$252,0),0)</f>
        <v>0</v>
      </c>
      <c r="Q2494" s="169">
        <f>IFERROR(MATCH(J2494,'Final List'!$N$4:$N$252,0),0)</f>
        <v>0</v>
      </c>
      <c r="R2494" s="169">
        <f>IFERROR(MATCH(J2494,'Final List'!$P$4:$P$252,0),0)</f>
        <v>0</v>
      </c>
      <c r="S2494" s="169">
        <f t="shared" si="156"/>
        <v>0</v>
      </c>
      <c r="V2494" s="169" t="str">
        <f t="shared" si="157"/>
        <v>BABOR 3</v>
      </c>
      <c r="W2494" s="169" t="s">
        <v>2715</v>
      </c>
    </row>
    <row r="2495" spans="2:23" x14ac:dyDescent="0.25">
      <c r="B2495" s="169" t="s">
        <v>1167</v>
      </c>
      <c r="C2495" s="169" t="s">
        <v>87</v>
      </c>
      <c r="D2495" s="169" t="s">
        <v>172</v>
      </c>
      <c r="E2495" s="169" t="s">
        <v>63</v>
      </c>
      <c r="F2495" s="245" t="str">
        <f t="shared" si="155"/>
        <v>Dhoz 71</v>
      </c>
      <c r="G2495" s="169" t="s">
        <v>597</v>
      </c>
      <c r="I2495" s="169" t="str">
        <f t="shared" si="158"/>
        <v>L12_NONE_045E_XCS</v>
      </c>
      <c r="J2495" t="s">
        <v>11085</v>
      </c>
      <c r="K2495" s="169">
        <f>IFERROR(MATCH(J2495,'Final List'!$B$4:$B$252,0),0)</f>
        <v>0</v>
      </c>
      <c r="L2495" s="169">
        <f>IFERROR(MATCH(J2495,'Final List'!$D$4:$D$252,0),0)</f>
        <v>0</v>
      </c>
      <c r="M2495" s="169">
        <f>IFERROR(MATCH(J2495,'Final List'!$F$4:$F$251,0),0)</f>
        <v>0</v>
      </c>
      <c r="N2495" s="169">
        <f>IFERROR(MATCH(J2495,'Final List'!$H$4:$H$252,0),0)</f>
        <v>0</v>
      </c>
      <c r="O2495" s="169">
        <f>IFERROR(MATCH(J2495,'Final List'!$J$4:$J$252,0),0)</f>
        <v>0</v>
      </c>
      <c r="P2495" s="169">
        <f>IFERROR(MATCH(J2495,'Final List'!$L$4:$L$252,0),0)</f>
        <v>0</v>
      </c>
      <c r="Q2495" s="169">
        <f>IFERROR(MATCH(J2495,'Final List'!$N$4:$N$252,0),0)</f>
        <v>0</v>
      </c>
      <c r="R2495" s="169">
        <f>IFERROR(MATCH(J2495,'Final List'!$P$4:$P$252,0),0)</f>
        <v>0</v>
      </c>
      <c r="S2495" s="169">
        <f t="shared" si="156"/>
        <v>0</v>
      </c>
      <c r="V2495" s="169" t="str">
        <f t="shared" si="157"/>
        <v>PANCIT, NOEL 6</v>
      </c>
      <c r="W2495" s="169" t="s">
        <v>8898</v>
      </c>
    </row>
    <row r="2496" spans="2:23" x14ac:dyDescent="0.25">
      <c r="B2496" s="169" t="s">
        <v>1166</v>
      </c>
      <c r="C2496" s="169" t="s">
        <v>45</v>
      </c>
      <c r="D2496" s="169" t="s">
        <v>179</v>
      </c>
      <c r="E2496" s="169" t="s">
        <v>60</v>
      </c>
      <c r="F2496" s="245" t="str">
        <f t="shared" si="155"/>
        <v>Dhoz 71</v>
      </c>
      <c r="G2496" s="169" t="s">
        <v>6927</v>
      </c>
      <c r="I2496" s="169" t="str">
        <f t="shared" si="158"/>
        <v>L11_DPVE_050E_DE</v>
      </c>
      <c r="J2496" t="s">
        <v>11086</v>
      </c>
      <c r="K2496" s="169">
        <f>IFERROR(MATCH(J2496,'Final List'!$B$4:$B$252,0),0)</f>
        <v>0</v>
      </c>
      <c r="L2496" s="169">
        <f>IFERROR(MATCH(J2496,'Final List'!$D$4:$D$252,0),0)</f>
        <v>0</v>
      </c>
      <c r="M2496" s="169">
        <f>IFERROR(MATCH(J2496,'Final List'!$F$4:$F$251,0),0)</f>
        <v>0</v>
      </c>
      <c r="N2496" s="169">
        <f>IFERROR(MATCH(J2496,'Final List'!$H$4:$H$252,0),0)</f>
        <v>0</v>
      </c>
      <c r="O2496" s="169">
        <f>IFERROR(MATCH(J2496,'Final List'!$J$4:$J$252,0),0)</f>
        <v>0</v>
      </c>
      <c r="P2496" s="169">
        <f>IFERROR(MATCH(J2496,'Final List'!$L$4:$L$252,0),0)</f>
        <v>0</v>
      </c>
      <c r="Q2496" s="169">
        <f>IFERROR(MATCH(J2496,'Final List'!$N$4:$N$252,0),0)</f>
        <v>0</v>
      </c>
      <c r="R2496" s="169">
        <f>IFERROR(MATCH(J2496,'Final List'!$P$4:$P$252,0),0)</f>
        <v>0</v>
      </c>
      <c r="S2496" s="169">
        <f t="shared" si="156"/>
        <v>0</v>
      </c>
      <c r="V2496" s="169" t="str">
        <f t="shared" si="157"/>
        <v>DUHIG, R2</v>
      </c>
      <c r="W2496" s="169" t="s">
        <v>8896</v>
      </c>
    </row>
    <row r="2497" spans="2:23" x14ac:dyDescent="0.25">
      <c r="B2497" s="169" t="s">
        <v>1166</v>
      </c>
      <c r="C2497" s="169" t="s">
        <v>45</v>
      </c>
      <c r="D2497" s="169" t="s">
        <v>121</v>
      </c>
      <c r="E2497" s="169" t="s">
        <v>61</v>
      </c>
      <c r="F2497" s="245" t="str">
        <f t="shared" si="155"/>
        <v>Dhoz 71</v>
      </c>
      <c r="G2497" s="169" t="s">
        <v>353</v>
      </c>
      <c r="I2497" s="169" t="str">
        <f t="shared" si="158"/>
        <v>L11_DPVE_022E_DW</v>
      </c>
      <c r="J2497" t="s">
        <v>11095</v>
      </c>
      <c r="K2497" s="169">
        <f>IFERROR(MATCH(J2497,'Final List'!$B$4:$B$252,0),0)</f>
        <v>0</v>
      </c>
      <c r="L2497" s="169">
        <f>IFERROR(MATCH(J2497,'Final List'!$D$4:$D$252,0),0)</f>
        <v>0</v>
      </c>
      <c r="M2497" s="169">
        <f>IFERROR(MATCH(J2497,'Final List'!$F$4:$F$251,0),0)</f>
        <v>0</v>
      </c>
      <c r="N2497" s="169">
        <f>IFERROR(MATCH(J2497,'Final List'!$H$4:$H$252,0),0)</f>
        <v>0</v>
      </c>
      <c r="O2497" s="169">
        <f>IFERROR(MATCH(J2497,'Final List'!$J$4:$J$252,0),0)</f>
        <v>0</v>
      </c>
      <c r="P2497" s="169">
        <f>IFERROR(MATCH(J2497,'Final List'!$L$4:$L$252,0),0)</f>
        <v>0</v>
      </c>
      <c r="Q2497" s="169">
        <f>IFERROR(MATCH(J2497,'Final List'!$N$4:$N$252,0),0)</f>
        <v>0</v>
      </c>
      <c r="R2497" s="169">
        <f>IFERROR(MATCH(J2497,'Final List'!$P$4:$P$252,0),0)</f>
        <v>0</v>
      </c>
      <c r="S2497" s="169">
        <f t="shared" si="156"/>
        <v>0</v>
      </c>
      <c r="V2497" s="169" t="str">
        <f t="shared" si="157"/>
        <v>BAÑEZ 4</v>
      </c>
      <c r="W2497" s="169" t="s">
        <v>8896</v>
      </c>
    </row>
    <row r="2498" spans="2:23" x14ac:dyDescent="0.25">
      <c r="B2498" s="169" t="s">
        <v>1166</v>
      </c>
      <c r="C2498" s="169" t="s">
        <v>45</v>
      </c>
      <c r="D2498" s="169" t="s">
        <v>5975</v>
      </c>
      <c r="E2498" s="169" t="s">
        <v>211</v>
      </c>
      <c r="F2498" s="245" t="str">
        <f t="shared" si="155"/>
        <v>StpS 77</v>
      </c>
      <c r="G2498" s="169" t="s">
        <v>488</v>
      </c>
      <c r="H2498" s="169" t="s">
        <v>488</v>
      </c>
      <c r="I2498" s="169" t="str">
        <f t="shared" si="158"/>
        <v>L11_DPVE_028E_STOPE PREP</v>
      </c>
      <c r="J2498" t="s">
        <v>10990</v>
      </c>
      <c r="K2498" s="169">
        <f>IFERROR(MATCH(J2498,'Final List'!$B$4:$B$252,0),0)</f>
        <v>0</v>
      </c>
      <c r="L2498" s="169">
        <f>IFERROR(MATCH(J2498,'Final List'!$D$4:$D$252,0),0)</f>
        <v>0</v>
      </c>
      <c r="M2498" s="169">
        <f>IFERROR(MATCH(J2498,'Final List'!$F$4:$F$251,0),0)</f>
        <v>0</v>
      </c>
      <c r="N2498" s="169">
        <f>IFERROR(MATCH(J2498,'Final List'!$H$4:$H$252,0),0)</f>
        <v>0</v>
      </c>
      <c r="O2498" s="169">
        <f>IFERROR(MATCH(J2498,'Final List'!$J$4:$J$252,0),0)</f>
        <v>0</v>
      </c>
      <c r="P2498" s="169">
        <f>IFERROR(MATCH(J2498,'Final List'!$L$4:$L$252,0),0)</f>
        <v>0</v>
      </c>
      <c r="Q2498" s="169">
        <f>IFERROR(MATCH(J2498,'Final List'!$N$4:$N$252,0),0)</f>
        <v>0</v>
      </c>
      <c r="R2498" s="169">
        <f>IFERROR(MATCH(J2498,'Final List'!$P$4:$P$252,0),0)</f>
        <v>0</v>
      </c>
      <c r="S2498" s="169">
        <f t="shared" si="156"/>
        <v>0</v>
      </c>
      <c r="T2498" s="169" t="s">
        <v>68</v>
      </c>
      <c r="V2498" s="169" t="str">
        <f t="shared" si="157"/>
        <v>BAÑEZ 9</v>
      </c>
      <c r="W2498" s="169" t="s">
        <v>2712</v>
      </c>
    </row>
    <row r="2499" spans="2:23" x14ac:dyDescent="0.25">
      <c r="B2499" s="169" t="s">
        <v>1167</v>
      </c>
      <c r="C2499" s="169" t="s">
        <v>56</v>
      </c>
      <c r="D2499" s="169" t="s">
        <v>176</v>
      </c>
      <c r="E2499" s="169" t="s">
        <v>19</v>
      </c>
      <c r="F2499" s="245" t="str">
        <f t="shared" ref="F2499:F2562" si="159">IF(OR(E2499="XCN",E2499="DE",E2499="DW",E2499="DN",E2499="XCS",E2499="XCE",E2499="XCW",E2499="SUMP",E2499="BYPASS",E2499="CHAMBER",E2499="DRAIN HOLE",E2499="DRILLING CHAMBER",E2499="DE_ISL",E2499="DW_ISL",E2499="REHAB"),"Dhoz 71",IF(OR(E2499="RAISE",E2499="RAISE_ISL"),"DVR 72",IF(E2499="ALIMAK","DVA 73",IF(E2499="WINZE","DVW 74",IF(E2499="SHAFT","DVS 75",IF(AND(E2499="WINZE STOPE",T2499="S"),"RobC 80",IF(AND(E2499="STOPE",T2499="S"),"StpS 77",IF(AND(E2499="WINZE STOPE",T2499="L"),"RobC 80",IF(AND(E2499="STOPE",T2499="L"),"StpL 78",IF(AND(E2499="WINZE STOPE PREP",T2499="S"),"RobC 80",IF(AND(E2499="STOPE PREP",T2499="S"),"StpS 77",IF(AND(E2499="WINZE STOPE PREP",T2499="L"),"RobC 80",IF(AND(E2499="STOPE PREP",T2499="L"),"StpL 78",IF(AND(E2499="ROBBING",T2499="L"),"RobC 80",IF(AND(E2499="ROBBING",T2499="S"),"RobS 79",0)))))))))))))))</f>
        <v>DVR 72</v>
      </c>
      <c r="G2499" s="169" t="s">
        <v>10894</v>
      </c>
      <c r="I2499" s="169" t="str">
        <f t="shared" si="158"/>
        <v>L12_GHVFW_057E_RAISE</v>
      </c>
      <c r="J2499" t="s">
        <v>11097</v>
      </c>
      <c r="K2499" s="169">
        <f>IFERROR(MATCH(J2499,'Final List'!$B$4:$B$252,0),0)</f>
        <v>0</v>
      </c>
      <c r="L2499" s="169">
        <f>IFERROR(MATCH(J2499,'Final List'!$D$4:$D$252,0),0)</f>
        <v>0</v>
      </c>
      <c r="M2499" s="169">
        <f>IFERROR(MATCH(J2499,'Final List'!$F$4:$F$251,0),0)</f>
        <v>0</v>
      </c>
      <c r="N2499" s="169">
        <f>IFERROR(MATCH(J2499,'Final List'!$H$4:$H$252,0),0)</f>
        <v>0</v>
      </c>
      <c r="O2499" s="169">
        <f>IFERROR(MATCH(J2499,'Final List'!$J$4:$J$252,0),0)</f>
        <v>0</v>
      </c>
      <c r="P2499" s="169">
        <f>IFERROR(MATCH(J2499,'Final List'!$L$4:$L$252,0),0)</f>
        <v>0</v>
      </c>
      <c r="Q2499" s="169">
        <f>IFERROR(MATCH(J2499,'Final List'!$N$4:$N$252,0),0)</f>
        <v>0</v>
      </c>
      <c r="R2499" s="169">
        <f>IFERROR(MATCH(J2499,'Final List'!$P$4:$P$252,0),0)</f>
        <v>0</v>
      </c>
      <c r="S2499" s="169">
        <f t="shared" ref="S2499:S2562" si="160">SUM(K2499:R2499)</f>
        <v>0</v>
      </c>
      <c r="V2499" s="169" t="str">
        <f t="shared" si="157"/>
        <v>SHEPHERD BB 2</v>
      </c>
      <c r="W2499" s="169" t="s">
        <v>2715</v>
      </c>
    </row>
    <row r="2500" spans="2:23" x14ac:dyDescent="0.25">
      <c r="B2500" s="169" t="s">
        <v>258</v>
      </c>
      <c r="C2500" s="169" t="s">
        <v>45</v>
      </c>
      <c r="D2500" s="169" t="s">
        <v>9156</v>
      </c>
      <c r="E2500" s="169" t="s">
        <v>61</v>
      </c>
      <c r="F2500" s="245" t="str">
        <f t="shared" si="159"/>
        <v>Dhoz 71</v>
      </c>
      <c r="G2500" s="169" t="s">
        <v>13277</v>
      </c>
      <c r="I2500" s="169" t="str">
        <f t="shared" si="158"/>
        <v>L10_DPVE_092E_DW</v>
      </c>
      <c r="J2500" t="s">
        <v>11098</v>
      </c>
      <c r="K2500" s="169">
        <f>IFERROR(MATCH(J2500,'Final List'!$B$4:$B$252,0),0)</f>
        <v>0</v>
      </c>
      <c r="L2500" s="169">
        <f>IFERROR(MATCH(J2500,'Final List'!$D$4:$D$252,0),0)</f>
        <v>0</v>
      </c>
      <c r="M2500" s="169">
        <f>IFERROR(MATCH(J2500,'Final List'!$F$4:$F$251,0),0)</f>
        <v>0</v>
      </c>
      <c r="N2500" s="169">
        <f>IFERROR(MATCH(J2500,'Final List'!$H$4:$H$252,0),0)</f>
        <v>0</v>
      </c>
      <c r="O2500" s="169">
        <f>IFERROR(MATCH(J2500,'Final List'!$J$4:$J$252,0),0)</f>
        <v>0</v>
      </c>
      <c r="P2500" s="169">
        <f>IFERROR(MATCH(J2500,'Final List'!$L$4:$L$252,0),0)</f>
        <v>0</v>
      </c>
      <c r="Q2500" s="169">
        <f>IFERROR(MATCH(J2500,'Final List'!$N$4:$N$252,0),0)</f>
        <v>0</v>
      </c>
      <c r="R2500" s="169">
        <f>IFERROR(MATCH(J2500,'Final List'!$P$4:$P$252,0),0)</f>
        <v>0</v>
      </c>
      <c r="S2500" s="169">
        <f t="shared" si="160"/>
        <v>0</v>
      </c>
      <c r="V2500" s="169" t="str">
        <f t="shared" si="157"/>
        <v>NITRO CC</v>
      </c>
      <c r="W2500" s="169" t="s">
        <v>8896</v>
      </c>
    </row>
    <row r="2501" spans="2:23" x14ac:dyDescent="0.25">
      <c r="B2501" s="169" t="s">
        <v>258</v>
      </c>
      <c r="C2501" s="169" t="s">
        <v>87</v>
      </c>
      <c r="D2501" s="169" t="s">
        <v>10429</v>
      </c>
      <c r="E2501" s="169" t="s">
        <v>63</v>
      </c>
      <c r="F2501" s="245" t="str">
        <f t="shared" si="159"/>
        <v>Dhoz 71</v>
      </c>
      <c r="G2501" s="169" t="s">
        <v>5705</v>
      </c>
      <c r="I2501" s="169" t="str">
        <f t="shared" si="158"/>
        <v>L10_NONE_098E_XCS</v>
      </c>
      <c r="J2501" t="s">
        <v>11099</v>
      </c>
      <c r="K2501" s="169">
        <f>IFERROR(MATCH(J2501,'Final List'!$B$4:$B$252,0),0)</f>
        <v>0</v>
      </c>
      <c r="L2501" s="169">
        <f>IFERROR(MATCH(J2501,'Final List'!$D$4:$D$252,0),0)</f>
        <v>0</v>
      </c>
      <c r="M2501" s="169">
        <f>IFERROR(MATCH(J2501,'Final List'!$F$4:$F$251,0),0)</f>
        <v>0</v>
      </c>
      <c r="N2501" s="169">
        <f>IFERROR(MATCH(J2501,'Final List'!$H$4:$H$252,0),0)</f>
        <v>0</v>
      </c>
      <c r="O2501" s="169">
        <f>IFERROR(MATCH(J2501,'Final List'!$J$4:$J$252,0),0)</f>
        <v>0</v>
      </c>
      <c r="P2501" s="169">
        <f>IFERROR(MATCH(J2501,'Final List'!$L$4:$L$252,0),0)</f>
        <v>0</v>
      </c>
      <c r="Q2501" s="169">
        <f>IFERROR(MATCH(J2501,'Final List'!$N$4:$N$252,0),0)</f>
        <v>0</v>
      </c>
      <c r="R2501" s="169">
        <f>IFERROR(MATCH(J2501,'Final List'!$P$4:$P$252,0),0)</f>
        <v>0</v>
      </c>
      <c r="S2501" s="169">
        <f t="shared" si="160"/>
        <v>0</v>
      </c>
      <c r="V2501" s="169" t="str">
        <f t="shared" si="157"/>
        <v>OLIVEROS 4</v>
      </c>
      <c r="W2501" s="169" t="s">
        <v>8898</v>
      </c>
    </row>
    <row r="2502" spans="2:23" x14ac:dyDescent="0.25">
      <c r="B2502" s="169" t="s">
        <v>258</v>
      </c>
      <c r="C2502" s="169" t="s">
        <v>45</v>
      </c>
      <c r="D2502" s="169" t="s">
        <v>112</v>
      </c>
      <c r="E2502" s="169" t="s">
        <v>60</v>
      </c>
      <c r="F2502" s="245" t="str">
        <f t="shared" si="159"/>
        <v>Dhoz 71</v>
      </c>
      <c r="G2502" s="169" t="s">
        <v>10897</v>
      </c>
      <c r="I2502" s="169" t="str">
        <f t="shared" si="158"/>
        <v>L10_DPVE_018E_DE</v>
      </c>
      <c r="J2502" t="s">
        <v>11100</v>
      </c>
      <c r="K2502" s="169">
        <f>IFERROR(MATCH(J2502,'Final List'!$B$4:$B$252,0),0)</f>
        <v>0</v>
      </c>
      <c r="L2502" s="169">
        <f>IFERROR(MATCH(J2502,'Final List'!$D$4:$D$252,0),0)</f>
        <v>0</v>
      </c>
      <c r="M2502" s="169">
        <f>IFERROR(MATCH(J2502,'Final List'!$F$4:$F$251,0),0)</f>
        <v>0</v>
      </c>
      <c r="N2502" s="169">
        <f>IFERROR(MATCH(J2502,'Final List'!$H$4:$H$252,0),0)</f>
        <v>0</v>
      </c>
      <c r="O2502" s="169">
        <f>IFERROR(MATCH(J2502,'Final List'!$J$4:$J$252,0),0)</f>
        <v>0</v>
      </c>
      <c r="P2502" s="169">
        <f>IFERROR(MATCH(J2502,'Final List'!$L$4:$L$252,0),0)</f>
        <v>0</v>
      </c>
      <c r="Q2502" s="169">
        <f>IFERROR(MATCH(J2502,'Final List'!$N$4:$N$252,0),0)</f>
        <v>0</v>
      </c>
      <c r="R2502" s="169">
        <f>IFERROR(MATCH(J2502,'Final List'!$P$4:$P$252,0),0)</f>
        <v>0</v>
      </c>
      <c r="S2502" s="169">
        <f t="shared" si="160"/>
        <v>0</v>
      </c>
      <c r="V2502" s="169" t="str">
        <f t="shared" si="157"/>
        <v>SHEPHERD BC 3</v>
      </c>
      <c r="W2502" s="169" t="s">
        <v>8896</v>
      </c>
    </row>
    <row r="2503" spans="2:23" x14ac:dyDescent="0.25">
      <c r="B2503" s="169" t="s">
        <v>1166</v>
      </c>
      <c r="C2503" s="169" t="s">
        <v>38</v>
      </c>
      <c r="D2503" s="169" t="s">
        <v>5604</v>
      </c>
      <c r="E2503" s="169" t="s">
        <v>62</v>
      </c>
      <c r="F2503" s="245" t="str">
        <f t="shared" si="159"/>
        <v>RobS 79</v>
      </c>
      <c r="G2503" s="169" t="s">
        <v>5698</v>
      </c>
      <c r="I2503" s="169" t="str">
        <f t="shared" si="158"/>
        <v>L11_GHV_063E_ROBBING</v>
      </c>
      <c r="J2503" t="s">
        <v>11101</v>
      </c>
      <c r="K2503" s="169">
        <f>IFERROR(MATCH(J2503,'Final List'!$B$4:$B$252,0),0)</f>
        <v>0</v>
      </c>
      <c r="L2503" s="169">
        <f>IFERROR(MATCH(J2503,'Final List'!$D$4:$D$252,0),0)</f>
        <v>0</v>
      </c>
      <c r="M2503" s="169">
        <f>IFERROR(MATCH(J2503,'Final List'!$F$4:$F$251,0),0)</f>
        <v>0</v>
      </c>
      <c r="N2503" s="169">
        <f>IFERROR(MATCH(J2503,'Final List'!$H$4:$H$252,0),0)</f>
        <v>0</v>
      </c>
      <c r="O2503" s="169">
        <f>IFERROR(MATCH(J2503,'Final List'!$J$4:$J$252,0),0)</f>
        <v>0</v>
      </c>
      <c r="P2503" s="169">
        <f>IFERROR(MATCH(J2503,'Final List'!$L$4:$L$252,0),0)</f>
        <v>0</v>
      </c>
      <c r="Q2503" s="169">
        <f>IFERROR(MATCH(J2503,'Final List'!$N$4:$N$252,0),0)</f>
        <v>0</v>
      </c>
      <c r="R2503" s="169">
        <f>IFERROR(MATCH(J2503,'Final List'!$P$4:$P$252,0),0)</f>
        <v>0</v>
      </c>
      <c r="S2503" s="169">
        <f t="shared" si="160"/>
        <v>0</v>
      </c>
      <c r="T2503" s="169" t="s">
        <v>68</v>
      </c>
      <c r="V2503" s="169" t="str">
        <f t="shared" si="157"/>
        <v>PARAN 1</v>
      </c>
      <c r="W2503" s="169" t="s">
        <v>2707</v>
      </c>
    </row>
    <row r="2504" spans="2:23" x14ac:dyDescent="0.25">
      <c r="B2504" s="169" t="s">
        <v>1167</v>
      </c>
      <c r="C2504" s="169" t="s">
        <v>45</v>
      </c>
      <c r="D2504" s="169" t="s">
        <v>142</v>
      </c>
      <c r="E2504" s="169" t="s">
        <v>61</v>
      </c>
      <c r="F2504" s="245" t="str">
        <f t="shared" si="159"/>
        <v>Dhoz 71</v>
      </c>
      <c r="G2504" s="169" t="s">
        <v>10002</v>
      </c>
      <c r="I2504" s="169" t="str">
        <f t="shared" si="158"/>
        <v>L12_DPVE_038E_DW</v>
      </c>
      <c r="J2504" t="s">
        <v>11123</v>
      </c>
      <c r="K2504" s="169">
        <f>IFERROR(MATCH(J2504,'Final List'!$B$4:$B$252,0),0)</f>
        <v>0</v>
      </c>
      <c r="L2504" s="169">
        <f>IFERROR(MATCH(J2504,'Final List'!$D$4:$D$252,0),0)</f>
        <v>0</v>
      </c>
      <c r="M2504" s="169">
        <f>IFERROR(MATCH(J2504,'Final List'!$F$4:$F$251,0),0)</f>
        <v>0</v>
      </c>
      <c r="N2504" s="169">
        <f>IFERROR(MATCH(J2504,'Final List'!$H$4:$H$252,0),0)</f>
        <v>0</v>
      </c>
      <c r="O2504" s="169">
        <f>IFERROR(MATCH(J2504,'Final List'!$J$4:$J$252,0),0)</f>
        <v>0</v>
      </c>
      <c r="P2504" s="169">
        <f>IFERROR(MATCH(J2504,'Final List'!$L$4:$L$252,0),0)</f>
        <v>0</v>
      </c>
      <c r="Q2504" s="169">
        <f>IFERROR(MATCH(J2504,'Final List'!$N$4:$N$252,0),0)</f>
        <v>0</v>
      </c>
      <c r="R2504" s="169">
        <f>IFERROR(MATCH(J2504,'Final List'!$P$4:$P$252,0),0)</f>
        <v>0</v>
      </c>
      <c r="S2504" s="169">
        <f t="shared" si="160"/>
        <v>0</v>
      </c>
      <c r="V2504" s="169" t="str">
        <f t="shared" si="157"/>
        <v>CAYMAN 3</v>
      </c>
      <c r="W2504" s="169" t="s">
        <v>8896</v>
      </c>
    </row>
    <row r="2505" spans="2:23" x14ac:dyDescent="0.25">
      <c r="B2505" s="169" t="s">
        <v>96</v>
      </c>
      <c r="C2505" s="169" t="s">
        <v>45</v>
      </c>
      <c r="D2505" s="169" t="s">
        <v>8279</v>
      </c>
      <c r="E2505" s="169" t="s">
        <v>62</v>
      </c>
      <c r="F2505" s="245" t="str">
        <f t="shared" si="159"/>
        <v>RobS 79</v>
      </c>
      <c r="G2505" s="169" t="s">
        <v>349</v>
      </c>
      <c r="I2505" s="169" t="str">
        <f t="shared" si="158"/>
        <v>L09_DPVE_090E_ROBBING</v>
      </c>
      <c r="J2505" t="s">
        <v>11103</v>
      </c>
      <c r="K2505" s="169">
        <f>IFERROR(MATCH(J2505,'Final List'!$B$4:$B$252,0),0)</f>
        <v>0</v>
      </c>
      <c r="L2505" s="169">
        <f>IFERROR(MATCH(J2505,'Final List'!$D$4:$D$252,0),0)</f>
        <v>0</v>
      </c>
      <c r="M2505" s="169">
        <f>IFERROR(MATCH(J2505,'Final List'!$F$4:$F$251,0),0)</f>
        <v>0</v>
      </c>
      <c r="N2505" s="169">
        <f>IFERROR(MATCH(J2505,'Final List'!$H$4:$H$252,0),0)</f>
        <v>0</v>
      </c>
      <c r="O2505" s="169">
        <f>IFERROR(MATCH(J2505,'Final List'!$J$4:$J$252,0),0)</f>
        <v>0</v>
      </c>
      <c r="P2505" s="169">
        <f>IFERROR(MATCH(J2505,'Final List'!$L$4:$L$252,0),0)</f>
        <v>0</v>
      </c>
      <c r="Q2505" s="169">
        <f>IFERROR(MATCH(J2505,'Final List'!$N$4:$N$252,0),0)</f>
        <v>0</v>
      </c>
      <c r="R2505" s="169">
        <f>IFERROR(MATCH(J2505,'Final List'!$P$4:$P$252,0),0)</f>
        <v>0</v>
      </c>
      <c r="S2505" s="169">
        <f t="shared" si="160"/>
        <v>0</v>
      </c>
      <c r="T2505" s="169" t="s">
        <v>68</v>
      </c>
      <c r="V2505" s="169" t="str">
        <f t="shared" si="157"/>
        <v>QUIJANO 2</v>
      </c>
      <c r="W2505" s="169" t="s">
        <v>2707</v>
      </c>
    </row>
    <row r="2506" spans="2:23" x14ac:dyDescent="0.25">
      <c r="B2506" s="169" t="s">
        <v>8904</v>
      </c>
      <c r="C2506" s="169" t="s">
        <v>41</v>
      </c>
      <c r="D2506" s="169" t="s">
        <v>6710</v>
      </c>
      <c r="E2506" s="169" t="s">
        <v>62</v>
      </c>
      <c r="F2506" s="245" t="str">
        <f t="shared" si="159"/>
        <v>RobS 79</v>
      </c>
      <c r="G2506" s="169" t="s">
        <v>10885</v>
      </c>
      <c r="I2506" s="169" t="str">
        <f t="shared" si="158"/>
        <v>L03_CTV_018W_ROBBING</v>
      </c>
      <c r="J2506" t="s">
        <v>11104</v>
      </c>
      <c r="K2506" s="169">
        <f>IFERROR(MATCH(J2506,'Final List'!$B$4:$B$252,0),0)</f>
        <v>0</v>
      </c>
      <c r="L2506" s="169">
        <f>IFERROR(MATCH(J2506,'Final List'!$D$4:$D$252,0),0)</f>
        <v>0</v>
      </c>
      <c r="M2506" s="169">
        <f>IFERROR(MATCH(J2506,'Final List'!$F$4:$F$251,0),0)</f>
        <v>0</v>
      </c>
      <c r="N2506" s="169">
        <f>IFERROR(MATCH(J2506,'Final List'!$H$4:$H$252,0),0)</f>
        <v>0</v>
      </c>
      <c r="O2506" s="169">
        <f>IFERROR(MATCH(J2506,'Final List'!$J$4:$J$252,0),0)</f>
        <v>0</v>
      </c>
      <c r="P2506" s="169">
        <f>IFERROR(MATCH(J2506,'Final List'!$L$4:$L$252,0),0)</f>
        <v>0</v>
      </c>
      <c r="Q2506" s="169">
        <f>IFERROR(MATCH(J2506,'Final List'!$N$4:$N$252,0),0)</f>
        <v>0</v>
      </c>
      <c r="R2506" s="169">
        <f>IFERROR(MATCH(J2506,'Final List'!$P$4:$P$252,0),0)</f>
        <v>0</v>
      </c>
      <c r="S2506" s="169">
        <f t="shared" si="160"/>
        <v>0</v>
      </c>
      <c r="T2506" s="169" t="s">
        <v>68</v>
      </c>
      <c r="V2506" s="169" t="str">
        <f t="shared" si="157"/>
        <v>FERNANDEZ, RM 7</v>
      </c>
      <c r="W2506" s="169" t="s">
        <v>2707</v>
      </c>
    </row>
    <row r="2507" spans="2:23" x14ac:dyDescent="0.25">
      <c r="B2507" s="169" t="s">
        <v>258</v>
      </c>
      <c r="C2507" s="169" t="s">
        <v>59</v>
      </c>
      <c r="D2507" s="169" t="s">
        <v>218</v>
      </c>
      <c r="E2507" s="169" t="s">
        <v>62</v>
      </c>
      <c r="F2507" s="245" t="str">
        <f t="shared" si="159"/>
        <v>RobS 79</v>
      </c>
      <c r="G2507" s="169" t="s">
        <v>10889</v>
      </c>
      <c r="I2507" s="169" t="str">
        <f t="shared" si="158"/>
        <v>L10_GHVHW_062E_ROBBING</v>
      </c>
      <c r="J2507" t="s">
        <v>11109</v>
      </c>
      <c r="K2507" s="169">
        <f>IFERROR(MATCH(J2507,'Final List'!$B$4:$B$252,0),0)</f>
        <v>0</v>
      </c>
      <c r="L2507" s="169">
        <f>IFERROR(MATCH(J2507,'Final List'!$D$4:$D$252,0),0)</f>
        <v>0</v>
      </c>
      <c r="M2507" s="169">
        <f>IFERROR(MATCH(J2507,'Final List'!$F$4:$F$251,0),0)</f>
        <v>0</v>
      </c>
      <c r="N2507" s="169">
        <f>IFERROR(MATCH(J2507,'Final List'!$H$4:$H$252,0),0)</f>
        <v>0</v>
      </c>
      <c r="O2507" s="169">
        <f>IFERROR(MATCH(J2507,'Final List'!$J$4:$J$252,0),0)</f>
        <v>0</v>
      </c>
      <c r="P2507" s="169">
        <f>IFERROR(MATCH(J2507,'Final List'!$L$4:$L$252,0),0)</f>
        <v>0</v>
      </c>
      <c r="Q2507" s="169">
        <f>IFERROR(MATCH(J2507,'Final List'!$N$4:$N$252,0),0)</f>
        <v>0</v>
      </c>
      <c r="R2507" s="169">
        <f>IFERROR(MATCH(J2507,'Final List'!$P$4:$P$252,0),0)</f>
        <v>0</v>
      </c>
      <c r="S2507" s="169">
        <f t="shared" si="160"/>
        <v>0</v>
      </c>
      <c r="T2507" s="169" t="s">
        <v>68</v>
      </c>
      <c r="V2507" s="169" t="str">
        <f t="shared" si="157"/>
        <v>LARGO 4</v>
      </c>
      <c r="W2507" s="169" t="s">
        <v>2707</v>
      </c>
    </row>
    <row r="2508" spans="2:23" x14ac:dyDescent="0.25">
      <c r="B2508" s="295" t="s">
        <v>1166</v>
      </c>
      <c r="C2508" s="169" t="s">
        <v>45</v>
      </c>
      <c r="D2508" s="169" t="s">
        <v>5975</v>
      </c>
      <c r="E2508" s="169" t="s">
        <v>36</v>
      </c>
      <c r="F2508" s="245" t="str">
        <f t="shared" si="159"/>
        <v>StpS 77</v>
      </c>
      <c r="G2508" s="169" t="s">
        <v>488</v>
      </c>
      <c r="H2508" s="169" t="s">
        <v>355</v>
      </c>
      <c r="I2508" s="169" t="str">
        <f t="shared" si="158"/>
        <v>L11_DPVE_028E_STOPE</v>
      </c>
      <c r="J2508" t="s">
        <v>11114</v>
      </c>
      <c r="K2508" s="169">
        <f>IFERROR(MATCH(J2508,'Final List'!$B$4:$B$252,0),0)</f>
        <v>0</v>
      </c>
      <c r="L2508" s="169">
        <f>IFERROR(MATCH(J2508,'Final List'!$D$4:$D$252,0),0)</f>
        <v>0</v>
      </c>
      <c r="M2508" s="169">
        <f>IFERROR(MATCH(J2508,'Final List'!$F$4:$F$251,0),0)</f>
        <v>0</v>
      </c>
      <c r="N2508" s="169">
        <f>IFERROR(MATCH(J2508,'Final List'!$H$4:$H$252,0),0)</f>
        <v>0</v>
      </c>
      <c r="O2508" s="169">
        <f>IFERROR(MATCH(J2508,'Final List'!$J$4:$J$252,0),0)</f>
        <v>0</v>
      </c>
      <c r="P2508" s="169">
        <f>IFERROR(MATCH(J2508,'Final List'!$L$4:$L$252,0),0)</f>
        <v>0</v>
      </c>
      <c r="Q2508" s="169">
        <f>IFERROR(MATCH(J2508,'Final List'!$N$4:$N$252,0),0)</f>
        <v>0</v>
      </c>
      <c r="R2508" s="169">
        <f>IFERROR(MATCH(J2508,'Final List'!$P$4:$P$252,0),0)</f>
        <v>0</v>
      </c>
      <c r="S2508" s="169">
        <f t="shared" si="160"/>
        <v>0</v>
      </c>
      <c r="T2508" s="169" t="s">
        <v>68</v>
      </c>
      <c r="V2508" s="169" t="str">
        <f t="shared" si="157"/>
        <v>BAÑEZ 2</v>
      </c>
      <c r="W2508" s="169" t="s">
        <v>2713</v>
      </c>
    </row>
    <row r="2509" spans="2:23" x14ac:dyDescent="0.25">
      <c r="B2509" s="169" t="s">
        <v>1166</v>
      </c>
      <c r="C2509" s="169" t="s">
        <v>45</v>
      </c>
      <c r="D2509" s="169" t="s">
        <v>141</v>
      </c>
      <c r="E2509" s="169" t="s">
        <v>36</v>
      </c>
      <c r="F2509" s="245" t="str">
        <f t="shared" si="159"/>
        <v>StpS 77</v>
      </c>
      <c r="G2509" s="169" t="s">
        <v>4155</v>
      </c>
      <c r="I2509" s="169" t="str">
        <f t="shared" si="158"/>
        <v>L11_DPVE_029E_STOPE</v>
      </c>
      <c r="J2509" t="s">
        <v>11116</v>
      </c>
      <c r="K2509" s="169">
        <f>IFERROR(MATCH(J2509,'Final List'!$B$4:$B$252,0),0)</f>
        <v>0</v>
      </c>
      <c r="L2509" s="169">
        <f>IFERROR(MATCH(J2509,'Final List'!$D$4:$D$252,0),0)</f>
        <v>0</v>
      </c>
      <c r="M2509" s="169">
        <f>IFERROR(MATCH(J2509,'Final List'!$F$4:$F$251,0),0)</f>
        <v>0</v>
      </c>
      <c r="N2509" s="169">
        <f>IFERROR(MATCH(J2509,'Final List'!$H$4:$H$252,0),0)</f>
        <v>0</v>
      </c>
      <c r="O2509" s="169">
        <f>IFERROR(MATCH(J2509,'Final List'!$J$4:$J$252,0),0)</f>
        <v>0</v>
      </c>
      <c r="P2509" s="169">
        <f>IFERROR(MATCH(J2509,'Final List'!$L$4:$L$252,0),0)</f>
        <v>0</v>
      </c>
      <c r="Q2509" s="169">
        <f>IFERROR(MATCH(J2509,'Final List'!$N$4:$N$252,0),0)</f>
        <v>0</v>
      </c>
      <c r="R2509" s="169">
        <f>IFERROR(MATCH(J2509,'Final List'!$P$4:$P$252,0),0)</f>
        <v>0</v>
      </c>
      <c r="S2509" s="169">
        <f t="shared" si="160"/>
        <v>0</v>
      </c>
      <c r="T2509" s="169" t="s">
        <v>68</v>
      </c>
      <c r="V2509" s="169" t="str">
        <f t="shared" si="157"/>
        <v>BAÑEZ</v>
      </c>
      <c r="W2509" s="169" t="s">
        <v>2713</v>
      </c>
    </row>
    <row r="2510" spans="2:23" x14ac:dyDescent="0.25">
      <c r="B2510" s="169" t="s">
        <v>258</v>
      </c>
      <c r="C2510" s="169" t="s">
        <v>43</v>
      </c>
      <c r="D2510" s="169" t="s">
        <v>146</v>
      </c>
      <c r="E2510" s="169" t="s">
        <v>61</v>
      </c>
      <c r="F2510" s="245" t="str">
        <f t="shared" si="159"/>
        <v>Dhoz 71</v>
      </c>
      <c r="G2510" s="169" t="s">
        <v>5701</v>
      </c>
      <c r="I2510" s="169" t="str">
        <f t="shared" si="158"/>
        <v>L10_GHVSPLIT_030E_DW</v>
      </c>
      <c r="J2510" t="s">
        <v>11119</v>
      </c>
      <c r="K2510" s="169">
        <f>IFERROR(MATCH(J2510,'Final List'!$B$4:$B$252,0),0)</f>
        <v>0</v>
      </c>
      <c r="L2510" s="169">
        <f>IFERROR(MATCH(J2510,'Final List'!$D$4:$D$252,0),0)</f>
        <v>0</v>
      </c>
      <c r="M2510" s="169">
        <f>IFERROR(MATCH(J2510,'Final List'!$F$4:$F$251,0),0)</f>
        <v>0</v>
      </c>
      <c r="N2510" s="169">
        <f>IFERROR(MATCH(J2510,'Final List'!$H$4:$H$252,0),0)</f>
        <v>0</v>
      </c>
      <c r="O2510" s="169">
        <f>IFERROR(MATCH(J2510,'Final List'!$J$4:$J$252,0),0)</f>
        <v>0</v>
      </c>
      <c r="P2510" s="169">
        <f>IFERROR(MATCH(J2510,'Final List'!$L$4:$L$252,0),0)</f>
        <v>0</v>
      </c>
      <c r="Q2510" s="169">
        <f>IFERROR(MATCH(J2510,'Final List'!$N$4:$N$252,0),0)</f>
        <v>0</v>
      </c>
      <c r="R2510" s="169">
        <f>IFERROR(MATCH(J2510,'Final List'!$P$4:$P$252,0),0)</f>
        <v>0</v>
      </c>
      <c r="S2510" s="169">
        <f t="shared" si="160"/>
        <v>0</v>
      </c>
      <c r="V2510" s="169" t="str">
        <f t="shared" si="157"/>
        <v>LARGO 2</v>
      </c>
      <c r="W2510" s="169" t="s">
        <v>8896</v>
      </c>
    </row>
    <row r="2511" spans="2:23" ht="15.75" customHeight="1" x14ac:dyDescent="0.25">
      <c r="B2511" s="169" t="s">
        <v>1166</v>
      </c>
      <c r="C2511" s="169" t="s">
        <v>56</v>
      </c>
      <c r="D2511" s="169" t="s">
        <v>122</v>
      </c>
      <c r="E2511" s="169" t="s">
        <v>19</v>
      </c>
      <c r="F2511" s="245" t="str">
        <f t="shared" si="159"/>
        <v>DVR 72</v>
      </c>
      <c r="G2511" s="169" t="s">
        <v>474</v>
      </c>
      <c r="I2511" s="169" t="str">
        <f t="shared" si="158"/>
        <v>L11_GHVFW_025E_RAISE</v>
      </c>
      <c r="J2511" t="s">
        <v>11120</v>
      </c>
      <c r="K2511" s="169">
        <f>IFERROR(MATCH(J2511,'Final List'!$B$4:$B$252,0),0)</f>
        <v>0</v>
      </c>
      <c r="L2511" s="169">
        <f>IFERROR(MATCH(J2511,'Final List'!$D$4:$D$252,0),0)</f>
        <v>0</v>
      </c>
      <c r="M2511" s="169">
        <f>IFERROR(MATCH(J2511,'Final List'!$F$4:$F$251,0),0)</f>
        <v>0</v>
      </c>
      <c r="N2511" s="169">
        <f>IFERROR(MATCH(J2511,'Final List'!$H$4:$H$252,0),0)</f>
        <v>0</v>
      </c>
      <c r="O2511" s="169">
        <f>IFERROR(MATCH(J2511,'Final List'!$J$4:$J$252,0),0)</f>
        <v>0</v>
      </c>
      <c r="P2511" s="169">
        <f>IFERROR(MATCH(J2511,'Final List'!$L$4:$L$252,0),0)</f>
        <v>0</v>
      </c>
      <c r="Q2511" s="169">
        <f>IFERROR(MATCH(J2511,'Final List'!$N$4:$N$252,0),0)</f>
        <v>0</v>
      </c>
      <c r="R2511" s="169">
        <f>IFERROR(MATCH(J2511,'Final List'!$P$4:$P$252,0),0)</f>
        <v>0</v>
      </c>
      <c r="S2511" s="169">
        <f t="shared" si="160"/>
        <v>0</v>
      </c>
      <c r="V2511" s="169" t="str">
        <f t="shared" si="157"/>
        <v>TORMIS 1</v>
      </c>
      <c r="W2511" s="169" t="s">
        <v>2715</v>
      </c>
    </row>
    <row r="2512" spans="2:23" ht="14.25" customHeight="1" x14ac:dyDescent="0.25">
      <c r="B2512" s="169" t="s">
        <v>1167</v>
      </c>
      <c r="C2512" s="169" t="s">
        <v>87</v>
      </c>
      <c r="D2512" s="169" t="s">
        <v>168</v>
      </c>
      <c r="E2512" s="169" t="s">
        <v>63</v>
      </c>
      <c r="F2512" s="245" t="str">
        <f t="shared" si="159"/>
        <v>Dhoz 71</v>
      </c>
      <c r="G2512" s="169" t="s">
        <v>6930</v>
      </c>
      <c r="H2512" s="169" t="s">
        <v>12063</v>
      </c>
      <c r="I2512" s="169" t="str">
        <f t="shared" si="158"/>
        <v>L12_NONE_047E_XCS</v>
      </c>
      <c r="J2512" t="s">
        <v>11127</v>
      </c>
      <c r="K2512" s="169">
        <f>IFERROR(MATCH(J2512,'Final List'!$B$4:$B$252,0),0)</f>
        <v>0</v>
      </c>
      <c r="L2512" s="169">
        <f>IFERROR(MATCH(J2512,'Final List'!$D$4:$D$252,0),0)</f>
        <v>0</v>
      </c>
      <c r="M2512" s="169">
        <f>IFERROR(MATCH(J2512,'Final List'!$F$4:$F$251,0),0)</f>
        <v>0</v>
      </c>
      <c r="N2512" s="169">
        <f>IFERROR(MATCH(J2512,'Final List'!$H$4:$H$252,0),0)</f>
        <v>0</v>
      </c>
      <c r="O2512" s="169">
        <f>IFERROR(MATCH(J2512,'Final List'!$J$4:$J$252,0),0)</f>
        <v>0</v>
      </c>
      <c r="P2512" s="169">
        <f>IFERROR(MATCH(J2512,'Final List'!$L$4:$L$252,0),0)</f>
        <v>0</v>
      </c>
      <c r="Q2512" s="169">
        <f>IFERROR(MATCH(J2512,'Final List'!$N$4:$N$252,0),0)</f>
        <v>0</v>
      </c>
      <c r="R2512" s="169">
        <f>IFERROR(MATCH(J2512,'Final List'!$P$4:$P$252,0),0)</f>
        <v>0</v>
      </c>
      <c r="S2512" s="169">
        <f t="shared" si="160"/>
        <v>0</v>
      </c>
      <c r="V2512" s="169" t="str">
        <f t="shared" si="157"/>
        <v>NITRO AT 1</v>
      </c>
      <c r="W2512" s="169" t="s">
        <v>8898</v>
      </c>
    </row>
    <row r="2513" spans="2:23" x14ac:dyDescent="0.25">
      <c r="B2513" s="169" t="s">
        <v>95</v>
      </c>
      <c r="C2513" s="169" t="s">
        <v>45</v>
      </c>
      <c r="D2513" s="169" t="s">
        <v>147</v>
      </c>
      <c r="E2513" s="169" t="s">
        <v>62</v>
      </c>
      <c r="F2513" s="245" t="str">
        <f t="shared" si="159"/>
        <v>RobS 79</v>
      </c>
      <c r="G2513" s="169" t="s">
        <v>9753</v>
      </c>
      <c r="I2513" s="169" t="str">
        <f t="shared" si="158"/>
        <v>L08_DPVE_024E_ROBBING</v>
      </c>
      <c r="J2513" t="s">
        <v>11128</v>
      </c>
      <c r="K2513" s="169">
        <f>IFERROR(MATCH(J2513,'Final List'!$B$4:$B$252,0),0)</f>
        <v>0</v>
      </c>
      <c r="L2513" s="169">
        <f>IFERROR(MATCH(J2513,'Final List'!$D$4:$D$252,0),0)</f>
        <v>0</v>
      </c>
      <c r="M2513" s="169">
        <f>IFERROR(MATCH(J2513,'Final List'!$F$4:$F$251,0),0)</f>
        <v>0</v>
      </c>
      <c r="N2513" s="169">
        <f>IFERROR(MATCH(J2513,'Final List'!$H$4:$H$252,0),0)</f>
        <v>0</v>
      </c>
      <c r="O2513" s="169">
        <f>IFERROR(MATCH(J2513,'Final List'!$J$4:$J$252,0),0)</f>
        <v>0</v>
      </c>
      <c r="P2513" s="169">
        <f>IFERROR(MATCH(J2513,'Final List'!$L$4:$L$252,0),0)</f>
        <v>0</v>
      </c>
      <c r="Q2513" s="169">
        <f>IFERROR(MATCH(J2513,'Final List'!$N$4:$N$252,0),0)</f>
        <v>0</v>
      </c>
      <c r="R2513" s="169">
        <f>IFERROR(MATCH(J2513,'Final List'!$P$4:$P$252,0),0)</f>
        <v>0</v>
      </c>
      <c r="S2513" s="169">
        <f t="shared" si="160"/>
        <v>0</v>
      </c>
      <c r="T2513" s="169" t="s">
        <v>68</v>
      </c>
      <c r="V2513" s="169" t="str">
        <f t="shared" si="157"/>
        <v>CAPUYAN 2</v>
      </c>
      <c r="W2513" s="169" t="s">
        <v>2707</v>
      </c>
    </row>
    <row r="2514" spans="2:23" x14ac:dyDescent="0.25">
      <c r="B2514" s="169" t="s">
        <v>258</v>
      </c>
      <c r="C2514" s="169" t="s">
        <v>55</v>
      </c>
      <c r="D2514" s="169" t="s">
        <v>164</v>
      </c>
      <c r="E2514" s="169" t="s">
        <v>62</v>
      </c>
      <c r="F2514" s="245" t="str">
        <f t="shared" si="159"/>
        <v>RobS 79</v>
      </c>
      <c r="G2514" s="169" t="s">
        <v>9964</v>
      </c>
      <c r="I2514" s="169" t="str">
        <f t="shared" si="158"/>
        <v>L10_JVFW_064E_ROBBING</v>
      </c>
      <c r="J2514" t="s">
        <v>11130</v>
      </c>
      <c r="K2514" s="169">
        <f>IFERROR(MATCH(J2514,'Final List'!$B$4:$B$252,0),0)</f>
        <v>0</v>
      </c>
      <c r="L2514" s="169">
        <f>IFERROR(MATCH(J2514,'Final List'!$D$4:$D$252,0),0)</f>
        <v>0</v>
      </c>
      <c r="M2514" s="169">
        <f>IFERROR(MATCH(J2514,'Final List'!$F$4:$F$251,0),0)</f>
        <v>0</v>
      </c>
      <c r="N2514" s="169">
        <f>IFERROR(MATCH(J2514,'Final List'!$H$4:$H$252,0),0)</f>
        <v>0</v>
      </c>
      <c r="O2514" s="169">
        <f>IFERROR(MATCH(J2514,'Final List'!$J$4:$J$252,0),0)</f>
        <v>0</v>
      </c>
      <c r="P2514" s="169">
        <f>IFERROR(MATCH(J2514,'Final List'!$L$4:$L$252,0),0)</f>
        <v>0</v>
      </c>
      <c r="Q2514" s="169">
        <f>IFERROR(MATCH(J2514,'Final List'!$N$4:$N$252,0),0)</f>
        <v>0</v>
      </c>
      <c r="R2514" s="169">
        <f>IFERROR(MATCH(J2514,'Final List'!$P$4:$P$252,0),0)</f>
        <v>0</v>
      </c>
      <c r="S2514" s="169">
        <f t="shared" si="160"/>
        <v>0</v>
      </c>
      <c r="T2514" s="169" t="s">
        <v>68</v>
      </c>
      <c r="V2514" s="169" t="str">
        <f t="shared" si="157"/>
        <v>SHEPHERD BA</v>
      </c>
      <c r="W2514" s="169" t="s">
        <v>2707</v>
      </c>
    </row>
    <row r="2515" spans="2:23" x14ac:dyDescent="0.25">
      <c r="B2515" s="169" t="s">
        <v>258</v>
      </c>
      <c r="C2515" s="169" t="s">
        <v>45</v>
      </c>
      <c r="D2515" s="169" t="s">
        <v>121</v>
      </c>
      <c r="E2515" s="169" t="s">
        <v>62</v>
      </c>
      <c r="F2515" s="245" t="str">
        <f t="shared" si="159"/>
        <v>RobS 79</v>
      </c>
      <c r="G2515" s="169" t="s">
        <v>10892</v>
      </c>
      <c r="I2515" s="169" t="str">
        <f t="shared" si="158"/>
        <v>L10_DPVE_022E_ROBBING</v>
      </c>
      <c r="J2515" t="s">
        <v>11131</v>
      </c>
      <c r="K2515" s="169">
        <f>IFERROR(MATCH(J2515,'Final List'!$B$4:$B$252,0),0)</f>
        <v>0</v>
      </c>
      <c r="L2515" s="169">
        <f>IFERROR(MATCH(J2515,'Final List'!$D$4:$D$252,0),0)</f>
        <v>0</v>
      </c>
      <c r="M2515" s="169">
        <f>IFERROR(MATCH(J2515,'Final List'!$F$4:$F$251,0),0)</f>
        <v>0</v>
      </c>
      <c r="N2515" s="169">
        <f>IFERROR(MATCH(J2515,'Final List'!$H$4:$H$252,0),0)</f>
        <v>0</v>
      </c>
      <c r="O2515" s="169">
        <f>IFERROR(MATCH(J2515,'Final List'!$J$4:$J$252,0),0)</f>
        <v>0</v>
      </c>
      <c r="P2515" s="169">
        <f>IFERROR(MATCH(J2515,'Final List'!$L$4:$L$252,0),0)</f>
        <v>0</v>
      </c>
      <c r="Q2515" s="169">
        <f>IFERROR(MATCH(J2515,'Final List'!$N$4:$N$252,0),0)</f>
        <v>0</v>
      </c>
      <c r="R2515" s="169">
        <f>IFERROR(MATCH(J2515,'Final List'!$P$4:$P$252,0),0)</f>
        <v>0</v>
      </c>
      <c r="S2515" s="169">
        <f t="shared" si="160"/>
        <v>0</v>
      </c>
      <c r="T2515" s="169" t="s">
        <v>68</v>
      </c>
      <c r="V2515" s="169" t="str">
        <f t="shared" si="157"/>
        <v>SHEPHERD BA 3</v>
      </c>
      <c r="W2515" s="169" t="s">
        <v>2707</v>
      </c>
    </row>
    <row r="2516" spans="2:23" x14ac:dyDescent="0.25">
      <c r="B2516" s="169" t="s">
        <v>258</v>
      </c>
      <c r="C2516" s="169" t="s">
        <v>43</v>
      </c>
      <c r="D2516" s="169" t="s">
        <v>130</v>
      </c>
      <c r="E2516" s="169" t="s">
        <v>19</v>
      </c>
      <c r="F2516" s="245" t="str">
        <f t="shared" si="159"/>
        <v>DVR 72</v>
      </c>
      <c r="G2516" s="169" t="s">
        <v>10805</v>
      </c>
      <c r="H2516" s="169" t="s">
        <v>10889</v>
      </c>
      <c r="I2516" s="169" t="str">
        <f t="shared" si="158"/>
        <v>L10_GHVSPLIT_036E_RAISE</v>
      </c>
      <c r="J2516" t="s">
        <v>11135</v>
      </c>
      <c r="K2516" s="169">
        <f>IFERROR(MATCH(J2516,'Final List'!$B$4:$B$252,0),0)</f>
        <v>0</v>
      </c>
      <c r="L2516" s="169">
        <f>IFERROR(MATCH(J2516,'Final List'!$D$4:$D$252,0),0)</f>
        <v>0</v>
      </c>
      <c r="M2516" s="169">
        <f>IFERROR(MATCH(J2516,'Final List'!$F$4:$F$251,0),0)</f>
        <v>0</v>
      </c>
      <c r="N2516" s="169">
        <f>IFERROR(MATCH(J2516,'Final List'!$H$4:$H$252,0),0)</f>
        <v>0</v>
      </c>
      <c r="O2516" s="169">
        <f>IFERROR(MATCH(J2516,'Final List'!$J$4:$J$252,0),0)</f>
        <v>0</v>
      </c>
      <c r="P2516" s="169">
        <f>IFERROR(MATCH(J2516,'Final List'!$L$4:$L$252,0),0)</f>
        <v>0</v>
      </c>
      <c r="Q2516" s="169">
        <f>IFERROR(MATCH(J2516,'Final List'!$N$4:$N$252,0),0)</f>
        <v>0</v>
      </c>
      <c r="R2516" s="169">
        <f>IFERROR(MATCH(J2516,'Final List'!$P$4:$P$252,0),0)</f>
        <v>0</v>
      </c>
      <c r="S2516" s="169">
        <f t="shared" si="160"/>
        <v>0</v>
      </c>
      <c r="V2516" s="169" t="str">
        <f t="shared" si="157"/>
        <v>LARGO 4</v>
      </c>
      <c r="W2516" s="169" t="s">
        <v>2715</v>
      </c>
    </row>
    <row r="2517" spans="2:23" x14ac:dyDescent="0.25">
      <c r="B2517" s="169" t="s">
        <v>1166</v>
      </c>
      <c r="C2517" s="169" t="s">
        <v>45</v>
      </c>
      <c r="D2517" s="169" t="s">
        <v>144</v>
      </c>
      <c r="E2517" s="169" t="s">
        <v>60</v>
      </c>
      <c r="F2517" s="245" t="str">
        <f t="shared" si="159"/>
        <v>Dhoz 71</v>
      </c>
      <c r="G2517" s="169" t="s">
        <v>6825</v>
      </c>
      <c r="I2517" s="169" t="str">
        <f t="shared" si="158"/>
        <v>L11_DPVE_043E_DE</v>
      </c>
      <c r="J2517" t="s">
        <v>11145</v>
      </c>
      <c r="K2517" s="169">
        <f>IFERROR(MATCH(J2517,'Final List'!$B$4:$B$252,0),0)</f>
        <v>0</v>
      </c>
      <c r="L2517" s="169">
        <f>IFERROR(MATCH(J2517,'Final List'!$D$4:$D$252,0),0)</f>
        <v>0</v>
      </c>
      <c r="M2517" s="169">
        <f>IFERROR(MATCH(J2517,'Final List'!$F$4:$F$251,0),0)</f>
        <v>0</v>
      </c>
      <c r="N2517" s="169">
        <f>IFERROR(MATCH(J2517,'Final List'!$H$4:$H$252,0),0)</f>
        <v>0</v>
      </c>
      <c r="O2517" s="169">
        <f>IFERROR(MATCH(J2517,'Final List'!$J$4:$J$252,0),0)</f>
        <v>0</v>
      </c>
      <c r="P2517" s="169">
        <f>IFERROR(MATCH(J2517,'Final List'!$L$4:$L$252,0),0)</f>
        <v>0</v>
      </c>
      <c r="Q2517" s="169">
        <f>IFERROR(MATCH(J2517,'Final List'!$N$4:$N$252,0),0)</f>
        <v>0</v>
      </c>
      <c r="R2517" s="169">
        <f>IFERROR(MATCH(J2517,'Final List'!$P$4:$P$252,0),0)</f>
        <v>0</v>
      </c>
      <c r="S2517" s="169">
        <f t="shared" si="160"/>
        <v>0</v>
      </c>
      <c r="V2517" s="169" t="str">
        <f t="shared" ref="V2517:V2580" si="161">IF(H2517="",G2517,H2517)</f>
        <v>BANEZ 1</v>
      </c>
      <c r="W2517" s="169" t="s">
        <v>8896</v>
      </c>
    </row>
    <row r="2518" spans="2:23" x14ac:dyDescent="0.25">
      <c r="B2518" s="169" t="s">
        <v>258</v>
      </c>
      <c r="C2518" s="169" t="s">
        <v>45</v>
      </c>
      <c r="D2518" s="169" t="s">
        <v>5742</v>
      </c>
      <c r="E2518" s="169" t="s">
        <v>62</v>
      </c>
      <c r="F2518" s="245" t="str">
        <f t="shared" si="159"/>
        <v>RobS 79</v>
      </c>
      <c r="G2518" s="169" t="s">
        <v>317</v>
      </c>
      <c r="I2518" s="169" t="str">
        <f t="shared" si="158"/>
        <v>L10_DPVE_040E_ROBBING</v>
      </c>
      <c r="J2518" t="s">
        <v>11147</v>
      </c>
      <c r="K2518" s="169">
        <f>IFERROR(MATCH(J2518,'Final List'!$B$4:$B$252,0),0)</f>
        <v>0</v>
      </c>
      <c r="L2518" s="169">
        <f>IFERROR(MATCH(J2518,'Final List'!$D$4:$D$252,0),0)</f>
        <v>0</v>
      </c>
      <c r="M2518" s="169">
        <f>IFERROR(MATCH(J2518,'Final List'!$F$4:$F$251,0),0)</f>
        <v>0</v>
      </c>
      <c r="N2518" s="169">
        <f>IFERROR(MATCH(J2518,'Final List'!$H$4:$H$252,0),0)</f>
        <v>0</v>
      </c>
      <c r="O2518" s="169">
        <f>IFERROR(MATCH(J2518,'Final List'!$J$4:$J$252,0),0)</f>
        <v>0</v>
      </c>
      <c r="P2518" s="169">
        <f>IFERROR(MATCH(J2518,'Final List'!$L$4:$L$252,0),0)</f>
        <v>0</v>
      </c>
      <c r="Q2518" s="169">
        <f>IFERROR(MATCH(J2518,'Final List'!$N$4:$N$252,0),0)</f>
        <v>0</v>
      </c>
      <c r="R2518" s="169">
        <f>IFERROR(MATCH(J2518,'Final List'!$P$4:$P$252,0),0)</f>
        <v>0</v>
      </c>
      <c r="S2518" s="169">
        <f t="shared" si="160"/>
        <v>0</v>
      </c>
      <c r="T2518" s="169" t="s">
        <v>68</v>
      </c>
      <c r="V2518" s="169" t="str">
        <f t="shared" si="161"/>
        <v>PARAGUYA 2</v>
      </c>
      <c r="W2518" s="169" t="s">
        <v>2707</v>
      </c>
    </row>
    <row r="2519" spans="2:23" x14ac:dyDescent="0.25">
      <c r="B2519" s="169" t="s">
        <v>1167</v>
      </c>
      <c r="C2519" s="169" t="s">
        <v>42</v>
      </c>
      <c r="D2519" s="169" t="s">
        <v>173</v>
      </c>
      <c r="E2519" s="169" t="s">
        <v>61</v>
      </c>
      <c r="F2519" s="245" t="str">
        <f t="shared" si="159"/>
        <v>Dhoz 71</v>
      </c>
      <c r="G2519" s="169" t="s">
        <v>6929</v>
      </c>
      <c r="I2519" s="169" t="str">
        <f t="shared" si="158"/>
        <v>L12_JV_049E_DW</v>
      </c>
      <c r="J2519" t="s">
        <v>11151</v>
      </c>
      <c r="K2519" s="169">
        <f>IFERROR(MATCH(J2519,'Final List'!$B$4:$B$252,0),0)</f>
        <v>0</v>
      </c>
      <c r="L2519" s="169">
        <f>IFERROR(MATCH(J2519,'Final List'!$D$4:$D$252,0),0)</f>
        <v>0</v>
      </c>
      <c r="M2519" s="169">
        <f>IFERROR(MATCH(J2519,'Final List'!$F$4:$F$251,0),0)</f>
        <v>0</v>
      </c>
      <c r="N2519" s="169">
        <f>IFERROR(MATCH(J2519,'Final List'!$H$4:$H$252,0),0)</f>
        <v>0</v>
      </c>
      <c r="O2519" s="169">
        <f>IFERROR(MATCH(J2519,'Final List'!$J$4:$J$252,0),0)</f>
        <v>0</v>
      </c>
      <c r="P2519" s="169">
        <f>IFERROR(MATCH(J2519,'Final List'!$L$4:$L$252,0),0)</f>
        <v>0</v>
      </c>
      <c r="Q2519" s="169">
        <f>IFERROR(MATCH(J2519,'Final List'!$N$4:$N$252,0),0)</f>
        <v>0</v>
      </c>
      <c r="R2519" s="169">
        <f>IFERROR(MATCH(J2519,'Final List'!$P$4:$P$252,0),0)</f>
        <v>0</v>
      </c>
      <c r="S2519" s="169">
        <f t="shared" si="160"/>
        <v>0</v>
      </c>
      <c r="V2519" s="169" t="str">
        <f t="shared" si="161"/>
        <v>DUHIG, P4</v>
      </c>
      <c r="W2519" s="169" t="s">
        <v>8896</v>
      </c>
    </row>
    <row r="2520" spans="2:23" x14ac:dyDescent="0.25">
      <c r="B2520" s="169" t="s">
        <v>95</v>
      </c>
      <c r="C2520" s="169" t="s">
        <v>45</v>
      </c>
      <c r="D2520" s="169" t="s">
        <v>595</v>
      </c>
      <c r="E2520" s="169" t="s">
        <v>6154</v>
      </c>
      <c r="F2520" s="245" t="str">
        <f t="shared" si="159"/>
        <v>Dhoz 71</v>
      </c>
      <c r="G2520" s="169" t="s">
        <v>10123</v>
      </c>
      <c r="H2520" s="169" t="s">
        <v>526</v>
      </c>
      <c r="I2520" s="169" t="str">
        <f t="shared" ref="I2520:I2583" si="162">CONCATENATE(B2520,"_",C2520,"_",D2520,"_",E2520)</f>
        <v>L08_DPVE_072E_DW_ISL</v>
      </c>
      <c r="J2520" t="s">
        <v>11152</v>
      </c>
      <c r="K2520" s="169">
        <f>IFERROR(MATCH(J2520,'Final List'!$B$4:$B$252,0),0)</f>
        <v>0</v>
      </c>
      <c r="L2520" s="169">
        <f>IFERROR(MATCH(J2520,'Final List'!$D$4:$D$252,0),0)</f>
        <v>0</v>
      </c>
      <c r="M2520" s="169">
        <f>IFERROR(MATCH(J2520,'Final List'!$F$4:$F$251,0),0)</f>
        <v>0</v>
      </c>
      <c r="N2520" s="169">
        <f>IFERROR(MATCH(J2520,'Final List'!$H$4:$H$252,0),0)</f>
        <v>0</v>
      </c>
      <c r="O2520" s="169">
        <f>IFERROR(MATCH(J2520,'Final List'!$J$4:$J$252,0),0)</f>
        <v>0</v>
      </c>
      <c r="P2520" s="169">
        <f>IFERROR(MATCH(J2520,'Final List'!$L$4:$L$252,0),0)</f>
        <v>0</v>
      </c>
      <c r="Q2520" s="169">
        <f>IFERROR(MATCH(J2520,'Final List'!$N$4:$N$252,0),0)</f>
        <v>0</v>
      </c>
      <c r="R2520" s="169">
        <f>IFERROR(MATCH(J2520,'Final List'!$P$4:$P$252,0),0)</f>
        <v>0</v>
      </c>
      <c r="S2520" s="169">
        <f t="shared" si="160"/>
        <v>0</v>
      </c>
      <c r="V2520" s="169" t="str">
        <f t="shared" si="161"/>
        <v>CARIKITAN 2</v>
      </c>
      <c r="W2520" s="169" t="s">
        <v>2708</v>
      </c>
    </row>
    <row r="2521" spans="2:23" x14ac:dyDescent="0.25">
      <c r="B2521" s="169" t="s">
        <v>258</v>
      </c>
      <c r="C2521" s="169" t="s">
        <v>45</v>
      </c>
      <c r="D2521" s="169" t="s">
        <v>5723</v>
      </c>
      <c r="E2521" s="169" t="s">
        <v>62</v>
      </c>
      <c r="F2521" s="245" t="str">
        <f t="shared" si="159"/>
        <v>RobS 79</v>
      </c>
      <c r="G2521" s="169" t="s">
        <v>10805</v>
      </c>
      <c r="H2521" s="169" t="s">
        <v>9964</v>
      </c>
      <c r="I2521" s="169" t="str">
        <f t="shared" si="162"/>
        <v>L10_DPVE_046E_ROBBING</v>
      </c>
      <c r="J2521" t="s">
        <v>11155</v>
      </c>
      <c r="K2521" s="169">
        <f>IFERROR(MATCH(J2521,'Final List'!$B$4:$B$252,0),0)</f>
        <v>0</v>
      </c>
      <c r="L2521" s="169">
        <f>IFERROR(MATCH(J2521,'Final List'!$D$4:$D$252,0),0)</f>
        <v>0</v>
      </c>
      <c r="M2521" s="169">
        <f>IFERROR(MATCH(J2521,'Final List'!$F$4:$F$251,0),0)</f>
        <v>0</v>
      </c>
      <c r="N2521" s="169">
        <f>IFERROR(MATCH(J2521,'Final List'!$H$4:$H$252,0),0)</f>
        <v>0</v>
      </c>
      <c r="O2521" s="169">
        <f>IFERROR(MATCH(J2521,'Final List'!$J$4:$J$252,0),0)</f>
        <v>0</v>
      </c>
      <c r="P2521" s="169">
        <f>IFERROR(MATCH(J2521,'Final List'!$L$4:$L$252,0),0)</f>
        <v>0</v>
      </c>
      <c r="Q2521" s="169">
        <f>IFERROR(MATCH(J2521,'Final List'!$N$4:$N$252,0),0)</f>
        <v>0</v>
      </c>
      <c r="R2521" s="169">
        <f>IFERROR(MATCH(J2521,'Final List'!$P$4:$P$252,0),0)</f>
        <v>0</v>
      </c>
      <c r="S2521" s="169">
        <f t="shared" si="160"/>
        <v>0</v>
      </c>
      <c r="T2521" s="169" t="s">
        <v>68</v>
      </c>
      <c r="V2521" s="169" t="str">
        <f t="shared" si="161"/>
        <v>SHEPHERD BA</v>
      </c>
      <c r="W2521" s="169" t="s">
        <v>2707</v>
      </c>
    </row>
    <row r="2522" spans="2:23" x14ac:dyDescent="0.25">
      <c r="B2522" s="169" t="s">
        <v>258</v>
      </c>
      <c r="C2522" s="169" t="s">
        <v>45</v>
      </c>
      <c r="D2522" s="169" t="s">
        <v>9640</v>
      </c>
      <c r="E2522" s="169" t="s">
        <v>36</v>
      </c>
      <c r="F2522" s="245" t="str">
        <f t="shared" si="159"/>
        <v>StpS 77</v>
      </c>
      <c r="G2522" s="169" t="s">
        <v>451</v>
      </c>
      <c r="I2522" s="169" t="str">
        <f t="shared" si="162"/>
        <v>L10_DPVE_094E_STOPE</v>
      </c>
      <c r="J2522" t="s">
        <v>11252</v>
      </c>
      <c r="K2522" s="169">
        <f>IFERROR(MATCH(J2522,'Final List'!$B$4:$B$252,0),0)</f>
        <v>0</v>
      </c>
      <c r="L2522" s="169">
        <f>IFERROR(MATCH(J2522,'Final List'!$D$4:$D$252,0),0)</f>
        <v>0</v>
      </c>
      <c r="M2522" s="169">
        <f>IFERROR(MATCH(J2522,'Final List'!$F$4:$F$251,0),0)</f>
        <v>0</v>
      </c>
      <c r="N2522" s="169">
        <f>IFERROR(MATCH(J2522,'Final List'!$H$4:$H$252,0),0)</f>
        <v>0</v>
      </c>
      <c r="O2522" s="169">
        <f>IFERROR(MATCH(J2522,'Final List'!$J$4:$J$252,0),0)</f>
        <v>0</v>
      </c>
      <c r="P2522" s="169">
        <f>IFERROR(MATCH(J2522,'Final List'!$L$4:$L$252,0),0)</f>
        <v>0</v>
      </c>
      <c r="Q2522" s="169">
        <f>IFERROR(MATCH(J2522,'Final List'!$N$4:$N$252,0),0)</f>
        <v>0</v>
      </c>
      <c r="R2522" s="169">
        <f>IFERROR(MATCH(J2522,'Final List'!$P$4:$P$252,0),0)</f>
        <v>0</v>
      </c>
      <c r="S2522" s="169">
        <f t="shared" si="160"/>
        <v>0</v>
      </c>
      <c r="T2522" s="169" t="s">
        <v>68</v>
      </c>
      <c r="V2522" s="169" t="str">
        <f t="shared" si="161"/>
        <v>BELICAN 2</v>
      </c>
      <c r="W2522" s="169" t="s">
        <v>2713</v>
      </c>
    </row>
    <row r="2523" spans="2:23" x14ac:dyDescent="0.25">
      <c r="B2523" s="169" t="s">
        <v>258</v>
      </c>
      <c r="C2523" s="169" t="s">
        <v>87</v>
      </c>
      <c r="D2523" s="169" t="s">
        <v>179</v>
      </c>
      <c r="E2523" s="169" t="s">
        <v>37</v>
      </c>
      <c r="F2523" s="245" t="str">
        <f t="shared" si="159"/>
        <v>Dhoz 71</v>
      </c>
      <c r="G2523" s="169" t="s">
        <v>9884</v>
      </c>
      <c r="I2523" s="169" t="str">
        <f t="shared" si="162"/>
        <v>L10_NONE_050E_XCN</v>
      </c>
      <c r="J2523" t="s">
        <v>11157</v>
      </c>
      <c r="K2523" s="169">
        <f>IFERROR(MATCH(J2523,'Final List'!$B$4:$B$252,0),0)</f>
        <v>0</v>
      </c>
      <c r="L2523" s="169">
        <f>IFERROR(MATCH(J2523,'Final List'!$D$4:$D$252,0),0)</f>
        <v>0</v>
      </c>
      <c r="M2523" s="169">
        <f>IFERROR(MATCH(J2523,'Final List'!$F$4:$F$251,0),0)</f>
        <v>0</v>
      </c>
      <c r="N2523" s="169">
        <f>IFERROR(MATCH(J2523,'Final List'!$H$4:$H$252,0),0)</f>
        <v>0</v>
      </c>
      <c r="O2523" s="169">
        <f>IFERROR(MATCH(J2523,'Final List'!$J$4:$J$252,0),0)</f>
        <v>0</v>
      </c>
      <c r="P2523" s="169">
        <f>IFERROR(MATCH(J2523,'Final List'!$L$4:$L$252,0),0)</f>
        <v>0</v>
      </c>
      <c r="Q2523" s="169">
        <f>IFERROR(MATCH(J2523,'Final List'!$N$4:$N$252,0),0)</f>
        <v>0</v>
      </c>
      <c r="R2523" s="169">
        <f>IFERROR(MATCH(J2523,'Final List'!$P$4:$P$252,0),0)</f>
        <v>0</v>
      </c>
      <c r="S2523" s="169">
        <f t="shared" si="160"/>
        <v>0</v>
      </c>
      <c r="V2523" s="169" t="str">
        <f t="shared" si="161"/>
        <v>APA 1</v>
      </c>
      <c r="W2523" s="169" t="s">
        <v>8898</v>
      </c>
    </row>
    <row r="2524" spans="2:23" x14ac:dyDescent="0.25">
      <c r="B2524" s="169" t="s">
        <v>95</v>
      </c>
      <c r="C2524" s="169" t="s">
        <v>38</v>
      </c>
      <c r="D2524" s="169" t="s">
        <v>6710</v>
      </c>
      <c r="E2524" s="169" t="s">
        <v>62</v>
      </c>
      <c r="F2524" s="245" t="str">
        <f t="shared" si="159"/>
        <v>RobS 79</v>
      </c>
      <c r="G2524" s="169" t="s">
        <v>305</v>
      </c>
      <c r="I2524" s="169" t="str">
        <f t="shared" si="162"/>
        <v>L08_GHV_018W_ROBBING</v>
      </c>
      <c r="J2524" t="s">
        <v>11158</v>
      </c>
      <c r="K2524" s="169">
        <f>IFERROR(MATCH(J2524,'Final List'!$B$4:$B$252,0),0)</f>
        <v>0</v>
      </c>
      <c r="L2524" s="169">
        <f>IFERROR(MATCH(J2524,'Final List'!$D$4:$D$252,0),0)</f>
        <v>0</v>
      </c>
      <c r="M2524" s="169">
        <f>IFERROR(MATCH(J2524,'Final List'!$F$4:$F$251,0),0)</f>
        <v>0</v>
      </c>
      <c r="N2524" s="169">
        <f>IFERROR(MATCH(J2524,'Final List'!$H$4:$H$252,0),0)</f>
        <v>0</v>
      </c>
      <c r="O2524" s="169">
        <f>IFERROR(MATCH(J2524,'Final List'!$J$4:$J$252,0),0)</f>
        <v>0</v>
      </c>
      <c r="P2524" s="169">
        <f>IFERROR(MATCH(J2524,'Final List'!$L$4:$L$252,0),0)</f>
        <v>0</v>
      </c>
      <c r="Q2524" s="169">
        <f>IFERROR(MATCH(J2524,'Final List'!$N$4:$N$252,0),0)</f>
        <v>0</v>
      </c>
      <c r="R2524" s="169">
        <f>IFERROR(MATCH(J2524,'Final List'!$P$4:$P$252,0),0)</f>
        <v>0</v>
      </c>
      <c r="S2524" s="169">
        <f t="shared" si="160"/>
        <v>0</v>
      </c>
      <c r="T2524" s="169" t="s">
        <v>68</v>
      </c>
      <c r="V2524" s="169" t="str">
        <f t="shared" si="161"/>
        <v>CABONITA 1</v>
      </c>
      <c r="W2524" s="169" t="s">
        <v>2707</v>
      </c>
    </row>
    <row r="2525" spans="2:23" x14ac:dyDescent="0.25">
      <c r="B2525" s="169" t="s">
        <v>95</v>
      </c>
      <c r="C2525" s="169" t="s">
        <v>59</v>
      </c>
      <c r="D2525" s="169" t="s">
        <v>97</v>
      </c>
      <c r="E2525" s="169" t="s">
        <v>62</v>
      </c>
      <c r="F2525" s="245" t="str">
        <f t="shared" si="159"/>
        <v>RobS 79</v>
      </c>
      <c r="G2525" s="169" t="s">
        <v>6925</v>
      </c>
      <c r="I2525" s="169" t="str">
        <f t="shared" si="162"/>
        <v>L08_GHVHW_012W_ROBBING</v>
      </c>
      <c r="J2525" t="s">
        <v>11159</v>
      </c>
      <c r="K2525" s="169">
        <f>IFERROR(MATCH(J2525,'Final List'!$B$4:$B$252,0),0)</f>
        <v>0</v>
      </c>
      <c r="L2525" s="169">
        <f>IFERROR(MATCH(J2525,'Final List'!$D$4:$D$252,0),0)</f>
        <v>0</v>
      </c>
      <c r="M2525" s="169">
        <f>IFERROR(MATCH(J2525,'Final List'!$F$4:$F$251,0),0)</f>
        <v>0</v>
      </c>
      <c r="N2525" s="169">
        <f>IFERROR(MATCH(J2525,'Final List'!$H$4:$H$252,0),0)</f>
        <v>0</v>
      </c>
      <c r="O2525" s="169">
        <f>IFERROR(MATCH(J2525,'Final List'!$J$4:$J$252,0),0)</f>
        <v>0</v>
      </c>
      <c r="P2525" s="169">
        <f>IFERROR(MATCH(J2525,'Final List'!$L$4:$L$252,0),0)</f>
        <v>0</v>
      </c>
      <c r="Q2525" s="169">
        <f>IFERROR(MATCH(J2525,'Final List'!$N$4:$N$252,0),0)</f>
        <v>0</v>
      </c>
      <c r="R2525" s="169">
        <f>IFERROR(MATCH(J2525,'Final List'!$P$4:$P$252,0),0)</f>
        <v>0</v>
      </c>
      <c r="S2525" s="169">
        <f t="shared" si="160"/>
        <v>0</v>
      </c>
      <c r="T2525" s="169" t="s">
        <v>68</v>
      </c>
      <c r="V2525" s="169" t="str">
        <f t="shared" si="161"/>
        <v>CAPUYAN 1</v>
      </c>
      <c r="W2525" s="169" t="s">
        <v>2707</v>
      </c>
    </row>
    <row r="2526" spans="2:23" x14ac:dyDescent="0.25">
      <c r="B2526" s="169" t="s">
        <v>1166</v>
      </c>
      <c r="C2526" s="169" t="s">
        <v>45</v>
      </c>
      <c r="D2526" s="169" t="s">
        <v>122</v>
      </c>
      <c r="E2526" s="169" t="s">
        <v>61</v>
      </c>
      <c r="F2526" s="245" t="str">
        <f t="shared" si="159"/>
        <v>Dhoz 71</v>
      </c>
      <c r="G2526" s="169" t="s">
        <v>359</v>
      </c>
      <c r="H2526" s="169" t="s">
        <v>5720</v>
      </c>
      <c r="I2526" s="169" t="str">
        <f t="shared" si="162"/>
        <v>L11_DPVE_025E_DW</v>
      </c>
      <c r="J2526" t="s">
        <v>11160</v>
      </c>
      <c r="K2526" s="169">
        <f>IFERROR(MATCH(J2526,'Final List'!$B$4:$B$252,0),0)</f>
        <v>0</v>
      </c>
      <c r="L2526" s="169">
        <f>IFERROR(MATCH(J2526,'Final List'!$D$4:$D$252,0),0)</f>
        <v>0</v>
      </c>
      <c r="M2526" s="169">
        <f>IFERROR(MATCH(J2526,'Final List'!$F$4:$F$251,0),0)</f>
        <v>0</v>
      </c>
      <c r="N2526" s="169">
        <f>IFERROR(MATCH(J2526,'Final List'!$H$4:$H$252,0),0)</f>
        <v>0</v>
      </c>
      <c r="O2526" s="169">
        <f>IFERROR(MATCH(J2526,'Final List'!$J$4:$J$252,0),0)</f>
        <v>0</v>
      </c>
      <c r="P2526" s="169">
        <f>IFERROR(MATCH(J2526,'Final List'!$L$4:$L$252,0),0)</f>
        <v>0</v>
      </c>
      <c r="Q2526" s="169">
        <f>IFERROR(MATCH(J2526,'Final List'!$N$4:$N$252,0),0)</f>
        <v>0</v>
      </c>
      <c r="R2526" s="169">
        <f>IFERROR(MATCH(J2526,'Final List'!$P$4:$P$252,0),0)</f>
        <v>0</v>
      </c>
      <c r="S2526" s="169">
        <f t="shared" si="160"/>
        <v>0</v>
      </c>
      <c r="V2526" s="169" t="str">
        <f t="shared" si="161"/>
        <v>TURRA 1</v>
      </c>
      <c r="W2526" s="169" t="s">
        <v>8896</v>
      </c>
    </row>
    <row r="2527" spans="2:23" x14ac:dyDescent="0.25">
      <c r="B2527" s="169" t="s">
        <v>96</v>
      </c>
      <c r="C2527" s="169" t="s">
        <v>57</v>
      </c>
      <c r="D2527" s="169" t="s">
        <v>180</v>
      </c>
      <c r="E2527" s="169" t="s">
        <v>19</v>
      </c>
      <c r="F2527" s="245" t="str">
        <f t="shared" si="159"/>
        <v>DVR 72</v>
      </c>
      <c r="G2527" s="169" t="s">
        <v>6621</v>
      </c>
      <c r="I2527" s="169" t="str">
        <f t="shared" si="162"/>
        <v>L09_JVSPLIT_041E_RAISE</v>
      </c>
      <c r="J2527" t="s">
        <v>11161</v>
      </c>
      <c r="K2527" s="169">
        <f>IFERROR(MATCH(J2527,'Final List'!$B$4:$B$252,0),0)</f>
        <v>0</v>
      </c>
      <c r="L2527" s="169">
        <f>IFERROR(MATCH(J2527,'Final List'!$D$4:$D$252,0),0)</f>
        <v>0</v>
      </c>
      <c r="M2527" s="169">
        <f>IFERROR(MATCH(J2527,'Final List'!$F$4:$F$251,0),0)</f>
        <v>0</v>
      </c>
      <c r="N2527" s="169">
        <f>IFERROR(MATCH(J2527,'Final List'!$H$4:$H$252,0),0)</f>
        <v>0</v>
      </c>
      <c r="O2527" s="169">
        <f>IFERROR(MATCH(J2527,'Final List'!$J$4:$J$252,0),0)</f>
        <v>0</v>
      </c>
      <c r="P2527" s="169">
        <f>IFERROR(MATCH(J2527,'Final List'!$L$4:$L$252,0),0)</f>
        <v>0</v>
      </c>
      <c r="Q2527" s="169">
        <f>IFERROR(MATCH(J2527,'Final List'!$N$4:$N$252,0),0)</f>
        <v>0</v>
      </c>
      <c r="R2527" s="169">
        <f>IFERROR(MATCH(J2527,'Final List'!$P$4:$P$252,0),0)</f>
        <v>0</v>
      </c>
      <c r="S2527" s="169">
        <f t="shared" si="160"/>
        <v>0</v>
      </c>
      <c r="V2527" s="169" t="str">
        <f t="shared" si="161"/>
        <v>DELOS REYES V1</v>
      </c>
      <c r="W2527" s="169" t="s">
        <v>2715</v>
      </c>
    </row>
    <row r="2528" spans="2:23" x14ac:dyDescent="0.25">
      <c r="B2528" s="169" t="s">
        <v>96</v>
      </c>
      <c r="C2528" s="169" t="s">
        <v>45</v>
      </c>
      <c r="D2528" s="169" t="s">
        <v>6946</v>
      </c>
      <c r="E2528" s="169" t="s">
        <v>20</v>
      </c>
      <c r="F2528" s="245" t="str">
        <f t="shared" si="159"/>
        <v>DVW 74</v>
      </c>
      <c r="G2528" s="169" t="s">
        <v>9352</v>
      </c>
      <c r="I2528" s="169" t="str">
        <f t="shared" si="162"/>
        <v>L09_DPVE_081E_WINZE</v>
      </c>
      <c r="J2528" t="s">
        <v>11163</v>
      </c>
      <c r="K2528" s="169">
        <f>IFERROR(MATCH(J2528,'Final List'!$B$4:$B$252,0),0)</f>
        <v>0</v>
      </c>
      <c r="L2528" s="169">
        <f>IFERROR(MATCH(J2528,'Final List'!$D$4:$D$252,0),0)</f>
        <v>0</v>
      </c>
      <c r="M2528" s="169">
        <f>IFERROR(MATCH(J2528,'Final List'!$F$4:$F$251,0),0)</f>
        <v>0</v>
      </c>
      <c r="N2528" s="169">
        <f>IFERROR(MATCH(J2528,'Final List'!$H$4:$H$252,0),0)</f>
        <v>0</v>
      </c>
      <c r="O2528" s="169">
        <f>IFERROR(MATCH(J2528,'Final List'!$J$4:$J$252,0),0)</f>
        <v>0</v>
      </c>
      <c r="P2528" s="169">
        <f>IFERROR(MATCH(J2528,'Final List'!$L$4:$L$252,0),0)</f>
        <v>0</v>
      </c>
      <c r="Q2528" s="169">
        <f>IFERROR(MATCH(J2528,'Final List'!$N$4:$N$252,0),0)</f>
        <v>0</v>
      </c>
      <c r="R2528" s="169">
        <f>IFERROR(MATCH(J2528,'Final List'!$P$4:$P$252,0),0)</f>
        <v>0</v>
      </c>
      <c r="S2528" s="169">
        <f t="shared" si="160"/>
        <v>0</v>
      </c>
      <c r="V2528" s="169" t="str">
        <f t="shared" si="161"/>
        <v>SHEPHERD AA 1</v>
      </c>
      <c r="W2528" s="169" t="s">
        <v>2706</v>
      </c>
    </row>
    <row r="2529" spans="2:23" x14ac:dyDescent="0.25">
      <c r="B2529" s="169" t="s">
        <v>96</v>
      </c>
      <c r="C2529" s="169" t="s">
        <v>57</v>
      </c>
      <c r="D2529" s="169" t="s">
        <v>178</v>
      </c>
      <c r="E2529" s="169" t="s">
        <v>6154</v>
      </c>
      <c r="F2529" s="245" t="str">
        <f t="shared" si="159"/>
        <v>Dhoz 71</v>
      </c>
      <c r="G2529" s="169" t="s">
        <v>5706</v>
      </c>
      <c r="I2529" s="169" t="str">
        <f t="shared" si="162"/>
        <v>L09_JVSPLIT_048E_DW_ISL</v>
      </c>
      <c r="J2529" t="s">
        <v>11164</v>
      </c>
      <c r="K2529" s="169">
        <f>IFERROR(MATCH(J2529,'Final List'!$B$4:$B$252,0),0)</f>
        <v>0</v>
      </c>
      <c r="L2529" s="169">
        <f>IFERROR(MATCH(J2529,'Final List'!$D$4:$D$252,0),0)</f>
        <v>0</v>
      </c>
      <c r="M2529" s="169">
        <f>IFERROR(MATCH(J2529,'Final List'!$F$4:$F$251,0),0)</f>
        <v>0</v>
      </c>
      <c r="N2529" s="169">
        <f>IFERROR(MATCH(J2529,'Final List'!$H$4:$H$252,0),0)</f>
        <v>0</v>
      </c>
      <c r="O2529" s="169">
        <f>IFERROR(MATCH(J2529,'Final List'!$J$4:$J$252,0),0)</f>
        <v>0</v>
      </c>
      <c r="P2529" s="169">
        <f>IFERROR(MATCH(J2529,'Final List'!$L$4:$L$252,0),0)</f>
        <v>0</v>
      </c>
      <c r="Q2529" s="169">
        <f>IFERROR(MATCH(J2529,'Final List'!$N$4:$N$252,0),0)</f>
        <v>0</v>
      </c>
      <c r="R2529" s="169">
        <f>IFERROR(MATCH(J2529,'Final List'!$P$4:$P$252,0),0)</f>
        <v>0</v>
      </c>
      <c r="S2529" s="169">
        <f t="shared" si="160"/>
        <v>0</v>
      </c>
      <c r="V2529" s="169" t="str">
        <f t="shared" si="161"/>
        <v>SHEPHERD AF 1</v>
      </c>
      <c r="W2529" s="169" t="s">
        <v>8896</v>
      </c>
    </row>
    <row r="2530" spans="2:23" x14ac:dyDescent="0.25">
      <c r="B2530" s="169" t="s">
        <v>96</v>
      </c>
      <c r="C2530" s="169" t="s">
        <v>45</v>
      </c>
      <c r="D2530" s="169" t="s">
        <v>5872</v>
      </c>
      <c r="E2530" s="169" t="s">
        <v>19</v>
      </c>
      <c r="F2530" s="245" t="str">
        <f t="shared" si="159"/>
        <v>DVR 72</v>
      </c>
      <c r="G2530" s="169" t="s">
        <v>349</v>
      </c>
      <c r="I2530" s="169" t="str">
        <f t="shared" si="162"/>
        <v>L09_DPVE_076E_RAISE</v>
      </c>
      <c r="J2530" t="s">
        <v>11165</v>
      </c>
      <c r="K2530" s="169">
        <f>IFERROR(MATCH(J2530,'Final List'!$B$4:$B$252,0),0)</f>
        <v>0</v>
      </c>
      <c r="L2530" s="169">
        <f>IFERROR(MATCH(J2530,'Final List'!$D$4:$D$252,0),0)</f>
        <v>0</v>
      </c>
      <c r="M2530" s="169">
        <f>IFERROR(MATCH(J2530,'Final List'!$F$4:$F$251,0),0)</f>
        <v>0</v>
      </c>
      <c r="N2530" s="169">
        <f>IFERROR(MATCH(J2530,'Final List'!$H$4:$H$252,0),0)</f>
        <v>0</v>
      </c>
      <c r="O2530" s="169">
        <f>IFERROR(MATCH(J2530,'Final List'!$J$4:$J$252,0),0)</f>
        <v>0</v>
      </c>
      <c r="P2530" s="169">
        <f>IFERROR(MATCH(J2530,'Final List'!$L$4:$L$252,0),0)</f>
        <v>0</v>
      </c>
      <c r="Q2530" s="169">
        <f>IFERROR(MATCH(J2530,'Final List'!$N$4:$N$252,0),0)</f>
        <v>0</v>
      </c>
      <c r="R2530" s="169">
        <f>IFERROR(MATCH(J2530,'Final List'!$P$4:$P$252,0),0)</f>
        <v>0</v>
      </c>
      <c r="S2530" s="169">
        <f t="shared" si="160"/>
        <v>0</v>
      </c>
      <c r="V2530" s="169" t="str">
        <f t="shared" si="161"/>
        <v>QUIJANO 2</v>
      </c>
      <c r="W2530" s="169" t="s">
        <v>2715</v>
      </c>
    </row>
    <row r="2531" spans="2:23" x14ac:dyDescent="0.25">
      <c r="B2531" s="169" t="s">
        <v>95</v>
      </c>
      <c r="C2531" s="169" t="s">
        <v>45</v>
      </c>
      <c r="D2531" s="169" t="s">
        <v>146</v>
      </c>
      <c r="E2531" s="169" t="s">
        <v>221</v>
      </c>
      <c r="F2531" s="245" t="str">
        <f t="shared" si="159"/>
        <v>RobC 80</v>
      </c>
      <c r="G2531" s="169" t="s">
        <v>577</v>
      </c>
      <c r="I2531" s="169" t="str">
        <f t="shared" si="162"/>
        <v>L08_DPVE_030E_WINZE STOPE</v>
      </c>
      <c r="J2531" t="s">
        <v>11222</v>
      </c>
      <c r="K2531" s="169">
        <f>IFERROR(MATCH(J2531,'Final List'!$B$4:$B$252,0),0)</f>
        <v>0</v>
      </c>
      <c r="L2531" s="169">
        <f>IFERROR(MATCH(J2531,'Final List'!$D$4:$D$252,0),0)</f>
        <v>0</v>
      </c>
      <c r="M2531" s="169">
        <f>IFERROR(MATCH(J2531,'Final List'!$F$4:$F$251,0),0)</f>
        <v>0</v>
      </c>
      <c r="N2531" s="169">
        <f>IFERROR(MATCH(J2531,'Final List'!$H$4:$H$252,0),0)</f>
        <v>0</v>
      </c>
      <c r="O2531" s="169">
        <f>IFERROR(MATCH(J2531,'Final List'!$J$4:$J$252,0),0)</f>
        <v>0</v>
      </c>
      <c r="P2531" s="169">
        <f>IFERROR(MATCH(J2531,'Final List'!$L$4:$L$252,0),0)</f>
        <v>0</v>
      </c>
      <c r="Q2531" s="169">
        <f>IFERROR(MATCH(J2531,'Final List'!$N$4:$N$252,0),0)</f>
        <v>0</v>
      </c>
      <c r="R2531" s="169">
        <f>IFERROR(MATCH(J2531,'Final List'!$P$4:$P$252,0),0)</f>
        <v>0</v>
      </c>
      <c r="S2531" s="169">
        <f t="shared" si="160"/>
        <v>0</v>
      </c>
      <c r="T2531" s="169" t="s">
        <v>68</v>
      </c>
      <c r="V2531" s="169" t="str">
        <f t="shared" si="161"/>
        <v>CARIKITAN 1</v>
      </c>
      <c r="W2531" s="169" t="s">
        <v>2719</v>
      </c>
    </row>
    <row r="2532" spans="2:23" x14ac:dyDescent="0.25">
      <c r="B2532" s="169" t="s">
        <v>258</v>
      </c>
      <c r="C2532" s="169" t="s">
        <v>45</v>
      </c>
      <c r="D2532" s="169" t="s">
        <v>9156</v>
      </c>
      <c r="E2532" s="169" t="s">
        <v>20</v>
      </c>
      <c r="F2532" s="245" t="str">
        <f t="shared" si="159"/>
        <v>DVW 74</v>
      </c>
      <c r="G2532" s="169" t="s">
        <v>10890</v>
      </c>
      <c r="H2532" s="169" t="s">
        <v>5702</v>
      </c>
      <c r="I2532" s="169" t="str">
        <f t="shared" si="162"/>
        <v>L10_DPVE_092E_WINZE</v>
      </c>
      <c r="J2532" t="s">
        <v>11176</v>
      </c>
      <c r="K2532" s="169">
        <f>IFERROR(MATCH(J2532,'Final List'!$B$4:$B$252,0),0)</f>
        <v>0</v>
      </c>
      <c r="L2532" s="169">
        <f>IFERROR(MATCH(J2532,'Final List'!$D$4:$D$252,0),0)</f>
        <v>0</v>
      </c>
      <c r="M2532" s="169">
        <f>IFERROR(MATCH(J2532,'Final List'!$F$4:$F$251,0),0)</f>
        <v>0</v>
      </c>
      <c r="N2532" s="169">
        <f>IFERROR(MATCH(J2532,'Final List'!$H$4:$H$252,0),0)</f>
        <v>0</v>
      </c>
      <c r="O2532" s="169">
        <f>IFERROR(MATCH(J2532,'Final List'!$J$4:$J$252,0),0)</f>
        <v>0</v>
      </c>
      <c r="P2532" s="169">
        <f>IFERROR(MATCH(J2532,'Final List'!$L$4:$L$252,0),0)</f>
        <v>0</v>
      </c>
      <c r="Q2532" s="169">
        <f>IFERROR(MATCH(J2532,'Final List'!$N$4:$N$252,0),0)</f>
        <v>0</v>
      </c>
      <c r="R2532" s="169">
        <f>IFERROR(MATCH(J2532,'Final List'!$P$4:$P$252,0),0)</f>
        <v>0</v>
      </c>
      <c r="S2532" s="169">
        <f t="shared" si="160"/>
        <v>0</v>
      </c>
      <c r="V2532" s="169" t="str">
        <f t="shared" si="161"/>
        <v>LARGO 3</v>
      </c>
      <c r="W2532" s="169" t="s">
        <v>2706</v>
      </c>
    </row>
    <row r="2533" spans="2:23" x14ac:dyDescent="0.25">
      <c r="B2533" s="169" t="s">
        <v>95</v>
      </c>
      <c r="C2533" s="169" t="s">
        <v>45</v>
      </c>
      <c r="D2533" s="169" t="s">
        <v>164</v>
      </c>
      <c r="E2533" s="169" t="s">
        <v>62</v>
      </c>
      <c r="F2533" s="245" t="str">
        <f t="shared" si="159"/>
        <v>RobS 79</v>
      </c>
      <c r="G2533" s="169" t="s">
        <v>380</v>
      </c>
      <c r="I2533" s="169" t="str">
        <f t="shared" si="162"/>
        <v>L08_DPVE_064E_ROBBING</v>
      </c>
      <c r="J2533" t="s">
        <v>11220</v>
      </c>
      <c r="K2533" s="169">
        <f>IFERROR(MATCH(J2533,'Final List'!$B$4:$B$252,0),0)</f>
        <v>0</v>
      </c>
      <c r="L2533" s="169">
        <f>IFERROR(MATCH(J2533,'Final List'!$D$4:$D$252,0),0)</f>
        <v>0</v>
      </c>
      <c r="M2533" s="169">
        <f>IFERROR(MATCH(J2533,'Final List'!$F$4:$F$251,0),0)</f>
        <v>0</v>
      </c>
      <c r="N2533" s="169">
        <f>IFERROR(MATCH(J2533,'Final List'!$H$4:$H$252,0),0)</f>
        <v>0</v>
      </c>
      <c r="O2533" s="169">
        <f>IFERROR(MATCH(J2533,'Final List'!$J$4:$J$252,0),0)</f>
        <v>0</v>
      </c>
      <c r="P2533" s="169">
        <f>IFERROR(MATCH(J2533,'Final List'!$L$4:$L$252,0),0)</f>
        <v>0</v>
      </c>
      <c r="Q2533" s="169">
        <f>IFERROR(MATCH(J2533,'Final List'!$N$4:$N$252,0),0)</f>
        <v>0</v>
      </c>
      <c r="R2533" s="169">
        <f>IFERROR(MATCH(J2533,'Final List'!$P$4:$P$252,0),0)</f>
        <v>0</v>
      </c>
      <c r="S2533" s="169">
        <f t="shared" si="160"/>
        <v>0</v>
      </c>
      <c r="T2533" s="169" t="s">
        <v>68</v>
      </c>
      <c r="V2533" s="169" t="str">
        <f t="shared" si="161"/>
        <v>AGLOLO 1</v>
      </c>
      <c r="W2533" s="169" t="s">
        <v>2707</v>
      </c>
    </row>
    <row r="2534" spans="2:23" x14ac:dyDescent="0.25">
      <c r="B2534" s="169" t="s">
        <v>8904</v>
      </c>
      <c r="C2534" s="169" t="s">
        <v>87</v>
      </c>
      <c r="D2534" s="169" t="s">
        <v>11187</v>
      </c>
      <c r="E2534" s="169" t="s">
        <v>71</v>
      </c>
      <c r="F2534" s="245" t="str">
        <f t="shared" si="159"/>
        <v>DVS 75</v>
      </c>
      <c r="G2534" s="169" t="s">
        <v>329</v>
      </c>
      <c r="I2534" s="169" t="str">
        <f t="shared" si="162"/>
        <v>L03_NONE_TIGERWAYDSP4_SHAFT</v>
      </c>
      <c r="J2534" t="s">
        <v>11185</v>
      </c>
      <c r="K2534" s="169">
        <f>IFERROR(MATCH(J2534,'Final List'!$B$4:$B$252,0),0)</f>
        <v>0</v>
      </c>
      <c r="L2534" s="169">
        <f>IFERROR(MATCH(J2534,'Final List'!$D$4:$D$252,0),0)</f>
        <v>0</v>
      </c>
      <c r="M2534" s="169">
        <f>IFERROR(MATCH(J2534,'Final List'!$F$4:$F$251,0),0)</f>
        <v>0</v>
      </c>
      <c r="N2534" s="169">
        <f>IFERROR(MATCH(J2534,'Final List'!$H$4:$H$252,0),0)</f>
        <v>0</v>
      </c>
      <c r="O2534" s="169">
        <f>IFERROR(MATCH(J2534,'Final List'!$J$4:$J$252,0),0)</f>
        <v>0</v>
      </c>
      <c r="P2534" s="169">
        <f>IFERROR(MATCH(J2534,'Final List'!$L$4:$L$252,0),0)</f>
        <v>0</v>
      </c>
      <c r="Q2534" s="169">
        <f>IFERROR(MATCH(J2534,'Final List'!$N$4:$N$252,0),0)</f>
        <v>0</v>
      </c>
      <c r="R2534" s="169">
        <f>IFERROR(MATCH(J2534,'Final List'!$P$4:$P$252,0),0)</f>
        <v>0</v>
      </c>
      <c r="S2534" s="169">
        <f t="shared" si="160"/>
        <v>0</v>
      </c>
      <c r="V2534" s="169" t="str">
        <f t="shared" si="161"/>
        <v>OY-YOY 1</v>
      </c>
      <c r="W2534" s="169" t="s">
        <v>2714</v>
      </c>
    </row>
    <row r="2535" spans="2:23" x14ac:dyDescent="0.25">
      <c r="B2535" s="169" t="s">
        <v>8904</v>
      </c>
      <c r="C2535" s="169" t="s">
        <v>41</v>
      </c>
      <c r="D2535" s="169" t="s">
        <v>116</v>
      </c>
      <c r="E2535" s="169" t="s">
        <v>62</v>
      </c>
      <c r="F2535" s="245" t="str">
        <f t="shared" si="159"/>
        <v>RobS 79</v>
      </c>
      <c r="G2535" s="169" t="s">
        <v>10398</v>
      </c>
      <c r="I2535" s="169" t="str">
        <f t="shared" si="162"/>
        <v>L03_CTV_021W_ROBBING</v>
      </c>
      <c r="J2535" t="s">
        <v>11189</v>
      </c>
      <c r="K2535" s="169">
        <f>IFERROR(MATCH(J2535,'Final List'!$B$4:$B$252,0),0)</f>
        <v>0</v>
      </c>
      <c r="L2535" s="169">
        <f>IFERROR(MATCH(J2535,'Final List'!$D$4:$D$252,0),0)</f>
        <v>0</v>
      </c>
      <c r="M2535" s="169">
        <f>IFERROR(MATCH(J2535,'Final List'!$F$4:$F$251,0),0)</f>
        <v>0</v>
      </c>
      <c r="N2535" s="169">
        <f>IFERROR(MATCH(J2535,'Final List'!$H$4:$H$252,0),0)</f>
        <v>0</v>
      </c>
      <c r="O2535" s="169">
        <f>IFERROR(MATCH(J2535,'Final List'!$J$4:$J$252,0),0)</f>
        <v>0</v>
      </c>
      <c r="P2535" s="169">
        <f>IFERROR(MATCH(J2535,'Final List'!$L$4:$L$252,0),0)</f>
        <v>0</v>
      </c>
      <c r="Q2535" s="169">
        <f>IFERROR(MATCH(J2535,'Final List'!$N$4:$N$252,0),0)</f>
        <v>0</v>
      </c>
      <c r="R2535" s="169">
        <f>IFERROR(MATCH(J2535,'Final List'!$P$4:$P$252,0),0)</f>
        <v>0</v>
      </c>
      <c r="S2535" s="169">
        <f t="shared" si="160"/>
        <v>0</v>
      </c>
      <c r="T2535" s="169" t="s">
        <v>68</v>
      </c>
      <c r="V2535" s="169" t="str">
        <f t="shared" si="161"/>
        <v>FERNANDEZ, RM 5</v>
      </c>
      <c r="W2535" s="169" t="s">
        <v>2707</v>
      </c>
    </row>
    <row r="2536" spans="2:23" x14ac:dyDescent="0.25">
      <c r="B2536" s="169" t="s">
        <v>258</v>
      </c>
      <c r="C2536" s="169" t="s">
        <v>45</v>
      </c>
      <c r="D2536" s="169" t="s">
        <v>218</v>
      </c>
      <c r="E2536" s="169" t="s">
        <v>62</v>
      </c>
      <c r="F2536" s="245" t="str">
        <f t="shared" si="159"/>
        <v>RobS 79</v>
      </c>
      <c r="G2536" s="169" t="s">
        <v>5704</v>
      </c>
      <c r="I2536" s="169" t="str">
        <f t="shared" si="162"/>
        <v>L10_DPVE_062E_ROBBING</v>
      </c>
      <c r="J2536" t="s">
        <v>11190</v>
      </c>
      <c r="K2536" s="169">
        <f>IFERROR(MATCH(J2536,'Final List'!$B$4:$B$252,0),0)</f>
        <v>0</v>
      </c>
      <c r="L2536" s="169">
        <f>IFERROR(MATCH(J2536,'Final List'!$D$4:$D$252,0),0)</f>
        <v>0</v>
      </c>
      <c r="M2536" s="169">
        <f>IFERROR(MATCH(J2536,'Final List'!$F$4:$F$251,0),0)</f>
        <v>0</v>
      </c>
      <c r="N2536" s="169">
        <f>IFERROR(MATCH(J2536,'Final List'!$H$4:$H$252,0),0)</f>
        <v>0</v>
      </c>
      <c r="O2536" s="169">
        <f>IFERROR(MATCH(J2536,'Final List'!$J$4:$J$252,0),0)</f>
        <v>0</v>
      </c>
      <c r="P2536" s="169">
        <f>IFERROR(MATCH(J2536,'Final List'!$L$4:$L$252,0),0)</f>
        <v>0</v>
      </c>
      <c r="Q2536" s="169">
        <f>IFERROR(MATCH(J2536,'Final List'!$N$4:$N$252,0),0)</f>
        <v>0</v>
      </c>
      <c r="R2536" s="169">
        <f>IFERROR(MATCH(J2536,'Final List'!$P$4:$P$252,0),0)</f>
        <v>0</v>
      </c>
      <c r="S2536" s="169">
        <f t="shared" si="160"/>
        <v>0</v>
      </c>
      <c r="T2536" s="169" t="s">
        <v>68</v>
      </c>
      <c r="V2536" s="169" t="str">
        <f t="shared" si="161"/>
        <v>OLIVEROS 3</v>
      </c>
      <c r="W2536" s="169" t="s">
        <v>2707</v>
      </c>
    </row>
    <row r="2537" spans="2:23" x14ac:dyDescent="0.25">
      <c r="B2537" s="169" t="s">
        <v>258</v>
      </c>
      <c r="C2537" s="169" t="s">
        <v>59</v>
      </c>
      <c r="D2537" s="169" t="s">
        <v>167</v>
      </c>
      <c r="E2537" s="169" t="s">
        <v>36</v>
      </c>
      <c r="F2537" s="245" t="str">
        <f t="shared" si="159"/>
        <v>StpS 77</v>
      </c>
      <c r="G2537" s="169" t="s">
        <v>317</v>
      </c>
      <c r="I2537" s="169" t="str">
        <f t="shared" si="162"/>
        <v>L10_GHVHW_058E_STOPE</v>
      </c>
      <c r="J2537" t="s">
        <v>4716</v>
      </c>
      <c r="K2537" s="169">
        <f>IFERROR(MATCH(J2537,'Final List'!$B$4:$B$252,0),0)</f>
        <v>0</v>
      </c>
      <c r="L2537" s="169">
        <f>IFERROR(MATCH(J2537,'Final List'!$D$4:$D$252,0),0)</f>
        <v>0</v>
      </c>
      <c r="M2537" s="169">
        <f>IFERROR(MATCH(J2537,'Final List'!$F$4:$F$251,0),0)</f>
        <v>0</v>
      </c>
      <c r="N2537" s="169">
        <f>IFERROR(MATCH(J2537,'Final List'!$H$4:$H$252,0),0)</f>
        <v>0</v>
      </c>
      <c r="O2537" s="169">
        <f>IFERROR(MATCH(J2537,'Final List'!$J$4:$J$252,0),0)</f>
        <v>0</v>
      </c>
      <c r="P2537" s="169">
        <f>IFERROR(MATCH(J2537,'Final List'!$L$4:$L$252,0),0)</f>
        <v>0</v>
      </c>
      <c r="Q2537" s="169">
        <f>IFERROR(MATCH(J2537,'Final List'!$N$4:$N$252,0),0)</f>
        <v>0</v>
      </c>
      <c r="R2537" s="169">
        <f>IFERROR(MATCH(J2537,'Final List'!$P$4:$P$252,0),0)</f>
        <v>0</v>
      </c>
      <c r="S2537" s="169">
        <f t="shared" si="160"/>
        <v>0</v>
      </c>
      <c r="T2537" s="169" t="s">
        <v>68</v>
      </c>
      <c r="V2537" s="169" t="str">
        <f t="shared" si="161"/>
        <v>PARAGUYA 2</v>
      </c>
      <c r="W2537" s="169" t="s">
        <v>2713</v>
      </c>
    </row>
    <row r="2538" spans="2:23" x14ac:dyDescent="0.25">
      <c r="B2538" s="169" t="s">
        <v>1166</v>
      </c>
      <c r="C2538" s="169" t="s">
        <v>45</v>
      </c>
      <c r="D2538" s="169" t="s">
        <v>168</v>
      </c>
      <c r="E2538" s="169" t="s">
        <v>61</v>
      </c>
      <c r="F2538" s="245" t="str">
        <f t="shared" si="159"/>
        <v>Dhoz 71</v>
      </c>
      <c r="G2538" s="169" t="s">
        <v>6926</v>
      </c>
      <c r="I2538" s="169" t="str">
        <f t="shared" si="162"/>
        <v>L11_DPVE_047E_DW</v>
      </c>
      <c r="J2538" t="s">
        <v>11192</v>
      </c>
      <c r="K2538" s="169">
        <f>IFERROR(MATCH(J2538,'Final List'!$B$4:$B$252,0),0)</f>
        <v>0</v>
      </c>
      <c r="L2538" s="169">
        <f>IFERROR(MATCH(J2538,'Final List'!$D$4:$D$252,0),0)</f>
        <v>0</v>
      </c>
      <c r="M2538" s="169">
        <f>IFERROR(MATCH(J2538,'Final List'!$F$4:$F$251,0),0)</f>
        <v>0</v>
      </c>
      <c r="N2538" s="169">
        <f>IFERROR(MATCH(J2538,'Final List'!$H$4:$H$252,0),0)</f>
        <v>0</v>
      </c>
      <c r="O2538" s="169">
        <f>IFERROR(MATCH(J2538,'Final List'!$J$4:$J$252,0),0)</f>
        <v>0</v>
      </c>
      <c r="P2538" s="169">
        <f>IFERROR(MATCH(J2538,'Final List'!$L$4:$L$252,0),0)</f>
        <v>0</v>
      </c>
      <c r="Q2538" s="169">
        <f>IFERROR(MATCH(J2538,'Final List'!$N$4:$N$252,0),0)</f>
        <v>0</v>
      </c>
      <c r="R2538" s="169">
        <f>IFERROR(MATCH(J2538,'Final List'!$P$4:$P$252,0),0)</f>
        <v>0</v>
      </c>
      <c r="S2538" s="169">
        <f t="shared" si="160"/>
        <v>0</v>
      </c>
      <c r="V2538" s="169" t="str">
        <f t="shared" si="161"/>
        <v>DUHIG, R1</v>
      </c>
      <c r="W2538" s="169" t="s">
        <v>8896</v>
      </c>
    </row>
    <row r="2539" spans="2:23" x14ac:dyDescent="0.25">
      <c r="B2539" s="169" t="s">
        <v>1167</v>
      </c>
      <c r="C2539" s="169" t="s">
        <v>59</v>
      </c>
      <c r="D2539" s="169" t="s">
        <v>198</v>
      </c>
      <c r="E2539" s="169" t="s">
        <v>19</v>
      </c>
      <c r="F2539" s="245" t="str">
        <f t="shared" si="159"/>
        <v>DVR 72</v>
      </c>
      <c r="G2539" s="169" t="s">
        <v>10002</v>
      </c>
      <c r="I2539" s="169" t="str">
        <f t="shared" si="162"/>
        <v>L12_GHVHW_069E_RAISE</v>
      </c>
      <c r="J2539" t="s">
        <v>11194</v>
      </c>
      <c r="K2539" s="169">
        <f>IFERROR(MATCH(J2539,'Final List'!$B$4:$B$252,0),0)</f>
        <v>0</v>
      </c>
      <c r="L2539" s="169">
        <f>IFERROR(MATCH(J2539,'Final List'!$D$4:$D$252,0),0)</f>
        <v>0</v>
      </c>
      <c r="M2539" s="169">
        <f>IFERROR(MATCH(J2539,'Final List'!$F$4:$F$251,0),0)</f>
        <v>0</v>
      </c>
      <c r="N2539" s="169">
        <f>IFERROR(MATCH(J2539,'Final List'!$H$4:$H$252,0),0)</f>
        <v>0</v>
      </c>
      <c r="O2539" s="169">
        <f>IFERROR(MATCH(J2539,'Final List'!$J$4:$J$252,0),0)</f>
        <v>0</v>
      </c>
      <c r="P2539" s="169">
        <f>IFERROR(MATCH(J2539,'Final List'!$L$4:$L$252,0),0)</f>
        <v>0</v>
      </c>
      <c r="Q2539" s="169">
        <f>IFERROR(MATCH(J2539,'Final List'!$N$4:$N$252,0),0)</f>
        <v>0</v>
      </c>
      <c r="R2539" s="169">
        <f>IFERROR(MATCH(J2539,'Final List'!$P$4:$P$252,0),0)</f>
        <v>0</v>
      </c>
      <c r="S2539" s="169">
        <f t="shared" si="160"/>
        <v>0</v>
      </c>
      <c r="V2539" s="169" t="str">
        <f t="shared" si="161"/>
        <v>CAYMAN 3</v>
      </c>
      <c r="W2539" s="169" t="s">
        <v>2715</v>
      </c>
    </row>
    <row r="2540" spans="2:23" x14ac:dyDescent="0.25">
      <c r="B2540" s="169" t="s">
        <v>1167</v>
      </c>
      <c r="C2540" s="169" t="s">
        <v>56</v>
      </c>
      <c r="D2540" s="169" t="s">
        <v>218</v>
      </c>
      <c r="E2540" s="169" t="s">
        <v>61</v>
      </c>
      <c r="F2540" s="245" t="str">
        <f t="shared" si="159"/>
        <v>Dhoz 71</v>
      </c>
      <c r="G2540" s="169" t="s">
        <v>1808</v>
      </c>
      <c r="I2540" s="169" t="str">
        <f t="shared" si="162"/>
        <v>L12_GHVFW_062E_DW</v>
      </c>
      <c r="J2540" t="s">
        <v>11195</v>
      </c>
      <c r="K2540" s="169">
        <f>IFERROR(MATCH(J2540,'Final List'!$B$4:$B$252,0),0)</f>
        <v>0</v>
      </c>
      <c r="L2540" s="169">
        <f>IFERROR(MATCH(J2540,'Final List'!$D$4:$D$252,0),0)</f>
        <v>0</v>
      </c>
      <c r="M2540" s="169">
        <f>IFERROR(MATCH(J2540,'Final List'!$F$4:$F$251,0),0)</f>
        <v>0</v>
      </c>
      <c r="N2540" s="169">
        <f>IFERROR(MATCH(J2540,'Final List'!$H$4:$H$252,0),0)</f>
        <v>0</v>
      </c>
      <c r="O2540" s="169">
        <f>IFERROR(MATCH(J2540,'Final List'!$J$4:$J$252,0),0)</f>
        <v>0</v>
      </c>
      <c r="P2540" s="169">
        <f>IFERROR(MATCH(J2540,'Final List'!$L$4:$L$252,0),0)</f>
        <v>0</v>
      </c>
      <c r="Q2540" s="169">
        <f>IFERROR(MATCH(J2540,'Final List'!$N$4:$N$252,0),0)</f>
        <v>0</v>
      </c>
      <c r="R2540" s="169">
        <f>IFERROR(MATCH(J2540,'Final List'!$P$4:$P$252,0),0)</f>
        <v>0</v>
      </c>
      <c r="S2540" s="169">
        <f t="shared" si="160"/>
        <v>0</v>
      </c>
      <c r="V2540" s="169" t="str">
        <f t="shared" si="161"/>
        <v>PANCIT NOEL 4</v>
      </c>
      <c r="W2540" s="169" t="s">
        <v>8896</v>
      </c>
    </row>
    <row r="2541" spans="2:23" x14ac:dyDescent="0.25">
      <c r="B2541" s="169" t="s">
        <v>96</v>
      </c>
      <c r="C2541" s="169" t="s">
        <v>45</v>
      </c>
      <c r="D2541" s="169" t="s">
        <v>159</v>
      </c>
      <c r="E2541" s="169" t="s">
        <v>20</v>
      </c>
      <c r="F2541" s="245" t="str">
        <f t="shared" si="159"/>
        <v>DVW 74</v>
      </c>
      <c r="G2541" s="169" t="s">
        <v>746</v>
      </c>
      <c r="I2541" s="169" t="str">
        <f t="shared" si="162"/>
        <v>L09_DPVE_023E_WINZE</v>
      </c>
      <c r="J2541" t="s">
        <v>11197</v>
      </c>
      <c r="K2541" s="169">
        <f>IFERROR(MATCH(J2541,'Final List'!$B$4:$B$252,0),0)</f>
        <v>0</v>
      </c>
      <c r="L2541" s="169">
        <f>IFERROR(MATCH(J2541,'Final List'!$D$4:$D$252,0),0)</f>
        <v>0</v>
      </c>
      <c r="M2541" s="169">
        <f>IFERROR(MATCH(J2541,'Final List'!$F$4:$F$251,0),0)</f>
        <v>0</v>
      </c>
      <c r="N2541" s="169">
        <f>IFERROR(MATCH(J2541,'Final List'!$H$4:$H$252,0),0)</f>
        <v>0</v>
      </c>
      <c r="O2541" s="169">
        <f>IFERROR(MATCH(J2541,'Final List'!$J$4:$J$252,0),0)</f>
        <v>0</v>
      </c>
      <c r="P2541" s="169">
        <f>IFERROR(MATCH(J2541,'Final List'!$L$4:$L$252,0),0)</f>
        <v>0</v>
      </c>
      <c r="Q2541" s="169">
        <f>IFERROR(MATCH(J2541,'Final List'!$N$4:$N$252,0),0)</f>
        <v>0</v>
      </c>
      <c r="R2541" s="169">
        <f>IFERROR(MATCH(J2541,'Final List'!$P$4:$P$252,0),0)</f>
        <v>0</v>
      </c>
      <c r="S2541" s="169">
        <f t="shared" si="160"/>
        <v>0</v>
      </c>
      <c r="V2541" s="169" t="str">
        <f t="shared" si="161"/>
        <v>CANOY 1</v>
      </c>
      <c r="W2541" s="169" t="s">
        <v>2706</v>
      </c>
    </row>
    <row r="2542" spans="2:23" x14ac:dyDescent="0.25">
      <c r="B2542" s="169" t="s">
        <v>96</v>
      </c>
      <c r="C2542" s="169" t="s">
        <v>56</v>
      </c>
      <c r="D2542" s="169" t="s">
        <v>172</v>
      </c>
      <c r="E2542" s="169" t="s">
        <v>20</v>
      </c>
      <c r="F2542" s="245" t="str">
        <f t="shared" si="159"/>
        <v>DVW 74</v>
      </c>
      <c r="G2542" s="169" t="s">
        <v>9422</v>
      </c>
      <c r="I2542" s="169" t="str">
        <f t="shared" si="162"/>
        <v>L09_GHVFW_045E_WINZE</v>
      </c>
      <c r="J2542" s="169" t="s">
        <v>11200</v>
      </c>
      <c r="K2542" s="169">
        <f>IFERROR(MATCH(J2542,'Final List'!$B$4:$B$252,0),0)</f>
        <v>0</v>
      </c>
      <c r="L2542" s="169">
        <f>IFERROR(MATCH(J2542,'Final List'!$D$4:$D$252,0),0)</f>
        <v>0</v>
      </c>
      <c r="M2542" s="169">
        <f>IFERROR(MATCH(J2542,'Final List'!$F$4:$F$251,0),0)</f>
        <v>0</v>
      </c>
      <c r="N2542" s="169">
        <f>IFERROR(MATCH(J2542,'Final List'!$H$4:$H$252,0),0)</f>
        <v>0</v>
      </c>
      <c r="O2542" s="169">
        <f>IFERROR(MATCH(J2542,'Final List'!$J$4:$J$252,0),0)</f>
        <v>0</v>
      </c>
      <c r="P2542" s="169">
        <f>IFERROR(MATCH(J2542,'Final List'!$L$4:$L$252,0),0)</f>
        <v>0</v>
      </c>
      <c r="Q2542" s="169">
        <f>IFERROR(MATCH(J2542,'Final List'!$N$4:$N$252,0),0)</f>
        <v>0</v>
      </c>
      <c r="R2542" s="169">
        <f>IFERROR(MATCH(J2542,'Final List'!$P$4:$P$252,0),0)</f>
        <v>0</v>
      </c>
      <c r="S2542" s="169">
        <f t="shared" si="160"/>
        <v>0</v>
      </c>
      <c r="V2542" s="169" t="str">
        <f t="shared" si="161"/>
        <v>SHEPHERD AY 1</v>
      </c>
      <c r="W2542" s="169" t="s">
        <v>2706</v>
      </c>
    </row>
    <row r="2543" spans="2:23" x14ac:dyDescent="0.25">
      <c r="B2543" s="169" t="s">
        <v>95</v>
      </c>
      <c r="C2543" s="169" t="s">
        <v>45</v>
      </c>
      <c r="D2543" s="169" t="s">
        <v>5912</v>
      </c>
      <c r="E2543" s="169" t="s">
        <v>62</v>
      </c>
      <c r="F2543" s="245" t="str">
        <f t="shared" si="159"/>
        <v>RobS 79</v>
      </c>
      <c r="G2543" s="169" t="s">
        <v>9753</v>
      </c>
      <c r="I2543" s="169" t="str">
        <f t="shared" si="162"/>
        <v>L08_DPVE_019E_ROBBING</v>
      </c>
      <c r="J2543" s="169" t="s">
        <v>11198</v>
      </c>
      <c r="K2543" s="169">
        <f>IFERROR(MATCH(J2543,'Final List'!$B$4:$B$252,0),0)</f>
        <v>0</v>
      </c>
      <c r="L2543" s="169">
        <f>IFERROR(MATCH(J2543,'Final List'!$D$4:$D$252,0),0)</f>
        <v>0</v>
      </c>
      <c r="M2543" s="169">
        <f>IFERROR(MATCH(J2543,'Final List'!$F$4:$F$251,0),0)</f>
        <v>0</v>
      </c>
      <c r="N2543" s="169">
        <f>IFERROR(MATCH(J2543,'Final List'!$H$4:$H$252,0),0)</f>
        <v>0</v>
      </c>
      <c r="O2543" s="169">
        <f>IFERROR(MATCH(J2543,'Final List'!$J$4:$J$252,0),0)</f>
        <v>0</v>
      </c>
      <c r="P2543" s="169">
        <f>IFERROR(MATCH(J2543,'Final List'!$L$4:$L$252,0),0)</f>
        <v>0</v>
      </c>
      <c r="Q2543" s="169">
        <f>IFERROR(MATCH(J2543,'Final List'!$N$4:$N$252,0),0)</f>
        <v>0</v>
      </c>
      <c r="R2543" s="169">
        <f>IFERROR(MATCH(J2543,'Final List'!$P$4:$P$252,0),0)</f>
        <v>0</v>
      </c>
      <c r="S2543" s="169">
        <f t="shared" si="160"/>
        <v>0</v>
      </c>
      <c r="T2543" s="169" t="s">
        <v>68</v>
      </c>
      <c r="V2543" s="169" t="str">
        <f t="shared" si="161"/>
        <v>CAPUYAN 2</v>
      </c>
      <c r="W2543" s="169" t="s">
        <v>2707</v>
      </c>
    </row>
    <row r="2544" spans="2:23" x14ac:dyDescent="0.25">
      <c r="B2544" s="169" t="s">
        <v>95</v>
      </c>
      <c r="C2544" s="169" t="s">
        <v>38</v>
      </c>
      <c r="D2544" s="169" t="s">
        <v>6833</v>
      </c>
      <c r="E2544" s="169" t="s">
        <v>61</v>
      </c>
      <c r="F2544" s="245" t="str">
        <f t="shared" si="159"/>
        <v>Dhoz 71</v>
      </c>
      <c r="G2544" s="169" t="s">
        <v>305</v>
      </c>
      <c r="I2544" s="169" t="str">
        <f t="shared" si="162"/>
        <v>L08_GHV_017W_DW</v>
      </c>
      <c r="J2544" s="169" t="s">
        <v>11205</v>
      </c>
      <c r="K2544" s="169">
        <f>IFERROR(MATCH(J2544,'Final List'!$B$4:$B$252,0),0)</f>
        <v>0</v>
      </c>
      <c r="L2544" s="169">
        <f>IFERROR(MATCH(J2544,'Final List'!$D$4:$D$252,0),0)</f>
        <v>0</v>
      </c>
      <c r="M2544" s="169">
        <f>IFERROR(MATCH(J2544,'Final List'!$F$4:$F$251,0),0)</f>
        <v>0</v>
      </c>
      <c r="N2544" s="169">
        <f>IFERROR(MATCH(J2544,'Final List'!$H$4:$H$252,0),0)</f>
        <v>0</v>
      </c>
      <c r="O2544" s="169">
        <f>IFERROR(MATCH(J2544,'Final List'!$J$4:$J$252,0),0)</f>
        <v>0</v>
      </c>
      <c r="P2544" s="169">
        <f>IFERROR(MATCH(J2544,'Final List'!$L$4:$L$252,0),0)</f>
        <v>0</v>
      </c>
      <c r="Q2544" s="169">
        <f>IFERROR(MATCH(J2544,'Final List'!$N$4:$N$252,0),0)</f>
        <v>0</v>
      </c>
      <c r="R2544" s="169">
        <f>IFERROR(MATCH(J2544,'Final List'!$P$4:$P$252,0),0)</f>
        <v>0</v>
      </c>
      <c r="S2544" s="169">
        <f t="shared" si="160"/>
        <v>0</v>
      </c>
      <c r="V2544" s="169" t="str">
        <f t="shared" si="161"/>
        <v>CABONITA 1</v>
      </c>
      <c r="W2544" s="169" t="s">
        <v>8895</v>
      </c>
    </row>
    <row r="2545" spans="2:23" x14ac:dyDescent="0.25">
      <c r="B2545" s="169" t="s">
        <v>96</v>
      </c>
      <c r="C2545" s="169" t="s">
        <v>45</v>
      </c>
      <c r="D2545" s="169" t="s">
        <v>1230</v>
      </c>
      <c r="E2545" s="169" t="s">
        <v>60</v>
      </c>
      <c r="F2545" s="245" t="str">
        <f t="shared" si="159"/>
        <v>Dhoz 71</v>
      </c>
      <c r="G2545" s="169" t="s">
        <v>6621</v>
      </c>
      <c r="I2545" s="169" t="str">
        <f t="shared" si="162"/>
        <v>L09_DPVE_075E_DE</v>
      </c>
      <c r="J2545" s="169" t="s">
        <v>11209</v>
      </c>
      <c r="K2545" s="169">
        <f>IFERROR(MATCH(J2545,'Final List'!$B$4:$B$252,0),0)</f>
        <v>0</v>
      </c>
      <c r="L2545" s="169">
        <f>IFERROR(MATCH(J2545,'Final List'!$D$4:$D$252,0),0)</f>
        <v>0</v>
      </c>
      <c r="M2545" s="169">
        <f>IFERROR(MATCH(J2545,'Final List'!$F$4:$F$251,0),0)</f>
        <v>0</v>
      </c>
      <c r="N2545" s="169">
        <f>IFERROR(MATCH(J2545,'Final List'!$H$4:$H$252,0),0)</f>
        <v>0</v>
      </c>
      <c r="O2545" s="169">
        <f>IFERROR(MATCH(J2545,'Final List'!$J$4:$J$252,0),0)</f>
        <v>0</v>
      </c>
      <c r="P2545" s="169">
        <f>IFERROR(MATCH(J2545,'Final List'!$L$4:$L$252,0),0)</f>
        <v>0</v>
      </c>
      <c r="Q2545" s="169">
        <f>IFERROR(MATCH(J2545,'Final List'!$N$4:$N$252,0),0)</f>
        <v>0</v>
      </c>
      <c r="R2545" s="169">
        <f>IFERROR(MATCH(J2545,'Final List'!$P$4:$P$252,0),0)</f>
        <v>0</v>
      </c>
      <c r="S2545" s="169">
        <f t="shared" si="160"/>
        <v>0</v>
      </c>
      <c r="V2545" s="169" t="str">
        <f t="shared" si="161"/>
        <v>DELOS REYES V1</v>
      </c>
      <c r="W2545" s="169" t="s">
        <v>8896</v>
      </c>
    </row>
    <row r="2546" spans="2:23" x14ac:dyDescent="0.25">
      <c r="B2546" s="169" t="s">
        <v>258</v>
      </c>
      <c r="C2546" s="169" t="s">
        <v>39</v>
      </c>
      <c r="D2546" s="169" t="s">
        <v>175</v>
      </c>
      <c r="E2546" s="169" t="s">
        <v>62</v>
      </c>
      <c r="F2546" s="245" t="str">
        <f t="shared" si="159"/>
        <v>RobS 79</v>
      </c>
      <c r="G2546" s="169" t="s">
        <v>5704</v>
      </c>
      <c r="I2546" s="169" t="str">
        <f t="shared" si="162"/>
        <v>L10_JVHW_060E_ROBBING</v>
      </c>
      <c r="J2546" s="169" t="s">
        <v>11217</v>
      </c>
      <c r="K2546" s="169">
        <f>IFERROR(MATCH(J2546,'Final List'!$B$4:$B$252,0),0)</f>
        <v>0</v>
      </c>
      <c r="L2546" s="169">
        <f>IFERROR(MATCH(J2546,'Final List'!$D$4:$D$252,0),0)</f>
        <v>0</v>
      </c>
      <c r="M2546" s="169">
        <f>IFERROR(MATCH(J2546,'Final List'!$F$4:$F$251,0),0)</f>
        <v>0</v>
      </c>
      <c r="N2546" s="169">
        <f>IFERROR(MATCH(J2546,'Final List'!$H$4:$H$252,0),0)</f>
        <v>0</v>
      </c>
      <c r="O2546" s="169">
        <f>IFERROR(MATCH(J2546,'Final List'!$J$4:$J$252,0),0)</f>
        <v>0</v>
      </c>
      <c r="P2546" s="169">
        <f>IFERROR(MATCH(J2546,'Final List'!$L$4:$L$252,0),0)</f>
        <v>0</v>
      </c>
      <c r="Q2546" s="169">
        <f>IFERROR(MATCH(J2546,'Final List'!$N$4:$N$252,0),0)</f>
        <v>0</v>
      </c>
      <c r="R2546" s="169">
        <f>IFERROR(MATCH(J2546,'Final List'!$P$4:$P$252,0),0)</f>
        <v>0</v>
      </c>
      <c r="S2546" s="169">
        <f t="shared" si="160"/>
        <v>0</v>
      </c>
      <c r="T2546" s="169" t="s">
        <v>68</v>
      </c>
      <c r="V2546" s="169" t="str">
        <f t="shared" si="161"/>
        <v>OLIVEROS 3</v>
      </c>
      <c r="W2546" s="169" t="s">
        <v>2707</v>
      </c>
    </row>
    <row r="2547" spans="2:23" x14ac:dyDescent="0.25">
      <c r="B2547" s="169" t="s">
        <v>8904</v>
      </c>
      <c r="C2547" s="169" t="s">
        <v>44</v>
      </c>
      <c r="D2547" s="169" t="s">
        <v>108</v>
      </c>
      <c r="E2547" s="169" t="s">
        <v>62</v>
      </c>
      <c r="F2547" s="245" t="str">
        <f t="shared" si="159"/>
        <v>RobS 79</v>
      </c>
      <c r="G2547" s="169" t="s">
        <v>10062</v>
      </c>
      <c r="I2547" s="169" t="str">
        <f t="shared" si="162"/>
        <v>L03_CV_007W_ROBBING</v>
      </c>
      <c r="J2547" s="169" t="s">
        <v>11427</v>
      </c>
      <c r="K2547" s="169">
        <f>IFERROR(MATCH(J2547,'Final List'!$B$4:$B$252,0),0)</f>
        <v>0</v>
      </c>
      <c r="L2547" s="169">
        <f>IFERROR(MATCH(J2547,'Final List'!$D$4:$D$252,0),0)</f>
        <v>0</v>
      </c>
      <c r="M2547" s="169">
        <f>IFERROR(MATCH(J2547,'Final List'!$F$4:$F$251,0),0)</f>
        <v>0</v>
      </c>
      <c r="N2547" s="169">
        <f>IFERROR(MATCH(J2547,'Final List'!$H$4:$H$252,0),0)</f>
        <v>0</v>
      </c>
      <c r="O2547" s="169">
        <f>IFERROR(MATCH(J2547,'Final List'!$J$4:$J$252,0),0)</f>
        <v>0</v>
      </c>
      <c r="P2547" s="169">
        <f>IFERROR(MATCH(J2547,'Final List'!$L$4:$L$252,0),0)</f>
        <v>0</v>
      </c>
      <c r="Q2547" s="169">
        <f>IFERROR(MATCH(J2547,'Final List'!$N$4:$N$252,0),0)</f>
        <v>0</v>
      </c>
      <c r="R2547" s="169">
        <f>IFERROR(MATCH(J2547,'Final List'!$P$4:$P$252,0),0)</f>
        <v>0</v>
      </c>
      <c r="S2547" s="169">
        <f t="shared" si="160"/>
        <v>0</v>
      </c>
      <c r="T2547" s="169" t="s">
        <v>68</v>
      </c>
      <c r="V2547" s="169" t="str">
        <f t="shared" si="161"/>
        <v>FERNANDEZ, RM 6</v>
      </c>
      <c r="W2547" s="169" t="s">
        <v>2707</v>
      </c>
    </row>
    <row r="2548" spans="2:23" x14ac:dyDescent="0.25">
      <c r="B2548" s="169" t="s">
        <v>96</v>
      </c>
      <c r="C2548" s="169" t="s">
        <v>42</v>
      </c>
      <c r="D2548" s="169" t="s">
        <v>5741</v>
      </c>
      <c r="E2548" s="169" t="s">
        <v>60</v>
      </c>
      <c r="F2548" s="245" t="str">
        <f t="shared" si="159"/>
        <v>Dhoz 71</v>
      </c>
      <c r="G2548" s="169" t="s">
        <v>2972</v>
      </c>
      <c r="I2548" s="169" t="str">
        <f t="shared" si="162"/>
        <v>L09_JV_035E_DE</v>
      </c>
      <c r="J2548" s="169" t="s">
        <v>11210</v>
      </c>
      <c r="K2548" s="169">
        <f>IFERROR(MATCH(J2548,'Final List'!$B$4:$B$252,0),0)</f>
        <v>0</v>
      </c>
      <c r="L2548" s="169">
        <f>IFERROR(MATCH(J2548,'Final List'!$D$4:$D$252,0),0)</f>
        <v>0</v>
      </c>
      <c r="M2548" s="169">
        <f>IFERROR(MATCH(J2548,'Final List'!$F$4:$F$251,0),0)</f>
        <v>0</v>
      </c>
      <c r="N2548" s="169">
        <f>IFERROR(MATCH(J2548,'Final List'!$H$4:$H$252,0),0)</f>
        <v>0</v>
      </c>
      <c r="O2548" s="169">
        <f>IFERROR(MATCH(J2548,'Final List'!$J$4:$J$252,0),0)</f>
        <v>0</v>
      </c>
      <c r="P2548" s="169">
        <f>IFERROR(MATCH(J2548,'Final List'!$L$4:$L$252,0),0)</f>
        <v>0</v>
      </c>
      <c r="Q2548" s="169">
        <f>IFERROR(MATCH(J2548,'Final List'!$N$4:$N$252,0),0)</f>
        <v>0</v>
      </c>
      <c r="R2548" s="169">
        <f>IFERROR(MATCH(J2548,'Final List'!$P$4:$P$252,0),0)</f>
        <v>0</v>
      </c>
      <c r="S2548" s="169">
        <f t="shared" si="160"/>
        <v>0</v>
      </c>
      <c r="V2548" s="169" t="str">
        <f t="shared" si="161"/>
        <v>FABROA 1</v>
      </c>
      <c r="W2548" s="169" t="s">
        <v>8896</v>
      </c>
    </row>
    <row r="2549" spans="2:23" x14ac:dyDescent="0.25">
      <c r="B2549" s="169" t="s">
        <v>258</v>
      </c>
      <c r="C2549" s="169" t="s">
        <v>43</v>
      </c>
      <c r="D2549" s="169" t="s">
        <v>146</v>
      </c>
      <c r="E2549" s="169" t="s">
        <v>19</v>
      </c>
      <c r="F2549" s="245" t="str">
        <f t="shared" si="159"/>
        <v>DVR 72</v>
      </c>
      <c r="G2549" s="169" t="s">
        <v>5701</v>
      </c>
      <c r="I2549" s="169" t="str">
        <f t="shared" si="162"/>
        <v>L10_GHVSPLIT_030E_RAISE</v>
      </c>
      <c r="J2549" s="169" t="s">
        <v>11212</v>
      </c>
      <c r="K2549" s="169">
        <f>IFERROR(MATCH(J2549,'Final List'!$B$4:$B$252,0),0)</f>
        <v>0</v>
      </c>
      <c r="L2549" s="169">
        <f>IFERROR(MATCH(J2549,'Final List'!$D$4:$D$252,0),0)</f>
        <v>0</v>
      </c>
      <c r="M2549" s="169">
        <f>IFERROR(MATCH(J2549,'Final List'!$F$4:$F$251,0),0)</f>
        <v>0</v>
      </c>
      <c r="N2549" s="169">
        <f>IFERROR(MATCH(J2549,'Final List'!$H$4:$H$252,0),0)</f>
        <v>0</v>
      </c>
      <c r="O2549" s="169">
        <f>IFERROR(MATCH(J2549,'Final List'!$J$4:$J$252,0),0)</f>
        <v>0</v>
      </c>
      <c r="P2549" s="169">
        <f>IFERROR(MATCH(J2549,'Final List'!$L$4:$L$252,0),0)</f>
        <v>0</v>
      </c>
      <c r="Q2549" s="169">
        <f>IFERROR(MATCH(J2549,'Final List'!$N$4:$N$252,0),0)</f>
        <v>0</v>
      </c>
      <c r="R2549" s="169">
        <f>IFERROR(MATCH(J2549,'Final List'!$P$4:$P$252,0),0)</f>
        <v>0</v>
      </c>
      <c r="S2549" s="169">
        <f t="shared" si="160"/>
        <v>0</v>
      </c>
      <c r="V2549" s="169" t="str">
        <f t="shared" si="161"/>
        <v>LARGO 2</v>
      </c>
      <c r="W2549" s="169" t="s">
        <v>2715</v>
      </c>
    </row>
    <row r="2550" spans="2:23" x14ac:dyDescent="0.25">
      <c r="B2550" s="169" t="s">
        <v>258</v>
      </c>
      <c r="C2550" s="169" t="s">
        <v>57</v>
      </c>
      <c r="D2550" s="169" t="s">
        <v>161</v>
      </c>
      <c r="E2550" s="169" t="s">
        <v>19</v>
      </c>
      <c r="F2550" s="245" t="str">
        <f t="shared" si="159"/>
        <v>DVR 72</v>
      </c>
      <c r="G2550" s="169" t="s">
        <v>303</v>
      </c>
      <c r="I2550" s="169" t="str">
        <f t="shared" si="162"/>
        <v>L10_JVSPLIT_044E_RAISE</v>
      </c>
      <c r="J2550" s="169" t="s">
        <v>11213</v>
      </c>
      <c r="K2550" s="169">
        <f>IFERROR(MATCH(J2550,'Final List'!$B$4:$B$252,0),0)</f>
        <v>0</v>
      </c>
      <c r="L2550" s="169">
        <f>IFERROR(MATCH(J2550,'Final List'!$D$4:$D$252,0),0)</f>
        <v>0</v>
      </c>
      <c r="M2550" s="169">
        <f>IFERROR(MATCH(J2550,'Final List'!$F$4:$F$251,0),0)</f>
        <v>0</v>
      </c>
      <c r="N2550" s="169">
        <f>IFERROR(MATCH(J2550,'Final List'!$H$4:$H$252,0),0)</f>
        <v>0</v>
      </c>
      <c r="O2550" s="169">
        <f>IFERROR(MATCH(J2550,'Final List'!$J$4:$J$252,0),0)</f>
        <v>0</v>
      </c>
      <c r="P2550" s="169">
        <f>IFERROR(MATCH(J2550,'Final List'!$L$4:$L$252,0),0)</f>
        <v>0</v>
      </c>
      <c r="Q2550" s="169">
        <f>IFERROR(MATCH(J2550,'Final List'!$N$4:$N$252,0),0)</f>
        <v>0</v>
      </c>
      <c r="R2550" s="169">
        <f>IFERROR(MATCH(J2550,'Final List'!$P$4:$P$252,0),0)</f>
        <v>0</v>
      </c>
      <c r="S2550" s="169">
        <f t="shared" si="160"/>
        <v>0</v>
      </c>
      <c r="V2550" s="169" t="str">
        <f t="shared" si="161"/>
        <v>BELICAN 1</v>
      </c>
      <c r="W2550" s="169" t="s">
        <v>2715</v>
      </c>
    </row>
    <row r="2551" spans="2:23" x14ac:dyDescent="0.25">
      <c r="B2551" s="169" t="s">
        <v>8904</v>
      </c>
      <c r="C2551" s="169" t="s">
        <v>42</v>
      </c>
      <c r="D2551" s="169" t="s">
        <v>100</v>
      </c>
      <c r="E2551" s="169" t="s">
        <v>62</v>
      </c>
      <c r="F2551" s="245" t="str">
        <f t="shared" si="159"/>
        <v>RobS 79</v>
      </c>
      <c r="G2551" s="169" t="s">
        <v>9349</v>
      </c>
      <c r="I2551" s="169" t="str">
        <f t="shared" si="162"/>
        <v>L03_JV_020W_ROBBING</v>
      </c>
      <c r="J2551" s="169" t="s">
        <v>11215</v>
      </c>
      <c r="K2551" s="169">
        <f>IFERROR(MATCH(J2551,'Final List'!$B$4:$B$252,0),0)</f>
        <v>0</v>
      </c>
      <c r="L2551" s="169">
        <f>IFERROR(MATCH(J2551,'Final List'!$D$4:$D$252,0),0)</f>
        <v>0</v>
      </c>
      <c r="M2551" s="169">
        <f>IFERROR(MATCH(J2551,'Final List'!$F$4:$F$251,0),0)</f>
        <v>0</v>
      </c>
      <c r="N2551" s="169">
        <f>IFERROR(MATCH(J2551,'Final List'!$H$4:$H$252,0),0)</f>
        <v>0</v>
      </c>
      <c r="O2551" s="169">
        <f>IFERROR(MATCH(J2551,'Final List'!$J$4:$J$252,0),0)</f>
        <v>0</v>
      </c>
      <c r="P2551" s="169">
        <f>IFERROR(MATCH(J2551,'Final List'!$L$4:$L$252,0),0)</f>
        <v>0</v>
      </c>
      <c r="Q2551" s="169">
        <f>IFERROR(MATCH(J2551,'Final List'!$N$4:$N$252,0),0)</f>
        <v>0</v>
      </c>
      <c r="R2551" s="169">
        <f>IFERROR(MATCH(J2551,'Final List'!$P$4:$P$252,0),0)</f>
        <v>0</v>
      </c>
      <c r="S2551" s="169">
        <f t="shared" si="160"/>
        <v>0</v>
      </c>
      <c r="T2551" s="169" t="s">
        <v>68</v>
      </c>
      <c r="V2551" s="169" t="str">
        <f t="shared" si="161"/>
        <v>FERNANDEZ, RM 3</v>
      </c>
      <c r="W2551" s="169" t="s">
        <v>2707</v>
      </c>
    </row>
    <row r="2552" spans="2:23" x14ac:dyDescent="0.25">
      <c r="B2552" s="169" t="s">
        <v>258</v>
      </c>
      <c r="C2552" s="169" t="s">
        <v>56</v>
      </c>
      <c r="D2552" s="169" t="s">
        <v>174</v>
      </c>
      <c r="E2552" s="169" t="s">
        <v>62</v>
      </c>
      <c r="F2552" s="245" t="str">
        <f t="shared" si="159"/>
        <v>RobS 79</v>
      </c>
      <c r="G2552" s="169" t="s">
        <v>318</v>
      </c>
      <c r="I2552" s="169" t="str">
        <f t="shared" si="162"/>
        <v>L10_GHVFW_052E_ROBBING</v>
      </c>
      <c r="J2552" s="169" t="s">
        <v>11224</v>
      </c>
      <c r="K2552" s="169">
        <f>IFERROR(MATCH(J2552,'Final List'!$B$4:$B$252,0),0)</f>
        <v>0</v>
      </c>
      <c r="L2552" s="169">
        <f>IFERROR(MATCH(J2552,'Final List'!$D$4:$D$252,0),0)</f>
        <v>0</v>
      </c>
      <c r="M2552" s="169">
        <f>IFERROR(MATCH(J2552,'Final List'!$F$4:$F$251,0),0)</f>
        <v>0</v>
      </c>
      <c r="N2552" s="169">
        <f>IFERROR(MATCH(J2552,'Final List'!$H$4:$H$252,0),0)</f>
        <v>0</v>
      </c>
      <c r="O2552" s="169">
        <f>IFERROR(MATCH(J2552,'Final List'!$J$4:$J$252,0),0)</f>
        <v>0</v>
      </c>
      <c r="P2552" s="169">
        <f>IFERROR(MATCH(J2552,'Final List'!$L$4:$L$252,0),0)</f>
        <v>0</v>
      </c>
      <c r="Q2552" s="169">
        <f>IFERROR(MATCH(J2552,'Final List'!$N$4:$N$252,0),0)</f>
        <v>0</v>
      </c>
      <c r="R2552" s="169">
        <f>IFERROR(MATCH(J2552,'Final List'!$P$4:$P$252,0),0)</f>
        <v>0</v>
      </c>
      <c r="S2552" s="169">
        <f t="shared" si="160"/>
        <v>0</v>
      </c>
      <c r="T2552" s="169" t="s">
        <v>68</v>
      </c>
      <c r="V2552" s="169" t="str">
        <f t="shared" si="161"/>
        <v>PARAGUYA 3</v>
      </c>
      <c r="W2552" s="169" t="s">
        <v>2707</v>
      </c>
    </row>
    <row r="2553" spans="2:23" x14ac:dyDescent="0.25">
      <c r="B2553" s="169" t="s">
        <v>96</v>
      </c>
      <c r="C2553" s="169" t="s">
        <v>45</v>
      </c>
      <c r="D2553" s="169" t="s">
        <v>9827</v>
      </c>
      <c r="E2553" s="169" t="s">
        <v>6154</v>
      </c>
      <c r="F2553" s="245" t="str">
        <f t="shared" si="159"/>
        <v>Dhoz 71</v>
      </c>
      <c r="G2553" s="169" t="s">
        <v>350</v>
      </c>
      <c r="I2553" s="169" t="str">
        <f t="shared" si="162"/>
        <v>L09_DPVE_088E_DW_ISL</v>
      </c>
      <c r="J2553" s="169" t="s">
        <v>11228</v>
      </c>
      <c r="K2553" s="169">
        <f>IFERROR(MATCH(J2553,'Final List'!$B$4:$B$252,0),0)</f>
        <v>0</v>
      </c>
      <c r="L2553" s="169">
        <f>IFERROR(MATCH(J2553,'Final List'!$D$4:$D$252,0),0)</f>
        <v>0</v>
      </c>
      <c r="M2553" s="169">
        <f>IFERROR(MATCH(J2553,'Final List'!$F$4:$F$251,0),0)</f>
        <v>0</v>
      </c>
      <c r="N2553" s="169">
        <f>IFERROR(MATCH(J2553,'Final List'!$H$4:$H$252,0),0)</f>
        <v>0</v>
      </c>
      <c r="O2553" s="169">
        <f>IFERROR(MATCH(J2553,'Final List'!$J$4:$J$252,0),0)</f>
        <v>0</v>
      </c>
      <c r="P2553" s="169">
        <f>IFERROR(MATCH(J2553,'Final List'!$L$4:$L$252,0),0)</f>
        <v>0</v>
      </c>
      <c r="Q2553" s="169">
        <f>IFERROR(MATCH(J2553,'Final List'!$N$4:$N$252,0),0)</f>
        <v>0</v>
      </c>
      <c r="R2553" s="169">
        <f>IFERROR(MATCH(J2553,'Final List'!$P$4:$P$252,0),0)</f>
        <v>0</v>
      </c>
      <c r="S2553" s="169">
        <f t="shared" si="160"/>
        <v>0</v>
      </c>
      <c r="V2553" s="169" t="str">
        <f t="shared" si="161"/>
        <v>QUIJANO 1</v>
      </c>
      <c r="W2553" s="169" t="s">
        <v>2708</v>
      </c>
    </row>
    <row r="2554" spans="2:23" x14ac:dyDescent="0.25">
      <c r="B2554" s="169" t="s">
        <v>96</v>
      </c>
      <c r="C2554" s="169" t="s">
        <v>57</v>
      </c>
      <c r="D2554" s="169" t="s">
        <v>870</v>
      </c>
      <c r="E2554" s="169" t="s">
        <v>6143</v>
      </c>
      <c r="F2554" s="245" t="str">
        <f t="shared" si="159"/>
        <v>Dhoz 71</v>
      </c>
      <c r="G2554" s="169" t="s">
        <v>8202</v>
      </c>
      <c r="I2554" s="169" t="str">
        <f t="shared" si="162"/>
        <v>L09_JVSPLIT_073E_DE_ISL</v>
      </c>
      <c r="J2554" s="169" t="s">
        <v>11229</v>
      </c>
      <c r="K2554" s="169">
        <f>IFERROR(MATCH(J2554,'Final List'!$B$4:$B$252,0),0)</f>
        <v>0</v>
      </c>
      <c r="L2554" s="169">
        <f>IFERROR(MATCH(J2554,'Final List'!$D$4:$D$252,0),0)</f>
        <v>0</v>
      </c>
      <c r="M2554" s="169">
        <f>IFERROR(MATCH(J2554,'Final List'!$F$4:$F$251,0),0)</f>
        <v>0</v>
      </c>
      <c r="N2554" s="169">
        <f>IFERROR(MATCH(J2554,'Final List'!$H$4:$H$252,0),0)</f>
        <v>0</v>
      </c>
      <c r="O2554" s="169">
        <f>IFERROR(MATCH(J2554,'Final List'!$J$4:$J$252,0),0)</f>
        <v>0</v>
      </c>
      <c r="P2554" s="169">
        <f>IFERROR(MATCH(J2554,'Final List'!$L$4:$L$252,0),0)</f>
        <v>0</v>
      </c>
      <c r="Q2554" s="169">
        <f>IFERROR(MATCH(J2554,'Final List'!$N$4:$N$252,0),0)</f>
        <v>0</v>
      </c>
      <c r="R2554" s="169">
        <f>IFERROR(MATCH(J2554,'Final List'!$P$4:$P$252,0),0)</f>
        <v>0</v>
      </c>
      <c r="S2554" s="169">
        <f t="shared" si="160"/>
        <v>0</v>
      </c>
      <c r="V2554" s="169" t="str">
        <f t="shared" si="161"/>
        <v>PANSIT, NORMAN 2</v>
      </c>
      <c r="W2554" s="169" t="s">
        <v>2708</v>
      </c>
    </row>
    <row r="2555" spans="2:23" x14ac:dyDescent="0.25">
      <c r="B2555" s="169" t="s">
        <v>258</v>
      </c>
      <c r="C2555" s="169" t="s">
        <v>38</v>
      </c>
      <c r="D2555" s="169" t="s">
        <v>118</v>
      </c>
      <c r="E2555" s="169" t="s">
        <v>19</v>
      </c>
      <c r="F2555" s="245" t="str">
        <f t="shared" si="159"/>
        <v>DVR 72</v>
      </c>
      <c r="G2555" s="169" t="s">
        <v>10897</v>
      </c>
      <c r="H2555" s="169" t="s">
        <v>10805</v>
      </c>
      <c r="I2555" s="169" t="str">
        <f t="shared" si="162"/>
        <v>L10_GHV_014E_RAISE</v>
      </c>
      <c r="J2555" s="169" t="s">
        <v>11940</v>
      </c>
      <c r="K2555" s="169">
        <f>IFERROR(MATCH(J2555,'Final List'!$B$4:$B$252,0),0)</f>
        <v>0</v>
      </c>
      <c r="L2555" s="169">
        <f>IFERROR(MATCH(J2555,'Final List'!$D$4:$D$252,0),0)</f>
        <v>0</v>
      </c>
      <c r="M2555" s="169">
        <f>IFERROR(MATCH(J2555,'Final List'!$F$4:$F$251,0),0)</f>
        <v>0</v>
      </c>
      <c r="N2555" s="169">
        <f>IFERROR(MATCH(J2555,'Final List'!$H$4:$H$252,0),0)</f>
        <v>0</v>
      </c>
      <c r="O2555" s="169">
        <f>IFERROR(MATCH(J2555,'Final List'!$J$4:$J$252,0),0)</f>
        <v>0</v>
      </c>
      <c r="P2555" s="169">
        <f>IFERROR(MATCH(J2555,'Final List'!$L$4:$L$252,0),0)</f>
        <v>0</v>
      </c>
      <c r="Q2555" s="169">
        <f>IFERROR(MATCH(J2555,'Final List'!$N$4:$N$252,0),0)</f>
        <v>0</v>
      </c>
      <c r="R2555" s="169">
        <f>IFERROR(MATCH(J2555,'Final List'!$P$4:$P$252,0),0)</f>
        <v>0</v>
      </c>
      <c r="S2555" s="169">
        <f t="shared" si="160"/>
        <v>0</v>
      </c>
      <c r="V2555" s="169" t="str">
        <f t="shared" si="161"/>
        <v>SHEPHERD BD 1</v>
      </c>
      <c r="W2555" s="169" t="s">
        <v>2715</v>
      </c>
    </row>
    <row r="2556" spans="2:23" x14ac:dyDescent="0.25">
      <c r="B2556" s="169" t="s">
        <v>258</v>
      </c>
      <c r="C2556" s="169" t="s">
        <v>45</v>
      </c>
      <c r="D2556" s="169" t="s">
        <v>120</v>
      </c>
      <c r="E2556" s="169" t="s">
        <v>60</v>
      </c>
      <c r="F2556" s="245" t="str">
        <f t="shared" si="159"/>
        <v>Dhoz 71</v>
      </c>
      <c r="G2556" s="169" t="s">
        <v>10897</v>
      </c>
      <c r="I2556" s="169" t="str">
        <f t="shared" si="162"/>
        <v>L10_DPVE_015E_DE</v>
      </c>
      <c r="J2556" s="169" t="s">
        <v>11238</v>
      </c>
      <c r="K2556" s="169">
        <f>IFERROR(MATCH(J2556,'Final List'!$B$4:$B$252,0),0)</f>
        <v>0</v>
      </c>
      <c r="L2556" s="169">
        <f>IFERROR(MATCH(J2556,'Final List'!$D$4:$D$252,0),0)</f>
        <v>0</v>
      </c>
      <c r="M2556" s="169">
        <f>IFERROR(MATCH(J2556,'Final List'!$F$4:$F$251,0),0)</f>
        <v>0</v>
      </c>
      <c r="N2556" s="169">
        <f>IFERROR(MATCH(J2556,'Final List'!$H$4:$H$252,0),0)</f>
        <v>0</v>
      </c>
      <c r="O2556" s="169">
        <f>IFERROR(MATCH(J2556,'Final List'!$J$4:$J$252,0),0)</f>
        <v>0</v>
      </c>
      <c r="P2556" s="169">
        <f>IFERROR(MATCH(J2556,'Final List'!$L$4:$L$252,0),0)</f>
        <v>0</v>
      </c>
      <c r="Q2556" s="169">
        <f>IFERROR(MATCH(J2556,'Final List'!$N$4:$N$252,0),0)</f>
        <v>0</v>
      </c>
      <c r="R2556" s="169">
        <f>IFERROR(MATCH(J2556,'Final List'!$P$4:$P$252,0),0)</f>
        <v>0</v>
      </c>
      <c r="S2556" s="169">
        <f t="shared" si="160"/>
        <v>0</v>
      </c>
      <c r="V2556" s="169" t="str">
        <f t="shared" si="161"/>
        <v>SHEPHERD BC 3</v>
      </c>
      <c r="W2556" s="169" t="s">
        <v>8896</v>
      </c>
    </row>
    <row r="2557" spans="2:23" x14ac:dyDescent="0.25">
      <c r="B2557" s="169" t="s">
        <v>1166</v>
      </c>
      <c r="C2557" s="169" t="s">
        <v>45</v>
      </c>
      <c r="D2557" s="169" t="s">
        <v>159</v>
      </c>
      <c r="E2557" s="169" t="s">
        <v>36</v>
      </c>
      <c r="F2557" s="245" t="str">
        <f t="shared" si="159"/>
        <v>StpS 77</v>
      </c>
      <c r="G2557" s="169" t="s">
        <v>454</v>
      </c>
      <c r="H2557" s="169" t="s">
        <v>12070</v>
      </c>
      <c r="I2557" s="169" t="str">
        <f t="shared" si="162"/>
        <v>L11_DPVE_023E_STOPE</v>
      </c>
      <c r="J2557" s="169" t="s">
        <v>11501</v>
      </c>
      <c r="K2557" s="169">
        <f>IFERROR(MATCH(J2557,'Final List'!$B$4:$B$252,0),0)</f>
        <v>0</v>
      </c>
      <c r="L2557" s="169">
        <f>IFERROR(MATCH(J2557,'Final List'!$D$4:$D$252,0),0)</f>
        <v>0</v>
      </c>
      <c r="M2557" s="169">
        <f>IFERROR(MATCH(J2557,'Final List'!$F$4:$F$251,0),0)</f>
        <v>0</v>
      </c>
      <c r="N2557" s="169">
        <f>IFERROR(MATCH(J2557,'Final List'!$H$4:$H$252,0),0)</f>
        <v>0</v>
      </c>
      <c r="O2557" s="169">
        <f>IFERROR(MATCH(J2557,'Final List'!$J$4:$J$252,0),0)</f>
        <v>0</v>
      </c>
      <c r="P2557" s="169">
        <f>IFERROR(MATCH(J2557,'Final List'!$L$4:$L$252,0),0)</f>
        <v>0</v>
      </c>
      <c r="Q2557" s="169">
        <f>IFERROR(MATCH(J2557,'Final List'!$N$4:$N$252,0),0)</f>
        <v>0</v>
      </c>
      <c r="R2557" s="169">
        <f>IFERROR(MATCH(J2557,'Final List'!$P$4:$P$252,0),0)</f>
        <v>0</v>
      </c>
      <c r="S2557" s="169">
        <f t="shared" si="160"/>
        <v>0</v>
      </c>
      <c r="T2557" s="169" t="s">
        <v>68</v>
      </c>
      <c r="V2557" s="169" t="str">
        <f t="shared" si="161"/>
        <v>NITRO BB</v>
      </c>
      <c r="W2557" s="169" t="s">
        <v>2713</v>
      </c>
    </row>
    <row r="2558" spans="2:23" x14ac:dyDescent="0.25">
      <c r="B2558" s="169" t="s">
        <v>1166</v>
      </c>
      <c r="C2558" s="169" t="s">
        <v>59</v>
      </c>
      <c r="D2558" s="169" t="s">
        <v>5602</v>
      </c>
      <c r="E2558" s="169" t="s">
        <v>19</v>
      </c>
      <c r="F2558" s="245" t="str">
        <f t="shared" si="159"/>
        <v>DVR 72</v>
      </c>
      <c r="G2558" s="169" t="s">
        <v>862</v>
      </c>
      <c r="I2558" s="169" t="str">
        <f t="shared" si="162"/>
        <v>L11_GHVHW_053E_RAISE</v>
      </c>
      <c r="J2558" s="169" t="s">
        <v>11242</v>
      </c>
      <c r="K2558" s="169">
        <f>IFERROR(MATCH(J2558,'Final List'!$B$4:$B$252,0),0)</f>
        <v>0</v>
      </c>
      <c r="L2558" s="169">
        <f>IFERROR(MATCH(J2558,'Final List'!$D$4:$D$252,0),0)</f>
        <v>0</v>
      </c>
      <c r="M2558" s="169">
        <f>IFERROR(MATCH(J2558,'Final List'!$F$4:$F$251,0),0)</f>
        <v>0</v>
      </c>
      <c r="N2558" s="169">
        <f>IFERROR(MATCH(J2558,'Final List'!$H$4:$H$252,0),0)</f>
        <v>0</v>
      </c>
      <c r="O2558" s="169">
        <f>IFERROR(MATCH(J2558,'Final List'!$J$4:$J$252,0),0)</f>
        <v>0</v>
      </c>
      <c r="P2558" s="169">
        <f>IFERROR(MATCH(J2558,'Final List'!$L$4:$L$252,0),0)</f>
        <v>0</v>
      </c>
      <c r="Q2558" s="169">
        <f>IFERROR(MATCH(J2558,'Final List'!$N$4:$N$252,0),0)</f>
        <v>0</v>
      </c>
      <c r="R2558" s="169">
        <f>IFERROR(MATCH(J2558,'Final List'!$P$4:$P$252,0),0)</f>
        <v>0</v>
      </c>
      <c r="S2558" s="169">
        <f t="shared" si="160"/>
        <v>0</v>
      </c>
      <c r="V2558" s="169" t="str">
        <f t="shared" si="161"/>
        <v>REBOTE 1</v>
      </c>
      <c r="W2558" s="169" t="s">
        <v>2715</v>
      </c>
    </row>
    <row r="2559" spans="2:23" x14ac:dyDescent="0.25">
      <c r="B2559" s="169" t="s">
        <v>1166</v>
      </c>
      <c r="C2559" s="169" t="s">
        <v>56</v>
      </c>
      <c r="D2559" s="169" t="s">
        <v>147</v>
      </c>
      <c r="E2559" s="169" t="s">
        <v>19</v>
      </c>
      <c r="F2559" s="245" t="str">
        <f t="shared" si="159"/>
        <v>DVR 72</v>
      </c>
      <c r="G2559" s="169" t="s">
        <v>474</v>
      </c>
      <c r="I2559" s="169" t="str">
        <f t="shared" si="162"/>
        <v>L11_GHVFW_024E_RAISE</v>
      </c>
      <c r="J2559" s="169" t="s">
        <v>11243</v>
      </c>
      <c r="K2559" s="169">
        <f>IFERROR(MATCH(J2559,'Final List'!$B$4:$B$252,0),0)</f>
        <v>0</v>
      </c>
      <c r="L2559" s="169">
        <f>IFERROR(MATCH(J2559,'Final List'!$D$4:$D$252,0),0)</f>
        <v>0</v>
      </c>
      <c r="M2559" s="169">
        <f>IFERROR(MATCH(J2559,'Final List'!$F$4:$F$251,0),0)</f>
        <v>0</v>
      </c>
      <c r="N2559" s="169">
        <f>IFERROR(MATCH(J2559,'Final List'!$H$4:$H$252,0),0)</f>
        <v>0</v>
      </c>
      <c r="O2559" s="169">
        <f>IFERROR(MATCH(J2559,'Final List'!$J$4:$J$252,0),0)</f>
        <v>0</v>
      </c>
      <c r="P2559" s="169">
        <f>IFERROR(MATCH(J2559,'Final List'!$L$4:$L$252,0),0)</f>
        <v>0</v>
      </c>
      <c r="Q2559" s="169">
        <f>IFERROR(MATCH(J2559,'Final List'!$N$4:$N$252,0),0)</f>
        <v>0</v>
      </c>
      <c r="R2559" s="169">
        <f>IFERROR(MATCH(J2559,'Final List'!$P$4:$P$252,0),0)</f>
        <v>0</v>
      </c>
      <c r="S2559" s="169">
        <f t="shared" si="160"/>
        <v>0</v>
      </c>
      <c r="V2559" s="169" t="str">
        <f t="shared" si="161"/>
        <v>TORMIS 1</v>
      </c>
      <c r="W2559" s="169" t="s">
        <v>2715</v>
      </c>
    </row>
    <row r="2560" spans="2:23" x14ac:dyDescent="0.25">
      <c r="B2560" s="169" t="s">
        <v>95</v>
      </c>
      <c r="C2560" s="169" t="s">
        <v>57</v>
      </c>
      <c r="D2560" s="169" t="s">
        <v>198</v>
      </c>
      <c r="E2560" s="169" t="s">
        <v>20</v>
      </c>
      <c r="F2560" s="245" t="str">
        <f t="shared" si="159"/>
        <v>DVW 74</v>
      </c>
      <c r="G2560" s="169" t="s">
        <v>380</v>
      </c>
      <c r="I2560" s="169" t="str">
        <f t="shared" si="162"/>
        <v>L08_JVSPLIT_069E_WINZE</v>
      </c>
      <c r="J2560" s="169" t="s">
        <v>11244</v>
      </c>
      <c r="K2560" s="169">
        <f>IFERROR(MATCH(J2560,'Final List'!$B$4:$B$252,0),0)</f>
        <v>0</v>
      </c>
      <c r="L2560" s="169">
        <f>IFERROR(MATCH(J2560,'Final List'!$D$4:$D$252,0),0)</f>
        <v>0</v>
      </c>
      <c r="M2560" s="169">
        <f>IFERROR(MATCH(J2560,'Final List'!$F$4:$F$251,0),0)</f>
        <v>0</v>
      </c>
      <c r="N2560" s="169">
        <f>IFERROR(MATCH(J2560,'Final List'!$H$4:$H$252,0),0)</f>
        <v>0</v>
      </c>
      <c r="O2560" s="169">
        <f>IFERROR(MATCH(J2560,'Final List'!$J$4:$J$252,0),0)</f>
        <v>0</v>
      </c>
      <c r="P2560" s="169">
        <f>IFERROR(MATCH(J2560,'Final List'!$L$4:$L$252,0),0)</f>
        <v>0</v>
      </c>
      <c r="Q2560" s="169">
        <f>IFERROR(MATCH(J2560,'Final List'!$N$4:$N$252,0),0)</f>
        <v>0</v>
      </c>
      <c r="R2560" s="169">
        <f>IFERROR(MATCH(J2560,'Final List'!$P$4:$P$252,0),0)</f>
        <v>0</v>
      </c>
      <c r="S2560" s="169">
        <f t="shared" si="160"/>
        <v>0</v>
      </c>
      <c r="V2560" s="169" t="str">
        <f t="shared" si="161"/>
        <v>AGLOLO 1</v>
      </c>
      <c r="W2560" s="169" t="s">
        <v>2706</v>
      </c>
    </row>
    <row r="2561" spans="2:23" x14ac:dyDescent="0.25">
      <c r="B2561" s="169" t="s">
        <v>1167</v>
      </c>
      <c r="C2561" s="169" t="s">
        <v>43</v>
      </c>
      <c r="D2561" s="169" t="s">
        <v>197</v>
      </c>
      <c r="E2561" s="169" t="s">
        <v>19</v>
      </c>
      <c r="F2561" s="245" t="str">
        <f t="shared" si="159"/>
        <v>DVR 72</v>
      </c>
      <c r="G2561" s="169" t="s">
        <v>8197</v>
      </c>
      <c r="I2561" s="169" t="str">
        <f t="shared" si="162"/>
        <v>L12_GHVSPLIT_070E_RAISE</v>
      </c>
      <c r="J2561" s="169" t="s">
        <v>11249</v>
      </c>
      <c r="K2561" s="169">
        <f>IFERROR(MATCH(J2561,'Final List'!$B$4:$B$252,0),0)</f>
        <v>0</v>
      </c>
      <c r="L2561" s="169">
        <f>IFERROR(MATCH(J2561,'Final List'!$D$4:$D$252,0),0)</f>
        <v>0</v>
      </c>
      <c r="M2561" s="169">
        <f>IFERROR(MATCH(J2561,'Final List'!$F$4:$F$251,0),0)</f>
        <v>0</v>
      </c>
      <c r="N2561" s="169">
        <f>IFERROR(MATCH(J2561,'Final List'!$H$4:$H$252,0),0)</f>
        <v>0</v>
      </c>
      <c r="O2561" s="169">
        <f>IFERROR(MATCH(J2561,'Final List'!$J$4:$J$252,0),0)</f>
        <v>0</v>
      </c>
      <c r="P2561" s="169">
        <f>IFERROR(MATCH(J2561,'Final List'!$L$4:$L$252,0),0)</f>
        <v>0</v>
      </c>
      <c r="Q2561" s="169">
        <f>IFERROR(MATCH(J2561,'Final List'!$N$4:$N$252,0),0)</f>
        <v>0</v>
      </c>
      <c r="R2561" s="169">
        <f>IFERROR(MATCH(J2561,'Final List'!$P$4:$P$252,0),0)</f>
        <v>0</v>
      </c>
      <c r="S2561" s="169">
        <f t="shared" si="160"/>
        <v>0</v>
      </c>
      <c r="V2561" s="169" t="str">
        <f t="shared" si="161"/>
        <v>PANCIT, NOEL  1</v>
      </c>
      <c r="W2561" s="169" t="s">
        <v>2715</v>
      </c>
    </row>
    <row r="2562" spans="2:23" x14ac:dyDescent="0.25">
      <c r="B2562" s="169" t="s">
        <v>1166</v>
      </c>
      <c r="C2562" s="169" t="s">
        <v>45</v>
      </c>
      <c r="D2562" s="169" t="s">
        <v>128</v>
      </c>
      <c r="E2562" s="169" t="s">
        <v>19</v>
      </c>
      <c r="F2562" s="245" t="str">
        <f t="shared" si="159"/>
        <v>DVR 72</v>
      </c>
      <c r="G2562" s="169" t="s">
        <v>353</v>
      </c>
      <c r="H2562" s="169" t="s">
        <v>448</v>
      </c>
      <c r="I2562" s="169" t="str">
        <f t="shared" si="162"/>
        <v>L11_DPVE_027E_RAISE</v>
      </c>
      <c r="J2562" s="169" t="s">
        <v>10645</v>
      </c>
      <c r="K2562" s="169">
        <f>IFERROR(MATCH(J2562,'Final List'!$B$4:$B$252,0),0)</f>
        <v>0</v>
      </c>
      <c r="L2562" s="169">
        <f>IFERROR(MATCH(J2562,'Final List'!$D$4:$D$252,0),0)</f>
        <v>0</v>
      </c>
      <c r="M2562" s="169">
        <f>IFERROR(MATCH(J2562,'Final List'!$F$4:$F$251,0),0)</f>
        <v>0</v>
      </c>
      <c r="N2562" s="169">
        <f>IFERROR(MATCH(J2562,'Final List'!$H$4:$H$252,0),0)</f>
        <v>0</v>
      </c>
      <c r="O2562" s="169">
        <f>IFERROR(MATCH(J2562,'Final List'!$J$4:$J$252,0),0)</f>
        <v>0</v>
      </c>
      <c r="P2562" s="169">
        <f>IFERROR(MATCH(J2562,'Final List'!$L$4:$L$252,0),0)</f>
        <v>0</v>
      </c>
      <c r="Q2562" s="169">
        <f>IFERROR(MATCH(J2562,'Final List'!$N$4:$N$252,0),0)</f>
        <v>0</v>
      </c>
      <c r="R2562" s="169">
        <f>IFERROR(MATCH(J2562,'Final List'!$P$4:$P$252,0),0)</f>
        <v>0</v>
      </c>
      <c r="S2562" s="169">
        <f t="shared" si="160"/>
        <v>0</v>
      </c>
      <c r="V2562" s="169" t="str">
        <f t="shared" si="161"/>
        <v>COMAINGKING 2</v>
      </c>
      <c r="W2562" s="169" t="s">
        <v>2715</v>
      </c>
    </row>
    <row r="2563" spans="2:23" x14ac:dyDescent="0.25">
      <c r="B2563" s="169" t="s">
        <v>96</v>
      </c>
      <c r="C2563" s="169" t="s">
        <v>45</v>
      </c>
      <c r="D2563" s="169" t="s">
        <v>167</v>
      </c>
      <c r="E2563" s="169" t="s">
        <v>62</v>
      </c>
      <c r="F2563" s="245" t="str">
        <f t="shared" ref="F2563:F2626" si="163">IF(OR(E2563="XCN",E2563="DE",E2563="DW",E2563="DN",E2563="XCS",E2563="XCE",E2563="XCW",E2563="SUMP",E2563="BYPASS",E2563="CHAMBER",E2563="DRAIN HOLE",E2563="DRILLING CHAMBER",E2563="DE_ISL",E2563="DW_ISL",E2563="REHAB"),"Dhoz 71",IF(OR(E2563="RAISE",E2563="RAISE_ISL"),"DVR 72",IF(E2563="ALIMAK","DVA 73",IF(E2563="WINZE","DVW 74",IF(E2563="SHAFT","DVS 75",IF(AND(E2563="WINZE STOPE",T2563="S"),"RobC 80",IF(AND(E2563="STOPE",T2563="S"),"StpS 77",IF(AND(E2563="WINZE STOPE",T2563="L"),"RobC 80",IF(AND(E2563="STOPE",T2563="L"),"StpL 78",IF(AND(E2563="WINZE STOPE PREP",T2563="S"),"RobC 80",IF(AND(E2563="STOPE PREP",T2563="S"),"StpS 77",IF(AND(E2563="WINZE STOPE PREP",T2563="L"),"RobC 80",IF(AND(E2563="STOPE PREP",T2563="L"),"StpL 78",IF(AND(E2563="ROBBING",T2563="L"),"RobC 80",IF(AND(E2563="ROBBING",T2563="S"),"RobS 79",0)))))))))))))))</f>
        <v>RobS 79</v>
      </c>
      <c r="G2563" s="169" t="s">
        <v>10888</v>
      </c>
      <c r="I2563" s="169" t="str">
        <f t="shared" si="162"/>
        <v>L09_DPVE_058E_ROBBING</v>
      </c>
      <c r="J2563" s="169" t="s">
        <v>11261</v>
      </c>
      <c r="K2563" s="169">
        <f>IFERROR(MATCH(J2563,'Final List'!$B$4:$B$252,0),0)</f>
        <v>0</v>
      </c>
      <c r="L2563" s="169">
        <f>IFERROR(MATCH(J2563,'Final List'!$D$4:$D$252,0),0)</f>
        <v>0</v>
      </c>
      <c r="M2563" s="169">
        <f>IFERROR(MATCH(J2563,'Final List'!$F$4:$F$251,0),0)</f>
        <v>0</v>
      </c>
      <c r="N2563" s="169">
        <f>IFERROR(MATCH(J2563,'Final List'!$H$4:$H$252,0),0)</f>
        <v>0</v>
      </c>
      <c r="O2563" s="169">
        <f>IFERROR(MATCH(J2563,'Final List'!$J$4:$J$252,0),0)</f>
        <v>0</v>
      </c>
      <c r="P2563" s="169">
        <f>IFERROR(MATCH(J2563,'Final List'!$L$4:$L$252,0),0)</f>
        <v>0</v>
      </c>
      <c r="Q2563" s="169">
        <f>IFERROR(MATCH(J2563,'Final List'!$N$4:$N$252,0),0)</f>
        <v>0</v>
      </c>
      <c r="R2563" s="169">
        <f>IFERROR(MATCH(J2563,'Final List'!$P$4:$P$252,0),0)</f>
        <v>0</v>
      </c>
      <c r="S2563" s="169">
        <f t="shared" ref="S2563:S2626" si="164">SUM(K2563:R2563)</f>
        <v>0</v>
      </c>
      <c r="T2563" s="169" t="s">
        <v>68</v>
      </c>
      <c r="V2563" s="169" t="str">
        <f t="shared" si="161"/>
        <v>SHEPHERD BE 1</v>
      </c>
      <c r="W2563" s="169" t="s">
        <v>2707</v>
      </c>
    </row>
    <row r="2564" spans="2:23" x14ac:dyDescent="0.25">
      <c r="B2564" s="169" t="s">
        <v>96</v>
      </c>
      <c r="C2564" s="169" t="s">
        <v>45</v>
      </c>
      <c r="D2564" s="169" t="s">
        <v>164</v>
      </c>
      <c r="E2564" s="169" t="s">
        <v>6143</v>
      </c>
      <c r="F2564" s="245" t="str">
        <f t="shared" si="163"/>
        <v>Dhoz 71</v>
      </c>
      <c r="G2564" s="169" t="s">
        <v>336</v>
      </c>
      <c r="I2564" s="169" t="str">
        <f t="shared" si="162"/>
        <v>L09_DPVE_064E_DE_ISL</v>
      </c>
      <c r="J2564" s="169" t="s">
        <v>11262</v>
      </c>
      <c r="K2564" s="169">
        <f>IFERROR(MATCH(J2564,'Final List'!$B$4:$B$252,0),0)</f>
        <v>0</v>
      </c>
      <c r="L2564" s="169">
        <f>IFERROR(MATCH(J2564,'Final List'!$D$4:$D$252,0),0)</f>
        <v>0</v>
      </c>
      <c r="M2564" s="169">
        <f>IFERROR(MATCH(J2564,'Final List'!$F$4:$F$251,0),0)</f>
        <v>0</v>
      </c>
      <c r="N2564" s="169">
        <f>IFERROR(MATCH(J2564,'Final List'!$H$4:$H$252,0),0)</f>
        <v>0</v>
      </c>
      <c r="O2564" s="169">
        <f>IFERROR(MATCH(J2564,'Final List'!$J$4:$J$252,0),0)</f>
        <v>0</v>
      </c>
      <c r="P2564" s="169">
        <f>IFERROR(MATCH(J2564,'Final List'!$L$4:$L$252,0),0)</f>
        <v>0</v>
      </c>
      <c r="Q2564" s="169">
        <f>IFERROR(MATCH(J2564,'Final List'!$N$4:$N$252,0),0)</f>
        <v>0</v>
      </c>
      <c r="R2564" s="169">
        <f>IFERROR(MATCH(J2564,'Final List'!$P$4:$P$252,0),0)</f>
        <v>0</v>
      </c>
      <c r="S2564" s="169">
        <f t="shared" si="164"/>
        <v>0</v>
      </c>
      <c r="V2564" s="169" t="str">
        <f t="shared" si="161"/>
        <v>BALANGHIG 1</v>
      </c>
      <c r="W2564" s="169" t="s">
        <v>2708</v>
      </c>
    </row>
    <row r="2565" spans="2:23" x14ac:dyDescent="0.25">
      <c r="B2565" s="169" t="s">
        <v>96</v>
      </c>
      <c r="C2565" s="169" t="s">
        <v>42</v>
      </c>
      <c r="D2565" s="169" t="s">
        <v>173</v>
      </c>
      <c r="E2565" s="169" t="s">
        <v>60</v>
      </c>
      <c r="F2565" s="245" t="str">
        <f t="shared" si="163"/>
        <v>Dhoz 71</v>
      </c>
      <c r="G2565" s="169" t="s">
        <v>10253</v>
      </c>
      <c r="I2565" s="169" t="str">
        <f t="shared" si="162"/>
        <v>L09_JV_049E_DE</v>
      </c>
      <c r="J2565" s="169" t="s">
        <v>11292</v>
      </c>
      <c r="K2565" s="169">
        <f>IFERROR(MATCH(J2565,'Final List'!$B$4:$B$252,0),0)</f>
        <v>0</v>
      </c>
      <c r="L2565" s="169">
        <f>IFERROR(MATCH(J2565,'Final List'!$D$4:$D$252,0),0)</f>
        <v>0</v>
      </c>
      <c r="M2565" s="169">
        <f>IFERROR(MATCH(J2565,'Final List'!$F$4:$F$251,0),0)</f>
        <v>0</v>
      </c>
      <c r="N2565" s="169">
        <f>IFERROR(MATCH(J2565,'Final List'!$H$4:$H$252,0),0)</f>
        <v>0</v>
      </c>
      <c r="O2565" s="169">
        <f>IFERROR(MATCH(J2565,'Final List'!$J$4:$J$252,0),0)</f>
        <v>0</v>
      </c>
      <c r="P2565" s="169">
        <f>IFERROR(MATCH(J2565,'Final List'!$L$4:$L$252,0),0)</f>
        <v>0</v>
      </c>
      <c r="Q2565" s="169">
        <f>IFERROR(MATCH(J2565,'Final List'!$N$4:$N$252,0),0)</f>
        <v>0</v>
      </c>
      <c r="R2565" s="169">
        <f>IFERROR(MATCH(J2565,'Final List'!$P$4:$P$252,0),0)</f>
        <v>0</v>
      </c>
      <c r="S2565" s="169">
        <f t="shared" si="164"/>
        <v>0</v>
      </c>
      <c r="V2565" s="169" t="str">
        <f t="shared" si="161"/>
        <v>PANSIT NORMAN 4</v>
      </c>
      <c r="W2565" s="169" t="s">
        <v>8896</v>
      </c>
    </row>
    <row r="2566" spans="2:23" x14ac:dyDescent="0.25">
      <c r="B2566" s="169" t="s">
        <v>96</v>
      </c>
      <c r="C2566" s="169" t="s">
        <v>45</v>
      </c>
      <c r="D2566" s="169" t="s">
        <v>11032</v>
      </c>
      <c r="E2566" s="169" t="s">
        <v>60</v>
      </c>
      <c r="F2566" s="245" t="str">
        <f t="shared" si="163"/>
        <v>Dhoz 71</v>
      </c>
      <c r="G2566" s="169" t="s">
        <v>349</v>
      </c>
      <c r="I2566" s="169" t="str">
        <f t="shared" si="162"/>
        <v>L09_DPVE_089E_DE</v>
      </c>
      <c r="J2566" s="169" t="s">
        <v>11263</v>
      </c>
      <c r="K2566" s="169">
        <f>IFERROR(MATCH(J2566,'Final List'!$B$4:$B$252,0),0)</f>
        <v>0</v>
      </c>
      <c r="L2566" s="169">
        <f>IFERROR(MATCH(J2566,'Final List'!$D$4:$D$252,0),0)</f>
        <v>0</v>
      </c>
      <c r="M2566" s="169">
        <f>IFERROR(MATCH(J2566,'Final List'!$F$4:$F$251,0),0)</f>
        <v>0</v>
      </c>
      <c r="N2566" s="169">
        <f>IFERROR(MATCH(J2566,'Final List'!$H$4:$H$252,0),0)</f>
        <v>0</v>
      </c>
      <c r="O2566" s="169">
        <f>IFERROR(MATCH(J2566,'Final List'!$J$4:$J$252,0),0)</f>
        <v>0</v>
      </c>
      <c r="P2566" s="169">
        <f>IFERROR(MATCH(J2566,'Final List'!$L$4:$L$252,0),0)</f>
        <v>0</v>
      </c>
      <c r="Q2566" s="169">
        <f>IFERROR(MATCH(J2566,'Final List'!$N$4:$N$252,0),0)</f>
        <v>0</v>
      </c>
      <c r="R2566" s="169">
        <f>IFERROR(MATCH(J2566,'Final List'!$P$4:$P$252,0),0)</f>
        <v>0</v>
      </c>
      <c r="S2566" s="169">
        <f t="shared" si="164"/>
        <v>0</v>
      </c>
      <c r="V2566" s="169" t="str">
        <f t="shared" si="161"/>
        <v>QUIJANO 2</v>
      </c>
      <c r="W2566" s="169" t="s">
        <v>8896</v>
      </c>
    </row>
    <row r="2567" spans="2:23" x14ac:dyDescent="0.25">
      <c r="B2567" s="169" t="s">
        <v>1167</v>
      </c>
      <c r="C2567" s="169" t="s">
        <v>38</v>
      </c>
      <c r="D2567" s="169" t="s">
        <v>5602</v>
      </c>
      <c r="E2567" s="169" t="s">
        <v>61</v>
      </c>
      <c r="F2567" s="245" t="str">
        <f t="shared" si="163"/>
        <v>Dhoz 71</v>
      </c>
      <c r="G2567" s="169" t="s">
        <v>1577</v>
      </c>
      <c r="I2567" s="169" t="str">
        <f t="shared" si="162"/>
        <v>L12_GHV_053E_DW</v>
      </c>
      <c r="J2567" s="169" t="s">
        <v>11264</v>
      </c>
      <c r="K2567" s="169">
        <f>IFERROR(MATCH(J2567,'Final List'!$B$4:$B$252,0),0)</f>
        <v>0</v>
      </c>
      <c r="L2567" s="169">
        <f>IFERROR(MATCH(J2567,'Final List'!$D$4:$D$252,0),0)</f>
        <v>0</v>
      </c>
      <c r="M2567" s="169">
        <f>IFERROR(MATCH(J2567,'Final List'!$F$4:$F$251,0),0)</f>
        <v>0</v>
      </c>
      <c r="N2567" s="169">
        <f>IFERROR(MATCH(J2567,'Final List'!$H$4:$H$252,0),0)</f>
        <v>0</v>
      </c>
      <c r="O2567" s="169">
        <f>IFERROR(MATCH(J2567,'Final List'!$J$4:$J$252,0),0)</f>
        <v>0</v>
      </c>
      <c r="P2567" s="169">
        <f>IFERROR(MATCH(J2567,'Final List'!$L$4:$L$252,0),0)</f>
        <v>0</v>
      </c>
      <c r="Q2567" s="169">
        <f>IFERROR(MATCH(J2567,'Final List'!$N$4:$N$252,0),0)</f>
        <v>0</v>
      </c>
      <c r="R2567" s="169">
        <f>IFERROR(MATCH(J2567,'Final List'!$P$4:$P$252,0),0)</f>
        <v>0</v>
      </c>
      <c r="S2567" s="169">
        <f t="shared" si="164"/>
        <v>0</v>
      </c>
      <c r="V2567" s="169" t="str">
        <f t="shared" si="161"/>
        <v>PANCIT, NOEL 2</v>
      </c>
      <c r="W2567" s="169" t="s">
        <v>8896</v>
      </c>
    </row>
    <row r="2568" spans="2:23" x14ac:dyDescent="0.25">
      <c r="B2568" s="169" t="s">
        <v>95</v>
      </c>
      <c r="C2568" s="169" t="s">
        <v>45</v>
      </c>
      <c r="D2568" s="169" t="s">
        <v>7025</v>
      </c>
      <c r="E2568" s="169" t="s">
        <v>62</v>
      </c>
      <c r="F2568" s="245" t="str">
        <f t="shared" si="163"/>
        <v>RobS 79</v>
      </c>
      <c r="G2568" s="169" t="s">
        <v>526</v>
      </c>
      <c r="I2568" s="169" t="str">
        <f t="shared" si="162"/>
        <v>L08_DPVE_082E_ROBBING</v>
      </c>
      <c r="J2568" s="169" t="s">
        <v>11265</v>
      </c>
      <c r="K2568" s="169">
        <f>IFERROR(MATCH(J2568,'Final List'!$B$4:$B$252,0),0)</f>
        <v>0</v>
      </c>
      <c r="L2568" s="169">
        <f>IFERROR(MATCH(J2568,'Final List'!$D$4:$D$252,0),0)</f>
        <v>0</v>
      </c>
      <c r="M2568" s="169">
        <f>IFERROR(MATCH(J2568,'Final List'!$F$4:$F$251,0),0)</f>
        <v>0</v>
      </c>
      <c r="N2568" s="169">
        <f>IFERROR(MATCH(J2568,'Final List'!$H$4:$H$252,0),0)</f>
        <v>0</v>
      </c>
      <c r="O2568" s="169">
        <f>IFERROR(MATCH(J2568,'Final List'!$J$4:$J$252,0),0)</f>
        <v>0</v>
      </c>
      <c r="P2568" s="169">
        <f>IFERROR(MATCH(J2568,'Final List'!$L$4:$L$252,0),0)</f>
        <v>0</v>
      </c>
      <c r="Q2568" s="169">
        <f>IFERROR(MATCH(J2568,'Final List'!$N$4:$N$252,0),0)</f>
        <v>0</v>
      </c>
      <c r="R2568" s="169">
        <f>IFERROR(MATCH(J2568,'Final List'!$P$4:$P$252,0),0)</f>
        <v>0</v>
      </c>
      <c r="S2568" s="169">
        <f t="shared" si="164"/>
        <v>0</v>
      </c>
      <c r="T2568" s="169" t="s">
        <v>68</v>
      </c>
      <c r="V2568" s="169" t="str">
        <f t="shared" si="161"/>
        <v>CARIKITAN 2</v>
      </c>
      <c r="W2568" s="169" t="s">
        <v>2707</v>
      </c>
    </row>
    <row r="2569" spans="2:23" x14ac:dyDescent="0.25">
      <c r="B2569" s="169" t="s">
        <v>8904</v>
      </c>
      <c r="C2569" s="169" t="s">
        <v>41</v>
      </c>
      <c r="D2569" s="169" t="s">
        <v>195</v>
      </c>
      <c r="E2569" s="169" t="s">
        <v>62</v>
      </c>
      <c r="F2569" s="245" t="str">
        <f t="shared" si="163"/>
        <v>RobS 79</v>
      </c>
      <c r="G2569" s="169" t="s">
        <v>10062</v>
      </c>
      <c r="I2569" s="169" t="str">
        <f t="shared" si="162"/>
        <v>L03_CTV_008W_ROBBING</v>
      </c>
      <c r="J2569" s="169" t="s">
        <v>11266</v>
      </c>
      <c r="K2569" s="169">
        <f>IFERROR(MATCH(J2569,'Final List'!$B$4:$B$252,0),0)</f>
        <v>0</v>
      </c>
      <c r="L2569" s="169">
        <f>IFERROR(MATCH(J2569,'Final List'!$D$4:$D$252,0),0)</f>
        <v>0</v>
      </c>
      <c r="M2569" s="169">
        <f>IFERROR(MATCH(J2569,'Final List'!$F$4:$F$251,0),0)</f>
        <v>0</v>
      </c>
      <c r="N2569" s="169">
        <f>IFERROR(MATCH(J2569,'Final List'!$H$4:$H$252,0),0)</f>
        <v>0</v>
      </c>
      <c r="O2569" s="169">
        <f>IFERROR(MATCH(J2569,'Final List'!$J$4:$J$252,0),0)</f>
        <v>0</v>
      </c>
      <c r="P2569" s="169">
        <f>IFERROR(MATCH(J2569,'Final List'!$L$4:$L$252,0),0)</f>
        <v>0</v>
      </c>
      <c r="Q2569" s="169">
        <f>IFERROR(MATCH(J2569,'Final List'!$N$4:$N$252,0),0)</f>
        <v>0</v>
      </c>
      <c r="R2569" s="169">
        <f>IFERROR(MATCH(J2569,'Final List'!$P$4:$P$252,0),0)</f>
        <v>0</v>
      </c>
      <c r="S2569" s="169">
        <f t="shared" si="164"/>
        <v>0</v>
      </c>
      <c r="T2569" s="169" t="s">
        <v>68</v>
      </c>
      <c r="V2569" s="169" t="str">
        <f t="shared" si="161"/>
        <v>FERNANDEZ, RM 6</v>
      </c>
      <c r="W2569" s="169" t="s">
        <v>2707</v>
      </c>
    </row>
    <row r="2570" spans="2:23" x14ac:dyDescent="0.25">
      <c r="B2570" s="169" t="s">
        <v>1166</v>
      </c>
      <c r="C2570" s="169" t="s">
        <v>45</v>
      </c>
      <c r="D2570" s="169" t="s">
        <v>160</v>
      </c>
      <c r="E2570" s="169" t="s">
        <v>36</v>
      </c>
      <c r="F2570" s="245" t="str">
        <f t="shared" si="163"/>
        <v>StpS 77</v>
      </c>
      <c r="G2570" s="169" t="s">
        <v>10898</v>
      </c>
      <c r="I2570" s="169" t="str">
        <f t="shared" si="162"/>
        <v>L11_DPVE_042E_STOPE</v>
      </c>
      <c r="J2570" s="169" t="s">
        <v>11267</v>
      </c>
      <c r="K2570" s="169">
        <f>IFERROR(MATCH(J2570,'Final List'!$B$4:$B$252,0),0)</f>
        <v>0</v>
      </c>
      <c r="L2570" s="169">
        <f>IFERROR(MATCH(J2570,'Final List'!$D$4:$D$252,0),0)</f>
        <v>0</v>
      </c>
      <c r="M2570" s="169">
        <f>IFERROR(MATCH(J2570,'Final List'!$F$4:$F$251,0),0)</f>
        <v>0</v>
      </c>
      <c r="N2570" s="169">
        <f>IFERROR(MATCH(J2570,'Final List'!$H$4:$H$252,0),0)</f>
        <v>0</v>
      </c>
      <c r="O2570" s="169">
        <f>IFERROR(MATCH(J2570,'Final List'!$J$4:$J$252,0),0)</f>
        <v>0</v>
      </c>
      <c r="P2570" s="169">
        <f>IFERROR(MATCH(J2570,'Final List'!$L$4:$L$252,0),0)</f>
        <v>0</v>
      </c>
      <c r="Q2570" s="169">
        <f>IFERROR(MATCH(J2570,'Final List'!$N$4:$N$252,0),0)</f>
        <v>0</v>
      </c>
      <c r="R2570" s="169">
        <f>IFERROR(MATCH(J2570,'Final List'!$P$4:$P$252,0),0)</f>
        <v>0</v>
      </c>
      <c r="S2570" s="169">
        <f t="shared" si="164"/>
        <v>0</v>
      </c>
      <c r="T2570" s="169" t="s">
        <v>68</v>
      </c>
      <c r="V2570" s="169" t="str">
        <f t="shared" si="161"/>
        <v>BADBADON 4</v>
      </c>
      <c r="W2570" s="169" t="s">
        <v>2711</v>
      </c>
    </row>
    <row r="2571" spans="2:23" x14ac:dyDescent="0.25">
      <c r="B2571" s="169" t="s">
        <v>96</v>
      </c>
      <c r="C2571" s="169" t="s">
        <v>45</v>
      </c>
      <c r="D2571" s="169" t="s">
        <v>160</v>
      </c>
      <c r="E2571" s="169" t="s">
        <v>221</v>
      </c>
      <c r="F2571" s="245" t="str">
        <f t="shared" si="163"/>
        <v>RobC 80</v>
      </c>
      <c r="G2571" s="169" t="s">
        <v>9749</v>
      </c>
      <c r="I2571" s="169" t="str">
        <f t="shared" si="162"/>
        <v>L09_DPVE_042E_WINZE STOPE</v>
      </c>
      <c r="J2571" s="169" t="s">
        <v>11385</v>
      </c>
      <c r="K2571" s="169">
        <f>IFERROR(MATCH(J2571,'Final List'!$B$4:$B$252,0),0)</f>
        <v>0</v>
      </c>
      <c r="L2571" s="169">
        <f>IFERROR(MATCH(J2571,'Final List'!$D$4:$D$252,0),0)</f>
        <v>0</v>
      </c>
      <c r="M2571" s="169">
        <f>IFERROR(MATCH(J2571,'Final List'!$F$4:$F$251,0),0)</f>
        <v>0</v>
      </c>
      <c r="N2571" s="169">
        <f>IFERROR(MATCH(J2571,'Final List'!$H$4:$H$252,0),0)</f>
        <v>0</v>
      </c>
      <c r="O2571" s="169">
        <f>IFERROR(MATCH(J2571,'Final List'!$J$4:$J$252,0),0)</f>
        <v>0</v>
      </c>
      <c r="P2571" s="169">
        <f>IFERROR(MATCH(J2571,'Final List'!$L$4:$L$252,0),0)</f>
        <v>0</v>
      </c>
      <c r="Q2571" s="169">
        <f>IFERROR(MATCH(J2571,'Final List'!$N$4:$N$252,0),0)</f>
        <v>0</v>
      </c>
      <c r="R2571" s="169">
        <f>IFERROR(MATCH(J2571,'Final List'!$P$4:$P$252,0),0)</f>
        <v>0</v>
      </c>
      <c r="S2571" s="169">
        <f t="shared" si="164"/>
        <v>0</v>
      </c>
      <c r="T2571" s="169" t="s">
        <v>68</v>
      </c>
      <c r="V2571" s="169" t="str">
        <f t="shared" si="161"/>
        <v>MAPAYO 4</v>
      </c>
      <c r="W2571" s="169" t="s">
        <v>2719</v>
      </c>
    </row>
    <row r="2572" spans="2:23" x14ac:dyDescent="0.25">
      <c r="B2572" s="169" t="s">
        <v>95</v>
      </c>
      <c r="C2572" s="169" t="s">
        <v>42</v>
      </c>
      <c r="D2572" s="169" t="s">
        <v>5889</v>
      </c>
      <c r="E2572" s="169" t="s">
        <v>221</v>
      </c>
      <c r="F2572" s="245" t="str">
        <f t="shared" si="163"/>
        <v>RobC 80</v>
      </c>
      <c r="G2572" s="169" t="s">
        <v>467</v>
      </c>
      <c r="I2572" s="169" t="str">
        <f t="shared" si="162"/>
        <v>L08_JV_077E_WINZE STOPE</v>
      </c>
      <c r="J2572" s="169" t="s">
        <v>11396</v>
      </c>
      <c r="K2572" s="169">
        <f>IFERROR(MATCH(J2572,'Final List'!$B$4:$B$252,0),0)</f>
        <v>0</v>
      </c>
      <c r="L2572" s="169">
        <f>IFERROR(MATCH(J2572,'Final List'!$D$4:$D$252,0),0)</f>
        <v>0</v>
      </c>
      <c r="M2572" s="169">
        <f>IFERROR(MATCH(J2572,'Final List'!$F$4:$F$251,0),0)</f>
        <v>0</v>
      </c>
      <c r="N2572" s="169">
        <f>IFERROR(MATCH(J2572,'Final List'!$H$4:$H$252,0),0)</f>
        <v>0</v>
      </c>
      <c r="O2572" s="169">
        <f>IFERROR(MATCH(J2572,'Final List'!$J$4:$J$252,0),0)</f>
        <v>0</v>
      </c>
      <c r="P2572" s="169">
        <f>IFERROR(MATCH(J2572,'Final List'!$L$4:$L$252,0),0)</f>
        <v>0</v>
      </c>
      <c r="Q2572" s="169">
        <f>IFERROR(MATCH(J2572,'Final List'!$N$4:$N$252,0),0)</f>
        <v>0</v>
      </c>
      <c r="R2572" s="169">
        <f>IFERROR(MATCH(J2572,'Final List'!$P$4:$P$252,0),0)</f>
        <v>0</v>
      </c>
      <c r="S2572" s="169">
        <f t="shared" si="164"/>
        <v>0</v>
      </c>
      <c r="T2572" s="169" t="s">
        <v>68</v>
      </c>
      <c r="V2572" s="169" t="str">
        <f t="shared" si="161"/>
        <v>AGLOLO 2</v>
      </c>
      <c r="W2572" s="169" t="s">
        <v>2719</v>
      </c>
    </row>
    <row r="2573" spans="2:23" x14ac:dyDescent="0.25">
      <c r="B2573" s="169" t="s">
        <v>96</v>
      </c>
      <c r="C2573" s="169" t="s">
        <v>57</v>
      </c>
      <c r="D2573" s="169" t="s">
        <v>5975</v>
      </c>
      <c r="E2573" s="169" t="s">
        <v>20</v>
      </c>
      <c r="F2573" s="245" t="str">
        <f t="shared" si="163"/>
        <v>DVW 74</v>
      </c>
      <c r="G2573" s="169" t="s">
        <v>344</v>
      </c>
      <c r="I2573" s="169" t="str">
        <f t="shared" si="162"/>
        <v>L09_JVSPLIT_028E_WINZE</v>
      </c>
      <c r="J2573" s="169" t="s">
        <v>11291</v>
      </c>
      <c r="K2573" s="169">
        <f>IFERROR(MATCH(J2573,'Final List'!$B$4:$B$252,0),0)</f>
        <v>0</v>
      </c>
      <c r="L2573" s="169">
        <f>IFERROR(MATCH(J2573,'Final List'!$D$4:$D$252,0),0)</f>
        <v>0</v>
      </c>
      <c r="M2573" s="169">
        <f>IFERROR(MATCH(J2573,'Final List'!$F$4:$F$251,0),0)</f>
        <v>0</v>
      </c>
      <c r="N2573" s="169">
        <f>IFERROR(MATCH(J2573,'Final List'!$H$4:$H$252,0),0)</f>
        <v>0</v>
      </c>
      <c r="O2573" s="169">
        <f>IFERROR(MATCH(J2573,'Final List'!$J$4:$J$252,0),0)</f>
        <v>0</v>
      </c>
      <c r="P2573" s="169">
        <f>IFERROR(MATCH(J2573,'Final List'!$L$4:$L$252,0),0)</f>
        <v>0</v>
      </c>
      <c r="Q2573" s="169">
        <f>IFERROR(MATCH(J2573,'Final List'!$N$4:$N$252,0),0)</f>
        <v>0</v>
      </c>
      <c r="R2573" s="169">
        <f>IFERROR(MATCH(J2573,'Final List'!$P$4:$P$252,0),0)</f>
        <v>0</v>
      </c>
      <c r="S2573" s="169">
        <f t="shared" si="164"/>
        <v>0</v>
      </c>
      <c r="V2573" s="169" t="str">
        <f t="shared" si="161"/>
        <v>UDLOS 1</v>
      </c>
      <c r="W2573" s="169" t="s">
        <v>2706</v>
      </c>
    </row>
    <row r="2574" spans="2:23" x14ac:dyDescent="0.25">
      <c r="B2574" s="169" t="s">
        <v>258</v>
      </c>
      <c r="C2574" s="169" t="s">
        <v>87</v>
      </c>
      <c r="D2574" s="169" t="s">
        <v>5850</v>
      </c>
      <c r="E2574" s="169" t="s">
        <v>63</v>
      </c>
      <c r="F2574" s="245" t="str">
        <f t="shared" si="163"/>
        <v>Dhoz 71</v>
      </c>
      <c r="G2574" s="169" t="s">
        <v>12888</v>
      </c>
      <c r="I2574" s="169" t="str">
        <f t="shared" si="162"/>
        <v>L10_NONE_016E_XCS</v>
      </c>
      <c r="J2574" s="169" t="s">
        <v>14872</v>
      </c>
      <c r="K2574" s="169">
        <f>IFERROR(MATCH(J2574,'Final List'!$B$4:$B$252,0),0)</f>
        <v>0</v>
      </c>
      <c r="L2574" s="169">
        <f>IFERROR(MATCH(J2574,'Final List'!$D$4:$D$252,0),0)</f>
        <v>0</v>
      </c>
      <c r="M2574" s="169">
        <f>IFERROR(MATCH(J2574,'Final List'!$F$4:$F$251,0),0)</f>
        <v>0</v>
      </c>
      <c r="N2574" s="169">
        <f>IFERROR(MATCH(J2574,'Final List'!$H$4:$H$252,0),0)</f>
        <v>0</v>
      </c>
      <c r="O2574" s="169">
        <f>IFERROR(MATCH(J2574,'Final List'!$J$4:$J$252,0),0)</f>
        <v>0</v>
      </c>
      <c r="P2574" s="169">
        <f>IFERROR(MATCH(J2574,'Final List'!$L$4:$L$252,0),0)</f>
        <v>0</v>
      </c>
      <c r="Q2574" s="169">
        <f>IFERROR(MATCH(J2574,'Final List'!$N$4:$N$252,0),0)</f>
        <v>0</v>
      </c>
      <c r="R2574" s="169">
        <f>IFERROR(MATCH(J2574,'Final List'!$P$4:$P$252,0),0)</f>
        <v>0</v>
      </c>
      <c r="S2574" s="169">
        <f t="shared" si="164"/>
        <v>0</v>
      </c>
      <c r="V2574" s="169" t="str">
        <f t="shared" si="161"/>
        <v>NITRO BD</v>
      </c>
      <c r="W2574" s="169" t="s">
        <v>8898</v>
      </c>
    </row>
    <row r="2575" spans="2:23" x14ac:dyDescent="0.25">
      <c r="B2575" s="169" t="s">
        <v>258</v>
      </c>
      <c r="C2575" s="169" t="s">
        <v>45</v>
      </c>
      <c r="D2575" s="169" t="s">
        <v>6036</v>
      </c>
      <c r="E2575" s="169" t="s">
        <v>36</v>
      </c>
      <c r="F2575" s="245" t="str">
        <f t="shared" si="163"/>
        <v>StpS 77</v>
      </c>
      <c r="G2575" s="169" t="s">
        <v>10897</v>
      </c>
      <c r="I2575" s="169" t="str">
        <f t="shared" si="162"/>
        <v>L10_DPVE_017E_STOPE</v>
      </c>
      <c r="J2575" s="169" t="s">
        <v>11358</v>
      </c>
      <c r="K2575" s="169">
        <f>IFERROR(MATCH(J2575,'Final List'!$B$4:$B$252,0),0)</f>
        <v>0</v>
      </c>
      <c r="L2575" s="169">
        <f>IFERROR(MATCH(J2575,'Final List'!$D$4:$D$252,0),0)</f>
        <v>0</v>
      </c>
      <c r="M2575" s="169">
        <f>IFERROR(MATCH(J2575,'Final List'!$F$4:$F$251,0),0)</f>
        <v>0</v>
      </c>
      <c r="N2575" s="169">
        <f>IFERROR(MATCH(J2575,'Final List'!$H$4:$H$252,0),0)</f>
        <v>0</v>
      </c>
      <c r="O2575" s="169">
        <f>IFERROR(MATCH(J2575,'Final List'!$J$4:$J$252,0),0)</f>
        <v>0</v>
      </c>
      <c r="P2575" s="169">
        <f>IFERROR(MATCH(J2575,'Final List'!$L$4:$L$252,0),0)</f>
        <v>0</v>
      </c>
      <c r="Q2575" s="169">
        <f>IFERROR(MATCH(J2575,'Final List'!$N$4:$N$252,0),0)</f>
        <v>0</v>
      </c>
      <c r="R2575" s="169">
        <f>IFERROR(MATCH(J2575,'Final List'!$P$4:$P$252,0),0)</f>
        <v>0</v>
      </c>
      <c r="S2575" s="169">
        <f t="shared" si="164"/>
        <v>0</v>
      </c>
      <c r="T2575" s="169" t="s">
        <v>68</v>
      </c>
      <c r="V2575" s="169" t="str">
        <f t="shared" si="161"/>
        <v>SHEPHERD BC 3</v>
      </c>
      <c r="W2575" s="169" t="s">
        <v>2713</v>
      </c>
    </row>
    <row r="2576" spans="2:23" x14ac:dyDescent="0.25">
      <c r="B2576" s="169" t="s">
        <v>1166</v>
      </c>
      <c r="C2576" s="169" t="s">
        <v>45</v>
      </c>
      <c r="D2576" s="169" t="s">
        <v>144</v>
      </c>
      <c r="E2576" s="169" t="s">
        <v>61</v>
      </c>
      <c r="F2576" s="245" t="str">
        <f t="shared" si="163"/>
        <v>Dhoz 71</v>
      </c>
      <c r="G2576" s="169" t="s">
        <v>6825</v>
      </c>
      <c r="H2576" s="169" t="s">
        <v>862</v>
      </c>
      <c r="I2576" s="169" t="str">
        <f t="shared" si="162"/>
        <v>L11_DPVE_043E_DW</v>
      </c>
      <c r="J2576" s="169" t="s">
        <v>11288</v>
      </c>
      <c r="K2576" s="169">
        <f>IFERROR(MATCH(J2576,'Final List'!$B$4:$B$252,0),0)</f>
        <v>0</v>
      </c>
      <c r="L2576" s="169">
        <f>IFERROR(MATCH(J2576,'Final List'!$D$4:$D$252,0),0)</f>
        <v>0</v>
      </c>
      <c r="M2576" s="169">
        <f>IFERROR(MATCH(J2576,'Final List'!$F$4:$F$251,0),0)</f>
        <v>0</v>
      </c>
      <c r="N2576" s="169">
        <f>IFERROR(MATCH(J2576,'Final List'!$H$4:$H$252,0),0)</f>
        <v>0</v>
      </c>
      <c r="O2576" s="169">
        <f>IFERROR(MATCH(J2576,'Final List'!$J$4:$J$252,0),0)</f>
        <v>0</v>
      </c>
      <c r="P2576" s="169">
        <f>IFERROR(MATCH(J2576,'Final List'!$L$4:$L$252,0),0)</f>
        <v>0</v>
      </c>
      <c r="Q2576" s="169">
        <f>IFERROR(MATCH(J2576,'Final List'!$N$4:$N$252,0),0)</f>
        <v>0</v>
      </c>
      <c r="R2576" s="169">
        <f>IFERROR(MATCH(J2576,'Final List'!$P$4:$P$252,0),0)</f>
        <v>0</v>
      </c>
      <c r="S2576" s="169">
        <f t="shared" si="164"/>
        <v>0</v>
      </c>
      <c r="V2576" s="169" t="str">
        <f t="shared" si="161"/>
        <v>REBOTE 1</v>
      </c>
      <c r="W2576" s="169" t="s">
        <v>8896</v>
      </c>
    </row>
    <row r="2577" spans="2:23" x14ac:dyDescent="0.25">
      <c r="B2577" s="169" t="s">
        <v>96</v>
      </c>
      <c r="C2577" s="169" t="s">
        <v>57</v>
      </c>
      <c r="D2577" s="169" t="s">
        <v>179</v>
      </c>
      <c r="E2577" s="169" t="s">
        <v>61</v>
      </c>
      <c r="F2577" s="245" t="str">
        <f t="shared" si="163"/>
        <v>Dhoz 71</v>
      </c>
      <c r="G2577" s="169" t="s">
        <v>1661</v>
      </c>
      <c r="H2577" s="169" t="s">
        <v>349</v>
      </c>
      <c r="I2577" s="169" t="str">
        <f t="shared" si="162"/>
        <v>L09_JVSPLIT_050E_DW</v>
      </c>
      <c r="J2577" s="169" t="s">
        <v>11328</v>
      </c>
      <c r="K2577" s="169">
        <f>IFERROR(MATCH(J2577,'Final List'!$B$4:$B$252,0),0)</f>
        <v>0</v>
      </c>
      <c r="L2577" s="169">
        <f>IFERROR(MATCH(J2577,'Final List'!$D$4:$D$252,0),0)</f>
        <v>0</v>
      </c>
      <c r="M2577" s="169">
        <f>IFERROR(MATCH(J2577,'Final List'!$F$4:$F$251,0),0)</f>
        <v>0</v>
      </c>
      <c r="N2577" s="169">
        <f>IFERROR(MATCH(J2577,'Final List'!$H$4:$H$252,0),0)</f>
        <v>0</v>
      </c>
      <c r="O2577" s="169">
        <f>IFERROR(MATCH(J2577,'Final List'!$J$4:$J$252,0),0)</f>
        <v>0</v>
      </c>
      <c r="P2577" s="169">
        <f>IFERROR(MATCH(J2577,'Final List'!$L$4:$L$252,0),0)</f>
        <v>0</v>
      </c>
      <c r="Q2577" s="169">
        <f>IFERROR(MATCH(J2577,'Final List'!$N$4:$N$252,0),0)</f>
        <v>0</v>
      </c>
      <c r="R2577" s="169">
        <f>IFERROR(MATCH(J2577,'Final List'!$P$4:$P$252,0),0)</f>
        <v>0</v>
      </c>
      <c r="S2577" s="169">
        <f t="shared" si="164"/>
        <v>0</v>
      </c>
      <c r="V2577" s="169" t="str">
        <f t="shared" si="161"/>
        <v>QUIJANO 2</v>
      </c>
      <c r="W2577" s="169" t="s">
        <v>8896</v>
      </c>
    </row>
    <row r="2578" spans="2:23" x14ac:dyDescent="0.25">
      <c r="B2578" s="169" t="s">
        <v>258</v>
      </c>
      <c r="C2578" s="169" t="s">
        <v>45</v>
      </c>
      <c r="D2578" s="169" t="s">
        <v>177</v>
      </c>
      <c r="E2578" s="169" t="s">
        <v>60</v>
      </c>
      <c r="F2578" s="245" t="str">
        <f t="shared" si="163"/>
        <v>Dhoz 71</v>
      </c>
      <c r="G2578" s="169" t="s">
        <v>10891</v>
      </c>
      <c r="I2578" s="169" t="str">
        <f t="shared" si="162"/>
        <v>L10_DPVE_054E_DE</v>
      </c>
      <c r="J2578" s="169" t="s">
        <v>1323</v>
      </c>
      <c r="K2578" s="169">
        <f>IFERROR(MATCH(J2578,'Final List'!$B$4:$B$252,0),0)</f>
        <v>0</v>
      </c>
      <c r="L2578" s="169">
        <f>IFERROR(MATCH(J2578,'Final List'!$D$4:$D$252,0),0)</f>
        <v>0</v>
      </c>
      <c r="M2578" s="169">
        <f>IFERROR(MATCH(J2578,'Final List'!$F$4:$F$251,0),0)</f>
        <v>0</v>
      </c>
      <c r="N2578" s="169">
        <f>IFERROR(MATCH(J2578,'Final List'!$H$4:$H$252,0),0)</f>
        <v>0</v>
      </c>
      <c r="O2578" s="169">
        <f>IFERROR(MATCH(J2578,'Final List'!$J$4:$J$252,0),0)</f>
        <v>0</v>
      </c>
      <c r="P2578" s="169">
        <f>IFERROR(MATCH(J2578,'Final List'!$L$4:$L$252,0),0)</f>
        <v>0</v>
      </c>
      <c r="Q2578" s="169">
        <f>IFERROR(MATCH(J2578,'Final List'!$N$4:$N$252,0),0)</f>
        <v>0</v>
      </c>
      <c r="R2578" s="169">
        <f>IFERROR(MATCH(J2578,'Final List'!$P$4:$P$252,0),0)</f>
        <v>0</v>
      </c>
      <c r="S2578" s="169">
        <f t="shared" si="164"/>
        <v>0</v>
      </c>
      <c r="V2578" s="169" t="str">
        <f t="shared" si="161"/>
        <v>SHEPHERD BA 2</v>
      </c>
      <c r="W2578" s="169" t="s">
        <v>8896</v>
      </c>
    </row>
    <row r="2579" spans="2:23" x14ac:dyDescent="0.25">
      <c r="B2579" s="169" t="s">
        <v>258</v>
      </c>
      <c r="C2579" s="169" t="s">
        <v>45</v>
      </c>
      <c r="D2579" s="169" t="s">
        <v>11064</v>
      </c>
      <c r="E2579" s="169" t="s">
        <v>19</v>
      </c>
      <c r="F2579" s="245" t="str">
        <f t="shared" si="163"/>
        <v>DVR 72</v>
      </c>
      <c r="G2579" s="169" t="s">
        <v>5703</v>
      </c>
      <c r="I2579" s="169" t="str">
        <f t="shared" si="162"/>
        <v>L10_DPVE_099E_RAISE</v>
      </c>
      <c r="J2579" s="169" t="s">
        <v>11296</v>
      </c>
      <c r="K2579" s="169">
        <f>IFERROR(MATCH(J2579,'Final List'!$B$4:$B$252,0),0)</f>
        <v>0</v>
      </c>
      <c r="L2579" s="169">
        <f>IFERROR(MATCH(J2579,'Final List'!$D$4:$D$252,0),0)</f>
        <v>0</v>
      </c>
      <c r="M2579" s="169">
        <f>IFERROR(MATCH(J2579,'Final List'!$F$4:$F$251,0),0)</f>
        <v>0</v>
      </c>
      <c r="N2579" s="169">
        <f>IFERROR(MATCH(J2579,'Final List'!$H$4:$H$252,0),0)</f>
        <v>0</v>
      </c>
      <c r="O2579" s="169">
        <f>IFERROR(MATCH(J2579,'Final List'!$J$4:$J$252,0),0)</f>
        <v>0</v>
      </c>
      <c r="P2579" s="169">
        <f>IFERROR(MATCH(J2579,'Final List'!$L$4:$L$252,0),0)</f>
        <v>0</v>
      </c>
      <c r="Q2579" s="169">
        <f>IFERROR(MATCH(J2579,'Final List'!$N$4:$N$252,0),0)</f>
        <v>0</v>
      </c>
      <c r="R2579" s="169">
        <f>IFERROR(MATCH(J2579,'Final List'!$P$4:$P$252,0),0)</f>
        <v>0</v>
      </c>
      <c r="S2579" s="169">
        <f t="shared" si="164"/>
        <v>0</v>
      </c>
      <c r="V2579" s="169" t="str">
        <f t="shared" si="161"/>
        <v>OLIVEROS 2</v>
      </c>
      <c r="W2579" s="169" t="s">
        <v>2715</v>
      </c>
    </row>
    <row r="2580" spans="2:23" x14ac:dyDescent="0.25">
      <c r="B2580" s="169" t="s">
        <v>258</v>
      </c>
      <c r="C2580" s="169" t="s">
        <v>11298</v>
      </c>
      <c r="D2580" s="169" t="s">
        <v>165</v>
      </c>
      <c r="E2580" s="169" t="s">
        <v>62</v>
      </c>
      <c r="F2580" s="245" t="str">
        <f t="shared" si="163"/>
        <v>RobS 79</v>
      </c>
      <c r="G2580" s="169" t="s">
        <v>5704</v>
      </c>
      <c r="I2580" s="169" t="str">
        <f t="shared" si="162"/>
        <v>L10_JVS_056E_ROBBING</v>
      </c>
      <c r="J2580" s="169" t="s">
        <v>11297</v>
      </c>
      <c r="K2580" s="169">
        <f>IFERROR(MATCH(J2580,'Final List'!$B$4:$B$252,0),0)</f>
        <v>0</v>
      </c>
      <c r="L2580" s="169">
        <f>IFERROR(MATCH(J2580,'Final List'!$D$4:$D$252,0),0)</f>
        <v>0</v>
      </c>
      <c r="M2580" s="169">
        <f>IFERROR(MATCH(J2580,'Final List'!$F$4:$F$251,0),0)</f>
        <v>0</v>
      </c>
      <c r="N2580" s="169">
        <f>IFERROR(MATCH(J2580,'Final List'!$H$4:$H$252,0),0)</f>
        <v>0</v>
      </c>
      <c r="O2580" s="169">
        <f>IFERROR(MATCH(J2580,'Final List'!$J$4:$J$252,0),0)</f>
        <v>0</v>
      </c>
      <c r="P2580" s="169">
        <f>IFERROR(MATCH(J2580,'Final List'!$L$4:$L$252,0),0)</f>
        <v>0</v>
      </c>
      <c r="Q2580" s="169">
        <f>IFERROR(MATCH(J2580,'Final List'!$N$4:$N$252,0),0)</f>
        <v>0</v>
      </c>
      <c r="R2580" s="169">
        <f>IFERROR(MATCH(J2580,'Final List'!$P$4:$P$252,0),0)</f>
        <v>0</v>
      </c>
      <c r="S2580" s="169">
        <f t="shared" si="164"/>
        <v>0</v>
      </c>
      <c r="T2580" s="169" t="s">
        <v>68</v>
      </c>
      <c r="V2580" s="169" t="str">
        <f t="shared" si="161"/>
        <v>OLIVEROS 3</v>
      </c>
      <c r="W2580" s="169" t="s">
        <v>2707</v>
      </c>
    </row>
    <row r="2581" spans="2:23" x14ac:dyDescent="0.25">
      <c r="B2581" s="169" t="s">
        <v>258</v>
      </c>
      <c r="C2581" s="169" t="s">
        <v>57</v>
      </c>
      <c r="D2581" s="169" t="s">
        <v>166</v>
      </c>
      <c r="E2581" s="169" t="s">
        <v>62</v>
      </c>
      <c r="F2581" s="245" t="str">
        <f t="shared" si="163"/>
        <v>RobS 79</v>
      </c>
      <c r="G2581" s="169" t="s">
        <v>5697</v>
      </c>
      <c r="I2581" s="169" t="str">
        <f t="shared" si="162"/>
        <v>L10_JVSPLIT_068E_ROBBING</v>
      </c>
      <c r="J2581" s="169" t="s">
        <v>11299</v>
      </c>
      <c r="K2581" s="169">
        <f>IFERROR(MATCH(J2581,'Final List'!$B$4:$B$252,0),0)</f>
        <v>0</v>
      </c>
      <c r="L2581" s="169">
        <f>IFERROR(MATCH(J2581,'Final List'!$D$4:$D$252,0),0)</f>
        <v>0</v>
      </c>
      <c r="M2581" s="169">
        <f>IFERROR(MATCH(J2581,'Final List'!$F$4:$F$251,0),0)</f>
        <v>0</v>
      </c>
      <c r="N2581" s="169">
        <f>IFERROR(MATCH(J2581,'Final List'!$H$4:$H$252,0),0)</f>
        <v>0</v>
      </c>
      <c r="O2581" s="169">
        <f>IFERROR(MATCH(J2581,'Final List'!$J$4:$J$252,0),0)</f>
        <v>0</v>
      </c>
      <c r="P2581" s="169">
        <f>IFERROR(MATCH(J2581,'Final List'!$L$4:$L$252,0),0)</f>
        <v>0</v>
      </c>
      <c r="Q2581" s="169">
        <f>IFERROR(MATCH(J2581,'Final List'!$N$4:$N$252,0),0)</f>
        <v>0</v>
      </c>
      <c r="R2581" s="169">
        <f>IFERROR(MATCH(J2581,'Final List'!$P$4:$P$252,0),0)</f>
        <v>0</v>
      </c>
      <c r="S2581" s="169">
        <f t="shared" si="164"/>
        <v>0</v>
      </c>
      <c r="T2581" s="169" t="s">
        <v>68</v>
      </c>
      <c r="V2581" s="169" t="str">
        <f t="shared" ref="V2581:V2669" si="165">IF(H2581="",G2581,H2581)</f>
        <v>OLIVEROS 1</v>
      </c>
      <c r="W2581" s="169" t="s">
        <v>2707</v>
      </c>
    </row>
    <row r="2582" spans="2:23" x14ac:dyDescent="0.25">
      <c r="B2582" s="169" t="s">
        <v>1166</v>
      </c>
      <c r="C2582" s="169" t="s">
        <v>55</v>
      </c>
      <c r="D2582" s="169" t="s">
        <v>165</v>
      </c>
      <c r="E2582" s="169" t="s">
        <v>36</v>
      </c>
      <c r="F2582" s="245" t="str">
        <f t="shared" si="163"/>
        <v>StpS 77</v>
      </c>
      <c r="G2582" s="169" t="s">
        <v>742</v>
      </c>
      <c r="I2582" s="169" t="str">
        <f t="shared" si="162"/>
        <v>L11_JVFW_056E_STOPE</v>
      </c>
      <c r="J2582" s="169" t="s">
        <v>11405</v>
      </c>
      <c r="K2582" s="169">
        <f>IFERROR(MATCH(J2582,'Final List'!$B$4:$B$252,0),0)</f>
        <v>0</v>
      </c>
      <c r="L2582" s="169">
        <f>IFERROR(MATCH(J2582,'Final List'!$D$4:$D$252,0),0)</f>
        <v>0</v>
      </c>
      <c r="M2582" s="169">
        <f>IFERROR(MATCH(J2582,'Final List'!$F$4:$F$251,0),0)</f>
        <v>0</v>
      </c>
      <c r="N2582" s="169">
        <f>IFERROR(MATCH(J2582,'Final List'!$H$4:$H$252,0),0)</f>
        <v>0</v>
      </c>
      <c r="O2582" s="169">
        <f>IFERROR(MATCH(J2582,'Final List'!$J$4:$J$252,0),0)</f>
        <v>0</v>
      </c>
      <c r="P2582" s="169">
        <f>IFERROR(MATCH(J2582,'Final List'!$L$4:$L$252,0),0)</f>
        <v>0</v>
      </c>
      <c r="Q2582" s="169">
        <f>IFERROR(MATCH(J2582,'Final List'!$N$4:$N$252,0),0)</f>
        <v>0</v>
      </c>
      <c r="R2582" s="169">
        <f>IFERROR(MATCH(J2582,'Final List'!$P$4:$P$252,0),0)</f>
        <v>0</v>
      </c>
      <c r="S2582" s="169">
        <f t="shared" si="164"/>
        <v>0</v>
      </c>
      <c r="T2582" s="169" t="s">
        <v>68</v>
      </c>
      <c r="V2582" s="169" t="str">
        <f t="shared" si="165"/>
        <v>REBOTE 2</v>
      </c>
      <c r="W2582" s="169" t="s">
        <v>2713</v>
      </c>
    </row>
    <row r="2583" spans="2:23" x14ac:dyDescent="0.25">
      <c r="B2583" s="169" t="s">
        <v>91</v>
      </c>
      <c r="C2583" s="169" t="s">
        <v>56</v>
      </c>
      <c r="D2583" s="169" t="s">
        <v>110</v>
      </c>
      <c r="E2583" s="169" t="s">
        <v>19</v>
      </c>
      <c r="F2583" s="245" t="str">
        <f t="shared" si="163"/>
        <v>DVR 72</v>
      </c>
      <c r="G2583" s="169" t="s">
        <v>9885</v>
      </c>
      <c r="H2583" s="169" t="s">
        <v>10758</v>
      </c>
      <c r="I2583" s="169" t="str">
        <f t="shared" si="162"/>
        <v>L04_GHVFW_004E_RAISE</v>
      </c>
      <c r="J2583" s="169" t="s">
        <v>11305</v>
      </c>
      <c r="K2583" s="169">
        <f>IFERROR(MATCH(J2583,'Final List'!$B$4:$B$252,0),0)</f>
        <v>0</v>
      </c>
      <c r="L2583" s="169">
        <f>IFERROR(MATCH(J2583,'Final List'!$D$4:$D$252,0),0)</f>
        <v>0</v>
      </c>
      <c r="M2583" s="169">
        <f>IFERROR(MATCH(J2583,'Final List'!$F$4:$F$251,0),0)</f>
        <v>0</v>
      </c>
      <c r="N2583" s="169">
        <f>IFERROR(MATCH(J2583,'Final List'!$H$4:$H$252,0),0)</f>
        <v>0</v>
      </c>
      <c r="O2583" s="169">
        <f>IFERROR(MATCH(J2583,'Final List'!$J$4:$J$252,0),0)</f>
        <v>0</v>
      </c>
      <c r="P2583" s="169">
        <f>IFERROR(MATCH(J2583,'Final List'!$L$4:$L$252,0),0)</f>
        <v>0</v>
      </c>
      <c r="Q2583" s="169">
        <f>IFERROR(MATCH(J2583,'Final List'!$N$4:$N$252,0),0)</f>
        <v>0</v>
      </c>
      <c r="R2583" s="169">
        <f>IFERROR(MATCH(J2583,'Final List'!$P$4:$P$252,0),0)</f>
        <v>0</v>
      </c>
      <c r="S2583" s="169">
        <f t="shared" si="164"/>
        <v>0</v>
      </c>
      <c r="V2583" s="169" t="str">
        <f t="shared" si="165"/>
        <v>MARTINEZ, DN</v>
      </c>
      <c r="W2583" s="169" t="s">
        <v>2715</v>
      </c>
    </row>
    <row r="2584" spans="2:23" x14ac:dyDescent="0.25">
      <c r="B2584" s="169" t="s">
        <v>92</v>
      </c>
      <c r="C2584" s="169" t="s">
        <v>43</v>
      </c>
      <c r="D2584" s="169" t="s">
        <v>6139</v>
      </c>
      <c r="E2584" s="169" t="s">
        <v>36</v>
      </c>
      <c r="F2584" s="245" t="str">
        <f t="shared" si="163"/>
        <v>StpS 77</v>
      </c>
      <c r="G2584" s="169" t="s">
        <v>10894</v>
      </c>
      <c r="I2584" s="169" t="str">
        <f t="shared" ref="I2584:I2662" si="166">CONCATENATE(B2584,"_",C2584,"_",D2584,"_",E2584)</f>
        <v>L05_GHVSPLIT_030W_STOPE</v>
      </c>
      <c r="J2584" s="169" t="s">
        <v>11404</v>
      </c>
      <c r="K2584" s="169">
        <f>IFERROR(MATCH(J2584,'Final List'!$B$4:$B$252,0),0)</f>
        <v>0</v>
      </c>
      <c r="L2584" s="169">
        <f>IFERROR(MATCH(J2584,'Final List'!$D$4:$D$252,0),0)</f>
        <v>0</v>
      </c>
      <c r="M2584" s="169">
        <f>IFERROR(MATCH(J2584,'Final List'!$F$4:$F$251,0),0)</f>
        <v>0</v>
      </c>
      <c r="N2584" s="169">
        <f>IFERROR(MATCH(J2584,'Final List'!$H$4:$H$252,0),0)</f>
        <v>0</v>
      </c>
      <c r="O2584" s="169">
        <f>IFERROR(MATCH(J2584,'Final List'!$J$4:$J$252,0),0)</f>
        <v>0</v>
      </c>
      <c r="P2584" s="169">
        <f>IFERROR(MATCH(J2584,'Final List'!$L$4:$L$252,0),0)</f>
        <v>0</v>
      </c>
      <c r="Q2584" s="169">
        <f>IFERROR(MATCH(J2584,'Final List'!$N$4:$N$252,0),0)</f>
        <v>0</v>
      </c>
      <c r="R2584" s="169">
        <f>IFERROR(MATCH(J2584,'Final List'!$P$4:$P$252,0),0)</f>
        <v>0</v>
      </c>
      <c r="S2584" s="169">
        <f t="shared" si="164"/>
        <v>0</v>
      </c>
      <c r="T2584" s="169" t="s">
        <v>68</v>
      </c>
      <c r="V2584" s="169" t="str">
        <f t="shared" si="165"/>
        <v>SHEPHERD BB 2</v>
      </c>
      <c r="W2584" s="169" t="s">
        <v>2719</v>
      </c>
    </row>
    <row r="2585" spans="2:23" x14ac:dyDescent="0.25">
      <c r="B2585" s="169" t="s">
        <v>96</v>
      </c>
      <c r="C2585" s="169" t="s">
        <v>45</v>
      </c>
      <c r="D2585" s="169" t="s">
        <v>170</v>
      </c>
      <c r="E2585" s="169" t="s">
        <v>19</v>
      </c>
      <c r="F2585" s="245" t="str">
        <f t="shared" si="163"/>
        <v>DVR 72</v>
      </c>
      <c r="G2585" s="169" t="s">
        <v>5101</v>
      </c>
      <c r="I2585" s="169" t="str">
        <f t="shared" si="166"/>
        <v>L09_DPVE_071E_RAISE</v>
      </c>
      <c r="J2585" s="169" t="s">
        <v>11307</v>
      </c>
      <c r="K2585" s="169">
        <f>IFERROR(MATCH(J2585,'Final List'!$B$4:$B$252,0),0)</f>
        <v>0</v>
      </c>
      <c r="L2585" s="169">
        <f>IFERROR(MATCH(J2585,'Final List'!$D$4:$D$252,0),0)</f>
        <v>0</v>
      </c>
      <c r="M2585" s="169">
        <f>IFERROR(MATCH(J2585,'Final List'!$F$4:$F$251,0),0)</f>
        <v>0</v>
      </c>
      <c r="N2585" s="169">
        <f>IFERROR(MATCH(J2585,'Final List'!$H$4:$H$252,0),0)</f>
        <v>0</v>
      </c>
      <c r="O2585" s="169">
        <f>IFERROR(MATCH(J2585,'Final List'!$J$4:$J$252,0),0)</f>
        <v>0</v>
      </c>
      <c r="P2585" s="169">
        <f>IFERROR(MATCH(J2585,'Final List'!$L$4:$L$252,0),0)</f>
        <v>0</v>
      </c>
      <c r="Q2585" s="169">
        <f>IFERROR(MATCH(J2585,'Final List'!$N$4:$N$252,0),0)</f>
        <v>0</v>
      </c>
      <c r="R2585" s="169">
        <f>IFERROR(MATCH(J2585,'Final List'!$P$4:$P$252,0),0)</f>
        <v>0</v>
      </c>
      <c r="S2585" s="169">
        <f t="shared" si="164"/>
        <v>0</v>
      </c>
      <c r="V2585" s="169" t="str">
        <f t="shared" si="165"/>
        <v>DELOS REYES V3</v>
      </c>
      <c r="W2585" s="169" t="s">
        <v>2715</v>
      </c>
    </row>
    <row r="2586" spans="2:23" x14ac:dyDescent="0.25">
      <c r="B2586" s="169" t="s">
        <v>258</v>
      </c>
      <c r="C2586" s="169" t="s">
        <v>45</v>
      </c>
      <c r="D2586" s="169" t="s">
        <v>10429</v>
      </c>
      <c r="E2586" s="169" t="s">
        <v>19</v>
      </c>
      <c r="F2586" s="245" t="str">
        <f t="shared" si="163"/>
        <v>DVR 72</v>
      </c>
      <c r="G2586" s="169" t="s">
        <v>5705</v>
      </c>
      <c r="I2586" s="169" t="str">
        <f t="shared" si="166"/>
        <v>L10_DPVE_098E_RAISE</v>
      </c>
      <c r="J2586" s="169" t="s">
        <v>11308</v>
      </c>
      <c r="K2586" s="169">
        <f>IFERROR(MATCH(J2586,'Final List'!$B$4:$B$252,0),0)</f>
        <v>0</v>
      </c>
      <c r="L2586" s="169">
        <f>IFERROR(MATCH(J2586,'Final List'!$D$4:$D$252,0),0)</f>
        <v>0</v>
      </c>
      <c r="M2586" s="169">
        <f>IFERROR(MATCH(J2586,'Final List'!$F$4:$F$251,0),0)</f>
        <v>0</v>
      </c>
      <c r="N2586" s="169">
        <f>IFERROR(MATCH(J2586,'Final List'!$H$4:$H$252,0),0)</f>
        <v>0</v>
      </c>
      <c r="O2586" s="169">
        <f>IFERROR(MATCH(J2586,'Final List'!$J$4:$J$252,0),0)</f>
        <v>0</v>
      </c>
      <c r="P2586" s="169">
        <f>IFERROR(MATCH(J2586,'Final List'!$L$4:$L$252,0),0)</f>
        <v>0</v>
      </c>
      <c r="Q2586" s="169">
        <f>IFERROR(MATCH(J2586,'Final List'!$N$4:$N$252,0),0)</f>
        <v>0</v>
      </c>
      <c r="R2586" s="169">
        <f>IFERROR(MATCH(J2586,'Final List'!$P$4:$P$252,0),0)</f>
        <v>0</v>
      </c>
      <c r="S2586" s="169">
        <f t="shared" si="164"/>
        <v>0</v>
      </c>
      <c r="V2586" s="169" t="str">
        <f t="shared" si="165"/>
        <v>OLIVEROS 4</v>
      </c>
      <c r="W2586" s="169" t="s">
        <v>2715</v>
      </c>
    </row>
    <row r="2587" spans="2:23" x14ac:dyDescent="0.25">
      <c r="B2587" s="169" t="s">
        <v>12320</v>
      </c>
      <c r="C2587" s="169" t="s">
        <v>87</v>
      </c>
      <c r="D2587" s="169" t="s">
        <v>178</v>
      </c>
      <c r="E2587" s="169" t="s">
        <v>11347</v>
      </c>
      <c r="F2587" s="245" t="s">
        <v>12992</v>
      </c>
      <c r="G2587" s="169" t="s">
        <v>389</v>
      </c>
      <c r="H2587" s="169" t="s">
        <v>7984</v>
      </c>
      <c r="I2587" s="169" t="str">
        <f t="shared" si="166"/>
        <v>L425_NONE_048E_XCS_ISL</v>
      </c>
      <c r="J2587" s="169" t="s">
        <v>12321</v>
      </c>
      <c r="K2587" s="169">
        <f>IFERROR(MATCH(J2587,'Final List'!$B$4:$B$252,0),0)</f>
        <v>0</v>
      </c>
      <c r="L2587" s="169">
        <f>IFERROR(MATCH(J2587,'Final List'!$D$4:$D$252,0),0)</f>
        <v>0</v>
      </c>
      <c r="M2587" s="169">
        <f>IFERROR(MATCH(J2587,'Final List'!$F$4:$F$251,0),0)</f>
        <v>0</v>
      </c>
      <c r="N2587" s="169">
        <f>IFERROR(MATCH(J2587,'Final List'!$H$4:$H$252,0),0)</f>
        <v>0</v>
      </c>
      <c r="O2587" s="169">
        <f>IFERROR(MATCH(J2587,'Final List'!$J$4:$J$252,0),0)</f>
        <v>0</v>
      </c>
      <c r="P2587" s="169">
        <f>IFERROR(MATCH(J2587,'Final List'!$L$4:$L$252,0),0)</f>
        <v>0</v>
      </c>
      <c r="Q2587" s="169">
        <f>IFERROR(MATCH(J2587,'Final List'!$N$4:$N$252,0),0)</f>
        <v>0</v>
      </c>
      <c r="R2587" s="169">
        <f>IFERROR(MATCH(J2587,'Final List'!$P$4:$P$252,0),0)</f>
        <v>0</v>
      </c>
      <c r="S2587" s="169">
        <f t="shared" si="164"/>
        <v>0</v>
      </c>
      <c r="V2587" s="169" t="str">
        <f t="shared" si="165"/>
        <v>OLIVEROS</v>
      </c>
      <c r="W2587" s="169" t="s">
        <v>2714</v>
      </c>
    </row>
    <row r="2588" spans="2:23" x14ac:dyDescent="0.25">
      <c r="B2588" s="169" t="s">
        <v>1166</v>
      </c>
      <c r="C2588" s="169" t="s">
        <v>87</v>
      </c>
      <c r="D2588" s="169" t="s">
        <v>218</v>
      </c>
      <c r="E2588" s="169" t="s">
        <v>20</v>
      </c>
      <c r="F2588" s="245" t="str">
        <f t="shared" si="163"/>
        <v>DVW 74</v>
      </c>
      <c r="G2588" s="169" t="s">
        <v>385</v>
      </c>
      <c r="I2588" s="169" t="str">
        <f t="shared" si="166"/>
        <v>L11_NONE_062E_WINZE</v>
      </c>
      <c r="J2588" s="169" t="s">
        <v>11311</v>
      </c>
      <c r="K2588" s="169">
        <f>IFERROR(MATCH(J2588,'Final List'!$B$4:$B$252,0),0)</f>
        <v>0</v>
      </c>
      <c r="L2588" s="169">
        <f>IFERROR(MATCH(J2588,'Final List'!$D$4:$D$252,0),0)</f>
        <v>0</v>
      </c>
      <c r="M2588" s="169">
        <f>IFERROR(MATCH(J2588,'Final List'!$F$4:$F$251,0),0)</f>
        <v>0</v>
      </c>
      <c r="N2588" s="169">
        <f>IFERROR(MATCH(J2588,'Final List'!$H$4:$H$252,0),0)</f>
        <v>0</v>
      </c>
      <c r="O2588" s="169">
        <f>IFERROR(MATCH(J2588,'Final List'!$J$4:$J$252,0),0)</f>
        <v>0</v>
      </c>
      <c r="P2588" s="169">
        <f>IFERROR(MATCH(J2588,'Final List'!$L$4:$L$252,0),0)</f>
        <v>0</v>
      </c>
      <c r="Q2588" s="169">
        <f>IFERROR(MATCH(J2588,'Final List'!$N$4:$N$252,0),0)</f>
        <v>0</v>
      </c>
      <c r="R2588" s="169">
        <f>IFERROR(MATCH(J2588,'Final List'!$P$4:$P$252,0),0)</f>
        <v>0</v>
      </c>
      <c r="S2588" s="169">
        <f t="shared" si="164"/>
        <v>0</v>
      </c>
      <c r="V2588" s="169" t="str">
        <f t="shared" si="165"/>
        <v>SILVOZA 1</v>
      </c>
      <c r="W2588" s="169" t="s">
        <v>2714</v>
      </c>
    </row>
    <row r="2589" spans="2:23" x14ac:dyDescent="0.25">
      <c r="B2589" s="169" t="s">
        <v>95</v>
      </c>
      <c r="C2589" s="169" t="s">
        <v>57</v>
      </c>
      <c r="D2589" s="169" t="s">
        <v>226</v>
      </c>
      <c r="E2589" s="169" t="s">
        <v>6154</v>
      </c>
      <c r="F2589" s="245" t="str">
        <f t="shared" si="163"/>
        <v>Dhoz 71</v>
      </c>
      <c r="G2589" s="169" t="s">
        <v>583</v>
      </c>
      <c r="I2589" s="169" t="str">
        <f t="shared" si="166"/>
        <v>L08_JVSPLIT_074E_DW_ISL</v>
      </c>
      <c r="J2589" s="169" t="s">
        <v>11314</v>
      </c>
      <c r="K2589" s="169">
        <f>IFERROR(MATCH(J2589,'Final List'!$B$4:$B$252,0),0)</f>
        <v>0</v>
      </c>
      <c r="L2589" s="169">
        <f>IFERROR(MATCH(J2589,'Final List'!$D$4:$D$252,0),0)</f>
        <v>0</v>
      </c>
      <c r="M2589" s="169">
        <f>IFERROR(MATCH(J2589,'Final List'!$F$4:$F$251,0),0)</f>
        <v>0</v>
      </c>
      <c r="N2589" s="169">
        <f>IFERROR(MATCH(J2589,'Final List'!$H$4:$H$252,0),0)</f>
        <v>0</v>
      </c>
      <c r="O2589" s="169">
        <f>IFERROR(MATCH(J2589,'Final List'!$J$4:$J$252,0),0)</f>
        <v>0</v>
      </c>
      <c r="P2589" s="169">
        <f>IFERROR(MATCH(J2589,'Final List'!$L$4:$L$252,0),0)</f>
        <v>0</v>
      </c>
      <c r="Q2589" s="169">
        <f>IFERROR(MATCH(J2589,'Final List'!$N$4:$N$252,0),0)</f>
        <v>0</v>
      </c>
      <c r="R2589" s="169">
        <f>IFERROR(MATCH(J2589,'Final List'!$P$4:$P$252,0),0)</f>
        <v>0</v>
      </c>
      <c r="S2589" s="169">
        <f t="shared" si="164"/>
        <v>0</v>
      </c>
      <c r="V2589" s="169" t="str">
        <f t="shared" si="165"/>
        <v>VILLARANTE 1</v>
      </c>
      <c r="W2589" s="169" t="s">
        <v>2708</v>
      </c>
    </row>
    <row r="2590" spans="2:23" x14ac:dyDescent="0.25">
      <c r="B2590" s="169" t="s">
        <v>96</v>
      </c>
      <c r="C2590" s="169" t="s">
        <v>57</v>
      </c>
      <c r="D2590" s="169" t="s">
        <v>128</v>
      </c>
      <c r="E2590" s="169" t="s">
        <v>62</v>
      </c>
      <c r="F2590" s="245" t="str">
        <f t="shared" si="163"/>
        <v>RobC 80</v>
      </c>
      <c r="G2590" s="169" t="s">
        <v>344</v>
      </c>
      <c r="I2590" s="169" t="str">
        <f t="shared" si="166"/>
        <v>L09_JVSPLIT_027E_ROBBING</v>
      </c>
      <c r="J2590" s="169" t="s">
        <v>11318</v>
      </c>
      <c r="K2590" s="169">
        <f>IFERROR(MATCH(J2590,'Final List'!$B$4:$B$252,0),0)</f>
        <v>0</v>
      </c>
      <c r="L2590" s="169">
        <f>IFERROR(MATCH(J2590,'Final List'!$D$4:$D$252,0),0)</f>
        <v>0</v>
      </c>
      <c r="M2590" s="169">
        <f>IFERROR(MATCH(J2590,'Final List'!$F$4:$F$251,0),0)</f>
        <v>0</v>
      </c>
      <c r="N2590" s="169">
        <f>IFERROR(MATCH(J2590,'Final List'!$H$4:$H$252,0),0)</f>
        <v>0</v>
      </c>
      <c r="O2590" s="169">
        <f>IFERROR(MATCH(J2590,'Final List'!$J$4:$J$252,0),0)</f>
        <v>0</v>
      </c>
      <c r="P2590" s="169">
        <f>IFERROR(MATCH(J2590,'Final List'!$L$4:$L$252,0),0)</f>
        <v>0</v>
      </c>
      <c r="Q2590" s="169">
        <f>IFERROR(MATCH(J2590,'Final List'!$N$4:$N$252,0),0)</f>
        <v>0</v>
      </c>
      <c r="R2590" s="169">
        <f>IFERROR(MATCH(J2590,'Final List'!$P$4:$P$252,0),0)</f>
        <v>0</v>
      </c>
      <c r="S2590" s="169">
        <f t="shared" si="164"/>
        <v>0</v>
      </c>
      <c r="T2590" s="169" t="s">
        <v>48</v>
      </c>
      <c r="V2590" s="169" t="str">
        <f t="shared" si="165"/>
        <v>UDLOS 1</v>
      </c>
      <c r="W2590" s="169" t="s">
        <v>236</v>
      </c>
    </row>
    <row r="2591" spans="2:23" x14ac:dyDescent="0.25">
      <c r="B2591" s="169" t="s">
        <v>95</v>
      </c>
      <c r="C2591" s="169" t="s">
        <v>38</v>
      </c>
      <c r="D2591" s="169" t="s">
        <v>103</v>
      </c>
      <c r="E2591" s="169" t="s">
        <v>6143</v>
      </c>
      <c r="F2591" s="245" t="str">
        <f t="shared" si="163"/>
        <v>Dhoz 71</v>
      </c>
      <c r="G2591" s="169" t="s">
        <v>942</v>
      </c>
      <c r="I2591" s="169" t="str">
        <f t="shared" si="166"/>
        <v>L08_GHV_005E_DE_ISL</v>
      </c>
      <c r="J2591" s="169" t="s">
        <v>11322</v>
      </c>
      <c r="K2591" s="169">
        <f>IFERROR(MATCH(J2591,'Final List'!$B$4:$B$252,0),0)</f>
        <v>0</v>
      </c>
      <c r="L2591" s="169">
        <f>IFERROR(MATCH(J2591,'Final List'!$D$4:$D$252,0),0)</f>
        <v>0</v>
      </c>
      <c r="M2591" s="169">
        <f>IFERROR(MATCH(J2591,'Final List'!$F$4:$F$251,0),0)</f>
        <v>0</v>
      </c>
      <c r="N2591" s="169">
        <f>IFERROR(MATCH(J2591,'Final List'!$H$4:$H$252,0),0)</f>
        <v>0</v>
      </c>
      <c r="O2591" s="169">
        <f>IFERROR(MATCH(J2591,'Final List'!$J$4:$J$252,0),0)</f>
        <v>0</v>
      </c>
      <c r="P2591" s="169">
        <f>IFERROR(MATCH(J2591,'Final List'!$L$4:$L$252,0),0)</f>
        <v>0</v>
      </c>
      <c r="Q2591" s="169">
        <f>IFERROR(MATCH(J2591,'Final List'!$N$4:$N$252,0),0)</f>
        <v>0</v>
      </c>
      <c r="R2591" s="169">
        <f>IFERROR(MATCH(J2591,'Final List'!$P$4:$P$252,0),0)</f>
        <v>0</v>
      </c>
      <c r="S2591" s="169">
        <f t="shared" si="164"/>
        <v>0</v>
      </c>
      <c r="V2591" s="169" t="str">
        <f t="shared" si="165"/>
        <v>AGLOLO 3</v>
      </c>
      <c r="W2591" s="169" t="s">
        <v>8895</v>
      </c>
    </row>
    <row r="2592" spans="2:23" x14ac:dyDescent="0.25">
      <c r="B2592" s="169" t="s">
        <v>258</v>
      </c>
      <c r="C2592" s="169" t="s">
        <v>87</v>
      </c>
      <c r="D2592" s="169" t="s">
        <v>10249</v>
      </c>
      <c r="E2592" s="169" t="s">
        <v>37</v>
      </c>
      <c r="F2592" s="245" t="str">
        <f t="shared" si="163"/>
        <v>Dhoz 71</v>
      </c>
      <c r="G2592" s="169" t="s">
        <v>5704</v>
      </c>
      <c r="I2592" s="169" t="str">
        <f t="shared" si="166"/>
        <v>L10_NONE_097E_XCN</v>
      </c>
      <c r="J2592" s="169" t="s">
        <v>11323</v>
      </c>
      <c r="K2592" s="169">
        <f>IFERROR(MATCH(J2592,'Final List'!$B$4:$B$252,0),0)</f>
        <v>0</v>
      </c>
      <c r="L2592" s="169">
        <f>IFERROR(MATCH(J2592,'Final List'!$D$4:$D$252,0),0)</f>
        <v>0</v>
      </c>
      <c r="M2592" s="169">
        <f>IFERROR(MATCH(J2592,'Final List'!$F$4:$F$251,0),0)</f>
        <v>0</v>
      </c>
      <c r="N2592" s="169">
        <f>IFERROR(MATCH(J2592,'Final List'!$H$4:$H$252,0),0)</f>
        <v>0</v>
      </c>
      <c r="O2592" s="169">
        <f>IFERROR(MATCH(J2592,'Final List'!$J$4:$J$252,0),0)</f>
        <v>0</v>
      </c>
      <c r="P2592" s="169">
        <f>IFERROR(MATCH(J2592,'Final List'!$L$4:$L$252,0),0)</f>
        <v>0</v>
      </c>
      <c r="Q2592" s="169">
        <f>IFERROR(MATCH(J2592,'Final List'!$N$4:$N$252,0),0)</f>
        <v>0</v>
      </c>
      <c r="R2592" s="169">
        <f>IFERROR(MATCH(J2592,'Final List'!$P$4:$P$252,0),0)</f>
        <v>0</v>
      </c>
      <c r="S2592" s="169">
        <f t="shared" si="164"/>
        <v>0</v>
      </c>
      <c r="V2592" s="169" t="str">
        <f t="shared" si="165"/>
        <v>OLIVEROS 3</v>
      </c>
      <c r="W2592" s="169" t="s">
        <v>8898</v>
      </c>
    </row>
    <row r="2593" spans="2:23" x14ac:dyDescent="0.25">
      <c r="B2593" s="169" t="s">
        <v>95</v>
      </c>
      <c r="C2593" s="169" t="s">
        <v>45</v>
      </c>
      <c r="D2593" s="169" t="s">
        <v>149</v>
      </c>
      <c r="E2593" s="169" t="s">
        <v>20</v>
      </c>
      <c r="F2593" s="245" t="str">
        <f t="shared" si="163"/>
        <v>DVW 74</v>
      </c>
      <c r="G2593" s="169" t="s">
        <v>9753</v>
      </c>
      <c r="I2593" s="169" t="str">
        <f t="shared" si="166"/>
        <v>L08_DPVE_021E_WINZE</v>
      </c>
      <c r="J2593" s="169" t="s">
        <v>11325</v>
      </c>
      <c r="K2593" s="169">
        <f>IFERROR(MATCH(J2593,'Final List'!$B$4:$B$252,0),0)</f>
        <v>0</v>
      </c>
      <c r="L2593" s="169">
        <f>IFERROR(MATCH(J2593,'Final List'!$D$4:$D$252,0),0)</f>
        <v>0</v>
      </c>
      <c r="M2593" s="169">
        <f>IFERROR(MATCH(J2593,'Final List'!$F$4:$F$251,0),0)</f>
        <v>0</v>
      </c>
      <c r="N2593" s="169">
        <f>IFERROR(MATCH(J2593,'Final List'!$H$4:$H$252,0),0)</f>
        <v>0</v>
      </c>
      <c r="O2593" s="169">
        <f>IFERROR(MATCH(J2593,'Final List'!$J$4:$J$252,0),0)</f>
        <v>0</v>
      </c>
      <c r="P2593" s="169">
        <f>IFERROR(MATCH(J2593,'Final List'!$L$4:$L$252,0),0)</f>
        <v>0</v>
      </c>
      <c r="Q2593" s="169">
        <f>IFERROR(MATCH(J2593,'Final List'!$N$4:$N$252,0),0)</f>
        <v>0</v>
      </c>
      <c r="R2593" s="169">
        <f>IFERROR(MATCH(J2593,'Final List'!$P$4:$P$252,0),0)</f>
        <v>0</v>
      </c>
      <c r="S2593" s="169">
        <f t="shared" si="164"/>
        <v>0</v>
      </c>
      <c r="V2593" s="169" t="str">
        <f t="shared" si="165"/>
        <v>CAPUYAN 2</v>
      </c>
      <c r="W2593" s="169" t="s">
        <v>2706</v>
      </c>
    </row>
    <row r="2594" spans="2:23" x14ac:dyDescent="0.25">
      <c r="B2594" s="169" t="s">
        <v>1167</v>
      </c>
      <c r="C2594" s="169" t="s">
        <v>45</v>
      </c>
      <c r="D2594" s="169" t="s">
        <v>130</v>
      </c>
      <c r="E2594" s="169" t="s">
        <v>60</v>
      </c>
      <c r="F2594" s="245" t="str">
        <f t="shared" si="163"/>
        <v>Dhoz 71</v>
      </c>
      <c r="G2594" s="169" t="s">
        <v>6931</v>
      </c>
      <c r="H2594" s="169" t="s">
        <v>12236</v>
      </c>
      <c r="I2594" s="169" t="str">
        <f t="shared" si="166"/>
        <v>L12_DPVE_036E_DE</v>
      </c>
      <c r="J2594" s="169" t="s">
        <v>11332</v>
      </c>
      <c r="K2594" s="169">
        <f>IFERROR(MATCH(J2594,'Final List'!$B$4:$B$252,0),0)</f>
        <v>0</v>
      </c>
      <c r="L2594" s="169">
        <f>IFERROR(MATCH(J2594,'Final List'!$D$4:$D$252,0),0)</f>
        <v>0</v>
      </c>
      <c r="M2594" s="169">
        <f>IFERROR(MATCH(J2594,'Final List'!$F$4:$F$251,0),0)</f>
        <v>0</v>
      </c>
      <c r="N2594" s="169">
        <f>IFERROR(MATCH(J2594,'Final List'!$H$4:$H$252,0),0)</f>
        <v>0</v>
      </c>
      <c r="O2594" s="169">
        <f>IFERROR(MATCH(J2594,'Final List'!$J$4:$J$252,0),0)</f>
        <v>0</v>
      </c>
      <c r="P2594" s="169">
        <f>IFERROR(MATCH(J2594,'Final List'!$L$4:$L$252,0),0)</f>
        <v>0</v>
      </c>
      <c r="Q2594" s="169">
        <f>IFERROR(MATCH(J2594,'Final List'!$N$4:$N$252,0),0)</f>
        <v>0</v>
      </c>
      <c r="R2594" s="169">
        <f>IFERROR(MATCH(J2594,'Final List'!$P$4:$P$252,0),0)</f>
        <v>0</v>
      </c>
      <c r="S2594" s="169">
        <f t="shared" si="164"/>
        <v>0</v>
      </c>
      <c r="V2594" s="169" t="str">
        <f t="shared" si="165"/>
        <v>NITRO BA 2</v>
      </c>
      <c r="W2594" s="169" t="s">
        <v>8896</v>
      </c>
    </row>
    <row r="2595" spans="2:23" x14ac:dyDescent="0.25">
      <c r="B2595" s="169" t="s">
        <v>1167</v>
      </c>
      <c r="C2595" s="169" t="s">
        <v>45</v>
      </c>
      <c r="D2595" s="169" t="s">
        <v>174</v>
      </c>
      <c r="E2595" s="169" t="s">
        <v>60</v>
      </c>
      <c r="F2595" s="245" t="str">
        <f t="shared" si="163"/>
        <v>Dhoz 71</v>
      </c>
      <c r="G2595" s="169" t="s">
        <v>7716</v>
      </c>
      <c r="I2595" s="169" t="str">
        <f t="shared" si="166"/>
        <v>L12_DPVE_052E_DE</v>
      </c>
      <c r="J2595" s="169" t="s">
        <v>11333</v>
      </c>
      <c r="K2595" s="169">
        <f>IFERROR(MATCH(J2595,'Final List'!$B$4:$B$252,0),0)</f>
        <v>0</v>
      </c>
      <c r="L2595" s="169">
        <f>IFERROR(MATCH(J2595,'Final List'!$D$4:$D$252,0),0)</f>
        <v>0</v>
      </c>
      <c r="M2595" s="169">
        <f>IFERROR(MATCH(J2595,'Final List'!$F$4:$F$251,0),0)</f>
        <v>0</v>
      </c>
      <c r="N2595" s="169">
        <f>IFERROR(MATCH(J2595,'Final List'!$H$4:$H$252,0),0)</f>
        <v>0</v>
      </c>
      <c r="O2595" s="169">
        <f>IFERROR(MATCH(J2595,'Final List'!$J$4:$J$252,0),0)</f>
        <v>0</v>
      </c>
      <c r="P2595" s="169">
        <f>IFERROR(MATCH(J2595,'Final List'!$L$4:$L$252,0),0)</f>
        <v>0</v>
      </c>
      <c r="Q2595" s="169">
        <f>IFERROR(MATCH(J2595,'Final List'!$N$4:$N$252,0),0)</f>
        <v>0</v>
      </c>
      <c r="R2595" s="169">
        <f>IFERROR(MATCH(J2595,'Final List'!$P$4:$P$252,0),0)</f>
        <v>0</v>
      </c>
      <c r="S2595" s="169">
        <f t="shared" si="164"/>
        <v>0</v>
      </c>
      <c r="V2595" s="169" t="str">
        <f t="shared" si="165"/>
        <v>DUHIG P1</v>
      </c>
      <c r="W2595" s="169" t="s">
        <v>8896</v>
      </c>
    </row>
    <row r="2596" spans="2:23" x14ac:dyDescent="0.25">
      <c r="B2596" s="169" t="s">
        <v>1167</v>
      </c>
      <c r="C2596" s="169" t="s">
        <v>42</v>
      </c>
      <c r="D2596" s="169" t="s">
        <v>165</v>
      </c>
      <c r="E2596" s="169" t="s">
        <v>19</v>
      </c>
      <c r="F2596" s="245" t="str">
        <f t="shared" si="163"/>
        <v>DVR 72</v>
      </c>
      <c r="G2596" s="169" t="s">
        <v>11336</v>
      </c>
      <c r="H2596" s="169" t="s">
        <v>10002</v>
      </c>
      <c r="I2596" s="169" t="str">
        <f t="shared" si="166"/>
        <v>L12_JV_056E_RAISE</v>
      </c>
      <c r="J2596" s="169" t="s">
        <v>11335</v>
      </c>
      <c r="K2596" s="169">
        <f>IFERROR(MATCH(J2596,'Final List'!$B$4:$B$252,0),0)</f>
        <v>0</v>
      </c>
      <c r="L2596" s="169">
        <f>IFERROR(MATCH(J2596,'Final List'!$D$4:$D$252,0),0)</f>
        <v>0</v>
      </c>
      <c r="M2596" s="169">
        <f>IFERROR(MATCH(J2596,'Final List'!$F$4:$F$251,0),0)</f>
        <v>0</v>
      </c>
      <c r="N2596" s="169">
        <f>IFERROR(MATCH(J2596,'Final List'!$H$4:$H$252,0),0)</f>
        <v>0</v>
      </c>
      <c r="O2596" s="169">
        <f>IFERROR(MATCH(J2596,'Final List'!$J$4:$J$252,0),0)</f>
        <v>0</v>
      </c>
      <c r="P2596" s="169">
        <f>IFERROR(MATCH(J2596,'Final List'!$L$4:$L$252,0),0)</f>
        <v>0</v>
      </c>
      <c r="Q2596" s="169">
        <f>IFERROR(MATCH(J2596,'Final List'!$N$4:$N$252,0),0)</f>
        <v>0</v>
      </c>
      <c r="R2596" s="169">
        <f>IFERROR(MATCH(J2596,'Final List'!$P$4:$P$252,0),0)</f>
        <v>0</v>
      </c>
      <c r="S2596" s="169">
        <f t="shared" si="164"/>
        <v>0</v>
      </c>
      <c r="V2596" s="169" t="str">
        <f t="shared" si="165"/>
        <v>CAYMAN 3</v>
      </c>
      <c r="W2596" s="169" t="s">
        <v>2715</v>
      </c>
    </row>
    <row r="2597" spans="2:23" x14ac:dyDescent="0.25">
      <c r="B2597" s="169" t="s">
        <v>258</v>
      </c>
      <c r="C2597" s="169" t="s">
        <v>45</v>
      </c>
      <c r="D2597" s="169" t="s">
        <v>8279</v>
      </c>
      <c r="E2597" s="169" t="s">
        <v>60</v>
      </c>
      <c r="F2597" s="245" t="str">
        <f t="shared" si="163"/>
        <v>Dhoz 71</v>
      </c>
      <c r="G2597" s="169" t="s">
        <v>5704</v>
      </c>
      <c r="I2597" s="169" t="str">
        <f t="shared" si="166"/>
        <v>L10_DPVE_090E_DE</v>
      </c>
      <c r="J2597" s="169" t="s">
        <v>11343</v>
      </c>
      <c r="K2597" s="169">
        <f>IFERROR(MATCH(J2597,'Final List'!$B$4:$B$252,0),0)</f>
        <v>0</v>
      </c>
      <c r="L2597" s="169">
        <f>IFERROR(MATCH(J2597,'Final List'!$D$4:$D$252,0),0)</f>
        <v>0</v>
      </c>
      <c r="M2597" s="169">
        <f>IFERROR(MATCH(J2597,'Final List'!$F$4:$F$251,0),0)</f>
        <v>0</v>
      </c>
      <c r="N2597" s="169">
        <f>IFERROR(MATCH(J2597,'Final List'!$H$4:$H$252,0),0)</f>
        <v>0</v>
      </c>
      <c r="O2597" s="169">
        <f>IFERROR(MATCH(J2597,'Final List'!$J$4:$J$252,0),0)</f>
        <v>0</v>
      </c>
      <c r="P2597" s="169">
        <f>IFERROR(MATCH(J2597,'Final List'!$L$4:$L$252,0),0)</f>
        <v>0</v>
      </c>
      <c r="Q2597" s="169">
        <f>IFERROR(MATCH(J2597,'Final List'!$N$4:$N$252,0),0)</f>
        <v>0</v>
      </c>
      <c r="R2597" s="169">
        <f>IFERROR(MATCH(J2597,'Final List'!$P$4:$P$252,0),0)</f>
        <v>0</v>
      </c>
      <c r="S2597" s="169">
        <f t="shared" si="164"/>
        <v>0</v>
      </c>
      <c r="V2597" s="169" t="str">
        <f t="shared" si="165"/>
        <v>OLIVEROS 3</v>
      </c>
      <c r="W2597" s="169" t="s">
        <v>8896</v>
      </c>
    </row>
    <row r="2598" spans="2:23" x14ac:dyDescent="0.25">
      <c r="B2598" s="169" t="s">
        <v>1167</v>
      </c>
      <c r="C2598" s="169" t="s">
        <v>87</v>
      </c>
      <c r="D2598" s="169" t="s">
        <v>173</v>
      </c>
      <c r="E2598" s="169" t="s">
        <v>63</v>
      </c>
      <c r="F2598" s="245" t="str">
        <f t="shared" si="163"/>
        <v>Dhoz 71</v>
      </c>
      <c r="G2598" s="169" t="s">
        <v>1577</v>
      </c>
      <c r="I2598" s="169" t="str">
        <f t="shared" si="166"/>
        <v>L12_NONE_049E_XCS</v>
      </c>
      <c r="J2598" s="169" t="s">
        <v>11344</v>
      </c>
      <c r="K2598" s="169">
        <f>IFERROR(MATCH(J2598,'Final List'!$B$4:$B$252,0),0)</f>
        <v>0</v>
      </c>
      <c r="L2598" s="169">
        <f>IFERROR(MATCH(J2598,'Final List'!$D$4:$D$252,0),0)</f>
        <v>0</v>
      </c>
      <c r="M2598" s="169">
        <f>IFERROR(MATCH(J2598,'Final List'!$F$4:$F$251,0),0)</f>
        <v>0</v>
      </c>
      <c r="N2598" s="169">
        <f>IFERROR(MATCH(J2598,'Final List'!$H$4:$H$252,0),0)</f>
        <v>0</v>
      </c>
      <c r="O2598" s="169">
        <f>IFERROR(MATCH(J2598,'Final List'!$J$4:$J$252,0),0)</f>
        <v>0</v>
      </c>
      <c r="P2598" s="169">
        <f>IFERROR(MATCH(J2598,'Final List'!$L$4:$L$252,0),0)</f>
        <v>0</v>
      </c>
      <c r="Q2598" s="169">
        <f>IFERROR(MATCH(J2598,'Final List'!$N$4:$N$252,0),0)</f>
        <v>0</v>
      </c>
      <c r="R2598" s="169">
        <f>IFERROR(MATCH(J2598,'Final List'!$P$4:$P$252,0),0)</f>
        <v>0</v>
      </c>
      <c r="S2598" s="169">
        <f t="shared" si="164"/>
        <v>0</v>
      </c>
      <c r="V2598" s="169" t="str">
        <f t="shared" si="165"/>
        <v>PANCIT, NOEL 2</v>
      </c>
      <c r="W2598" s="169" t="s">
        <v>8898</v>
      </c>
    </row>
    <row r="2599" spans="2:23" x14ac:dyDescent="0.25">
      <c r="B2599" s="169" t="s">
        <v>258</v>
      </c>
      <c r="C2599" s="169" t="s">
        <v>57</v>
      </c>
      <c r="D2599" s="169" t="s">
        <v>161</v>
      </c>
      <c r="E2599" s="169" t="s">
        <v>36</v>
      </c>
      <c r="F2599" s="245" t="str">
        <f t="shared" si="163"/>
        <v>StpS 77</v>
      </c>
      <c r="G2599" s="169" t="s">
        <v>303</v>
      </c>
      <c r="I2599" s="169" t="str">
        <f t="shared" si="166"/>
        <v>L10_JVSPLIT_044E_STOPE</v>
      </c>
      <c r="J2599" s="169" t="s">
        <v>11607</v>
      </c>
      <c r="K2599" s="169">
        <f>IFERROR(MATCH(J2599,'Final List'!$B$4:$B$252,0),0)</f>
        <v>0</v>
      </c>
      <c r="L2599" s="169">
        <f>IFERROR(MATCH(J2599,'Final List'!$D$4:$D$252,0),0)</f>
        <v>0</v>
      </c>
      <c r="M2599" s="169">
        <f>IFERROR(MATCH(J2599,'Final List'!$F$4:$F$251,0),0)</f>
        <v>0</v>
      </c>
      <c r="N2599" s="169">
        <f>IFERROR(MATCH(J2599,'Final List'!$H$4:$H$252,0),0)</f>
        <v>0</v>
      </c>
      <c r="O2599" s="169">
        <f>IFERROR(MATCH(J2599,'Final List'!$J$4:$J$252,0),0)</f>
        <v>0</v>
      </c>
      <c r="P2599" s="169">
        <f>IFERROR(MATCH(J2599,'Final List'!$L$4:$L$252,0),0)</f>
        <v>0</v>
      </c>
      <c r="Q2599" s="169">
        <f>IFERROR(MATCH(J2599,'Final List'!$N$4:$N$252,0),0)</f>
        <v>0</v>
      </c>
      <c r="R2599" s="169">
        <f>IFERROR(MATCH(J2599,'Final List'!$P$4:$P$252,0),0)</f>
        <v>0</v>
      </c>
      <c r="S2599" s="169">
        <f t="shared" si="164"/>
        <v>0</v>
      </c>
      <c r="T2599" s="169" t="s">
        <v>68</v>
      </c>
      <c r="V2599" s="169" t="str">
        <f t="shared" si="165"/>
        <v>BELICAN 1</v>
      </c>
      <c r="W2599" s="169" t="s">
        <v>2713</v>
      </c>
    </row>
    <row r="2600" spans="2:23" x14ac:dyDescent="0.25">
      <c r="B2600" s="169" t="s">
        <v>91</v>
      </c>
      <c r="C2600" s="169" t="s">
        <v>41</v>
      </c>
      <c r="D2600" s="169" t="s">
        <v>7301</v>
      </c>
      <c r="E2600" s="169" t="s">
        <v>6154</v>
      </c>
      <c r="F2600" s="245" t="str">
        <f t="shared" si="163"/>
        <v>Dhoz 71</v>
      </c>
      <c r="G2600" s="169" t="s">
        <v>10087</v>
      </c>
      <c r="I2600" s="169" t="str">
        <f t="shared" si="166"/>
        <v>L04_CTV_010W_DW_ISL</v>
      </c>
      <c r="J2600" s="169" t="s">
        <v>11351</v>
      </c>
      <c r="K2600" s="169">
        <f>IFERROR(MATCH(J2600,'Final List'!$B$4:$B$252,0),0)</f>
        <v>0</v>
      </c>
      <c r="L2600" s="169">
        <f>IFERROR(MATCH(J2600,'Final List'!$D$4:$D$252,0),0)</f>
        <v>0</v>
      </c>
      <c r="M2600" s="169">
        <f>IFERROR(MATCH(J2600,'Final List'!$F$4:$F$251,0),0)</f>
        <v>0</v>
      </c>
      <c r="N2600" s="169">
        <f>IFERROR(MATCH(J2600,'Final List'!$H$4:$H$252,0),0)</f>
        <v>0</v>
      </c>
      <c r="O2600" s="169">
        <f>IFERROR(MATCH(J2600,'Final List'!$J$4:$J$252,0),0)</f>
        <v>0</v>
      </c>
      <c r="P2600" s="169">
        <f>IFERROR(MATCH(J2600,'Final List'!$L$4:$L$252,0),0)</f>
        <v>0</v>
      </c>
      <c r="Q2600" s="169">
        <f>IFERROR(MATCH(J2600,'Final List'!$N$4:$N$252,0),0)</f>
        <v>0</v>
      </c>
      <c r="R2600" s="169">
        <f>IFERROR(MATCH(J2600,'Final List'!$P$4:$P$252,0),0)</f>
        <v>0</v>
      </c>
      <c r="S2600" s="169">
        <f t="shared" si="164"/>
        <v>0</v>
      </c>
      <c r="V2600" s="169" t="str">
        <f t="shared" si="165"/>
        <v>MARTINEZ, DN 3</v>
      </c>
      <c r="W2600" s="169" t="s">
        <v>2708</v>
      </c>
    </row>
    <row r="2601" spans="2:23" x14ac:dyDescent="0.25">
      <c r="B2601" s="169" t="s">
        <v>1166</v>
      </c>
      <c r="C2601" s="169" t="s">
        <v>45</v>
      </c>
      <c r="D2601" s="169" t="s">
        <v>5781</v>
      </c>
      <c r="E2601" s="169" t="s">
        <v>19</v>
      </c>
      <c r="F2601" s="245" t="str">
        <f t="shared" si="163"/>
        <v>DVR 72</v>
      </c>
      <c r="G2601" s="169" t="s">
        <v>6927</v>
      </c>
      <c r="H2601" s="169" t="s">
        <v>453</v>
      </c>
      <c r="I2601" s="169" t="str">
        <f t="shared" si="166"/>
        <v>L11_DPVE_051E_RAISE</v>
      </c>
      <c r="J2601" s="169" t="s">
        <v>11356</v>
      </c>
      <c r="K2601" s="169">
        <f>IFERROR(MATCH(J2601,'Final List'!$B$4:$B$252,0),0)</f>
        <v>0</v>
      </c>
      <c r="L2601" s="169">
        <f>IFERROR(MATCH(J2601,'Final List'!$D$4:$D$252,0),0)</f>
        <v>0</v>
      </c>
      <c r="M2601" s="169">
        <f>IFERROR(MATCH(J2601,'Final List'!$F$4:$F$251,0),0)</f>
        <v>0</v>
      </c>
      <c r="N2601" s="169">
        <f>IFERROR(MATCH(J2601,'Final List'!$H$4:$H$252,0),0)</f>
        <v>0</v>
      </c>
      <c r="O2601" s="169">
        <f>IFERROR(MATCH(J2601,'Final List'!$J$4:$J$252,0),0)</f>
        <v>0</v>
      </c>
      <c r="P2601" s="169">
        <f>IFERROR(MATCH(J2601,'Final List'!$L$4:$L$252,0),0)</f>
        <v>0</v>
      </c>
      <c r="Q2601" s="169">
        <f>IFERROR(MATCH(J2601,'Final List'!$N$4:$N$252,0),0)</f>
        <v>0</v>
      </c>
      <c r="R2601" s="169">
        <f>IFERROR(MATCH(J2601,'Final List'!$P$4:$P$252,0),0)</f>
        <v>0</v>
      </c>
      <c r="S2601" s="169">
        <f t="shared" si="164"/>
        <v>0</v>
      </c>
      <c r="V2601" s="169" t="str">
        <f t="shared" si="165"/>
        <v>BAÑEZ 7</v>
      </c>
      <c r="W2601" s="169" t="s">
        <v>2715</v>
      </c>
    </row>
    <row r="2602" spans="2:23" x14ac:dyDescent="0.25">
      <c r="B2602" s="169" t="s">
        <v>1166</v>
      </c>
      <c r="C2602" s="169" t="s">
        <v>87</v>
      </c>
      <c r="D2602" s="169" t="s">
        <v>289</v>
      </c>
      <c r="E2602" s="169" t="s">
        <v>19</v>
      </c>
      <c r="F2602" s="245" t="str">
        <f t="shared" si="163"/>
        <v>DVR 72</v>
      </c>
      <c r="G2602" s="169" t="s">
        <v>488</v>
      </c>
      <c r="I2602" s="169" t="str">
        <f t="shared" si="166"/>
        <v>L11_NONE_059E_RAISE</v>
      </c>
      <c r="J2602" s="169" t="s">
        <v>11357</v>
      </c>
      <c r="K2602" s="169">
        <f>IFERROR(MATCH(J2602,'Final List'!$B$4:$B$252,0),0)</f>
        <v>0</v>
      </c>
      <c r="L2602" s="169">
        <f>IFERROR(MATCH(J2602,'Final List'!$D$4:$D$252,0),0)</f>
        <v>0</v>
      </c>
      <c r="M2602" s="169">
        <f>IFERROR(MATCH(J2602,'Final List'!$F$4:$F$251,0),0)</f>
        <v>0</v>
      </c>
      <c r="N2602" s="169">
        <f>IFERROR(MATCH(J2602,'Final List'!$H$4:$H$252,0),0)</f>
        <v>0</v>
      </c>
      <c r="O2602" s="169">
        <f>IFERROR(MATCH(J2602,'Final List'!$J$4:$J$252,0),0)</f>
        <v>0</v>
      </c>
      <c r="P2602" s="169">
        <f>IFERROR(MATCH(J2602,'Final List'!$L$4:$L$252,0),0)</f>
        <v>0</v>
      </c>
      <c r="Q2602" s="169">
        <f>IFERROR(MATCH(J2602,'Final List'!$N$4:$N$252,0),0)</f>
        <v>0</v>
      </c>
      <c r="R2602" s="169">
        <f>IFERROR(MATCH(J2602,'Final List'!$P$4:$P$252,0),0)</f>
        <v>0</v>
      </c>
      <c r="S2602" s="169">
        <f t="shared" si="164"/>
        <v>0</v>
      </c>
      <c r="V2602" s="169" t="str">
        <f t="shared" si="165"/>
        <v>BAÑEZ 9</v>
      </c>
      <c r="W2602" s="169" t="s">
        <v>2714</v>
      </c>
    </row>
    <row r="2603" spans="2:23" x14ac:dyDescent="0.25">
      <c r="B2603" s="169" t="s">
        <v>1166</v>
      </c>
      <c r="C2603" s="169" t="s">
        <v>45</v>
      </c>
      <c r="D2603" s="169" t="s">
        <v>5912</v>
      </c>
      <c r="E2603" s="169" t="s">
        <v>19</v>
      </c>
      <c r="F2603" s="245" t="str">
        <f t="shared" si="163"/>
        <v>DVR 72</v>
      </c>
      <c r="G2603" s="169" t="s">
        <v>5720</v>
      </c>
      <c r="H2603" s="169" t="s">
        <v>5698</v>
      </c>
      <c r="I2603" s="169" t="str">
        <f t="shared" si="166"/>
        <v>L11_DPVE_019E_RAISE</v>
      </c>
      <c r="J2603" s="169" t="s">
        <v>11362</v>
      </c>
      <c r="K2603" s="169">
        <f>IFERROR(MATCH(J2603,'Final List'!$B$4:$B$252,0),0)</f>
        <v>0</v>
      </c>
      <c r="L2603" s="169">
        <f>IFERROR(MATCH(J2603,'Final List'!$D$4:$D$252,0),0)</f>
        <v>0</v>
      </c>
      <c r="M2603" s="169">
        <f>IFERROR(MATCH(J2603,'Final List'!$F$4:$F$251,0),0)</f>
        <v>0</v>
      </c>
      <c r="N2603" s="169">
        <f>IFERROR(MATCH(J2603,'Final List'!$H$4:$H$252,0),0)</f>
        <v>0</v>
      </c>
      <c r="O2603" s="169">
        <f>IFERROR(MATCH(J2603,'Final List'!$J$4:$J$252,0),0)</f>
        <v>0</v>
      </c>
      <c r="P2603" s="169">
        <f>IFERROR(MATCH(J2603,'Final List'!$L$4:$L$252,0),0)</f>
        <v>0</v>
      </c>
      <c r="Q2603" s="169">
        <f>IFERROR(MATCH(J2603,'Final List'!$N$4:$N$252,0),0)</f>
        <v>0</v>
      </c>
      <c r="R2603" s="169">
        <f>IFERROR(MATCH(J2603,'Final List'!$P$4:$P$252,0),0)</f>
        <v>0</v>
      </c>
      <c r="S2603" s="169">
        <f t="shared" si="164"/>
        <v>0</v>
      </c>
      <c r="V2603" s="169" t="str">
        <f t="shared" si="165"/>
        <v>PARAN 1</v>
      </c>
      <c r="W2603" s="169" t="s">
        <v>2715</v>
      </c>
    </row>
    <row r="2604" spans="2:23" x14ac:dyDescent="0.25">
      <c r="B2604" s="169" t="s">
        <v>95</v>
      </c>
      <c r="C2604" s="169" t="s">
        <v>38</v>
      </c>
      <c r="D2604" s="169" t="s">
        <v>110</v>
      </c>
      <c r="E2604" s="169" t="s">
        <v>62</v>
      </c>
      <c r="F2604" s="245" t="str">
        <f t="shared" si="163"/>
        <v>RobS 79</v>
      </c>
      <c r="G2604" s="169" t="s">
        <v>942</v>
      </c>
      <c r="H2604" s="169" t="s">
        <v>6216</v>
      </c>
      <c r="I2604" s="169" t="str">
        <f t="shared" si="166"/>
        <v>L08_GHV_004E_ROBBING</v>
      </c>
      <c r="J2604" s="169" t="s">
        <v>11367</v>
      </c>
      <c r="K2604" s="169">
        <f>IFERROR(MATCH(J2604,'Final List'!$B$4:$B$252,0),0)</f>
        <v>0</v>
      </c>
      <c r="L2604" s="169">
        <f>IFERROR(MATCH(J2604,'Final List'!$D$4:$D$252,0),0)</f>
        <v>0</v>
      </c>
      <c r="M2604" s="169">
        <f>IFERROR(MATCH(J2604,'Final List'!$F$4:$F$251,0),0)</f>
        <v>0</v>
      </c>
      <c r="N2604" s="169">
        <f>IFERROR(MATCH(J2604,'Final List'!$H$4:$H$252,0),0)</f>
        <v>0</v>
      </c>
      <c r="O2604" s="169">
        <f>IFERROR(MATCH(J2604,'Final List'!$J$4:$J$252,0),0)</f>
        <v>0</v>
      </c>
      <c r="P2604" s="169">
        <f>IFERROR(MATCH(J2604,'Final List'!$L$4:$L$252,0),0)</f>
        <v>0</v>
      </c>
      <c r="Q2604" s="169">
        <f>IFERROR(MATCH(J2604,'Final List'!$N$4:$N$252,0),0)</f>
        <v>0</v>
      </c>
      <c r="R2604" s="169">
        <f>IFERROR(MATCH(J2604,'Final List'!$P$4:$P$252,0),0)</f>
        <v>0</v>
      </c>
      <c r="S2604" s="169">
        <f t="shared" si="164"/>
        <v>0</v>
      </c>
      <c r="T2604" s="169" t="s">
        <v>68</v>
      </c>
      <c r="V2604" s="169" t="str">
        <f t="shared" si="165"/>
        <v>FERNANDEZ</v>
      </c>
      <c r="W2604" s="169" t="s">
        <v>2707</v>
      </c>
    </row>
    <row r="2605" spans="2:23" x14ac:dyDescent="0.25">
      <c r="B2605" s="169" t="s">
        <v>95</v>
      </c>
      <c r="C2605" s="169" t="s">
        <v>45</v>
      </c>
      <c r="D2605" s="169" t="s">
        <v>146</v>
      </c>
      <c r="E2605" s="169" t="s">
        <v>6154</v>
      </c>
      <c r="F2605" s="245" t="str">
        <f t="shared" si="163"/>
        <v>Dhoz 71</v>
      </c>
      <c r="G2605" s="169" t="s">
        <v>577</v>
      </c>
      <c r="I2605" s="169" t="str">
        <f t="shared" si="166"/>
        <v>L08_DPVE_030E_DW_ISL</v>
      </c>
      <c r="J2605" s="169" t="s">
        <v>11364</v>
      </c>
      <c r="K2605" s="169">
        <f>IFERROR(MATCH(J2605,'Final List'!$B$4:$B$252,0),0)</f>
        <v>0</v>
      </c>
      <c r="L2605" s="169">
        <f>IFERROR(MATCH(J2605,'Final List'!$D$4:$D$252,0),0)</f>
        <v>0</v>
      </c>
      <c r="M2605" s="169">
        <f>IFERROR(MATCH(J2605,'Final List'!$F$4:$F$251,0),0)</f>
        <v>0</v>
      </c>
      <c r="N2605" s="169">
        <f>IFERROR(MATCH(J2605,'Final List'!$H$4:$H$252,0),0)</f>
        <v>0</v>
      </c>
      <c r="O2605" s="169">
        <f>IFERROR(MATCH(J2605,'Final List'!$J$4:$J$252,0),0)</f>
        <v>0</v>
      </c>
      <c r="P2605" s="169">
        <f>IFERROR(MATCH(J2605,'Final List'!$L$4:$L$252,0),0)</f>
        <v>0</v>
      </c>
      <c r="Q2605" s="169">
        <f>IFERROR(MATCH(J2605,'Final List'!$N$4:$N$252,0),0)</f>
        <v>0</v>
      </c>
      <c r="R2605" s="169">
        <f>IFERROR(MATCH(J2605,'Final List'!$P$4:$P$252,0),0)</f>
        <v>0</v>
      </c>
      <c r="S2605" s="169">
        <f t="shared" si="164"/>
        <v>0</v>
      </c>
      <c r="V2605" s="169" t="str">
        <f t="shared" si="165"/>
        <v>CARIKITAN 1</v>
      </c>
      <c r="W2605" s="169" t="s">
        <v>2708</v>
      </c>
    </row>
    <row r="2606" spans="2:23" x14ac:dyDescent="0.25">
      <c r="B2606" s="169" t="s">
        <v>1166</v>
      </c>
      <c r="C2606" s="169" t="s">
        <v>45</v>
      </c>
      <c r="D2606" s="169" t="s">
        <v>149</v>
      </c>
      <c r="E2606" s="169" t="s">
        <v>20</v>
      </c>
      <c r="F2606" s="245" t="str">
        <f t="shared" si="163"/>
        <v>DVW 74</v>
      </c>
      <c r="G2606" s="169" t="s">
        <v>359</v>
      </c>
      <c r="I2606" s="169" t="str">
        <f t="shared" si="166"/>
        <v>L11_DPVE_021E_WINZE</v>
      </c>
      <c r="J2606" s="169" t="s">
        <v>11370</v>
      </c>
      <c r="K2606" s="169">
        <f>IFERROR(MATCH(J2606,'Final List'!$B$4:$B$252,0),0)</f>
        <v>0</v>
      </c>
      <c r="L2606" s="169">
        <f>IFERROR(MATCH(J2606,'Final List'!$D$4:$D$252,0),0)</f>
        <v>0</v>
      </c>
      <c r="M2606" s="169">
        <f>IFERROR(MATCH(J2606,'Final List'!$F$4:$F$251,0),0)</f>
        <v>0</v>
      </c>
      <c r="N2606" s="169">
        <f>IFERROR(MATCH(J2606,'Final List'!$H$4:$H$252,0),0)</f>
        <v>0</v>
      </c>
      <c r="O2606" s="169">
        <f>IFERROR(MATCH(J2606,'Final List'!$J$4:$J$252,0),0)</f>
        <v>0</v>
      </c>
      <c r="P2606" s="169">
        <f>IFERROR(MATCH(J2606,'Final List'!$L$4:$L$252,0),0)</f>
        <v>0</v>
      </c>
      <c r="Q2606" s="169">
        <f>IFERROR(MATCH(J2606,'Final List'!$N$4:$N$252,0),0)</f>
        <v>0</v>
      </c>
      <c r="R2606" s="169">
        <f>IFERROR(MATCH(J2606,'Final List'!$P$4:$P$252,0),0)</f>
        <v>0</v>
      </c>
      <c r="S2606" s="169">
        <f t="shared" si="164"/>
        <v>0</v>
      </c>
      <c r="V2606" s="169" t="str">
        <f t="shared" si="165"/>
        <v>ALEÑAR 2</v>
      </c>
      <c r="W2606" s="169" t="s">
        <v>2706</v>
      </c>
    </row>
    <row r="2607" spans="2:23" x14ac:dyDescent="0.25">
      <c r="B2607" s="169" t="s">
        <v>1167</v>
      </c>
      <c r="C2607" s="169" t="s">
        <v>38</v>
      </c>
      <c r="D2607" s="169" t="s">
        <v>5602</v>
      </c>
      <c r="E2607" s="169" t="s">
        <v>20</v>
      </c>
      <c r="F2607" s="245" t="str">
        <f t="shared" si="163"/>
        <v>DVW 74</v>
      </c>
      <c r="G2607" s="169" t="s">
        <v>4260</v>
      </c>
      <c r="I2607" s="169" t="str">
        <f t="shared" si="166"/>
        <v>L12_GHV_053E_WINZE</v>
      </c>
      <c r="J2607" s="169" t="s">
        <v>11372</v>
      </c>
      <c r="K2607" s="169">
        <f>IFERROR(MATCH(J2607,'Final List'!$B$4:$B$252,0),0)</f>
        <v>0</v>
      </c>
      <c r="L2607" s="169">
        <f>IFERROR(MATCH(J2607,'Final List'!$D$4:$D$252,0),0)</f>
        <v>0</v>
      </c>
      <c r="M2607" s="169">
        <f>IFERROR(MATCH(J2607,'Final List'!$F$4:$F$251,0),0)</f>
        <v>0</v>
      </c>
      <c r="N2607" s="169">
        <f>IFERROR(MATCH(J2607,'Final List'!$H$4:$H$252,0),0)</f>
        <v>0</v>
      </c>
      <c r="O2607" s="169">
        <f>IFERROR(MATCH(J2607,'Final List'!$J$4:$J$252,0),0)</f>
        <v>0</v>
      </c>
      <c r="P2607" s="169">
        <f>IFERROR(MATCH(J2607,'Final List'!$L$4:$L$252,0),0)</f>
        <v>0</v>
      </c>
      <c r="Q2607" s="169">
        <f>IFERROR(MATCH(J2607,'Final List'!$N$4:$N$252,0),0)</f>
        <v>0</v>
      </c>
      <c r="R2607" s="169">
        <f>IFERROR(MATCH(J2607,'Final List'!$P$4:$P$252,0),0)</f>
        <v>0</v>
      </c>
      <c r="S2607" s="169">
        <f t="shared" si="164"/>
        <v>0</v>
      </c>
      <c r="V2607" s="169" t="str">
        <f t="shared" si="165"/>
        <v>PANCIT NOEL 1</v>
      </c>
      <c r="W2607" s="169" t="s">
        <v>2706</v>
      </c>
    </row>
    <row r="2608" spans="2:23" x14ac:dyDescent="0.25">
      <c r="B2608" s="169" t="s">
        <v>96</v>
      </c>
      <c r="C2608" s="169" t="s">
        <v>56</v>
      </c>
      <c r="D2608" s="169" t="s">
        <v>6941</v>
      </c>
      <c r="E2608" s="169" t="s">
        <v>36</v>
      </c>
      <c r="F2608" s="245" t="str">
        <f t="shared" si="163"/>
        <v>StpS 77</v>
      </c>
      <c r="G2608" s="169" t="s">
        <v>8199</v>
      </c>
      <c r="H2608" s="169" t="s">
        <v>5965</v>
      </c>
      <c r="I2608" s="169" t="str">
        <f t="shared" si="166"/>
        <v>L09_GHVFW_031W_STOPE</v>
      </c>
      <c r="J2608" s="169" t="s">
        <v>11465</v>
      </c>
      <c r="K2608" s="169">
        <f>IFERROR(MATCH(J2608,'Final List'!$B$4:$B$252,0),0)</f>
        <v>0</v>
      </c>
      <c r="L2608" s="169">
        <f>IFERROR(MATCH(J2608,'Final List'!$D$4:$D$252,0),0)</f>
        <v>0</v>
      </c>
      <c r="M2608" s="169">
        <f>IFERROR(MATCH(J2608,'Final List'!$F$4:$F$251,0),0)</f>
        <v>0</v>
      </c>
      <c r="N2608" s="169">
        <f>IFERROR(MATCH(J2608,'Final List'!$H$4:$H$252,0),0)</f>
        <v>0</v>
      </c>
      <c r="O2608" s="169">
        <f>IFERROR(MATCH(J2608,'Final List'!$J$4:$J$252,0),0)</f>
        <v>0</v>
      </c>
      <c r="P2608" s="169">
        <f>IFERROR(MATCH(J2608,'Final List'!$L$4:$L$252,0),0)</f>
        <v>0</v>
      </c>
      <c r="Q2608" s="169">
        <f>IFERROR(MATCH(J2608,'Final List'!$N$4:$N$252,0),0)</f>
        <v>0</v>
      </c>
      <c r="R2608" s="169">
        <f>IFERROR(MATCH(J2608,'Final List'!$P$4:$P$252,0),0)</f>
        <v>0</v>
      </c>
      <c r="S2608" s="169">
        <f t="shared" si="164"/>
        <v>0</v>
      </c>
      <c r="T2608" s="169" t="s">
        <v>68</v>
      </c>
      <c r="V2608" s="169" t="str">
        <f t="shared" si="165"/>
        <v>`</v>
      </c>
      <c r="W2608" s="169" t="s">
        <v>2713</v>
      </c>
    </row>
    <row r="2609" spans="2:23" x14ac:dyDescent="0.25">
      <c r="B2609" s="169" t="s">
        <v>96</v>
      </c>
      <c r="C2609" s="169" t="s">
        <v>57</v>
      </c>
      <c r="D2609" s="169" t="s">
        <v>179</v>
      </c>
      <c r="E2609" s="169" t="s">
        <v>19</v>
      </c>
      <c r="F2609" s="245" t="str">
        <f t="shared" si="163"/>
        <v>DVR 72</v>
      </c>
      <c r="G2609" s="169" t="s">
        <v>349</v>
      </c>
      <c r="I2609" s="169" t="str">
        <f t="shared" si="166"/>
        <v>L09_JVSPLIT_050E_RAISE</v>
      </c>
      <c r="J2609" s="169" t="s">
        <v>11379</v>
      </c>
      <c r="K2609" s="169">
        <f>IFERROR(MATCH(J2609,'Final List'!$B$4:$B$252,0),0)</f>
        <v>0</v>
      </c>
      <c r="L2609" s="169">
        <f>IFERROR(MATCH(J2609,'Final List'!$D$4:$D$252,0),0)</f>
        <v>0</v>
      </c>
      <c r="M2609" s="169">
        <f>IFERROR(MATCH(J2609,'Final List'!$F$4:$F$251,0),0)</f>
        <v>0</v>
      </c>
      <c r="N2609" s="169">
        <f>IFERROR(MATCH(J2609,'Final List'!$H$4:$H$252,0),0)</f>
        <v>0</v>
      </c>
      <c r="O2609" s="169">
        <f>IFERROR(MATCH(J2609,'Final List'!$J$4:$J$252,0),0)</f>
        <v>0</v>
      </c>
      <c r="P2609" s="169">
        <f>IFERROR(MATCH(J2609,'Final List'!$L$4:$L$252,0),0)</f>
        <v>0</v>
      </c>
      <c r="Q2609" s="169">
        <f>IFERROR(MATCH(J2609,'Final List'!$N$4:$N$252,0),0)</f>
        <v>0</v>
      </c>
      <c r="R2609" s="169">
        <f>IFERROR(MATCH(J2609,'Final List'!$P$4:$P$252,0),0)</f>
        <v>0</v>
      </c>
      <c r="S2609" s="169">
        <f t="shared" si="164"/>
        <v>0</v>
      </c>
      <c r="V2609" s="169" t="str">
        <f t="shared" si="165"/>
        <v>QUIJANO 2</v>
      </c>
      <c r="W2609" s="169" t="s">
        <v>2715</v>
      </c>
    </row>
    <row r="2610" spans="2:23" x14ac:dyDescent="0.25">
      <c r="B2610" s="169" t="s">
        <v>91</v>
      </c>
      <c r="C2610" s="169" t="s">
        <v>11298</v>
      </c>
      <c r="D2610" s="169" t="s">
        <v>195</v>
      </c>
      <c r="E2610" s="169" t="s">
        <v>61</v>
      </c>
      <c r="F2610" s="245" t="str">
        <f t="shared" si="163"/>
        <v>Dhoz 71</v>
      </c>
      <c r="G2610" s="169" t="s">
        <v>310</v>
      </c>
      <c r="I2610" s="169" t="str">
        <f t="shared" si="166"/>
        <v>L04_JVS_008W_DW</v>
      </c>
      <c r="J2610" s="169" t="s">
        <v>11380</v>
      </c>
      <c r="K2610" s="169">
        <f>IFERROR(MATCH(J2610,'Final List'!$B$4:$B$252,0),0)</f>
        <v>0</v>
      </c>
      <c r="L2610" s="169">
        <f>IFERROR(MATCH(J2610,'Final List'!$D$4:$D$252,0),0)</f>
        <v>0</v>
      </c>
      <c r="M2610" s="169">
        <f>IFERROR(MATCH(J2610,'Final List'!$F$4:$F$251,0),0)</f>
        <v>0</v>
      </c>
      <c r="N2610" s="169">
        <f>IFERROR(MATCH(J2610,'Final List'!$H$4:$H$252,0),0)</f>
        <v>0</v>
      </c>
      <c r="O2610" s="169">
        <f>IFERROR(MATCH(J2610,'Final List'!$J$4:$J$252,0),0)</f>
        <v>0</v>
      </c>
      <c r="P2610" s="169">
        <f>IFERROR(MATCH(J2610,'Final List'!$L$4:$L$252,0),0)</f>
        <v>0</v>
      </c>
      <c r="Q2610" s="169">
        <f>IFERROR(MATCH(J2610,'Final List'!$N$4:$N$252,0),0)</f>
        <v>0</v>
      </c>
      <c r="R2610" s="169">
        <f>IFERROR(MATCH(J2610,'Final List'!$P$4:$P$252,0),0)</f>
        <v>0</v>
      </c>
      <c r="S2610" s="169">
        <f t="shared" si="164"/>
        <v>0</v>
      </c>
      <c r="V2610" s="169" t="str">
        <f t="shared" si="165"/>
        <v>MARTINEZ DN 1</v>
      </c>
      <c r="W2610" s="169" t="s">
        <v>8895</v>
      </c>
    </row>
    <row r="2611" spans="2:23" x14ac:dyDescent="0.25">
      <c r="B2611" s="169" t="s">
        <v>258</v>
      </c>
      <c r="C2611" s="169" t="s">
        <v>45</v>
      </c>
      <c r="D2611" s="169" t="s">
        <v>11401</v>
      </c>
      <c r="E2611" s="169" t="s">
        <v>19</v>
      </c>
      <c r="F2611" s="245" t="str">
        <f t="shared" si="163"/>
        <v>DVR 72</v>
      </c>
      <c r="G2611" s="169" t="s">
        <v>5705</v>
      </c>
      <c r="I2611" s="169" t="str">
        <f t="shared" si="166"/>
        <v>L10_DPVE_101E_RAISE</v>
      </c>
      <c r="J2611" s="169" t="s">
        <v>11400</v>
      </c>
      <c r="K2611" s="169">
        <f>IFERROR(MATCH(J2611,'Final List'!$B$4:$B$252,0),0)</f>
        <v>0</v>
      </c>
      <c r="L2611" s="169">
        <f>IFERROR(MATCH(J2611,'Final List'!$D$4:$D$252,0),0)</f>
        <v>0</v>
      </c>
      <c r="M2611" s="169">
        <f>IFERROR(MATCH(J2611,'Final List'!$F$4:$F$251,0),0)</f>
        <v>0</v>
      </c>
      <c r="N2611" s="169">
        <f>IFERROR(MATCH(J2611,'Final List'!$H$4:$H$252,0),0)</f>
        <v>0</v>
      </c>
      <c r="O2611" s="169">
        <f>IFERROR(MATCH(J2611,'Final List'!$J$4:$J$252,0),0)</f>
        <v>0</v>
      </c>
      <c r="P2611" s="169">
        <f>IFERROR(MATCH(J2611,'Final List'!$L$4:$L$252,0),0)</f>
        <v>0</v>
      </c>
      <c r="Q2611" s="169">
        <f>IFERROR(MATCH(J2611,'Final List'!$N$4:$N$252,0),0)</f>
        <v>0</v>
      </c>
      <c r="R2611" s="169">
        <f>IFERROR(MATCH(J2611,'Final List'!$P$4:$P$252,0),0)</f>
        <v>0</v>
      </c>
      <c r="S2611" s="169">
        <f t="shared" si="164"/>
        <v>0</v>
      </c>
      <c r="V2611" s="169" t="str">
        <f t="shared" si="165"/>
        <v>OLIVEROS 4</v>
      </c>
      <c r="W2611" s="169" t="s">
        <v>2715</v>
      </c>
    </row>
    <row r="2612" spans="2:23" x14ac:dyDescent="0.25">
      <c r="B2612" s="169" t="s">
        <v>96</v>
      </c>
      <c r="C2612" s="169" t="s">
        <v>45</v>
      </c>
      <c r="D2612" s="169" t="s">
        <v>176</v>
      </c>
      <c r="E2612" s="169" t="s">
        <v>62</v>
      </c>
      <c r="F2612" s="245" t="str">
        <f t="shared" si="163"/>
        <v>RobS 79</v>
      </c>
      <c r="G2612" s="169" t="s">
        <v>10738</v>
      </c>
      <c r="I2612" s="169" t="str">
        <f t="shared" si="166"/>
        <v>L09_DPVE_057E_ROBBING</v>
      </c>
      <c r="J2612" s="169" t="s">
        <v>11384</v>
      </c>
      <c r="K2612" s="169">
        <f>IFERROR(MATCH(J2612,'Final List'!$B$4:$B$252,0),0)</f>
        <v>0</v>
      </c>
      <c r="L2612" s="169">
        <f>IFERROR(MATCH(J2612,'Final List'!$D$4:$D$252,0),0)</f>
        <v>0</v>
      </c>
      <c r="M2612" s="169">
        <f>IFERROR(MATCH(J2612,'Final List'!$F$4:$F$251,0),0)</f>
        <v>0</v>
      </c>
      <c r="N2612" s="169">
        <f>IFERROR(MATCH(J2612,'Final List'!$H$4:$H$252,0),0)</f>
        <v>0</v>
      </c>
      <c r="O2612" s="169">
        <f>IFERROR(MATCH(J2612,'Final List'!$J$4:$J$252,0),0)</f>
        <v>0</v>
      </c>
      <c r="P2612" s="169">
        <f>IFERROR(MATCH(J2612,'Final List'!$L$4:$L$252,0),0)</f>
        <v>0</v>
      </c>
      <c r="Q2612" s="169">
        <f>IFERROR(MATCH(J2612,'Final List'!$N$4:$N$252,0),0)</f>
        <v>0</v>
      </c>
      <c r="R2612" s="169">
        <f>IFERROR(MATCH(J2612,'Final List'!$P$4:$P$252,0),0)</f>
        <v>0</v>
      </c>
      <c r="S2612" s="169">
        <f t="shared" si="164"/>
        <v>0</v>
      </c>
      <c r="T2612" s="169" t="s">
        <v>68</v>
      </c>
      <c r="V2612" s="169" t="str">
        <f t="shared" si="165"/>
        <v>SHEPHERD BE</v>
      </c>
      <c r="W2612" s="169" t="s">
        <v>2707</v>
      </c>
    </row>
    <row r="2613" spans="2:23" x14ac:dyDescent="0.25">
      <c r="B2613" s="169" t="s">
        <v>96</v>
      </c>
      <c r="C2613" s="169" t="s">
        <v>45</v>
      </c>
      <c r="D2613" s="169" t="s">
        <v>5889</v>
      </c>
      <c r="E2613" s="169" t="s">
        <v>19</v>
      </c>
      <c r="F2613" s="245" t="str">
        <f t="shared" si="163"/>
        <v>DVR 72</v>
      </c>
      <c r="G2613" s="169" t="s">
        <v>6621</v>
      </c>
      <c r="H2613" s="169" t="s">
        <v>9422</v>
      </c>
      <c r="I2613" s="169" t="str">
        <f t="shared" si="166"/>
        <v>L09_DPVE_077E_RAISE</v>
      </c>
      <c r="J2613" s="169" t="s">
        <v>11398</v>
      </c>
      <c r="K2613" s="169">
        <f>IFERROR(MATCH(J2613,'Final List'!$B$4:$B$252,0),0)</f>
        <v>0</v>
      </c>
      <c r="L2613" s="169">
        <f>IFERROR(MATCH(J2613,'Final List'!$D$4:$D$252,0),0)</f>
        <v>0</v>
      </c>
      <c r="M2613" s="169">
        <f>IFERROR(MATCH(J2613,'Final List'!$F$4:$F$251,0),0)</f>
        <v>0</v>
      </c>
      <c r="N2613" s="169">
        <f>IFERROR(MATCH(J2613,'Final List'!$H$4:$H$252,0),0)</f>
        <v>0</v>
      </c>
      <c r="O2613" s="169">
        <f>IFERROR(MATCH(J2613,'Final List'!$J$4:$J$252,0),0)</f>
        <v>0</v>
      </c>
      <c r="P2613" s="169">
        <f>IFERROR(MATCH(J2613,'Final List'!$L$4:$L$252,0),0)</f>
        <v>0</v>
      </c>
      <c r="Q2613" s="169">
        <f>IFERROR(MATCH(J2613,'Final List'!$N$4:$N$252,0),0)</f>
        <v>0</v>
      </c>
      <c r="R2613" s="169">
        <f>IFERROR(MATCH(J2613,'Final List'!$P$4:$P$252,0),0)</f>
        <v>0</v>
      </c>
      <c r="S2613" s="169">
        <f t="shared" si="164"/>
        <v>0</v>
      </c>
      <c r="V2613" s="169" t="str">
        <f t="shared" si="165"/>
        <v>SHEPHERD AY 1</v>
      </c>
      <c r="W2613" s="169" t="s">
        <v>2715</v>
      </c>
    </row>
    <row r="2614" spans="2:23" x14ac:dyDescent="0.25">
      <c r="B2614" s="169" t="s">
        <v>95</v>
      </c>
      <c r="C2614" s="169" t="s">
        <v>45</v>
      </c>
      <c r="D2614" s="169" t="s">
        <v>123</v>
      </c>
      <c r="E2614" s="169" t="s">
        <v>62</v>
      </c>
      <c r="F2614" s="245" t="str">
        <f t="shared" si="163"/>
        <v>RobS 79</v>
      </c>
      <c r="G2614" s="169" t="s">
        <v>604</v>
      </c>
      <c r="I2614" s="169" t="str">
        <f t="shared" si="166"/>
        <v>L08_DPVE_031E_ROBBING</v>
      </c>
      <c r="J2614" s="169" t="s">
        <v>11399</v>
      </c>
      <c r="K2614" s="169">
        <f>IFERROR(MATCH(J2614,'Final List'!$B$4:$B$252,0),0)</f>
        <v>0</v>
      </c>
      <c r="L2614" s="169">
        <f>IFERROR(MATCH(J2614,'Final List'!$D$4:$D$252,0),0)</f>
        <v>0</v>
      </c>
      <c r="M2614" s="169">
        <f>IFERROR(MATCH(J2614,'Final List'!$F$4:$F$251,0),0)</f>
        <v>0</v>
      </c>
      <c r="N2614" s="169">
        <f>IFERROR(MATCH(J2614,'Final List'!$H$4:$H$252,0),0)</f>
        <v>0</v>
      </c>
      <c r="O2614" s="169">
        <f>IFERROR(MATCH(J2614,'Final List'!$J$4:$J$252,0),0)</f>
        <v>0</v>
      </c>
      <c r="P2614" s="169">
        <f>IFERROR(MATCH(J2614,'Final List'!$L$4:$L$252,0),0)</f>
        <v>0</v>
      </c>
      <c r="Q2614" s="169">
        <f>IFERROR(MATCH(J2614,'Final List'!$N$4:$N$252,0),0)</f>
        <v>0</v>
      </c>
      <c r="R2614" s="169">
        <f>IFERROR(MATCH(J2614,'Final List'!$P$4:$P$252,0),0)</f>
        <v>0</v>
      </c>
      <c r="S2614" s="169">
        <f t="shared" si="164"/>
        <v>0</v>
      </c>
      <c r="T2614" s="169" t="s">
        <v>68</v>
      </c>
      <c r="V2614" s="169" t="str">
        <f t="shared" si="165"/>
        <v>CARIKITAN 3</v>
      </c>
      <c r="W2614" s="169" t="s">
        <v>236</v>
      </c>
    </row>
    <row r="2615" spans="2:23" x14ac:dyDescent="0.25">
      <c r="B2615" s="169" t="s">
        <v>96</v>
      </c>
      <c r="C2615" s="169" t="s">
        <v>57</v>
      </c>
      <c r="D2615" s="169" t="s">
        <v>178</v>
      </c>
      <c r="E2615" s="169" t="s">
        <v>6143</v>
      </c>
      <c r="F2615" s="245" t="str">
        <f t="shared" si="163"/>
        <v>Dhoz 71</v>
      </c>
      <c r="G2615" s="169" t="s">
        <v>5706</v>
      </c>
      <c r="I2615" s="169" t="str">
        <f t="shared" si="166"/>
        <v>L09_JVSPLIT_048E_DE_ISL</v>
      </c>
      <c r="J2615" s="169" t="s">
        <v>11402</v>
      </c>
      <c r="K2615" s="169">
        <f>IFERROR(MATCH(J2615,'Final List'!$B$4:$B$252,0),0)</f>
        <v>0</v>
      </c>
      <c r="L2615" s="169">
        <f>IFERROR(MATCH(J2615,'Final List'!$D$4:$D$252,0),0)</f>
        <v>0</v>
      </c>
      <c r="M2615" s="169">
        <f>IFERROR(MATCH(J2615,'Final List'!$F$4:$F$251,0),0)</f>
        <v>0</v>
      </c>
      <c r="N2615" s="169">
        <f>IFERROR(MATCH(J2615,'Final List'!$H$4:$H$252,0),0)</f>
        <v>0</v>
      </c>
      <c r="O2615" s="169">
        <f>IFERROR(MATCH(J2615,'Final List'!$J$4:$J$252,0),0)</f>
        <v>0</v>
      </c>
      <c r="P2615" s="169">
        <f>IFERROR(MATCH(J2615,'Final List'!$L$4:$L$252,0),0)</f>
        <v>0</v>
      </c>
      <c r="Q2615" s="169">
        <f>IFERROR(MATCH(J2615,'Final List'!$N$4:$N$252,0),0)</f>
        <v>0</v>
      </c>
      <c r="R2615" s="169">
        <f>IFERROR(MATCH(J2615,'Final List'!$P$4:$P$252,0),0)</f>
        <v>0</v>
      </c>
      <c r="S2615" s="169">
        <f t="shared" si="164"/>
        <v>0</v>
      </c>
      <c r="V2615" s="169" t="str">
        <f t="shared" si="165"/>
        <v>SHEPHERD AF 1</v>
      </c>
      <c r="W2615" s="169" t="s">
        <v>2708</v>
      </c>
    </row>
    <row r="2616" spans="2:23" x14ac:dyDescent="0.25">
      <c r="B2616" s="169" t="s">
        <v>258</v>
      </c>
      <c r="C2616" s="169" t="s">
        <v>45</v>
      </c>
      <c r="D2616" s="169" t="s">
        <v>9156</v>
      </c>
      <c r="E2616" s="169" t="s">
        <v>6154</v>
      </c>
      <c r="F2616" s="245" t="str">
        <f t="shared" si="163"/>
        <v>Dhoz 71</v>
      </c>
      <c r="G2616" s="169" t="s">
        <v>5702</v>
      </c>
      <c r="I2616" s="169" t="str">
        <f t="shared" si="166"/>
        <v>L10_DPVE_092E_DW_ISL</v>
      </c>
      <c r="J2616" s="169" t="s">
        <v>11403</v>
      </c>
      <c r="K2616" s="169">
        <f>IFERROR(MATCH(J2616,'Final List'!$B$4:$B$252,0),0)</f>
        <v>0</v>
      </c>
      <c r="L2616" s="169">
        <f>IFERROR(MATCH(J2616,'Final List'!$D$4:$D$252,0),0)</f>
        <v>0</v>
      </c>
      <c r="M2616" s="169">
        <f>IFERROR(MATCH(J2616,'Final List'!$F$4:$F$251,0),0)</f>
        <v>0</v>
      </c>
      <c r="N2616" s="169">
        <f>IFERROR(MATCH(J2616,'Final List'!$H$4:$H$252,0),0)</f>
        <v>0</v>
      </c>
      <c r="O2616" s="169">
        <f>IFERROR(MATCH(J2616,'Final List'!$J$4:$J$252,0),0)</f>
        <v>0</v>
      </c>
      <c r="P2616" s="169">
        <f>IFERROR(MATCH(J2616,'Final List'!$L$4:$L$252,0),0)</f>
        <v>0</v>
      </c>
      <c r="Q2616" s="169">
        <f>IFERROR(MATCH(J2616,'Final List'!$N$4:$N$252,0),0)</f>
        <v>0</v>
      </c>
      <c r="R2616" s="169">
        <f>IFERROR(MATCH(J2616,'Final List'!$P$4:$P$252,0),0)</f>
        <v>0</v>
      </c>
      <c r="S2616" s="169">
        <f t="shared" si="164"/>
        <v>0</v>
      </c>
      <c r="V2616" s="169" t="str">
        <f t="shared" si="165"/>
        <v>LARGO 3</v>
      </c>
      <c r="W2616" s="169" t="s">
        <v>2708</v>
      </c>
    </row>
    <row r="2617" spans="2:23" x14ac:dyDescent="0.25">
      <c r="B2617" s="169" t="s">
        <v>258</v>
      </c>
      <c r="C2617" s="169" t="s">
        <v>56</v>
      </c>
      <c r="D2617" s="169" t="s">
        <v>179</v>
      </c>
      <c r="E2617" s="169" t="s">
        <v>62</v>
      </c>
      <c r="F2617" s="245" t="str">
        <f t="shared" si="163"/>
        <v>RobS 79</v>
      </c>
      <c r="G2617" s="169" t="s">
        <v>317</v>
      </c>
      <c r="I2617" s="169" t="str">
        <f t="shared" si="166"/>
        <v>L10_GHVFW_050E_ROBBING</v>
      </c>
      <c r="J2617" s="169" t="s">
        <v>11420</v>
      </c>
      <c r="K2617" s="169">
        <f>IFERROR(MATCH(J2617,'Final List'!$B$4:$B$252,0),0)</f>
        <v>0</v>
      </c>
      <c r="L2617" s="169">
        <f>IFERROR(MATCH(J2617,'Final List'!$D$4:$D$252,0),0)</f>
        <v>0</v>
      </c>
      <c r="M2617" s="169">
        <f>IFERROR(MATCH(J2617,'Final List'!$F$4:$F$251,0),0)</f>
        <v>0</v>
      </c>
      <c r="N2617" s="169">
        <f>IFERROR(MATCH(J2617,'Final List'!$H$4:$H$252,0),0)</f>
        <v>0</v>
      </c>
      <c r="O2617" s="169">
        <f>IFERROR(MATCH(J2617,'Final List'!$J$4:$J$252,0),0)</f>
        <v>0</v>
      </c>
      <c r="P2617" s="169">
        <f>IFERROR(MATCH(J2617,'Final List'!$L$4:$L$252,0),0)</f>
        <v>0</v>
      </c>
      <c r="Q2617" s="169">
        <f>IFERROR(MATCH(J2617,'Final List'!$N$4:$N$252,0),0)</f>
        <v>0</v>
      </c>
      <c r="R2617" s="169">
        <f>IFERROR(MATCH(J2617,'Final List'!$P$4:$P$252,0),0)</f>
        <v>0</v>
      </c>
      <c r="S2617" s="169">
        <f t="shared" si="164"/>
        <v>0</v>
      </c>
      <c r="T2617" s="169" t="s">
        <v>68</v>
      </c>
      <c r="V2617" s="169" t="str">
        <f t="shared" si="165"/>
        <v>PARAGUYA 2</v>
      </c>
      <c r="W2617" s="169" t="s">
        <v>2707</v>
      </c>
    </row>
    <row r="2618" spans="2:23" x14ac:dyDescent="0.25">
      <c r="B2618" s="169" t="s">
        <v>1167</v>
      </c>
      <c r="C2618" s="169" t="s">
        <v>43</v>
      </c>
      <c r="D2618" s="169" t="s">
        <v>167</v>
      </c>
      <c r="E2618" s="169" t="s">
        <v>20</v>
      </c>
      <c r="F2618" s="245" t="str">
        <f t="shared" si="163"/>
        <v>DVW 74</v>
      </c>
      <c r="G2618" s="169" t="s">
        <v>329</v>
      </c>
      <c r="H2618" s="169" t="s">
        <v>6878</v>
      </c>
      <c r="I2618" s="169" t="str">
        <f t="shared" si="166"/>
        <v>L12_GHVSPLIT_058E_WINZE</v>
      </c>
      <c r="J2618" s="169" t="s">
        <v>11421</v>
      </c>
      <c r="K2618" s="169">
        <f>IFERROR(MATCH(J2618,'Final List'!$B$4:$B$252,0),0)</f>
        <v>0</v>
      </c>
      <c r="L2618" s="169">
        <f>IFERROR(MATCH(J2618,'Final List'!$D$4:$D$252,0),0)</f>
        <v>0</v>
      </c>
      <c r="M2618" s="169">
        <f>IFERROR(MATCH(J2618,'Final List'!$F$4:$F$251,0),0)</f>
        <v>0</v>
      </c>
      <c r="N2618" s="169">
        <f>IFERROR(MATCH(J2618,'Final List'!$H$4:$H$252,0),0)</f>
        <v>0</v>
      </c>
      <c r="O2618" s="169">
        <f>IFERROR(MATCH(J2618,'Final List'!$J$4:$J$252,0),0)</f>
        <v>0</v>
      </c>
      <c r="P2618" s="169">
        <f>IFERROR(MATCH(J2618,'Final List'!$L$4:$L$252,0),0)</f>
        <v>0</v>
      </c>
      <c r="Q2618" s="169">
        <f>IFERROR(MATCH(J2618,'Final List'!$N$4:$N$252,0),0)</f>
        <v>0</v>
      </c>
      <c r="R2618" s="169">
        <f>IFERROR(MATCH(J2618,'Final List'!$P$4:$P$252,0),0)</f>
        <v>0</v>
      </c>
      <c r="S2618" s="169">
        <f t="shared" si="164"/>
        <v>0</v>
      </c>
      <c r="V2618" s="169" t="str">
        <f t="shared" si="165"/>
        <v>BALANGHIG</v>
      </c>
      <c r="W2618" s="169" t="s">
        <v>2706</v>
      </c>
    </row>
    <row r="2619" spans="2:23" x14ac:dyDescent="0.25">
      <c r="B2619" s="169" t="s">
        <v>96</v>
      </c>
      <c r="C2619" s="169" t="s">
        <v>56</v>
      </c>
      <c r="D2619" s="169" t="s">
        <v>172</v>
      </c>
      <c r="E2619" s="169" t="s">
        <v>6154</v>
      </c>
      <c r="F2619" s="245" t="str">
        <f t="shared" si="163"/>
        <v>Dhoz 71</v>
      </c>
      <c r="G2619" s="169" t="s">
        <v>9422</v>
      </c>
      <c r="I2619" s="169" t="str">
        <f t="shared" si="166"/>
        <v>L09_GHVFW_045E_DW_ISL</v>
      </c>
      <c r="J2619" s="169" t="s">
        <v>11422</v>
      </c>
      <c r="K2619" s="169">
        <f>IFERROR(MATCH(J2619,'Final List'!$B$4:$B$252,0),0)</f>
        <v>0</v>
      </c>
      <c r="L2619" s="169">
        <f>IFERROR(MATCH(J2619,'Final List'!$D$4:$D$252,0),0)</f>
        <v>0</v>
      </c>
      <c r="M2619" s="169">
        <f>IFERROR(MATCH(J2619,'Final List'!$F$4:$F$251,0),0)</f>
        <v>0</v>
      </c>
      <c r="N2619" s="169">
        <f>IFERROR(MATCH(J2619,'Final List'!$H$4:$H$252,0),0)</f>
        <v>0</v>
      </c>
      <c r="O2619" s="169">
        <f>IFERROR(MATCH(J2619,'Final List'!$J$4:$J$252,0),0)</f>
        <v>0</v>
      </c>
      <c r="P2619" s="169">
        <f>IFERROR(MATCH(J2619,'Final List'!$L$4:$L$252,0),0)</f>
        <v>0</v>
      </c>
      <c r="Q2619" s="169">
        <f>IFERROR(MATCH(J2619,'Final List'!$N$4:$N$252,0),0)</f>
        <v>0</v>
      </c>
      <c r="R2619" s="169">
        <f>IFERROR(MATCH(J2619,'Final List'!$P$4:$P$252,0),0)</f>
        <v>0</v>
      </c>
      <c r="S2619" s="169">
        <f t="shared" si="164"/>
        <v>0</v>
      </c>
      <c r="V2619" s="169" t="str">
        <f t="shared" si="165"/>
        <v>SHEPHERD AY 1</v>
      </c>
      <c r="W2619" s="169" t="s">
        <v>2708</v>
      </c>
    </row>
    <row r="2620" spans="2:23" x14ac:dyDescent="0.25">
      <c r="B2620" s="169" t="s">
        <v>1166</v>
      </c>
      <c r="C2620" s="169" t="s">
        <v>45</v>
      </c>
      <c r="D2620" s="169" t="s">
        <v>147</v>
      </c>
      <c r="E2620" s="169" t="s">
        <v>61</v>
      </c>
      <c r="F2620" s="245" t="str">
        <f t="shared" si="163"/>
        <v>Dhoz 71</v>
      </c>
      <c r="G2620" s="169" t="s">
        <v>355</v>
      </c>
      <c r="H2620" s="169" t="s">
        <v>6954</v>
      </c>
      <c r="I2620" s="169" t="str">
        <f t="shared" si="166"/>
        <v>L11_DPVE_024E_DW</v>
      </c>
      <c r="J2620" s="169" t="s">
        <v>11423</v>
      </c>
      <c r="K2620" s="169">
        <f>IFERROR(MATCH(J2620,'Final List'!$B$4:$B$252,0),0)</f>
        <v>0</v>
      </c>
      <c r="L2620" s="169">
        <f>IFERROR(MATCH(J2620,'Final List'!$D$4:$D$252,0),0)</f>
        <v>0</v>
      </c>
      <c r="M2620" s="169">
        <f>IFERROR(MATCH(J2620,'Final List'!$F$4:$F$251,0),0)</f>
        <v>0</v>
      </c>
      <c r="N2620" s="169">
        <f>IFERROR(MATCH(J2620,'Final List'!$H$4:$H$252,0),0)</f>
        <v>0</v>
      </c>
      <c r="O2620" s="169">
        <f>IFERROR(MATCH(J2620,'Final List'!$J$4:$J$252,0),0)</f>
        <v>0</v>
      </c>
      <c r="P2620" s="169">
        <f>IFERROR(MATCH(J2620,'Final List'!$L$4:$L$252,0),0)</f>
        <v>0</v>
      </c>
      <c r="Q2620" s="169">
        <f>IFERROR(MATCH(J2620,'Final List'!$N$4:$N$252,0),0)</f>
        <v>0</v>
      </c>
      <c r="R2620" s="169">
        <f>IFERROR(MATCH(J2620,'Final List'!$P$4:$P$252,0),0)</f>
        <v>0</v>
      </c>
      <c r="S2620" s="169">
        <f t="shared" si="164"/>
        <v>0</v>
      </c>
      <c r="V2620" s="169" t="str">
        <f t="shared" si="165"/>
        <v>BADBADON</v>
      </c>
      <c r="W2620" s="169" t="s">
        <v>8896</v>
      </c>
    </row>
    <row r="2621" spans="2:23" x14ac:dyDescent="0.25">
      <c r="B2621" s="169" t="s">
        <v>96</v>
      </c>
      <c r="C2621" s="169" t="s">
        <v>45</v>
      </c>
      <c r="D2621" s="169" t="s">
        <v>7025</v>
      </c>
      <c r="E2621" s="169" t="s">
        <v>61</v>
      </c>
      <c r="F2621" s="245" t="str">
        <f t="shared" si="163"/>
        <v>Dhoz 71</v>
      </c>
      <c r="G2621" s="169" t="s">
        <v>5101</v>
      </c>
      <c r="I2621" s="169" t="str">
        <f t="shared" si="166"/>
        <v>L09_DPVE_082E_DW</v>
      </c>
      <c r="J2621" s="169" t="s">
        <v>11430</v>
      </c>
      <c r="K2621" s="169">
        <f>IFERROR(MATCH(J2621,'Final List'!$B$4:$B$252,0),0)</f>
        <v>0</v>
      </c>
      <c r="L2621" s="169">
        <f>IFERROR(MATCH(J2621,'Final List'!$D$4:$D$252,0),0)</f>
        <v>0</v>
      </c>
      <c r="M2621" s="169">
        <f>IFERROR(MATCH(J2621,'Final List'!$F$4:$F$251,0),0)</f>
        <v>0</v>
      </c>
      <c r="N2621" s="169">
        <f>IFERROR(MATCH(J2621,'Final List'!$H$4:$H$252,0),0)</f>
        <v>0</v>
      </c>
      <c r="O2621" s="169">
        <f>IFERROR(MATCH(J2621,'Final List'!$J$4:$J$252,0),0)</f>
        <v>0</v>
      </c>
      <c r="P2621" s="169">
        <f>IFERROR(MATCH(J2621,'Final List'!$L$4:$L$252,0),0)</f>
        <v>0</v>
      </c>
      <c r="Q2621" s="169">
        <f>IFERROR(MATCH(J2621,'Final List'!$N$4:$N$252,0),0)</f>
        <v>0</v>
      </c>
      <c r="R2621" s="169">
        <f>IFERROR(MATCH(J2621,'Final List'!$P$4:$P$252,0),0)</f>
        <v>0</v>
      </c>
      <c r="S2621" s="169">
        <f t="shared" si="164"/>
        <v>0</v>
      </c>
      <c r="V2621" s="169" t="str">
        <f t="shared" si="165"/>
        <v>DELOS REYES V3</v>
      </c>
      <c r="W2621" s="169" t="s">
        <v>8896</v>
      </c>
    </row>
    <row r="2622" spans="2:23" x14ac:dyDescent="0.25">
      <c r="B2622" s="169" t="s">
        <v>96</v>
      </c>
      <c r="C2622" s="169" t="s">
        <v>56</v>
      </c>
      <c r="D2622" s="169" t="s">
        <v>10633</v>
      </c>
      <c r="E2622" s="169" t="s">
        <v>19</v>
      </c>
      <c r="F2622" s="245" t="str">
        <f t="shared" si="163"/>
        <v>DVR 72</v>
      </c>
      <c r="G2622" s="169" t="s">
        <v>10253</v>
      </c>
      <c r="I2622" s="169" t="str">
        <f t="shared" si="166"/>
        <v>L09_GHVFW_038W_RAISE</v>
      </c>
      <c r="J2622" s="169" t="s">
        <v>11444</v>
      </c>
      <c r="K2622" s="169">
        <f>IFERROR(MATCH(J2622,'Final List'!$B$4:$B$252,0),0)</f>
        <v>0</v>
      </c>
      <c r="L2622" s="169">
        <f>IFERROR(MATCH(J2622,'Final List'!$D$4:$D$252,0),0)</f>
        <v>0</v>
      </c>
      <c r="M2622" s="169">
        <f>IFERROR(MATCH(J2622,'Final List'!$F$4:$F$251,0),0)</f>
        <v>0</v>
      </c>
      <c r="N2622" s="169">
        <f>IFERROR(MATCH(J2622,'Final List'!$H$4:$H$252,0),0)</f>
        <v>0</v>
      </c>
      <c r="O2622" s="169">
        <f>IFERROR(MATCH(J2622,'Final List'!$J$4:$J$252,0),0)</f>
        <v>0</v>
      </c>
      <c r="P2622" s="169">
        <f>IFERROR(MATCH(J2622,'Final List'!$L$4:$L$252,0),0)</f>
        <v>0</v>
      </c>
      <c r="Q2622" s="169">
        <f>IFERROR(MATCH(J2622,'Final List'!$N$4:$N$252,0),0)</f>
        <v>0</v>
      </c>
      <c r="R2622" s="169">
        <f>IFERROR(MATCH(J2622,'Final List'!$P$4:$P$252,0),0)</f>
        <v>0</v>
      </c>
      <c r="S2622" s="169">
        <f t="shared" si="164"/>
        <v>0</v>
      </c>
      <c r="V2622" s="169" t="str">
        <f t="shared" si="165"/>
        <v>PANSIT NORMAN 4</v>
      </c>
      <c r="W2622" s="169" t="s">
        <v>2715</v>
      </c>
    </row>
    <row r="2623" spans="2:23" x14ac:dyDescent="0.25">
      <c r="B2623" s="169" t="s">
        <v>96</v>
      </c>
      <c r="C2623" s="169" t="s">
        <v>42</v>
      </c>
      <c r="D2623" s="169" t="s">
        <v>289</v>
      </c>
      <c r="E2623" s="169" t="s">
        <v>6143</v>
      </c>
      <c r="F2623" s="245" t="str">
        <f t="shared" si="163"/>
        <v>Dhoz 71</v>
      </c>
      <c r="G2623" s="169" t="s">
        <v>485</v>
      </c>
      <c r="I2623" s="169" t="str">
        <f t="shared" si="166"/>
        <v>L09_JV_059E_DE_ISL</v>
      </c>
      <c r="J2623" s="169" t="s">
        <v>11435</v>
      </c>
      <c r="K2623" s="169">
        <f>IFERROR(MATCH(J2623,'Final List'!$B$4:$B$252,0),0)</f>
        <v>0</v>
      </c>
      <c r="L2623" s="169">
        <f>IFERROR(MATCH(J2623,'Final List'!$D$4:$D$252,0),0)</f>
        <v>0</v>
      </c>
      <c r="M2623" s="169">
        <f>IFERROR(MATCH(J2623,'Final List'!$F$4:$F$251,0),0)</f>
        <v>0</v>
      </c>
      <c r="N2623" s="169">
        <f>IFERROR(MATCH(J2623,'Final List'!$H$4:$H$252,0),0)</f>
        <v>0</v>
      </c>
      <c r="O2623" s="169">
        <f>IFERROR(MATCH(J2623,'Final List'!$J$4:$J$252,0),0)</f>
        <v>0</v>
      </c>
      <c r="P2623" s="169">
        <f>IFERROR(MATCH(J2623,'Final List'!$L$4:$L$252,0),0)</f>
        <v>0</v>
      </c>
      <c r="Q2623" s="169">
        <f>IFERROR(MATCH(J2623,'Final List'!$N$4:$N$252,0),0)</f>
        <v>0</v>
      </c>
      <c r="R2623" s="169">
        <f>IFERROR(MATCH(J2623,'Final List'!$P$4:$P$252,0),0)</f>
        <v>0</v>
      </c>
      <c r="S2623" s="169">
        <f t="shared" si="164"/>
        <v>0</v>
      </c>
      <c r="V2623" s="169" t="str">
        <f t="shared" si="165"/>
        <v>BALANGHIG 3</v>
      </c>
      <c r="W2623" s="169" t="s">
        <v>2708</v>
      </c>
    </row>
    <row r="2624" spans="2:23" x14ac:dyDescent="0.25">
      <c r="B2624" s="169" t="s">
        <v>1166</v>
      </c>
      <c r="C2624" s="169" t="s">
        <v>59</v>
      </c>
      <c r="D2624" s="169" t="s">
        <v>201</v>
      </c>
      <c r="E2624" s="169" t="s">
        <v>20</v>
      </c>
      <c r="F2624" s="245" t="str">
        <f t="shared" si="163"/>
        <v>DVW 74</v>
      </c>
      <c r="G2624" s="169" t="s">
        <v>387</v>
      </c>
      <c r="H2624" s="169" t="s">
        <v>965</v>
      </c>
      <c r="I2624" s="169" t="str">
        <f t="shared" si="166"/>
        <v>L11_GHVHW_067E_WINZE</v>
      </c>
      <c r="J2624" s="169" t="s">
        <v>11436</v>
      </c>
      <c r="K2624" s="169">
        <f>IFERROR(MATCH(J2624,'Final List'!$B$4:$B$252,0),0)</f>
        <v>0</v>
      </c>
      <c r="L2624" s="169">
        <f>IFERROR(MATCH(J2624,'Final List'!$D$4:$D$252,0),0)</f>
        <v>0</v>
      </c>
      <c r="M2624" s="169">
        <f>IFERROR(MATCH(J2624,'Final List'!$F$4:$F$251,0),0)</f>
        <v>0</v>
      </c>
      <c r="N2624" s="169">
        <f>IFERROR(MATCH(J2624,'Final List'!$H$4:$H$252,0),0)</f>
        <v>0</v>
      </c>
      <c r="O2624" s="169">
        <f>IFERROR(MATCH(J2624,'Final List'!$J$4:$J$252,0),0)</f>
        <v>0</v>
      </c>
      <c r="P2624" s="169">
        <f>IFERROR(MATCH(J2624,'Final List'!$L$4:$L$252,0),0)</f>
        <v>0</v>
      </c>
      <c r="Q2624" s="169">
        <f>IFERROR(MATCH(J2624,'Final List'!$N$4:$N$252,0),0)</f>
        <v>0</v>
      </c>
      <c r="R2624" s="169">
        <f>IFERROR(MATCH(J2624,'Final List'!$P$4:$P$252,0),0)</f>
        <v>0</v>
      </c>
      <c r="S2624" s="169">
        <f t="shared" si="164"/>
        <v>0</v>
      </c>
      <c r="V2624" s="169" t="str">
        <f t="shared" si="165"/>
        <v>DUHIG</v>
      </c>
      <c r="W2624" s="169" t="s">
        <v>2706</v>
      </c>
    </row>
    <row r="2625" spans="2:23" x14ac:dyDescent="0.25">
      <c r="B2625" s="169" t="s">
        <v>96</v>
      </c>
      <c r="C2625" s="169" t="s">
        <v>45</v>
      </c>
      <c r="D2625" s="169" t="s">
        <v>5975</v>
      </c>
      <c r="E2625" s="169" t="s">
        <v>20</v>
      </c>
      <c r="F2625" s="245" t="str">
        <f t="shared" si="163"/>
        <v>DVW 74</v>
      </c>
      <c r="G2625" s="169" t="s">
        <v>348</v>
      </c>
      <c r="I2625" s="169" t="str">
        <f t="shared" si="166"/>
        <v>L09_DPVE_028E_WINZE</v>
      </c>
      <c r="J2625" s="169" t="s">
        <v>11443</v>
      </c>
      <c r="K2625" s="169">
        <f>IFERROR(MATCH(J2625,'Final List'!$B$4:$B$252,0),0)</f>
        <v>0</v>
      </c>
      <c r="L2625" s="169">
        <f>IFERROR(MATCH(J2625,'Final List'!$D$4:$D$252,0),0)</f>
        <v>0</v>
      </c>
      <c r="M2625" s="169">
        <f>IFERROR(MATCH(J2625,'Final List'!$F$4:$F$251,0),0)</f>
        <v>0</v>
      </c>
      <c r="N2625" s="169">
        <f>IFERROR(MATCH(J2625,'Final List'!$H$4:$H$252,0),0)</f>
        <v>0</v>
      </c>
      <c r="O2625" s="169">
        <f>IFERROR(MATCH(J2625,'Final List'!$J$4:$J$252,0),0)</f>
        <v>0</v>
      </c>
      <c r="P2625" s="169">
        <f>IFERROR(MATCH(J2625,'Final List'!$L$4:$L$252,0),0)</f>
        <v>0</v>
      </c>
      <c r="Q2625" s="169">
        <f>IFERROR(MATCH(J2625,'Final List'!$N$4:$N$252,0),0)</f>
        <v>0</v>
      </c>
      <c r="R2625" s="169">
        <f>IFERROR(MATCH(J2625,'Final List'!$P$4:$P$252,0),0)</f>
        <v>0</v>
      </c>
      <c r="S2625" s="169">
        <f t="shared" si="164"/>
        <v>0</v>
      </c>
      <c r="V2625" s="169" t="str">
        <f t="shared" si="165"/>
        <v>QUIJANO 3</v>
      </c>
      <c r="W2625" s="169" t="s">
        <v>2706</v>
      </c>
    </row>
    <row r="2626" spans="2:23" x14ac:dyDescent="0.25">
      <c r="B2626" s="169" t="s">
        <v>258</v>
      </c>
      <c r="C2626" s="169" t="s">
        <v>45</v>
      </c>
      <c r="D2626" s="169" t="s">
        <v>174</v>
      </c>
      <c r="E2626" s="169" t="s">
        <v>19</v>
      </c>
      <c r="F2626" s="245" t="str">
        <f t="shared" si="163"/>
        <v>DVR 72</v>
      </c>
      <c r="G2626" s="169" t="s">
        <v>10892</v>
      </c>
      <c r="I2626" s="169" t="str">
        <f t="shared" si="166"/>
        <v>L10_DPVE_052E_RAISE</v>
      </c>
      <c r="J2626" s="169" t="s">
        <v>11445</v>
      </c>
      <c r="K2626" s="169">
        <f>IFERROR(MATCH(J2626,'Final List'!$B$4:$B$252,0),0)</f>
        <v>0</v>
      </c>
      <c r="L2626" s="169">
        <f>IFERROR(MATCH(J2626,'Final List'!$D$4:$D$252,0),0)</f>
        <v>0</v>
      </c>
      <c r="M2626" s="169">
        <f>IFERROR(MATCH(J2626,'Final List'!$F$4:$F$251,0),0)</f>
        <v>0</v>
      </c>
      <c r="N2626" s="169">
        <f>IFERROR(MATCH(J2626,'Final List'!$H$4:$H$252,0),0)</f>
        <v>0</v>
      </c>
      <c r="O2626" s="169">
        <f>IFERROR(MATCH(J2626,'Final List'!$J$4:$J$252,0),0)</f>
        <v>0</v>
      </c>
      <c r="P2626" s="169">
        <f>IFERROR(MATCH(J2626,'Final List'!$L$4:$L$252,0),0)</f>
        <v>0</v>
      </c>
      <c r="Q2626" s="169">
        <f>IFERROR(MATCH(J2626,'Final List'!$N$4:$N$252,0),0)</f>
        <v>0</v>
      </c>
      <c r="R2626" s="169">
        <f>IFERROR(MATCH(J2626,'Final List'!$P$4:$P$252,0),0)</f>
        <v>0</v>
      </c>
      <c r="S2626" s="169">
        <f t="shared" si="164"/>
        <v>0</v>
      </c>
      <c r="V2626" s="169" t="str">
        <f t="shared" si="165"/>
        <v>SHEPHERD BA 3</v>
      </c>
      <c r="W2626" s="169" t="s">
        <v>2715</v>
      </c>
    </row>
    <row r="2627" spans="2:23" x14ac:dyDescent="0.25">
      <c r="B2627" s="169" t="s">
        <v>258</v>
      </c>
      <c r="C2627" s="169" t="s">
        <v>45</v>
      </c>
      <c r="D2627" s="169" t="s">
        <v>121</v>
      </c>
      <c r="E2627" s="169" t="s">
        <v>61</v>
      </c>
      <c r="F2627" s="245" t="str">
        <f t="shared" ref="F2627:F2690" si="167">IF(OR(E2627="XCN",E2627="DE",E2627="DW",E2627="DN",E2627="XCS",E2627="XCE",E2627="XCW",E2627="SUMP",E2627="BYPASS",E2627="CHAMBER",E2627="DRAIN HOLE",E2627="DRILLING CHAMBER",E2627="DE_ISL",E2627="DW_ISL",E2627="REHAB"),"Dhoz 71",IF(OR(E2627="RAISE",E2627="RAISE_ISL"),"DVR 72",IF(E2627="ALIMAK","DVA 73",IF(E2627="WINZE","DVW 74",IF(E2627="SHAFT","DVS 75",IF(AND(E2627="WINZE STOPE",T2627="S"),"RobC 80",IF(AND(E2627="STOPE",T2627="S"),"StpS 77",IF(AND(E2627="WINZE STOPE",T2627="L"),"RobC 80",IF(AND(E2627="STOPE",T2627="L"),"StpL 78",IF(AND(E2627="WINZE STOPE PREP",T2627="S"),"RobC 80",IF(AND(E2627="STOPE PREP",T2627="S"),"StpS 77",IF(AND(E2627="WINZE STOPE PREP",T2627="L"),"RobC 80",IF(AND(E2627="STOPE PREP",T2627="L"),"StpL 78",IF(AND(E2627="ROBBING",T2627="L"),"RobC 80",IF(AND(E2627="ROBBING",T2627="S"),"RobS 79",0)))))))))))))))</f>
        <v>Dhoz 71</v>
      </c>
      <c r="G2627" s="169" t="s">
        <v>10897</v>
      </c>
      <c r="I2627" s="169" t="str">
        <f t="shared" si="166"/>
        <v>L10_DPVE_022E_DW</v>
      </c>
      <c r="J2627" s="169" t="s">
        <v>11447</v>
      </c>
      <c r="K2627" s="169">
        <f>IFERROR(MATCH(J2627,'Final List'!$B$4:$B$252,0),0)</f>
        <v>0</v>
      </c>
      <c r="L2627" s="169">
        <f>IFERROR(MATCH(J2627,'Final List'!$D$4:$D$252,0),0)</f>
        <v>0</v>
      </c>
      <c r="M2627" s="169">
        <f>IFERROR(MATCH(J2627,'Final List'!$F$4:$F$251,0),0)</f>
        <v>0</v>
      </c>
      <c r="N2627" s="169">
        <f>IFERROR(MATCH(J2627,'Final List'!$H$4:$H$252,0),0)</f>
        <v>0</v>
      </c>
      <c r="O2627" s="169">
        <f>IFERROR(MATCH(J2627,'Final List'!$J$4:$J$252,0),0)</f>
        <v>0</v>
      </c>
      <c r="P2627" s="169">
        <f>IFERROR(MATCH(J2627,'Final List'!$L$4:$L$252,0),0)</f>
        <v>0</v>
      </c>
      <c r="Q2627" s="169">
        <f>IFERROR(MATCH(J2627,'Final List'!$N$4:$N$252,0),0)</f>
        <v>0</v>
      </c>
      <c r="R2627" s="169">
        <f>IFERROR(MATCH(J2627,'Final List'!$P$4:$P$252,0),0)</f>
        <v>0</v>
      </c>
      <c r="S2627" s="169">
        <f t="shared" ref="S2627:S2690" si="168">SUM(K2627:R2627)</f>
        <v>0</v>
      </c>
      <c r="V2627" s="169" t="str">
        <f t="shared" si="165"/>
        <v>SHEPHERD BC 3</v>
      </c>
      <c r="W2627" s="169" t="s">
        <v>8896</v>
      </c>
    </row>
    <row r="2628" spans="2:23" x14ac:dyDescent="0.25">
      <c r="B2628" s="169" t="s">
        <v>8904</v>
      </c>
      <c r="C2628" s="169" t="s">
        <v>38</v>
      </c>
      <c r="D2628" s="169" t="s">
        <v>171</v>
      </c>
      <c r="E2628" s="169" t="s">
        <v>62</v>
      </c>
      <c r="F2628" s="245" t="str">
        <f t="shared" si="167"/>
        <v>RobS 79</v>
      </c>
      <c r="G2628" s="169" t="s">
        <v>11449</v>
      </c>
      <c r="I2628" s="169" t="str">
        <f t="shared" si="166"/>
        <v>L03_GHV_015W_ROBBING</v>
      </c>
      <c r="J2628" s="169" t="s">
        <v>11448</v>
      </c>
      <c r="K2628" s="169">
        <f>IFERROR(MATCH(J2628,'Final List'!$B$4:$B$252,0),0)</f>
        <v>0</v>
      </c>
      <c r="L2628" s="169">
        <f>IFERROR(MATCH(J2628,'Final List'!$D$4:$D$252,0),0)</f>
        <v>0</v>
      </c>
      <c r="M2628" s="169">
        <f>IFERROR(MATCH(J2628,'Final List'!$F$4:$F$251,0),0)</f>
        <v>0</v>
      </c>
      <c r="N2628" s="169">
        <f>IFERROR(MATCH(J2628,'Final List'!$H$4:$H$252,0),0)</f>
        <v>0</v>
      </c>
      <c r="O2628" s="169">
        <f>IFERROR(MATCH(J2628,'Final List'!$J$4:$J$252,0),0)</f>
        <v>0</v>
      </c>
      <c r="P2628" s="169">
        <f>IFERROR(MATCH(J2628,'Final List'!$L$4:$L$252,0),0)</f>
        <v>0</v>
      </c>
      <c r="Q2628" s="169">
        <f>IFERROR(MATCH(J2628,'Final List'!$N$4:$N$252,0),0)</f>
        <v>0</v>
      </c>
      <c r="R2628" s="169">
        <f>IFERROR(MATCH(J2628,'Final List'!$P$4:$P$252,0),0)</f>
        <v>0</v>
      </c>
      <c r="S2628" s="169">
        <f t="shared" si="168"/>
        <v>0</v>
      </c>
      <c r="T2628" s="169" t="s">
        <v>68</v>
      </c>
      <c r="V2628" s="169" t="str">
        <f t="shared" si="165"/>
        <v>FERNANDEZ, RM</v>
      </c>
      <c r="W2628" s="169" t="s">
        <v>2707</v>
      </c>
    </row>
    <row r="2629" spans="2:23" x14ac:dyDescent="0.25">
      <c r="B2629" s="169" t="s">
        <v>8904</v>
      </c>
      <c r="C2629" s="169" t="s">
        <v>87</v>
      </c>
      <c r="D2629" s="169" t="s">
        <v>5888</v>
      </c>
      <c r="E2629" s="169" t="s">
        <v>20</v>
      </c>
      <c r="F2629" s="245" t="str">
        <f t="shared" si="167"/>
        <v>DVW 74</v>
      </c>
      <c r="G2629" s="169" t="s">
        <v>9455</v>
      </c>
      <c r="I2629" s="169" t="str">
        <f t="shared" si="166"/>
        <v>L03_NONE_024W_WINZE</v>
      </c>
      <c r="J2629" s="169" t="s">
        <v>11454</v>
      </c>
      <c r="K2629" s="169">
        <f>IFERROR(MATCH(J2629,'Final List'!$B$4:$B$252,0),0)</f>
        <v>0</v>
      </c>
      <c r="L2629" s="169">
        <f>IFERROR(MATCH(J2629,'Final List'!$D$4:$D$252,0),0)</f>
        <v>0</v>
      </c>
      <c r="M2629" s="169">
        <f>IFERROR(MATCH(J2629,'Final List'!$F$4:$F$251,0),0)</f>
        <v>0</v>
      </c>
      <c r="N2629" s="169">
        <f>IFERROR(MATCH(J2629,'Final List'!$H$4:$H$252,0),0)</f>
        <v>0</v>
      </c>
      <c r="O2629" s="169">
        <f>IFERROR(MATCH(J2629,'Final List'!$J$4:$J$252,0),0)</f>
        <v>0</v>
      </c>
      <c r="P2629" s="169">
        <f>IFERROR(MATCH(J2629,'Final List'!$L$4:$L$252,0),0)</f>
        <v>0</v>
      </c>
      <c r="Q2629" s="169">
        <f>IFERROR(MATCH(J2629,'Final List'!$N$4:$N$252,0),0)</f>
        <v>0</v>
      </c>
      <c r="R2629" s="169">
        <f>IFERROR(MATCH(J2629,'Final List'!$P$4:$P$252,0),0)</f>
        <v>0</v>
      </c>
      <c r="S2629" s="169">
        <f t="shared" si="168"/>
        <v>0</v>
      </c>
      <c r="V2629" s="169" t="str">
        <f t="shared" si="165"/>
        <v>FERNANDEZ, RM 4</v>
      </c>
      <c r="W2629" s="169" t="s">
        <v>2706</v>
      </c>
    </row>
    <row r="2630" spans="2:23" x14ac:dyDescent="0.25">
      <c r="B2630" s="169" t="s">
        <v>258</v>
      </c>
      <c r="C2630" s="169" t="s">
        <v>45</v>
      </c>
      <c r="D2630" s="169" t="s">
        <v>9827</v>
      </c>
      <c r="E2630" s="169" t="s">
        <v>19</v>
      </c>
      <c r="F2630" s="245" t="str">
        <f t="shared" si="167"/>
        <v>DVR 72</v>
      </c>
      <c r="G2630" s="169" t="s">
        <v>5704</v>
      </c>
      <c r="I2630" s="169" t="str">
        <f t="shared" si="166"/>
        <v>L10_DPVE_088E_RAISE</v>
      </c>
      <c r="J2630" s="169" t="s">
        <v>11457</v>
      </c>
      <c r="K2630" s="169">
        <f>IFERROR(MATCH(J2630,'Final List'!$B$4:$B$252,0),0)</f>
        <v>0</v>
      </c>
      <c r="L2630" s="169">
        <f>IFERROR(MATCH(J2630,'Final List'!$D$4:$D$252,0),0)</f>
        <v>0</v>
      </c>
      <c r="M2630" s="169">
        <f>IFERROR(MATCH(J2630,'Final List'!$F$4:$F$251,0),0)</f>
        <v>0</v>
      </c>
      <c r="N2630" s="169">
        <f>IFERROR(MATCH(J2630,'Final List'!$H$4:$H$252,0),0)</f>
        <v>0</v>
      </c>
      <c r="O2630" s="169">
        <f>IFERROR(MATCH(J2630,'Final List'!$J$4:$J$252,0),0)</f>
        <v>0</v>
      </c>
      <c r="P2630" s="169">
        <f>IFERROR(MATCH(J2630,'Final List'!$L$4:$L$252,0),0)</f>
        <v>0</v>
      </c>
      <c r="Q2630" s="169">
        <f>IFERROR(MATCH(J2630,'Final List'!$N$4:$N$252,0),0)</f>
        <v>0</v>
      </c>
      <c r="R2630" s="169">
        <f>IFERROR(MATCH(J2630,'Final List'!$P$4:$P$252,0),0)</f>
        <v>0</v>
      </c>
      <c r="S2630" s="169">
        <f t="shared" si="168"/>
        <v>0</v>
      </c>
      <c r="V2630" s="169" t="str">
        <f t="shared" si="165"/>
        <v>OLIVEROS 3</v>
      </c>
      <c r="W2630" s="169" t="s">
        <v>2715</v>
      </c>
    </row>
    <row r="2631" spans="2:23" x14ac:dyDescent="0.25">
      <c r="B2631" s="169" t="s">
        <v>91</v>
      </c>
      <c r="C2631" s="169" t="s">
        <v>42</v>
      </c>
      <c r="D2631" s="169" t="s">
        <v>100</v>
      </c>
      <c r="E2631" s="169" t="s">
        <v>211</v>
      </c>
      <c r="F2631" s="245" t="str">
        <f t="shared" si="167"/>
        <v>StpS 77</v>
      </c>
      <c r="G2631" s="169" t="s">
        <v>10123</v>
      </c>
      <c r="I2631" s="169" t="str">
        <f t="shared" si="166"/>
        <v>L04_JV_020W_STOPE PREP</v>
      </c>
      <c r="J2631" s="169" t="s">
        <v>11463</v>
      </c>
      <c r="K2631" s="169">
        <f>IFERROR(MATCH(J2631,'Final List'!$B$4:$B$252,0),0)</f>
        <v>0</v>
      </c>
      <c r="L2631" s="169">
        <f>IFERROR(MATCH(J2631,'Final List'!$D$4:$D$252,0),0)</f>
        <v>0</v>
      </c>
      <c r="M2631" s="169">
        <f>IFERROR(MATCH(J2631,'Final List'!$F$4:$F$251,0),0)</f>
        <v>0</v>
      </c>
      <c r="N2631" s="169">
        <f>IFERROR(MATCH(J2631,'Final List'!$H$4:$H$252,0),0)</f>
        <v>0</v>
      </c>
      <c r="O2631" s="169">
        <f>IFERROR(MATCH(J2631,'Final List'!$J$4:$J$252,0),0)</f>
        <v>0</v>
      </c>
      <c r="P2631" s="169">
        <f>IFERROR(MATCH(J2631,'Final List'!$L$4:$L$252,0),0)</f>
        <v>0</v>
      </c>
      <c r="Q2631" s="169">
        <f>IFERROR(MATCH(J2631,'Final List'!$N$4:$N$252,0),0)</f>
        <v>0</v>
      </c>
      <c r="R2631" s="169">
        <f>IFERROR(MATCH(J2631,'Final List'!$P$4:$P$252,0),0)</f>
        <v>0</v>
      </c>
      <c r="S2631" s="169">
        <f t="shared" si="168"/>
        <v>0</v>
      </c>
      <c r="T2631" s="169" t="s">
        <v>68</v>
      </c>
      <c r="V2631" s="169" t="str">
        <f t="shared" si="165"/>
        <v>MARTINEZ, DN 4</v>
      </c>
      <c r="W2631" s="169" t="s">
        <v>2712</v>
      </c>
    </row>
    <row r="2632" spans="2:23" x14ac:dyDescent="0.25">
      <c r="B2632" s="169" t="s">
        <v>1166</v>
      </c>
      <c r="C2632" s="169" t="s">
        <v>56</v>
      </c>
      <c r="D2632" s="169" t="s">
        <v>5975</v>
      </c>
      <c r="E2632" s="169" t="s">
        <v>19</v>
      </c>
      <c r="F2632" s="245" t="str">
        <f t="shared" si="167"/>
        <v>DVR 72</v>
      </c>
      <c r="G2632" s="169" t="s">
        <v>584</v>
      </c>
      <c r="I2632" s="169" t="str">
        <f t="shared" si="166"/>
        <v>L11_GHVFW_028E_RAISE</v>
      </c>
      <c r="J2632" s="169" t="s">
        <v>11462</v>
      </c>
      <c r="K2632" s="169">
        <f>IFERROR(MATCH(J2632,'Final List'!$B$4:$B$252,0),0)</f>
        <v>0</v>
      </c>
      <c r="L2632" s="169">
        <f>IFERROR(MATCH(J2632,'Final List'!$D$4:$D$252,0),0)</f>
        <v>0</v>
      </c>
      <c r="M2632" s="169">
        <f>IFERROR(MATCH(J2632,'Final List'!$F$4:$F$251,0),0)</f>
        <v>0</v>
      </c>
      <c r="N2632" s="169">
        <f>IFERROR(MATCH(J2632,'Final List'!$H$4:$H$252,0),0)</f>
        <v>0</v>
      </c>
      <c r="O2632" s="169">
        <f>IFERROR(MATCH(J2632,'Final List'!$J$4:$J$252,0),0)</f>
        <v>0</v>
      </c>
      <c r="P2632" s="169">
        <f>IFERROR(MATCH(J2632,'Final List'!$L$4:$L$252,0),0)</f>
        <v>0</v>
      </c>
      <c r="Q2632" s="169">
        <f>IFERROR(MATCH(J2632,'Final List'!$N$4:$N$252,0),0)</f>
        <v>0</v>
      </c>
      <c r="R2632" s="169">
        <f>IFERROR(MATCH(J2632,'Final List'!$P$4:$P$252,0),0)</f>
        <v>0</v>
      </c>
      <c r="S2632" s="169">
        <f t="shared" si="168"/>
        <v>0</v>
      </c>
      <c r="V2632" s="169" t="str">
        <f t="shared" si="165"/>
        <v>VILLARANTE 2</v>
      </c>
      <c r="W2632" s="169" t="s">
        <v>2715</v>
      </c>
    </row>
    <row r="2633" spans="2:23" x14ac:dyDescent="0.25">
      <c r="B2633" s="169" t="s">
        <v>1167</v>
      </c>
      <c r="C2633" s="169" t="s">
        <v>42</v>
      </c>
      <c r="D2633" s="169" t="s">
        <v>175</v>
      </c>
      <c r="E2633" s="169" t="s">
        <v>19</v>
      </c>
      <c r="F2633" s="245" t="str">
        <f t="shared" si="167"/>
        <v>DVR 72</v>
      </c>
      <c r="G2633" s="169" t="s">
        <v>10002</v>
      </c>
      <c r="H2633" s="169" t="s">
        <v>6934</v>
      </c>
      <c r="I2633" s="169" t="str">
        <f t="shared" si="166"/>
        <v>L12_JV_060E_RAISE</v>
      </c>
      <c r="J2633" s="169" t="s">
        <v>11459</v>
      </c>
      <c r="K2633" s="169">
        <f>IFERROR(MATCH(J2633,'Final List'!$B$4:$B$252,0),0)</f>
        <v>0</v>
      </c>
      <c r="L2633" s="169">
        <f>IFERROR(MATCH(J2633,'Final List'!$D$4:$D$252,0),0)</f>
        <v>0</v>
      </c>
      <c r="M2633" s="169">
        <f>IFERROR(MATCH(J2633,'Final List'!$F$4:$F$251,0),0)</f>
        <v>0</v>
      </c>
      <c r="N2633" s="169">
        <f>IFERROR(MATCH(J2633,'Final List'!$H$4:$H$252,0),0)</f>
        <v>0</v>
      </c>
      <c r="O2633" s="169">
        <f>IFERROR(MATCH(J2633,'Final List'!$J$4:$J$252,0),0)</f>
        <v>0</v>
      </c>
      <c r="P2633" s="169">
        <f>IFERROR(MATCH(J2633,'Final List'!$L$4:$L$252,0),0)</f>
        <v>0</v>
      </c>
      <c r="Q2633" s="169">
        <f>IFERROR(MATCH(J2633,'Final List'!$N$4:$N$252,0),0)</f>
        <v>0</v>
      </c>
      <c r="R2633" s="169">
        <f>IFERROR(MATCH(J2633,'Final List'!$P$4:$P$252,0),0)</f>
        <v>0</v>
      </c>
      <c r="S2633" s="169">
        <f t="shared" si="168"/>
        <v>0</v>
      </c>
      <c r="V2633" s="169" t="str">
        <f t="shared" si="165"/>
        <v>DUHIG, P7</v>
      </c>
      <c r="W2633" s="169" t="s">
        <v>2715</v>
      </c>
    </row>
    <row r="2634" spans="2:23" x14ac:dyDescent="0.25">
      <c r="B2634" s="169" t="s">
        <v>1167</v>
      </c>
      <c r="C2634" s="169" t="s">
        <v>45</v>
      </c>
      <c r="D2634" s="169" t="s">
        <v>133</v>
      </c>
      <c r="E2634" s="169" t="s">
        <v>19</v>
      </c>
      <c r="F2634" s="245" t="str">
        <f t="shared" si="167"/>
        <v>DVR 72</v>
      </c>
      <c r="G2634" s="169" t="s">
        <v>6931</v>
      </c>
      <c r="H2634" s="169" t="s">
        <v>12312</v>
      </c>
      <c r="I2634" s="169" t="str">
        <f t="shared" si="166"/>
        <v>L12_DPVE_037E_RAISE</v>
      </c>
      <c r="J2634" s="169" t="s">
        <v>11472</v>
      </c>
      <c r="K2634" s="169">
        <f>IFERROR(MATCH(J2634,'Final List'!$B$4:$B$252,0),0)</f>
        <v>0</v>
      </c>
      <c r="L2634" s="169">
        <f>IFERROR(MATCH(J2634,'Final List'!$D$4:$D$252,0),0)</f>
        <v>0</v>
      </c>
      <c r="M2634" s="169">
        <f>IFERROR(MATCH(J2634,'Final List'!$F$4:$F$251,0),0)</f>
        <v>0</v>
      </c>
      <c r="N2634" s="169">
        <f>IFERROR(MATCH(J2634,'Final List'!$H$4:$H$252,0),0)</f>
        <v>0</v>
      </c>
      <c r="O2634" s="169">
        <f>IFERROR(MATCH(J2634,'Final List'!$J$4:$J$252,0),0)</f>
        <v>0</v>
      </c>
      <c r="P2634" s="169">
        <f>IFERROR(MATCH(J2634,'Final List'!$L$4:$L$252,0),0)</f>
        <v>0</v>
      </c>
      <c r="Q2634" s="169">
        <f>IFERROR(MATCH(J2634,'Final List'!$N$4:$N$252,0),0)</f>
        <v>0</v>
      </c>
      <c r="R2634" s="169">
        <f>IFERROR(MATCH(J2634,'Final List'!$P$4:$P$252,0),0)</f>
        <v>0</v>
      </c>
      <c r="S2634" s="169">
        <f t="shared" si="168"/>
        <v>0</v>
      </c>
      <c r="V2634" s="169" t="str">
        <f t="shared" si="165"/>
        <v>PANSIT NORMAN 5</v>
      </c>
      <c r="W2634" s="169" t="s">
        <v>2715</v>
      </c>
    </row>
    <row r="2635" spans="2:23" x14ac:dyDescent="0.25">
      <c r="B2635" s="169" t="s">
        <v>1167</v>
      </c>
      <c r="C2635" s="169" t="s">
        <v>45</v>
      </c>
      <c r="D2635" s="169" t="s">
        <v>135</v>
      </c>
      <c r="E2635" s="169" t="s">
        <v>61</v>
      </c>
      <c r="F2635" s="245" t="str">
        <f t="shared" si="167"/>
        <v>Dhoz 71</v>
      </c>
      <c r="G2635" s="169" t="s">
        <v>6932</v>
      </c>
      <c r="I2635" s="169" t="str">
        <f t="shared" si="166"/>
        <v>L12_DPVE_034E_DW</v>
      </c>
      <c r="J2635" s="169" t="s">
        <v>11473</v>
      </c>
      <c r="K2635" s="169">
        <f>IFERROR(MATCH(J2635,'Final List'!$B$4:$B$252,0),0)</f>
        <v>0</v>
      </c>
      <c r="L2635" s="169">
        <f>IFERROR(MATCH(J2635,'Final List'!$D$4:$D$252,0),0)</f>
        <v>0</v>
      </c>
      <c r="M2635" s="169">
        <f>IFERROR(MATCH(J2635,'Final List'!$F$4:$F$251,0),0)</f>
        <v>0</v>
      </c>
      <c r="N2635" s="169">
        <f>IFERROR(MATCH(J2635,'Final List'!$H$4:$H$252,0),0)</f>
        <v>0</v>
      </c>
      <c r="O2635" s="169">
        <f>IFERROR(MATCH(J2635,'Final List'!$J$4:$J$252,0),0)</f>
        <v>0</v>
      </c>
      <c r="P2635" s="169">
        <f>IFERROR(MATCH(J2635,'Final List'!$L$4:$L$252,0),0)</f>
        <v>0</v>
      </c>
      <c r="Q2635" s="169">
        <f>IFERROR(MATCH(J2635,'Final List'!$N$4:$N$252,0),0)</f>
        <v>0</v>
      </c>
      <c r="R2635" s="169">
        <f>IFERROR(MATCH(J2635,'Final List'!$P$4:$P$252,0),0)</f>
        <v>0</v>
      </c>
      <c r="S2635" s="169">
        <f t="shared" si="168"/>
        <v>0</v>
      </c>
      <c r="V2635" s="169" t="str">
        <f t="shared" si="165"/>
        <v>DUHIG, P3</v>
      </c>
      <c r="W2635" s="169" t="s">
        <v>8896</v>
      </c>
    </row>
    <row r="2636" spans="2:23" x14ac:dyDescent="0.25">
      <c r="B2636" s="169" t="s">
        <v>1167</v>
      </c>
      <c r="C2636" s="169" t="s">
        <v>43</v>
      </c>
      <c r="D2636" s="169" t="s">
        <v>5723</v>
      </c>
      <c r="E2636" s="169" t="s">
        <v>60</v>
      </c>
      <c r="F2636" s="245" t="str">
        <f t="shared" si="167"/>
        <v>Dhoz 71</v>
      </c>
      <c r="G2636" s="169" t="s">
        <v>636</v>
      </c>
      <c r="H2636" s="169" t="s">
        <v>12280</v>
      </c>
      <c r="I2636" s="169" t="str">
        <f t="shared" si="166"/>
        <v>L12_GHVSPLIT_046E_DE</v>
      </c>
      <c r="J2636" s="169" t="s">
        <v>11474</v>
      </c>
      <c r="K2636" s="169">
        <f>IFERROR(MATCH(J2636,'Final List'!$B$4:$B$252,0),0)</f>
        <v>0</v>
      </c>
      <c r="L2636" s="169">
        <f>IFERROR(MATCH(J2636,'Final List'!$D$4:$D$252,0),0)</f>
        <v>0</v>
      </c>
      <c r="M2636" s="169">
        <f>IFERROR(MATCH(J2636,'Final List'!$F$4:$F$251,0),0)</f>
        <v>0</v>
      </c>
      <c r="N2636" s="169">
        <f>IFERROR(MATCH(J2636,'Final List'!$H$4:$H$252,0),0)</f>
        <v>0</v>
      </c>
      <c r="O2636" s="169">
        <f>IFERROR(MATCH(J2636,'Final List'!$J$4:$J$252,0),0)</f>
        <v>0</v>
      </c>
      <c r="P2636" s="169">
        <f>IFERROR(MATCH(J2636,'Final List'!$L$4:$L$252,0),0)</f>
        <v>0</v>
      </c>
      <c r="Q2636" s="169">
        <f>IFERROR(MATCH(J2636,'Final List'!$N$4:$N$252,0),0)</f>
        <v>0</v>
      </c>
      <c r="R2636" s="169">
        <f>IFERROR(MATCH(J2636,'Final List'!$P$4:$P$252,0),0)</f>
        <v>0</v>
      </c>
      <c r="S2636" s="169">
        <f t="shared" si="168"/>
        <v>0</v>
      </c>
      <c r="V2636" s="169" t="str">
        <f t="shared" si="165"/>
        <v>NITRO BF 6</v>
      </c>
      <c r="W2636" s="169" t="s">
        <v>8896</v>
      </c>
    </row>
    <row r="2637" spans="2:23" x14ac:dyDescent="0.25">
      <c r="B2637" s="169" t="s">
        <v>96</v>
      </c>
      <c r="C2637" s="169" t="s">
        <v>57</v>
      </c>
      <c r="D2637" s="169" t="s">
        <v>5723</v>
      </c>
      <c r="E2637" s="169" t="s">
        <v>20</v>
      </c>
      <c r="F2637" s="245" t="str">
        <f t="shared" si="167"/>
        <v>DVW 74</v>
      </c>
      <c r="G2637" s="169" t="s">
        <v>344</v>
      </c>
      <c r="I2637" s="169" t="str">
        <f t="shared" si="166"/>
        <v>L09_JVSPLIT_046E_WINZE</v>
      </c>
      <c r="J2637" s="169" t="s">
        <v>11482</v>
      </c>
      <c r="K2637" s="169">
        <f>IFERROR(MATCH(J2637,'Final List'!$B$4:$B$252,0),0)</f>
        <v>0</v>
      </c>
      <c r="L2637" s="169">
        <f>IFERROR(MATCH(J2637,'Final List'!$D$4:$D$252,0),0)</f>
        <v>0</v>
      </c>
      <c r="M2637" s="169">
        <f>IFERROR(MATCH(J2637,'Final List'!$F$4:$F$251,0),0)</f>
        <v>0</v>
      </c>
      <c r="N2637" s="169">
        <f>IFERROR(MATCH(J2637,'Final List'!$H$4:$H$252,0),0)</f>
        <v>0</v>
      </c>
      <c r="O2637" s="169">
        <f>IFERROR(MATCH(J2637,'Final List'!$J$4:$J$252,0),0)</f>
        <v>0</v>
      </c>
      <c r="P2637" s="169">
        <f>IFERROR(MATCH(J2637,'Final List'!$L$4:$L$252,0),0)</f>
        <v>0</v>
      </c>
      <c r="Q2637" s="169">
        <f>IFERROR(MATCH(J2637,'Final List'!$N$4:$N$252,0),0)</f>
        <v>0</v>
      </c>
      <c r="R2637" s="169">
        <f>IFERROR(MATCH(J2637,'Final List'!$P$4:$P$252,0),0)</f>
        <v>0</v>
      </c>
      <c r="S2637" s="169">
        <f t="shared" si="168"/>
        <v>0</v>
      </c>
      <c r="V2637" s="169" t="str">
        <f t="shared" si="165"/>
        <v>UDLOS 1</v>
      </c>
      <c r="W2637" s="169" t="s">
        <v>2706</v>
      </c>
    </row>
    <row r="2638" spans="2:23" x14ac:dyDescent="0.25">
      <c r="B2638" s="169" t="s">
        <v>96</v>
      </c>
      <c r="C2638" s="169" t="s">
        <v>45</v>
      </c>
      <c r="D2638" s="169" t="s">
        <v>175</v>
      </c>
      <c r="E2638" s="169" t="s">
        <v>62</v>
      </c>
      <c r="F2638" s="245" t="str">
        <f t="shared" si="167"/>
        <v>RobS 79</v>
      </c>
      <c r="G2638" s="169" t="s">
        <v>10888</v>
      </c>
      <c r="I2638" s="169" t="str">
        <f t="shared" si="166"/>
        <v>L09_DPVE_060E_ROBBING</v>
      </c>
      <c r="J2638" s="169" t="s">
        <v>11483</v>
      </c>
      <c r="K2638" s="169">
        <f>IFERROR(MATCH(J2638,'Final List'!$B$4:$B$252,0),0)</f>
        <v>0</v>
      </c>
      <c r="L2638" s="169">
        <f>IFERROR(MATCH(J2638,'Final List'!$D$4:$D$252,0),0)</f>
        <v>0</v>
      </c>
      <c r="M2638" s="169">
        <f>IFERROR(MATCH(J2638,'Final List'!$F$4:$F$251,0),0)</f>
        <v>0</v>
      </c>
      <c r="N2638" s="169">
        <f>IFERROR(MATCH(J2638,'Final List'!$H$4:$H$252,0),0)</f>
        <v>0</v>
      </c>
      <c r="O2638" s="169">
        <f>IFERROR(MATCH(J2638,'Final List'!$J$4:$J$252,0),0)</f>
        <v>0</v>
      </c>
      <c r="P2638" s="169">
        <f>IFERROR(MATCH(J2638,'Final List'!$L$4:$L$252,0),0)</f>
        <v>0</v>
      </c>
      <c r="Q2638" s="169">
        <f>IFERROR(MATCH(J2638,'Final List'!$N$4:$N$252,0),0)</f>
        <v>0</v>
      </c>
      <c r="R2638" s="169">
        <f>IFERROR(MATCH(J2638,'Final List'!$P$4:$P$252,0),0)</f>
        <v>0</v>
      </c>
      <c r="S2638" s="169">
        <f t="shared" si="168"/>
        <v>0</v>
      </c>
      <c r="T2638" s="169" t="s">
        <v>68</v>
      </c>
      <c r="V2638" s="169" t="str">
        <f t="shared" si="165"/>
        <v>SHEPHERD BE 1</v>
      </c>
      <c r="W2638" s="169" t="s">
        <v>2707</v>
      </c>
    </row>
    <row r="2639" spans="2:23" x14ac:dyDescent="0.25">
      <c r="B2639" s="169" t="s">
        <v>95</v>
      </c>
      <c r="C2639" s="169" t="s">
        <v>45</v>
      </c>
      <c r="D2639" s="169" t="s">
        <v>5975</v>
      </c>
      <c r="E2639" s="169" t="s">
        <v>20</v>
      </c>
      <c r="F2639" s="245" t="str">
        <f t="shared" si="167"/>
        <v>DVW 74</v>
      </c>
      <c r="G2639" s="169" t="s">
        <v>1606</v>
      </c>
      <c r="H2639" s="169" t="s">
        <v>6925</v>
      </c>
      <c r="I2639" s="169" t="str">
        <f t="shared" si="166"/>
        <v>L08_DPVE_028E_WINZE</v>
      </c>
      <c r="J2639" s="169" t="s">
        <v>11484</v>
      </c>
      <c r="K2639" s="169">
        <f>IFERROR(MATCH(J2639,'Final List'!$B$4:$B$252,0),0)</f>
        <v>0</v>
      </c>
      <c r="L2639" s="169">
        <f>IFERROR(MATCH(J2639,'Final List'!$D$4:$D$252,0),0)</f>
        <v>0</v>
      </c>
      <c r="M2639" s="169">
        <f>IFERROR(MATCH(J2639,'Final List'!$F$4:$F$251,0),0)</f>
        <v>0</v>
      </c>
      <c r="N2639" s="169">
        <f>IFERROR(MATCH(J2639,'Final List'!$H$4:$H$252,0),0)</f>
        <v>0</v>
      </c>
      <c r="O2639" s="169">
        <f>IFERROR(MATCH(J2639,'Final List'!$J$4:$J$252,0),0)</f>
        <v>0</v>
      </c>
      <c r="P2639" s="169">
        <f>IFERROR(MATCH(J2639,'Final List'!$L$4:$L$252,0),0)</f>
        <v>0</v>
      </c>
      <c r="Q2639" s="169">
        <f>IFERROR(MATCH(J2639,'Final List'!$N$4:$N$252,0),0)</f>
        <v>0</v>
      </c>
      <c r="R2639" s="169">
        <f>IFERROR(MATCH(J2639,'Final List'!$P$4:$P$252,0),0)</f>
        <v>0</v>
      </c>
      <c r="S2639" s="169">
        <f t="shared" si="168"/>
        <v>0</v>
      </c>
      <c r="V2639" s="169" t="str">
        <f t="shared" si="165"/>
        <v>CAPUYAN 1</v>
      </c>
      <c r="W2639" s="169" t="s">
        <v>2706</v>
      </c>
    </row>
    <row r="2640" spans="2:23" x14ac:dyDescent="0.25">
      <c r="B2640" s="169" t="s">
        <v>96</v>
      </c>
      <c r="C2640" s="169" t="s">
        <v>42</v>
      </c>
      <c r="D2640" s="169" t="s">
        <v>130</v>
      </c>
      <c r="E2640" s="169" t="s">
        <v>19</v>
      </c>
      <c r="F2640" s="245" t="str">
        <f t="shared" si="167"/>
        <v>DVR 72</v>
      </c>
      <c r="G2640" s="169" t="s">
        <v>1510</v>
      </c>
      <c r="I2640" s="169" t="str">
        <f t="shared" si="166"/>
        <v>L09_JV_036E_RAISE</v>
      </c>
      <c r="J2640" s="169" t="s">
        <v>11581</v>
      </c>
      <c r="K2640" s="169">
        <f>IFERROR(MATCH(J2640,'Final List'!$B$4:$B$252,0),0)</f>
        <v>0</v>
      </c>
      <c r="L2640" s="169">
        <f>IFERROR(MATCH(J2640,'Final List'!$D$4:$D$252,0),0)</f>
        <v>0</v>
      </c>
      <c r="M2640" s="169">
        <f>IFERROR(MATCH(J2640,'Final List'!$F$4:$F$251,0),0)</f>
        <v>0</v>
      </c>
      <c r="N2640" s="169">
        <f>IFERROR(MATCH(J2640,'Final List'!$H$4:$H$252,0),0)</f>
        <v>0</v>
      </c>
      <c r="O2640" s="169">
        <f>IFERROR(MATCH(J2640,'Final List'!$J$4:$J$252,0),0)</f>
        <v>0</v>
      </c>
      <c r="P2640" s="169">
        <f>IFERROR(MATCH(J2640,'Final List'!$L$4:$L$252,0),0)</f>
        <v>0</v>
      </c>
      <c r="Q2640" s="169">
        <f>IFERROR(MATCH(J2640,'Final List'!$N$4:$N$252,0),0)</f>
        <v>0</v>
      </c>
      <c r="R2640" s="169">
        <f>IFERROR(MATCH(J2640,'Final List'!$P$4:$P$252,0),0)</f>
        <v>0</v>
      </c>
      <c r="S2640" s="169">
        <f t="shared" si="168"/>
        <v>0</v>
      </c>
      <c r="V2640" s="169" t="str">
        <f t="shared" si="165"/>
        <v>DELOS REYES</v>
      </c>
      <c r="W2640" s="169" t="s">
        <v>2715</v>
      </c>
    </row>
    <row r="2641" spans="2:23" x14ac:dyDescent="0.25">
      <c r="B2641" s="169" t="s">
        <v>258</v>
      </c>
      <c r="C2641" s="169" t="s">
        <v>43</v>
      </c>
      <c r="D2641" s="169" t="s">
        <v>142</v>
      </c>
      <c r="E2641" s="169" t="s">
        <v>19</v>
      </c>
      <c r="F2641" s="245" t="str">
        <f t="shared" si="167"/>
        <v>DVR 72</v>
      </c>
      <c r="G2641" s="169" t="s">
        <v>317</v>
      </c>
      <c r="I2641" s="169" t="str">
        <f t="shared" si="166"/>
        <v>L10_GHVSPLIT_038E_RAISE</v>
      </c>
      <c r="J2641" s="169" t="s">
        <v>11560</v>
      </c>
      <c r="K2641" s="169">
        <f>IFERROR(MATCH(J2641,'Final List'!$B$4:$B$252,0),0)</f>
        <v>0</v>
      </c>
      <c r="L2641" s="169">
        <f>IFERROR(MATCH(J2641,'Final List'!$D$4:$D$252,0),0)</f>
        <v>0</v>
      </c>
      <c r="M2641" s="169">
        <f>IFERROR(MATCH(J2641,'Final List'!$F$4:$F$251,0),0)</f>
        <v>0</v>
      </c>
      <c r="N2641" s="169">
        <f>IFERROR(MATCH(J2641,'Final List'!$H$4:$H$252,0),0)</f>
        <v>0</v>
      </c>
      <c r="O2641" s="169">
        <f>IFERROR(MATCH(J2641,'Final List'!$J$4:$J$252,0),0)</f>
        <v>0</v>
      </c>
      <c r="P2641" s="169">
        <f>IFERROR(MATCH(J2641,'Final List'!$L$4:$L$252,0),0)</f>
        <v>0</v>
      </c>
      <c r="Q2641" s="169">
        <f>IFERROR(MATCH(J2641,'Final List'!$N$4:$N$252,0),0)</f>
        <v>0</v>
      </c>
      <c r="R2641" s="169">
        <f>IFERROR(MATCH(J2641,'Final List'!$P$4:$P$252,0),0)</f>
        <v>0</v>
      </c>
      <c r="S2641" s="169">
        <f t="shared" si="168"/>
        <v>0</v>
      </c>
      <c r="V2641" s="169" t="str">
        <f t="shared" si="165"/>
        <v>PARAGUYA 2</v>
      </c>
      <c r="W2641" s="169" t="s">
        <v>2715</v>
      </c>
    </row>
    <row r="2642" spans="2:23" x14ac:dyDescent="0.25">
      <c r="B2642" s="169" t="s">
        <v>95</v>
      </c>
      <c r="C2642" s="169" t="s">
        <v>57</v>
      </c>
      <c r="D2642" s="169" t="s">
        <v>198</v>
      </c>
      <c r="E2642" s="169" t="s">
        <v>6154</v>
      </c>
      <c r="F2642" s="245" t="str">
        <f t="shared" si="167"/>
        <v>Dhoz 71</v>
      </c>
      <c r="G2642" s="169" t="s">
        <v>380</v>
      </c>
      <c r="I2642" s="169" t="str">
        <f t="shared" si="166"/>
        <v>L08_JVSPLIT_069E_DW_ISL</v>
      </c>
      <c r="J2642" s="169" t="s">
        <v>11489</v>
      </c>
      <c r="K2642" s="169">
        <f>IFERROR(MATCH(J2642,'Final List'!$B$4:$B$252,0),0)</f>
        <v>0</v>
      </c>
      <c r="L2642" s="169">
        <f>IFERROR(MATCH(J2642,'Final List'!$D$4:$D$252,0),0)</f>
        <v>0</v>
      </c>
      <c r="M2642" s="169">
        <f>IFERROR(MATCH(J2642,'Final List'!$F$4:$F$251,0),0)</f>
        <v>0</v>
      </c>
      <c r="N2642" s="169">
        <f>IFERROR(MATCH(J2642,'Final List'!$H$4:$H$252,0),0)</f>
        <v>0</v>
      </c>
      <c r="O2642" s="169">
        <f>IFERROR(MATCH(J2642,'Final List'!$J$4:$J$252,0),0)</f>
        <v>0</v>
      </c>
      <c r="P2642" s="169">
        <f>IFERROR(MATCH(J2642,'Final List'!$L$4:$L$252,0),0)</f>
        <v>0</v>
      </c>
      <c r="Q2642" s="169">
        <f>IFERROR(MATCH(J2642,'Final List'!$N$4:$N$252,0),0)</f>
        <v>0</v>
      </c>
      <c r="R2642" s="169">
        <f>IFERROR(MATCH(J2642,'Final List'!$P$4:$P$252,0),0)</f>
        <v>0</v>
      </c>
      <c r="S2642" s="169">
        <f t="shared" si="168"/>
        <v>0</v>
      </c>
      <c r="V2642" s="169" t="str">
        <f t="shared" si="165"/>
        <v>AGLOLO 1</v>
      </c>
      <c r="W2642" s="169" t="s">
        <v>2708</v>
      </c>
    </row>
    <row r="2643" spans="2:23" x14ac:dyDescent="0.25">
      <c r="B2643" s="169" t="s">
        <v>91</v>
      </c>
      <c r="C2643" s="169" t="s">
        <v>42</v>
      </c>
      <c r="D2643" s="169" t="s">
        <v>100</v>
      </c>
      <c r="E2643" s="169" t="s">
        <v>62</v>
      </c>
      <c r="F2643" s="245" t="str">
        <f t="shared" si="167"/>
        <v>RobS 79</v>
      </c>
      <c r="G2643" s="169" t="s">
        <v>10123</v>
      </c>
      <c r="I2643" s="169" t="str">
        <f t="shared" si="166"/>
        <v>L04_JV_020W_ROBBING</v>
      </c>
      <c r="J2643" s="169" t="s">
        <v>3626</v>
      </c>
      <c r="K2643" s="169">
        <f>IFERROR(MATCH(J2643,'Final List'!$B$4:$B$252,0),0)</f>
        <v>0</v>
      </c>
      <c r="L2643" s="169">
        <f>IFERROR(MATCH(J2643,'Final List'!$D$4:$D$252,0),0)</f>
        <v>0</v>
      </c>
      <c r="M2643" s="169">
        <f>IFERROR(MATCH(J2643,'Final List'!$F$4:$F$251,0),0)</f>
        <v>0</v>
      </c>
      <c r="N2643" s="169">
        <f>IFERROR(MATCH(J2643,'Final List'!$H$4:$H$252,0),0)</f>
        <v>0</v>
      </c>
      <c r="O2643" s="169">
        <f>IFERROR(MATCH(J2643,'Final List'!$J$4:$J$252,0),0)</f>
        <v>0</v>
      </c>
      <c r="P2643" s="169">
        <f>IFERROR(MATCH(J2643,'Final List'!$L$4:$L$252,0),0)</f>
        <v>0</v>
      </c>
      <c r="Q2643" s="169">
        <f>IFERROR(MATCH(J2643,'Final List'!$N$4:$N$252,0),0)</f>
        <v>0</v>
      </c>
      <c r="R2643" s="169">
        <f>IFERROR(MATCH(J2643,'Final List'!$P$4:$P$252,0),0)</f>
        <v>0</v>
      </c>
      <c r="S2643" s="169">
        <f t="shared" si="168"/>
        <v>0</v>
      </c>
      <c r="T2643" s="169" t="s">
        <v>68</v>
      </c>
      <c r="V2643" s="169" t="str">
        <f t="shared" si="165"/>
        <v>MARTINEZ, DN 4</v>
      </c>
      <c r="W2643" s="169" t="s">
        <v>2707</v>
      </c>
    </row>
    <row r="2644" spans="2:23" x14ac:dyDescent="0.25">
      <c r="B2644" s="169" t="s">
        <v>258</v>
      </c>
      <c r="C2644" s="169" t="s">
        <v>87</v>
      </c>
      <c r="D2644" s="169" t="s">
        <v>10249</v>
      </c>
      <c r="E2644" s="169" t="s">
        <v>63</v>
      </c>
      <c r="F2644" s="245" t="str">
        <f t="shared" si="167"/>
        <v>Dhoz 71</v>
      </c>
      <c r="G2644" s="169" t="s">
        <v>5697</v>
      </c>
      <c r="I2644" s="169" t="str">
        <f t="shared" si="166"/>
        <v>L10_NONE_097E_XCS</v>
      </c>
      <c r="J2644" s="169" t="s">
        <v>11506</v>
      </c>
      <c r="K2644" s="169">
        <f>IFERROR(MATCH(J2644,'Final List'!$B$4:$B$252,0),0)</f>
        <v>0</v>
      </c>
      <c r="L2644" s="169">
        <f>IFERROR(MATCH(J2644,'Final List'!$D$4:$D$252,0),0)</f>
        <v>0</v>
      </c>
      <c r="M2644" s="169">
        <f>IFERROR(MATCH(J2644,'Final List'!$F$4:$F$251,0),0)</f>
        <v>0</v>
      </c>
      <c r="N2644" s="169">
        <f>IFERROR(MATCH(J2644,'Final List'!$H$4:$H$252,0),0)</f>
        <v>0</v>
      </c>
      <c r="O2644" s="169">
        <f>IFERROR(MATCH(J2644,'Final List'!$J$4:$J$252,0),0)</f>
        <v>0</v>
      </c>
      <c r="P2644" s="169">
        <f>IFERROR(MATCH(J2644,'Final List'!$L$4:$L$252,0),0)</f>
        <v>0</v>
      </c>
      <c r="Q2644" s="169">
        <f>IFERROR(MATCH(J2644,'Final List'!$N$4:$N$252,0),0)</f>
        <v>0</v>
      </c>
      <c r="R2644" s="169">
        <f>IFERROR(MATCH(J2644,'Final List'!$P$4:$P$252,0),0)</f>
        <v>0</v>
      </c>
      <c r="S2644" s="169">
        <f t="shared" si="168"/>
        <v>0</v>
      </c>
      <c r="V2644" s="169" t="str">
        <f t="shared" si="165"/>
        <v>OLIVEROS 1</v>
      </c>
      <c r="W2644" s="169" t="s">
        <v>2714</v>
      </c>
    </row>
    <row r="2645" spans="2:23" x14ac:dyDescent="0.25">
      <c r="B2645" s="169" t="s">
        <v>95</v>
      </c>
      <c r="C2645" s="169" t="s">
        <v>57</v>
      </c>
      <c r="D2645" s="169" t="s">
        <v>226</v>
      </c>
      <c r="E2645" s="169" t="s">
        <v>6143</v>
      </c>
      <c r="F2645" s="245" t="str">
        <f t="shared" si="167"/>
        <v>Dhoz 71</v>
      </c>
      <c r="G2645" s="169" t="s">
        <v>583</v>
      </c>
      <c r="I2645" s="169" t="str">
        <f t="shared" si="166"/>
        <v>L08_JVSPLIT_074E_DE_ISL</v>
      </c>
      <c r="J2645" s="169" t="s">
        <v>11507</v>
      </c>
      <c r="K2645" s="169">
        <f>IFERROR(MATCH(J2645,'Final List'!$B$4:$B$252,0),0)</f>
        <v>0</v>
      </c>
      <c r="L2645" s="169">
        <f>IFERROR(MATCH(J2645,'Final List'!$D$4:$D$252,0),0)</f>
        <v>0</v>
      </c>
      <c r="M2645" s="169">
        <f>IFERROR(MATCH(J2645,'Final List'!$F$4:$F$251,0),0)</f>
        <v>0</v>
      </c>
      <c r="N2645" s="169">
        <f>IFERROR(MATCH(J2645,'Final List'!$H$4:$H$252,0),0)</f>
        <v>0</v>
      </c>
      <c r="O2645" s="169">
        <f>IFERROR(MATCH(J2645,'Final List'!$J$4:$J$252,0),0)</f>
        <v>0</v>
      </c>
      <c r="P2645" s="169">
        <f>IFERROR(MATCH(J2645,'Final List'!$L$4:$L$252,0),0)</f>
        <v>0</v>
      </c>
      <c r="Q2645" s="169">
        <f>IFERROR(MATCH(J2645,'Final List'!$N$4:$N$252,0),0)</f>
        <v>0</v>
      </c>
      <c r="R2645" s="169">
        <f>IFERROR(MATCH(J2645,'Final List'!$P$4:$P$252,0),0)</f>
        <v>0</v>
      </c>
      <c r="S2645" s="169">
        <f t="shared" si="168"/>
        <v>0</v>
      </c>
      <c r="V2645" s="169" t="str">
        <f t="shared" si="165"/>
        <v>VILLARANTE 1</v>
      </c>
      <c r="W2645" s="169" t="s">
        <v>2708</v>
      </c>
    </row>
    <row r="2646" spans="2:23" x14ac:dyDescent="0.25">
      <c r="B2646" s="169" t="s">
        <v>8904</v>
      </c>
      <c r="C2646" s="169" t="s">
        <v>41</v>
      </c>
      <c r="D2646" s="169" t="s">
        <v>98</v>
      </c>
      <c r="E2646" s="169" t="s">
        <v>62</v>
      </c>
      <c r="F2646" s="245" t="str">
        <f t="shared" si="167"/>
        <v>RobS 79</v>
      </c>
      <c r="G2646" s="169" t="s">
        <v>9455</v>
      </c>
      <c r="I2646" s="169" t="str">
        <f t="shared" si="166"/>
        <v>L03_CTV_014W_ROBBING</v>
      </c>
      <c r="J2646" s="169" t="s">
        <v>11509</v>
      </c>
      <c r="K2646" s="169">
        <f>IFERROR(MATCH(J2646,'Final List'!$B$4:$B$252,0),0)</f>
        <v>0</v>
      </c>
      <c r="L2646" s="169">
        <f>IFERROR(MATCH(J2646,'Final List'!$D$4:$D$252,0),0)</f>
        <v>0</v>
      </c>
      <c r="M2646" s="169">
        <f>IFERROR(MATCH(J2646,'Final List'!$F$4:$F$251,0),0)</f>
        <v>0</v>
      </c>
      <c r="N2646" s="169">
        <f>IFERROR(MATCH(J2646,'Final List'!$H$4:$H$252,0),0)</f>
        <v>0</v>
      </c>
      <c r="O2646" s="169">
        <f>IFERROR(MATCH(J2646,'Final List'!$J$4:$J$252,0),0)</f>
        <v>0</v>
      </c>
      <c r="P2646" s="169">
        <f>IFERROR(MATCH(J2646,'Final List'!$L$4:$L$252,0),0)</f>
        <v>0</v>
      </c>
      <c r="Q2646" s="169">
        <f>IFERROR(MATCH(J2646,'Final List'!$N$4:$N$252,0),0)</f>
        <v>0</v>
      </c>
      <c r="R2646" s="169">
        <f>IFERROR(MATCH(J2646,'Final List'!$P$4:$P$252,0),0)</f>
        <v>0</v>
      </c>
      <c r="S2646" s="169">
        <f t="shared" si="168"/>
        <v>0</v>
      </c>
      <c r="T2646" s="169" t="s">
        <v>68</v>
      </c>
      <c r="V2646" s="169" t="str">
        <f t="shared" si="165"/>
        <v>FERNANDEZ, RM 4</v>
      </c>
      <c r="W2646" s="169" t="s">
        <v>236</v>
      </c>
    </row>
    <row r="2647" spans="2:23" x14ac:dyDescent="0.25">
      <c r="B2647" s="169" t="s">
        <v>1167</v>
      </c>
      <c r="C2647" s="169" t="s">
        <v>87</v>
      </c>
      <c r="D2647" s="169" t="s">
        <v>5614</v>
      </c>
      <c r="E2647" s="169" t="s">
        <v>37</v>
      </c>
      <c r="F2647" s="245" t="str">
        <f t="shared" si="167"/>
        <v>Dhoz 71</v>
      </c>
      <c r="G2647" s="169" t="s">
        <v>6930</v>
      </c>
      <c r="I2647" s="169" t="str">
        <f t="shared" si="166"/>
        <v>L12_NONE_055E_XCN</v>
      </c>
      <c r="J2647" s="169" t="s">
        <v>11510</v>
      </c>
      <c r="K2647" s="169">
        <f>IFERROR(MATCH(J2647,'Final List'!$B$4:$B$252,0),0)</f>
        <v>0</v>
      </c>
      <c r="L2647" s="169">
        <f>IFERROR(MATCH(J2647,'Final List'!$D$4:$D$252,0),0)</f>
        <v>0</v>
      </c>
      <c r="M2647" s="169">
        <f>IFERROR(MATCH(J2647,'Final List'!$F$4:$F$251,0),0)</f>
        <v>0</v>
      </c>
      <c r="N2647" s="169">
        <f>IFERROR(MATCH(J2647,'Final List'!$H$4:$H$252,0),0)</f>
        <v>0</v>
      </c>
      <c r="O2647" s="169">
        <f>IFERROR(MATCH(J2647,'Final List'!$J$4:$J$252,0),0)</f>
        <v>0</v>
      </c>
      <c r="P2647" s="169">
        <f>IFERROR(MATCH(J2647,'Final List'!$L$4:$L$252,0),0)</f>
        <v>0</v>
      </c>
      <c r="Q2647" s="169">
        <f>IFERROR(MATCH(J2647,'Final List'!$N$4:$N$252,0),0)</f>
        <v>0</v>
      </c>
      <c r="R2647" s="169">
        <f>IFERROR(MATCH(J2647,'Final List'!$P$4:$P$252,0),0)</f>
        <v>0</v>
      </c>
      <c r="S2647" s="169">
        <f t="shared" si="168"/>
        <v>0</v>
      </c>
      <c r="V2647" s="169" t="str">
        <f t="shared" si="165"/>
        <v>DUHIG, P1</v>
      </c>
      <c r="W2647" s="169" t="s">
        <v>8898</v>
      </c>
    </row>
    <row r="2648" spans="2:23" x14ac:dyDescent="0.25">
      <c r="B2648" s="169" t="s">
        <v>8904</v>
      </c>
      <c r="C2648" s="169" t="s">
        <v>57</v>
      </c>
      <c r="D2648" s="169" t="s">
        <v>5844</v>
      </c>
      <c r="E2648" s="169" t="s">
        <v>62</v>
      </c>
      <c r="F2648" s="245" t="str">
        <f t="shared" si="167"/>
        <v>RobS 79</v>
      </c>
      <c r="G2648" s="169" t="s">
        <v>9349</v>
      </c>
      <c r="I2648" s="169" t="str">
        <f t="shared" si="166"/>
        <v>L03_JVSPLIT_009W_ROBBING</v>
      </c>
      <c r="J2648" s="169" t="s">
        <v>11511</v>
      </c>
      <c r="K2648" s="169">
        <f>IFERROR(MATCH(J2648,'Final List'!$B$4:$B$252,0),0)</f>
        <v>0</v>
      </c>
      <c r="L2648" s="169">
        <f>IFERROR(MATCH(J2648,'Final List'!$D$4:$D$252,0),0)</f>
        <v>0</v>
      </c>
      <c r="M2648" s="169">
        <f>IFERROR(MATCH(J2648,'Final List'!$F$4:$F$251,0),0)</f>
        <v>0</v>
      </c>
      <c r="N2648" s="169">
        <f>IFERROR(MATCH(J2648,'Final List'!$H$4:$H$252,0),0)</f>
        <v>0</v>
      </c>
      <c r="O2648" s="169">
        <f>IFERROR(MATCH(J2648,'Final List'!$J$4:$J$252,0),0)</f>
        <v>0</v>
      </c>
      <c r="P2648" s="169">
        <f>IFERROR(MATCH(J2648,'Final List'!$L$4:$L$252,0),0)</f>
        <v>0</v>
      </c>
      <c r="Q2648" s="169">
        <f>IFERROR(MATCH(J2648,'Final List'!$N$4:$N$252,0),0)</f>
        <v>0</v>
      </c>
      <c r="R2648" s="169">
        <f>IFERROR(MATCH(J2648,'Final List'!$P$4:$P$252,0),0)</f>
        <v>0</v>
      </c>
      <c r="S2648" s="169">
        <f t="shared" si="168"/>
        <v>0</v>
      </c>
      <c r="T2648" s="169" t="s">
        <v>68</v>
      </c>
      <c r="V2648" s="169" t="str">
        <f t="shared" si="165"/>
        <v>FERNANDEZ, RM 3</v>
      </c>
      <c r="W2648" s="169" t="s">
        <v>236</v>
      </c>
    </row>
    <row r="2649" spans="2:23" x14ac:dyDescent="0.25">
      <c r="B2649" s="169" t="s">
        <v>95</v>
      </c>
      <c r="C2649" s="169" t="s">
        <v>57</v>
      </c>
      <c r="D2649" s="169" t="s">
        <v>198</v>
      </c>
      <c r="E2649" s="169" t="s">
        <v>6143</v>
      </c>
      <c r="F2649" s="245" t="str">
        <f t="shared" si="167"/>
        <v>Dhoz 71</v>
      </c>
      <c r="G2649" s="169" t="s">
        <v>380</v>
      </c>
      <c r="I2649" s="169" t="str">
        <f t="shared" si="166"/>
        <v>L08_JVSPLIT_069E_DE_ISL</v>
      </c>
      <c r="J2649" s="169" t="s">
        <v>11516</v>
      </c>
      <c r="K2649" s="169">
        <f>IFERROR(MATCH(J2649,'Final List'!$B$4:$B$252,0),0)</f>
        <v>0</v>
      </c>
      <c r="L2649" s="169">
        <f>IFERROR(MATCH(J2649,'Final List'!$D$4:$D$252,0),0)</f>
        <v>0</v>
      </c>
      <c r="M2649" s="169">
        <f>IFERROR(MATCH(J2649,'Final List'!$F$4:$F$251,0),0)</f>
        <v>0</v>
      </c>
      <c r="N2649" s="169">
        <f>IFERROR(MATCH(J2649,'Final List'!$H$4:$H$252,0),0)</f>
        <v>0</v>
      </c>
      <c r="O2649" s="169">
        <f>IFERROR(MATCH(J2649,'Final List'!$J$4:$J$252,0),0)</f>
        <v>0</v>
      </c>
      <c r="P2649" s="169">
        <f>IFERROR(MATCH(J2649,'Final List'!$L$4:$L$252,0),0)</f>
        <v>0</v>
      </c>
      <c r="Q2649" s="169">
        <f>IFERROR(MATCH(J2649,'Final List'!$N$4:$N$252,0),0)</f>
        <v>0</v>
      </c>
      <c r="R2649" s="169">
        <f>IFERROR(MATCH(J2649,'Final List'!$P$4:$P$252,0),0)</f>
        <v>0</v>
      </c>
      <c r="S2649" s="169">
        <f t="shared" si="168"/>
        <v>0</v>
      </c>
      <c r="V2649" s="169" t="str">
        <f t="shared" si="165"/>
        <v>AGLOLO 1</v>
      </c>
      <c r="W2649" s="169" t="s">
        <v>2708</v>
      </c>
    </row>
    <row r="2650" spans="2:23" x14ac:dyDescent="0.25">
      <c r="B2650" s="169" t="s">
        <v>96</v>
      </c>
      <c r="C2650" s="169" t="s">
        <v>45</v>
      </c>
      <c r="D2650" s="169" t="s">
        <v>170</v>
      </c>
      <c r="E2650" s="169" t="s">
        <v>61</v>
      </c>
      <c r="F2650" s="245" t="str">
        <f t="shared" si="167"/>
        <v>Dhoz 71</v>
      </c>
      <c r="G2650" s="169" t="s">
        <v>1661</v>
      </c>
      <c r="H2650" s="169" t="s">
        <v>9352</v>
      </c>
      <c r="I2650" s="169" t="str">
        <f t="shared" si="166"/>
        <v>L09_DPVE_071E_DW</v>
      </c>
      <c r="J2650" s="169" t="s">
        <v>11519</v>
      </c>
      <c r="K2650" s="169">
        <f>IFERROR(MATCH(J2650,'Final List'!$B$4:$B$252,0),0)</f>
        <v>0</v>
      </c>
      <c r="L2650" s="169">
        <f>IFERROR(MATCH(J2650,'Final List'!$D$4:$D$252,0),0)</f>
        <v>0</v>
      </c>
      <c r="M2650" s="169">
        <f>IFERROR(MATCH(J2650,'Final List'!$F$4:$F$251,0),0)</f>
        <v>0</v>
      </c>
      <c r="N2650" s="169">
        <f>IFERROR(MATCH(J2650,'Final List'!$H$4:$H$252,0),0)</f>
        <v>0</v>
      </c>
      <c r="O2650" s="169">
        <f>IFERROR(MATCH(J2650,'Final List'!$J$4:$J$252,0),0)</f>
        <v>0</v>
      </c>
      <c r="P2650" s="169">
        <f>IFERROR(MATCH(J2650,'Final List'!$L$4:$L$252,0),0)</f>
        <v>0</v>
      </c>
      <c r="Q2650" s="169">
        <f>IFERROR(MATCH(J2650,'Final List'!$N$4:$N$252,0),0)</f>
        <v>0</v>
      </c>
      <c r="R2650" s="169">
        <f>IFERROR(MATCH(J2650,'Final List'!$P$4:$P$252,0),0)</f>
        <v>0</v>
      </c>
      <c r="S2650" s="169">
        <f t="shared" si="168"/>
        <v>0</v>
      </c>
      <c r="V2650" s="169" t="str">
        <f t="shared" si="165"/>
        <v>SHEPHERD AA 1</v>
      </c>
      <c r="W2650" s="169" t="s">
        <v>8896</v>
      </c>
    </row>
    <row r="2651" spans="2:23" x14ac:dyDescent="0.25">
      <c r="B2651" s="169" t="s">
        <v>1166</v>
      </c>
      <c r="C2651" s="169" t="s">
        <v>59</v>
      </c>
      <c r="D2651" s="169" t="s">
        <v>167</v>
      </c>
      <c r="E2651" s="169" t="s">
        <v>60</v>
      </c>
      <c r="F2651" s="245" t="str">
        <f t="shared" si="167"/>
        <v>Dhoz 71</v>
      </c>
      <c r="G2651" s="169" t="s">
        <v>551</v>
      </c>
      <c r="I2651" s="169" t="str">
        <f t="shared" si="166"/>
        <v>L11_GHVHW_058E_DE</v>
      </c>
      <c r="J2651" s="169" t="s">
        <v>11526</v>
      </c>
      <c r="K2651" s="169">
        <f>IFERROR(MATCH(J2651,'Final List'!$B$4:$B$252,0),0)</f>
        <v>0</v>
      </c>
      <c r="L2651" s="169">
        <f>IFERROR(MATCH(J2651,'Final List'!$D$4:$D$252,0),0)</f>
        <v>0</v>
      </c>
      <c r="M2651" s="169">
        <f>IFERROR(MATCH(J2651,'Final List'!$F$4:$F$251,0),0)</f>
        <v>0</v>
      </c>
      <c r="N2651" s="169">
        <f>IFERROR(MATCH(J2651,'Final List'!$H$4:$H$252,0),0)</f>
        <v>0</v>
      </c>
      <c r="O2651" s="169">
        <f>IFERROR(MATCH(J2651,'Final List'!$J$4:$J$252,0),0)</f>
        <v>0</v>
      </c>
      <c r="P2651" s="169">
        <f>IFERROR(MATCH(J2651,'Final List'!$L$4:$L$252,0),0)</f>
        <v>0</v>
      </c>
      <c r="Q2651" s="169">
        <f>IFERROR(MATCH(J2651,'Final List'!$N$4:$N$252,0),0)</f>
        <v>0</v>
      </c>
      <c r="R2651" s="169">
        <f>IFERROR(MATCH(J2651,'Final List'!$P$4:$P$252,0),0)</f>
        <v>0</v>
      </c>
      <c r="S2651" s="169">
        <f t="shared" si="168"/>
        <v>0</v>
      </c>
      <c r="V2651" s="169" t="str">
        <f t="shared" si="165"/>
        <v>PANCIT, NOEL 3</v>
      </c>
      <c r="W2651" s="169" t="s">
        <v>8896</v>
      </c>
    </row>
    <row r="2652" spans="2:23" x14ac:dyDescent="0.25">
      <c r="B2652" s="169" t="s">
        <v>96</v>
      </c>
      <c r="C2652" s="169" t="s">
        <v>87</v>
      </c>
      <c r="D2652" s="169" t="s">
        <v>5741</v>
      </c>
      <c r="E2652" s="169" t="s">
        <v>37</v>
      </c>
      <c r="F2652" s="245" t="str">
        <f t="shared" si="167"/>
        <v>Dhoz 71</v>
      </c>
      <c r="G2652" s="169" t="s">
        <v>1661</v>
      </c>
      <c r="I2652" s="169" t="str">
        <f t="shared" si="166"/>
        <v>L09_NONE_035E_XCN</v>
      </c>
      <c r="J2652" s="169" t="s">
        <v>11527</v>
      </c>
      <c r="K2652" s="169">
        <f>IFERROR(MATCH(J2652,'Final List'!$B$4:$B$252,0),0)</f>
        <v>0</v>
      </c>
      <c r="L2652" s="169">
        <f>IFERROR(MATCH(J2652,'Final List'!$D$4:$D$252,0),0)</f>
        <v>0</v>
      </c>
      <c r="M2652" s="169">
        <f>IFERROR(MATCH(J2652,'Final List'!$F$4:$F$251,0),0)</f>
        <v>0</v>
      </c>
      <c r="N2652" s="169">
        <f>IFERROR(MATCH(J2652,'Final List'!$H$4:$H$252,0),0)</f>
        <v>0</v>
      </c>
      <c r="O2652" s="169">
        <f>IFERROR(MATCH(J2652,'Final List'!$J$4:$J$252,0),0)</f>
        <v>0</v>
      </c>
      <c r="P2652" s="169">
        <f>IFERROR(MATCH(J2652,'Final List'!$L$4:$L$252,0),0)</f>
        <v>0</v>
      </c>
      <c r="Q2652" s="169">
        <f>IFERROR(MATCH(J2652,'Final List'!$N$4:$N$252,0),0)</f>
        <v>0</v>
      </c>
      <c r="R2652" s="169">
        <f>IFERROR(MATCH(J2652,'Final List'!$P$4:$P$252,0),0)</f>
        <v>0</v>
      </c>
      <c r="S2652" s="169">
        <f t="shared" si="168"/>
        <v>0</v>
      </c>
      <c r="V2652" s="169" t="str">
        <f t="shared" si="165"/>
        <v>DELOS REYES V2</v>
      </c>
      <c r="W2652" s="169" t="s">
        <v>2714</v>
      </c>
    </row>
    <row r="2653" spans="2:23" x14ac:dyDescent="0.25">
      <c r="B2653" s="169" t="s">
        <v>1166</v>
      </c>
      <c r="C2653" s="169" t="s">
        <v>45</v>
      </c>
      <c r="D2653" s="169" t="s">
        <v>128</v>
      </c>
      <c r="E2653" s="169" t="s">
        <v>60</v>
      </c>
      <c r="F2653" s="245" t="str">
        <f t="shared" si="167"/>
        <v>Dhoz 71</v>
      </c>
      <c r="G2653" s="169" t="s">
        <v>511</v>
      </c>
      <c r="H2653" s="169" t="s">
        <v>447</v>
      </c>
      <c r="I2653" s="169" t="str">
        <f t="shared" si="166"/>
        <v>L11_DPVE_027E_DE</v>
      </c>
      <c r="J2653" s="169" t="s">
        <v>11528</v>
      </c>
      <c r="K2653" s="169">
        <f>IFERROR(MATCH(J2653,'Final List'!$B$4:$B$252,0),0)</f>
        <v>0</v>
      </c>
      <c r="L2653" s="169">
        <f>IFERROR(MATCH(J2653,'Final List'!$D$4:$D$252,0),0)</f>
        <v>0</v>
      </c>
      <c r="M2653" s="169">
        <f>IFERROR(MATCH(J2653,'Final List'!$F$4:$F$251,0),0)</f>
        <v>0</v>
      </c>
      <c r="N2653" s="169">
        <f>IFERROR(MATCH(J2653,'Final List'!$H$4:$H$252,0),0)</f>
        <v>0</v>
      </c>
      <c r="O2653" s="169">
        <f>IFERROR(MATCH(J2653,'Final List'!$J$4:$J$252,0),0)</f>
        <v>0</v>
      </c>
      <c r="P2653" s="169">
        <f>IFERROR(MATCH(J2653,'Final List'!$L$4:$L$252,0),0)</f>
        <v>0</v>
      </c>
      <c r="Q2653" s="169">
        <f>IFERROR(MATCH(J2653,'Final List'!$N$4:$N$252,0),0)</f>
        <v>0</v>
      </c>
      <c r="R2653" s="169">
        <f>IFERROR(MATCH(J2653,'Final List'!$P$4:$P$252,0),0)</f>
        <v>0</v>
      </c>
      <c r="S2653" s="169">
        <f t="shared" si="168"/>
        <v>0</v>
      </c>
      <c r="V2653" s="169" t="str">
        <f t="shared" si="165"/>
        <v>COMAINGKING 1</v>
      </c>
      <c r="W2653" s="169" t="s">
        <v>8896</v>
      </c>
    </row>
    <row r="2654" spans="2:23" x14ac:dyDescent="0.25">
      <c r="B2654" s="169" t="s">
        <v>96</v>
      </c>
      <c r="C2654" s="169" t="s">
        <v>45</v>
      </c>
      <c r="D2654" s="169" t="s">
        <v>6387</v>
      </c>
      <c r="E2654" s="169" t="s">
        <v>62</v>
      </c>
      <c r="F2654" s="245" t="str">
        <f t="shared" si="167"/>
        <v>RobS 79</v>
      </c>
      <c r="G2654" s="169" t="s">
        <v>8201</v>
      </c>
      <c r="I2654" s="169" t="str">
        <f t="shared" si="166"/>
        <v>L09_DPVE_079E_ROBBING</v>
      </c>
      <c r="J2654" s="169" t="s">
        <v>11531</v>
      </c>
      <c r="K2654" s="169">
        <f>IFERROR(MATCH(J2654,'Final List'!$B$4:$B$252,0),0)</f>
        <v>0</v>
      </c>
      <c r="L2654" s="169">
        <f>IFERROR(MATCH(J2654,'Final List'!$D$4:$D$252,0),0)</f>
        <v>0</v>
      </c>
      <c r="M2654" s="169">
        <f>IFERROR(MATCH(J2654,'Final List'!$F$4:$F$251,0),0)</f>
        <v>0</v>
      </c>
      <c r="N2654" s="169">
        <f>IFERROR(MATCH(J2654,'Final List'!$H$4:$H$252,0),0)</f>
        <v>0</v>
      </c>
      <c r="O2654" s="169">
        <f>IFERROR(MATCH(J2654,'Final List'!$J$4:$J$252,0),0)</f>
        <v>0</v>
      </c>
      <c r="P2654" s="169">
        <f>IFERROR(MATCH(J2654,'Final List'!$L$4:$L$252,0),0)</f>
        <v>0</v>
      </c>
      <c r="Q2654" s="169">
        <f>IFERROR(MATCH(J2654,'Final List'!$N$4:$N$252,0),0)</f>
        <v>0</v>
      </c>
      <c r="R2654" s="169">
        <f>IFERROR(MATCH(J2654,'Final List'!$P$4:$P$252,0),0)</f>
        <v>0</v>
      </c>
      <c r="S2654" s="169">
        <f t="shared" si="168"/>
        <v>0</v>
      </c>
      <c r="T2654" s="169" t="s">
        <v>68</v>
      </c>
      <c r="V2654" s="169" t="str">
        <f t="shared" si="165"/>
        <v>PANSIT, NORMAN 1</v>
      </c>
      <c r="W2654" s="169" t="s">
        <v>2707</v>
      </c>
    </row>
    <row r="2655" spans="2:23" x14ac:dyDescent="0.25">
      <c r="B2655" s="169" t="s">
        <v>95</v>
      </c>
      <c r="C2655" s="169" t="s">
        <v>56</v>
      </c>
      <c r="D2655" s="169" t="s">
        <v>107</v>
      </c>
      <c r="E2655" s="169" t="s">
        <v>62</v>
      </c>
      <c r="F2655" s="245" t="str">
        <f t="shared" si="167"/>
        <v>RobS 79</v>
      </c>
      <c r="G2655" s="169" t="s">
        <v>6936</v>
      </c>
      <c r="H2655" s="169" t="s">
        <v>305</v>
      </c>
      <c r="I2655" s="169" t="str">
        <f t="shared" si="166"/>
        <v>L08_GHVFW_032W_ROBBING</v>
      </c>
      <c r="J2655" s="169" t="s">
        <v>11539</v>
      </c>
      <c r="K2655" s="169">
        <f>IFERROR(MATCH(J2655,'Final List'!$B$4:$B$252,0),0)</f>
        <v>0</v>
      </c>
      <c r="L2655" s="169">
        <f>IFERROR(MATCH(J2655,'Final List'!$D$4:$D$252,0),0)</f>
        <v>0</v>
      </c>
      <c r="M2655" s="169">
        <f>IFERROR(MATCH(J2655,'Final List'!$F$4:$F$251,0),0)</f>
        <v>0</v>
      </c>
      <c r="N2655" s="169">
        <f>IFERROR(MATCH(J2655,'Final List'!$H$4:$H$252,0),0)</f>
        <v>0</v>
      </c>
      <c r="O2655" s="169">
        <f>IFERROR(MATCH(J2655,'Final List'!$J$4:$J$252,0),0)</f>
        <v>0</v>
      </c>
      <c r="P2655" s="169">
        <f>IFERROR(MATCH(J2655,'Final List'!$L$4:$L$252,0),0)</f>
        <v>0</v>
      </c>
      <c r="Q2655" s="169">
        <f>IFERROR(MATCH(J2655,'Final List'!$N$4:$N$252,0),0)</f>
        <v>0</v>
      </c>
      <c r="R2655" s="169">
        <f>IFERROR(MATCH(J2655,'Final List'!$P$4:$P$252,0),0)</f>
        <v>0</v>
      </c>
      <c r="S2655" s="169">
        <f t="shared" si="168"/>
        <v>0</v>
      </c>
      <c r="T2655" s="169" t="s">
        <v>68</v>
      </c>
      <c r="V2655" s="169" t="str">
        <f t="shared" si="165"/>
        <v>CABONITA 1</v>
      </c>
      <c r="W2655" s="169" t="s">
        <v>2707</v>
      </c>
    </row>
    <row r="2656" spans="2:23" x14ac:dyDescent="0.25">
      <c r="B2656" s="169" t="s">
        <v>96</v>
      </c>
      <c r="C2656" s="169" t="s">
        <v>45</v>
      </c>
      <c r="D2656" s="169" t="s">
        <v>6358</v>
      </c>
      <c r="E2656" s="169" t="s">
        <v>19</v>
      </c>
      <c r="F2656" s="245" t="str">
        <f t="shared" si="167"/>
        <v>DVR 72</v>
      </c>
      <c r="G2656" s="169" t="s">
        <v>350</v>
      </c>
      <c r="I2656" s="169" t="str">
        <f t="shared" si="166"/>
        <v>L09_DPVE_087E_RAISE</v>
      </c>
      <c r="J2656" s="169" t="s">
        <v>11541</v>
      </c>
      <c r="K2656" s="169">
        <f>IFERROR(MATCH(J2656,'Final List'!$B$4:$B$252,0),0)</f>
        <v>0</v>
      </c>
      <c r="L2656" s="169">
        <f>IFERROR(MATCH(J2656,'Final List'!$D$4:$D$252,0),0)</f>
        <v>0</v>
      </c>
      <c r="M2656" s="169">
        <f>IFERROR(MATCH(J2656,'Final List'!$F$4:$F$251,0),0)</f>
        <v>0</v>
      </c>
      <c r="N2656" s="169">
        <f>IFERROR(MATCH(J2656,'Final List'!$H$4:$H$252,0),0)</f>
        <v>0</v>
      </c>
      <c r="O2656" s="169">
        <f>IFERROR(MATCH(J2656,'Final List'!$J$4:$J$252,0),0)</f>
        <v>0</v>
      </c>
      <c r="P2656" s="169">
        <f>IFERROR(MATCH(J2656,'Final List'!$L$4:$L$252,0),0)</f>
        <v>0</v>
      </c>
      <c r="Q2656" s="169">
        <f>IFERROR(MATCH(J2656,'Final List'!$N$4:$N$252,0),0)</f>
        <v>0</v>
      </c>
      <c r="R2656" s="169">
        <f>IFERROR(MATCH(J2656,'Final List'!$P$4:$P$252,0),0)</f>
        <v>0</v>
      </c>
      <c r="S2656" s="169">
        <f t="shared" si="168"/>
        <v>0</v>
      </c>
      <c r="V2656" s="169" t="str">
        <f t="shared" si="165"/>
        <v>QUIJANO 1</v>
      </c>
      <c r="W2656" s="169" t="s">
        <v>2715</v>
      </c>
    </row>
    <row r="2657" spans="2:23" x14ac:dyDescent="0.25">
      <c r="B2657" s="169" t="s">
        <v>91</v>
      </c>
      <c r="C2657" s="169" t="s">
        <v>44</v>
      </c>
      <c r="D2657" s="169" t="s">
        <v>145</v>
      </c>
      <c r="E2657" s="169" t="s">
        <v>61</v>
      </c>
      <c r="F2657" s="245" t="str">
        <f t="shared" si="167"/>
        <v>Dhoz 71</v>
      </c>
      <c r="G2657" s="169" t="s">
        <v>10890</v>
      </c>
      <c r="I2657" s="169" t="str">
        <f t="shared" si="166"/>
        <v>L04_CV_009E_DW</v>
      </c>
      <c r="J2657" s="169" t="s">
        <v>11542</v>
      </c>
      <c r="K2657" s="169">
        <f>IFERROR(MATCH(J2657,'Final List'!$B$4:$B$252,0),0)</f>
        <v>0</v>
      </c>
      <c r="L2657" s="169">
        <f>IFERROR(MATCH(J2657,'Final List'!$D$4:$D$252,0),0)</f>
        <v>0</v>
      </c>
      <c r="M2657" s="169">
        <f>IFERROR(MATCH(J2657,'Final List'!$F$4:$F$251,0),0)</f>
        <v>0</v>
      </c>
      <c r="N2657" s="169">
        <f>IFERROR(MATCH(J2657,'Final List'!$H$4:$H$252,0),0)</f>
        <v>0</v>
      </c>
      <c r="O2657" s="169">
        <f>IFERROR(MATCH(J2657,'Final List'!$J$4:$J$252,0),0)</f>
        <v>0</v>
      </c>
      <c r="P2657" s="169">
        <f>IFERROR(MATCH(J2657,'Final List'!$L$4:$L$252,0),0)</f>
        <v>0</v>
      </c>
      <c r="Q2657" s="169">
        <f>IFERROR(MATCH(J2657,'Final List'!$N$4:$N$252,0),0)</f>
        <v>0</v>
      </c>
      <c r="R2657" s="169">
        <f>IFERROR(MATCH(J2657,'Final List'!$P$4:$P$252,0),0)</f>
        <v>0</v>
      </c>
      <c r="S2657" s="169">
        <f t="shared" si="168"/>
        <v>0</v>
      </c>
      <c r="V2657" s="169" t="str">
        <f t="shared" si="165"/>
        <v>MARTINEZ, DN 1</v>
      </c>
      <c r="W2657" s="169" t="s">
        <v>8895</v>
      </c>
    </row>
    <row r="2658" spans="2:23" x14ac:dyDescent="0.25">
      <c r="B2658" s="169" t="s">
        <v>1166</v>
      </c>
      <c r="C2658" s="169" t="s">
        <v>56</v>
      </c>
      <c r="D2658" s="169" t="s">
        <v>146</v>
      </c>
      <c r="E2658" s="169" t="s">
        <v>61</v>
      </c>
      <c r="F2658" s="245" t="str">
        <f t="shared" si="167"/>
        <v>Dhoz 71</v>
      </c>
      <c r="G2658" s="169" t="s">
        <v>5773</v>
      </c>
      <c r="H2658" s="169" t="s">
        <v>367</v>
      </c>
      <c r="I2658" s="169" t="str">
        <f t="shared" si="166"/>
        <v>L11_GHVFW_030E_DW</v>
      </c>
      <c r="J2658" s="169" t="s">
        <v>11579</v>
      </c>
      <c r="K2658" s="169">
        <f>IFERROR(MATCH(J2658,'Final List'!$B$4:$B$252,0),0)</f>
        <v>0</v>
      </c>
      <c r="L2658" s="169">
        <f>IFERROR(MATCH(J2658,'Final List'!$D$4:$D$252,0),0)</f>
        <v>0</v>
      </c>
      <c r="M2658" s="169">
        <f>IFERROR(MATCH(J2658,'Final List'!$F$4:$F$251,0),0)</f>
        <v>0</v>
      </c>
      <c r="N2658" s="169">
        <f>IFERROR(MATCH(J2658,'Final List'!$H$4:$H$252,0),0)</f>
        <v>0</v>
      </c>
      <c r="O2658" s="169">
        <f>IFERROR(MATCH(J2658,'Final List'!$J$4:$J$252,0),0)</f>
        <v>0</v>
      </c>
      <c r="P2658" s="169">
        <f>IFERROR(MATCH(J2658,'Final List'!$L$4:$L$252,0),0)</f>
        <v>0</v>
      </c>
      <c r="Q2658" s="169">
        <f>IFERROR(MATCH(J2658,'Final List'!$N$4:$N$252,0),0)</f>
        <v>0</v>
      </c>
      <c r="R2658" s="169">
        <f>IFERROR(MATCH(J2658,'Final List'!$P$4:$P$252,0),0)</f>
        <v>0</v>
      </c>
      <c r="S2658" s="169">
        <f t="shared" si="168"/>
        <v>0</v>
      </c>
      <c r="V2658" s="169" t="str">
        <f t="shared" si="165"/>
        <v>LERIO 1</v>
      </c>
      <c r="W2658" s="169" t="s">
        <v>8896</v>
      </c>
    </row>
    <row r="2659" spans="2:23" x14ac:dyDescent="0.25">
      <c r="B2659" s="169" t="s">
        <v>1167</v>
      </c>
      <c r="C2659" s="169" t="s">
        <v>39</v>
      </c>
      <c r="D2659" s="169" t="s">
        <v>201</v>
      </c>
      <c r="E2659" s="169" t="s">
        <v>60</v>
      </c>
      <c r="F2659" s="245" t="str">
        <f t="shared" si="167"/>
        <v>Dhoz 71</v>
      </c>
      <c r="G2659" s="169" t="s">
        <v>6930</v>
      </c>
      <c r="H2659" s="169" t="s">
        <v>337</v>
      </c>
      <c r="I2659" s="169" t="str">
        <f t="shared" si="166"/>
        <v>L12_JVHW_067E_DE</v>
      </c>
      <c r="J2659" s="169" t="s">
        <v>12098</v>
      </c>
      <c r="K2659" s="169">
        <f>IFERROR(MATCH(J2659,'Final List'!$B$4:$B$252,0),0)</f>
        <v>0</v>
      </c>
      <c r="L2659" s="169">
        <f>IFERROR(MATCH(J2659,'Final List'!$D$4:$D$252,0),0)</f>
        <v>0</v>
      </c>
      <c r="M2659" s="169">
        <f>IFERROR(MATCH(J2659,'Final List'!$F$4:$F$251,0),0)</f>
        <v>0</v>
      </c>
      <c r="N2659" s="169">
        <f>IFERROR(MATCH(J2659,'Final List'!$H$4:$H$252,0),0)</f>
        <v>0</v>
      </c>
      <c r="O2659" s="169">
        <f>IFERROR(MATCH(J2659,'Final List'!$J$4:$J$252,0),0)</f>
        <v>0</v>
      </c>
      <c r="P2659" s="169">
        <f>IFERROR(MATCH(J2659,'Final List'!$L$4:$L$252,0),0)</f>
        <v>0</v>
      </c>
      <c r="Q2659" s="169">
        <f>IFERROR(MATCH(J2659,'Final List'!$N$4:$N$252,0),0)</f>
        <v>0</v>
      </c>
      <c r="R2659" s="169">
        <f>IFERROR(MATCH(J2659,'Final List'!$P$4:$P$252,0),0)</f>
        <v>0</v>
      </c>
      <c r="S2659" s="169">
        <f t="shared" si="168"/>
        <v>0</v>
      </c>
      <c r="V2659" s="169" t="str">
        <f t="shared" si="165"/>
        <v>BALANGHIG 2</v>
      </c>
      <c r="W2659" s="169" t="s">
        <v>8896</v>
      </c>
    </row>
    <row r="2660" spans="2:23" x14ac:dyDescent="0.25">
      <c r="B2660" s="169" t="s">
        <v>1166</v>
      </c>
      <c r="C2660" s="169" t="s">
        <v>45</v>
      </c>
      <c r="D2660" s="169" t="s">
        <v>112</v>
      </c>
      <c r="E2660" s="169" t="s">
        <v>36</v>
      </c>
      <c r="F2660" s="245" t="str">
        <f t="shared" si="167"/>
        <v>StpS 77</v>
      </c>
      <c r="G2660" s="169" t="s">
        <v>352</v>
      </c>
      <c r="I2660" s="169" t="str">
        <f t="shared" si="166"/>
        <v>L11_DPVE_018E_STOPE</v>
      </c>
      <c r="J2660" s="169" t="s">
        <v>11696</v>
      </c>
      <c r="K2660" s="169">
        <f>IFERROR(MATCH(J2660,'Final List'!$B$4:$B$252,0),0)</f>
        <v>0</v>
      </c>
      <c r="L2660" s="169">
        <f>IFERROR(MATCH(J2660,'Final List'!$D$4:$D$252,0),0)</f>
        <v>0</v>
      </c>
      <c r="M2660" s="169">
        <f>IFERROR(MATCH(J2660,'Final List'!$F$4:$F$251,0),0)</f>
        <v>0</v>
      </c>
      <c r="N2660" s="169">
        <f>IFERROR(MATCH(J2660,'Final List'!$H$4:$H$252,0),0)</f>
        <v>0</v>
      </c>
      <c r="O2660" s="169">
        <f>IFERROR(MATCH(J2660,'Final List'!$J$4:$J$252,0),0)</f>
        <v>0</v>
      </c>
      <c r="P2660" s="169">
        <f>IFERROR(MATCH(J2660,'Final List'!$L$4:$L$252,0),0)</f>
        <v>0</v>
      </c>
      <c r="Q2660" s="169">
        <f>IFERROR(MATCH(J2660,'Final List'!$N$4:$N$252,0),0)</f>
        <v>0</v>
      </c>
      <c r="R2660" s="169">
        <f>IFERROR(MATCH(J2660,'Final List'!$P$4:$P$252,0),0)</f>
        <v>0</v>
      </c>
      <c r="S2660" s="169">
        <f t="shared" si="168"/>
        <v>0</v>
      </c>
      <c r="T2660" s="169" t="s">
        <v>68</v>
      </c>
      <c r="V2660" s="169" t="str">
        <f t="shared" si="165"/>
        <v>BAÑEZ 5</v>
      </c>
      <c r="W2660" s="169" t="s">
        <v>2713</v>
      </c>
    </row>
    <row r="2661" spans="2:23" x14ac:dyDescent="0.25">
      <c r="B2661" s="169" t="s">
        <v>1166</v>
      </c>
      <c r="C2661" s="169" t="s">
        <v>45</v>
      </c>
      <c r="D2661" s="169" t="s">
        <v>5631</v>
      </c>
      <c r="E2661" s="169" t="s">
        <v>36</v>
      </c>
      <c r="F2661" s="245" t="str">
        <f t="shared" si="167"/>
        <v>StpS 77</v>
      </c>
      <c r="G2661" s="169" t="s">
        <v>448</v>
      </c>
      <c r="I2661" s="169" t="str">
        <f t="shared" si="166"/>
        <v>L11_DPVE_020E_STOPE</v>
      </c>
      <c r="J2661" s="169" t="s">
        <v>11735</v>
      </c>
      <c r="K2661" s="169">
        <f>IFERROR(MATCH(J2661,'Final List'!$B$4:$B$252,0),0)</f>
        <v>0</v>
      </c>
      <c r="L2661" s="169">
        <f>IFERROR(MATCH(J2661,'Final List'!$D$4:$D$252,0),0)</f>
        <v>0</v>
      </c>
      <c r="M2661" s="169">
        <f>IFERROR(MATCH(J2661,'Final List'!$F$4:$F$251,0),0)</f>
        <v>0</v>
      </c>
      <c r="N2661" s="169">
        <f>IFERROR(MATCH(J2661,'Final List'!$H$4:$H$252,0),0)</f>
        <v>0</v>
      </c>
      <c r="O2661" s="169">
        <f>IFERROR(MATCH(J2661,'Final List'!$J$4:$J$252,0),0)</f>
        <v>0</v>
      </c>
      <c r="P2661" s="169">
        <f>IFERROR(MATCH(J2661,'Final List'!$L$4:$L$252,0),0)</f>
        <v>0</v>
      </c>
      <c r="Q2661" s="169">
        <f>IFERROR(MATCH(J2661,'Final List'!$N$4:$N$252,0),0)</f>
        <v>0</v>
      </c>
      <c r="R2661" s="169">
        <f>IFERROR(MATCH(J2661,'Final List'!$P$4:$P$252,0),0)</f>
        <v>0</v>
      </c>
      <c r="S2661" s="169">
        <f t="shared" si="168"/>
        <v>0</v>
      </c>
      <c r="T2661" s="169" t="s">
        <v>68</v>
      </c>
      <c r="V2661" s="169" t="str">
        <f t="shared" si="165"/>
        <v>COMAINGKING 2</v>
      </c>
      <c r="W2661" s="169" t="s">
        <v>2713</v>
      </c>
    </row>
    <row r="2662" spans="2:23" x14ac:dyDescent="0.25">
      <c r="B2662" s="169" t="s">
        <v>96</v>
      </c>
      <c r="C2662" s="169" t="s">
        <v>45</v>
      </c>
      <c r="D2662" s="169" t="s">
        <v>164</v>
      </c>
      <c r="E2662" s="169" t="s">
        <v>6154</v>
      </c>
      <c r="F2662" s="245" t="str">
        <f t="shared" si="167"/>
        <v>Dhoz 71</v>
      </c>
      <c r="G2662" s="169" t="s">
        <v>336</v>
      </c>
      <c r="I2662" s="169" t="str">
        <f t="shared" si="166"/>
        <v>L09_DPVE_064E_DW_ISL</v>
      </c>
      <c r="J2662" s="169" t="s">
        <v>11563</v>
      </c>
      <c r="K2662" s="169">
        <f>IFERROR(MATCH(J2662,'Final List'!$B$4:$B$252,0),0)</f>
        <v>0</v>
      </c>
      <c r="L2662" s="169">
        <f>IFERROR(MATCH(J2662,'Final List'!$D$4:$D$252,0),0)</f>
        <v>0</v>
      </c>
      <c r="M2662" s="169">
        <f>IFERROR(MATCH(J2662,'Final List'!$F$4:$F$251,0),0)</f>
        <v>0</v>
      </c>
      <c r="N2662" s="169">
        <f>IFERROR(MATCH(J2662,'Final List'!$H$4:$H$252,0),0)</f>
        <v>0</v>
      </c>
      <c r="O2662" s="169">
        <f>IFERROR(MATCH(J2662,'Final List'!$J$4:$J$252,0),0)</f>
        <v>0</v>
      </c>
      <c r="P2662" s="169">
        <f>IFERROR(MATCH(J2662,'Final List'!$L$4:$L$252,0),0)</f>
        <v>0</v>
      </c>
      <c r="Q2662" s="169">
        <f>IFERROR(MATCH(J2662,'Final List'!$N$4:$N$252,0),0)</f>
        <v>0</v>
      </c>
      <c r="R2662" s="169">
        <f>IFERROR(MATCH(J2662,'Final List'!$P$4:$P$252,0),0)</f>
        <v>0</v>
      </c>
      <c r="S2662" s="169">
        <f t="shared" si="168"/>
        <v>0</v>
      </c>
      <c r="V2662" s="169" t="str">
        <f t="shared" si="165"/>
        <v>BALANGHIG 1</v>
      </c>
      <c r="W2662" s="169" t="s">
        <v>2708</v>
      </c>
    </row>
    <row r="2663" spans="2:23" x14ac:dyDescent="0.25">
      <c r="B2663" s="169" t="s">
        <v>258</v>
      </c>
      <c r="C2663" s="169" t="s">
        <v>55</v>
      </c>
      <c r="D2663" s="169" t="s">
        <v>167</v>
      </c>
      <c r="E2663" s="169" t="s">
        <v>60</v>
      </c>
      <c r="F2663" s="245" t="str">
        <f t="shared" si="167"/>
        <v>Dhoz 71</v>
      </c>
      <c r="G2663" s="169" t="s">
        <v>5704</v>
      </c>
      <c r="I2663" s="169" t="str">
        <f t="shared" ref="I2663:I2726" si="169">CONCATENATE(B2663,"_",C2663,"_",D2663,"_",E2663)</f>
        <v>L10_JVFW_058E_DE</v>
      </c>
      <c r="J2663" s="169" t="s">
        <v>11565</v>
      </c>
      <c r="K2663" s="169">
        <f>IFERROR(MATCH(J2663,'Final List'!$B$4:$B$252,0),0)</f>
        <v>0</v>
      </c>
      <c r="L2663" s="169">
        <f>IFERROR(MATCH(J2663,'Final List'!$D$4:$D$252,0),0)</f>
        <v>0</v>
      </c>
      <c r="M2663" s="169">
        <f>IFERROR(MATCH(J2663,'Final List'!$F$4:$F$251,0),0)</f>
        <v>0</v>
      </c>
      <c r="N2663" s="169">
        <f>IFERROR(MATCH(J2663,'Final List'!$H$4:$H$252,0),0)</f>
        <v>0</v>
      </c>
      <c r="O2663" s="169">
        <f>IFERROR(MATCH(J2663,'Final List'!$J$4:$J$252,0),0)</f>
        <v>0</v>
      </c>
      <c r="P2663" s="169">
        <f>IFERROR(MATCH(J2663,'Final List'!$L$4:$L$252,0),0)</f>
        <v>0</v>
      </c>
      <c r="Q2663" s="169">
        <f>IFERROR(MATCH(J2663,'Final List'!$N$4:$N$252,0),0)</f>
        <v>0</v>
      </c>
      <c r="R2663" s="169">
        <f>IFERROR(MATCH(J2663,'Final List'!$P$4:$P$252,0),0)</f>
        <v>0</v>
      </c>
      <c r="S2663" s="169">
        <f t="shared" si="168"/>
        <v>0</v>
      </c>
      <c r="V2663" s="169" t="str">
        <f t="shared" si="165"/>
        <v>OLIVEROS 3</v>
      </c>
      <c r="W2663" s="169" t="s">
        <v>8896</v>
      </c>
    </row>
    <row r="2664" spans="2:23" x14ac:dyDescent="0.25">
      <c r="B2664" s="169" t="s">
        <v>1166</v>
      </c>
      <c r="C2664" s="169" t="s">
        <v>42</v>
      </c>
      <c r="D2664" s="169" t="s">
        <v>170</v>
      </c>
      <c r="E2664" s="169" t="s">
        <v>60</v>
      </c>
      <c r="F2664" s="245" t="str">
        <f t="shared" si="167"/>
        <v>Dhoz 71</v>
      </c>
      <c r="G2664" s="169" t="s">
        <v>355</v>
      </c>
      <c r="H2664" s="169" t="s">
        <v>862</v>
      </c>
      <c r="I2664" s="169" t="str">
        <f t="shared" si="169"/>
        <v>L11_JV_071E_DE</v>
      </c>
      <c r="J2664" s="169" t="s">
        <v>11851</v>
      </c>
      <c r="K2664" s="169">
        <f>IFERROR(MATCH(J2664,'Final List'!$B$4:$B$252,0),0)</f>
        <v>0</v>
      </c>
      <c r="L2664" s="169">
        <f>IFERROR(MATCH(J2664,'Final List'!$D$4:$D$252,0),0)</f>
        <v>0</v>
      </c>
      <c r="M2664" s="169">
        <f>IFERROR(MATCH(J2664,'Final List'!$F$4:$F$251,0),0)</f>
        <v>0</v>
      </c>
      <c r="N2664" s="169">
        <f>IFERROR(MATCH(J2664,'Final List'!$H$4:$H$252,0),0)</f>
        <v>0</v>
      </c>
      <c r="O2664" s="169">
        <f>IFERROR(MATCH(J2664,'Final List'!$J$4:$J$252,0),0)</f>
        <v>0</v>
      </c>
      <c r="P2664" s="169">
        <f>IFERROR(MATCH(J2664,'Final List'!$L$4:$L$252,0),0)</f>
        <v>0</v>
      </c>
      <c r="Q2664" s="169">
        <f>IFERROR(MATCH(J2664,'Final List'!$N$4:$N$252,0),0)</f>
        <v>0</v>
      </c>
      <c r="R2664" s="169">
        <f>IFERROR(MATCH(J2664,'Final List'!$P$4:$P$252,0),0)</f>
        <v>0</v>
      </c>
      <c r="S2664" s="169">
        <f t="shared" si="168"/>
        <v>0</v>
      </c>
      <c r="V2664" s="169" t="str">
        <f t="shared" si="165"/>
        <v>REBOTE 1</v>
      </c>
      <c r="W2664" s="169" t="s">
        <v>8896</v>
      </c>
    </row>
    <row r="2665" spans="2:23" x14ac:dyDescent="0.25">
      <c r="B2665" s="169" t="s">
        <v>258</v>
      </c>
      <c r="C2665" s="169" t="s">
        <v>39</v>
      </c>
      <c r="D2665" s="169" t="s">
        <v>173</v>
      </c>
      <c r="E2665" s="169" t="s">
        <v>20</v>
      </c>
      <c r="F2665" s="245" t="str">
        <f t="shared" si="167"/>
        <v>DVW 74</v>
      </c>
      <c r="G2665" s="169" t="s">
        <v>5700</v>
      </c>
      <c r="I2665" s="169" t="str">
        <f t="shared" si="169"/>
        <v>L10_JVHW_049E_WINZE</v>
      </c>
      <c r="J2665" s="169" t="s">
        <v>11569</v>
      </c>
      <c r="K2665" s="169">
        <f>IFERROR(MATCH(J2665,'Final List'!$B$4:$B$252,0),0)</f>
        <v>0</v>
      </c>
      <c r="L2665" s="169">
        <f>IFERROR(MATCH(J2665,'Final List'!$D$4:$D$252,0),0)</f>
        <v>0</v>
      </c>
      <c r="M2665" s="169">
        <f>IFERROR(MATCH(J2665,'Final List'!$F$4:$F$251,0),0)</f>
        <v>0</v>
      </c>
      <c r="N2665" s="169">
        <f>IFERROR(MATCH(J2665,'Final List'!$H$4:$H$252,0),0)</f>
        <v>0</v>
      </c>
      <c r="O2665" s="169">
        <f>IFERROR(MATCH(J2665,'Final List'!$J$4:$J$252,0),0)</f>
        <v>0</v>
      </c>
      <c r="P2665" s="169">
        <f>IFERROR(MATCH(J2665,'Final List'!$L$4:$L$252,0),0)</f>
        <v>0</v>
      </c>
      <c r="Q2665" s="169">
        <f>IFERROR(MATCH(J2665,'Final List'!$N$4:$N$252,0),0)</f>
        <v>0</v>
      </c>
      <c r="R2665" s="169">
        <f>IFERROR(MATCH(J2665,'Final List'!$P$4:$P$252,0),0)</f>
        <v>0</v>
      </c>
      <c r="S2665" s="169">
        <f t="shared" si="168"/>
        <v>0</v>
      </c>
      <c r="V2665" s="169" t="str">
        <f t="shared" si="165"/>
        <v>LARGO 1</v>
      </c>
      <c r="W2665" s="169" t="s">
        <v>2706</v>
      </c>
    </row>
    <row r="2666" spans="2:23" x14ac:dyDescent="0.25">
      <c r="B2666" s="169" t="s">
        <v>258</v>
      </c>
      <c r="C2666" s="169" t="s">
        <v>42</v>
      </c>
      <c r="D2666" s="169" t="s">
        <v>201</v>
      </c>
      <c r="E2666" s="169" t="s">
        <v>6143</v>
      </c>
      <c r="F2666" s="245" t="str">
        <f t="shared" si="167"/>
        <v>Dhoz 71</v>
      </c>
      <c r="G2666" s="169" t="s">
        <v>5702</v>
      </c>
      <c r="I2666" s="169" t="str">
        <f t="shared" si="169"/>
        <v>L10_JV_067E_DE_ISL</v>
      </c>
      <c r="J2666" s="169" t="s">
        <v>11580</v>
      </c>
      <c r="K2666" s="169">
        <f>IFERROR(MATCH(J2666,'Final List'!$B$4:$B$252,0),0)</f>
        <v>0</v>
      </c>
      <c r="L2666" s="169">
        <f>IFERROR(MATCH(J2666,'Final List'!$D$4:$D$252,0),0)</f>
        <v>0</v>
      </c>
      <c r="M2666" s="169">
        <f>IFERROR(MATCH(J2666,'Final List'!$F$4:$F$251,0),0)</f>
        <v>0</v>
      </c>
      <c r="N2666" s="169">
        <f>IFERROR(MATCH(J2666,'Final List'!$H$4:$H$252,0),0)</f>
        <v>0</v>
      </c>
      <c r="O2666" s="169">
        <f>IFERROR(MATCH(J2666,'Final List'!$J$4:$J$252,0),0)</f>
        <v>0</v>
      </c>
      <c r="P2666" s="169">
        <f>IFERROR(MATCH(J2666,'Final List'!$L$4:$L$252,0),0)</f>
        <v>0</v>
      </c>
      <c r="Q2666" s="169">
        <f>IFERROR(MATCH(J2666,'Final List'!$N$4:$N$252,0),0)</f>
        <v>0</v>
      </c>
      <c r="R2666" s="169">
        <f>IFERROR(MATCH(J2666,'Final List'!$P$4:$P$252,0),0)</f>
        <v>0</v>
      </c>
      <c r="S2666" s="169">
        <f t="shared" si="168"/>
        <v>0</v>
      </c>
      <c r="V2666" s="169" t="str">
        <f t="shared" si="165"/>
        <v>LARGO 3</v>
      </c>
      <c r="W2666" s="169" t="s">
        <v>2708</v>
      </c>
    </row>
    <row r="2667" spans="2:23" x14ac:dyDescent="0.25">
      <c r="B2667" s="169" t="s">
        <v>96</v>
      </c>
      <c r="C2667" s="169" t="s">
        <v>87</v>
      </c>
      <c r="D2667" s="169" t="s">
        <v>169</v>
      </c>
      <c r="E2667" s="169" t="s">
        <v>63</v>
      </c>
      <c r="F2667" s="245" t="str">
        <f t="shared" si="167"/>
        <v>Dhoz 71</v>
      </c>
      <c r="G2667" s="169" t="s">
        <v>344</v>
      </c>
      <c r="I2667" s="169" t="str">
        <f t="shared" si="169"/>
        <v>L09_NONE_065E_XCS</v>
      </c>
      <c r="J2667" s="169" t="s">
        <v>11571</v>
      </c>
      <c r="K2667" s="169">
        <f>IFERROR(MATCH(J2667,'Final List'!$B$4:$B$252,0),0)</f>
        <v>0</v>
      </c>
      <c r="L2667" s="169">
        <f>IFERROR(MATCH(J2667,'Final List'!$D$4:$D$252,0),0)</f>
        <v>0</v>
      </c>
      <c r="M2667" s="169">
        <f>IFERROR(MATCH(J2667,'Final List'!$F$4:$F$251,0),0)</f>
        <v>0</v>
      </c>
      <c r="N2667" s="169">
        <f>IFERROR(MATCH(J2667,'Final List'!$H$4:$H$252,0),0)</f>
        <v>0</v>
      </c>
      <c r="O2667" s="169">
        <f>IFERROR(MATCH(J2667,'Final List'!$J$4:$J$252,0),0)</f>
        <v>0</v>
      </c>
      <c r="P2667" s="169">
        <f>IFERROR(MATCH(J2667,'Final List'!$L$4:$L$252,0),0)</f>
        <v>0</v>
      </c>
      <c r="Q2667" s="169">
        <f>IFERROR(MATCH(J2667,'Final List'!$N$4:$N$252,0),0)</f>
        <v>0</v>
      </c>
      <c r="R2667" s="169">
        <f>IFERROR(MATCH(J2667,'Final List'!$P$4:$P$252,0),0)</f>
        <v>0</v>
      </c>
      <c r="S2667" s="169">
        <f t="shared" si="168"/>
        <v>0</v>
      </c>
      <c r="V2667" s="169" t="str">
        <f t="shared" si="165"/>
        <v>UDLOS 1</v>
      </c>
      <c r="W2667" s="169" t="s">
        <v>8898</v>
      </c>
    </row>
    <row r="2668" spans="2:23" x14ac:dyDescent="0.25">
      <c r="B2668" s="169" t="s">
        <v>96</v>
      </c>
      <c r="C2668" s="169" t="s">
        <v>45</v>
      </c>
      <c r="D2668" s="169" t="s">
        <v>5872</v>
      </c>
      <c r="E2668" s="169" t="s">
        <v>62</v>
      </c>
      <c r="F2668" s="245" t="str">
        <f t="shared" si="167"/>
        <v>RobS 79</v>
      </c>
      <c r="G2668" s="169" t="s">
        <v>455</v>
      </c>
      <c r="H2668" s="169" t="s">
        <v>10253</v>
      </c>
      <c r="I2668" s="169" t="str">
        <f t="shared" si="169"/>
        <v>L09_DPVE_076E_ROBBING</v>
      </c>
      <c r="J2668" s="169" t="s">
        <v>11577</v>
      </c>
      <c r="K2668" s="169">
        <f>IFERROR(MATCH(J2668,'Final List'!$B$4:$B$252,0),0)</f>
        <v>0</v>
      </c>
      <c r="L2668" s="169">
        <f>IFERROR(MATCH(J2668,'Final List'!$D$4:$D$252,0),0)</f>
        <v>0</v>
      </c>
      <c r="M2668" s="169">
        <f>IFERROR(MATCH(J2668,'Final List'!$F$4:$F$251,0),0)</f>
        <v>0</v>
      </c>
      <c r="N2668" s="169">
        <f>IFERROR(MATCH(J2668,'Final List'!$H$4:$H$252,0),0)</f>
        <v>0</v>
      </c>
      <c r="O2668" s="169">
        <f>IFERROR(MATCH(J2668,'Final List'!$J$4:$J$252,0),0)</f>
        <v>0</v>
      </c>
      <c r="P2668" s="169">
        <f>IFERROR(MATCH(J2668,'Final List'!$L$4:$L$252,0),0)</f>
        <v>0</v>
      </c>
      <c r="Q2668" s="169">
        <f>IFERROR(MATCH(J2668,'Final List'!$N$4:$N$252,0),0)</f>
        <v>0</v>
      </c>
      <c r="R2668" s="169">
        <f>IFERROR(MATCH(J2668,'Final List'!$P$4:$P$252,0),0)</f>
        <v>0</v>
      </c>
      <c r="S2668" s="169">
        <f t="shared" si="168"/>
        <v>0</v>
      </c>
      <c r="T2668" s="169" t="s">
        <v>68</v>
      </c>
      <c r="V2668" s="169" t="str">
        <f t="shared" si="165"/>
        <v>PANSIT NORMAN 4</v>
      </c>
      <c r="W2668" s="169" t="s">
        <v>2707</v>
      </c>
    </row>
    <row r="2669" spans="2:23" x14ac:dyDescent="0.25">
      <c r="B2669" s="169" t="s">
        <v>1167</v>
      </c>
      <c r="C2669" s="169" t="s">
        <v>42</v>
      </c>
      <c r="D2669" s="169" t="s">
        <v>218</v>
      </c>
      <c r="E2669" s="169" t="s">
        <v>36</v>
      </c>
      <c r="F2669" s="245" t="str">
        <f t="shared" si="167"/>
        <v>StpS 77</v>
      </c>
      <c r="G2669" s="169" t="s">
        <v>6929</v>
      </c>
      <c r="I2669" s="169" t="str">
        <f t="shared" si="169"/>
        <v>L12_JV_062E_STOPE</v>
      </c>
      <c r="J2669" s="169" t="s">
        <v>11698</v>
      </c>
      <c r="K2669" s="169">
        <f>IFERROR(MATCH(J2669,'Final List'!$B$4:$B$252,0),0)</f>
        <v>0</v>
      </c>
      <c r="L2669" s="169">
        <f>IFERROR(MATCH(J2669,'Final List'!$D$4:$D$252,0),0)</f>
        <v>0</v>
      </c>
      <c r="M2669" s="169">
        <f>IFERROR(MATCH(J2669,'Final List'!$F$4:$F$251,0),0)</f>
        <v>0</v>
      </c>
      <c r="N2669" s="169">
        <f>IFERROR(MATCH(J2669,'Final List'!$H$4:$H$252,0),0)</f>
        <v>0</v>
      </c>
      <c r="O2669" s="169">
        <f>IFERROR(MATCH(J2669,'Final List'!$J$4:$J$252,0),0)</f>
        <v>0</v>
      </c>
      <c r="P2669" s="169">
        <f>IFERROR(MATCH(J2669,'Final List'!$L$4:$L$252,0),0)</f>
        <v>0</v>
      </c>
      <c r="Q2669" s="169">
        <f>IFERROR(MATCH(J2669,'Final List'!$N$4:$N$252,0),0)</f>
        <v>0</v>
      </c>
      <c r="R2669" s="169">
        <f>IFERROR(MATCH(J2669,'Final List'!$P$4:$P$252,0),0)</f>
        <v>0</v>
      </c>
      <c r="S2669" s="169">
        <f t="shared" si="168"/>
        <v>0</v>
      </c>
      <c r="T2669" s="169" t="s">
        <v>68</v>
      </c>
      <c r="V2669" s="169" t="str">
        <f t="shared" si="165"/>
        <v>DUHIG, P4</v>
      </c>
      <c r="W2669" s="169" t="s">
        <v>2713</v>
      </c>
    </row>
    <row r="2670" spans="2:23" x14ac:dyDescent="0.25">
      <c r="B2670" s="169" t="s">
        <v>1166</v>
      </c>
      <c r="C2670" s="169" t="s">
        <v>87</v>
      </c>
      <c r="D2670" s="169" t="s">
        <v>122</v>
      </c>
      <c r="E2670" s="169" t="s">
        <v>63</v>
      </c>
      <c r="F2670" s="245" t="str">
        <f t="shared" si="167"/>
        <v>Dhoz 71</v>
      </c>
      <c r="G2670" s="169" t="s">
        <v>474</v>
      </c>
      <c r="H2670" s="169" t="s">
        <v>5720</v>
      </c>
      <c r="I2670" s="169" t="str">
        <f t="shared" si="169"/>
        <v>L11_NONE_025E_XCS</v>
      </c>
      <c r="J2670" s="169" t="s">
        <v>11587</v>
      </c>
      <c r="K2670" s="169">
        <f>IFERROR(MATCH(J2670,'Final List'!$B$4:$B$252,0),0)</f>
        <v>0</v>
      </c>
      <c r="L2670" s="169">
        <f>IFERROR(MATCH(J2670,'Final List'!$D$4:$D$252,0),0)</f>
        <v>0</v>
      </c>
      <c r="M2670" s="169">
        <f>IFERROR(MATCH(J2670,'Final List'!$F$4:$F$251,0),0)</f>
        <v>0</v>
      </c>
      <c r="N2670" s="169">
        <f>IFERROR(MATCH(J2670,'Final List'!$H$4:$H$252,0),0)</f>
        <v>0</v>
      </c>
      <c r="O2670" s="169">
        <f>IFERROR(MATCH(J2670,'Final List'!$J$4:$J$252,0),0)</f>
        <v>0</v>
      </c>
      <c r="P2670" s="169">
        <f>IFERROR(MATCH(J2670,'Final List'!$L$4:$L$252,0),0)</f>
        <v>0</v>
      </c>
      <c r="Q2670" s="169">
        <f>IFERROR(MATCH(J2670,'Final List'!$N$4:$N$252,0),0)</f>
        <v>0</v>
      </c>
      <c r="R2670" s="169">
        <f>IFERROR(MATCH(J2670,'Final List'!$P$4:$P$252,0),0)</f>
        <v>0</v>
      </c>
      <c r="S2670" s="169">
        <f t="shared" si="168"/>
        <v>0</v>
      </c>
      <c r="V2670" s="169" t="str">
        <f t="shared" ref="V2670:V2753" si="170">IF(H2670="",G2670,H2670)</f>
        <v>TURRA 1</v>
      </c>
      <c r="W2670" s="169" t="s">
        <v>8898</v>
      </c>
    </row>
    <row r="2671" spans="2:23" x14ac:dyDescent="0.25">
      <c r="B2671" s="169" t="s">
        <v>92</v>
      </c>
      <c r="C2671" s="169" t="s">
        <v>45</v>
      </c>
      <c r="D2671" s="169" t="s">
        <v>5741</v>
      </c>
      <c r="E2671" s="169" t="s">
        <v>62</v>
      </c>
      <c r="F2671" s="245" t="str">
        <f t="shared" si="167"/>
        <v>RobS 79</v>
      </c>
      <c r="G2671" s="169" t="s">
        <v>636</v>
      </c>
      <c r="I2671" s="169" t="str">
        <f t="shared" si="169"/>
        <v>L05_DPVE_035E_ROBBING</v>
      </c>
      <c r="J2671" s="169" t="s">
        <v>11591</v>
      </c>
      <c r="K2671" s="169">
        <f>IFERROR(MATCH(J2671,'Final List'!$B$4:$B$252,0),0)</f>
        <v>0</v>
      </c>
      <c r="L2671" s="169">
        <f>IFERROR(MATCH(J2671,'Final List'!$D$4:$D$252,0),0)</f>
        <v>0</v>
      </c>
      <c r="M2671" s="169">
        <f>IFERROR(MATCH(J2671,'Final List'!$F$4:$F$251,0),0)</f>
        <v>0</v>
      </c>
      <c r="N2671" s="169">
        <f>IFERROR(MATCH(J2671,'Final List'!$H$4:$H$252,0),0)</f>
        <v>0</v>
      </c>
      <c r="O2671" s="169">
        <f>IFERROR(MATCH(J2671,'Final List'!$J$4:$J$252,0),0)</f>
        <v>0</v>
      </c>
      <c r="P2671" s="169">
        <f>IFERROR(MATCH(J2671,'Final List'!$L$4:$L$252,0),0)</f>
        <v>0</v>
      </c>
      <c r="Q2671" s="169">
        <f>IFERROR(MATCH(J2671,'Final List'!$N$4:$N$252,0),0)</f>
        <v>0</v>
      </c>
      <c r="R2671" s="169">
        <f>IFERROR(MATCH(J2671,'Final List'!$P$4:$P$252,0),0)</f>
        <v>0</v>
      </c>
      <c r="S2671" s="169">
        <f t="shared" si="168"/>
        <v>0</v>
      </c>
      <c r="T2671" s="169" t="s">
        <v>68</v>
      </c>
      <c r="V2671" s="169" t="str">
        <f t="shared" si="170"/>
        <v>PANCIT, NOEL 5</v>
      </c>
      <c r="W2671" s="169" t="s">
        <v>2707</v>
      </c>
    </row>
    <row r="2672" spans="2:23" x14ac:dyDescent="0.25">
      <c r="B2672" s="169" t="s">
        <v>96</v>
      </c>
      <c r="C2672" s="169" t="s">
        <v>57</v>
      </c>
      <c r="D2672" s="169" t="s">
        <v>133</v>
      </c>
      <c r="E2672" s="169" t="s">
        <v>61</v>
      </c>
      <c r="F2672" s="245" t="str">
        <f t="shared" si="167"/>
        <v>Dhoz 71</v>
      </c>
      <c r="G2672" s="169" t="s">
        <v>3704</v>
      </c>
      <c r="I2672" s="169" t="str">
        <f t="shared" si="169"/>
        <v>L09_JVSPLIT_037E_DW</v>
      </c>
      <c r="J2672" s="169" t="s">
        <v>11592</v>
      </c>
      <c r="K2672" s="169">
        <f>IFERROR(MATCH(J2672,'Final List'!$B$4:$B$252,0),0)</f>
        <v>0</v>
      </c>
      <c r="L2672" s="169">
        <f>IFERROR(MATCH(J2672,'Final List'!$D$4:$D$252,0),0)</f>
        <v>0</v>
      </c>
      <c r="M2672" s="169">
        <f>IFERROR(MATCH(J2672,'Final List'!$F$4:$F$251,0),0)</f>
        <v>0</v>
      </c>
      <c r="N2672" s="169">
        <f>IFERROR(MATCH(J2672,'Final List'!$H$4:$H$252,0),0)</f>
        <v>0</v>
      </c>
      <c r="O2672" s="169">
        <f>IFERROR(MATCH(J2672,'Final List'!$J$4:$J$252,0),0)</f>
        <v>0</v>
      </c>
      <c r="P2672" s="169">
        <f>IFERROR(MATCH(J2672,'Final List'!$L$4:$L$252,0),0)</f>
        <v>0</v>
      </c>
      <c r="Q2672" s="169">
        <f>IFERROR(MATCH(J2672,'Final List'!$N$4:$N$252,0),0)</f>
        <v>0</v>
      </c>
      <c r="R2672" s="169">
        <f>IFERROR(MATCH(J2672,'Final List'!$P$4:$P$252,0),0)</f>
        <v>0</v>
      </c>
      <c r="S2672" s="169">
        <f t="shared" si="168"/>
        <v>0</v>
      </c>
      <c r="V2672" s="169" t="str">
        <f t="shared" si="170"/>
        <v>DELOS REYES V</v>
      </c>
      <c r="W2672" s="169" t="s">
        <v>8896</v>
      </c>
    </row>
    <row r="2673" spans="2:23" x14ac:dyDescent="0.25">
      <c r="B2673" s="169" t="s">
        <v>96</v>
      </c>
      <c r="C2673" s="169" t="s">
        <v>45</v>
      </c>
      <c r="D2673" s="169" t="s">
        <v>135</v>
      </c>
      <c r="E2673" s="169" t="s">
        <v>62</v>
      </c>
      <c r="F2673" s="245" t="str">
        <f t="shared" si="167"/>
        <v>RobS 79</v>
      </c>
      <c r="G2673" s="169" t="s">
        <v>10253</v>
      </c>
      <c r="H2673" s="169" t="s">
        <v>12545</v>
      </c>
      <c r="I2673" s="169" t="str">
        <f t="shared" si="169"/>
        <v>L09_DPVE_034E_ROBBING</v>
      </c>
      <c r="J2673" s="169" t="s">
        <v>11593</v>
      </c>
      <c r="K2673" s="169">
        <f>IFERROR(MATCH(J2673,'Final List'!$B$4:$B$252,0),0)</f>
        <v>0</v>
      </c>
      <c r="L2673" s="169">
        <f>IFERROR(MATCH(J2673,'Final List'!$D$4:$D$252,0),0)</f>
        <v>0</v>
      </c>
      <c r="M2673" s="169">
        <f>IFERROR(MATCH(J2673,'Final List'!$F$4:$F$251,0),0)</f>
        <v>0</v>
      </c>
      <c r="N2673" s="169">
        <f>IFERROR(MATCH(J2673,'Final List'!$H$4:$H$252,0),0)</f>
        <v>0</v>
      </c>
      <c r="O2673" s="169">
        <f>IFERROR(MATCH(J2673,'Final List'!$J$4:$J$252,0),0)</f>
        <v>0</v>
      </c>
      <c r="P2673" s="169">
        <f>IFERROR(MATCH(J2673,'Final List'!$L$4:$L$252,0),0)</f>
        <v>0</v>
      </c>
      <c r="Q2673" s="169">
        <f>IFERROR(MATCH(J2673,'Final List'!$N$4:$N$252,0),0)</f>
        <v>0</v>
      </c>
      <c r="R2673" s="169">
        <f>IFERROR(MATCH(J2673,'Final List'!$P$4:$P$252,0),0)</f>
        <v>0</v>
      </c>
      <c r="S2673" s="169">
        <f t="shared" si="168"/>
        <v>0</v>
      </c>
      <c r="T2673" s="169" t="s">
        <v>68</v>
      </c>
      <c r="V2673" s="169" t="str">
        <f t="shared" si="170"/>
        <v>FERNANDEZ 4</v>
      </c>
      <c r="W2673" s="169" t="s">
        <v>2707</v>
      </c>
    </row>
    <row r="2674" spans="2:23" x14ac:dyDescent="0.25">
      <c r="B2674" s="169" t="s">
        <v>96</v>
      </c>
      <c r="C2674" s="169" t="s">
        <v>45</v>
      </c>
      <c r="D2674" s="169" t="s">
        <v>172</v>
      </c>
      <c r="E2674" s="169" t="s">
        <v>62</v>
      </c>
      <c r="F2674" s="245" t="str">
        <f t="shared" si="167"/>
        <v>RobS 79</v>
      </c>
      <c r="G2674" s="169" t="s">
        <v>10888</v>
      </c>
      <c r="I2674" s="169" t="str">
        <f t="shared" si="169"/>
        <v>L09_DPVE_045E_ROBBING</v>
      </c>
      <c r="J2674" s="169" t="s">
        <v>11594</v>
      </c>
      <c r="K2674" s="169">
        <f>IFERROR(MATCH(J2674,'Final List'!$B$4:$B$252,0),0)</f>
        <v>0</v>
      </c>
      <c r="L2674" s="169">
        <f>IFERROR(MATCH(J2674,'Final List'!$D$4:$D$252,0),0)</f>
        <v>0</v>
      </c>
      <c r="M2674" s="169">
        <f>IFERROR(MATCH(J2674,'Final List'!$F$4:$F$251,0),0)</f>
        <v>0</v>
      </c>
      <c r="N2674" s="169">
        <f>IFERROR(MATCH(J2674,'Final List'!$H$4:$H$252,0),0)</f>
        <v>0</v>
      </c>
      <c r="O2674" s="169">
        <f>IFERROR(MATCH(J2674,'Final List'!$J$4:$J$252,0),0)</f>
        <v>0</v>
      </c>
      <c r="P2674" s="169">
        <f>IFERROR(MATCH(J2674,'Final List'!$L$4:$L$252,0),0)</f>
        <v>0</v>
      </c>
      <c r="Q2674" s="169">
        <f>IFERROR(MATCH(J2674,'Final List'!$N$4:$N$252,0),0)</f>
        <v>0</v>
      </c>
      <c r="R2674" s="169">
        <f>IFERROR(MATCH(J2674,'Final List'!$P$4:$P$252,0),0)</f>
        <v>0</v>
      </c>
      <c r="S2674" s="169">
        <f t="shared" si="168"/>
        <v>0</v>
      </c>
      <c r="T2674" s="169" t="s">
        <v>68</v>
      </c>
      <c r="V2674" s="169" t="str">
        <f t="shared" si="170"/>
        <v>SHEPHERD BE 1</v>
      </c>
      <c r="W2674" s="169" t="s">
        <v>2707</v>
      </c>
    </row>
    <row r="2675" spans="2:23" x14ac:dyDescent="0.25">
      <c r="B2675" s="169" t="s">
        <v>96</v>
      </c>
      <c r="C2675" s="169" t="s">
        <v>45</v>
      </c>
      <c r="D2675" s="169" t="s">
        <v>11032</v>
      </c>
      <c r="E2675" s="169" t="s">
        <v>62</v>
      </c>
      <c r="F2675" s="245" t="str">
        <f t="shared" si="167"/>
        <v>RobC 80</v>
      </c>
      <c r="G2675" s="169" t="s">
        <v>350</v>
      </c>
      <c r="I2675" s="169" t="str">
        <f>CONCATENATE(B2675,"_",C2675,"_",D2675,"_",E2675)</f>
        <v>L09_DPVE_089E_ROBBING</v>
      </c>
      <c r="J2675" s="169" t="s">
        <v>11596</v>
      </c>
      <c r="K2675" s="169">
        <f>IFERROR(MATCH(J2675,'Final List'!$B$4:$B$252,0),0)</f>
        <v>0</v>
      </c>
      <c r="L2675" s="169">
        <f>IFERROR(MATCH(J2675,'Final List'!$D$4:$D$252,0),0)</f>
        <v>0</v>
      </c>
      <c r="M2675" s="169">
        <f>IFERROR(MATCH(J2675,'Final List'!$F$4:$F$251,0),0)</f>
        <v>0</v>
      </c>
      <c r="N2675" s="169">
        <f>IFERROR(MATCH(J2675,'Final List'!$H$4:$H$252,0),0)</f>
        <v>0</v>
      </c>
      <c r="O2675" s="169">
        <f>IFERROR(MATCH(J2675,'Final List'!$J$4:$J$252,0),0)</f>
        <v>0</v>
      </c>
      <c r="P2675" s="169">
        <f>IFERROR(MATCH(J2675,'Final List'!$L$4:$L$252,0),0)</f>
        <v>0</v>
      </c>
      <c r="Q2675" s="169">
        <f>IFERROR(MATCH(J2675,'Final List'!$N$4:$N$252,0),0)</f>
        <v>0</v>
      </c>
      <c r="R2675" s="169">
        <f>IFERROR(MATCH(J2675,'Final List'!$P$4:$P$252,0),0)</f>
        <v>0</v>
      </c>
      <c r="S2675" s="169">
        <f t="shared" si="168"/>
        <v>0</v>
      </c>
      <c r="T2675" s="169" t="s">
        <v>48</v>
      </c>
      <c r="V2675" s="169" t="str">
        <f t="shared" si="170"/>
        <v>QUIJANO 1</v>
      </c>
      <c r="W2675" s="169" t="s">
        <v>236</v>
      </c>
    </row>
    <row r="2676" spans="2:23" x14ac:dyDescent="0.25">
      <c r="B2676" s="169" t="s">
        <v>96</v>
      </c>
      <c r="C2676" s="169" t="s">
        <v>57</v>
      </c>
      <c r="D2676" s="169" t="s">
        <v>178</v>
      </c>
      <c r="E2676" s="169" t="s">
        <v>221</v>
      </c>
      <c r="F2676" s="245" t="str">
        <f t="shared" si="167"/>
        <v>RobC 80</v>
      </c>
      <c r="G2676" s="169" t="s">
        <v>5706</v>
      </c>
      <c r="I2676" s="169" t="str">
        <f t="shared" si="169"/>
        <v>L09_JVSPLIT_048E_WINZE STOPE</v>
      </c>
      <c r="J2676" s="169" t="s">
        <v>11597</v>
      </c>
      <c r="K2676" s="169">
        <f>IFERROR(MATCH(J2676,'Final List'!$B$4:$B$252,0),0)</f>
        <v>0</v>
      </c>
      <c r="L2676" s="169">
        <f>IFERROR(MATCH(J2676,'Final List'!$D$4:$D$252,0),0)</f>
        <v>0</v>
      </c>
      <c r="M2676" s="169">
        <f>IFERROR(MATCH(J2676,'Final List'!$F$4:$F$251,0),0)</f>
        <v>0</v>
      </c>
      <c r="N2676" s="169">
        <f>IFERROR(MATCH(J2676,'Final List'!$H$4:$H$252,0),0)</f>
        <v>0</v>
      </c>
      <c r="O2676" s="169">
        <f>IFERROR(MATCH(J2676,'Final List'!$J$4:$J$252,0),0)</f>
        <v>0</v>
      </c>
      <c r="P2676" s="169">
        <f>IFERROR(MATCH(J2676,'Final List'!$L$4:$L$252,0),0)</f>
        <v>0</v>
      </c>
      <c r="Q2676" s="169">
        <f>IFERROR(MATCH(J2676,'Final List'!$N$4:$N$252,0),0)</f>
        <v>0</v>
      </c>
      <c r="R2676" s="169">
        <f>IFERROR(MATCH(J2676,'Final List'!$P$4:$P$252,0),0)</f>
        <v>0</v>
      </c>
      <c r="S2676" s="169">
        <f t="shared" si="168"/>
        <v>0</v>
      </c>
      <c r="T2676" s="169" t="s">
        <v>68</v>
      </c>
      <c r="V2676" s="169" t="str">
        <f t="shared" si="170"/>
        <v>SHEPHERD AF 1</v>
      </c>
      <c r="W2676" s="169" t="s">
        <v>2719</v>
      </c>
    </row>
    <row r="2677" spans="2:23" x14ac:dyDescent="0.25">
      <c r="B2677" s="169" t="s">
        <v>8904</v>
      </c>
      <c r="C2677" s="169" t="s">
        <v>44</v>
      </c>
      <c r="D2677" s="169" t="s">
        <v>140</v>
      </c>
      <c r="E2677" s="169" t="s">
        <v>62</v>
      </c>
      <c r="F2677" s="245" t="str">
        <f t="shared" si="167"/>
        <v>RobS 79</v>
      </c>
      <c r="G2677" s="169" t="s">
        <v>9348</v>
      </c>
      <c r="I2677" s="169" t="str">
        <f t="shared" si="169"/>
        <v>L03_CV_005W_ROBBING</v>
      </c>
      <c r="J2677" s="169" t="s">
        <v>11599</v>
      </c>
      <c r="K2677" s="169">
        <f>IFERROR(MATCH(J2677,'Final List'!$B$4:$B$252,0),0)</f>
        <v>0</v>
      </c>
      <c r="L2677" s="169">
        <f>IFERROR(MATCH(J2677,'Final List'!$D$4:$D$252,0),0)</f>
        <v>0</v>
      </c>
      <c r="M2677" s="169">
        <f>IFERROR(MATCH(J2677,'Final List'!$F$4:$F$251,0),0)</f>
        <v>0</v>
      </c>
      <c r="N2677" s="169">
        <f>IFERROR(MATCH(J2677,'Final List'!$H$4:$H$252,0),0)</f>
        <v>0</v>
      </c>
      <c r="O2677" s="169">
        <f>IFERROR(MATCH(J2677,'Final List'!$J$4:$J$252,0),0)</f>
        <v>0</v>
      </c>
      <c r="P2677" s="169">
        <f>IFERROR(MATCH(J2677,'Final List'!$L$4:$L$252,0),0)</f>
        <v>0</v>
      </c>
      <c r="Q2677" s="169">
        <f>IFERROR(MATCH(J2677,'Final List'!$N$4:$N$252,0),0)</f>
        <v>0</v>
      </c>
      <c r="R2677" s="169">
        <f>IFERROR(MATCH(J2677,'Final List'!$P$4:$P$252,0),0)</f>
        <v>0</v>
      </c>
      <c r="S2677" s="169">
        <f t="shared" si="168"/>
        <v>0</v>
      </c>
      <c r="T2677" s="169" t="s">
        <v>68</v>
      </c>
      <c r="V2677" s="169" t="str">
        <f t="shared" si="170"/>
        <v>FERNANDEZ, RM 1</v>
      </c>
      <c r="W2677" s="169" t="s">
        <v>2707</v>
      </c>
    </row>
    <row r="2678" spans="2:23" x14ac:dyDescent="0.25">
      <c r="B2678" s="169" t="s">
        <v>95</v>
      </c>
      <c r="C2678" s="169" t="s">
        <v>45</v>
      </c>
      <c r="D2678" s="169" t="s">
        <v>159</v>
      </c>
      <c r="E2678" s="169" t="s">
        <v>60</v>
      </c>
      <c r="F2678" s="245" t="str">
        <f t="shared" si="167"/>
        <v>Dhoz 71</v>
      </c>
      <c r="G2678" s="169" t="s">
        <v>9753</v>
      </c>
      <c r="I2678" s="169" t="str">
        <f t="shared" si="169"/>
        <v>L08_DPVE_023E_DE</v>
      </c>
      <c r="J2678" s="169" t="s">
        <v>11610</v>
      </c>
      <c r="K2678" s="169">
        <f>IFERROR(MATCH(J2678,'Final List'!$B$4:$B$252,0),0)</f>
        <v>0</v>
      </c>
      <c r="L2678" s="169">
        <f>IFERROR(MATCH(J2678,'Final List'!$D$4:$D$252,0),0)</f>
        <v>0</v>
      </c>
      <c r="M2678" s="169">
        <f>IFERROR(MATCH(J2678,'Final List'!$F$4:$F$251,0),0)</f>
        <v>0</v>
      </c>
      <c r="N2678" s="169">
        <f>IFERROR(MATCH(J2678,'Final List'!$H$4:$H$252,0),0)</f>
        <v>0</v>
      </c>
      <c r="O2678" s="169">
        <f>IFERROR(MATCH(J2678,'Final List'!$J$4:$J$252,0),0)</f>
        <v>0</v>
      </c>
      <c r="P2678" s="169">
        <f>IFERROR(MATCH(J2678,'Final List'!$L$4:$L$252,0),0)</f>
        <v>0</v>
      </c>
      <c r="Q2678" s="169">
        <f>IFERROR(MATCH(J2678,'Final List'!$N$4:$N$252,0),0)</f>
        <v>0</v>
      </c>
      <c r="R2678" s="169">
        <f>IFERROR(MATCH(J2678,'Final List'!$P$4:$P$252,0),0)</f>
        <v>0</v>
      </c>
      <c r="S2678" s="169">
        <f t="shared" si="168"/>
        <v>0</v>
      </c>
      <c r="V2678" s="169" t="str">
        <f t="shared" si="170"/>
        <v>CAPUYAN 2</v>
      </c>
      <c r="W2678" s="169" t="s">
        <v>8895</v>
      </c>
    </row>
    <row r="2679" spans="2:23" x14ac:dyDescent="0.25">
      <c r="B2679" s="169" t="s">
        <v>258</v>
      </c>
      <c r="C2679" s="169" t="s">
        <v>45</v>
      </c>
      <c r="D2679" s="169" t="s">
        <v>5723</v>
      </c>
      <c r="E2679" s="169" t="s">
        <v>8605</v>
      </c>
      <c r="F2679" s="245" t="str">
        <f t="shared" si="167"/>
        <v>Dhoz 71</v>
      </c>
      <c r="G2679" s="169" t="s">
        <v>10502</v>
      </c>
      <c r="I2679" s="169" t="str">
        <f t="shared" si="169"/>
        <v>L10_DPVE_046E_REHAB</v>
      </c>
      <c r="J2679" s="169" t="s">
        <v>11617</v>
      </c>
      <c r="K2679" s="169">
        <f>IFERROR(MATCH(J2679,'Final List'!$B$4:$B$252,0),0)</f>
        <v>0</v>
      </c>
      <c r="L2679" s="169">
        <f>IFERROR(MATCH(J2679,'Final List'!$D$4:$D$252,0),0)</f>
        <v>0</v>
      </c>
      <c r="M2679" s="169">
        <f>IFERROR(MATCH(J2679,'Final List'!$F$4:$F$251,0),0)</f>
        <v>0</v>
      </c>
      <c r="N2679" s="169">
        <f>IFERROR(MATCH(J2679,'Final List'!$H$4:$H$252,0),0)</f>
        <v>0</v>
      </c>
      <c r="O2679" s="169">
        <f>IFERROR(MATCH(J2679,'Final List'!$J$4:$J$252,0),0)</f>
        <v>0</v>
      </c>
      <c r="P2679" s="169">
        <f>IFERROR(MATCH(J2679,'Final List'!$L$4:$L$252,0),0)</f>
        <v>0</v>
      </c>
      <c r="Q2679" s="169">
        <f>IFERROR(MATCH(J2679,'Final List'!$N$4:$N$252,0),0)</f>
        <v>0</v>
      </c>
      <c r="R2679" s="169">
        <f>IFERROR(MATCH(J2679,'Final List'!$P$4:$P$252,0),0)</f>
        <v>0</v>
      </c>
      <c r="S2679" s="169">
        <f t="shared" si="168"/>
        <v>0</v>
      </c>
      <c r="V2679" s="169" t="str">
        <f t="shared" si="170"/>
        <v>SHEPHERD AX</v>
      </c>
      <c r="W2679" s="169" t="s">
        <v>2714</v>
      </c>
    </row>
    <row r="2680" spans="2:23" x14ac:dyDescent="0.25">
      <c r="B2680" s="169" t="s">
        <v>258</v>
      </c>
      <c r="C2680" s="169" t="s">
        <v>43</v>
      </c>
      <c r="D2680" s="169" t="s">
        <v>595</v>
      </c>
      <c r="E2680" s="169" t="s">
        <v>20</v>
      </c>
      <c r="F2680" s="245" t="str">
        <f t="shared" si="167"/>
        <v>DVW 74</v>
      </c>
      <c r="G2680" s="169" t="s">
        <v>317</v>
      </c>
      <c r="I2680" s="169" t="str">
        <f t="shared" si="169"/>
        <v>L10_GHVSPLIT_072E_WINZE</v>
      </c>
      <c r="J2680" s="169" t="s">
        <v>11613</v>
      </c>
      <c r="K2680" s="169">
        <f>IFERROR(MATCH(J2680,'Final List'!$B$4:$B$252,0),0)</f>
        <v>0</v>
      </c>
      <c r="L2680" s="169">
        <f>IFERROR(MATCH(J2680,'Final List'!$D$4:$D$252,0),0)</f>
        <v>0</v>
      </c>
      <c r="M2680" s="169">
        <f>IFERROR(MATCH(J2680,'Final List'!$F$4:$F$251,0),0)</f>
        <v>0</v>
      </c>
      <c r="N2680" s="169">
        <f>IFERROR(MATCH(J2680,'Final List'!$H$4:$H$252,0),0)</f>
        <v>0</v>
      </c>
      <c r="O2680" s="169">
        <f>IFERROR(MATCH(J2680,'Final List'!$J$4:$J$252,0),0)</f>
        <v>0</v>
      </c>
      <c r="P2680" s="169">
        <f>IFERROR(MATCH(J2680,'Final List'!$L$4:$L$252,0),0)</f>
        <v>0</v>
      </c>
      <c r="Q2680" s="169">
        <f>IFERROR(MATCH(J2680,'Final List'!$N$4:$N$252,0),0)</f>
        <v>0</v>
      </c>
      <c r="R2680" s="169">
        <f>IFERROR(MATCH(J2680,'Final List'!$P$4:$P$252,0),0)</f>
        <v>0</v>
      </c>
      <c r="S2680" s="169">
        <f t="shared" si="168"/>
        <v>0</v>
      </c>
      <c r="V2680" s="169" t="str">
        <f t="shared" si="170"/>
        <v>PARAGUYA 2</v>
      </c>
      <c r="W2680" s="169" t="s">
        <v>2717</v>
      </c>
    </row>
    <row r="2681" spans="2:23" x14ac:dyDescent="0.25">
      <c r="B2681" s="169" t="s">
        <v>258</v>
      </c>
      <c r="C2681" s="169" t="s">
        <v>43</v>
      </c>
      <c r="D2681" s="169" t="s">
        <v>164</v>
      </c>
      <c r="E2681" s="169" t="s">
        <v>60</v>
      </c>
      <c r="F2681" s="245" t="str">
        <f t="shared" si="167"/>
        <v>Dhoz 71</v>
      </c>
      <c r="G2681" s="169" t="s">
        <v>10805</v>
      </c>
      <c r="I2681" s="169" t="str">
        <f t="shared" si="169"/>
        <v>L10_GHVSPLIT_064E_DE</v>
      </c>
      <c r="J2681" s="169" t="s">
        <v>11614</v>
      </c>
      <c r="K2681" s="169">
        <f>IFERROR(MATCH(J2681,'Final List'!$B$4:$B$252,0),0)</f>
        <v>0</v>
      </c>
      <c r="L2681" s="169">
        <f>IFERROR(MATCH(J2681,'Final List'!$D$4:$D$252,0),0)</f>
        <v>0</v>
      </c>
      <c r="M2681" s="169">
        <f>IFERROR(MATCH(J2681,'Final List'!$F$4:$F$251,0),0)</f>
        <v>0</v>
      </c>
      <c r="N2681" s="169">
        <f>IFERROR(MATCH(J2681,'Final List'!$H$4:$H$252,0),0)</f>
        <v>0</v>
      </c>
      <c r="O2681" s="169">
        <f>IFERROR(MATCH(J2681,'Final List'!$J$4:$J$252,0),0)</f>
        <v>0</v>
      </c>
      <c r="P2681" s="169">
        <f>IFERROR(MATCH(J2681,'Final List'!$L$4:$L$252,0),0)</f>
        <v>0</v>
      </c>
      <c r="Q2681" s="169">
        <f>IFERROR(MATCH(J2681,'Final List'!$N$4:$N$252,0),0)</f>
        <v>0</v>
      </c>
      <c r="R2681" s="169">
        <f>IFERROR(MATCH(J2681,'Final List'!$P$4:$P$252,0),0)</f>
        <v>0</v>
      </c>
      <c r="S2681" s="169">
        <f t="shared" si="168"/>
        <v>0</v>
      </c>
      <c r="V2681" s="169" t="str">
        <f t="shared" si="170"/>
        <v>SHEPHERD BD 1</v>
      </c>
      <c r="W2681" s="169" t="s">
        <v>8896</v>
      </c>
    </row>
    <row r="2682" spans="2:23" x14ac:dyDescent="0.25">
      <c r="B2682" s="169" t="s">
        <v>91</v>
      </c>
      <c r="C2682" s="169" t="s">
        <v>42</v>
      </c>
      <c r="D2682" s="169" t="s">
        <v>5975</v>
      </c>
      <c r="E2682" s="169" t="s">
        <v>62</v>
      </c>
      <c r="F2682" s="245" t="str">
        <f t="shared" si="167"/>
        <v>RobS 79</v>
      </c>
      <c r="G2682" s="169" t="s">
        <v>10890</v>
      </c>
      <c r="I2682" s="169" t="str">
        <f t="shared" si="169"/>
        <v>L04_JV_028E_ROBBING</v>
      </c>
      <c r="J2682" s="169" t="s">
        <v>11631</v>
      </c>
      <c r="K2682" s="169">
        <f>IFERROR(MATCH(J2682,'Final List'!$B$4:$B$252,0),0)</f>
        <v>0</v>
      </c>
      <c r="L2682" s="169">
        <f>IFERROR(MATCH(J2682,'Final List'!$D$4:$D$252,0),0)</f>
        <v>0</v>
      </c>
      <c r="M2682" s="169">
        <f>IFERROR(MATCH(J2682,'Final List'!$F$4:$F$251,0),0)</f>
        <v>0</v>
      </c>
      <c r="N2682" s="169">
        <f>IFERROR(MATCH(J2682,'Final List'!$H$4:$H$252,0),0)</f>
        <v>0</v>
      </c>
      <c r="O2682" s="169">
        <f>IFERROR(MATCH(J2682,'Final List'!$J$4:$J$252,0),0)</f>
        <v>0</v>
      </c>
      <c r="P2682" s="169">
        <f>IFERROR(MATCH(J2682,'Final List'!$L$4:$L$252,0),0)</f>
        <v>0</v>
      </c>
      <c r="Q2682" s="169">
        <f>IFERROR(MATCH(J2682,'Final List'!$N$4:$N$252,0),0)</f>
        <v>0</v>
      </c>
      <c r="R2682" s="169">
        <f>IFERROR(MATCH(J2682,'Final List'!$P$4:$P$252,0),0)</f>
        <v>0</v>
      </c>
      <c r="S2682" s="169">
        <f t="shared" si="168"/>
        <v>0</v>
      </c>
      <c r="T2682" s="169" t="s">
        <v>68</v>
      </c>
      <c r="V2682" s="169" t="str">
        <f t="shared" si="170"/>
        <v>MARTINEZ, DN 1</v>
      </c>
      <c r="W2682" s="169" t="s">
        <v>2707</v>
      </c>
    </row>
    <row r="2683" spans="2:23" x14ac:dyDescent="0.25">
      <c r="B2683" s="169" t="s">
        <v>1167</v>
      </c>
      <c r="C2683" s="169" t="s">
        <v>87</v>
      </c>
      <c r="D2683" s="169" t="s">
        <v>5604</v>
      </c>
      <c r="E2683" s="169" t="s">
        <v>63</v>
      </c>
      <c r="F2683" s="245" t="str">
        <f t="shared" si="167"/>
        <v>Dhoz 71</v>
      </c>
      <c r="G2683" s="169" t="s">
        <v>3170</v>
      </c>
      <c r="I2683" s="169" t="str">
        <f t="shared" si="169"/>
        <v>L12_NONE_063E_XCS</v>
      </c>
      <c r="J2683" s="169" t="s">
        <v>11632</v>
      </c>
      <c r="K2683" s="169">
        <f>IFERROR(MATCH(J2683,'Final List'!$B$4:$B$252,0),0)</f>
        <v>0</v>
      </c>
      <c r="L2683" s="169">
        <f>IFERROR(MATCH(J2683,'Final List'!$D$4:$D$252,0),0)</f>
        <v>0</v>
      </c>
      <c r="M2683" s="169">
        <f>IFERROR(MATCH(J2683,'Final List'!$F$4:$F$251,0),0)</f>
        <v>0</v>
      </c>
      <c r="N2683" s="169">
        <f>IFERROR(MATCH(J2683,'Final List'!$H$4:$H$252,0),0)</f>
        <v>0</v>
      </c>
      <c r="O2683" s="169">
        <f>IFERROR(MATCH(J2683,'Final List'!$J$4:$J$252,0),0)</f>
        <v>0</v>
      </c>
      <c r="P2683" s="169">
        <f>IFERROR(MATCH(J2683,'Final List'!$L$4:$L$252,0),0)</f>
        <v>0</v>
      </c>
      <c r="Q2683" s="169">
        <f>IFERROR(MATCH(J2683,'Final List'!$N$4:$N$252,0),0)</f>
        <v>0</v>
      </c>
      <c r="R2683" s="169">
        <f>IFERROR(MATCH(J2683,'Final List'!$P$4:$P$252,0),0)</f>
        <v>0</v>
      </c>
      <c r="S2683" s="169">
        <f t="shared" si="168"/>
        <v>0</v>
      </c>
      <c r="V2683" s="169" t="str">
        <f t="shared" si="170"/>
        <v>PANCIT NOEL 6</v>
      </c>
      <c r="W2683" s="169" t="s">
        <v>8898</v>
      </c>
    </row>
    <row r="2684" spans="2:23" ht="14.25" customHeight="1" x14ac:dyDescent="0.25">
      <c r="B2684" s="169" t="s">
        <v>1166</v>
      </c>
      <c r="C2684" s="169" t="s">
        <v>87</v>
      </c>
      <c r="D2684" s="169" t="s">
        <v>177</v>
      </c>
      <c r="E2684" s="169" t="s">
        <v>72</v>
      </c>
      <c r="F2684" s="245" t="str">
        <f t="shared" si="167"/>
        <v>Dhoz 71</v>
      </c>
      <c r="G2684" s="169" t="s">
        <v>6926</v>
      </c>
      <c r="H2684" s="169" t="s">
        <v>5699</v>
      </c>
      <c r="I2684" s="169" t="str">
        <f t="shared" si="169"/>
        <v>L11_NONE_054E_CHAMBER</v>
      </c>
      <c r="J2684" s="169" t="s">
        <v>11638</v>
      </c>
      <c r="K2684" s="169">
        <f>IFERROR(MATCH(J2684,'Final List'!$B$4:$B$252,0),0)</f>
        <v>0</v>
      </c>
      <c r="L2684" s="169">
        <f>IFERROR(MATCH(J2684,'Final List'!$D$4:$D$252,0),0)</f>
        <v>0</v>
      </c>
      <c r="M2684" s="169">
        <f>IFERROR(MATCH(J2684,'Final List'!$F$4:$F$251,0),0)</f>
        <v>0</v>
      </c>
      <c r="N2684" s="169">
        <f>IFERROR(MATCH(J2684,'Final List'!$H$4:$H$252,0),0)</f>
        <v>0</v>
      </c>
      <c r="O2684" s="169">
        <f>IFERROR(MATCH(J2684,'Final List'!$J$4:$J$252,0),0)</f>
        <v>0</v>
      </c>
      <c r="P2684" s="169">
        <f>IFERROR(MATCH(J2684,'Final List'!$L$4:$L$252,0),0)</f>
        <v>0</v>
      </c>
      <c r="Q2684" s="169">
        <f>IFERROR(MATCH(J2684,'Final List'!$N$4:$N$252,0),0)</f>
        <v>0</v>
      </c>
      <c r="R2684" s="169">
        <f>IFERROR(MATCH(J2684,'Final List'!$P$4:$P$252,0),0)</f>
        <v>0</v>
      </c>
      <c r="S2684" s="169">
        <f t="shared" si="168"/>
        <v>0</v>
      </c>
      <c r="V2684" s="169" t="str">
        <f t="shared" si="170"/>
        <v>PARAN 2</v>
      </c>
      <c r="W2684" s="169" t="s">
        <v>2714</v>
      </c>
    </row>
    <row r="2685" spans="2:23" x14ac:dyDescent="0.25">
      <c r="B2685" s="169" t="s">
        <v>1167</v>
      </c>
      <c r="C2685" s="169" t="s">
        <v>87</v>
      </c>
      <c r="D2685" s="169" t="s">
        <v>179</v>
      </c>
      <c r="E2685" s="169" t="s">
        <v>72</v>
      </c>
      <c r="F2685" s="245" t="str">
        <f t="shared" si="167"/>
        <v>Dhoz 71</v>
      </c>
      <c r="G2685" s="169" t="s">
        <v>75</v>
      </c>
      <c r="I2685" s="169" t="str">
        <f t="shared" si="169"/>
        <v>L12_NONE_050E_CHAMBER</v>
      </c>
      <c r="J2685" s="169" t="s">
        <v>11639</v>
      </c>
      <c r="K2685" s="169">
        <f>IFERROR(MATCH(J2685,'Final List'!$B$4:$B$252,0),0)</f>
        <v>0</v>
      </c>
      <c r="L2685" s="169">
        <f>IFERROR(MATCH(J2685,'Final List'!$D$4:$D$252,0),0)</f>
        <v>0</v>
      </c>
      <c r="M2685" s="169">
        <f>IFERROR(MATCH(J2685,'Final List'!$F$4:$F$251,0),0)</f>
        <v>0</v>
      </c>
      <c r="N2685" s="169">
        <f>IFERROR(MATCH(J2685,'Final List'!$H$4:$H$252,0),0)</f>
        <v>0</v>
      </c>
      <c r="O2685" s="169">
        <f>IFERROR(MATCH(J2685,'Final List'!$J$4:$J$252,0),0)</f>
        <v>0</v>
      </c>
      <c r="P2685" s="169">
        <f>IFERROR(MATCH(J2685,'Final List'!$L$4:$L$252,0),0)</f>
        <v>0</v>
      </c>
      <c r="Q2685" s="169">
        <f>IFERROR(MATCH(J2685,'Final List'!$N$4:$N$252,0),0)</f>
        <v>0</v>
      </c>
      <c r="R2685" s="169">
        <f>IFERROR(MATCH(J2685,'Final List'!$P$4:$P$252,0),0)</f>
        <v>0</v>
      </c>
      <c r="S2685" s="169">
        <f t="shared" si="168"/>
        <v>0</v>
      </c>
      <c r="V2685" s="169" t="str">
        <f t="shared" si="170"/>
        <v>BABOR</v>
      </c>
      <c r="W2685" s="169" t="s">
        <v>2714</v>
      </c>
    </row>
    <row r="2686" spans="2:23" x14ac:dyDescent="0.25">
      <c r="B2686" s="169" t="s">
        <v>95</v>
      </c>
      <c r="C2686" s="169" t="s">
        <v>57</v>
      </c>
      <c r="D2686" s="169" t="s">
        <v>5872</v>
      </c>
      <c r="E2686" s="169" t="s">
        <v>62</v>
      </c>
      <c r="F2686" s="245" t="str">
        <f t="shared" si="167"/>
        <v>RobS 79</v>
      </c>
      <c r="G2686" s="169" t="s">
        <v>467</v>
      </c>
      <c r="I2686" s="169" t="str">
        <f t="shared" si="169"/>
        <v>L08_JVSPLIT_076E_ROBBING</v>
      </c>
      <c r="J2686" s="169" t="s">
        <v>11647</v>
      </c>
      <c r="K2686" s="169">
        <f>IFERROR(MATCH(J2686,'Final List'!$B$4:$B$252,0),0)</f>
        <v>0</v>
      </c>
      <c r="L2686" s="169">
        <f>IFERROR(MATCH(J2686,'Final List'!$D$4:$D$252,0),0)</f>
        <v>0</v>
      </c>
      <c r="M2686" s="169">
        <f>IFERROR(MATCH(J2686,'Final List'!$F$4:$F$251,0),0)</f>
        <v>0</v>
      </c>
      <c r="N2686" s="169">
        <f>IFERROR(MATCH(J2686,'Final List'!$H$4:$H$252,0),0)</f>
        <v>0</v>
      </c>
      <c r="O2686" s="169">
        <f>IFERROR(MATCH(J2686,'Final List'!$J$4:$J$252,0),0)</f>
        <v>0</v>
      </c>
      <c r="P2686" s="169">
        <f>IFERROR(MATCH(J2686,'Final List'!$L$4:$L$252,0),0)</f>
        <v>0</v>
      </c>
      <c r="Q2686" s="169">
        <f>IFERROR(MATCH(J2686,'Final List'!$N$4:$N$252,0),0)</f>
        <v>0</v>
      </c>
      <c r="R2686" s="169">
        <f>IFERROR(MATCH(J2686,'Final List'!$P$4:$P$252,0),0)</f>
        <v>0</v>
      </c>
      <c r="S2686" s="169">
        <f t="shared" si="168"/>
        <v>0</v>
      </c>
      <c r="T2686" s="169" t="s">
        <v>68</v>
      </c>
      <c r="V2686" s="169" t="str">
        <f t="shared" si="170"/>
        <v>AGLOLO 2</v>
      </c>
      <c r="W2686" s="169" t="s">
        <v>2707</v>
      </c>
    </row>
    <row r="2687" spans="2:23" x14ac:dyDescent="0.25">
      <c r="B2687" s="169" t="s">
        <v>1166</v>
      </c>
      <c r="C2687" s="169" t="s">
        <v>56</v>
      </c>
      <c r="D2687" s="169" t="s">
        <v>5975</v>
      </c>
      <c r="E2687" s="169" t="s">
        <v>36</v>
      </c>
      <c r="F2687" s="245" t="str">
        <f t="shared" si="167"/>
        <v>StpS 77</v>
      </c>
      <c r="G2687" s="169" t="s">
        <v>584</v>
      </c>
      <c r="H2687" s="169" t="s">
        <v>355</v>
      </c>
      <c r="I2687" s="169" t="str">
        <f t="shared" si="169"/>
        <v>L11_GHVFW_028E_STOPE</v>
      </c>
      <c r="J2687" s="169" t="s">
        <v>11783</v>
      </c>
      <c r="K2687" s="169">
        <f>IFERROR(MATCH(J2687,'Final List'!$B$4:$B$252,0),0)</f>
        <v>0</v>
      </c>
      <c r="L2687" s="169">
        <f>IFERROR(MATCH(J2687,'Final List'!$D$4:$D$252,0),0)</f>
        <v>0</v>
      </c>
      <c r="M2687" s="169">
        <f>IFERROR(MATCH(J2687,'Final List'!$F$4:$F$251,0),0)</f>
        <v>0</v>
      </c>
      <c r="N2687" s="169">
        <f>IFERROR(MATCH(J2687,'Final List'!$H$4:$H$252,0),0)</f>
        <v>0</v>
      </c>
      <c r="O2687" s="169">
        <f>IFERROR(MATCH(J2687,'Final List'!$J$4:$J$252,0),0)</f>
        <v>0</v>
      </c>
      <c r="P2687" s="169">
        <f>IFERROR(MATCH(J2687,'Final List'!$L$4:$L$252,0),0)</f>
        <v>0</v>
      </c>
      <c r="Q2687" s="169">
        <f>IFERROR(MATCH(J2687,'Final List'!$N$4:$N$252,0),0)</f>
        <v>0</v>
      </c>
      <c r="R2687" s="169">
        <f>IFERROR(MATCH(J2687,'Final List'!$P$4:$P$252,0),0)</f>
        <v>0</v>
      </c>
      <c r="S2687" s="169">
        <f t="shared" si="168"/>
        <v>0</v>
      </c>
      <c r="T2687" s="169" t="s">
        <v>68</v>
      </c>
      <c r="V2687" s="169" t="str">
        <f t="shared" si="170"/>
        <v>BAÑEZ 2</v>
      </c>
      <c r="W2687" s="169" t="s">
        <v>2711</v>
      </c>
    </row>
    <row r="2688" spans="2:23" x14ac:dyDescent="0.25">
      <c r="B2688" s="169" t="s">
        <v>258</v>
      </c>
      <c r="C2688" s="169" t="s">
        <v>87</v>
      </c>
      <c r="D2688" s="169" t="s">
        <v>159</v>
      </c>
      <c r="E2688" s="169" t="s">
        <v>63</v>
      </c>
      <c r="F2688" s="245" t="str">
        <f t="shared" si="167"/>
        <v>Dhoz 71</v>
      </c>
      <c r="G2688" s="169" t="s">
        <v>10502</v>
      </c>
      <c r="I2688" s="169" t="str">
        <f t="shared" si="169"/>
        <v>L10_NONE_023E_XCS</v>
      </c>
      <c r="J2688" s="169" t="s">
        <v>11653</v>
      </c>
      <c r="K2688" s="169">
        <f>IFERROR(MATCH(J2688,'Final List'!$B$4:$B$252,0),0)</f>
        <v>0</v>
      </c>
      <c r="L2688" s="169">
        <f>IFERROR(MATCH(J2688,'Final List'!$D$4:$D$252,0),0)</f>
        <v>0</v>
      </c>
      <c r="M2688" s="169">
        <f>IFERROR(MATCH(J2688,'Final List'!$F$4:$F$251,0),0)</f>
        <v>0</v>
      </c>
      <c r="N2688" s="169">
        <f>IFERROR(MATCH(J2688,'Final List'!$H$4:$H$252,0),0)</f>
        <v>0</v>
      </c>
      <c r="O2688" s="169">
        <f>IFERROR(MATCH(J2688,'Final List'!$J$4:$J$252,0),0)</f>
        <v>0</v>
      </c>
      <c r="P2688" s="169">
        <f>IFERROR(MATCH(J2688,'Final List'!$L$4:$L$252,0),0)</f>
        <v>0</v>
      </c>
      <c r="Q2688" s="169">
        <f>IFERROR(MATCH(J2688,'Final List'!$N$4:$N$252,0),0)</f>
        <v>0</v>
      </c>
      <c r="R2688" s="169">
        <f>IFERROR(MATCH(J2688,'Final List'!$P$4:$P$252,0),0)</f>
        <v>0</v>
      </c>
      <c r="S2688" s="169">
        <f t="shared" si="168"/>
        <v>0</v>
      </c>
      <c r="V2688" s="169" t="str">
        <f t="shared" si="170"/>
        <v>SHEPHERD AX</v>
      </c>
      <c r="W2688" s="169" t="s">
        <v>2714</v>
      </c>
    </row>
    <row r="2689" spans="2:23" x14ac:dyDescent="0.25">
      <c r="B2689" s="169" t="s">
        <v>96</v>
      </c>
      <c r="C2689" s="169" t="s">
        <v>45</v>
      </c>
      <c r="D2689" s="169" t="s">
        <v>164</v>
      </c>
      <c r="E2689" s="169" t="s">
        <v>62</v>
      </c>
      <c r="F2689" s="245" t="str">
        <f t="shared" si="167"/>
        <v>RobC 80</v>
      </c>
      <c r="G2689" s="169" t="s">
        <v>12062</v>
      </c>
      <c r="H2689" s="169" t="s">
        <v>2972</v>
      </c>
      <c r="I2689" s="169" t="str">
        <f t="shared" si="169"/>
        <v>L09_DPVE_064E_ROBBING</v>
      </c>
      <c r="J2689" s="169" t="s">
        <v>11656</v>
      </c>
      <c r="K2689" s="169">
        <f>IFERROR(MATCH(J2689,'Final List'!$B$4:$B$252,0),0)</f>
        <v>0</v>
      </c>
      <c r="L2689" s="169">
        <f>IFERROR(MATCH(J2689,'Final List'!$D$4:$D$252,0),0)</f>
        <v>0</v>
      </c>
      <c r="M2689" s="169">
        <f>IFERROR(MATCH(J2689,'Final List'!$F$4:$F$251,0),0)</f>
        <v>0</v>
      </c>
      <c r="N2689" s="169">
        <f>IFERROR(MATCH(J2689,'Final List'!$H$4:$H$252,0),0)</f>
        <v>0</v>
      </c>
      <c r="O2689" s="169">
        <f>IFERROR(MATCH(J2689,'Final List'!$J$4:$J$252,0),0)</f>
        <v>0</v>
      </c>
      <c r="P2689" s="169">
        <f>IFERROR(MATCH(J2689,'Final List'!$L$4:$L$252,0),0)</f>
        <v>0</v>
      </c>
      <c r="Q2689" s="169">
        <f>IFERROR(MATCH(J2689,'Final List'!$N$4:$N$252,0),0)</f>
        <v>0</v>
      </c>
      <c r="R2689" s="169">
        <f>IFERROR(MATCH(J2689,'Final List'!$P$4:$P$252,0),0)</f>
        <v>0</v>
      </c>
      <c r="S2689" s="169">
        <f t="shared" si="168"/>
        <v>0</v>
      </c>
      <c r="T2689" s="169" t="s">
        <v>48</v>
      </c>
      <c r="V2689" s="169" t="str">
        <f t="shared" si="170"/>
        <v>FABROA 1</v>
      </c>
      <c r="W2689" s="169" t="s">
        <v>236</v>
      </c>
    </row>
    <row r="2690" spans="2:23" x14ac:dyDescent="0.25">
      <c r="B2690" s="169" t="s">
        <v>96</v>
      </c>
      <c r="C2690" s="169" t="s">
        <v>45</v>
      </c>
      <c r="D2690" s="169" t="s">
        <v>161</v>
      </c>
      <c r="E2690" s="169" t="s">
        <v>20</v>
      </c>
      <c r="F2690" s="245" t="str">
        <f t="shared" si="167"/>
        <v>DVW 74</v>
      </c>
      <c r="G2690" s="169" t="s">
        <v>10888</v>
      </c>
      <c r="I2690" s="169" t="str">
        <f t="shared" si="169"/>
        <v>L09_DPVE_044E_WINZE</v>
      </c>
      <c r="J2690" s="169" t="s">
        <v>11658</v>
      </c>
      <c r="K2690" s="169">
        <f>IFERROR(MATCH(J2690,'Final List'!$B$4:$B$252,0),0)</f>
        <v>0</v>
      </c>
      <c r="L2690" s="169">
        <f>IFERROR(MATCH(J2690,'Final List'!$D$4:$D$252,0),0)</f>
        <v>0</v>
      </c>
      <c r="M2690" s="169">
        <f>IFERROR(MATCH(J2690,'Final List'!$F$4:$F$251,0),0)</f>
        <v>0</v>
      </c>
      <c r="N2690" s="169">
        <f>IFERROR(MATCH(J2690,'Final List'!$H$4:$H$252,0),0)</f>
        <v>0</v>
      </c>
      <c r="O2690" s="169">
        <f>IFERROR(MATCH(J2690,'Final List'!$J$4:$J$252,0),0)</f>
        <v>0</v>
      </c>
      <c r="P2690" s="169">
        <f>IFERROR(MATCH(J2690,'Final List'!$L$4:$L$252,0),0)</f>
        <v>0</v>
      </c>
      <c r="Q2690" s="169">
        <f>IFERROR(MATCH(J2690,'Final List'!$N$4:$N$252,0),0)</f>
        <v>0</v>
      </c>
      <c r="R2690" s="169">
        <f>IFERROR(MATCH(J2690,'Final List'!$P$4:$P$252,0),0)</f>
        <v>0</v>
      </c>
      <c r="S2690" s="169">
        <f t="shared" si="168"/>
        <v>0</v>
      </c>
      <c r="V2690" s="169" t="str">
        <f t="shared" si="170"/>
        <v>SHEPHERD BE 1</v>
      </c>
      <c r="W2690" s="169" t="s">
        <v>2706</v>
      </c>
    </row>
    <row r="2691" spans="2:23" x14ac:dyDescent="0.25">
      <c r="B2691" s="169" t="s">
        <v>1166</v>
      </c>
      <c r="C2691" s="169" t="s">
        <v>38</v>
      </c>
      <c r="D2691" s="169" t="s">
        <v>870</v>
      </c>
      <c r="E2691" s="169" t="s">
        <v>36</v>
      </c>
      <c r="F2691" s="245" t="str">
        <f t="shared" ref="F2691:F2754" si="171">IF(OR(E2691="XCN",E2691="DE",E2691="DW",E2691="DN",E2691="XCS",E2691="XCE",E2691="XCW",E2691="SUMP",E2691="BYPASS",E2691="CHAMBER",E2691="DRAIN HOLE",E2691="DRILLING CHAMBER",E2691="DE_ISL",E2691="DW_ISL",E2691="REHAB"),"Dhoz 71",IF(OR(E2691="RAISE",E2691="RAISE_ISL"),"DVR 72",IF(E2691="ALIMAK","DVA 73",IF(E2691="WINZE","DVW 74",IF(E2691="SHAFT","DVS 75",IF(AND(E2691="WINZE STOPE",T2691="S"),"RobC 80",IF(AND(E2691="STOPE",T2691="S"),"StpS 77",IF(AND(E2691="WINZE STOPE",T2691="L"),"RobC 80",IF(AND(E2691="STOPE",T2691="L"),"StpL 78",IF(AND(E2691="WINZE STOPE PREP",T2691="S"),"RobC 80",IF(AND(E2691="STOPE PREP",T2691="S"),"StpS 77",IF(AND(E2691="WINZE STOPE PREP",T2691="L"),"RobC 80",IF(AND(E2691="STOPE PREP",T2691="L"),"StpL 78",IF(AND(E2691="ROBBING",T2691="L"),"RobC 80",IF(AND(E2691="ROBBING",T2691="S"),"RobS 79",0)))))))))))))))</f>
        <v>StpS 77</v>
      </c>
      <c r="G2691" s="169" t="s">
        <v>5717</v>
      </c>
      <c r="I2691" s="169" t="str">
        <f t="shared" si="169"/>
        <v>L11_GHV_073E_STOPE</v>
      </c>
      <c r="J2691" s="169" t="s">
        <v>11760</v>
      </c>
      <c r="K2691" s="169">
        <f>IFERROR(MATCH(J2691,'Final List'!$B$4:$B$252,0),0)</f>
        <v>0</v>
      </c>
      <c r="L2691" s="169">
        <f>IFERROR(MATCH(J2691,'Final List'!$D$4:$D$252,0),0)</f>
        <v>0</v>
      </c>
      <c r="M2691" s="169">
        <f>IFERROR(MATCH(J2691,'Final List'!$F$4:$F$251,0),0)</f>
        <v>0</v>
      </c>
      <c r="N2691" s="169">
        <f>IFERROR(MATCH(J2691,'Final List'!$H$4:$H$252,0),0)</f>
        <v>0</v>
      </c>
      <c r="O2691" s="169">
        <f>IFERROR(MATCH(J2691,'Final List'!$J$4:$J$252,0),0)</f>
        <v>0</v>
      </c>
      <c r="P2691" s="169">
        <f>IFERROR(MATCH(J2691,'Final List'!$L$4:$L$252,0),0)</f>
        <v>0</v>
      </c>
      <c r="Q2691" s="169">
        <f>IFERROR(MATCH(J2691,'Final List'!$N$4:$N$252,0),0)</f>
        <v>0</v>
      </c>
      <c r="R2691" s="169">
        <f>IFERROR(MATCH(J2691,'Final List'!$P$4:$P$252,0),0)</f>
        <v>0</v>
      </c>
      <c r="S2691" s="169">
        <f t="shared" ref="S2691:S2754" si="172">SUM(K2691:R2691)</f>
        <v>0</v>
      </c>
      <c r="T2691" s="169" t="s">
        <v>68</v>
      </c>
      <c r="V2691" s="169" t="str">
        <f t="shared" si="170"/>
        <v>SHEPHERD AC 1</v>
      </c>
      <c r="W2691" s="169" t="s">
        <v>2713</v>
      </c>
    </row>
    <row r="2692" spans="2:23" x14ac:dyDescent="0.25">
      <c r="B2692" s="169" t="s">
        <v>258</v>
      </c>
      <c r="C2692" s="169" t="s">
        <v>43</v>
      </c>
      <c r="D2692" s="169" t="s">
        <v>870</v>
      </c>
      <c r="E2692" s="169" t="s">
        <v>211</v>
      </c>
      <c r="F2692" s="245" t="str">
        <f t="shared" si="171"/>
        <v>StpS 77</v>
      </c>
      <c r="G2692" s="169" t="s">
        <v>9422</v>
      </c>
      <c r="I2692" s="169" t="str">
        <f t="shared" si="169"/>
        <v>L10_GHVSPLIT_073E_STOPE PREP</v>
      </c>
      <c r="J2692" s="169" t="s">
        <v>6585</v>
      </c>
      <c r="K2692" s="169">
        <f>IFERROR(MATCH(J2692,'Final List'!$B$4:$B$252,0),0)</f>
        <v>0</v>
      </c>
      <c r="L2692" s="169">
        <f>IFERROR(MATCH(J2692,'Final List'!$D$4:$D$252,0),0)</f>
        <v>0</v>
      </c>
      <c r="M2692" s="169">
        <f>IFERROR(MATCH(J2692,'Final List'!$F$4:$F$251,0),0)</f>
        <v>0</v>
      </c>
      <c r="N2692" s="169">
        <f>IFERROR(MATCH(J2692,'Final List'!$H$4:$H$252,0),0)</f>
        <v>0</v>
      </c>
      <c r="O2692" s="169">
        <f>IFERROR(MATCH(J2692,'Final List'!$J$4:$J$252,0),0)</f>
        <v>0</v>
      </c>
      <c r="P2692" s="169">
        <f>IFERROR(MATCH(J2692,'Final List'!$L$4:$L$252,0),0)</f>
        <v>0</v>
      </c>
      <c r="Q2692" s="169">
        <f>IFERROR(MATCH(J2692,'Final List'!$N$4:$N$252,0),0)</f>
        <v>0</v>
      </c>
      <c r="R2692" s="169">
        <f>IFERROR(MATCH(J2692,'Final List'!$P$4:$P$252,0),0)</f>
        <v>0</v>
      </c>
      <c r="S2692" s="169">
        <f t="shared" si="172"/>
        <v>0</v>
      </c>
      <c r="T2692" s="169" t="s">
        <v>68</v>
      </c>
      <c r="V2692" s="169" t="str">
        <f t="shared" si="170"/>
        <v>SHEPHERD AY 1</v>
      </c>
      <c r="W2692" s="169" t="s">
        <v>2712</v>
      </c>
    </row>
    <row r="2693" spans="2:23" x14ac:dyDescent="0.25">
      <c r="B2693" s="169" t="s">
        <v>258</v>
      </c>
      <c r="C2693" s="169" t="s">
        <v>45</v>
      </c>
      <c r="D2693" s="169" t="s">
        <v>10196</v>
      </c>
      <c r="E2693" s="169" t="s">
        <v>36</v>
      </c>
      <c r="F2693" s="245" t="str">
        <f t="shared" si="171"/>
        <v>StpS 77</v>
      </c>
      <c r="G2693" s="169" t="s">
        <v>5705</v>
      </c>
      <c r="I2693" s="169" t="str">
        <f t="shared" si="169"/>
        <v>L10_DPVE_100E_STOPE</v>
      </c>
      <c r="J2693" s="169" t="s">
        <v>11778</v>
      </c>
      <c r="K2693" s="169">
        <f>IFERROR(MATCH(J2693,'Final List'!$B$4:$B$252,0),0)</f>
        <v>0</v>
      </c>
      <c r="L2693" s="169">
        <f>IFERROR(MATCH(J2693,'Final List'!$D$4:$D$252,0),0)</f>
        <v>0</v>
      </c>
      <c r="M2693" s="169">
        <f>IFERROR(MATCH(J2693,'Final List'!$F$4:$F$251,0),0)</f>
        <v>0</v>
      </c>
      <c r="N2693" s="169">
        <f>IFERROR(MATCH(J2693,'Final List'!$H$4:$H$252,0),0)</f>
        <v>0</v>
      </c>
      <c r="O2693" s="169">
        <f>IFERROR(MATCH(J2693,'Final List'!$J$4:$J$252,0),0)</f>
        <v>0</v>
      </c>
      <c r="P2693" s="169">
        <f>IFERROR(MATCH(J2693,'Final List'!$L$4:$L$252,0),0)</f>
        <v>0</v>
      </c>
      <c r="Q2693" s="169">
        <f>IFERROR(MATCH(J2693,'Final List'!$N$4:$N$252,0),0)</f>
        <v>0</v>
      </c>
      <c r="R2693" s="169">
        <f>IFERROR(MATCH(J2693,'Final List'!$P$4:$P$252,0),0)</f>
        <v>0</v>
      </c>
      <c r="S2693" s="169">
        <f t="shared" si="172"/>
        <v>0</v>
      </c>
      <c r="T2693" s="169" t="s">
        <v>68</v>
      </c>
      <c r="V2693" s="169" t="str">
        <f t="shared" si="170"/>
        <v>OLIVEROS 4</v>
      </c>
      <c r="W2693" s="169" t="s">
        <v>2711</v>
      </c>
    </row>
    <row r="2694" spans="2:23" x14ac:dyDescent="0.25">
      <c r="B2694" s="169" t="s">
        <v>258</v>
      </c>
      <c r="C2694" s="169" t="s">
        <v>45</v>
      </c>
      <c r="D2694" s="169" t="s">
        <v>5975</v>
      </c>
      <c r="E2694" s="169" t="s">
        <v>62</v>
      </c>
      <c r="F2694" s="245" t="str">
        <f t="shared" si="171"/>
        <v>RobS 79</v>
      </c>
      <c r="G2694" s="169" t="s">
        <v>10896</v>
      </c>
      <c r="I2694" s="169" t="str">
        <f t="shared" si="169"/>
        <v>L10_DPVE_028E_ROBBING</v>
      </c>
      <c r="J2694" s="169" t="s">
        <v>11662</v>
      </c>
      <c r="K2694" s="169">
        <f>IFERROR(MATCH(J2694,'Final List'!$B$4:$B$252,0),0)</f>
        <v>0</v>
      </c>
      <c r="L2694" s="169">
        <f>IFERROR(MATCH(J2694,'Final List'!$D$4:$D$252,0),0)</f>
        <v>0</v>
      </c>
      <c r="M2694" s="169">
        <f>IFERROR(MATCH(J2694,'Final List'!$F$4:$F$251,0),0)</f>
        <v>0</v>
      </c>
      <c r="N2694" s="169">
        <f>IFERROR(MATCH(J2694,'Final List'!$H$4:$H$252,0),0)</f>
        <v>0</v>
      </c>
      <c r="O2694" s="169">
        <f>IFERROR(MATCH(J2694,'Final List'!$J$4:$J$252,0),0)</f>
        <v>0</v>
      </c>
      <c r="P2694" s="169">
        <f>IFERROR(MATCH(J2694,'Final List'!$L$4:$L$252,0),0)</f>
        <v>0</v>
      </c>
      <c r="Q2694" s="169">
        <f>IFERROR(MATCH(J2694,'Final List'!$N$4:$N$252,0),0)</f>
        <v>0</v>
      </c>
      <c r="R2694" s="169">
        <f>IFERROR(MATCH(J2694,'Final List'!$P$4:$P$252,0),0)</f>
        <v>0</v>
      </c>
      <c r="S2694" s="169">
        <f t="shared" si="172"/>
        <v>0</v>
      </c>
      <c r="T2694" s="169" t="s">
        <v>68</v>
      </c>
      <c r="V2694" s="169" t="str">
        <f t="shared" si="170"/>
        <v>SHEPHERD BC 2</v>
      </c>
      <c r="W2694" s="169" t="s">
        <v>2707</v>
      </c>
    </row>
    <row r="2695" spans="2:23" x14ac:dyDescent="0.25">
      <c r="B2695" s="169" t="s">
        <v>258</v>
      </c>
      <c r="C2695" s="169" t="s">
        <v>45</v>
      </c>
      <c r="D2695" s="169" t="s">
        <v>159</v>
      </c>
      <c r="E2695" s="169" t="s">
        <v>19</v>
      </c>
      <c r="F2695" s="245" t="str">
        <f t="shared" si="171"/>
        <v>DVR 72</v>
      </c>
      <c r="G2695" s="169" t="s">
        <v>10895</v>
      </c>
      <c r="I2695" s="169" t="str">
        <f t="shared" si="169"/>
        <v>L10_DPVE_023E_RAISE</v>
      </c>
      <c r="J2695" s="169" t="s">
        <v>11661</v>
      </c>
      <c r="K2695" s="169">
        <f>IFERROR(MATCH(J2695,'Final List'!$B$4:$B$252,0),0)</f>
        <v>0</v>
      </c>
      <c r="L2695" s="169">
        <f>IFERROR(MATCH(J2695,'Final List'!$D$4:$D$252,0),0)</f>
        <v>0</v>
      </c>
      <c r="M2695" s="169">
        <f>IFERROR(MATCH(J2695,'Final List'!$F$4:$F$251,0),0)</f>
        <v>0</v>
      </c>
      <c r="N2695" s="169">
        <f>IFERROR(MATCH(J2695,'Final List'!$H$4:$H$252,0),0)</f>
        <v>0</v>
      </c>
      <c r="O2695" s="169">
        <f>IFERROR(MATCH(J2695,'Final List'!$J$4:$J$252,0),0)</f>
        <v>0</v>
      </c>
      <c r="P2695" s="169">
        <f>IFERROR(MATCH(J2695,'Final List'!$L$4:$L$252,0),0)</f>
        <v>0</v>
      </c>
      <c r="Q2695" s="169">
        <f>IFERROR(MATCH(J2695,'Final List'!$N$4:$N$252,0),0)</f>
        <v>0</v>
      </c>
      <c r="R2695" s="169">
        <f>IFERROR(MATCH(J2695,'Final List'!$P$4:$P$252,0),0)</f>
        <v>0</v>
      </c>
      <c r="S2695" s="169">
        <f t="shared" si="172"/>
        <v>0</v>
      </c>
      <c r="V2695" s="169" t="str">
        <f t="shared" si="170"/>
        <v>SHEPHERD BC 1</v>
      </c>
      <c r="W2695" s="169" t="s">
        <v>2715</v>
      </c>
    </row>
    <row r="2696" spans="2:23" x14ac:dyDescent="0.25">
      <c r="B2696" s="169" t="s">
        <v>1166</v>
      </c>
      <c r="C2696" s="169" t="s">
        <v>55</v>
      </c>
      <c r="D2696" s="169" t="s">
        <v>176</v>
      </c>
      <c r="E2696" s="169" t="s">
        <v>19</v>
      </c>
      <c r="F2696" s="245" t="str">
        <f t="shared" si="171"/>
        <v>DVR 72</v>
      </c>
      <c r="G2696" s="169" t="s">
        <v>862</v>
      </c>
      <c r="I2696" s="169" t="str">
        <f t="shared" si="169"/>
        <v>L11_JVFW_057E_RAISE</v>
      </c>
      <c r="J2696" s="169" t="s">
        <v>11663</v>
      </c>
      <c r="K2696" s="169">
        <f>IFERROR(MATCH(J2696,'Final List'!$B$4:$B$252,0),0)</f>
        <v>0</v>
      </c>
      <c r="L2696" s="169">
        <f>IFERROR(MATCH(J2696,'Final List'!$D$4:$D$252,0),0)</f>
        <v>0</v>
      </c>
      <c r="M2696" s="169">
        <f>IFERROR(MATCH(J2696,'Final List'!$F$4:$F$251,0),0)</f>
        <v>0</v>
      </c>
      <c r="N2696" s="169">
        <f>IFERROR(MATCH(J2696,'Final List'!$H$4:$H$252,0),0)</f>
        <v>0</v>
      </c>
      <c r="O2696" s="169">
        <f>IFERROR(MATCH(J2696,'Final List'!$J$4:$J$252,0),0)</f>
        <v>0</v>
      </c>
      <c r="P2696" s="169">
        <f>IFERROR(MATCH(J2696,'Final List'!$L$4:$L$252,0),0)</f>
        <v>0</v>
      </c>
      <c r="Q2696" s="169">
        <f>IFERROR(MATCH(J2696,'Final List'!$N$4:$N$252,0),0)</f>
        <v>0</v>
      </c>
      <c r="R2696" s="169">
        <f>IFERROR(MATCH(J2696,'Final List'!$P$4:$P$252,0),0)</f>
        <v>0</v>
      </c>
      <c r="S2696" s="169">
        <f t="shared" si="172"/>
        <v>0</v>
      </c>
      <c r="V2696" s="169" t="str">
        <f t="shared" si="170"/>
        <v>REBOTE 1</v>
      </c>
      <c r="W2696" s="169" t="s">
        <v>2715</v>
      </c>
    </row>
    <row r="2697" spans="2:23" x14ac:dyDescent="0.25">
      <c r="B2697" s="169" t="s">
        <v>96</v>
      </c>
      <c r="C2697" s="169" t="s">
        <v>55</v>
      </c>
      <c r="D2697" s="169" t="s">
        <v>6864</v>
      </c>
      <c r="E2697" s="169" t="s">
        <v>61</v>
      </c>
      <c r="F2697" s="245" t="str">
        <f t="shared" si="171"/>
        <v>Dhoz 71</v>
      </c>
      <c r="G2697" s="169" t="s">
        <v>6621</v>
      </c>
      <c r="I2697" s="169" t="str">
        <f t="shared" si="169"/>
        <v>L09_JVFW_006E_DW</v>
      </c>
      <c r="J2697" s="169" t="s">
        <v>11659</v>
      </c>
      <c r="K2697" s="169">
        <f>IFERROR(MATCH(J2697,'Final List'!$B$4:$B$252,0),0)</f>
        <v>0</v>
      </c>
      <c r="L2697" s="169">
        <f>IFERROR(MATCH(J2697,'Final List'!$D$4:$D$252,0),0)</f>
        <v>0</v>
      </c>
      <c r="M2697" s="169">
        <f>IFERROR(MATCH(J2697,'Final List'!$F$4:$F$251,0),0)</f>
        <v>0</v>
      </c>
      <c r="N2697" s="169">
        <f>IFERROR(MATCH(J2697,'Final List'!$H$4:$H$252,0),0)</f>
        <v>0</v>
      </c>
      <c r="O2697" s="169">
        <f>IFERROR(MATCH(J2697,'Final List'!$J$4:$J$252,0),0)</f>
        <v>0</v>
      </c>
      <c r="P2697" s="169">
        <f>IFERROR(MATCH(J2697,'Final List'!$L$4:$L$252,0),0)</f>
        <v>0</v>
      </c>
      <c r="Q2697" s="169">
        <f>IFERROR(MATCH(J2697,'Final List'!$N$4:$N$252,0),0)</f>
        <v>0</v>
      </c>
      <c r="R2697" s="169">
        <f>IFERROR(MATCH(J2697,'Final List'!$P$4:$P$252,0),0)</f>
        <v>0</v>
      </c>
      <c r="S2697" s="169">
        <f t="shared" si="172"/>
        <v>0</v>
      </c>
      <c r="V2697" s="169" t="str">
        <f t="shared" si="170"/>
        <v>DELOS REYES V1</v>
      </c>
      <c r="W2697" s="169" t="s">
        <v>8896</v>
      </c>
    </row>
    <row r="2698" spans="2:23" x14ac:dyDescent="0.25">
      <c r="B2698" s="169" t="s">
        <v>1166</v>
      </c>
      <c r="C2698" s="169" t="s">
        <v>87</v>
      </c>
      <c r="D2698" s="169" t="s">
        <v>5741</v>
      </c>
      <c r="E2698" s="169" t="s">
        <v>19</v>
      </c>
      <c r="F2698" s="245" t="str">
        <f t="shared" si="171"/>
        <v>DVR 72</v>
      </c>
      <c r="G2698" s="169" t="s">
        <v>511</v>
      </c>
      <c r="I2698" s="169" t="str">
        <f t="shared" si="169"/>
        <v>L11_NONE_035E_RAISE</v>
      </c>
      <c r="J2698" s="169" t="s">
        <v>11667</v>
      </c>
      <c r="K2698" s="169">
        <f>IFERROR(MATCH(J2698,'Final List'!$B$4:$B$252,0),0)</f>
        <v>0</v>
      </c>
      <c r="L2698" s="169">
        <f>IFERROR(MATCH(J2698,'Final List'!$D$4:$D$252,0),0)</f>
        <v>0</v>
      </c>
      <c r="M2698" s="169">
        <f>IFERROR(MATCH(J2698,'Final List'!$F$4:$F$251,0),0)</f>
        <v>0</v>
      </c>
      <c r="N2698" s="169">
        <f>IFERROR(MATCH(J2698,'Final List'!$H$4:$H$252,0),0)</f>
        <v>0</v>
      </c>
      <c r="O2698" s="169">
        <f>IFERROR(MATCH(J2698,'Final List'!$J$4:$J$252,0),0)</f>
        <v>0</v>
      </c>
      <c r="P2698" s="169">
        <f>IFERROR(MATCH(J2698,'Final List'!$L$4:$L$252,0),0)</f>
        <v>0</v>
      </c>
      <c r="Q2698" s="169">
        <f>IFERROR(MATCH(J2698,'Final List'!$N$4:$N$252,0),0)</f>
        <v>0</v>
      </c>
      <c r="R2698" s="169">
        <f>IFERROR(MATCH(J2698,'Final List'!$P$4:$P$252,0),0)</f>
        <v>0</v>
      </c>
      <c r="S2698" s="169">
        <f t="shared" si="172"/>
        <v>0</v>
      </c>
      <c r="V2698" s="169" t="str">
        <f t="shared" si="170"/>
        <v>PMC MINERS 1</v>
      </c>
      <c r="W2698" s="169" t="s">
        <v>2714</v>
      </c>
    </row>
    <row r="2699" spans="2:23" x14ac:dyDescent="0.25">
      <c r="B2699" s="169" t="s">
        <v>258</v>
      </c>
      <c r="C2699" s="169" t="s">
        <v>45</v>
      </c>
      <c r="D2699" s="169" t="s">
        <v>5614</v>
      </c>
      <c r="E2699" s="169" t="s">
        <v>36</v>
      </c>
      <c r="F2699" s="245" t="str">
        <f t="shared" si="171"/>
        <v>StpS 77</v>
      </c>
      <c r="G2699" s="169" t="s">
        <v>10892</v>
      </c>
      <c r="I2699" s="169" t="str">
        <f t="shared" si="169"/>
        <v>L10_DPVE_055E_STOPE</v>
      </c>
      <c r="J2699" s="169" t="s">
        <v>11740</v>
      </c>
      <c r="K2699" s="169">
        <f>IFERROR(MATCH(J2699,'Final List'!$B$4:$B$252,0),0)</f>
        <v>0</v>
      </c>
      <c r="L2699" s="169">
        <f>IFERROR(MATCH(J2699,'Final List'!$D$4:$D$252,0),0)</f>
        <v>0</v>
      </c>
      <c r="M2699" s="169">
        <f>IFERROR(MATCH(J2699,'Final List'!$F$4:$F$251,0),0)</f>
        <v>0</v>
      </c>
      <c r="N2699" s="169">
        <f>IFERROR(MATCH(J2699,'Final List'!$H$4:$H$252,0),0)</f>
        <v>0</v>
      </c>
      <c r="O2699" s="169">
        <f>IFERROR(MATCH(J2699,'Final List'!$J$4:$J$252,0),0)</f>
        <v>0</v>
      </c>
      <c r="P2699" s="169">
        <f>IFERROR(MATCH(J2699,'Final List'!$L$4:$L$252,0),0)</f>
        <v>0</v>
      </c>
      <c r="Q2699" s="169">
        <f>IFERROR(MATCH(J2699,'Final List'!$N$4:$N$252,0),0)</f>
        <v>0</v>
      </c>
      <c r="R2699" s="169">
        <f>IFERROR(MATCH(J2699,'Final List'!$P$4:$P$252,0),0)</f>
        <v>0</v>
      </c>
      <c r="S2699" s="169">
        <f t="shared" si="172"/>
        <v>0</v>
      </c>
      <c r="T2699" s="169" t="s">
        <v>68</v>
      </c>
      <c r="V2699" s="169" t="str">
        <f t="shared" si="170"/>
        <v>SHEPHERD BA 3</v>
      </c>
      <c r="W2699" s="169" t="s">
        <v>2713</v>
      </c>
    </row>
    <row r="2700" spans="2:23" x14ac:dyDescent="0.25">
      <c r="B2700" s="169" t="s">
        <v>95</v>
      </c>
      <c r="C2700" s="169" t="s">
        <v>45</v>
      </c>
      <c r="D2700" s="169" t="s">
        <v>149</v>
      </c>
      <c r="E2700" s="169" t="s">
        <v>61</v>
      </c>
      <c r="F2700" s="245" t="str">
        <f t="shared" si="171"/>
        <v>Dhoz 71</v>
      </c>
      <c r="G2700" s="169" t="s">
        <v>9753</v>
      </c>
      <c r="I2700" s="169" t="str">
        <f t="shared" si="169"/>
        <v>L08_DPVE_021E_DW</v>
      </c>
      <c r="J2700" s="169" t="s">
        <v>11676</v>
      </c>
      <c r="K2700" s="169">
        <f>IFERROR(MATCH(J2700,'Final List'!$B$4:$B$252,0),0)</f>
        <v>0</v>
      </c>
      <c r="L2700" s="169">
        <f>IFERROR(MATCH(J2700,'Final List'!$D$4:$D$252,0),0)</f>
        <v>0</v>
      </c>
      <c r="M2700" s="169">
        <f>IFERROR(MATCH(J2700,'Final List'!$F$4:$F$251,0),0)</f>
        <v>0</v>
      </c>
      <c r="N2700" s="169">
        <f>IFERROR(MATCH(J2700,'Final List'!$H$4:$H$252,0),0)</f>
        <v>0</v>
      </c>
      <c r="O2700" s="169">
        <f>IFERROR(MATCH(J2700,'Final List'!$J$4:$J$252,0),0)</f>
        <v>0</v>
      </c>
      <c r="P2700" s="169">
        <f>IFERROR(MATCH(J2700,'Final List'!$L$4:$L$252,0),0)</f>
        <v>0</v>
      </c>
      <c r="Q2700" s="169">
        <f>IFERROR(MATCH(J2700,'Final List'!$N$4:$N$252,0),0)</f>
        <v>0</v>
      </c>
      <c r="R2700" s="169">
        <f>IFERROR(MATCH(J2700,'Final List'!$P$4:$P$252,0),0)</f>
        <v>0</v>
      </c>
      <c r="S2700" s="169">
        <f t="shared" si="172"/>
        <v>0</v>
      </c>
      <c r="V2700" s="169" t="str">
        <f t="shared" si="170"/>
        <v>CAPUYAN 2</v>
      </c>
      <c r="W2700" s="169" t="s">
        <v>8895</v>
      </c>
    </row>
    <row r="2701" spans="2:23" x14ac:dyDescent="0.25">
      <c r="B2701" s="169" t="s">
        <v>1166</v>
      </c>
      <c r="C2701" s="169" t="s">
        <v>42</v>
      </c>
      <c r="D2701" s="169" t="s">
        <v>175</v>
      </c>
      <c r="E2701" s="169" t="s">
        <v>19</v>
      </c>
      <c r="F2701" s="245" t="str">
        <f t="shared" si="171"/>
        <v>DVR 72</v>
      </c>
      <c r="G2701" s="169" t="s">
        <v>367</v>
      </c>
      <c r="I2701" s="169" t="str">
        <f t="shared" si="169"/>
        <v>L11_JV_060E_RAISE</v>
      </c>
      <c r="J2701" s="169" t="s">
        <v>11681</v>
      </c>
      <c r="K2701" s="169">
        <f>IFERROR(MATCH(J2701,'Final List'!$B$4:$B$252,0),0)</f>
        <v>0</v>
      </c>
      <c r="L2701" s="169">
        <f>IFERROR(MATCH(J2701,'Final List'!$D$4:$D$252,0),0)</f>
        <v>0</v>
      </c>
      <c r="M2701" s="169">
        <f>IFERROR(MATCH(J2701,'Final List'!$F$4:$F$251,0),0)</f>
        <v>0</v>
      </c>
      <c r="N2701" s="169">
        <f>IFERROR(MATCH(J2701,'Final List'!$H$4:$H$252,0),0)</f>
        <v>0</v>
      </c>
      <c r="O2701" s="169">
        <f>IFERROR(MATCH(J2701,'Final List'!$J$4:$J$252,0),0)</f>
        <v>0</v>
      </c>
      <c r="P2701" s="169">
        <f>IFERROR(MATCH(J2701,'Final List'!$L$4:$L$252,0),0)</f>
        <v>0</v>
      </c>
      <c r="Q2701" s="169">
        <f>IFERROR(MATCH(J2701,'Final List'!$N$4:$N$252,0),0)</f>
        <v>0</v>
      </c>
      <c r="R2701" s="169">
        <f>IFERROR(MATCH(J2701,'Final List'!$P$4:$P$252,0),0)</f>
        <v>0</v>
      </c>
      <c r="S2701" s="169">
        <f t="shared" si="172"/>
        <v>0</v>
      </c>
      <c r="V2701" s="169" t="str">
        <f t="shared" si="170"/>
        <v>LERIO 1</v>
      </c>
      <c r="W2701" s="169" t="s">
        <v>2715</v>
      </c>
    </row>
    <row r="2702" spans="2:23" x14ac:dyDescent="0.25">
      <c r="B2702" s="169" t="s">
        <v>95</v>
      </c>
      <c r="C2702" s="169" t="s">
        <v>45</v>
      </c>
      <c r="D2702" s="169" t="s">
        <v>175</v>
      </c>
      <c r="E2702" s="169" t="s">
        <v>20</v>
      </c>
      <c r="F2702" s="245" t="str">
        <f t="shared" si="171"/>
        <v>DVW 74</v>
      </c>
      <c r="G2702" s="169" t="s">
        <v>942</v>
      </c>
      <c r="I2702" s="169" t="str">
        <f t="shared" si="169"/>
        <v>L08_DPVE_060E_WINZE</v>
      </c>
      <c r="J2702" s="169" t="s">
        <v>11683</v>
      </c>
      <c r="K2702" s="169">
        <f>IFERROR(MATCH(J2702,'Final List'!$B$4:$B$252,0),0)</f>
        <v>0</v>
      </c>
      <c r="L2702" s="169">
        <f>IFERROR(MATCH(J2702,'Final List'!$D$4:$D$252,0),0)</f>
        <v>0</v>
      </c>
      <c r="M2702" s="169">
        <f>IFERROR(MATCH(J2702,'Final List'!$F$4:$F$251,0),0)</f>
        <v>0</v>
      </c>
      <c r="N2702" s="169">
        <f>IFERROR(MATCH(J2702,'Final List'!$H$4:$H$252,0),0)</f>
        <v>0</v>
      </c>
      <c r="O2702" s="169">
        <f>IFERROR(MATCH(J2702,'Final List'!$J$4:$J$252,0),0)</f>
        <v>0</v>
      </c>
      <c r="P2702" s="169">
        <f>IFERROR(MATCH(J2702,'Final List'!$L$4:$L$252,0),0)</f>
        <v>0</v>
      </c>
      <c r="Q2702" s="169">
        <f>IFERROR(MATCH(J2702,'Final List'!$N$4:$N$252,0),0)</f>
        <v>0</v>
      </c>
      <c r="R2702" s="169">
        <f>IFERROR(MATCH(J2702,'Final List'!$P$4:$P$252,0),0)</f>
        <v>0</v>
      </c>
      <c r="S2702" s="169">
        <f t="shared" si="172"/>
        <v>0</v>
      </c>
      <c r="V2702" s="169" t="str">
        <f t="shared" si="170"/>
        <v>AGLOLO 3</v>
      </c>
      <c r="W2702" s="169" t="s">
        <v>2706</v>
      </c>
    </row>
    <row r="2703" spans="2:23" x14ac:dyDescent="0.25">
      <c r="B2703" s="169" t="s">
        <v>96</v>
      </c>
      <c r="C2703" s="169" t="s">
        <v>56</v>
      </c>
      <c r="D2703" s="169" t="s">
        <v>6941</v>
      </c>
      <c r="E2703" s="169" t="s">
        <v>62</v>
      </c>
      <c r="F2703" s="245" t="str">
        <f t="shared" si="171"/>
        <v>RobS 79</v>
      </c>
      <c r="G2703" s="169" t="s">
        <v>8199</v>
      </c>
      <c r="I2703" s="169" t="str">
        <f t="shared" si="169"/>
        <v>L09_GHVFW_031W_ROBBING</v>
      </c>
      <c r="J2703" s="169" t="s">
        <v>11688</v>
      </c>
      <c r="K2703" s="169">
        <f>IFERROR(MATCH(J2703,'Final List'!$B$4:$B$252,0),0)</f>
        <v>0</v>
      </c>
      <c r="L2703" s="169">
        <f>IFERROR(MATCH(J2703,'Final List'!$D$4:$D$252,0),0)</f>
        <v>0</v>
      </c>
      <c r="M2703" s="169">
        <f>IFERROR(MATCH(J2703,'Final List'!$F$4:$F$251,0),0)</f>
        <v>0</v>
      </c>
      <c r="N2703" s="169">
        <f>IFERROR(MATCH(J2703,'Final List'!$H$4:$H$252,0),0)</f>
        <v>0</v>
      </c>
      <c r="O2703" s="169">
        <f>IFERROR(MATCH(J2703,'Final List'!$J$4:$J$252,0),0)</f>
        <v>0</v>
      </c>
      <c r="P2703" s="169">
        <f>IFERROR(MATCH(J2703,'Final List'!$L$4:$L$252,0),0)</f>
        <v>0</v>
      </c>
      <c r="Q2703" s="169">
        <f>IFERROR(MATCH(J2703,'Final List'!$N$4:$N$252,0),0)</f>
        <v>0</v>
      </c>
      <c r="R2703" s="169">
        <f>IFERROR(MATCH(J2703,'Final List'!$P$4:$P$252,0),0)</f>
        <v>0</v>
      </c>
      <c r="S2703" s="169">
        <f t="shared" si="172"/>
        <v>0</v>
      </c>
      <c r="T2703" s="169" t="s">
        <v>68</v>
      </c>
      <c r="V2703" s="169" t="str">
        <f t="shared" si="170"/>
        <v>SHEPHERD AT 1</v>
      </c>
      <c r="W2703" s="169" t="s">
        <v>2707</v>
      </c>
    </row>
    <row r="2704" spans="2:23" x14ac:dyDescent="0.25">
      <c r="B2704" s="169" t="s">
        <v>96</v>
      </c>
      <c r="C2704" s="169" t="s">
        <v>45</v>
      </c>
      <c r="D2704" s="169" t="s">
        <v>5889</v>
      </c>
      <c r="E2704" s="169" t="s">
        <v>60</v>
      </c>
      <c r="F2704" s="245" t="str">
        <f t="shared" si="171"/>
        <v>Dhoz 71</v>
      </c>
      <c r="G2704" s="169" t="s">
        <v>10253</v>
      </c>
      <c r="I2704" s="169" t="str">
        <f t="shared" si="169"/>
        <v>L09_DPVE_077E_DE</v>
      </c>
      <c r="J2704" s="169" t="s">
        <v>11704</v>
      </c>
      <c r="K2704" s="169">
        <f>IFERROR(MATCH(J2704,'Final List'!$B$4:$B$252,0),0)</f>
        <v>0</v>
      </c>
      <c r="L2704" s="169">
        <f>IFERROR(MATCH(J2704,'Final List'!$D$4:$D$252,0),0)</f>
        <v>0</v>
      </c>
      <c r="M2704" s="169">
        <f>IFERROR(MATCH(J2704,'Final List'!$F$4:$F$251,0),0)</f>
        <v>0</v>
      </c>
      <c r="N2704" s="169">
        <f>IFERROR(MATCH(J2704,'Final List'!$H$4:$H$252,0),0)</f>
        <v>0</v>
      </c>
      <c r="O2704" s="169">
        <f>IFERROR(MATCH(J2704,'Final List'!$J$4:$J$252,0),0)</f>
        <v>0</v>
      </c>
      <c r="P2704" s="169">
        <f>IFERROR(MATCH(J2704,'Final List'!$L$4:$L$252,0),0)</f>
        <v>0</v>
      </c>
      <c r="Q2704" s="169">
        <f>IFERROR(MATCH(J2704,'Final List'!$N$4:$N$252,0),0)</f>
        <v>0</v>
      </c>
      <c r="R2704" s="169">
        <f>IFERROR(MATCH(J2704,'Final List'!$P$4:$P$252,0),0)</f>
        <v>0</v>
      </c>
      <c r="S2704" s="169">
        <f t="shared" si="172"/>
        <v>0</v>
      </c>
      <c r="V2704" s="169" t="str">
        <f t="shared" si="170"/>
        <v>PANSIT NORMAN 4</v>
      </c>
      <c r="W2704" s="169" t="s">
        <v>8896</v>
      </c>
    </row>
    <row r="2705" spans="2:23" x14ac:dyDescent="0.25">
      <c r="B2705" s="169" t="s">
        <v>8904</v>
      </c>
      <c r="C2705" s="169" t="s">
        <v>41</v>
      </c>
      <c r="D2705" s="169" t="s">
        <v>98</v>
      </c>
      <c r="E2705" s="169" t="s">
        <v>20</v>
      </c>
      <c r="F2705" s="245" t="str">
        <f t="shared" si="171"/>
        <v>DVW 74</v>
      </c>
      <c r="G2705" s="169" t="s">
        <v>9455</v>
      </c>
      <c r="I2705" s="169" t="str">
        <f t="shared" si="169"/>
        <v>L03_CTV_014W_WINZE</v>
      </c>
      <c r="J2705" s="169" t="s">
        <v>11690</v>
      </c>
      <c r="K2705" s="169">
        <f>IFERROR(MATCH(J2705,'Final List'!$B$4:$B$252,0),0)</f>
        <v>0</v>
      </c>
      <c r="L2705" s="169">
        <f>IFERROR(MATCH(J2705,'Final List'!$D$4:$D$252,0),0)</f>
        <v>0</v>
      </c>
      <c r="M2705" s="169">
        <f>IFERROR(MATCH(J2705,'Final List'!$F$4:$F$251,0),0)</f>
        <v>0</v>
      </c>
      <c r="N2705" s="169">
        <f>IFERROR(MATCH(J2705,'Final List'!$H$4:$H$252,0),0)</f>
        <v>0</v>
      </c>
      <c r="O2705" s="169">
        <f>IFERROR(MATCH(J2705,'Final List'!$J$4:$J$252,0),0)</f>
        <v>0</v>
      </c>
      <c r="P2705" s="169">
        <f>IFERROR(MATCH(J2705,'Final List'!$L$4:$L$252,0),0)</f>
        <v>0</v>
      </c>
      <c r="Q2705" s="169">
        <f>IFERROR(MATCH(J2705,'Final List'!$N$4:$N$252,0),0)</f>
        <v>0</v>
      </c>
      <c r="R2705" s="169">
        <f>IFERROR(MATCH(J2705,'Final List'!$P$4:$P$252,0),0)</f>
        <v>0</v>
      </c>
      <c r="S2705" s="169">
        <f t="shared" si="172"/>
        <v>0</v>
      </c>
      <c r="V2705" s="169" t="str">
        <f t="shared" si="170"/>
        <v>FERNANDEZ, RM 4</v>
      </c>
      <c r="W2705" s="169" t="s">
        <v>2717</v>
      </c>
    </row>
    <row r="2706" spans="2:23" x14ac:dyDescent="0.25">
      <c r="B2706" s="169" t="s">
        <v>1166</v>
      </c>
      <c r="C2706" s="169" t="s">
        <v>45</v>
      </c>
      <c r="D2706" s="169" t="s">
        <v>130</v>
      </c>
      <c r="E2706" s="169" t="s">
        <v>36</v>
      </c>
      <c r="F2706" s="245" t="str">
        <f t="shared" si="171"/>
        <v>StpS 77</v>
      </c>
      <c r="G2706" s="169" t="s">
        <v>342</v>
      </c>
      <c r="I2706" s="169" t="str">
        <f t="shared" si="169"/>
        <v>L11_DPVE_036E_STOPE</v>
      </c>
      <c r="J2706" s="169" t="s">
        <v>11811</v>
      </c>
      <c r="K2706" s="169">
        <f>IFERROR(MATCH(J2706,'Final List'!$B$4:$B$252,0),0)</f>
        <v>0</v>
      </c>
      <c r="L2706" s="169">
        <f>IFERROR(MATCH(J2706,'Final List'!$D$4:$D$252,0),0)</f>
        <v>0</v>
      </c>
      <c r="M2706" s="169">
        <f>IFERROR(MATCH(J2706,'Final List'!$F$4:$F$251,0),0)</f>
        <v>0</v>
      </c>
      <c r="N2706" s="169">
        <f>IFERROR(MATCH(J2706,'Final List'!$H$4:$H$252,0),0)</f>
        <v>0</v>
      </c>
      <c r="O2706" s="169">
        <f>IFERROR(MATCH(J2706,'Final List'!$J$4:$J$252,0),0)</f>
        <v>0</v>
      </c>
      <c r="P2706" s="169">
        <f>IFERROR(MATCH(J2706,'Final List'!$L$4:$L$252,0),0)</f>
        <v>0</v>
      </c>
      <c r="Q2706" s="169">
        <f>IFERROR(MATCH(J2706,'Final List'!$N$4:$N$252,0),0)</f>
        <v>0</v>
      </c>
      <c r="R2706" s="169">
        <f>IFERROR(MATCH(J2706,'Final List'!$P$4:$P$252,0),0)</f>
        <v>0</v>
      </c>
      <c r="S2706" s="169">
        <f t="shared" si="172"/>
        <v>0</v>
      </c>
      <c r="T2706" s="169" t="s">
        <v>68</v>
      </c>
      <c r="V2706" s="169" t="str">
        <f t="shared" si="170"/>
        <v>BADBADON 2</v>
      </c>
      <c r="W2706" s="169" t="s">
        <v>2713</v>
      </c>
    </row>
    <row r="2707" spans="2:23" x14ac:dyDescent="0.25">
      <c r="B2707" s="169" t="s">
        <v>1166</v>
      </c>
      <c r="C2707" s="169" t="s">
        <v>38</v>
      </c>
      <c r="D2707" s="169" t="s">
        <v>164</v>
      </c>
      <c r="E2707" s="169" t="s">
        <v>62</v>
      </c>
      <c r="F2707" s="245" t="str">
        <f t="shared" si="171"/>
        <v>RobS 79</v>
      </c>
      <c r="G2707" s="169" t="s">
        <v>5698</v>
      </c>
      <c r="I2707" s="169" t="str">
        <f t="shared" si="169"/>
        <v>L11_GHV_064E_ROBBING</v>
      </c>
      <c r="J2707" s="169" t="s">
        <v>11695</v>
      </c>
      <c r="K2707" s="169">
        <f>IFERROR(MATCH(J2707,'Final List'!$B$4:$B$252,0),0)</f>
        <v>0</v>
      </c>
      <c r="L2707" s="169">
        <f>IFERROR(MATCH(J2707,'Final List'!$D$4:$D$252,0),0)</f>
        <v>0</v>
      </c>
      <c r="M2707" s="169">
        <f>IFERROR(MATCH(J2707,'Final List'!$F$4:$F$251,0),0)</f>
        <v>0</v>
      </c>
      <c r="N2707" s="169">
        <f>IFERROR(MATCH(J2707,'Final List'!$H$4:$H$252,0),0)</f>
        <v>0</v>
      </c>
      <c r="O2707" s="169">
        <f>IFERROR(MATCH(J2707,'Final List'!$J$4:$J$252,0),0)</f>
        <v>0</v>
      </c>
      <c r="P2707" s="169">
        <f>IFERROR(MATCH(J2707,'Final List'!$L$4:$L$252,0),0)</f>
        <v>0</v>
      </c>
      <c r="Q2707" s="169">
        <f>IFERROR(MATCH(J2707,'Final List'!$N$4:$N$252,0),0)</f>
        <v>0</v>
      </c>
      <c r="R2707" s="169">
        <f>IFERROR(MATCH(J2707,'Final List'!$P$4:$P$252,0),0)</f>
        <v>0</v>
      </c>
      <c r="S2707" s="169">
        <f t="shared" si="172"/>
        <v>0</v>
      </c>
      <c r="T2707" s="169" t="s">
        <v>68</v>
      </c>
      <c r="V2707" s="169" t="str">
        <f t="shared" si="170"/>
        <v>PARAN 1</v>
      </c>
      <c r="W2707" s="169" t="s">
        <v>2707</v>
      </c>
    </row>
    <row r="2708" spans="2:23" x14ac:dyDescent="0.25">
      <c r="B2708" s="169" t="s">
        <v>258</v>
      </c>
      <c r="C2708" s="169" t="s">
        <v>87</v>
      </c>
      <c r="D2708" s="169" t="s">
        <v>6358</v>
      </c>
      <c r="E2708" s="169" t="s">
        <v>37</v>
      </c>
      <c r="F2708" s="245" t="str">
        <f t="shared" si="171"/>
        <v>Dhoz 71</v>
      </c>
      <c r="G2708" s="169" t="s">
        <v>12888</v>
      </c>
      <c r="I2708" s="169" t="str">
        <f t="shared" si="169"/>
        <v>L10_NONE_087E_XCN</v>
      </c>
      <c r="J2708" s="169" t="s">
        <v>11709</v>
      </c>
      <c r="K2708" s="169">
        <f>IFERROR(MATCH(J2708,'Final List'!$B$4:$B$252,0),0)</f>
        <v>0</v>
      </c>
      <c r="L2708" s="169">
        <f>IFERROR(MATCH(J2708,'Final List'!$D$4:$D$252,0),0)</f>
        <v>0</v>
      </c>
      <c r="M2708" s="169">
        <f>IFERROR(MATCH(J2708,'Final List'!$F$4:$F$251,0),0)</f>
        <v>0</v>
      </c>
      <c r="N2708" s="169">
        <f>IFERROR(MATCH(J2708,'Final List'!$H$4:$H$252,0),0)</f>
        <v>0</v>
      </c>
      <c r="O2708" s="169">
        <f>IFERROR(MATCH(J2708,'Final List'!$J$4:$J$252,0),0)</f>
        <v>0</v>
      </c>
      <c r="P2708" s="169">
        <f>IFERROR(MATCH(J2708,'Final List'!$L$4:$L$252,0),0)</f>
        <v>0</v>
      </c>
      <c r="Q2708" s="169">
        <f>IFERROR(MATCH(J2708,'Final List'!$N$4:$N$252,0),0)</f>
        <v>0</v>
      </c>
      <c r="R2708" s="169">
        <f>IFERROR(MATCH(J2708,'Final List'!$P$4:$P$252,0),0)</f>
        <v>0</v>
      </c>
      <c r="S2708" s="169">
        <f t="shared" si="172"/>
        <v>0</v>
      </c>
      <c r="V2708" s="169" t="str">
        <f t="shared" si="170"/>
        <v>NITRO BD</v>
      </c>
      <c r="W2708" s="169" t="s">
        <v>8898</v>
      </c>
    </row>
    <row r="2709" spans="2:23" x14ac:dyDescent="0.25">
      <c r="B2709" s="169" t="s">
        <v>95</v>
      </c>
      <c r="C2709" s="169" t="s">
        <v>57</v>
      </c>
      <c r="D2709" s="169" t="s">
        <v>198</v>
      </c>
      <c r="E2709" s="169" t="s">
        <v>221</v>
      </c>
      <c r="F2709" s="245" t="str">
        <f t="shared" si="171"/>
        <v>RobC 80</v>
      </c>
      <c r="G2709" s="169" t="s">
        <v>380</v>
      </c>
      <c r="I2709" s="169" t="str">
        <f t="shared" si="169"/>
        <v>L08_JVSPLIT_069E_WINZE STOPE</v>
      </c>
      <c r="J2709" s="169" t="s">
        <v>11822</v>
      </c>
      <c r="K2709" s="169">
        <f>IFERROR(MATCH(J2709,'Final List'!$B$4:$B$252,0),0)</f>
        <v>0</v>
      </c>
      <c r="L2709" s="169">
        <f>IFERROR(MATCH(J2709,'Final List'!$D$4:$D$252,0),0)</f>
        <v>0</v>
      </c>
      <c r="M2709" s="169">
        <f>IFERROR(MATCH(J2709,'Final List'!$F$4:$F$251,0),0)</f>
        <v>0</v>
      </c>
      <c r="N2709" s="169">
        <f>IFERROR(MATCH(J2709,'Final List'!$H$4:$H$252,0),0)</f>
        <v>0</v>
      </c>
      <c r="O2709" s="169">
        <f>IFERROR(MATCH(J2709,'Final List'!$J$4:$J$252,0),0)</f>
        <v>0</v>
      </c>
      <c r="P2709" s="169">
        <f>IFERROR(MATCH(J2709,'Final List'!$L$4:$L$252,0),0)</f>
        <v>0</v>
      </c>
      <c r="Q2709" s="169">
        <f>IFERROR(MATCH(J2709,'Final List'!$N$4:$N$252,0),0)</f>
        <v>0</v>
      </c>
      <c r="R2709" s="169">
        <f>IFERROR(MATCH(J2709,'Final List'!$P$4:$P$252,0),0)</f>
        <v>0</v>
      </c>
      <c r="S2709" s="169">
        <f t="shared" si="172"/>
        <v>0</v>
      </c>
      <c r="T2709" s="169" t="s">
        <v>68</v>
      </c>
      <c r="V2709" s="169" t="str">
        <f t="shared" si="170"/>
        <v>AGLOLO 1</v>
      </c>
      <c r="W2709" s="169" t="s">
        <v>2719</v>
      </c>
    </row>
    <row r="2710" spans="2:23" x14ac:dyDescent="0.25">
      <c r="B2710" s="169" t="s">
        <v>95</v>
      </c>
      <c r="C2710" s="169" t="s">
        <v>45</v>
      </c>
      <c r="D2710" s="169" t="s">
        <v>141</v>
      </c>
      <c r="E2710" s="169" t="s">
        <v>62</v>
      </c>
      <c r="F2710" s="245" t="str">
        <f t="shared" si="171"/>
        <v>RobS 79</v>
      </c>
      <c r="G2710" s="169" t="s">
        <v>577</v>
      </c>
      <c r="I2710" s="169" t="str">
        <f t="shared" si="169"/>
        <v>L08_DPVE_029E_ROBBING</v>
      </c>
      <c r="J2710" s="169" t="s">
        <v>11713</v>
      </c>
      <c r="K2710" s="169">
        <f>IFERROR(MATCH(J2710,'Final List'!$B$4:$B$252,0),0)</f>
        <v>0</v>
      </c>
      <c r="L2710" s="169">
        <f>IFERROR(MATCH(J2710,'Final List'!$D$4:$D$252,0),0)</f>
        <v>0</v>
      </c>
      <c r="M2710" s="169">
        <f>IFERROR(MATCH(J2710,'Final List'!$F$4:$F$251,0),0)</f>
        <v>0</v>
      </c>
      <c r="N2710" s="169">
        <f>IFERROR(MATCH(J2710,'Final List'!$H$4:$H$252,0),0)</f>
        <v>0</v>
      </c>
      <c r="O2710" s="169">
        <f>IFERROR(MATCH(J2710,'Final List'!$J$4:$J$252,0),0)</f>
        <v>0</v>
      </c>
      <c r="P2710" s="169">
        <f>IFERROR(MATCH(J2710,'Final List'!$L$4:$L$252,0),0)</f>
        <v>0</v>
      </c>
      <c r="Q2710" s="169">
        <f>IFERROR(MATCH(J2710,'Final List'!$N$4:$N$252,0),0)</f>
        <v>0</v>
      </c>
      <c r="R2710" s="169">
        <f>IFERROR(MATCH(J2710,'Final List'!$P$4:$P$252,0),0)</f>
        <v>0</v>
      </c>
      <c r="S2710" s="169">
        <f t="shared" si="172"/>
        <v>0</v>
      </c>
      <c r="T2710" s="169" t="s">
        <v>68</v>
      </c>
      <c r="V2710" s="169" t="str">
        <f t="shared" si="170"/>
        <v>CARIKITAN 1</v>
      </c>
      <c r="W2710" s="169" t="s">
        <v>2707</v>
      </c>
    </row>
    <row r="2711" spans="2:23" x14ac:dyDescent="0.25">
      <c r="B2711" s="169" t="s">
        <v>95</v>
      </c>
      <c r="C2711" s="169" t="s">
        <v>45</v>
      </c>
      <c r="D2711" s="169" t="s">
        <v>5604</v>
      </c>
      <c r="E2711" s="169" t="s">
        <v>62</v>
      </c>
      <c r="F2711" s="245" t="str">
        <f t="shared" si="171"/>
        <v>RobS 79</v>
      </c>
      <c r="G2711" s="169" t="s">
        <v>6925</v>
      </c>
      <c r="I2711" s="169" t="str">
        <f t="shared" si="169"/>
        <v>L08_DPVE_063E_ROBBING</v>
      </c>
      <c r="J2711" s="169" t="s">
        <v>11714</v>
      </c>
      <c r="K2711" s="169">
        <f>IFERROR(MATCH(J2711,'Final List'!$B$4:$B$252,0),0)</f>
        <v>0</v>
      </c>
      <c r="L2711" s="169">
        <f>IFERROR(MATCH(J2711,'Final List'!$D$4:$D$252,0),0)</f>
        <v>0</v>
      </c>
      <c r="M2711" s="169">
        <f>IFERROR(MATCH(J2711,'Final List'!$F$4:$F$251,0),0)</f>
        <v>0</v>
      </c>
      <c r="N2711" s="169">
        <f>IFERROR(MATCH(J2711,'Final List'!$H$4:$H$252,0),0)</f>
        <v>0</v>
      </c>
      <c r="O2711" s="169">
        <f>IFERROR(MATCH(J2711,'Final List'!$J$4:$J$252,0),0)</f>
        <v>0</v>
      </c>
      <c r="P2711" s="169">
        <f>IFERROR(MATCH(J2711,'Final List'!$L$4:$L$252,0),0)</f>
        <v>0</v>
      </c>
      <c r="Q2711" s="169">
        <f>IFERROR(MATCH(J2711,'Final List'!$N$4:$N$252,0),0)</f>
        <v>0</v>
      </c>
      <c r="R2711" s="169">
        <f>IFERROR(MATCH(J2711,'Final List'!$P$4:$P$252,0),0)</f>
        <v>0</v>
      </c>
      <c r="S2711" s="169">
        <f t="shared" si="172"/>
        <v>0</v>
      </c>
      <c r="T2711" s="169" t="s">
        <v>68</v>
      </c>
      <c r="V2711" s="169" t="str">
        <f t="shared" si="170"/>
        <v>CAPUYAN 1</v>
      </c>
      <c r="W2711" s="169" t="s">
        <v>2707</v>
      </c>
    </row>
    <row r="2712" spans="2:23" x14ac:dyDescent="0.25">
      <c r="B2712" s="169" t="s">
        <v>91</v>
      </c>
      <c r="C2712" s="169" t="s">
        <v>42</v>
      </c>
      <c r="D2712" s="169" t="s">
        <v>159</v>
      </c>
      <c r="E2712" s="169" t="s">
        <v>62</v>
      </c>
      <c r="F2712" s="245" t="str">
        <f t="shared" si="171"/>
        <v>RobS 79</v>
      </c>
      <c r="G2712" s="169" t="s">
        <v>10890</v>
      </c>
      <c r="I2712" s="169" t="str">
        <f t="shared" si="169"/>
        <v>L04_JV_023E_ROBBING</v>
      </c>
      <c r="J2712" s="169" t="s">
        <v>11716</v>
      </c>
      <c r="K2712" s="169">
        <f>IFERROR(MATCH(J2712,'Final List'!$B$4:$B$252,0),0)</f>
        <v>0</v>
      </c>
      <c r="L2712" s="169">
        <f>IFERROR(MATCH(J2712,'Final List'!$D$4:$D$252,0),0)</f>
        <v>0</v>
      </c>
      <c r="M2712" s="169">
        <f>IFERROR(MATCH(J2712,'Final List'!$F$4:$F$251,0),0)</f>
        <v>0</v>
      </c>
      <c r="N2712" s="169">
        <f>IFERROR(MATCH(J2712,'Final List'!$H$4:$H$252,0),0)</f>
        <v>0</v>
      </c>
      <c r="O2712" s="169">
        <f>IFERROR(MATCH(J2712,'Final List'!$J$4:$J$252,0),0)</f>
        <v>0</v>
      </c>
      <c r="P2712" s="169">
        <f>IFERROR(MATCH(J2712,'Final List'!$L$4:$L$252,0),0)</f>
        <v>0</v>
      </c>
      <c r="Q2712" s="169">
        <f>IFERROR(MATCH(J2712,'Final List'!$N$4:$N$252,0),0)</f>
        <v>0</v>
      </c>
      <c r="R2712" s="169">
        <f>IFERROR(MATCH(J2712,'Final List'!$P$4:$P$252,0),0)</f>
        <v>0</v>
      </c>
      <c r="S2712" s="169">
        <f t="shared" si="172"/>
        <v>0</v>
      </c>
      <c r="T2712" s="169" t="s">
        <v>68</v>
      </c>
      <c r="V2712" s="169" t="str">
        <f t="shared" si="170"/>
        <v>MARTINEZ, DN 1</v>
      </c>
      <c r="W2712" s="169" t="s">
        <v>2707</v>
      </c>
    </row>
    <row r="2713" spans="2:23" x14ac:dyDescent="0.25">
      <c r="B2713" s="169" t="s">
        <v>96</v>
      </c>
      <c r="C2713" s="169" t="s">
        <v>45</v>
      </c>
      <c r="D2713" s="169" t="s">
        <v>130</v>
      </c>
      <c r="E2713" s="169" t="s">
        <v>62</v>
      </c>
      <c r="F2713" s="245" t="str">
        <f t="shared" si="171"/>
        <v>RobS 79</v>
      </c>
      <c r="G2713" s="169" t="s">
        <v>11719</v>
      </c>
      <c r="I2713" s="169" t="str">
        <f t="shared" si="169"/>
        <v>L09_DPVE_036E_ROBBING</v>
      </c>
      <c r="J2713" s="169" t="s">
        <v>11718</v>
      </c>
      <c r="K2713" s="169">
        <f>IFERROR(MATCH(J2713,'Final List'!$B$4:$B$252,0),0)</f>
        <v>0</v>
      </c>
      <c r="L2713" s="169">
        <f>IFERROR(MATCH(J2713,'Final List'!$D$4:$D$252,0),0)</f>
        <v>0</v>
      </c>
      <c r="M2713" s="169">
        <f>IFERROR(MATCH(J2713,'Final List'!$F$4:$F$251,0),0)</f>
        <v>0</v>
      </c>
      <c r="N2713" s="169">
        <f>IFERROR(MATCH(J2713,'Final List'!$H$4:$H$252,0),0)</f>
        <v>0</v>
      </c>
      <c r="O2713" s="169">
        <f>IFERROR(MATCH(J2713,'Final List'!$J$4:$J$252,0),0)</f>
        <v>0</v>
      </c>
      <c r="P2713" s="169">
        <f>IFERROR(MATCH(J2713,'Final List'!$L$4:$L$252,0),0)</f>
        <v>0</v>
      </c>
      <c r="Q2713" s="169">
        <f>IFERROR(MATCH(J2713,'Final List'!$N$4:$N$252,0),0)</f>
        <v>0</v>
      </c>
      <c r="R2713" s="169">
        <f>IFERROR(MATCH(J2713,'Final List'!$P$4:$P$252,0),0)</f>
        <v>0</v>
      </c>
      <c r="S2713" s="169">
        <f t="shared" si="172"/>
        <v>0</v>
      </c>
      <c r="T2713" s="169" t="s">
        <v>68</v>
      </c>
      <c r="V2713" s="169" t="str">
        <f t="shared" si="170"/>
        <v>FABROA1</v>
      </c>
      <c r="W2713" s="169" t="s">
        <v>2707</v>
      </c>
    </row>
    <row r="2714" spans="2:23" x14ac:dyDescent="0.25">
      <c r="B2714" s="169" t="s">
        <v>1167</v>
      </c>
      <c r="C2714" s="169" t="s">
        <v>59</v>
      </c>
      <c r="D2714" s="169" t="s">
        <v>5614</v>
      </c>
      <c r="E2714" s="169" t="s">
        <v>6154</v>
      </c>
      <c r="F2714" s="245" t="str">
        <f t="shared" si="171"/>
        <v>Dhoz 71</v>
      </c>
      <c r="G2714" s="169" t="s">
        <v>389</v>
      </c>
      <c r="I2714" s="169" t="str">
        <f t="shared" si="169"/>
        <v>L12_GHVHW_055E_DW_ISL</v>
      </c>
      <c r="J2714" s="169" t="s">
        <v>11724</v>
      </c>
      <c r="K2714" s="169">
        <f>IFERROR(MATCH(J2714,'Final List'!$B$4:$B$252,0),0)</f>
        <v>0</v>
      </c>
      <c r="L2714" s="169">
        <f>IFERROR(MATCH(J2714,'Final List'!$D$4:$D$252,0),0)</f>
        <v>0</v>
      </c>
      <c r="M2714" s="169">
        <f>IFERROR(MATCH(J2714,'Final List'!$F$4:$F$251,0),0)</f>
        <v>0</v>
      </c>
      <c r="N2714" s="169">
        <f>IFERROR(MATCH(J2714,'Final List'!$H$4:$H$252,0),0)</f>
        <v>0</v>
      </c>
      <c r="O2714" s="169">
        <f>IFERROR(MATCH(J2714,'Final List'!$J$4:$J$252,0),0)</f>
        <v>0</v>
      </c>
      <c r="P2714" s="169">
        <f>IFERROR(MATCH(J2714,'Final List'!$L$4:$L$252,0),0)</f>
        <v>0</v>
      </c>
      <c r="Q2714" s="169">
        <f>IFERROR(MATCH(J2714,'Final List'!$N$4:$N$252,0),0)</f>
        <v>0</v>
      </c>
      <c r="R2714" s="169">
        <f>IFERROR(MATCH(J2714,'Final List'!$P$4:$P$252,0),0)</f>
        <v>0</v>
      </c>
      <c r="S2714" s="169">
        <f t="shared" si="172"/>
        <v>0</v>
      </c>
      <c r="V2714" s="169" t="str">
        <f t="shared" si="170"/>
        <v>CAPPUYO 1</v>
      </c>
      <c r="W2714" s="169" t="s">
        <v>2708</v>
      </c>
    </row>
    <row r="2715" spans="2:23" x14ac:dyDescent="0.25">
      <c r="B2715" s="169" t="s">
        <v>1167</v>
      </c>
      <c r="C2715" s="169" t="s">
        <v>59</v>
      </c>
      <c r="D2715" s="169" t="s">
        <v>165</v>
      </c>
      <c r="E2715" s="169" t="s">
        <v>6143</v>
      </c>
      <c r="F2715" s="245" t="str">
        <f t="shared" si="171"/>
        <v>Dhoz 71</v>
      </c>
      <c r="G2715" s="169" t="s">
        <v>389</v>
      </c>
      <c r="I2715" s="169" t="str">
        <f t="shared" si="169"/>
        <v>L12_GHVHW_056E_DE_ISL</v>
      </c>
      <c r="J2715" s="169" t="s">
        <v>11725</v>
      </c>
      <c r="K2715" s="169">
        <f>IFERROR(MATCH(J2715,'Final List'!$B$4:$B$252,0),0)</f>
        <v>0</v>
      </c>
      <c r="L2715" s="169">
        <f>IFERROR(MATCH(J2715,'Final List'!$D$4:$D$252,0),0)</f>
        <v>0</v>
      </c>
      <c r="M2715" s="169">
        <f>IFERROR(MATCH(J2715,'Final List'!$F$4:$F$251,0),0)</f>
        <v>0</v>
      </c>
      <c r="N2715" s="169">
        <f>IFERROR(MATCH(J2715,'Final List'!$H$4:$H$252,0),0)</f>
        <v>0</v>
      </c>
      <c r="O2715" s="169">
        <f>IFERROR(MATCH(J2715,'Final List'!$J$4:$J$252,0),0)</f>
        <v>0</v>
      </c>
      <c r="P2715" s="169">
        <f>IFERROR(MATCH(J2715,'Final List'!$L$4:$L$252,0),0)</f>
        <v>0</v>
      </c>
      <c r="Q2715" s="169">
        <f>IFERROR(MATCH(J2715,'Final List'!$N$4:$N$252,0),0)</f>
        <v>0</v>
      </c>
      <c r="R2715" s="169">
        <f>IFERROR(MATCH(J2715,'Final List'!$P$4:$P$252,0),0)</f>
        <v>0</v>
      </c>
      <c r="S2715" s="169">
        <f t="shared" si="172"/>
        <v>0</v>
      </c>
      <c r="V2715" s="169" t="str">
        <f t="shared" si="170"/>
        <v>CAPPUYO 1</v>
      </c>
      <c r="W2715" s="169" t="s">
        <v>2708</v>
      </c>
    </row>
    <row r="2716" spans="2:23" x14ac:dyDescent="0.25">
      <c r="B2716" s="169" t="s">
        <v>8904</v>
      </c>
      <c r="C2716" s="169" t="s">
        <v>41</v>
      </c>
      <c r="D2716" s="169" t="s">
        <v>116</v>
      </c>
      <c r="E2716" s="169" t="s">
        <v>20</v>
      </c>
      <c r="F2716" s="245" t="str">
        <f t="shared" si="171"/>
        <v>DVW 74</v>
      </c>
      <c r="G2716" s="169" t="s">
        <v>10062</v>
      </c>
      <c r="I2716" s="169" t="str">
        <f t="shared" si="169"/>
        <v>L03_CTV_021W_WINZE</v>
      </c>
      <c r="J2716" s="169" t="s">
        <v>11729</v>
      </c>
      <c r="K2716" s="169">
        <f>IFERROR(MATCH(J2716,'Final List'!$B$4:$B$252,0),0)</f>
        <v>0</v>
      </c>
      <c r="L2716" s="169">
        <f>IFERROR(MATCH(J2716,'Final List'!$D$4:$D$252,0),0)</f>
        <v>0</v>
      </c>
      <c r="M2716" s="169">
        <f>IFERROR(MATCH(J2716,'Final List'!$F$4:$F$251,0),0)</f>
        <v>0</v>
      </c>
      <c r="N2716" s="169">
        <f>IFERROR(MATCH(J2716,'Final List'!$H$4:$H$252,0),0)</f>
        <v>0</v>
      </c>
      <c r="O2716" s="169">
        <f>IFERROR(MATCH(J2716,'Final List'!$J$4:$J$252,0),0)</f>
        <v>0</v>
      </c>
      <c r="P2716" s="169">
        <f>IFERROR(MATCH(J2716,'Final List'!$L$4:$L$252,0),0)</f>
        <v>0</v>
      </c>
      <c r="Q2716" s="169">
        <f>IFERROR(MATCH(J2716,'Final List'!$N$4:$N$252,0),0)</f>
        <v>0</v>
      </c>
      <c r="R2716" s="169">
        <f>IFERROR(MATCH(J2716,'Final List'!$P$4:$P$252,0),0)</f>
        <v>0</v>
      </c>
      <c r="S2716" s="169">
        <f t="shared" si="172"/>
        <v>0</v>
      </c>
      <c r="V2716" s="169" t="str">
        <f t="shared" si="170"/>
        <v>FERNANDEZ, RM 6</v>
      </c>
      <c r="W2716" s="169" t="s">
        <v>2706</v>
      </c>
    </row>
    <row r="2717" spans="2:23" x14ac:dyDescent="0.25">
      <c r="B2717" s="169" t="s">
        <v>258</v>
      </c>
      <c r="C2717" s="169" t="s">
        <v>55</v>
      </c>
      <c r="D2717" s="169" t="s">
        <v>174</v>
      </c>
      <c r="E2717" s="169" t="s">
        <v>6154</v>
      </c>
      <c r="F2717" s="245" t="str">
        <f t="shared" si="171"/>
        <v>Dhoz 71</v>
      </c>
      <c r="G2717" s="169" t="s">
        <v>5697</v>
      </c>
      <c r="I2717" s="169" t="str">
        <f t="shared" si="169"/>
        <v>L10_JVFW_052E_DW_ISL</v>
      </c>
      <c r="J2717" s="169" t="s">
        <v>11730</v>
      </c>
      <c r="K2717" s="169">
        <f>IFERROR(MATCH(J2717,'Final List'!$B$4:$B$252,0),0)</f>
        <v>0</v>
      </c>
      <c r="L2717" s="169">
        <f>IFERROR(MATCH(J2717,'Final List'!$D$4:$D$252,0),0)</f>
        <v>0</v>
      </c>
      <c r="M2717" s="169">
        <f>IFERROR(MATCH(J2717,'Final List'!$F$4:$F$251,0),0)</f>
        <v>0</v>
      </c>
      <c r="N2717" s="169">
        <f>IFERROR(MATCH(J2717,'Final List'!$H$4:$H$252,0),0)</f>
        <v>0</v>
      </c>
      <c r="O2717" s="169">
        <f>IFERROR(MATCH(J2717,'Final List'!$J$4:$J$252,0),0)</f>
        <v>0</v>
      </c>
      <c r="P2717" s="169">
        <f>IFERROR(MATCH(J2717,'Final List'!$L$4:$L$252,0),0)</f>
        <v>0</v>
      </c>
      <c r="Q2717" s="169">
        <f>IFERROR(MATCH(J2717,'Final List'!$N$4:$N$252,0),0)</f>
        <v>0</v>
      </c>
      <c r="R2717" s="169">
        <f>IFERROR(MATCH(J2717,'Final List'!$P$4:$P$252,0),0)</f>
        <v>0</v>
      </c>
      <c r="S2717" s="169">
        <f t="shared" si="172"/>
        <v>0</v>
      </c>
      <c r="V2717" s="169" t="str">
        <f t="shared" si="170"/>
        <v>OLIVEROS 1</v>
      </c>
      <c r="W2717" s="169" t="s">
        <v>2708</v>
      </c>
    </row>
    <row r="2718" spans="2:23" x14ac:dyDescent="0.25">
      <c r="B2718" s="169" t="s">
        <v>258</v>
      </c>
      <c r="C2718" s="169" t="s">
        <v>45</v>
      </c>
      <c r="D2718" s="169" t="s">
        <v>595</v>
      </c>
      <c r="E2718" s="169" t="s">
        <v>62</v>
      </c>
      <c r="F2718" s="245" t="str">
        <f t="shared" si="171"/>
        <v>RobS 79</v>
      </c>
      <c r="G2718" s="169" t="s">
        <v>11733</v>
      </c>
      <c r="I2718" s="169" t="str">
        <f t="shared" si="169"/>
        <v>L10_DPVE_072E_ROBBING</v>
      </c>
      <c r="J2718" s="169" t="s">
        <v>11732</v>
      </c>
      <c r="K2718" s="169">
        <f>IFERROR(MATCH(J2718,'Final List'!$B$4:$B$252,0),0)</f>
        <v>0</v>
      </c>
      <c r="L2718" s="169">
        <f>IFERROR(MATCH(J2718,'Final List'!$D$4:$D$252,0),0)</f>
        <v>0</v>
      </c>
      <c r="M2718" s="169">
        <f>IFERROR(MATCH(J2718,'Final List'!$F$4:$F$251,0),0)</f>
        <v>0</v>
      </c>
      <c r="N2718" s="169">
        <f>IFERROR(MATCH(J2718,'Final List'!$H$4:$H$252,0),0)</f>
        <v>0</v>
      </c>
      <c r="O2718" s="169">
        <f>IFERROR(MATCH(J2718,'Final List'!$J$4:$J$252,0),0)</f>
        <v>0</v>
      </c>
      <c r="P2718" s="169">
        <f>IFERROR(MATCH(J2718,'Final List'!$L$4:$L$252,0),0)</f>
        <v>0</v>
      </c>
      <c r="Q2718" s="169">
        <f>IFERROR(MATCH(J2718,'Final List'!$N$4:$N$252,0),0)</f>
        <v>0</v>
      </c>
      <c r="R2718" s="169">
        <f>IFERROR(MATCH(J2718,'Final List'!$P$4:$P$252,0),0)</f>
        <v>0</v>
      </c>
      <c r="S2718" s="169">
        <f t="shared" si="172"/>
        <v>0</v>
      </c>
      <c r="T2718" s="169" t="s">
        <v>68</v>
      </c>
      <c r="V2718" s="169" t="str">
        <f t="shared" si="170"/>
        <v>SHEPERD AX</v>
      </c>
      <c r="W2718" s="169" t="s">
        <v>2707</v>
      </c>
    </row>
    <row r="2719" spans="2:23" x14ac:dyDescent="0.25">
      <c r="B2719" s="169" t="s">
        <v>1166</v>
      </c>
      <c r="C2719" s="169" t="s">
        <v>45</v>
      </c>
      <c r="D2719" s="169" t="s">
        <v>5601</v>
      </c>
      <c r="E2719" s="169" t="s">
        <v>60</v>
      </c>
      <c r="F2719" s="245" t="str">
        <f t="shared" si="171"/>
        <v>Dhoz 71</v>
      </c>
      <c r="G2719" s="169" t="s">
        <v>356</v>
      </c>
      <c r="I2719" s="169" t="str">
        <f t="shared" si="169"/>
        <v>L11_DPVE_026E_DE</v>
      </c>
      <c r="J2719" s="169" t="s">
        <v>11738</v>
      </c>
      <c r="K2719" s="169">
        <f>IFERROR(MATCH(J2719,'Final List'!$B$4:$B$252,0),0)</f>
        <v>0</v>
      </c>
      <c r="L2719" s="169">
        <f>IFERROR(MATCH(J2719,'Final List'!$D$4:$D$252,0),0)</f>
        <v>0</v>
      </c>
      <c r="M2719" s="169">
        <f>IFERROR(MATCH(J2719,'Final List'!$F$4:$F$251,0),0)</f>
        <v>0</v>
      </c>
      <c r="N2719" s="169">
        <f>IFERROR(MATCH(J2719,'Final List'!$H$4:$H$252,0),0)</f>
        <v>0</v>
      </c>
      <c r="O2719" s="169">
        <f>IFERROR(MATCH(J2719,'Final List'!$J$4:$J$252,0),0)</f>
        <v>0</v>
      </c>
      <c r="P2719" s="169">
        <f>IFERROR(MATCH(J2719,'Final List'!$L$4:$L$252,0),0)</f>
        <v>0</v>
      </c>
      <c r="Q2719" s="169">
        <f>IFERROR(MATCH(J2719,'Final List'!$N$4:$N$252,0),0)</f>
        <v>0</v>
      </c>
      <c r="R2719" s="169">
        <f>IFERROR(MATCH(J2719,'Final List'!$P$4:$P$252,0),0)</f>
        <v>0</v>
      </c>
      <c r="S2719" s="169">
        <f t="shared" si="172"/>
        <v>0</v>
      </c>
      <c r="V2719" s="169" t="str">
        <f t="shared" si="170"/>
        <v>BAÑEZ 1</v>
      </c>
      <c r="W2719" s="169" t="s">
        <v>8896</v>
      </c>
    </row>
    <row r="2720" spans="2:23" x14ac:dyDescent="0.25">
      <c r="B2720" s="169" t="s">
        <v>95</v>
      </c>
      <c r="C2720" s="169" t="s">
        <v>59</v>
      </c>
      <c r="D2720" s="169" t="s">
        <v>97</v>
      </c>
      <c r="E2720" s="169" t="s">
        <v>20</v>
      </c>
      <c r="F2720" s="245" t="str">
        <f t="shared" si="171"/>
        <v>DVW 74</v>
      </c>
      <c r="G2720" s="169" t="s">
        <v>577</v>
      </c>
      <c r="I2720" s="169" t="str">
        <f t="shared" si="169"/>
        <v>L08_GHVHW_012W_WINZE</v>
      </c>
      <c r="J2720" s="169" t="s">
        <v>11744</v>
      </c>
      <c r="K2720" s="169">
        <f>IFERROR(MATCH(J2720,'Final List'!$B$4:$B$252,0),0)</f>
        <v>0</v>
      </c>
      <c r="L2720" s="169">
        <f>IFERROR(MATCH(J2720,'Final List'!$D$4:$D$252,0),0)</f>
        <v>0</v>
      </c>
      <c r="M2720" s="169">
        <f>IFERROR(MATCH(J2720,'Final List'!$F$4:$F$251,0),0)</f>
        <v>0</v>
      </c>
      <c r="N2720" s="169">
        <f>IFERROR(MATCH(J2720,'Final List'!$H$4:$H$252,0),0)</f>
        <v>0</v>
      </c>
      <c r="O2720" s="169">
        <f>IFERROR(MATCH(J2720,'Final List'!$J$4:$J$252,0),0)</f>
        <v>0</v>
      </c>
      <c r="P2720" s="169">
        <f>IFERROR(MATCH(J2720,'Final List'!$L$4:$L$252,0),0)</f>
        <v>0</v>
      </c>
      <c r="Q2720" s="169">
        <f>IFERROR(MATCH(J2720,'Final List'!$N$4:$N$252,0),0)</f>
        <v>0</v>
      </c>
      <c r="R2720" s="169">
        <f>IFERROR(MATCH(J2720,'Final List'!$P$4:$P$252,0),0)</f>
        <v>0</v>
      </c>
      <c r="S2720" s="169">
        <f t="shared" si="172"/>
        <v>0</v>
      </c>
      <c r="V2720" s="169" t="str">
        <f t="shared" si="170"/>
        <v>CARIKITAN 1</v>
      </c>
      <c r="W2720" s="169" t="s">
        <v>2717</v>
      </c>
    </row>
    <row r="2721" spans="2:23" x14ac:dyDescent="0.25">
      <c r="B2721" s="169" t="s">
        <v>95</v>
      </c>
      <c r="C2721" s="169" t="s">
        <v>38</v>
      </c>
      <c r="D2721" s="169" t="s">
        <v>6983</v>
      </c>
      <c r="E2721" s="169" t="s">
        <v>62</v>
      </c>
      <c r="F2721" s="245" t="str">
        <f t="shared" si="171"/>
        <v>RobS 79</v>
      </c>
      <c r="G2721" s="169" t="s">
        <v>9753</v>
      </c>
      <c r="H2721" s="169" t="s">
        <v>604</v>
      </c>
      <c r="I2721" s="169" t="str">
        <f t="shared" si="169"/>
        <v>L08_GHV_001E_ROBBING</v>
      </c>
      <c r="J2721" s="169" t="s">
        <v>733</v>
      </c>
      <c r="K2721" s="169">
        <f>IFERROR(MATCH(J2721,'Final List'!$B$4:$B$252,0),0)</f>
        <v>0</v>
      </c>
      <c r="L2721" s="169">
        <f>IFERROR(MATCH(J2721,'Final List'!$D$4:$D$252,0),0)</f>
        <v>0</v>
      </c>
      <c r="M2721" s="169">
        <f>IFERROR(MATCH(J2721,'Final List'!$F$4:$F$251,0),0)</f>
        <v>0</v>
      </c>
      <c r="N2721" s="169">
        <f>IFERROR(MATCH(J2721,'Final List'!$H$4:$H$252,0),0)</f>
        <v>0</v>
      </c>
      <c r="O2721" s="169">
        <f>IFERROR(MATCH(J2721,'Final List'!$J$4:$J$252,0),0)</f>
        <v>0</v>
      </c>
      <c r="P2721" s="169">
        <f>IFERROR(MATCH(J2721,'Final List'!$L$4:$L$252,0),0)</f>
        <v>0</v>
      </c>
      <c r="Q2721" s="169">
        <f>IFERROR(MATCH(J2721,'Final List'!$N$4:$N$252,0),0)</f>
        <v>0</v>
      </c>
      <c r="R2721" s="169">
        <f>IFERROR(MATCH(J2721,'Final List'!$P$4:$P$252,0),0)</f>
        <v>0</v>
      </c>
      <c r="S2721" s="169">
        <f t="shared" si="172"/>
        <v>0</v>
      </c>
      <c r="T2721" s="169" t="s">
        <v>68</v>
      </c>
      <c r="V2721" s="169" t="str">
        <f t="shared" si="170"/>
        <v>CARIKITAN 3</v>
      </c>
      <c r="W2721" s="169" t="s">
        <v>2707</v>
      </c>
    </row>
    <row r="2722" spans="2:23" x14ac:dyDescent="0.25">
      <c r="B2722" s="169" t="s">
        <v>258</v>
      </c>
      <c r="C2722" s="169" t="s">
        <v>45</v>
      </c>
      <c r="D2722" s="169" t="s">
        <v>9156</v>
      </c>
      <c r="E2722" s="169" t="s">
        <v>62</v>
      </c>
      <c r="F2722" s="245" t="str">
        <f t="shared" si="171"/>
        <v>RobS 79</v>
      </c>
      <c r="G2722" s="169" t="s">
        <v>10805</v>
      </c>
      <c r="I2722" s="169" t="str">
        <f t="shared" si="169"/>
        <v>L10_DPVE_092E_ROBBING</v>
      </c>
      <c r="J2722" s="169" t="s">
        <v>11745</v>
      </c>
      <c r="K2722" s="169">
        <f>IFERROR(MATCH(J2722,'Final List'!$B$4:$B$252,0),0)</f>
        <v>0</v>
      </c>
      <c r="L2722" s="169">
        <f>IFERROR(MATCH(J2722,'Final List'!$D$4:$D$252,0),0)</f>
        <v>0</v>
      </c>
      <c r="M2722" s="169">
        <f>IFERROR(MATCH(J2722,'Final List'!$F$4:$F$251,0),0)</f>
        <v>0</v>
      </c>
      <c r="N2722" s="169">
        <f>IFERROR(MATCH(J2722,'Final List'!$H$4:$H$252,0),0)</f>
        <v>0</v>
      </c>
      <c r="O2722" s="169">
        <f>IFERROR(MATCH(J2722,'Final List'!$J$4:$J$252,0),0)</f>
        <v>0</v>
      </c>
      <c r="P2722" s="169">
        <f>IFERROR(MATCH(J2722,'Final List'!$L$4:$L$252,0),0)</f>
        <v>0</v>
      </c>
      <c r="Q2722" s="169">
        <f>IFERROR(MATCH(J2722,'Final List'!$N$4:$N$252,0),0)</f>
        <v>0</v>
      </c>
      <c r="R2722" s="169">
        <f>IFERROR(MATCH(J2722,'Final List'!$P$4:$P$252,0),0)</f>
        <v>0</v>
      </c>
      <c r="S2722" s="169">
        <f t="shared" si="172"/>
        <v>0</v>
      </c>
      <c r="T2722" s="169" t="s">
        <v>68</v>
      </c>
      <c r="V2722" s="169" t="str">
        <f t="shared" si="170"/>
        <v>SHEPHERD BD 1</v>
      </c>
      <c r="W2722" s="169" t="s">
        <v>2707</v>
      </c>
    </row>
    <row r="2723" spans="2:23" x14ac:dyDescent="0.25">
      <c r="B2723" s="169" t="s">
        <v>96</v>
      </c>
      <c r="C2723" s="169" t="s">
        <v>45</v>
      </c>
      <c r="D2723" s="169" t="s">
        <v>5975</v>
      </c>
      <c r="E2723" s="169" t="s">
        <v>6154</v>
      </c>
      <c r="F2723" s="245" t="str">
        <f t="shared" si="171"/>
        <v>Dhoz 71</v>
      </c>
      <c r="G2723" s="169" t="s">
        <v>746</v>
      </c>
      <c r="I2723" s="169" t="str">
        <f t="shared" si="169"/>
        <v>L09_DPVE_028E_DW_ISL</v>
      </c>
      <c r="J2723" s="169" t="s">
        <v>11748</v>
      </c>
      <c r="K2723" s="169">
        <f>IFERROR(MATCH(J2723,'Final List'!$B$4:$B$252,0),0)</f>
        <v>0</v>
      </c>
      <c r="L2723" s="169">
        <f>IFERROR(MATCH(J2723,'Final List'!$D$4:$D$252,0),0)</f>
        <v>0</v>
      </c>
      <c r="M2723" s="169">
        <f>IFERROR(MATCH(J2723,'Final List'!$F$4:$F$251,0),0)</f>
        <v>0</v>
      </c>
      <c r="N2723" s="169">
        <f>IFERROR(MATCH(J2723,'Final List'!$H$4:$H$252,0),0)</f>
        <v>0</v>
      </c>
      <c r="O2723" s="169">
        <f>IFERROR(MATCH(J2723,'Final List'!$J$4:$J$252,0),0)</f>
        <v>0</v>
      </c>
      <c r="P2723" s="169">
        <f>IFERROR(MATCH(J2723,'Final List'!$L$4:$L$252,0),0)</f>
        <v>0</v>
      </c>
      <c r="Q2723" s="169">
        <f>IFERROR(MATCH(J2723,'Final List'!$N$4:$N$252,0),0)</f>
        <v>0</v>
      </c>
      <c r="R2723" s="169">
        <f>IFERROR(MATCH(J2723,'Final List'!$P$4:$P$252,0),0)</f>
        <v>0</v>
      </c>
      <c r="S2723" s="169">
        <f t="shared" si="172"/>
        <v>0</v>
      </c>
      <c r="V2723" s="169" t="str">
        <f t="shared" si="170"/>
        <v>CANOY 1</v>
      </c>
      <c r="W2723" s="169" t="s">
        <v>2708</v>
      </c>
    </row>
    <row r="2724" spans="2:23" x14ac:dyDescent="0.25">
      <c r="B2724" s="169" t="s">
        <v>96</v>
      </c>
      <c r="C2724" s="169" t="s">
        <v>45</v>
      </c>
      <c r="D2724" s="169" t="s">
        <v>6946</v>
      </c>
      <c r="E2724" s="169" t="s">
        <v>6143</v>
      </c>
      <c r="F2724" s="245" t="str">
        <f t="shared" si="171"/>
        <v>Dhoz 71</v>
      </c>
      <c r="G2724" s="169" t="s">
        <v>5101</v>
      </c>
      <c r="I2724" s="169" t="str">
        <f t="shared" si="169"/>
        <v>L09_DPVE_081E_DE_ISL</v>
      </c>
      <c r="J2724" s="169" t="s">
        <v>11750</v>
      </c>
      <c r="K2724" s="169">
        <f>IFERROR(MATCH(J2724,'Final List'!$B$4:$B$252,0),0)</f>
        <v>0</v>
      </c>
      <c r="L2724" s="169">
        <f>IFERROR(MATCH(J2724,'Final List'!$D$4:$D$252,0),0)</f>
        <v>0</v>
      </c>
      <c r="M2724" s="169">
        <f>IFERROR(MATCH(J2724,'Final List'!$F$4:$F$251,0),0)</f>
        <v>0</v>
      </c>
      <c r="N2724" s="169">
        <f>IFERROR(MATCH(J2724,'Final List'!$H$4:$H$252,0),0)</f>
        <v>0</v>
      </c>
      <c r="O2724" s="169">
        <f>IFERROR(MATCH(J2724,'Final List'!$J$4:$J$252,0),0)</f>
        <v>0</v>
      </c>
      <c r="P2724" s="169">
        <f>IFERROR(MATCH(J2724,'Final List'!$L$4:$L$252,0),0)</f>
        <v>0</v>
      </c>
      <c r="Q2724" s="169">
        <f>IFERROR(MATCH(J2724,'Final List'!$N$4:$N$252,0),0)</f>
        <v>0</v>
      </c>
      <c r="R2724" s="169">
        <f>IFERROR(MATCH(J2724,'Final List'!$P$4:$P$252,0),0)</f>
        <v>0</v>
      </c>
      <c r="S2724" s="169">
        <f t="shared" si="172"/>
        <v>0</v>
      </c>
      <c r="V2724" s="169" t="str">
        <f t="shared" si="170"/>
        <v>DELOS REYES V3</v>
      </c>
      <c r="W2724" s="169" t="s">
        <v>2708</v>
      </c>
    </row>
    <row r="2725" spans="2:23" x14ac:dyDescent="0.25">
      <c r="B2725" s="169" t="s">
        <v>1166</v>
      </c>
      <c r="C2725" s="169" t="s">
        <v>39</v>
      </c>
      <c r="D2725" s="169" t="s">
        <v>122</v>
      </c>
      <c r="E2725" s="169" t="s">
        <v>61</v>
      </c>
      <c r="F2725" s="245" t="str">
        <f t="shared" si="171"/>
        <v>Dhoz 71</v>
      </c>
      <c r="G2725" s="169" t="s">
        <v>5720</v>
      </c>
      <c r="I2725" s="169" t="str">
        <f t="shared" si="169"/>
        <v>L11_JVHW_025E_DW</v>
      </c>
      <c r="J2725" s="169" t="s">
        <v>11755</v>
      </c>
      <c r="K2725" s="169">
        <f>IFERROR(MATCH(J2725,'Final List'!$B$4:$B$252,0),0)</f>
        <v>0</v>
      </c>
      <c r="L2725" s="169">
        <f>IFERROR(MATCH(J2725,'Final List'!$D$4:$D$252,0),0)</f>
        <v>0</v>
      </c>
      <c r="M2725" s="169">
        <f>IFERROR(MATCH(J2725,'Final List'!$F$4:$F$251,0),0)</f>
        <v>0</v>
      </c>
      <c r="N2725" s="169">
        <f>IFERROR(MATCH(J2725,'Final List'!$H$4:$H$252,0),0)</f>
        <v>0</v>
      </c>
      <c r="O2725" s="169">
        <f>IFERROR(MATCH(J2725,'Final List'!$J$4:$J$252,0),0)</f>
        <v>0</v>
      </c>
      <c r="P2725" s="169">
        <f>IFERROR(MATCH(J2725,'Final List'!$L$4:$L$252,0),0)</f>
        <v>0</v>
      </c>
      <c r="Q2725" s="169">
        <f>IFERROR(MATCH(J2725,'Final List'!$N$4:$N$252,0),0)</f>
        <v>0</v>
      </c>
      <c r="R2725" s="169">
        <f>IFERROR(MATCH(J2725,'Final List'!$P$4:$P$252,0),0)</f>
        <v>0</v>
      </c>
      <c r="S2725" s="169">
        <f t="shared" si="172"/>
        <v>0</v>
      </c>
      <c r="V2725" s="169" t="str">
        <f t="shared" si="170"/>
        <v>TURRA 1</v>
      </c>
      <c r="W2725" s="169" t="s">
        <v>8896</v>
      </c>
    </row>
    <row r="2726" spans="2:23" x14ac:dyDescent="0.25">
      <c r="B2726" s="169" t="s">
        <v>1166</v>
      </c>
      <c r="C2726" s="169" t="s">
        <v>43</v>
      </c>
      <c r="D2726" s="169" t="s">
        <v>284</v>
      </c>
      <c r="E2726" s="169" t="s">
        <v>19</v>
      </c>
      <c r="F2726" s="245" t="str">
        <f t="shared" si="171"/>
        <v>DVR 72</v>
      </c>
      <c r="G2726" s="169" t="s">
        <v>551</v>
      </c>
      <c r="H2726" s="169" t="s">
        <v>488</v>
      </c>
      <c r="I2726" s="169" t="str">
        <f t="shared" si="169"/>
        <v>L11_GHVSPLIT_061E_RAISE</v>
      </c>
      <c r="J2726" s="169" t="s">
        <v>11756</v>
      </c>
      <c r="K2726" s="169">
        <f>IFERROR(MATCH(J2726,'Final List'!$B$4:$B$252,0),0)</f>
        <v>0</v>
      </c>
      <c r="L2726" s="169">
        <f>IFERROR(MATCH(J2726,'Final List'!$D$4:$D$252,0),0)</f>
        <v>0</v>
      </c>
      <c r="M2726" s="169">
        <f>IFERROR(MATCH(J2726,'Final List'!$F$4:$F$251,0),0)</f>
        <v>0</v>
      </c>
      <c r="N2726" s="169">
        <f>IFERROR(MATCH(J2726,'Final List'!$H$4:$H$252,0),0)</f>
        <v>0</v>
      </c>
      <c r="O2726" s="169">
        <f>IFERROR(MATCH(J2726,'Final List'!$J$4:$J$252,0),0)</f>
        <v>0</v>
      </c>
      <c r="P2726" s="169">
        <f>IFERROR(MATCH(J2726,'Final List'!$L$4:$L$252,0),0)</f>
        <v>0</v>
      </c>
      <c r="Q2726" s="169">
        <f>IFERROR(MATCH(J2726,'Final List'!$N$4:$N$252,0),0)</f>
        <v>0</v>
      </c>
      <c r="R2726" s="169">
        <f>IFERROR(MATCH(J2726,'Final List'!$P$4:$P$252,0),0)</f>
        <v>0</v>
      </c>
      <c r="S2726" s="169">
        <f t="shared" si="172"/>
        <v>0</v>
      </c>
      <c r="V2726" s="169" t="str">
        <f t="shared" si="170"/>
        <v>BAÑEZ 9</v>
      </c>
      <c r="W2726" s="169" t="s">
        <v>2715</v>
      </c>
    </row>
    <row r="2727" spans="2:23" x14ac:dyDescent="0.25">
      <c r="B2727" s="169" t="s">
        <v>1167</v>
      </c>
      <c r="C2727" s="169" t="s">
        <v>42</v>
      </c>
      <c r="D2727" s="169" t="s">
        <v>197</v>
      </c>
      <c r="E2727" s="169" t="s">
        <v>60</v>
      </c>
      <c r="F2727" s="245" t="str">
        <f t="shared" si="171"/>
        <v>Dhoz 71</v>
      </c>
      <c r="G2727" s="169" t="s">
        <v>6929</v>
      </c>
      <c r="I2727" s="169" t="str">
        <f t="shared" ref="I2727:I2796" si="173">CONCATENATE(B2727,"_",C2727,"_",D2727,"_",E2727)</f>
        <v>L12_JV_070E_DE</v>
      </c>
      <c r="J2727" s="169" t="s">
        <v>11762</v>
      </c>
      <c r="K2727" s="169">
        <f>IFERROR(MATCH(J2727,'Final List'!$B$4:$B$252,0),0)</f>
        <v>0</v>
      </c>
      <c r="L2727" s="169">
        <f>IFERROR(MATCH(J2727,'Final List'!$D$4:$D$252,0),0)</f>
        <v>0</v>
      </c>
      <c r="M2727" s="169">
        <f>IFERROR(MATCH(J2727,'Final List'!$F$4:$F$251,0),0)</f>
        <v>0</v>
      </c>
      <c r="N2727" s="169">
        <f>IFERROR(MATCH(J2727,'Final List'!$H$4:$H$252,0),0)</f>
        <v>0</v>
      </c>
      <c r="O2727" s="169">
        <f>IFERROR(MATCH(J2727,'Final List'!$J$4:$J$252,0),0)</f>
        <v>0</v>
      </c>
      <c r="P2727" s="169">
        <f>IFERROR(MATCH(J2727,'Final List'!$L$4:$L$252,0),0)</f>
        <v>0</v>
      </c>
      <c r="Q2727" s="169">
        <f>IFERROR(MATCH(J2727,'Final List'!$N$4:$N$252,0),0)</f>
        <v>0</v>
      </c>
      <c r="R2727" s="169">
        <f>IFERROR(MATCH(J2727,'Final List'!$P$4:$P$252,0),0)</f>
        <v>0</v>
      </c>
      <c r="S2727" s="169">
        <f t="shared" si="172"/>
        <v>0</v>
      </c>
      <c r="V2727" s="169" t="str">
        <f t="shared" si="170"/>
        <v>DUHIG, P4</v>
      </c>
      <c r="W2727" s="169" t="s">
        <v>8896</v>
      </c>
    </row>
    <row r="2728" spans="2:23" x14ac:dyDescent="0.25">
      <c r="B2728" s="169" t="s">
        <v>1166</v>
      </c>
      <c r="C2728" s="169" t="s">
        <v>45</v>
      </c>
      <c r="D2728" s="169" t="s">
        <v>6036</v>
      </c>
      <c r="E2728" s="169" t="s">
        <v>19</v>
      </c>
      <c r="F2728" s="245" t="str">
        <f t="shared" si="171"/>
        <v>DVR 72</v>
      </c>
      <c r="G2728" s="169" t="s">
        <v>488</v>
      </c>
      <c r="H2728" s="169" t="s">
        <v>448</v>
      </c>
      <c r="I2728" s="169" t="str">
        <f t="shared" si="173"/>
        <v>L11_DPVE_017E_RAISE</v>
      </c>
      <c r="J2728" s="169" t="s">
        <v>11765</v>
      </c>
      <c r="K2728" s="169">
        <f>IFERROR(MATCH(J2728,'Final List'!$B$4:$B$252,0),0)</f>
        <v>0</v>
      </c>
      <c r="L2728" s="169">
        <f>IFERROR(MATCH(J2728,'Final List'!$D$4:$D$252,0),0)</f>
        <v>0</v>
      </c>
      <c r="M2728" s="169">
        <f>IFERROR(MATCH(J2728,'Final List'!$F$4:$F$251,0),0)</f>
        <v>0</v>
      </c>
      <c r="N2728" s="169">
        <f>IFERROR(MATCH(J2728,'Final List'!$H$4:$H$252,0),0)</f>
        <v>0</v>
      </c>
      <c r="O2728" s="169">
        <f>IFERROR(MATCH(J2728,'Final List'!$J$4:$J$252,0),0)</f>
        <v>0</v>
      </c>
      <c r="P2728" s="169">
        <f>IFERROR(MATCH(J2728,'Final List'!$L$4:$L$252,0),0)</f>
        <v>0</v>
      </c>
      <c r="Q2728" s="169">
        <f>IFERROR(MATCH(J2728,'Final List'!$N$4:$N$252,0),0)</f>
        <v>0</v>
      </c>
      <c r="R2728" s="169">
        <f>IFERROR(MATCH(J2728,'Final List'!$P$4:$P$252,0),0)</f>
        <v>0</v>
      </c>
      <c r="S2728" s="169">
        <f t="shared" si="172"/>
        <v>0</v>
      </c>
      <c r="V2728" s="169" t="str">
        <f t="shared" si="170"/>
        <v>COMAINGKING 2</v>
      </c>
      <c r="W2728" s="169" t="s">
        <v>2715</v>
      </c>
    </row>
    <row r="2729" spans="2:23" x14ac:dyDescent="0.25">
      <c r="B2729" s="169" t="s">
        <v>1167</v>
      </c>
      <c r="C2729" s="169" t="s">
        <v>87</v>
      </c>
      <c r="D2729" s="169" t="s">
        <v>148</v>
      </c>
      <c r="E2729" s="169" t="s">
        <v>72</v>
      </c>
      <c r="F2729" s="245" t="str">
        <f t="shared" si="171"/>
        <v>Dhoz 71</v>
      </c>
      <c r="G2729" s="169" t="s">
        <v>9885</v>
      </c>
      <c r="I2729" s="169" t="str">
        <f t="shared" si="173"/>
        <v>L12_NONE_039E_CHAMBER</v>
      </c>
      <c r="J2729" s="169" t="s">
        <v>11766</v>
      </c>
      <c r="K2729" s="169">
        <f>IFERROR(MATCH(J2729,'Final List'!$B$4:$B$252,0),0)</f>
        <v>0</v>
      </c>
      <c r="L2729" s="169">
        <f>IFERROR(MATCH(J2729,'Final List'!$D$4:$D$252,0),0)</f>
        <v>0</v>
      </c>
      <c r="M2729" s="169">
        <f>IFERROR(MATCH(J2729,'Final List'!$F$4:$F$251,0),0)</f>
        <v>0</v>
      </c>
      <c r="N2729" s="169">
        <f>IFERROR(MATCH(J2729,'Final List'!$H$4:$H$252,0),0)</f>
        <v>0</v>
      </c>
      <c r="O2729" s="169">
        <f>IFERROR(MATCH(J2729,'Final List'!$J$4:$J$252,0),0)</f>
        <v>0</v>
      </c>
      <c r="P2729" s="169">
        <f>IFERROR(MATCH(J2729,'Final List'!$L$4:$L$252,0),0)</f>
        <v>0</v>
      </c>
      <c r="Q2729" s="169">
        <f>IFERROR(MATCH(J2729,'Final List'!$N$4:$N$252,0),0)</f>
        <v>0</v>
      </c>
      <c r="R2729" s="169">
        <f>IFERROR(MATCH(J2729,'Final List'!$P$4:$P$252,0),0)</f>
        <v>0</v>
      </c>
      <c r="S2729" s="169">
        <f t="shared" si="172"/>
        <v>0</v>
      </c>
      <c r="V2729" s="169" t="str">
        <f t="shared" si="170"/>
        <v>CAYMAN 2</v>
      </c>
      <c r="W2729" s="169" t="s">
        <v>2714</v>
      </c>
    </row>
    <row r="2730" spans="2:23" x14ac:dyDescent="0.25">
      <c r="B2730" s="169" t="s">
        <v>1167</v>
      </c>
      <c r="C2730" s="169" t="s">
        <v>43</v>
      </c>
      <c r="D2730" s="169" t="s">
        <v>161</v>
      </c>
      <c r="E2730" s="169" t="s">
        <v>61</v>
      </c>
      <c r="F2730" s="245" t="str">
        <f t="shared" si="171"/>
        <v>Dhoz 71</v>
      </c>
      <c r="G2730" s="169" t="s">
        <v>14130</v>
      </c>
      <c r="I2730" s="169" t="str">
        <f t="shared" si="173"/>
        <v>L12_GHVSPLIT_044E_DW</v>
      </c>
      <c r="J2730" s="169" t="s">
        <v>11768</v>
      </c>
      <c r="K2730" s="169">
        <f>IFERROR(MATCH(J2730,'Final List'!$B$4:$B$252,0),0)</f>
        <v>0</v>
      </c>
      <c r="L2730" s="169">
        <f>IFERROR(MATCH(J2730,'Final List'!$D$4:$D$252,0),0)</f>
        <v>0</v>
      </c>
      <c r="M2730" s="169">
        <f>IFERROR(MATCH(J2730,'Final List'!$F$4:$F$251,0),0)</f>
        <v>0</v>
      </c>
      <c r="N2730" s="169">
        <f>IFERROR(MATCH(J2730,'Final List'!$H$4:$H$252,0),0)</f>
        <v>0</v>
      </c>
      <c r="O2730" s="169">
        <f>IFERROR(MATCH(J2730,'Final List'!$J$4:$J$252,0),0)</f>
        <v>0</v>
      </c>
      <c r="P2730" s="169">
        <f>IFERROR(MATCH(J2730,'Final List'!$L$4:$L$252,0),0)</f>
        <v>0</v>
      </c>
      <c r="Q2730" s="169">
        <f>IFERROR(MATCH(J2730,'Final List'!$N$4:$N$252,0),0)</f>
        <v>0</v>
      </c>
      <c r="R2730" s="169">
        <f>IFERROR(MATCH(J2730,'Final List'!$P$4:$P$252,0),0)</f>
        <v>0</v>
      </c>
      <c r="S2730" s="169">
        <f t="shared" si="172"/>
        <v>0</v>
      </c>
      <c r="V2730" s="169" t="str">
        <f t="shared" si="170"/>
        <v>DURANGO</v>
      </c>
      <c r="W2730" s="169" t="s">
        <v>8896</v>
      </c>
    </row>
    <row r="2731" spans="2:23" x14ac:dyDescent="0.25">
      <c r="B2731" s="169" t="s">
        <v>1166</v>
      </c>
      <c r="C2731" s="169" t="s">
        <v>45</v>
      </c>
      <c r="D2731" s="169" t="s">
        <v>178</v>
      </c>
      <c r="E2731" s="169" t="s">
        <v>19</v>
      </c>
      <c r="F2731" s="245" t="str">
        <f t="shared" si="171"/>
        <v>DVR 72</v>
      </c>
      <c r="G2731" s="169" t="s">
        <v>538</v>
      </c>
      <c r="H2731" s="169" t="s">
        <v>448</v>
      </c>
      <c r="I2731" s="169" t="str">
        <f t="shared" si="173"/>
        <v>L11_DPVE_048E_RAISE</v>
      </c>
      <c r="J2731" s="169" t="s">
        <v>11773</v>
      </c>
      <c r="K2731" s="169">
        <f>IFERROR(MATCH(J2731,'Final List'!$B$4:$B$252,0),0)</f>
        <v>0</v>
      </c>
      <c r="L2731" s="169">
        <f>IFERROR(MATCH(J2731,'Final List'!$D$4:$D$252,0),0)</f>
        <v>0</v>
      </c>
      <c r="M2731" s="169">
        <f>IFERROR(MATCH(J2731,'Final List'!$F$4:$F$251,0),0)</f>
        <v>0</v>
      </c>
      <c r="N2731" s="169">
        <f>IFERROR(MATCH(J2731,'Final List'!$H$4:$H$252,0),0)</f>
        <v>0</v>
      </c>
      <c r="O2731" s="169">
        <f>IFERROR(MATCH(J2731,'Final List'!$J$4:$J$252,0),0)</f>
        <v>0</v>
      </c>
      <c r="P2731" s="169">
        <f>IFERROR(MATCH(J2731,'Final List'!$L$4:$L$252,0),0)</f>
        <v>0</v>
      </c>
      <c r="Q2731" s="169">
        <f>IFERROR(MATCH(J2731,'Final List'!$N$4:$N$252,0),0)</f>
        <v>0</v>
      </c>
      <c r="R2731" s="169">
        <f>IFERROR(MATCH(J2731,'Final List'!$P$4:$P$252,0),0)</f>
        <v>0</v>
      </c>
      <c r="S2731" s="169">
        <f t="shared" si="172"/>
        <v>0</v>
      </c>
      <c r="V2731" s="169" t="str">
        <f t="shared" si="170"/>
        <v>COMAINGKING 2</v>
      </c>
      <c r="W2731" s="169" t="s">
        <v>2715</v>
      </c>
    </row>
    <row r="2732" spans="2:23" x14ac:dyDescent="0.25">
      <c r="B2732" s="169" t="s">
        <v>91</v>
      </c>
      <c r="C2732" s="169" t="s">
        <v>42</v>
      </c>
      <c r="D2732" s="169" t="s">
        <v>122</v>
      </c>
      <c r="E2732" s="169" t="s">
        <v>62</v>
      </c>
      <c r="F2732" s="245" t="str">
        <f t="shared" si="171"/>
        <v>RobS 79</v>
      </c>
      <c r="G2732" s="169" t="s">
        <v>10890</v>
      </c>
      <c r="I2732" s="169" t="str">
        <f t="shared" si="173"/>
        <v>L04_JV_025E_ROBBING</v>
      </c>
      <c r="J2732" s="169" t="s">
        <v>11775</v>
      </c>
      <c r="K2732" s="169">
        <f>IFERROR(MATCH(J2732,'Final List'!$B$4:$B$252,0),0)</f>
        <v>0</v>
      </c>
      <c r="L2732" s="169">
        <f>IFERROR(MATCH(J2732,'Final List'!$D$4:$D$252,0),0)</f>
        <v>0</v>
      </c>
      <c r="M2732" s="169">
        <f>IFERROR(MATCH(J2732,'Final List'!$F$4:$F$251,0),0)</f>
        <v>0</v>
      </c>
      <c r="N2732" s="169">
        <f>IFERROR(MATCH(J2732,'Final List'!$H$4:$H$252,0),0)</f>
        <v>0</v>
      </c>
      <c r="O2732" s="169">
        <f>IFERROR(MATCH(J2732,'Final List'!$J$4:$J$252,0),0)</f>
        <v>0</v>
      </c>
      <c r="P2732" s="169">
        <f>IFERROR(MATCH(J2732,'Final List'!$L$4:$L$252,0),0)</f>
        <v>0</v>
      </c>
      <c r="Q2732" s="169">
        <f>IFERROR(MATCH(J2732,'Final List'!$N$4:$N$252,0),0)</f>
        <v>0</v>
      </c>
      <c r="R2732" s="169">
        <f>IFERROR(MATCH(J2732,'Final List'!$P$4:$P$252,0),0)</f>
        <v>0</v>
      </c>
      <c r="S2732" s="169">
        <f t="shared" si="172"/>
        <v>0</v>
      </c>
      <c r="T2732" s="169" t="s">
        <v>68</v>
      </c>
      <c r="V2732" s="169" t="str">
        <f t="shared" si="170"/>
        <v>MARTINEZ, DN 1</v>
      </c>
      <c r="W2732" s="169" t="s">
        <v>2707</v>
      </c>
    </row>
    <row r="2733" spans="2:23" x14ac:dyDescent="0.25">
      <c r="B2733" s="169" t="s">
        <v>1167</v>
      </c>
      <c r="C2733" s="169" t="s">
        <v>45</v>
      </c>
      <c r="D2733" s="169" t="s">
        <v>5742</v>
      </c>
      <c r="E2733" s="169" t="s">
        <v>19</v>
      </c>
      <c r="F2733" s="245" t="str">
        <f t="shared" si="171"/>
        <v>DVR 72</v>
      </c>
      <c r="G2733" s="169" t="s">
        <v>6931</v>
      </c>
      <c r="I2733" s="169" t="str">
        <f t="shared" si="173"/>
        <v>L12_DPVE_040E_RAISE</v>
      </c>
      <c r="J2733" s="169" t="s">
        <v>11776</v>
      </c>
      <c r="K2733" s="169">
        <f>IFERROR(MATCH(J2733,'Final List'!$B$4:$B$252,0),0)</f>
        <v>0</v>
      </c>
      <c r="L2733" s="169">
        <f>IFERROR(MATCH(J2733,'Final List'!$D$4:$D$252,0),0)</f>
        <v>0</v>
      </c>
      <c r="M2733" s="169">
        <f>IFERROR(MATCH(J2733,'Final List'!$F$4:$F$251,0),0)</f>
        <v>0</v>
      </c>
      <c r="N2733" s="169">
        <f>IFERROR(MATCH(J2733,'Final List'!$H$4:$H$252,0),0)</f>
        <v>0</v>
      </c>
      <c r="O2733" s="169">
        <f>IFERROR(MATCH(J2733,'Final List'!$J$4:$J$252,0),0)</f>
        <v>0</v>
      </c>
      <c r="P2733" s="169">
        <f>IFERROR(MATCH(J2733,'Final List'!$L$4:$L$252,0),0)</f>
        <v>0</v>
      </c>
      <c r="Q2733" s="169">
        <f>IFERROR(MATCH(J2733,'Final List'!$N$4:$N$252,0),0)</f>
        <v>0</v>
      </c>
      <c r="R2733" s="169">
        <f>IFERROR(MATCH(J2733,'Final List'!$P$4:$P$252,0),0)</f>
        <v>0</v>
      </c>
      <c r="S2733" s="169">
        <f t="shared" si="172"/>
        <v>0</v>
      </c>
      <c r="V2733" s="169" t="str">
        <f t="shared" si="170"/>
        <v>DUHIG, P2</v>
      </c>
      <c r="W2733" s="169" t="s">
        <v>2715</v>
      </c>
    </row>
    <row r="2734" spans="2:23" x14ac:dyDescent="0.25">
      <c r="B2734" s="169" t="s">
        <v>258</v>
      </c>
      <c r="C2734" s="169" t="s">
        <v>45</v>
      </c>
      <c r="D2734" s="169" t="s">
        <v>131</v>
      </c>
      <c r="E2734" s="169" t="s">
        <v>60</v>
      </c>
      <c r="F2734" s="245" t="str">
        <f t="shared" si="171"/>
        <v>Dhoz 71</v>
      </c>
      <c r="G2734" s="169" t="s">
        <v>10896</v>
      </c>
      <c r="I2734" s="169" t="str">
        <f t="shared" si="173"/>
        <v>L10_DPVE_011E_DE</v>
      </c>
      <c r="J2734" s="169" t="s">
        <v>11780</v>
      </c>
      <c r="K2734" s="169">
        <f>IFERROR(MATCH(J2734,'Final List'!$B$4:$B$252,0),0)</f>
        <v>0</v>
      </c>
      <c r="L2734" s="169">
        <f>IFERROR(MATCH(J2734,'Final List'!$D$4:$D$252,0),0)</f>
        <v>0</v>
      </c>
      <c r="M2734" s="169">
        <f>IFERROR(MATCH(J2734,'Final List'!$F$4:$F$251,0),0)</f>
        <v>0</v>
      </c>
      <c r="N2734" s="169">
        <f>IFERROR(MATCH(J2734,'Final List'!$H$4:$H$252,0),0)</f>
        <v>0</v>
      </c>
      <c r="O2734" s="169">
        <f>IFERROR(MATCH(J2734,'Final List'!$J$4:$J$252,0),0)</f>
        <v>0</v>
      </c>
      <c r="P2734" s="169">
        <f>IFERROR(MATCH(J2734,'Final List'!$L$4:$L$252,0),0)</f>
        <v>0</v>
      </c>
      <c r="Q2734" s="169">
        <f>IFERROR(MATCH(J2734,'Final List'!$N$4:$N$252,0),0)</f>
        <v>0</v>
      </c>
      <c r="R2734" s="169">
        <f>IFERROR(MATCH(J2734,'Final List'!$P$4:$P$252,0),0)</f>
        <v>0</v>
      </c>
      <c r="S2734" s="169">
        <f t="shared" si="172"/>
        <v>0</v>
      </c>
      <c r="V2734" s="169" t="str">
        <f t="shared" si="170"/>
        <v>SHEPHERD BC 2</v>
      </c>
      <c r="W2734" s="169" t="s">
        <v>8896</v>
      </c>
    </row>
    <row r="2735" spans="2:23" x14ac:dyDescent="0.25">
      <c r="B2735" s="169" t="s">
        <v>1166</v>
      </c>
      <c r="C2735" s="169" t="s">
        <v>45</v>
      </c>
      <c r="D2735" s="169" t="s">
        <v>121</v>
      </c>
      <c r="E2735" s="169" t="s">
        <v>19</v>
      </c>
      <c r="F2735" s="245" t="str">
        <f t="shared" si="171"/>
        <v>DVR 72</v>
      </c>
      <c r="G2735" s="169" t="s">
        <v>474</v>
      </c>
      <c r="H2735" s="169" t="s">
        <v>6980</v>
      </c>
      <c r="I2735" s="169" t="str">
        <f t="shared" si="173"/>
        <v>L11_DPVE_022E_RAISE</v>
      </c>
      <c r="J2735" s="169" t="s">
        <v>11786</v>
      </c>
      <c r="K2735" s="169">
        <f>IFERROR(MATCH(J2735,'Final List'!$B$4:$B$252,0),0)</f>
        <v>0</v>
      </c>
      <c r="L2735" s="169">
        <f>IFERROR(MATCH(J2735,'Final List'!$D$4:$D$252,0),0)</f>
        <v>0</v>
      </c>
      <c r="M2735" s="169">
        <f>IFERROR(MATCH(J2735,'Final List'!$F$4:$F$251,0),0)</f>
        <v>0</v>
      </c>
      <c r="N2735" s="169">
        <f>IFERROR(MATCH(J2735,'Final List'!$H$4:$H$252,0),0)</f>
        <v>0</v>
      </c>
      <c r="O2735" s="169">
        <f>IFERROR(MATCH(J2735,'Final List'!$J$4:$J$252,0),0)</f>
        <v>0</v>
      </c>
      <c r="P2735" s="169">
        <f>IFERROR(MATCH(J2735,'Final List'!$L$4:$L$252,0),0)</f>
        <v>0</v>
      </c>
      <c r="Q2735" s="169">
        <f>IFERROR(MATCH(J2735,'Final List'!$N$4:$N$252,0),0)</f>
        <v>0</v>
      </c>
      <c r="R2735" s="169">
        <f>IFERROR(MATCH(J2735,'Final List'!$P$4:$P$252,0),0)</f>
        <v>0</v>
      </c>
      <c r="S2735" s="169">
        <f t="shared" si="172"/>
        <v>0</v>
      </c>
      <c r="V2735" s="169" t="str">
        <f t="shared" si="170"/>
        <v>BADBADON 3</v>
      </c>
      <c r="W2735" s="169" t="s">
        <v>2715</v>
      </c>
    </row>
    <row r="2736" spans="2:23" x14ac:dyDescent="0.25">
      <c r="B2736" s="169" t="s">
        <v>95</v>
      </c>
      <c r="C2736" s="169" t="s">
        <v>55</v>
      </c>
      <c r="D2736" s="169" t="s">
        <v>197</v>
      </c>
      <c r="E2736" s="169" t="s">
        <v>62</v>
      </c>
      <c r="F2736" s="245" t="str">
        <f t="shared" si="171"/>
        <v>RobS 79</v>
      </c>
      <c r="G2736" s="169" t="s">
        <v>6925</v>
      </c>
      <c r="I2736" s="169" t="str">
        <f t="shared" si="173"/>
        <v>L08_JVFW_070E_ROBBING</v>
      </c>
      <c r="J2736" s="169" t="s">
        <v>11787</v>
      </c>
      <c r="K2736" s="169">
        <f>IFERROR(MATCH(J2736,'Final List'!$B$4:$B$252,0),0)</f>
        <v>0</v>
      </c>
      <c r="L2736" s="169">
        <f>IFERROR(MATCH(J2736,'Final List'!$D$4:$D$252,0),0)</f>
        <v>0</v>
      </c>
      <c r="M2736" s="169">
        <f>IFERROR(MATCH(J2736,'Final List'!$F$4:$F$251,0),0)</f>
        <v>0</v>
      </c>
      <c r="N2736" s="169">
        <f>IFERROR(MATCH(J2736,'Final List'!$H$4:$H$252,0),0)</f>
        <v>0</v>
      </c>
      <c r="O2736" s="169">
        <f>IFERROR(MATCH(J2736,'Final List'!$J$4:$J$252,0),0)</f>
        <v>0</v>
      </c>
      <c r="P2736" s="169">
        <f>IFERROR(MATCH(J2736,'Final List'!$L$4:$L$252,0),0)</f>
        <v>0</v>
      </c>
      <c r="Q2736" s="169">
        <f>IFERROR(MATCH(J2736,'Final List'!$N$4:$N$252,0),0)</f>
        <v>0</v>
      </c>
      <c r="R2736" s="169">
        <f>IFERROR(MATCH(J2736,'Final List'!$P$4:$P$252,0),0)</f>
        <v>0</v>
      </c>
      <c r="S2736" s="169">
        <f t="shared" si="172"/>
        <v>0</v>
      </c>
      <c r="T2736" s="169" t="s">
        <v>68</v>
      </c>
      <c r="V2736" s="169" t="str">
        <f t="shared" si="170"/>
        <v>CAPUYAN 1</v>
      </c>
      <c r="W2736" s="169" t="s">
        <v>2707</v>
      </c>
    </row>
    <row r="2737" spans="2:23" x14ac:dyDescent="0.25">
      <c r="B2737" s="169" t="s">
        <v>96</v>
      </c>
      <c r="C2737" s="169" t="s">
        <v>42</v>
      </c>
      <c r="D2737" s="169" t="s">
        <v>289</v>
      </c>
      <c r="E2737" s="169" t="s">
        <v>221</v>
      </c>
      <c r="F2737" s="245" t="str">
        <f t="shared" si="171"/>
        <v>RobC 80</v>
      </c>
      <c r="G2737" s="169" t="s">
        <v>485</v>
      </c>
      <c r="I2737" s="169" t="str">
        <f t="shared" si="173"/>
        <v>L09_JV_059E_WINZE STOPE</v>
      </c>
      <c r="J2737" s="169" t="s">
        <v>11945</v>
      </c>
      <c r="K2737" s="169">
        <f>IFERROR(MATCH(J2737,'Final List'!$B$4:$B$252,0),0)</f>
        <v>0</v>
      </c>
      <c r="L2737" s="169">
        <f>IFERROR(MATCH(J2737,'Final List'!$D$4:$D$252,0),0)</f>
        <v>0</v>
      </c>
      <c r="M2737" s="169">
        <f>IFERROR(MATCH(J2737,'Final List'!$F$4:$F$251,0),0)</f>
        <v>0</v>
      </c>
      <c r="N2737" s="169">
        <f>IFERROR(MATCH(J2737,'Final List'!$H$4:$H$252,0),0)</f>
        <v>0</v>
      </c>
      <c r="O2737" s="169">
        <f>IFERROR(MATCH(J2737,'Final List'!$J$4:$J$252,0),0)</f>
        <v>0</v>
      </c>
      <c r="P2737" s="169">
        <f>IFERROR(MATCH(J2737,'Final List'!$L$4:$L$252,0),0)</f>
        <v>0</v>
      </c>
      <c r="Q2737" s="169">
        <f>IFERROR(MATCH(J2737,'Final List'!$N$4:$N$252,0),0)</f>
        <v>0</v>
      </c>
      <c r="R2737" s="169">
        <f>IFERROR(MATCH(J2737,'Final List'!$P$4:$P$252,0),0)</f>
        <v>0</v>
      </c>
      <c r="S2737" s="169">
        <f t="shared" si="172"/>
        <v>0</v>
      </c>
      <c r="T2737" s="169" t="s">
        <v>68</v>
      </c>
      <c r="V2737" s="169" t="str">
        <f t="shared" si="170"/>
        <v>BALANGHIG 3</v>
      </c>
      <c r="W2737" s="169" t="s">
        <v>2719</v>
      </c>
    </row>
    <row r="2738" spans="2:23" x14ac:dyDescent="0.25">
      <c r="B2738" s="169" t="s">
        <v>96</v>
      </c>
      <c r="C2738" s="169" t="s">
        <v>57</v>
      </c>
      <c r="D2738" s="169" t="s">
        <v>179</v>
      </c>
      <c r="E2738" s="169" t="s">
        <v>221</v>
      </c>
      <c r="F2738" s="245" t="str">
        <f t="shared" si="171"/>
        <v>RobC 80</v>
      </c>
      <c r="G2738" s="169" t="s">
        <v>5706</v>
      </c>
      <c r="I2738" s="169" t="str">
        <f t="shared" si="173"/>
        <v>L09_JVSPLIT_050E_WINZE STOPE</v>
      </c>
      <c r="J2738" s="169" t="s">
        <v>11948</v>
      </c>
      <c r="K2738" s="169">
        <f>IFERROR(MATCH(J2738,'Final List'!$B$4:$B$252,0),0)</f>
        <v>0</v>
      </c>
      <c r="L2738" s="169">
        <f>IFERROR(MATCH(J2738,'Final List'!$D$4:$D$252,0),0)</f>
        <v>0</v>
      </c>
      <c r="M2738" s="169">
        <f>IFERROR(MATCH(J2738,'Final List'!$F$4:$F$251,0),0)</f>
        <v>0</v>
      </c>
      <c r="N2738" s="169">
        <f>IFERROR(MATCH(J2738,'Final List'!$H$4:$H$252,0),0)</f>
        <v>0</v>
      </c>
      <c r="O2738" s="169">
        <f>IFERROR(MATCH(J2738,'Final List'!$J$4:$J$252,0),0)</f>
        <v>0</v>
      </c>
      <c r="P2738" s="169">
        <f>IFERROR(MATCH(J2738,'Final List'!$L$4:$L$252,0),0)</f>
        <v>0</v>
      </c>
      <c r="Q2738" s="169">
        <f>IFERROR(MATCH(J2738,'Final List'!$N$4:$N$252,0),0)</f>
        <v>0</v>
      </c>
      <c r="R2738" s="169">
        <f>IFERROR(MATCH(J2738,'Final List'!$P$4:$P$252,0),0)</f>
        <v>0</v>
      </c>
      <c r="S2738" s="169">
        <f t="shared" si="172"/>
        <v>0</v>
      </c>
      <c r="T2738" s="169" t="s">
        <v>68</v>
      </c>
      <c r="V2738" s="169" t="str">
        <f t="shared" si="170"/>
        <v>SHEPHERD AF 1</v>
      </c>
      <c r="W2738" s="169" t="s">
        <v>2719</v>
      </c>
    </row>
    <row r="2739" spans="2:23" x14ac:dyDescent="0.25">
      <c r="B2739" s="169" t="s">
        <v>258</v>
      </c>
      <c r="C2739" s="169" t="s">
        <v>87</v>
      </c>
      <c r="D2739" s="169" t="s">
        <v>11794</v>
      </c>
      <c r="E2739" s="169" t="s">
        <v>37</v>
      </c>
      <c r="F2739" s="245" t="str">
        <f t="shared" si="171"/>
        <v>Dhoz 71</v>
      </c>
      <c r="G2739" s="169" t="s">
        <v>12065</v>
      </c>
      <c r="I2739" s="169" t="str">
        <f t="shared" si="173"/>
        <v>L10_NONE_102E_XCN</v>
      </c>
      <c r="J2739" s="169" t="s">
        <v>11793</v>
      </c>
      <c r="K2739" s="169">
        <f>IFERROR(MATCH(J2739,'Final List'!$B$4:$B$252,0),0)</f>
        <v>0</v>
      </c>
      <c r="L2739" s="169">
        <f>IFERROR(MATCH(J2739,'Final List'!$D$4:$D$252,0),0)</f>
        <v>0</v>
      </c>
      <c r="M2739" s="169">
        <f>IFERROR(MATCH(J2739,'Final List'!$F$4:$F$251,0),0)</f>
        <v>0</v>
      </c>
      <c r="N2739" s="169">
        <f>IFERROR(MATCH(J2739,'Final List'!$H$4:$H$252,0),0)</f>
        <v>0</v>
      </c>
      <c r="O2739" s="169">
        <f>IFERROR(MATCH(J2739,'Final List'!$J$4:$J$252,0),0)</f>
        <v>0</v>
      </c>
      <c r="P2739" s="169">
        <f>IFERROR(MATCH(J2739,'Final List'!$L$4:$L$252,0),0)</f>
        <v>0</v>
      </c>
      <c r="Q2739" s="169">
        <f>IFERROR(MATCH(J2739,'Final List'!$N$4:$N$252,0),0)</f>
        <v>0</v>
      </c>
      <c r="R2739" s="169">
        <f>IFERROR(MATCH(J2739,'Final List'!$P$4:$P$252,0),0)</f>
        <v>0</v>
      </c>
      <c r="S2739" s="169">
        <f t="shared" si="172"/>
        <v>0</v>
      </c>
      <c r="V2739" s="169" t="str">
        <f t="shared" si="170"/>
        <v>NITRO BD 1</v>
      </c>
      <c r="W2739" s="169" t="s">
        <v>8898</v>
      </c>
    </row>
    <row r="2740" spans="2:23" x14ac:dyDescent="0.25">
      <c r="B2740" s="169" t="s">
        <v>258</v>
      </c>
      <c r="C2740" s="169" t="s">
        <v>45</v>
      </c>
      <c r="D2740" s="169" t="s">
        <v>8279</v>
      </c>
      <c r="E2740" s="169" t="s">
        <v>62</v>
      </c>
      <c r="F2740" s="245" t="str">
        <f t="shared" si="171"/>
        <v>RobS 79</v>
      </c>
      <c r="G2740" s="169" t="s">
        <v>10805</v>
      </c>
      <c r="I2740" s="169" t="str">
        <f t="shared" si="173"/>
        <v>L10_DPVE_090E_ROBBING</v>
      </c>
      <c r="J2740" s="169" t="s">
        <v>11388</v>
      </c>
      <c r="K2740" s="169">
        <f>IFERROR(MATCH(J2740,'Final List'!$B$4:$B$252,0),0)</f>
        <v>0</v>
      </c>
      <c r="L2740" s="169">
        <f>IFERROR(MATCH(J2740,'Final List'!$D$4:$D$252,0),0)</f>
        <v>0</v>
      </c>
      <c r="M2740" s="169">
        <f>IFERROR(MATCH(J2740,'Final List'!$F$4:$F$251,0),0)</f>
        <v>0</v>
      </c>
      <c r="N2740" s="169">
        <f>IFERROR(MATCH(J2740,'Final List'!$H$4:$H$252,0),0)</f>
        <v>0</v>
      </c>
      <c r="O2740" s="169">
        <f>IFERROR(MATCH(J2740,'Final List'!$J$4:$J$252,0),0)</f>
        <v>0</v>
      </c>
      <c r="P2740" s="169">
        <f>IFERROR(MATCH(J2740,'Final List'!$L$4:$L$252,0),0)</f>
        <v>0</v>
      </c>
      <c r="Q2740" s="169">
        <f>IFERROR(MATCH(J2740,'Final List'!$N$4:$N$252,0),0)</f>
        <v>0</v>
      </c>
      <c r="R2740" s="169">
        <f>IFERROR(MATCH(J2740,'Final List'!$P$4:$P$252,0),0)</f>
        <v>0</v>
      </c>
      <c r="S2740" s="169">
        <f t="shared" si="172"/>
        <v>0</v>
      </c>
      <c r="T2740" s="169" t="s">
        <v>68</v>
      </c>
      <c r="V2740" s="169" t="str">
        <f t="shared" si="170"/>
        <v>SHEPHERD BD 1</v>
      </c>
      <c r="W2740" s="169" t="s">
        <v>2707</v>
      </c>
    </row>
    <row r="2741" spans="2:23" x14ac:dyDescent="0.25">
      <c r="B2741" s="169" t="s">
        <v>96</v>
      </c>
      <c r="C2741" s="169" t="s">
        <v>45</v>
      </c>
      <c r="D2741" s="169" t="s">
        <v>595</v>
      </c>
      <c r="E2741" s="169" t="s">
        <v>62</v>
      </c>
      <c r="F2741" s="245" t="str">
        <f t="shared" si="171"/>
        <v>RobC 80</v>
      </c>
      <c r="G2741" s="169" t="s">
        <v>1510</v>
      </c>
      <c r="I2741" s="169" t="str">
        <f t="shared" si="173"/>
        <v>L09_DPVE_072E_ROBBING</v>
      </c>
      <c r="J2741" s="169" t="s">
        <v>11799</v>
      </c>
      <c r="K2741" s="169">
        <f>IFERROR(MATCH(J2741,'Final List'!$B$4:$B$252,0),0)</f>
        <v>0</v>
      </c>
      <c r="L2741" s="169">
        <f>IFERROR(MATCH(J2741,'Final List'!$D$4:$D$252,0),0)</f>
        <v>0</v>
      </c>
      <c r="M2741" s="169">
        <f>IFERROR(MATCH(J2741,'Final List'!$F$4:$F$251,0),0)</f>
        <v>0</v>
      </c>
      <c r="N2741" s="169">
        <f>IFERROR(MATCH(J2741,'Final List'!$H$4:$H$252,0),0)</f>
        <v>0</v>
      </c>
      <c r="O2741" s="169">
        <f>IFERROR(MATCH(J2741,'Final List'!$J$4:$J$252,0),0)</f>
        <v>0</v>
      </c>
      <c r="P2741" s="169">
        <f>IFERROR(MATCH(J2741,'Final List'!$L$4:$L$252,0),0)</f>
        <v>0</v>
      </c>
      <c r="Q2741" s="169">
        <f>IFERROR(MATCH(J2741,'Final List'!$N$4:$N$252,0),0)</f>
        <v>0</v>
      </c>
      <c r="R2741" s="169">
        <f>IFERROR(MATCH(J2741,'Final List'!$P$4:$P$252,0),0)</f>
        <v>0</v>
      </c>
      <c r="S2741" s="169">
        <f t="shared" si="172"/>
        <v>0</v>
      </c>
      <c r="T2741" s="169" t="s">
        <v>48</v>
      </c>
      <c r="V2741" s="169" t="str">
        <f t="shared" si="170"/>
        <v>DELOS REYES</v>
      </c>
      <c r="W2741" s="169" t="s">
        <v>236</v>
      </c>
    </row>
    <row r="2742" spans="2:23" x14ac:dyDescent="0.25">
      <c r="B2742" s="169" t="s">
        <v>258</v>
      </c>
      <c r="C2742" s="169" t="s">
        <v>45</v>
      </c>
      <c r="D2742" s="169" t="s">
        <v>9640</v>
      </c>
      <c r="E2742" s="169" t="s">
        <v>62</v>
      </c>
      <c r="F2742" s="245" t="str">
        <f t="shared" si="171"/>
        <v>RobS 79</v>
      </c>
      <c r="G2742" s="169" t="s">
        <v>5705</v>
      </c>
      <c r="I2742" s="169" t="str">
        <f t="shared" si="173"/>
        <v>L10_DPVE_094E_ROBBING</v>
      </c>
      <c r="J2742" s="169" t="s">
        <v>11800</v>
      </c>
      <c r="K2742" s="169">
        <f>IFERROR(MATCH(J2742,'Final List'!$B$4:$B$252,0),0)</f>
        <v>0</v>
      </c>
      <c r="L2742" s="169">
        <f>IFERROR(MATCH(J2742,'Final List'!$D$4:$D$252,0),0)</f>
        <v>0</v>
      </c>
      <c r="M2742" s="169">
        <f>IFERROR(MATCH(J2742,'Final List'!$F$4:$F$251,0),0)</f>
        <v>0</v>
      </c>
      <c r="N2742" s="169">
        <f>IFERROR(MATCH(J2742,'Final List'!$H$4:$H$252,0),0)</f>
        <v>0</v>
      </c>
      <c r="O2742" s="169">
        <f>IFERROR(MATCH(J2742,'Final List'!$J$4:$J$252,0),0)</f>
        <v>0</v>
      </c>
      <c r="P2742" s="169">
        <f>IFERROR(MATCH(J2742,'Final List'!$L$4:$L$252,0),0)</f>
        <v>0</v>
      </c>
      <c r="Q2742" s="169">
        <f>IFERROR(MATCH(J2742,'Final List'!$N$4:$N$252,0),0)</f>
        <v>0</v>
      </c>
      <c r="R2742" s="169">
        <f>IFERROR(MATCH(J2742,'Final List'!$P$4:$P$252,0),0)</f>
        <v>0</v>
      </c>
      <c r="S2742" s="169">
        <f t="shared" si="172"/>
        <v>0</v>
      </c>
      <c r="T2742" s="169" t="s">
        <v>68</v>
      </c>
      <c r="V2742" s="169" t="str">
        <f t="shared" si="170"/>
        <v>OLIVEROS 4</v>
      </c>
      <c r="W2742" s="169" t="s">
        <v>2707</v>
      </c>
    </row>
    <row r="2743" spans="2:23" x14ac:dyDescent="0.25">
      <c r="B2743" s="169" t="s">
        <v>1166</v>
      </c>
      <c r="C2743" s="169" t="s">
        <v>45</v>
      </c>
      <c r="D2743" s="169" t="s">
        <v>144</v>
      </c>
      <c r="E2743" s="169" t="s">
        <v>19</v>
      </c>
      <c r="F2743" s="245" t="str">
        <f t="shared" si="171"/>
        <v>DVR 72</v>
      </c>
      <c r="G2743" s="169" t="s">
        <v>14655</v>
      </c>
      <c r="I2743" s="169" t="str">
        <f t="shared" si="173"/>
        <v>L11_DPVE_043E_RAISE</v>
      </c>
      <c r="J2743" s="169" t="s">
        <v>11805</v>
      </c>
      <c r="K2743" s="169">
        <f>IFERROR(MATCH(J2743,'Final List'!$B$4:$B$252,0),0)</f>
        <v>0</v>
      </c>
      <c r="L2743" s="169">
        <f>IFERROR(MATCH(J2743,'Final List'!$D$4:$D$252,0),0)</f>
        <v>0</v>
      </c>
      <c r="M2743" s="169">
        <f>IFERROR(MATCH(J2743,'Final List'!$F$4:$F$251,0),0)</f>
        <v>0</v>
      </c>
      <c r="N2743" s="169">
        <f>IFERROR(MATCH(J2743,'Final List'!$H$4:$H$252,0),0)</f>
        <v>0</v>
      </c>
      <c r="O2743" s="169">
        <f>IFERROR(MATCH(J2743,'Final List'!$J$4:$J$252,0),0)</f>
        <v>0</v>
      </c>
      <c r="P2743" s="169">
        <f>IFERROR(MATCH(J2743,'Final List'!$L$4:$L$252,0),0)</f>
        <v>0</v>
      </c>
      <c r="Q2743" s="169">
        <f>IFERROR(MATCH(J2743,'Final List'!$N$4:$N$252,0),0)</f>
        <v>0</v>
      </c>
      <c r="R2743" s="169">
        <f>IFERROR(MATCH(J2743,'Final List'!$P$4:$P$252,0),0)</f>
        <v>0</v>
      </c>
      <c r="S2743" s="169">
        <f t="shared" si="172"/>
        <v>0</v>
      </c>
      <c r="V2743" s="169" t="str">
        <f t="shared" si="170"/>
        <v>GOC-ONG</v>
      </c>
      <c r="W2743" s="169" t="s">
        <v>2715</v>
      </c>
    </row>
    <row r="2744" spans="2:23" x14ac:dyDescent="0.25">
      <c r="B2744" s="169" t="s">
        <v>1166</v>
      </c>
      <c r="C2744" s="169" t="s">
        <v>39</v>
      </c>
      <c r="D2744" s="169" t="s">
        <v>143</v>
      </c>
      <c r="E2744" s="169" t="s">
        <v>60</v>
      </c>
      <c r="F2744" s="245" t="str">
        <f t="shared" si="171"/>
        <v>Dhoz 71</v>
      </c>
      <c r="G2744" s="169" t="s">
        <v>538</v>
      </c>
      <c r="H2744" s="169" t="s">
        <v>5698</v>
      </c>
      <c r="I2744" s="169" t="str">
        <f t="shared" si="173"/>
        <v>L11_JVHW_032E_DE</v>
      </c>
      <c r="J2744" s="169" t="s">
        <v>11806</v>
      </c>
      <c r="K2744" s="169">
        <f>IFERROR(MATCH(J2744,'Final List'!$B$4:$B$252,0),0)</f>
        <v>0</v>
      </c>
      <c r="L2744" s="169">
        <f>IFERROR(MATCH(J2744,'Final List'!$D$4:$D$252,0),0)</f>
        <v>0</v>
      </c>
      <c r="M2744" s="169">
        <f>IFERROR(MATCH(J2744,'Final List'!$F$4:$F$251,0),0)</f>
        <v>0</v>
      </c>
      <c r="N2744" s="169">
        <f>IFERROR(MATCH(J2744,'Final List'!$H$4:$H$252,0),0)</f>
        <v>0</v>
      </c>
      <c r="O2744" s="169">
        <f>IFERROR(MATCH(J2744,'Final List'!$J$4:$J$252,0),0)</f>
        <v>0</v>
      </c>
      <c r="P2744" s="169">
        <f>IFERROR(MATCH(J2744,'Final List'!$L$4:$L$252,0),0)</f>
        <v>0</v>
      </c>
      <c r="Q2744" s="169">
        <f>IFERROR(MATCH(J2744,'Final List'!$N$4:$N$252,0),0)</f>
        <v>0</v>
      </c>
      <c r="R2744" s="169">
        <f>IFERROR(MATCH(J2744,'Final List'!$P$4:$P$252,0),0)</f>
        <v>0</v>
      </c>
      <c r="S2744" s="169">
        <f t="shared" si="172"/>
        <v>0</v>
      </c>
      <c r="V2744" s="169" t="str">
        <f t="shared" si="170"/>
        <v>PARAN 1</v>
      </c>
      <c r="W2744" s="169" t="s">
        <v>8896</v>
      </c>
    </row>
    <row r="2745" spans="2:23" x14ac:dyDescent="0.25">
      <c r="B2745" s="169" t="s">
        <v>1167</v>
      </c>
      <c r="C2745" s="169" t="s">
        <v>56</v>
      </c>
      <c r="D2745" s="169" t="s">
        <v>5781</v>
      </c>
      <c r="E2745" s="169" t="s">
        <v>61</v>
      </c>
      <c r="F2745" s="245" t="str">
        <f t="shared" si="171"/>
        <v>Dhoz 71</v>
      </c>
      <c r="G2745" s="169" t="s">
        <v>75</v>
      </c>
      <c r="H2745" s="169" t="s">
        <v>6930</v>
      </c>
      <c r="I2745" s="169" t="str">
        <f t="shared" si="173"/>
        <v>L12_GHVFW_051E_DW</v>
      </c>
      <c r="J2745" s="169" t="s">
        <v>12539</v>
      </c>
      <c r="K2745" s="169">
        <f>IFERROR(MATCH(J2745,'Final List'!$B$4:$B$252,0),0)</f>
        <v>0</v>
      </c>
      <c r="L2745" s="169">
        <f>IFERROR(MATCH(J2745,'Final List'!$D$4:$D$252,0),0)</f>
        <v>0</v>
      </c>
      <c r="M2745" s="169">
        <f>IFERROR(MATCH(J2745,'Final List'!$F$4:$F$251,0),0)</f>
        <v>0</v>
      </c>
      <c r="N2745" s="169">
        <f>IFERROR(MATCH(J2745,'Final List'!$H$4:$H$252,0),0)</f>
        <v>0</v>
      </c>
      <c r="O2745" s="169">
        <f>IFERROR(MATCH(J2745,'Final List'!$J$4:$J$252,0),0)</f>
        <v>0</v>
      </c>
      <c r="P2745" s="169">
        <f>IFERROR(MATCH(J2745,'Final List'!$L$4:$L$252,0),0)</f>
        <v>0</v>
      </c>
      <c r="Q2745" s="169">
        <f>IFERROR(MATCH(J2745,'Final List'!$N$4:$N$252,0),0)</f>
        <v>0</v>
      </c>
      <c r="R2745" s="169">
        <f>IFERROR(MATCH(J2745,'Final List'!$P$4:$P$252,0),0)</f>
        <v>0</v>
      </c>
      <c r="S2745" s="169">
        <f t="shared" si="172"/>
        <v>0</v>
      </c>
      <c r="V2745" s="169" t="str">
        <f t="shared" si="170"/>
        <v>DUHIG, P1</v>
      </c>
      <c r="W2745" s="169" t="s">
        <v>8896</v>
      </c>
    </row>
    <row r="2746" spans="2:23" x14ac:dyDescent="0.25">
      <c r="B2746" s="169" t="s">
        <v>1167</v>
      </c>
      <c r="C2746" s="169" t="s">
        <v>45</v>
      </c>
      <c r="D2746" s="169" t="s">
        <v>135</v>
      </c>
      <c r="E2746" s="169" t="s">
        <v>60</v>
      </c>
      <c r="F2746" s="245" t="str">
        <f t="shared" si="171"/>
        <v>Dhoz 71</v>
      </c>
      <c r="G2746" s="169" t="s">
        <v>6929</v>
      </c>
      <c r="I2746" s="169" t="str">
        <f t="shared" si="173"/>
        <v>L12_DPVE_034E_DE</v>
      </c>
      <c r="J2746" s="169" t="s">
        <v>11810</v>
      </c>
      <c r="K2746" s="169">
        <f>IFERROR(MATCH(J2746,'Final List'!$B$4:$B$252,0),0)</f>
        <v>0</v>
      </c>
      <c r="L2746" s="169">
        <f>IFERROR(MATCH(J2746,'Final List'!$D$4:$D$252,0),0)</f>
        <v>0</v>
      </c>
      <c r="M2746" s="169">
        <f>IFERROR(MATCH(J2746,'Final List'!$F$4:$F$251,0),0)</f>
        <v>0</v>
      </c>
      <c r="N2746" s="169">
        <f>IFERROR(MATCH(J2746,'Final List'!$H$4:$H$252,0),0)</f>
        <v>0</v>
      </c>
      <c r="O2746" s="169">
        <f>IFERROR(MATCH(J2746,'Final List'!$J$4:$J$252,0),0)</f>
        <v>0</v>
      </c>
      <c r="P2746" s="169">
        <f>IFERROR(MATCH(J2746,'Final List'!$L$4:$L$252,0),0)</f>
        <v>0</v>
      </c>
      <c r="Q2746" s="169">
        <f>IFERROR(MATCH(J2746,'Final List'!$N$4:$N$252,0),0)</f>
        <v>0</v>
      </c>
      <c r="R2746" s="169">
        <f>IFERROR(MATCH(J2746,'Final List'!$P$4:$P$252,0),0)</f>
        <v>0</v>
      </c>
      <c r="S2746" s="169">
        <f t="shared" si="172"/>
        <v>0</v>
      </c>
      <c r="V2746" s="169" t="str">
        <f t="shared" si="170"/>
        <v>DUHIG, P4</v>
      </c>
      <c r="W2746" s="169" t="s">
        <v>8896</v>
      </c>
    </row>
    <row r="2747" spans="2:23" x14ac:dyDescent="0.25">
      <c r="B2747" s="169" t="s">
        <v>1166</v>
      </c>
      <c r="C2747" s="169" t="s">
        <v>45</v>
      </c>
      <c r="D2747" s="169" t="s">
        <v>132</v>
      </c>
      <c r="E2747" s="169" t="s">
        <v>36</v>
      </c>
      <c r="F2747" s="245" t="str">
        <f t="shared" si="171"/>
        <v>StpS 77</v>
      </c>
      <c r="G2747" s="169" t="s">
        <v>488</v>
      </c>
      <c r="I2747" s="169" t="str">
        <f t="shared" si="173"/>
        <v>L11_DPVE_033E_STOPE</v>
      </c>
      <c r="J2747" s="169" t="s">
        <v>11918</v>
      </c>
      <c r="K2747" s="169">
        <f>IFERROR(MATCH(J2747,'Final List'!$B$4:$B$252,0),0)</f>
        <v>0</v>
      </c>
      <c r="L2747" s="169">
        <f>IFERROR(MATCH(J2747,'Final List'!$D$4:$D$252,0),0)</f>
        <v>0</v>
      </c>
      <c r="M2747" s="169">
        <f>IFERROR(MATCH(J2747,'Final List'!$F$4:$F$251,0),0)</f>
        <v>0</v>
      </c>
      <c r="N2747" s="169">
        <f>IFERROR(MATCH(J2747,'Final List'!$H$4:$H$252,0),0)</f>
        <v>0</v>
      </c>
      <c r="O2747" s="169">
        <f>IFERROR(MATCH(J2747,'Final List'!$J$4:$J$252,0),0)</f>
        <v>0</v>
      </c>
      <c r="P2747" s="169">
        <f>IFERROR(MATCH(J2747,'Final List'!$L$4:$L$252,0),0)</f>
        <v>0</v>
      </c>
      <c r="Q2747" s="169">
        <f>IFERROR(MATCH(J2747,'Final List'!$N$4:$N$252,0),0)</f>
        <v>0</v>
      </c>
      <c r="R2747" s="169">
        <f>IFERROR(MATCH(J2747,'Final List'!$P$4:$P$252,0),0)</f>
        <v>0</v>
      </c>
      <c r="S2747" s="169">
        <f t="shared" si="172"/>
        <v>0</v>
      </c>
      <c r="T2747" s="169" t="s">
        <v>68</v>
      </c>
      <c r="V2747" s="169" t="str">
        <f t="shared" si="170"/>
        <v>BAÑEZ 9</v>
      </c>
      <c r="W2747" s="169" t="s">
        <v>2711</v>
      </c>
    </row>
    <row r="2748" spans="2:23" x14ac:dyDescent="0.25">
      <c r="B2748" s="169" t="s">
        <v>1166</v>
      </c>
      <c r="C2748" s="169" t="s">
        <v>45</v>
      </c>
      <c r="D2748" s="169" t="s">
        <v>180</v>
      </c>
      <c r="E2748" s="169" t="s">
        <v>36</v>
      </c>
      <c r="F2748" s="245" t="str">
        <f t="shared" si="171"/>
        <v>StpS 77</v>
      </c>
      <c r="G2748" s="169" t="s">
        <v>356</v>
      </c>
      <c r="I2748" s="169" t="str">
        <f t="shared" si="173"/>
        <v>L11_DPVE_041E_STOPE</v>
      </c>
      <c r="J2748" s="169" t="s">
        <v>11885</v>
      </c>
      <c r="K2748" s="169">
        <f>IFERROR(MATCH(J2748,'Final List'!$B$4:$B$252,0),0)</f>
        <v>0</v>
      </c>
      <c r="L2748" s="169">
        <f>IFERROR(MATCH(J2748,'Final List'!$D$4:$D$252,0),0)</f>
        <v>0</v>
      </c>
      <c r="M2748" s="169">
        <f>IFERROR(MATCH(J2748,'Final List'!$F$4:$F$251,0),0)</f>
        <v>0</v>
      </c>
      <c r="N2748" s="169">
        <f>IFERROR(MATCH(J2748,'Final List'!$H$4:$H$252,0),0)</f>
        <v>0</v>
      </c>
      <c r="O2748" s="169">
        <f>IFERROR(MATCH(J2748,'Final List'!$J$4:$J$252,0),0)</f>
        <v>0</v>
      </c>
      <c r="P2748" s="169">
        <f>IFERROR(MATCH(J2748,'Final List'!$L$4:$L$252,0),0)</f>
        <v>0</v>
      </c>
      <c r="Q2748" s="169">
        <f>IFERROR(MATCH(J2748,'Final List'!$N$4:$N$252,0),0)</f>
        <v>0</v>
      </c>
      <c r="R2748" s="169">
        <f>IFERROR(MATCH(J2748,'Final List'!$P$4:$P$252,0),0)</f>
        <v>0</v>
      </c>
      <c r="S2748" s="169">
        <f t="shared" si="172"/>
        <v>0</v>
      </c>
      <c r="T2748" s="169" t="s">
        <v>68</v>
      </c>
      <c r="V2748" s="169" t="str">
        <f t="shared" si="170"/>
        <v>BAÑEZ 1</v>
      </c>
      <c r="W2748" s="169" t="s">
        <v>2713</v>
      </c>
    </row>
    <row r="2749" spans="2:23" x14ac:dyDescent="0.25">
      <c r="B2749" s="169" t="s">
        <v>96</v>
      </c>
      <c r="C2749" s="169" t="s">
        <v>56</v>
      </c>
      <c r="D2749" s="169" t="s">
        <v>107</v>
      </c>
      <c r="E2749" s="169" t="s">
        <v>20</v>
      </c>
      <c r="F2749" s="245" t="str">
        <f t="shared" si="171"/>
        <v>DVW 74</v>
      </c>
      <c r="G2749" s="169" t="s">
        <v>8199</v>
      </c>
      <c r="I2749" s="169" t="str">
        <f t="shared" si="173"/>
        <v>L09_GHVFW_032W_WINZE</v>
      </c>
      <c r="J2749" s="169" t="s">
        <v>11821</v>
      </c>
      <c r="K2749" s="169">
        <f>IFERROR(MATCH(J2749,'Final List'!$B$4:$B$252,0),0)</f>
        <v>0</v>
      </c>
      <c r="L2749" s="169">
        <f>IFERROR(MATCH(J2749,'Final List'!$D$4:$D$252,0),0)</f>
        <v>0</v>
      </c>
      <c r="M2749" s="169">
        <f>IFERROR(MATCH(J2749,'Final List'!$F$4:$F$251,0),0)</f>
        <v>0</v>
      </c>
      <c r="N2749" s="169">
        <f>IFERROR(MATCH(J2749,'Final List'!$H$4:$H$252,0),0)</f>
        <v>0</v>
      </c>
      <c r="O2749" s="169">
        <f>IFERROR(MATCH(J2749,'Final List'!$J$4:$J$252,0),0)</f>
        <v>0</v>
      </c>
      <c r="P2749" s="169">
        <f>IFERROR(MATCH(J2749,'Final List'!$L$4:$L$252,0),0)</f>
        <v>0</v>
      </c>
      <c r="Q2749" s="169">
        <f>IFERROR(MATCH(J2749,'Final List'!$N$4:$N$252,0),0)</f>
        <v>0</v>
      </c>
      <c r="R2749" s="169">
        <f>IFERROR(MATCH(J2749,'Final List'!$P$4:$P$252,0),0)</f>
        <v>0</v>
      </c>
      <c r="S2749" s="169">
        <f t="shared" si="172"/>
        <v>0</v>
      </c>
      <c r="V2749" s="169" t="str">
        <f t="shared" si="170"/>
        <v>SHEPHERD AT 1</v>
      </c>
      <c r="W2749" s="169" t="s">
        <v>2706</v>
      </c>
    </row>
    <row r="2750" spans="2:23" x14ac:dyDescent="0.25">
      <c r="B2750" s="169" t="s">
        <v>258</v>
      </c>
      <c r="C2750" s="169" t="s">
        <v>59</v>
      </c>
      <c r="D2750" s="169" t="s">
        <v>284</v>
      </c>
      <c r="E2750" s="169" t="s">
        <v>62</v>
      </c>
      <c r="F2750" s="245" t="str">
        <f t="shared" si="171"/>
        <v>RobS 79</v>
      </c>
      <c r="G2750" s="169" t="s">
        <v>9422</v>
      </c>
      <c r="I2750" s="169" t="str">
        <f t="shared" si="173"/>
        <v>L10_GHVHW_061E_ROBBING</v>
      </c>
      <c r="J2750" s="169" t="s">
        <v>11825</v>
      </c>
      <c r="K2750" s="169">
        <f>IFERROR(MATCH(J2750,'Final List'!$B$4:$B$252,0),0)</f>
        <v>0</v>
      </c>
      <c r="L2750" s="169">
        <f>IFERROR(MATCH(J2750,'Final List'!$D$4:$D$252,0),0)</f>
        <v>0</v>
      </c>
      <c r="M2750" s="169">
        <f>IFERROR(MATCH(J2750,'Final List'!$F$4:$F$251,0),0)</f>
        <v>0</v>
      </c>
      <c r="N2750" s="169">
        <f>IFERROR(MATCH(J2750,'Final List'!$H$4:$H$252,0),0)</f>
        <v>0</v>
      </c>
      <c r="O2750" s="169">
        <f>IFERROR(MATCH(J2750,'Final List'!$J$4:$J$252,0),0)</f>
        <v>0</v>
      </c>
      <c r="P2750" s="169">
        <f>IFERROR(MATCH(J2750,'Final List'!$L$4:$L$252,0),0)</f>
        <v>0</v>
      </c>
      <c r="Q2750" s="169">
        <f>IFERROR(MATCH(J2750,'Final List'!$N$4:$N$252,0),0)</f>
        <v>0</v>
      </c>
      <c r="R2750" s="169">
        <f>IFERROR(MATCH(J2750,'Final List'!$P$4:$P$252,0),0)</f>
        <v>0</v>
      </c>
      <c r="S2750" s="169">
        <f t="shared" si="172"/>
        <v>0</v>
      </c>
      <c r="T2750" s="169" t="s">
        <v>68</v>
      </c>
      <c r="V2750" s="169" t="str">
        <f t="shared" si="170"/>
        <v>SHEPHERD AY 1</v>
      </c>
      <c r="W2750" s="169" t="s">
        <v>2707</v>
      </c>
    </row>
    <row r="2751" spans="2:23" x14ac:dyDescent="0.25">
      <c r="B2751" s="169" t="s">
        <v>96</v>
      </c>
      <c r="C2751" s="169" t="s">
        <v>87</v>
      </c>
      <c r="D2751" s="169" t="s">
        <v>172</v>
      </c>
      <c r="E2751" s="169" t="s">
        <v>63</v>
      </c>
      <c r="F2751" s="245" t="str">
        <f t="shared" si="171"/>
        <v>Dhoz 71</v>
      </c>
      <c r="G2751" s="169" t="s">
        <v>1661</v>
      </c>
      <c r="I2751" s="169" t="str">
        <f t="shared" si="173"/>
        <v>L09_NONE_045E_XCS</v>
      </c>
      <c r="J2751" s="169" t="s">
        <v>11830</v>
      </c>
      <c r="K2751" s="169">
        <f>IFERROR(MATCH(J2751,'Final List'!$B$4:$B$252,0),0)</f>
        <v>0</v>
      </c>
      <c r="L2751" s="169">
        <f>IFERROR(MATCH(J2751,'Final List'!$D$4:$D$252,0),0)</f>
        <v>0</v>
      </c>
      <c r="M2751" s="169">
        <f>IFERROR(MATCH(J2751,'Final List'!$F$4:$F$251,0),0)</f>
        <v>0</v>
      </c>
      <c r="N2751" s="169">
        <f>IFERROR(MATCH(J2751,'Final List'!$H$4:$H$252,0),0)</f>
        <v>0</v>
      </c>
      <c r="O2751" s="169">
        <f>IFERROR(MATCH(J2751,'Final List'!$J$4:$J$252,0),0)</f>
        <v>0</v>
      </c>
      <c r="P2751" s="169">
        <f>IFERROR(MATCH(J2751,'Final List'!$L$4:$L$252,0),0)</f>
        <v>0</v>
      </c>
      <c r="Q2751" s="169">
        <f>IFERROR(MATCH(J2751,'Final List'!$N$4:$N$252,0),0)</f>
        <v>0</v>
      </c>
      <c r="R2751" s="169">
        <f>IFERROR(MATCH(J2751,'Final List'!$P$4:$P$252,0),0)</f>
        <v>0</v>
      </c>
      <c r="S2751" s="169">
        <f t="shared" si="172"/>
        <v>0</v>
      </c>
      <c r="V2751" s="169" t="str">
        <f t="shared" si="170"/>
        <v>DELOS REYES V2</v>
      </c>
      <c r="W2751" s="169" t="s">
        <v>8898</v>
      </c>
    </row>
    <row r="2752" spans="2:23" x14ac:dyDescent="0.25">
      <c r="B2752" s="169" t="s">
        <v>1167</v>
      </c>
      <c r="C2752" s="169" t="s">
        <v>38</v>
      </c>
      <c r="D2752" s="169" t="s">
        <v>177</v>
      </c>
      <c r="E2752" s="169" t="s">
        <v>6143</v>
      </c>
      <c r="F2752" s="245" t="str">
        <f t="shared" si="171"/>
        <v>Dhoz 71</v>
      </c>
      <c r="G2752" s="169" t="s">
        <v>4122</v>
      </c>
      <c r="I2752" s="169" t="str">
        <f t="shared" si="173"/>
        <v>L12_GHV_054E_DE_ISL</v>
      </c>
      <c r="J2752" s="169" t="s">
        <v>11841</v>
      </c>
      <c r="K2752" s="169">
        <f>IFERROR(MATCH(J2752,'Final List'!$B$4:$B$252,0),0)</f>
        <v>0</v>
      </c>
      <c r="L2752" s="169">
        <f>IFERROR(MATCH(J2752,'Final List'!$D$4:$D$252,0),0)</f>
        <v>0</v>
      </c>
      <c r="M2752" s="169">
        <f>IFERROR(MATCH(J2752,'Final List'!$F$4:$F$251,0),0)</f>
        <v>0</v>
      </c>
      <c r="N2752" s="169">
        <f>IFERROR(MATCH(J2752,'Final List'!$H$4:$H$252,0),0)</f>
        <v>0</v>
      </c>
      <c r="O2752" s="169">
        <f>IFERROR(MATCH(J2752,'Final List'!$J$4:$J$252,0),0)</f>
        <v>0</v>
      </c>
      <c r="P2752" s="169">
        <f>IFERROR(MATCH(J2752,'Final List'!$L$4:$L$252,0),0)</f>
        <v>0</v>
      </c>
      <c r="Q2752" s="169">
        <f>IFERROR(MATCH(J2752,'Final List'!$N$4:$N$252,0),0)</f>
        <v>0</v>
      </c>
      <c r="R2752" s="169">
        <f>IFERROR(MATCH(J2752,'Final List'!$P$4:$P$252,0),0)</f>
        <v>0</v>
      </c>
      <c r="S2752" s="169">
        <f t="shared" si="172"/>
        <v>0</v>
      </c>
      <c r="V2752" s="169" t="str">
        <f t="shared" si="170"/>
        <v>PANCIT NOEL 2</v>
      </c>
      <c r="W2752" s="169" t="s">
        <v>8896</v>
      </c>
    </row>
    <row r="2753" spans="2:23" x14ac:dyDescent="0.25">
      <c r="B2753" s="169" t="s">
        <v>96</v>
      </c>
      <c r="C2753" s="169" t="s">
        <v>45</v>
      </c>
      <c r="D2753" s="169" t="s">
        <v>5078</v>
      </c>
      <c r="E2753" s="169" t="s">
        <v>20</v>
      </c>
      <c r="F2753" s="245" t="str">
        <f t="shared" si="171"/>
        <v>DVW 74</v>
      </c>
      <c r="G2753" s="169" t="s">
        <v>349</v>
      </c>
      <c r="I2753" s="169" t="str">
        <f t="shared" si="173"/>
        <v>L09_DPVE_086E_WINZE</v>
      </c>
      <c r="J2753" s="169" t="s">
        <v>11842</v>
      </c>
      <c r="K2753" s="169">
        <f>IFERROR(MATCH(J2753,'Final List'!$B$4:$B$252,0),0)</f>
        <v>0</v>
      </c>
      <c r="L2753" s="169">
        <f>IFERROR(MATCH(J2753,'Final List'!$D$4:$D$252,0),0)</f>
        <v>0</v>
      </c>
      <c r="M2753" s="169">
        <f>IFERROR(MATCH(J2753,'Final List'!$F$4:$F$251,0),0)</f>
        <v>0</v>
      </c>
      <c r="N2753" s="169">
        <f>IFERROR(MATCH(J2753,'Final List'!$H$4:$H$252,0),0)</f>
        <v>0</v>
      </c>
      <c r="O2753" s="169">
        <f>IFERROR(MATCH(J2753,'Final List'!$J$4:$J$252,0),0)</f>
        <v>0</v>
      </c>
      <c r="P2753" s="169">
        <f>IFERROR(MATCH(J2753,'Final List'!$L$4:$L$252,0),0)</f>
        <v>0</v>
      </c>
      <c r="Q2753" s="169">
        <f>IFERROR(MATCH(J2753,'Final List'!$N$4:$N$252,0),0)</f>
        <v>0</v>
      </c>
      <c r="R2753" s="169">
        <f>IFERROR(MATCH(J2753,'Final List'!$P$4:$P$252,0),0)</f>
        <v>0</v>
      </c>
      <c r="S2753" s="169">
        <f t="shared" si="172"/>
        <v>0</v>
      </c>
      <c r="V2753" s="169" t="str">
        <f t="shared" si="170"/>
        <v>QUIJANO 2</v>
      </c>
      <c r="W2753" s="169" t="s">
        <v>2706</v>
      </c>
    </row>
    <row r="2754" spans="2:23" x14ac:dyDescent="0.25">
      <c r="B2754" s="169" t="s">
        <v>8904</v>
      </c>
      <c r="C2754" s="169" t="s">
        <v>87</v>
      </c>
      <c r="D2754" s="169" t="s">
        <v>101</v>
      </c>
      <c r="E2754" s="169" t="s">
        <v>37</v>
      </c>
      <c r="F2754" s="245" t="str">
        <f t="shared" si="171"/>
        <v>Dhoz 71</v>
      </c>
      <c r="G2754" s="169" t="s">
        <v>11449</v>
      </c>
      <c r="I2754" s="169" t="str">
        <f t="shared" si="173"/>
        <v>L03_NONE_023W_XCN</v>
      </c>
      <c r="J2754" s="169" t="s">
        <v>11847</v>
      </c>
      <c r="K2754" s="169">
        <f>IFERROR(MATCH(J2754,'Final List'!$B$4:$B$252,0),0)</f>
        <v>0</v>
      </c>
      <c r="L2754" s="169">
        <f>IFERROR(MATCH(J2754,'Final List'!$D$4:$D$252,0),0)</f>
        <v>0</v>
      </c>
      <c r="M2754" s="169">
        <f>IFERROR(MATCH(J2754,'Final List'!$F$4:$F$251,0),0)</f>
        <v>0</v>
      </c>
      <c r="N2754" s="169">
        <f>IFERROR(MATCH(J2754,'Final List'!$H$4:$H$252,0),0)</f>
        <v>0</v>
      </c>
      <c r="O2754" s="169">
        <f>IFERROR(MATCH(J2754,'Final List'!$J$4:$J$252,0),0)</f>
        <v>0</v>
      </c>
      <c r="P2754" s="169">
        <f>IFERROR(MATCH(J2754,'Final List'!$L$4:$L$252,0),0)</f>
        <v>0</v>
      </c>
      <c r="Q2754" s="169">
        <f>IFERROR(MATCH(J2754,'Final List'!$N$4:$N$252,0),0)</f>
        <v>0</v>
      </c>
      <c r="R2754" s="169">
        <f>IFERROR(MATCH(J2754,'Final List'!$P$4:$P$252,0),0)</f>
        <v>0</v>
      </c>
      <c r="S2754" s="169">
        <f t="shared" si="172"/>
        <v>0</v>
      </c>
      <c r="V2754" s="169" t="str">
        <f t="shared" ref="V2754:V2830" si="174">IF(H2754="",G2754,H2754)</f>
        <v>FERNANDEZ, RM</v>
      </c>
      <c r="W2754" s="169" t="s">
        <v>2714</v>
      </c>
    </row>
    <row r="2755" spans="2:23" x14ac:dyDescent="0.25">
      <c r="B2755" s="169" t="s">
        <v>91</v>
      </c>
      <c r="C2755" s="169" t="s">
        <v>41</v>
      </c>
      <c r="D2755" s="169" t="s">
        <v>7301</v>
      </c>
      <c r="E2755" s="169" t="s">
        <v>62</v>
      </c>
      <c r="F2755" s="245" t="str">
        <f t="shared" ref="F2755:F2818" si="175">IF(OR(E2755="XCN",E2755="DE",E2755="DW",E2755="DN",E2755="XCS",E2755="XCE",E2755="XCW",E2755="SUMP",E2755="BYPASS",E2755="CHAMBER",E2755="DRAIN HOLE",E2755="DRILLING CHAMBER",E2755="DE_ISL",E2755="DW_ISL",E2755="REHAB"),"Dhoz 71",IF(OR(E2755="RAISE",E2755="RAISE_ISL"),"DVR 72",IF(E2755="ALIMAK","DVA 73",IF(E2755="WINZE","DVW 74",IF(E2755="SHAFT","DVS 75",IF(AND(E2755="WINZE STOPE",T2755="S"),"RobC 80",IF(AND(E2755="STOPE",T2755="S"),"StpS 77",IF(AND(E2755="WINZE STOPE",T2755="L"),"RobC 80",IF(AND(E2755="STOPE",T2755="L"),"StpL 78",IF(AND(E2755="WINZE STOPE PREP",T2755="S"),"RobC 80",IF(AND(E2755="STOPE PREP",T2755="S"),"StpS 77",IF(AND(E2755="WINZE STOPE PREP",T2755="L"),"RobC 80",IF(AND(E2755="STOPE PREP",T2755="L"),"StpL 78",IF(AND(E2755="ROBBING",T2755="L"),"RobC 80",IF(AND(E2755="ROBBING",T2755="S"),"RobS 79",0)))))))))))))))</f>
        <v>RobC 80</v>
      </c>
      <c r="G2755" s="169" t="s">
        <v>10087</v>
      </c>
      <c r="I2755" s="169" t="str">
        <f t="shared" si="173"/>
        <v>L04_CTV_010W_ROBBING</v>
      </c>
      <c r="J2755" s="169" t="s">
        <v>11848</v>
      </c>
      <c r="K2755" s="169">
        <f>IFERROR(MATCH(J2755,'Final List'!$B$4:$B$252,0),0)</f>
        <v>0</v>
      </c>
      <c r="L2755" s="169">
        <f>IFERROR(MATCH(J2755,'Final List'!$D$4:$D$252,0),0)</f>
        <v>0</v>
      </c>
      <c r="M2755" s="169">
        <f>IFERROR(MATCH(J2755,'Final List'!$F$4:$F$251,0),0)</f>
        <v>0</v>
      </c>
      <c r="N2755" s="169">
        <f>IFERROR(MATCH(J2755,'Final List'!$H$4:$H$252,0),0)</f>
        <v>0</v>
      </c>
      <c r="O2755" s="169">
        <f>IFERROR(MATCH(J2755,'Final List'!$J$4:$J$252,0),0)</f>
        <v>0</v>
      </c>
      <c r="P2755" s="169">
        <f>IFERROR(MATCH(J2755,'Final List'!$L$4:$L$252,0),0)</f>
        <v>0</v>
      </c>
      <c r="Q2755" s="169">
        <f>IFERROR(MATCH(J2755,'Final List'!$N$4:$N$252,0),0)</f>
        <v>0</v>
      </c>
      <c r="R2755" s="169">
        <f>IFERROR(MATCH(J2755,'Final List'!$P$4:$P$252,0),0)</f>
        <v>0</v>
      </c>
      <c r="S2755" s="169">
        <f t="shared" ref="S2755:S2818" si="176">SUM(K2755:R2755)</f>
        <v>0</v>
      </c>
      <c r="T2755" s="169" t="s">
        <v>48</v>
      </c>
      <c r="V2755" s="169" t="str">
        <f t="shared" si="174"/>
        <v>MARTINEZ, DN 3</v>
      </c>
      <c r="W2755" s="169" t="s">
        <v>236</v>
      </c>
    </row>
    <row r="2756" spans="2:23" x14ac:dyDescent="0.25">
      <c r="B2756" s="169" t="s">
        <v>258</v>
      </c>
      <c r="C2756" s="169" t="s">
        <v>57</v>
      </c>
      <c r="D2756" s="169" t="s">
        <v>178</v>
      </c>
      <c r="E2756" s="169" t="s">
        <v>62</v>
      </c>
      <c r="F2756" s="245" t="str">
        <f t="shared" si="175"/>
        <v>RobS 79</v>
      </c>
      <c r="G2756" s="169" t="s">
        <v>5702</v>
      </c>
      <c r="I2756" s="169" t="str">
        <f t="shared" si="173"/>
        <v>L10_JVSPLIT_048E_ROBBING</v>
      </c>
      <c r="J2756" s="169" t="s">
        <v>11850</v>
      </c>
      <c r="K2756" s="169">
        <f>IFERROR(MATCH(J2756,'Final List'!$B$4:$B$252,0),0)</f>
        <v>0</v>
      </c>
      <c r="L2756" s="169">
        <f>IFERROR(MATCH(J2756,'Final List'!$D$4:$D$252,0),0)</f>
        <v>0</v>
      </c>
      <c r="M2756" s="169">
        <f>IFERROR(MATCH(J2756,'Final List'!$F$4:$F$251,0),0)</f>
        <v>0</v>
      </c>
      <c r="N2756" s="169">
        <f>IFERROR(MATCH(J2756,'Final List'!$H$4:$H$252,0),0)</f>
        <v>0</v>
      </c>
      <c r="O2756" s="169">
        <f>IFERROR(MATCH(J2756,'Final List'!$J$4:$J$252,0),0)</f>
        <v>0</v>
      </c>
      <c r="P2756" s="169">
        <f>IFERROR(MATCH(J2756,'Final List'!$L$4:$L$252,0),0)</f>
        <v>0</v>
      </c>
      <c r="Q2756" s="169">
        <f>IFERROR(MATCH(J2756,'Final List'!$N$4:$N$252,0),0)</f>
        <v>0</v>
      </c>
      <c r="R2756" s="169">
        <f>IFERROR(MATCH(J2756,'Final List'!$P$4:$P$252,0),0)</f>
        <v>0</v>
      </c>
      <c r="S2756" s="169">
        <f t="shared" si="176"/>
        <v>0</v>
      </c>
      <c r="T2756" s="169" t="s">
        <v>68</v>
      </c>
      <c r="V2756" s="169" t="str">
        <f t="shared" si="174"/>
        <v>LARGO 3</v>
      </c>
      <c r="W2756" s="169" t="s">
        <v>2707</v>
      </c>
    </row>
    <row r="2757" spans="2:23" x14ac:dyDescent="0.25">
      <c r="B2757" s="169" t="s">
        <v>1167</v>
      </c>
      <c r="C2757" s="169" t="s">
        <v>43</v>
      </c>
      <c r="D2757" s="169" t="s">
        <v>289</v>
      </c>
      <c r="E2757" s="169" t="s">
        <v>6143</v>
      </c>
      <c r="F2757" s="245" t="str">
        <f t="shared" si="175"/>
        <v>Dhoz 71</v>
      </c>
      <c r="G2757" s="169" t="s">
        <v>6878</v>
      </c>
      <c r="I2757" s="169" t="str">
        <f t="shared" si="173"/>
        <v>L12_GHVSPLIT_059E_DE_ISL</v>
      </c>
      <c r="J2757" s="169" t="s">
        <v>11971</v>
      </c>
      <c r="K2757" s="169">
        <f>IFERROR(MATCH(J2757,'Final List'!$B$4:$B$252,0),0)</f>
        <v>0</v>
      </c>
      <c r="L2757" s="169">
        <f>IFERROR(MATCH(J2757,'Final List'!$D$4:$D$252,0),0)</f>
        <v>0</v>
      </c>
      <c r="M2757" s="169">
        <f>IFERROR(MATCH(J2757,'Final List'!$F$4:$F$251,0),0)</f>
        <v>0</v>
      </c>
      <c r="N2757" s="169">
        <f>IFERROR(MATCH(J2757,'Final List'!$H$4:$H$252,0),0)</f>
        <v>0</v>
      </c>
      <c r="O2757" s="169">
        <f>IFERROR(MATCH(J2757,'Final List'!$J$4:$J$252,0),0)</f>
        <v>0</v>
      </c>
      <c r="P2757" s="169">
        <f>IFERROR(MATCH(J2757,'Final List'!$L$4:$L$252,0),0)</f>
        <v>0</v>
      </c>
      <c r="Q2757" s="169">
        <f>IFERROR(MATCH(J2757,'Final List'!$N$4:$N$252,0),0)</f>
        <v>0</v>
      </c>
      <c r="R2757" s="169">
        <f>IFERROR(MATCH(J2757,'Final List'!$P$4:$P$252,0),0)</f>
        <v>0</v>
      </c>
      <c r="S2757" s="169">
        <f t="shared" si="176"/>
        <v>0</v>
      </c>
      <c r="V2757" s="169" t="str">
        <f t="shared" si="174"/>
        <v>BALANGHIG</v>
      </c>
      <c r="W2757" s="169" t="s">
        <v>8896</v>
      </c>
    </row>
    <row r="2758" spans="2:23" x14ac:dyDescent="0.25">
      <c r="B2758" s="169" t="s">
        <v>1167</v>
      </c>
      <c r="C2758" s="169" t="s">
        <v>45</v>
      </c>
      <c r="D2758" s="169" t="s">
        <v>160</v>
      </c>
      <c r="E2758" s="169" t="s">
        <v>19</v>
      </c>
      <c r="F2758" s="245" t="str">
        <f t="shared" si="175"/>
        <v>DVR 72</v>
      </c>
      <c r="G2758" s="169" t="s">
        <v>6931</v>
      </c>
      <c r="I2758" s="169" t="str">
        <f t="shared" si="173"/>
        <v>L12_DPVE_042E_RAISE</v>
      </c>
      <c r="J2758" s="169" t="s">
        <v>11852</v>
      </c>
      <c r="K2758" s="169">
        <f>IFERROR(MATCH(J2758,'Final List'!$B$4:$B$252,0),0)</f>
        <v>0</v>
      </c>
      <c r="L2758" s="169">
        <f>IFERROR(MATCH(J2758,'Final List'!$D$4:$D$252,0),0)</f>
        <v>0</v>
      </c>
      <c r="M2758" s="169">
        <f>IFERROR(MATCH(J2758,'Final List'!$F$4:$F$251,0),0)</f>
        <v>0</v>
      </c>
      <c r="N2758" s="169">
        <f>IFERROR(MATCH(J2758,'Final List'!$H$4:$H$252,0),0)</f>
        <v>0</v>
      </c>
      <c r="O2758" s="169">
        <f>IFERROR(MATCH(J2758,'Final List'!$J$4:$J$252,0),0)</f>
        <v>0</v>
      </c>
      <c r="P2758" s="169">
        <f>IFERROR(MATCH(J2758,'Final List'!$L$4:$L$252,0),0)</f>
        <v>0</v>
      </c>
      <c r="Q2758" s="169">
        <f>IFERROR(MATCH(J2758,'Final List'!$N$4:$N$252,0),0)</f>
        <v>0</v>
      </c>
      <c r="R2758" s="169">
        <f>IFERROR(MATCH(J2758,'Final List'!$P$4:$P$252,0),0)</f>
        <v>0</v>
      </c>
      <c r="S2758" s="169">
        <f t="shared" si="176"/>
        <v>0</v>
      </c>
      <c r="V2758" s="169" t="str">
        <f t="shared" si="174"/>
        <v>DUHIG, P2</v>
      </c>
      <c r="W2758" s="169" t="s">
        <v>2715</v>
      </c>
    </row>
    <row r="2759" spans="2:23" x14ac:dyDescent="0.25">
      <c r="B2759" s="169" t="s">
        <v>1167</v>
      </c>
      <c r="C2759" s="169" t="s">
        <v>38</v>
      </c>
      <c r="D2759" s="169" t="s">
        <v>197</v>
      </c>
      <c r="E2759" s="169" t="s">
        <v>36</v>
      </c>
      <c r="F2759" s="245" t="str">
        <f t="shared" si="175"/>
        <v>StpS 77</v>
      </c>
      <c r="G2759" s="169" t="s">
        <v>318</v>
      </c>
      <c r="H2759" s="169" t="s">
        <v>12548</v>
      </c>
      <c r="I2759" s="169" t="str">
        <f t="shared" si="173"/>
        <v>L12_GHV_070E_STOPE</v>
      </c>
      <c r="J2759" s="169" t="s">
        <v>12225</v>
      </c>
      <c r="K2759" s="169">
        <f>IFERROR(MATCH(J2759,'Final List'!$B$4:$B$252,0),0)</f>
        <v>0</v>
      </c>
      <c r="L2759" s="169">
        <f>IFERROR(MATCH(J2759,'Final List'!$D$4:$D$252,0),0)</f>
        <v>0</v>
      </c>
      <c r="M2759" s="169">
        <f>IFERROR(MATCH(J2759,'Final List'!$F$4:$F$251,0),0)</f>
        <v>0</v>
      </c>
      <c r="N2759" s="169">
        <f>IFERROR(MATCH(J2759,'Final List'!$H$4:$H$252,0),0)</f>
        <v>0</v>
      </c>
      <c r="O2759" s="169">
        <f>IFERROR(MATCH(J2759,'Final List'!$J$4:$J$252,0),0)</f>
        <v>0</v>
      </c>
      <c r="P2759" s="169">
        <f>IFERROR(MATCH(J2759,'Final List'!$L$4:$L$252,0),0)</f>
        <v>0</v>
      </c>
      <c r="Q2759" s="169">
        <f>IFERROR(MATCH(J2759,'Final List'!$N$4:$N$252,0),0)</f>
        <v>0</v>
      </c>
      <c r="R2759" s="169">
        <f>IFERROR(MATCH(J2759,'Final List'!$P$4:$P$252,0),0)</f>
        <v>0</v>
      </c>
      <c r="S2759" s="169">
        <f t="shared" si="176"/>
        <v>0</v>
      </c>
      <c r="T2759" s="169" t="s">
        <v>68</v>
      </c>
      <c r="V2759" s="169" t="str">
        <f t="shared" si="174"/>
        <v>NITRO BM</v>
      </c>
      <c r="W2759" s="169" t="s">
        <v>2713</v>
      </c>
    </row>
    <row r="2760" spans="2:23" x14ac:dyDescent="0.25">
      <c r="B2760" s="169" t="s">
        <v>258</v>
      </c>
      <c r="C2760" s="169" t="s">
        <v>56</v>
      </c>
      <c r="D2760" s="169" t="s">
        <v>165</v>
      </c>
      <c r="E2760" s="169" t="s">
        <v>62</v>
      </c>
      <c r="F2760" s="245" t="str">
        <f t="shared" si="175"/>
        <v>RobS 79</v>
      </c>
      <c r="G2760" s="169" t="s">
        <v>10896</v>
      </c>
      <c r="I2760" s="169" t="str">
        <f t="shared" si="173"/>
        <v>L10_GHVFW_056E_ROBBING</v>
      </c>
      <c r="J2760" s="169" t="s">
        <v>11881</v>
      </c>
      <c r="K2760" s="169">
        <f>IFERROR(MATCH(J2760,'Final List'!$B$4:$B$252,0),0)</f>
        <v>0</v>
      </c>
      <c r="L2760" s="169">
        <f>IFERROR(MATCH(J2760,'Final List'!$D$4:$D$252,0),0)</f>
        <v>0</v>
      </c>
      <c r="M2760" s="169">
        <f>IFERROR(MATCH(J2760,'Final List'!$F$4:$F$251,0),0)</f>
        <v>0</v>
      </c>
      <c r="N2760" s="169">
        <f>IFERROR(MATCH(J2760,'Final List'!$H$4:$H$252,0),0)</f>
        <v>0</v>
      </c>
      <c r="O2760" s="169">
        <f>IFERROR(MATCH(J2760,'Final List'!$J$4:$J$252,0),0)</f>
        <v>0</v>
      </c>
      <c r="P2760" s="169">
        <f>IFERROR(MATCH(J2760,'Final List'!$L$4:$L$252,0),0)</f>
        <v>0</v>
      </c>
      <c r="Q2760" s="169">
        <f>IFERROR(MATCH(J2760,'Final List'!$N$4:$N$252,0),0)</f>
        <v>0</v>
      </c>
      <c r="R2760" s="169">
        <f>IFERROR(MATCH(J2760,'Final List'!$P$4:$P$252,0),0)</f>
        <v>0</v>
      </c>
      <c r="S2760" s="169">
        <f t="shared" si="176"/>
        <v>0</v>
      </c>
      <c r="T2760" s="169" t="s">
        <v>68</v>
      </c>
      <c r="V2760" s="169" t="str">
        <f t="shared" si="174"/>
        <v>SHEPHERD BC 2</v>
      </c>
      <c r="W2760" s="169" t="s">
        <v>2707</v>
      </c>
    </row>
    <row r="2761" spans="2:23" x14ac:dyDescent="0.25">
      <c r="B2761" s="169" t="s">
        <v>258</v>
      </c>
      <c r="C2761" s="169" t="s">
        <v>45</v>
      </c>
      <c r="D2761" s="169" t="s">
        <v>5887</v>
      </c>
      <c r="E2761" s="169" t="s">
        <v>36</v>
      </c>
      <c r="F2761" s="245" t="str">
        <f t="shared" si="175"/>
        <v>StpS 77</v>
      </c>
      <c r="G2761" s="169" t="s">
        <v>9422</v>
      </c>
      <c r="H2761" s="169" t="s">
        <v>5697</v>
      </c>
      <c r="I2761" s="169" t="str">
        <f t="shared" si="173"/>
        <v>L10_DPVE_085E_STOPE</v>
      </c>
      <c r="J2761" s="169" t="s">
        <v>12044</v>
      </c>
      <c r="K2761" s="169">
        <f>IFERROR(MATCH(J2761,'Final List'!$B$4:$B$252,0),0)</f>
        <v>0</v>
      </c>
      <c r="L2761" s="169">
        <f>IFERROR(MATCH(J2761,'Final List'!$D$4:$D$252,0),0)</f>
        <v>0</v>
      </c>
      <c r="M2761" s="169">
        <f>IFERROR(MATCH(J2761,'Final List'!$F$4:$F$251,0),0)</f>
        <v>0</v>
      </c>
      <c r="N2761" s="169">
        <f>IFERROR(MATCH(J2761,'Final List'!$H$4:$H$252,0),0)</f>
        <v>0</v>
      </c>
      <c r="O2761" s="169">
        <f>IFERROR(MATCH(J2761,'Final List'!$J$4:$J$252,0),0)</f>
        <v>0</v>
      </c>
      <c r="P2761" s="169">
        <f>IFERROR(MATCH(J2761,'Final List'!$L$4:$L$252,0),0)</f>
        <v>0</v>
      </c>
      <c r="Q2761" s="169">
        <f>IFERROR(MATCH(J2761,'Final List'!$N$4:$N$252,0),0)</f>
        <v>0</v>
      </c>
      <c r="R2761" s="169">
        <f>IFERROR(MATCH(J2761,'Final List'!$P$4:$P$252,0),0)</f>
        <v>0</v>
      </c>
      <c r="S2761" s="169">
        <f t="shared" si="176"/>
        <v>0</v>
      </c>
      <c r="T2761" s="169" t="s">
        <v>68</v>
      </c>
      <c r="V2761" s="169" t="str">
        <f t="shared" si="174"/>
        <v>OLIVEROS 1</v>
      </c>
      <c r="W2761" s="169" t="s">
        <v>2713</v>
      </c>
    </row>
    <row r="2762" spans="2:23" x14ac:dyDescent="0.25">
      <c r="B2762" s="169" t="s">
        <v>96</v>
      </c>
      <c r="C2762" s="169" t="s">
        <v>45</v>
      </c>
      <c r="D2762" s="169" t="s">
        <v>205</v>
      </c>
      <c r="E2762" s="169" t="s">
        <v>20</v>
      </c>
      <c r="F2762" s="245" t="str">
        <f t="shared" si="175"/>
        <v>DVW 74</v>
      </c>
      <c r="G2762" s="169" t="s">
        <v>10253</v>
      </c>
      <c r="I2762" s="169" t="str">
        <f t="shared" si="173"/>
        <v>L09_DPVE_066E_WINZE</v>
      </c>
      <c r="J2762" s="169" t="s">
        <v>273</v>
      </c>
      <c r="K2762" s="169">
        <f>IFERROR(MATCH(J2762,'Final List'!$B$4:$B$252,0),0)</f>
        <v>0</v>
      </c>
      <c r="L2762" s="169">
        <f>IFERROR(MATCH(J2762,'Final List'!$D$4:$D$252,0),0)</f>
        <v>0</v>
      </c>
      <c r="M2762" s="169">
        <f>IFERROR(MATCH(J2762,'Final List'!$F$4:$F$251,0),0)</f>
        <v>0</v>
      </c>
      <c r="N2762" s="169">
        <f>IFERROR(MATCH(J2762,'Final List'!$H$4:$H$252,0),0)</f>
        <v>0</v>
      </c>
      <c r="O2762" s="169">
        <f>IFERROR(MATCH(J2762,'Final List'!$J$4:$J$252,0),0)</f>
        <v>0</v>
      </c>
      <c r="P2762" s="169">
        <f>IFERROR(MATCH(J2762,'Final List'!$L$4:$L$252,0),0)</f>
        <v>0</v>
      </c>
      <c r="Q2762" s="169">
        <f>IFERROR(MATCH(J2762,'Final List'!$N$4:$N$252,0),0)</f>
        <v>0</v>
      </c>
      <c r="R2762" s="169">
        <f>IFERROR(MATCH(J2762,'Final List'!$P$4:$P$252,0),0)</f>
        <v>0</v>
      </c>
      <c r="S2762" s="169">
        <f t="shared" si="176"/>
        <v>0</v>
      </c>
      <c r="V2762" s="169" t="str">
        <f t="shared" si="174"/>
        <v>PANSIT NORMAN 4</v>
      </c>
      <c r="W2762" s="169" t="s">
        <v>2706</v>
      </c>
    </row>
    <row r="2763" spans="2:23" x14ac:dyDescent="0.25">
      <c r="B2763" s="169" t="s">
        <v>258</v>
      </c>
      <c r="C2763" s="169" t="s">
        <v>55</v>
      </c>
      <c r="D2763" s="169" t="s">
        <v>5781</v>
      </c>
      <c r="E2763" s="169" t="s">
        <v>62</v>
      </c>
      <c r="F2763" s="245" t="str">
        <f t="shared" si="175"/>
        <v>RobC 80</v>
      </c>
      <c r="G2763" s="169" t="s">
        <v>5697</v>
      </c>
      <c r="I2763" s="169" t="str">
        <f t="shared" si="173"/>
        <v>L10_JVFW_051E_ROBBING</v>
      </c>
      <c r="J2763" s="169" t="s">
        <v>11860</v>
      </c>
      <c r="K2763" s="169">
        <f>IFERROR(MATCH(J2763,'Final List'!$B$4:$B$252,0),0)</f>
        <v>0</v>
      </c>
      <c r="L2763" s="169">
        <f>IFERROR(MATCH(J2763,'Final List'!$D$4:$D$252,0),0)</f>
        <v>0</v>
      </c>
      <c r="M2763" s="169">
        <f>IFERROR(MATCH(J2763,'Final List'!$F$4:$F$251,0),0)</f>
        <v>0</v>
      </c>
      <c r="N2763" s="169">
        <f>IFERROR(MATCH(J2763,'Final List'!$H$4:$H$252,0),0)</f>
        <v>0</v>
      </c>
      <c r="O2763" s="169">
        <f>IFERROR(MATCH(J2763,'Final List'!$J$4:$J$252,0),0)</f>
        <v>0</v>
      </c>
      <c r="P2763" s="169">
        <f>IFERROR(MATCH(J2763,'Final List'!$L$4:$L$252,0),0)</f>
        <v>0</v>
      </c>
      <c r="Q2763" s="169">
        <f>IFERROR(MATCH(J2763,'Final List'!$N$4:$N$252,0),0)</f>
        <v>0</v>
      </c>
      <c r="R2763" s="169">
        <f>IFERROR(MATCH(J2763,'Final List'!$P$4:$P$252,0),0)</f>
        <v>0</v>
      </c>
      <c r="S2763" s="169">
        <f t="shared" si="176"/>
        <v>0</v>
      </c>
      <c r="T2763" s="169" t="s">
        <v>48</v>
      </c>
      <c r="V2763" s="169" t="str">
        <f t="shared" si="174"/>
        <v>OLIVEROS 1</v>
      </c>
      <c r="W2763" s="169" t="s">
        <v>236</v>
      </c>
    </row>
    <row r="2764" spans="2:23" x14ac:dyDescent="0.25">
      <c r="B2764" s="169" t="s">
        <v>1166</v>
      </c>
      <c r="C2764" s="169" t="s">
        <v>42</v>
      </c>
      <c r="D2764" s="169" t="s">
        <v>1230</v>
      </c>
      <c r="E2764" s="169" t="s">
        <v>19</v>
      </c>
      <c r="F2764" s="245" t="str">
        <f t="shared" si="175"/>
        <v>DVR 72</v>
      </c>
      <c r="G2764" s="169" t="s">
        <v>862</v>
      </c>
      <c r="I2764" s="169" t="str">
        <f t="shared" si="173"/>
        <v>L11_JV_075E_RAISE</v>
      </c>
      <c r="J2764" s="169" t="s">
        <v>11863</v>
      </c>
      <c r="K2764" s="169">
        <f>IFERROR(MATCH(J2764,'Final List'!$B$4:$B$252,0),0)</f>
        <v>0</v>
      </c>
      <c r="L2764" s="169">
        <f>IFERROR(MATCH(J2764,'Final List'!$D$4:$D$252,0),0)</f>
        <v>0</v>
      </c>
      <c r="M2764" s="169">
        <f>IFERROR(MATCH(J2764,'Final List'!$F$4:$F$251,0),0)</f>
        <v>0</v>
      </c>
      <c r="N2764" s="169">
        <f>IFERROR(MATCH(J2764,'Final List'!$H$4:$H$252,0),0)</f>
        <v>0</v>
      </c>
      <c r="O2764" s="169">
        <f>IFERROR(MATCH(J2764,'Final List'!$J$4:$J$252,0),0)</f>
        <v>0</v>
      </c>
      <c r="P2764" s="169">
        <f>IFERROR(MATCH(J2764,'Final List'!$L$4:$L$252,0),0)</f>
        <v>0</v>
      </c>
      <c r="Q2764" s="169">
        <f>IFERROR(MATCH(J2764,'Final List'!$N$4:$N$252,0),0)</f>
        <v>0</v>
      </c>
      <c r="R2764" s="169">
        <f>IFERROR(MATCH(J2764,'Final List'!$P$4:$P$252,0),0)</f>
        <v>0</v>
      </c>
      <c r="S2764" s="169">
        <f t="shared" si="176"/>
        <v>0</v>
      </c>
      <c r="V2764" s="169" t="str">
        <f t="shared" si="174"/>
        <v>REBOTE 1</v>
      </c>
      <c r="W2764" s="169" t="s">
        <v>2715</v>
      </c>
    </row>
    <row r="2765" spans="2:23" x14ac:dyDescent="0.25">
      <c r="B2765" s="169" t="s">
        <v>1166</v>
      </c>
      <c r="C2765" s="169" t="s">
        <v>45</v>
      </c>
      <c r="D2765" s="169" t="s">
        <v>5601</v>
      </c>
      <c r="E2765" s="169" t="s">
        <v>211</v>
      </c>
      <c r="F2765" s="245" t="str">
        <f t="shared" si="175"/>
        <v>StpS 77</v>
      </c>
      <c r="G2765" s="169" t="s">
        <v>355</v>
      </c>
      <c r="I2765" s="169" t="str">
        <f t="shared" si="173"/>
        <v>L11_DPVE_026E_STOPE PREP</v>
      </c>
      <c r="J2765" s="169" t="s">
        <v>10976</v>
      </c>
      <c r="K2765" s="169">
        <f>IFERROR(MATCH(J2765,'Final List'!$B$4:$B$252,0),0)</f>
        <v>0</v>
      </c>
      <c r="L2765" s="169">
        <f>IFERROR(MATCH(J2765,'Final List'!$D$4:$D$252,0),0)</f>
        <v>0</v>
      </c>
      <c r="M2765" s="169">
        <f>IFERROR(MATCH(J2765,'Final List'!$F$4:$F$251,0),0)</f>
        <v>0</v>
      </c>
      <c r="N2765" s="169">
        <f>IFERROR(MATCH(J2765,'Final List'!$H$4:$H$252,0),0)</f>
        <v>0</v>
      </c>
      <c r="O2765" s="169">
        <f>IFERROR(MATCH(J2765,'Final List'!$J$4:$J$252,0),0)</f>
        <v>0</v>
      </c>
      <c r="P2765" s="169">
        <f>IFERROR(MATCH(J2765,'Final List'!$L$4:$L$252,0),0)</f>
        <v>0</v>
      </c>
      <c r="Q2765" s="169">
        <f>IFERROR(MATCH(J2765,'Final List'!$N$4:$N$252,0),0)</f>
        <v>0</v>
      </c>
      <c r="R2765" s="169">
        <f>IFERROR(MATCH(J2765,'Final List'!$P$4:$P$252,0),0)</f>
        <v>0</v>
      </c>
      <c r="S2765" s="169">
        <f t="shared" si="176"/>
        <v>0</v>
      </c>
      <c r="T2765" s="169" t="s">
        <v>68</v>
      </c>
      <c r="V2765" s="169" t="str">
        <f t="shared" si="174"/>
        <v>BAÑEZ 2</v>
      </c>
      <c r="W2765" s="169" t="s">
        <v>2712</v>
      </c>
    </row>
    <row r="2766" spans="2:23" x14ac:dyDescent="0.25">
      <c r="B2766" s="169" t="s">
        <v>96</v>
      </c>
      <c r="C2766" s="169" t="s">
        <v>45</v>
      </c>
      <c r="D2766" s="169" t="s">
        <v>123</v>
      </c>
      <c r="E2766" s="169" t="s">
        <v>20</v>
      </c>
      <c r="F2766" s="245" t="str">
        <f t="shared" si="175"/>
        <v>DVW 74</v>
      </c>
      <c r="G2766" s="169" t="s">
        <v>10253</v>
      </c>
      <c r="I2766" s="169" t="str">
        <f t="shared" si="173"/>
        <v>L09_DPVE_031E_WINZE</v>
      </c>
      <c r="J2766" s="169" t="s">
        <v>11865</v>
      </c>
      <c r="K2766" s="169">
        <f>IFERROR(MATCH(J2766,'Final List'!$B$4:$B$252,0),0)</f>
        <v>0</v>
      </c>
      <c r="L2766" s="169">
        <f>IFERROR(MATCH(J2766,'Final List'!$D$4:$D$252,0),0)</f>
        <v>0</v>
      </c>
      <c r="M2766" s="169">
        <f>IFERROR(MATCH(J2766,'Final List'!$F$4:$F$251,0),0)</f>
        <v>0</v>
      </c>
      <c r="N2766" s="169">
        <f>IFERROR(MATCH(J2766,'Final List'!$H$4:$H$252,0),0)</f>
        <v>0</v>
      </c>
      <c r="O2766" s="169">
        <f>IFERROR(MATCH(J2766,'Final List'!$J$4:$J$252,0),0)</f>
        <v>0</v>
      </c>
      <c r="P2766" s="169">
        <f>IFERROR(MATCH(J2766,'Final List'!$L$4:$L$252,0),0)</f>
        <v>0</v>
      </c>
      <c r="Q2766" s="169">
        <f>IFERROR(MATCH(J2766,'Final List'!$N$4:$N$252,0),0)</f>
        <v>0</v>
      </c>
      <c r="R2766" s="169">
        <f>IFERROR(MATCH(J2766,'Final List'!$P$4:$P$252,0),0)</f>
        <v>0</v>
      </c>
      <c r="S2766" s="169">
        <f t="shared" si="176"/>
        <v>0</v>
      </c>
      <c r="V2766" s="169" t="str">
        <f t="shared" si="174"/>
        <v>PANSIT NORMAN 4</v>
      </c>
      <c r="W2766" s="169" t="s">
        <v>2706</v>
      </c>
    </row>
    <row r="2767" spans="2:23" x14ac:dyDescent="0.25">
      <c r="B2767" s="169" t="s">
        <v>95</v>
      </c>
      <c r="C2767" s="169" t="s">
        <v>45</v>
      </c>
      <c r="D2767" s="169" t="s">
        <v>135</v>
      </c>
      <c r="E2767" s="169" t="s">
        <v>20</v>
      </c>
      <c r="F2767" s="245" t="str">
        <f t="shared" si="175"/>
        <v>DVW 74</v>
      </c>
      <c r="G2767" s="169" t="s">
        <v>467</v>
      </c>
      <c r="I2767" s="169" t="str">
        <f t="shared" si="173"/>
        <v>L08_DPVE_034E_WINZE</v>
      </c>
      <c r="J2767" s="169" t="s">
        <v>11867</v>
      </c>
      <c r="K2767" s="169">
        <f>IFERROR(MATCH(J2767,'Final List'!$B$4:$B$252,0),0)</f>
        <v>0</v>
      </c>
      <c r="L2767" s="169">
        <f>IFERROR(MATCH(J2767,'Final List'!$D$4:$D$252,0),0)</f>
        <v>0</v>
      </c>
      <c r="M2767" s="169">
        <f>IFERROR(MATCH(J2767,'Final List'!$F$4:$F$251,0),0)</f>
        <v>0</v>
      </c>
      <c r="N2767" s="169">
        <f>IFERROR(MATCH(J2767,'Final List'!$H$4:$H$252,0),0)</f>
        <v>0</v>
      </c>
      <c r="O2767" s="169">
        <f>IFERROR(MATCH(J2767,'Final List'!$J$4:$J$252,0),0)</f>
        <v>0</v>
      </c>
      <c r="P2767" s="169">
        <f>IFERROR(MATCH(J2767,'Final List'!$L$4:$L$252,0),0)</f>
        <v>0</v>
      </c>
      <c r="Q2767" s="169">
        <f>IFERROR(MATCH(J2767,'Final List'!$N$4:$N$252,0),0)</f>
        <v>0</v>
      </c>
      <c r="R2767" s="169">
        <f>IFERROR(MATCH(J2767,'Final List'!$P$4:$P$252,0),0)</f>
        <v>0</v>
      </c>
      <c r="S2767" s="169">
        <f t="shared" si="176"/>
        <v>0</v>
      </c>
      <c r="V2767" s="169" t="str">
        <f t="shared" si="174"/>
        <v>AGLOLO 2</v>
      </c>
      <c r="W2767" s="169" t="s">
        <v>2706</v>
      </c>
    </row>
    <row r="2768" spans="2:23" x14ac:dyDescent="0.25">
      <c r="B2768" s="169" t="s">
        <v>8904</v>
      </c>
      <c r="C2768" s="169" t="s">
        <v>42</v>
      </c>
      <c r="D2768" s="169" t="s">
        <v>98</v>
      </c>
      <c r="E2768" s="169" t="s">
        <v>20</v>
      </c>
      <c r="F2768" s="245" t="str">
        <f t="shared" si="175"/>
        <v>DVW 74</v>
      </c>
      <c r="G2768" s="169" t="s">
        <v>10062</v>
      </c>
      <c r="I2768" s="169" t="str">
        <f t="shared" si="173"/>
        <v>L03_JV_014W_WINZE</v>
      </c>
      <c r="J2768" s="169" t="s">
        <v>11874</v>
      </c>
      <c r="K2768" s="169">
        <f>IFERROR(MATCH(J2768,'Final List'!$B$4:$B$252,0),0)</f>
        <v>0</v>
      </c>
      <c r="L2768" s="169">
        <f>IFERROR(MATCH(J2768,'Final List'!$D$4:$D$252,0),0)</f>
        <v>0</v>
      </c>
      <c r="M2768" s="169">
        <f>IFERROR(MATCH(J2768,'Final List'!$F$4:$F$251,0),0)</f>
        <v>0</v>
      </c>
      <c r="N2768" s="169">
        <f>IFERROR(MATCH(J2768,'Final List'!$H$4:$H$252,0),0)</f>
        <v>0</v>
      </c>
      <c r="O2768" s="169">
        <f>IFERROR(MATCH(J2768,'Final List'!$J$4:$J$252,0),0)</f>
        <v>0</v>
      </c>
      <c r="P2768" s="169">
        <f>IFERROR(MATCH(J2768,'Final List'!$L$4:$L$252,0),0)</f>
        <v>0</v>
      </c>
      <c r="Q2768" s="169">
        <f>IFERROR(MATCH(J2768,'Final List'!$N$4:$N$252,0),0)</f>
        <v>0</v>
      </c>
      <c r="R2768" s="169">
        <f>IFERROR(MATCH(J2768,'Final List'!$P$4:$P$252,0),0)</f>
        <v>0</v>
      </c>
      <c r="S2768" s="169">
        <f t="shared" si="176"/>
        <v>0</v>
      </c>
      <c r="V2768" s="169" t="str">
        <f t="shared" si="174"/>
        <v>FERNANDEZ, RM 6</v>
      </c>
      <c r="W2768" s="169" t="s">
        <v>2706</v>
      </c>
    </row>
    <row r="2769" spans="2:23" x14ac:dyDescent="0.25">
      <c r="B2769" s="169" t="s">
        <v>1166</v>
      </c>
      <c r="C2769" s="169" t="s">
        <v>45</v>
      </c>
      <c r="D2769" s="169" t="s">
        <v>144</v>
      </c>
      <c r="E2769" s="169" t="s">
        <v>36</v>
      </c>
      <c r="F2769" s="245" t="str">
        <f t="shared" si="175"/>
        <v>StpS 77</v>
      </c>
      <c r="G2769" s="169" t="s">
        <v>464</v>
      </c>
      <c r="I2769" s="169" t="str">
        <f t="shared" si="173"/>
        <v>L11_DPVE_043E_STOPE</v>
      </c>
      <c r="J2769" s="169" t="s">
        <v>12049</v>
      </c>
      <c r="K2769" s="169">
        <f>IFERROR(MATCH(J2769,'Final List'!$B$4:$B$252,0),0)</f>
        <v>0</v>
      </c>
      <c r="L2769" s="169">
        <f>IFERROR(MATCH(J2769,'Final List'!$D$4:$D$252,0),0)</f>
        <v>0</v>
      </c>
      <c r="M2769" s="169">
        <f>IFERROR(MATCH(J2769,'Final List'!$F$4:$F$251,0),0)</f>
        <v>0</v>
      </c>
      <c r="N2769" s="169">
        <f>IFERROR(MATCH(J2769,'Final List'!$H$4:$H$252,0),0)</f>
        <v>0</v>
      </c>
      <c r="O2769" s="169">
        <f>IFERROR(MATCH(J2769,'Final List'!$J$4:$J$252,0),0)</f>
        <v>0</v>
      </c>
      <c r="P2769" s="169">
        <f>IFERROR(MATCH(J2769,'Final List'!$L$4:$L$252,0),0)</f>
        <v>0</v>
      </c>
      <c r="Q2769" s="169">
        <f>IFERROR(MATCH(J2769,'Final List'!$N$4:$N$252,0),0)</f>
        <v>0</v>
      </c>
      <c r="R2769" s="169">
        <f>IFERROR(MATCH(J2769,'Final List'!$P$4:$P$252,0),0)</f>
        <v>0</v>
      </c>
      <c r="S2769" s="169">
        <f t="shared" si="176"/>
        <v>0</v>
      </c>
      <c r="T2769" s="169" t="s">
        <v>68</v>
      </c>
      <c r="V2769" s="169" t="str">
        <f t="shared" si="174"/>
        <v>COMAINGKING 3</v>
      </c>
      <c r="W2769" s="169" t="s">
        <v>2713</v>
      </c>
    </row>
    <row r="2770" spans="2:23" x14ac:dyDescent="0.25">
      <c r="B2770" s="169" t="s">
        <v>1166</v>
      </c>
      <c r="C2770" s="169" t="s">
        <v>45</v>
      </c>
      <c r="D2770" s="169" t="s">
        <v>121</v>
      </c>
      <c r="E2770" s="169" t="s">
        <v>36</v>
      </c>
      <c r="F2770" s="245" t="str">
        <f t="shared" si="175"/>
        <v>StpS 77</v>
      </c>
      <c r="G2770" s="169" t="s">
        <v>6980</v>
      </c>
      <c r="I2770" s="169" t="str">
        <f t="shared" si="173"/>
        <v>L11_DPVE_022E_STOPE</v>
      </c>
      <c r="J2770" s="169" t="s">
        <v>12028</v>
      </c>
      <c r="K2770" s="169">
        <f>IFERROR(MATCH(J2770,'Final List'!$B$4:$B$252,0),0)</f>
        <v>0</v>
      </c>
      <c r="L2770" s="169">
        <f>IFERROR(MATCH(J2770,'Final List'!$D$4:$D$252,0),0)</f>
        <v>0</v>
      </c>
      <c r="M2770" s="169">
        <f>IFERROR(MATCH(J2770,'Final List'!$F$4:$F$251,0),0)</f>
        <v>0</v>
      </c>
      <c r="N2770" s="169">
        <f>IFERROR(MATCH(J2770,'Final List'!$H$4:$H$252,0),0)</f>
        <v>0</v>
      </c>
      <c r="O2770" s="169">
        <f>IFERROR(MATCH(J2770,'Final List'!$J$4:$J$252,0),0)</f>
        <v>0</v>
      </c>
      <c r="P2770" s="169">
        <f>IFERROR(MATCH(J2770,'Final List'!$L$4:$L$252,0),0)</f>
        <v>0</v>
      </c>
      <c r="Q2770" s="169">
        <f>IFERROR(MATCH(J2770,'Final List'!$N$4:$N$252,0),0)</f>
        <v>0</v>
      </c>
      <c r="R2770" s="169">
        <f>IFERROR(MATCH(J2770,'Final List'!$P$4:$P$252,0),0)</f>
        <v>0</v>
      </c>
      <c r="S2770" s="169">
        <f t="shared" si="176"/>
        <v>0</v>
      </c>
      <c r="T2770" s="169" t="s">
        <v>68</v>
      </c>
      <c r="V2770" s="169" t="str">
        <f t="shared" si="174"/>
        <v>BADBADON 3</v>
      </c>
      <c r="W2770" s="169" t="s">
        <v>2713</v>
      </c>
    </row>
    <row r="2771" spans="2:23" x14ac:dyDescent="0.25">
      <c r="B2771" s="169" t="s">
        <v>1166</v>
      </c>
      <c r="C2771" s="169" t="s">
        <v>87</v>
      </c>
      <c r="D2771" s="169" t="s">
        <v>133</v>
      </c>
      <c r="E2771" s="169" t="s">
        <v>37</v>
      </c>
      <c r="F2771" s="245" t="str">
        <f t="shared" si="175"/>
        <v>Dhoz 71</v>
      </c>
      <c r="G2771" s="169" t="s">
        <v>474</v>
      </c>
      <c r="I2771" s="169" t="str">
        <f t="shared" si="173"/>
        <v>L11_NONE_037E_XCN</v>
      </c>
      <c r="J2771" s="169" t="s">
        <v>11877</v>
      </c>
      <c r="K2771" s="169">
        <f>IFERROR(MATCH(J2771,'Final List'!$B$4:$B$252,0),0)</f>
        <v>0</v>
      </c>
      <c r="L2771" s="169">
        <f>IFERROR(MATCH(J2771,'Final List'!$D$4:$D$252,0),0)</f>
        <v>0</v>
      </c>
      <c r="M2771" s="169">
        <f>IFERROR(MATCH(J2771,'Final List'!$F$4:$F$251,0),0)</f>
        <v>0</v>
      </c>
      <c r="N2771" s="169">
        <f>IFERROR(MATCH(J2771,'Final List'!$H$4:$H$252,0),0)</f>
        <v>0</v>
      </c>
      <c r="O2771" s="169">
        <f>IFERROR(MATCH(J2771,'Final List'!$J$4:$J$252,0),0)</f>
        <v>0</v>
      </c>
      <c r="P2771" s="169">
        <f>IFERROR(MATCH(J2771,'Final List'!$L$4:$L$252,0),0)</f>
        <v>0</v>
      </c>
      <c r="Q2771" s="169">
        <f>IFERROR(MATCH(J2771,'Final List'!$N$4:$N$252,0),0)</f>
        <v>0</v>
      </c>
      <c r="R2771" s="169">
        <f>IFERROR(MATCH(J2771,'Final List'!$P$4:$P$252,0),0)</f>
        <v>0</v>
      </c>
      <c r="S2771" s="169">
        <f t="shared" si="176"/>
        <v>0</v>
      </c>
      <c r="V2771" s="169" t="str">
        <f t="shared" si="174"/>
        <v>TORMIS 1</v>
      </c>
      <c r="W2771" s="169" t="s">
        <v>8898</v>
      </c>
    </row>
    <row r="2772" spans="2:23" x14ac:dyDescent="0.25">
      <c r="B2772" s="169" t="s">
        <v>258</v>
      </c>
      <c r="C2772" s="169" t="s">
        <v>42</v>
      </c>
      <c r="D2772" s="169" t="s">
        <v>6983</v>
      </c>
      <c r="E2772" s="169" t="s">
        <v>60</v>
      </c>
      <c r="F2772" s="245" t="str">
        <f t="shared" si="175"/>
        <v>Dhoz 71</v>
      </c>
      <c r="G2772" s="169" t="s">
        <v>10896</v>
      </c>
      <c r="I2772" s="169" t="str">
        <f t="shared" si="173"/>
        <v>L10_JV_001E_DE</v>
      </c>
      <c r="J2772" s="169" t="s">
        <v>11878</v>
      </c>
      <c r="K2772" s="169">
        <f>IFERROR(MATCH(J2772,'Final List'!$B$4:$B$252,0),0)</f>
        <v>0</v>
      </c>
      <c r="L2772" s="169">
        <f>IFERROR(MATCH(J2772,'Final List'!$D$4:$D$252,0),0)</f>
        <v>0</v>
      </c>
      <c r="M2772" s="169">
        <f>IFERROR(MATCH(J2772,'Final List'!$F$4:$F$251,0),0)</f>
        <v>0</v>
      </c>
      <c r="N2772" s="169">
        <f>IFERROR(MATCH(J2772,'Final List'!$H$4:$H$252,0),0)</f>
        <v>0</v>
      </c>
      <c r="O2772" s="169">
        <f>IFERROR(MATCH(J2772,'Final List'!$J$4:$J$252,0),0)</f>
        <v>0</v>
      </c>
      <c r="P2772" s="169">
        <f>IFERROR(MATCH(J2772,'Final List'!$L$4:$L$252,0),0)</f>
        <v>0</v>
      </c>
      <c r="Q2772" s="169">
        <f>IFERROR(MATCH(J2772,'Final List'!$N$4:$N$252,0),0)</f>
        <v>0</v>
      </c>
      <c r="R2772" s="169">
        <f>IFERROR(MATCH(J2772,'Final List'!$P$4:$P$252,0),0)</f>
        <v>0</v>
      </c>
      <c r="S2772" s="169">
        <f t="shared" si="176"/>
        <v>0</v>
      </c>
      <c r="V2772" s="169" t="str">
        <f t="shared" si="174"/>
        <v>SHEPHERD BC 2</v>
      </c>
      <c r="W2772" s="169" t="s">
        <v>8896</v>
      </c>
    </row>
    <row r="2773" spans="2:23" x14ac:dyDescent="0.25">
      <c r="B2773" s="169" t="s">
        <v>258</v>
      </c>
      <c r="C2773" s="169" t="s">
        <v>55</v>
      </c>
      <c r="D2773" s="169" t="s">
        <v>173</v>
      </c>
      <c r="E2773" s="169" t="s">
        <v>62</v>
      </c>
      <c r="F2773" s="245" t="str">
        <f t="shared" si="175"/>
        <v>RobC 80</v>
      </c>
      <c r="G2773" s="169" t="s">
        <v>5700</v>
      </c>
      <c r="I2773" s="169" t="str">
        <f t="shared" si="173"/>
        <v>L10_JVFW_049E_ROBBING</v>
      </c>
      <c r="J2773" s="169" t="s">
        <v>11879</v>
      </c>
      <c r="K2773" s="169">
        <f>IFERROR(MATCH(J2773,'Final List'!$B$4:$B$252,0),0)</f>
        <v>0</v>
      </c>
      <c r="L2773" s="169">
        <f>IFERROR(MATCH(J2773,'Final List'!$D$4:$D$252,0),0)</f>
        <v>0</v>
      </c>
      <c r="M2773" s="169">
        <f>IFERROR(MATCH(J2773,'Final List'!$F$4:$F$251,0),0)</f>
        <v>0</v>
      </c>
      <c r="N2773" s="169">
        <f>IFERROR(MATCH(J2773,'Final List'!$H$4:$H$252,0),0)</f>
        <v>0</v>
      </c>
      <c r="O2773" s="169">
        <f>IFERROR(MATCH(J2773,'Final List'!$J$4:$J$252,0),0)</f>
        <v>0</v>
      </c>
      <c r="P2773" s="169">
        <f>IFERROR(MATCH(J2773,'Final List'!$L$4:$L$252,0),0)</f>
        <v>0</v>
      </c>
      <c r="Q2773" s="169">
        <f>IFERROR(MATCH(J2773,'Final List'!$N$4:$N$252,0),0)</f>
        <v>0</v>
      </c>
      <c r="R2773" s="169">
        <f>IFERROR(MATCH(J2773,'Final List'!$P$4:$P$252,0),0)</f>
        <v>0</v>
      </c>
      <c r="S2773" s="169">
        <f t="shared" si="176"/>
        <v>0</v>
      </c>
      <c r="T2773" s="169" t="s">
        <v>48</v>
      </c>
      <c r="V2773" s="169" t="str">
        <f t="shared" si="174"/>
        <v>LARGO 1</v>
      </c>
      <c r="W2773" s="169" t="s">
        <v>236</v>
      </c>
    </row>
    <row r="2774" spans="2:23" x14ac:dyDescent="0.25">
      <c r="B2774" s="169" t="s">
        <v>1166</v>
      </c>
      <c r="C2774" s="169" t="s">
        <v>57</v>
      </c>
      <c r="D2774" s="169" t="s">
        <v>1230</v>
      </c>
      <c r="E2774" s="169" t="s">
        <v>19</v>
      </c>
      <c r="F2774" s="245" t="str">
        <f t="shared" si="175"/>
        <v>DVR 72</v>
      </c>
      <c r="G2774" s="169" t="s">
        <v>862</v>
      </c>
      <c r="I2774" s="169" t="str">
        <f t="shared" si="173"/>
        <v>L11_JVSPLIT_075E_RAISE</v>
      </c>
      <c r="J2774" s="169" t="s">
        <v>11882</v>
      </c>
      <c r="K2774" s="169">
        <f>IFERROR(MATCH(J2774,'Final List'!$B$4:$B$252,0),0)</f>
        <v>0</v>
      </c>
      <c r="L2774" s="169">
        <f>IFERROR(MATCH(J2774,'Final List'!$D$4:$D$252,0),0)</f>
        <v>0</v>
      </c>
      <c r="M2774" s="169">
        <f>IFERROR(MATCH(J2774,'Final List'!$F$4:$F$251,0),0)</f>
        <v>0</v>
      </c>
      <c r="N2774" s="169">
        <f>IFERROR(MATCH(J2774,'Final List'!$H$4:$H$252,0),0)</f>
        <v>0</v>
      </c>
      <c r="O2774" s="169">
        <f>IFERROR(MATCH(J2774,'Final List'!$J$4:$J$252,0),0)</f>
        <v>0</v>
      </c>
      <c r="P2774" s="169">
        <f>IFERROR(MATCH(J2774,'Final List'!$L$4:$L$252,0),0)</f>
        <v>0</v>
      </c>
      <c r="Q2774" s="169">
        <f>IFERROR(MATCH(J2774,'Final List'!$N$4:$N$252,0),0)</f>
        <v>0</v>
      </c>
      <c r="R2774" s="169">
        <f>IFERROR(MATCH(J2774,'Final List'!$P$4:$P$252,0),0)</f>
        <v>0</v>
      </c>
      <c r="S2774" s="169">
        <f t="shared" si="176"/>
        <v>0</v>
      </c>
      <c r="V2774" s="169" t="str">
        <f t="shared" si="174"/>
        <v>REBOTE 1</v>
      </c>
      <c r="W2774" s="169" t="s">
        <v>2715</v>
      </c>
    </row>
    <row r="2775" spans="2:23" x14ac:dyDescent="0.25">
      <c r="B2775" s="169" t="s">
        <v>1167</v>
      </c>
      <c r="C2775" s="169" t="s">
        <v>87</v>
      </c>
      <c r="D2775" s="169" t="s">
        <v>146</v>
      </c>
      <c r="E2775" s="169" t="s">
        <v>63</v>
      </c>
      <c r="F2775" s="245" t="str">
        <f t="shared" si="175"/>
        <v>Dhoz 71</v>
      </c>
      <c r="G2775" s="169" t="s">
        <v>9885</v>
      </c>
      <c r="H2775" s="169" t="s">
        <v>12144</v>
      </c>
      <c r="I2775" s="169" t="str">
        <f t="shared" si="173"/>
        <v>L12_NONE_030E_XCS</v>
      </c>
      <c r="J2775" s="169" t="s">
        <v>12372</v>
      </c>
      <c r="K2775" s="169">
        <f>IFERROR(MATCH(J2775,'Final List'!$B$4:$B$252,0),0)</f>
        <v>0</v>
      </c>
      <c r="L2775" s="169">
        <f>IFERROR(MATCH(J2775,'Final List'!$D$4:$D$252,0),0)</f>
        <v>0</v>
      </c>
      <c r="M2775" s="169">
        <f>IFERROR(MATCH(J2775,'Final List'!$F$4:$F$251,0),0)</f>
        <v>0</v>
      </c>
      <c r="N2775" s="169">
        <f>IFERROR(MATCH(J2775,'Final List'!$H$4:$H$252,0),0)</f>
        <v>0</v>
      </c>
      <c r="O2775" s="169">
        <f>IFERROR(MATCH(J2775,'Final List'!$J$4:$J$252,0),0)</f>
        <v>0</v>
      </c>
      <c r="P2775" s="169">
        <f>IFERROR(MATCH(J2775,'Final List'!$L$4:$L$252,0),0)</f>
        <v>0</v>
      </c>
      <c r="Q2775" s="169">
        <f>IFERROR(MATCH(J2775,'Final List'!$N$4:$N$252,0),0)</f>
        <v>0</v>
      </c>
      <c r="R2775" s="169">
        <f>IFERROR(MATCH(J2775,'Final List'!$P$4:$P$252,0),0)</f>
        <v>0</v>
      </c>
      <c r="S2775" s="169">
        <f t="shared" si="176"/>
        <v>0</v>
      </c>
      <c r="V2775" s="169" t="str">
        <f t="shared" si="174"/>
        <v>NITRO BC</v>
      </c>
      <c r="W2775" s="169" t="s">
        <v>8898</v>
      </c>
    </row>
    <row r="2776" spans="2:23" x14ac:dyDescent="0.25">
      <c r="B2776" s="169" t="s">
        <v>1166</v>
      </c>
      <c r="C2776" s="169" t="s">
        <v>45</v>
      </c>
      <c r="D2776" s="169" t="s">
        <v>176</v>
      </c>
      <c r="E2776" s="169" t="s">
        <v>60</v>
      </c>
      <c r="F2776" s="245" t="str">
        <f t="shared" si="175"/>
        <v>Dhoz 71</v>
      </c>
      <c r="G2776" s="169" t="s">
        <v>11884</v>
      </c>
      <c r="I2776" s="169" t="str">
        <f t="shared" si="173"/>
        <v>L11_DPVE_057E_DE</v>
      </c>
      <c r="J2776" s="169" t="s">
        <v>11883</v>
      </c>
      <c r="K2776" s="169">
        <f>IFERROR(MATCH(J2776,'Final List'!$B$4:$B$252,0),0)</f>
        <v>0</v>
      </c>
      <c r="L2776" s="169">
        <f>IFERROR(MATCH(J2776,'Final List'!$D$4:$D$252,0),0)</f>
        <v>0</v>
      </c>
      <c r="M2776" s="169">
        <f>IFERROR(MATCH(J2776,'Final List'!$F$4:$F$251,0),0)</f>
        <v>0</v>
      </c>
      <c r="N2776" s="169">
        <f>IFERROR(MATCH(J2776,'Final List'!$H$4:$H$252,0),0)</f>
        <v>0</v>
      </c>
      <c r="O2776" s="169">
        <f>IFERROR(MATCH(J2776,'Final List'!$J$4:$J$252,0),0)</f>
        <v>0</v>
      </c>
      <c r="P2776" s="169">
        <f>IFERROR(MATCH(J2776,'Final List'!$L$4:$L$252,0),0)</f>
        <v>0</v>
      </c>
      <c r="Q2776" s="169">
        <f>IFERROR(MATCH(J2776,'Final List'!$N$4:$N$252,0),0)</f>
        <v>0</v>
      </c>
      <c r="R2776" s="169">
        <f>IFERROR(MATCH(J2776,'Final List'!$P$4:$P$252,0),0)</f>
        <v>0</v>
      </c>
      <c r="S2776" s="169">
        <f t="shared" si="176"/>
        <v>0</v>
      </c>
      <c r="V2776" s="169" t="str">
        <f t="shared" si="174"/>
        <v>DUHIG, R</v>
      </c>
      <c r="W2776" s="169" t="s">
        <v>8896</v>
      </c>
    </row>
    <row r="2777" spans="2:23" x14ac:dyDescent="0.25">
      <c r="B2777" s="169" t="s">
        <v>96</v>
      </c>
      <c r="C2777" s="169" t="s">
        <v>59</v>
      </c>
      <c r="D2777" s="169" t="s">
        <v>7223</v>
      </c>
      <c r="E2777" s="169" t="s">
        <v>20</v>
      </c>
      <c r="F2777" s="245" t="str">
        <f t="shared" si="175"/>
        <v>DVW 74</v>
      </c>
      <c r="G2777" s="169" t="s">
        <v>8202</v>
      </c>
      <c r="I2777" s="169" t="str">
        <f t="shared" si="173"/>
        <v>L09_GHVHW_002E_WINZE</v>
      </c>
      <c r="J2777" s="169" t="s">
        <v>11892</v>
      </c>
      <c r="K2777" s="169">
        <f>IFERROR(MATCH(J2777,'Final List'!$B$4:$B$252,0),0)</f>
        <v>0</v>
      </c>
      <c r="L2777" s="169">
        <f>IFERROR(MATCH(J2777,'Final List'!$D$4:$D$252,0),0)</f>
        <v>0</v>
      </c>
      <c r="M2777" s="169">
        <f>IFERROR(MATCH(J2777,'Final List'!$F$4:$F$251,0),0)</f>
        <v>0</v>
      </c>
      <c r="N2777" s="169">
        <f>IFERROR(MATCH(J2777,'Final List'!$H$4:$H$252,0),0)</f>
        <v>0</v>
      </c>
      <c r="O2777" s="169">
        <f>IFERROR(MATCH(J2777,'Final List'!$J$4:$J$252,0),0)</f>
        <v>0</v>
      </c>
      <c r="P2777" s="169">
        <f>IFERROR(MATCH(J2777,'Final List'!$L$4:$L$252,0),0)</f>
        <v>0</v>
      </c>
      <c r="Q2777" s="169">
        <f>IFERROR(MATCH(J2777,'Final List'!$N$4:$N$252,0),0)</f>
        <v>0</v>
      </c>
      <c r="R2777" s="169">
        <f>IFERROR(MATCH(J2777,'Final List'!$P$4:$P$252,0),0)</f>
        <v>0</v>
      </c>
      <c r="S2777" s="169">
        <f t="shared" si="176"/>
        <v>0</v>
      </c>
      <c r="V2777" s="169" t="str">
        <f t="shared" si="174"/>
        <v>PANSIT, NORMAN 2</v>
      </c>
      <c r="W2777" s="169" t="s">
        <v>2706</v>
      </c>
    </row>
    <row r="2778" spans="2:23" x14ac:dyDescent="0.25">
      <c r="B2778" s="169" t="s">
        <v>95</v>
      </c>
      <c r="C2778" s="169" t="s">
        <v>59</v>
      </c>
      <c r="D2778" s="169" t="s">
        <v>5612</v>
      </c>
      <c r="E2778" s="169" t="s">
        <v>62</v>
      </c>
      <c r="F2778" s="245" t="str">
        <f t="shared" si="175"/>
        <v>RobS 79</v>
      </c>
      <c r="G2778" s="169" t="s">
        <v>577</v>
      </c>
      <c r="H2778" s="169" t="s">
        <v>12303</v>
      </c>
      <c r="I2778" s="169" t="str">
        <f t="shared" si="173"/>
        <v>L08_GHVHW_011W_ROBBING</v>
      </c>
      <c r="J2778" s="169" t="s">
        <v>11893</v>
      </c>
      <c r="K2778" s="169">
        <f>IFERROR(MATCH(J2778,'Final List'!$B$4:$B$252,0),0)</f>
        <v>0</v>
      </c>
      <c r="L2778" s="169">
        <f>IFERROR(MATCH(J2778,'Final List'!$D$4:$D$252,0),0)</f>
        <v>0</v>
      </c>
      <c r="M2778" s="169">
        <f>IFERROR(MATCH(J2778,'Final List'!$F$4:$F$251,0),0)</f>
        <v>0</v>
      </c>
      <c r="N2778" s="169">
        <f>IFERROR(MATCH(J2778,'Final List'!$H$4:$H$252,0),0)</f>
        <v>0</v>
      </c>
      <c r="O2778" s="169">
        <f>IFERROR(MATCH(J2778,'Final List'!$J$4:$J$252,0),0)</f>
        <v>0</v>
      </c>
      <c r="P2778" s="169">
        <f>IFERROR(MATCH(J2778,'Final List'!$L$4:$L$252,0),0)</f>
        <v>0</v>
      </c>
      <c r="Q2778" s="169">
        <f>IFERROR(MATCH(J2778,'Final List'!$N$4:$N$252,0),0)</f>
        <v>0</v>
      </c>
      <c r="R2778" s="169">
        <f>IFERROR(MATCH(J2778,'Final List'!$P$4:$P$252,0),0)</f>
        <v>0</v>
      </c>
      <c r="S2778" s="169">
        <f t="shared" si="176"/>
        <v>0</v>
      </c>
      <c r="T2778" s="169" t="s">
        <v>68</v>
      </c>
      <c r="V2778" s="169" t="str">
        <f t="shared" si="174"/>
        <v>CAPUYAN 3</v>
      </c>
      <c r="W2778" s="169" t="s">
        <v>2707</v>
      </c>
    </row>
    <row r="2779" spans="2:23" x14ac:dyDescent="0.25">
      <c r="B2779" s="169" t="s">
        <v>1166</v>
      </c>
      <c r="C2779" s="169" t="s">
        <v>45</v>
      </c>
      <c r="D2779" s="169" t="s">
        <v>120</v>
      </c>
      <c r="E2779" s="169" t="s">
        <v>19</v>
      </c>
      <c r="F2779" s="245" t="str">
        <f t="shared" si="175"/>
        <v>DVR 72</v>
      </c>
      <c r="G2779" s="169" t="s">
        <v>368</v>
      </c>
      <c r="H2779" s="169" t="s">
        <v>447</v>
      </c>
      <c r="I2779" s="169" t="str">
        <f t="shared" si="173"/>
        <v>L11_DPVE_015E_RAISE</v>
      </c>
      <c r="J2779" s="169" t="s">
        <v>12135</v>
      </c>
      <c r="K2779" s="169">
        <f>IFERROR(MATCH(J2779,'Final List'!$B$4:$B$252,0),0)</f>
        <v>0</v>
      </c>
      <c r="L2779" s="169">
        <f>IFERROR(MATCH(J2779,'Final List'!$D$4:$D$252,0),0)</f>
        <v>0</v>
      </c>
      <c r="M2779" s="169">
        <f>IFERROR(MATCH(J2779,'Final List'!$F$4:$F$251,0),0)</f>
        <v>0</v>
      </c>
      <c r="N2779" s="169">
        <f>IFERROR(MATCH(J2779,'Final List'!$H$4:$H$252,0),0)</f>
        <v>0</v>
      </c>
      <c r="O2779" s="169">
        <f>IFERROR(MATCH(J2779,'Final List'!$J$4:$J$252,0),0)</f>
        <v>0</v>
      </c>
      <c r="P2779" s="169">
        <f>IFERROR(MATCH(J2779,'Final List'!$L$4:$L$252,0),0)</f>
        <v>0</v>
      </c>
      <c r="Q2779" s="169">
        <f>IFERROR(MATCH(J2779,'Final List'!$N$4:$N$252,0),0)</f>
        <v>0</v>
      </c>
      <c r="R2779" s="169">
        <f>IFERROR(MATCH(J2779,'Final List'!$P$4:$P$252,0),0)</f>
        <v>0</v>
      </c>
      <c r="S2779" s="169">
        <f t="shared" si="176"/>
        <v>0</v>
      </c>
      <c r="V2779" s="169" t="str">
        <f t="shared" si="174"/>
        <v>COMAINGKING 1</v>
      </c>
      <c r="W2779" s="169" t="s">
        <v>2715</v>
      </c>
    </row>
    <row r="2780" spans="2:23" x14ac:dyDescent="0.25">
      <c r="B2780" s="169" t="s">
        <v>96</v>
      </c>
      <c r="C2780" s="169" t="s">
        <v>42</v>
      </c>
      <c r="D2780" s="169" t="s">
        <v>197</v>
      </c>
      <c r="E2780" s="169" t="s">
        <v>62</v>
      </c>
      <c r="F2780" s="245" t="str">
        <f t="shared" si="175"/>
        <v>RobS 79</v>
      </c>
      <c r="G2780" s="169" t="s">
        <v>344</v>
      </c>
      <c r="H2780" s="169" t="s">
        <v>6216</v>
      </c>
      <c r="I2780" s="169" t="str">
        <f t="shared" si="173"/>
        <v>L09_JV_070E_ROBBING</v>
      </c>
      <c r="J2780" s="169" t="s">
        <v>11897</v>
      </c>
      <c r="K2780" s="169">
        <f>IFERROR(MATCH(J2780,'Final List'!$B$4:$B$252,0),0)</f>
        <v>0</v>
      </c>
      <c r="L2780" s="169">
        <f>IFERROR(MATCH(J2780,'Final List'!$D$4:$D$252,0),0)</f>
        <v>0</v>
      </c>
      <c r="M2780" s="169">
        <f>IFERROR(MATCH(J2780,'Final List'!$F$4:$F$251,0),0)</f>
        <v>0</v>
      </c>
      <c r="N2780" s="169">
        <f>IFERROR(MATCH(J2780,'Final List'!$H$4:$H$252,0),0)</f>
        <v>0</v>
      </c>
      <c r="O2780" s="169">
        <f>IFERROR(MATCH(J2780,'Final List'!$J$4:$J$252,0),0)</f>
        <v>0</v>
      </c>
      <c r="P2780" s="169">
        <f>IFERROR(MATCH(J2780,'Final List'!$L$4:$L$252,0),0)</f>
        <v>0</v>
      </c>
      <c r="Q2780" s="169">
        <f>IFERROR(MATCH(J2780,'Final List'!$N$4:$N$252,0),0)</f>
        <v>0</v>
      </c>
      <c r="R2780" s="169">
        <f>IFERROR(MATCH(J2780,'Final List'!$P$4:$P$252,0),0)</f>
        <v>0</v>
      </c>
      <c r="S2780" s="169">
        <f t="shared" si="176"/>
        <v>0</v>
      </c>
      <c r="T2780" s="169" t="s">
        <v>68</v>
      </c>
      <c r="V2780" s="169" t="str">
        <f t="shared" si="174"/>
        <v>FERNANDEZ</v>
      </c>
      <c r="W2780" s="169" t="s">
        <v>2707</v>
      </c>
    </row>
    <row r="2781" spans="2:23" x14ac:dyDescent="0.25">
      <c r="B2781" s="169" t="s">
        <v>1167</v>
      </c>
      <c r="C2781" s="169" t="s">
        <v>87</v>
      </c>
      <c r="D2781" s="169" t="s">
        <v>5604</v>
      </c>
      <c r="E2781" s="169" t="s">
        <v>37</v>
      </c>
      <c r="F2781" s="245" t="str">
        <f t="shared" si="175"/>
        <v>Dhoz 71</v>
      </c>
      <c r="G2781" s="169" t="s">
        <v>6930</v>
      </c>
      <c r="I2781" s="169" t="str">
        <f t="shared" si="173"/>
        <v>L12_NONE_063E_XCN</v>
      </c>
      <c r="J2781" s="169" t="s">
        <v>11898</v>
      </c>
      <c r="K2781" s="169">
        <f>IFERROR(MATCH(J2781,'Final List'!$B$4:$B$252,0),0)</f>
        <v>0</v>
      </c>
      <c r="L2781" s="169">
        <f>IFERROR(MATCH(J2781,'Final List'!$D$4:$D$252,0),0)</f>
        <v>0</v>
      </c>
      <c r="M2781" s="169">
        <f>IFERROR(MATCH(J2781,'Final List'!$F$4:$F$251,0),0)</f>
        <v>0</v>
      </c>
      <c r="N2781" s="169">
        <f>IFERROR(MATCH(J2781,'Final List'!$H$4:$H$252,0),0)</f>
        <v>0</v>
      </c>
      <c r="O2781" s="169">
        <f>IFERROR(MATCH(J2781,'Final List'!$J$4:$J$252,0),0)</f>
        <v>0</v>
      </c>
      <c r="P2781" s="169">
        <f>IFERROR(MATCH(J2781,'Final List'!$L$4:$L$252,0),0)</f>
        <v>0</v>
      </c>
      <c r="Q2781" s="169">
        <f>IFERROR(MATCH(J2781,'Final List'!$N$4:$N$252,0),0)</f>
        <v>0</v>
      </c>
      <c r="R2781" s="169">
        <f>IFERROR(MATCH(J2781,'Final List'!$P$4:$P$252,0),0)</f>
        <v>0</v>
      </c>
      <c r="S2781" s="169">
        <f t="shared" si="176"/>
        <v>0</v>
      </c>
      <c r="V2781" s="169" t="str">
        <f t="shared" si="174"/>
        <v>DUHIG, P1</v>
      </c>
      <c r="W2781" s="169" t="s">
        <v>8898</v>
      </c>
    </row>
    <row r="2782" spans="2:23" x14ac:dyDescent="0.25">
      <c r="B2782" s="169" t="s">
        <v>95</v>
      </c>
      <c r="C2782" s="169" t="s">
        <v>59</v>
      </c>
      <c r="D2782" s="169" t="s">
        <v>5844</v>
      </c>
      <c r="E2782" s="169" t="s">
        <v>62</v>
      </c>
      <c r="F2782" s="245" t="str">
        <f t="shared" si="175"/>
        <v>RobC 80</v>
      </c>
      <c r="G2782" s="169" t="s">
        <v>577</v>
      </c>
      <c r="I2782" s="169" t="str">
        <f t="shared" si="173"/>
        <v>L08_GHVHW_009W_ROBBING</v>
      </c>
      <c r="J2782" s="169" t="s">
        <v>11901</v>
      </c>
      <c r="K2782" s="169">
        <f>IFERROR(MATCH(J2782,'Final List'!$B$4:$B$252,0),0)</f>
        <v>0</v>
      </c>
      <c r="L2782" s="169">
        <f>IFERROR(MATCH(J2782,'Final List'!$D$4:$D$252,0),0)</f>
        <v>0</v>
      </c>
      <c r="M2782" s="169">
        <f>IFERROR(MATCH(J2782,'Final List'!$F$4:$F$251,0),0)</f>
        <v>0</v>
      </c>
      <c r="N2782" s="169">
        <f>IFERROR(MATCH(J2782,'Final List'!$H$4:$H$252,0),0)</f>
        <v>0</v>
      </c>
      <c r="O2782" s="169">
        <f>IFERROR(MATCH(J2782,'Final List'!$J$4:$J$252,0),0)</f>
        <v>0</v>
      </c>
      <c r="P2782" s="169">
        <f>IFERROR(MATCH(J2782,'Final List'!$L$4:$L$252,0),0)</f>
        <v>0</v>
      </c>
      <c r="Q2782" s="169">
        <f>IFERROR(MATCH(J2782,'Final List'!$N$4:$N$252,0),0)</f>
        <v>0</v>
      </c>
      <c r="R2782" s="169">
        <f>IFERROR(MATCH(J2782,'Final List'!$P$4:$P$252,0),0)</f>
        <v>0</v>
      </c>
      <c r="S2782" s="169">
        <f t="shared" si="176"/>
        <v>0</v>
      </c>
      <c r="T2782" s="169" t="s">
        <v>48</v>
      </c>
      <c r="V2782" s="169" t="str">
        <f t="shared" si="174"/>
        <v>CARIKITAN 1</v>
      </c>
      <c r="W2782" s="169" t="s">
        <v>236</v>
      </c>
    </row>
    <row r="2783" spans="2:23" x14ac:dyDescent="0.25">
      <c r="B2783" s="169" t="s">
        <v>258</v>
      </c>
      <c r="C2783" s="169" t="s">
        <v>45</v>
      </c>
      <c r="D2783" s="169" t="s">
        <v>143</v>
      </c>
      <c r="E2783" s="169" t="s">
        <v>62</v>
      </c>
      <c r="F2783" s="245" t="str">
        <f t="shared" si="175"/>
        <v>RobS 79</v>
      </c>
      <c r="G2783" s="169" t="s">
        <v>11753</v>
      </c>
      <c r="I2783" s="169" t="str">
        <f t="shared" si="173"/>
        <v>L10_DPVE_032E_ROBBING</v>
      </c>
      <c r="J2783" s="169" t="s">
        <v>11902</v>
      </c>
      <c r="K2783" s="169">
        <f>IFERROR(MATCH(J2783,'Final List'!$B$4:$B$252,0),0)</f>
        <v>0</v>
      </c>
      <c r="L2783" s="169">
        <f>IFERROR(MATCH(J2783,'Final List'!$D$4:$D$252,0),0)</f>
        <v>0</v>
      </c>
      <c r="M2783" s="169">
        <f>IFERROR(MATCH(J2783,'Final List'!$F$4:$F$251,0),0)</f>
        <v>0</v>
      </c>
      <c r="N2783" s="169">
        <f>IFERROR(MATCH(J2783,'Final List'!$H$4:$H$252,0),0)</f>
        <v>0</v>
      </c>
      <c r="O2783" s="169">
        <f>IFERROR(MATCH(J2783,'Final List'!$J$4:$J$252,0),0)</f>
        <v>0</v>
      </c>
      <c r="P2783" s="169">
        <f>IFERROR(MATCH(J2783,'Final List'!$L$4:$L$252,0),0)</f>
        <v>0</v>
      </c>
      <c r="Q2783" s="169">
        <f>IFERROR(MATCH(J2783,'Final List'!$N$4:$N$252,0),0)</f>
        <v>0</v>
      </c>
      <c r="R2783" s="169">
        <f>IFERROR(MATCH(J2783,'Final List'!$P$4:$P$252,0),0)</f>
        <v>0</v>
      </c>
      <c r="S2783" s="169">
        <f t="shared" si="176"/>
        <v>0</v>
      </c>
      <c r="T2783" s="169" t="s">
        <v>68</v>
      </c>
      <c r="V2783" s="169" t="str">
        <f t="shared" si="174"/>
        <v>SHEPHERD BB1</v>
      </c>
      <c r="W2783" s="169" t="s">
        <v>2707</v>
      </c>
    </row>
    <row r="2784" spans="2:23" x14ac:dyDescent="0.25">
      <c r="B2784" s="169" t="s">
        <v>96</v>
      </c>
      <c r="C2784" s="169" t="s">
        <v>45</v>
      </c>
      <c r="D2784" s="169" t="s">
        <v>5975</v>
      </c>
      <c r="E2784" s="169" t="s">
        <v>6143</v>
      </c>
      <c r="F2784" s="245" t="str">
        <f t="shared" si="175"/>
        <v>Dhoz 71</v>
      </c>
      <c r="G2784" s="169" t="s">
        <v>746</v>
      </c>
      <c r="I2784" s="169" t="str">
        <f t="shared" si="173"/>
        <v>L09_DPVE_028E_DE_ISL</v>
      </c>
      <c r="J2784" s="169" t="s">
        <v>11906</v>
      </c>
      <c r="K2784" s="169">
        <f>IFERROR(MATCH(J2784,'Final List'!$B$4:$B$252,0),0)</f>
        <v>0</v>
      </c>
      <c r="L2784" s="169">
        <f>IFERROR(MATCH(J2784,'Final List'!$D$4:$D$252,0),0)</f>
        <v>0</v>
      </c>
      <c r="M2784" s="169">
        <f>IFERROR(MATCH(J2784,'Final List'!$F$4:$F$251,0),0)</f>
        <v>0</v>
      </c>
      <c r="N2784" s="169">
        <f>IFERROR(MATCH(J2784,'Final List'!$H$4:$H$252,0),0)</f>
        <v>0</v>
      </c>
      <c r="O2784" s="169">
        <f>IFERROR(MATCH(J2784,'Final List'!$J$4:$J$252,0),0)</f>
        <v>0</v>
      </c>
      <c r="P2784" s="169">
        <f>IFERROR(MATCH(J2784,'Final List'!$L$4:$L$252,0),0)</f>
        <v>0</v>
      </c>
      <c r="Q2784" s="169">
        <f>IFERROR(MATCH(J2784,'Final List'!$N$4:$N$252,0),0)</f>
        <v>0</v>
      </c>
      <c r="R2784" s="169">
        <f>IFERROR(MATCH(J2784,'Final List'!$P$4:$P$252,0),0)</f>
        <v>0</v>
      </c>
      <c r="S2784" s="169">
        <f t="shared" si="176"/>
        <v>0</v>
      </c>
      <c r="V2784" s="169" t="str">
        <f t="shared" si="174"/>
        <v>CANOY 1</v>
      </c>
      <c r="W2784" s="169" t="s">
        <v>2708</v>
      </c>
    </row>
    <row r="2785" spans="2:23" x14ac:dyDescent="0.25">
      <c r="B2785" s="169" t="s">
        <v>258</v>
      </c>
      <c r="C2785" s="169" t="s">
        <v>42</v>
      </c>
      <c r="D2785" s="169" t="s">
        <v>166</v>
      </c>
      <c r="E2785" s="169" t="s">
        <v>60</v>
      </c>
      <c r="F2785" s="245" t="str">
        <f t="shared" si="175"/>
        <v>Dhoz 71</v>
      </c>
      <c r="G2785" s="169" t="s">
        <v>5702</v>
      </c>
      <c r="I2785" s="169" t="str">
        <f t="shared" si="173"/>
        <v>L10_JV_068E_DE</v>
      </c>
      <c r="J2785" s="169" t="s">
        <v>11907</v>
      </c>
      <c r="K2785" s="169">
        <f>IFERROR(MATCH(J2785,'Final List'!$B$4:$B$252,0),0)</f>
        <v>0</v>
      </c>
      <c r="L2785" s="169">
        <f>IFERROR(MATCH(J2785,'Final List'!$D$4:$D$252,0),0)</f>
        <v>0</v>
      </c>
      <c r="M2785" s="169">
        <f>IFERROR(MATCH(J2785,'Final List'!$F$4:$F$251,0),0)</f>
        <v>0</v>
      </c>
      <c r="N2785" s="169">
        <f>IFERROR(MATCH(J2785,'Final List'!$H$4:$H$252,0),0)</f>
        <v>0</v>
      </c>
      <c r="O2785" s="169">
        <f>IFERROR(MATCH(J2785,'Final List'!$J$4:$J$252,0),0)</f>
        <v>0</v>
      </c>
      <c r="P2785" s="169">
        <f>IFERROR(MATCH(J2785,'Final List'!$L$4:$L$252,0),0)</f>
        <v>0</v>
      </c>
      <c r="Q2785" s="169">
        <f>IFERROR(MATCH(J2785,'Final List'!$N$4:$N$252,0),0)</f>
        <v>0</v>
      </c>
      <c r="R2785" s="169">
        <f>IFERROR(MATCH(J2785,'Final List'!$P$4:$P$252,0),0)</f>
        <v>0</v>
      </c>
      <c r="S2785" s="169">
        <f t="shared" si="176"/>
        <v>0</v>
      </c>
      <c r="V2785" s="169" t="str">
        <f t="shared" si="174"/>
        <v>LARGO 3</v>
      </c>
      <c r="W2785" s="169" t="s">
        <v>8896</v>
      </c>
    </row>
    <row r="2786" spans="2:23" x14ac:dyDescent="0.25">
      <c r="B2786" s="169" t="s">
        <v>1167</v>
      </c>
      <c r="C2786" s="169" t="s">
        <v>43</v>
      </c>
      <c r="D2786" s="169" t="s">
        <v>164</v>
      </c>
      <c r="E2786" s="169" t="s">
        <v>19</v>
      </c>
      <c r="F2786" s="245" t="str">
        <f t="shared" si="175"/>
        <v>DVR 72</v>
      </c>
      <c r="G2786" s="169" t="s">
        <v>636</v>
      </c>
      <c r="H2786" s="169" t="s">
        <v>337</v>
      </c>
      <c r="I2786" s="169" t="str">
        <f t="shared" si="173"/>
        <v>L12_GHVSPLIT_064E_RAISE</v>
      </c>
      <c r="J2786" s="169" t="s">
        <v>12889</v>
      </c>
      <c r="K2786" s="169">
        <f>IFERROR(MATCH(J2786,'Final List'!$B$4:$B$252,0),0)</f>
        <v>0</v>
      </c>
      <c r="L2786" s="169">
        <f>IFERROR(MATCH(J2786,'Final List'!$D$4:$D$252,0),0)</f>
        <v>0</v>
      </c>
      <c r="M2786" s="169">
        <f>IFERROR(MATCH(J2786,'Final List'!$F$4:$F$251,0),0)</f>
        <v>0</v>
      </c>
      <c r="N2786" s="169">
        <f>IFERROR(MATCH(J2786,'Final List'!$H$4:$H$252,0),0)</f>
        <v>0</v>
      </c>
      <c r="O2786" s="169">
        <f>IFERROR(MATCH(J2786,'Final List'!$J$4:$J$252,0),0)</f>
        <v>0</v>
      </c>
      <c r="P2786" s="169">
        <f>IFERROR(MATCH(J2786,'Final List'!$L$4:$L$252,0),0)</f>
        <v>0</v>
      </c>
      <c r="Q2786" s="169">
        <f>IFERROR(MATCH(J2786,'Final List'!$N$4:$N$252,0),0)</f>
        <v>0</v>
      </c>
      <c r="R2786" s="169">
        <f>IFERROR(MATCH(J2786,'Final List'!$P$4:$P$252,0),0)</f>
        <v>0</v>
      </c>
      <c r="S2786" s="169">
        <f t="shared" si="176"/>
        <v>0</v>
      </c>
      <c r="V2786" s="169" t="str">
        <f t="shared" si="174"/>
        <v>BALANGHIG 2</v>
      </c>
      <c r="W2786" s="169" t="s">
        <v>2715</v>
      </c>
    </row>
    <row r="2787" spans="2:23" x14ac:dyDescent="0.25">
      <c r="B2787" s="169" t="s">
        <v>1166</v>
      </c>
      <c r="C2787" s="169" t="s">
        <v>42</v>
      </c>
      <c r="D2787" s="169" t="s">
        <v>175</v>
      </c>
      <c r="E2787" s="169" t="s">
        <v>36</v>
      </c>
      <c r="F2787" s="245" t="str">
        <f t="shared" si="175"/>
        <v>StpS 77</v>
      </c>
      <c r="G2787" s="169" t="s">
        <v>352</v>
      </c>
      <c r="I2787" s="169" t="str">
        <f t="shared" si="173"/>
        <v>L11_JV_060E_STOPE</v>
      </c>
      <c r="J2787" s="169" t="s">
        <v>12004</v>
      </c>
      <c r="K2787" s="169">
        <f>IFERROR(MATCH(J2787,'Final List'!$B$4:$B$252,0),0)</f>
        <v>0</v>
      </c>
      <c r="L2787" s="169">
        <f>IFERROR(MATCH(J2787,'Final List'!$D$4:$D$252,0),0)</f>
        <v>0</v>
      </c>
      <c r="M2787" s="169">
        <f>IFERROR(MATCH(J2787,'Final List'!$F$4:$F$251,0),0)</f>
        <v>0</v>
      </c>
      <c r="N2787" s="169">
        <f>IFERROR(MATCH(J2787,'Final List'!$H$4:$H$252,0),0)</f>
        <v>0</v>
      </c>
      <c r="O2787" s="169">
        <f>IFERROR(MATCH(J2787,'Final List'!$J$4:$J$252,0),0)</f>
        <v>0</v>
      </c>
      <c r="P2787" s="169">
        <f>IFERROR(MATCH(J2787,'Final List'!$L$4:$L$252,0),0)</f>
        <v>0</v>
      </c>
      <c r="Q2787" s="169">
        <f>IFERROR(MATCH(J2787,'Final List'!$N$4:$N$252,0),0)</f>
        <v>0</v>
      </c>
      <c r="R2787" s="169">
        <f>IFERROR(MATCH(J2787,'Final List'!$P$4:$P$252,0),0)</f>
        <v>0</v>
      </c>
      <c r="S2787" s="169">
        <f t="shared" si="176"/>
        <v>0</v>
      </c>
      <c r="T2787" s="169" t="s">
        <v>68</v>
      </c>
      <c r="V2787" s="169" t="str">
        <f t="shared" si="174"/>
        <v>BAÑEZ 5</v>
      </c>
      <c r="W2787" s="169" t="s">
        <v>2713</v>
      </c>
    </row>
    <row r="2788" spans="2:23" x14ac:dyDescent="0.25">
      <c r="B2788" s="169" t="s">
        <v>8904</v>
      </c>
      <c r="C2788" s="169" t="s">
        <v>57</v>
      </c>
      <c r="D2788" s="169" t="s">
        <v>102</v>
      </c>
      <c r="E2788" s="169" t="s">
        <v>62</v>
      </c>
      <c r="F2788" s="245" t="str">
        <f t="shared" si="175"/>
        <v>RobS 79</v>
      </c>
      <c r="G2788" s="169" t="s">
        <v>9366</v>
      </c>
      <c r="I2788" s="169" t="str">
        <f t="shared" si="173"/>
        <v>L03_JVSPLIT_034W_ROBBING</v>
      </c>
      <c r="J2788" s="169" t="s">
        <v>11915</v>
      </c>
      <c r="K2788" s="169">
        <f>IFERROR(MATCH(J2788,'Final List'!$B$4:$B$252,0),0)</f>
        <v>0</v>
      </c>
      <c r="L2788" s="169">
        <f>IFERROR(MATCH(J2788,'Final List'!$D$4:$D$252,0),0)</f>
        <v>0</v>
      </c>
      <c r="M2788" s="169">
        <f>IFERROR(MATCH(J2788,'Final List'!$F$4:$F$251,0),0)</f>
        <v>0</v>
      </c>
      <c r="N2788" s="169">
        <f>IFERROR(MATCH(J2788,'Final List'!$H$4:$H$252,0),0)</f>
        <v>0</v>
      </c>
      <c r="O2788" s="169">
        <f>IFERROR(MATCH(J2788,'Final List'!$J$4:$J$252,0),0)</f>
        <v>0</v>
      </c>
      <c r="P2788" s="169">
        <f>IFERROR(MATCH(J2788,'Final List'!$L$4:$L$252,0),0)</f>
        <v>0</v>
      </c>
      <c r="Q2788" s="169">
        <f>IFERROR(MATCH(J2788,'Final List'!$N$4:$N$252,0),0)</f>
        <v>0</v>
      </c>
      <c r="R2788" s="169">
        <f>IFERROR(MATCH(J2788,'Final List'!$P$4:$P$252,0),0)</f>
        <v>0</v>
      </c>
      <c r="S2788" s="169">
        <f t="shared" si="176"/>
        <v>0</v>
      </c>
      <c r="T2788" s="169" t="s">
        <v>68</v>
      </c>
      <c r="V2788" s="169" t="str">
        <f t="shared" si="174"/>
        <v>FERNANDEZ, RM 2</v>
      </c>
      <c r="W2788" s="169" t="s">
        <v>2707</v>
      </c>
    </row>
    <row r="2789" spans="2:23" x14ac:dyDescent="0.25">
      <c r="B2789" s="169" t="s">
        <v>95</v>
      </c>
      <c r="C2789" s="169" t="s">
        <v>59</v>
      </c>
      <c r="D2789" s="169" t="s">
        <v>140</v>
      </c>
      <c r="E2789" s="169" t="s">
        <v>20</v>
      </c>
      <c r="F2789" s="245" t="str">
        <f t="shared" si="175"/>
        <v>DVW 74</v>
      </c>
      <c r="G2789" s="169" t="s">
        <v>9753</v>
      </c>
      <c r="I2789" s="169" t="str">
        <f t="shared" si="173"/>
        <v>L08_GHVHW_005W_WINZE</v>
      </c>
      <c r="J2789" s="169" t="s">
        <v>11917</v>
      </c>
      <c r="K2789" s="169">
        <f>IFERROR(MATCH(J2789,'Final List'!$B$4:$B$252,0),0)</f>
        <v>0</v>
      </c>
      <c r="L2789" s="169">
        <f>IFERROR(MATCH(J2789,'Final List'!$D$4:$D$252,0),0)</f>
        <v>0</v>
      </c>
      <c r="M2789" s="169">
        <f>IFERROR(MATCH(J2789,'Final List'!$F$4:$F$251,0),0)</f>
        <v>0</v>
      </c>
      <c r="N2789" s="169">
        <f>IFERROR(MATCH(J2789,'Final List'!$H$4:$H$252,0),0)</f>
        <v>0</v>
      </c>
      <c r="O2789" s="169">
        <f>IFERROR(MATCH(J2789,'Final List'!$J$4:$J$252,0),0)</f>
        <v>0</v>
      </c>
      <c r="P2789" s="169">
        <f>IFERROR(MATCH(J2789,'Final List'!$L$4:$L$252,0),0)</f>
        <v>0</v>
      </c>
      <c r="Q2789" s="169">
        <f>IFERROR(MATCH(J2789,'Final List'!$N$4:$N$252,0),0)</f>
        <v>0</v>
      </c>
      <c r="R2789" s="169">
        <f>IFERROR(MATCH(J2789,'Final List'!$P$4:$P$252,0),0)</f>
        <v>0</v>
      </c>
      <c r="S2789" s="169">
        <f t="shared" si="176"/>
        <v>0</v>
      </c>
      <c r="V2789" s="169" t="str">
        <f t="shared" si="174"/>
        <v>CAPUYAN 2</v>
      </c>
      <c r="W2789" s="169" t="s">
        <v>2706</v>
      </c>
    </row>
    <row r="2790" spans="2:23" x14ac:dyDescent="0.25">
      <c r="B2790" s="169" t="s">
        <v>1166</v>
      </c>
      <c r="C2790" s="169" t="s">
        <v>45</v>
      </c>
      <c r="D2790" s="169" t="s">
        <v>120</v>
      </c>
      <c r="E2790" s="169" t="s">
        <v>61</v>
      </c>
      <c r="F2790" s="245" t="str">
        <f t="shared" si="175"/>
        <v>Dhoz 71</v>
      </c>
      <c r="G2790" s="169" t="s">
        <v>5698</v>
      </c>
      <c r="H2790" s="169" t="s">
        <v>488</v>
      </c>
      <c r="I2790" s="169" t="str">
        <f t="shared" si="173"/>
        <v>L11_DPVE_015E_DW</v>
      </c>
      <c r="J2790" s="169" t="s">
        <v>11920</v>
      </c>
      <c r="K2790" s="169">
        <f>IFERROR(MATCH(J2790,'Final List'!$B$4:$B$252,0),0)</f>
        <v>0</v>
      </c>
      <c r="L2790" s="169">
        <f>IFERROR(MATCH(J2790,'Final List'!$D$4:$D$252,0),0)</f>
        <v>0</v>
      </c>
      <c r="M2790" s="169">
        <f>IFERROR(MATCH(J2790,'Final List'!$F$4:$F$251,0),0)</f>
        <v>0</v>
      </c>
      <c r="N2790" s="169">
        <f>IFERROR(MATCH(J2790,'Final List'!$H$4:$H$252,0),0)</f>
        <v>0</v>
      </c>
      <c r="O2790" s="169">
        <f>IFERROR(MATCH(J2790,'Final List'!$J$4:$J$252,0),0)</f>
        <v>0</v>
      </c>
      <c r="P2790" s="169">
        <f>IFERROR(MATCH(J2790,'Final List'!$L$4:$L$252,0),0)</f>
        <v>0</v>
      </c>
      <c r="Q2790" s="169">
        <f>IFERROR(MATCH(J2790,'Final List'!$N$4:$N$252,0),0)</f>
        <v>0</v>
      </c>
      <c r="R2790" s="169">
        <f>IFERROR(MATCH(J2790,'Final List'!$P$4:$P$252,0),0)</f>
        <v>0</v>
      </c>
      <c r="S2790" s="169">
        <f t="shared" si="176"/>
        <v>0</v>
      </c>
      <c r="V2790" s="169" t="str">
        <f t="shared" si="174"/>
        <v>BAÑEZ 9</v>
      </c>
      <c r="W2790" s="169" t="s">
        <v>8896</v>
      </c>
    </row>
    <row r="2791" spans="2:23" x14ac:dyDescent="0.25">
      <c r="B2791" s="169" t="s">
        <v>258</v>
      </c>
      <c r="C2791" s="169" t="s">
        <v>45</v>
      </c>
      <c r="D2791" s="169" t="s">
        <v>11925</v>
      </c>
      <c r="E2791" s="169" t="s">
        <v>60</v>
      </c>
      <c r="F2791" s="245" t="str">
        <f t="shared" si="175"/>
        <v>Dhoz 71</v>
      </c>
      <c r="G2791" s="169" t="s">
        <v>10502</v>
      </c>
      <c r="I2791" s="169" t="str">
        <f t="shared" si="173"/>
        <v>L10_DPVE_103E_DE</v>
      </c>
      <c r="J2791" s="169" t="s">
        <v>11924</v>
      </c>
      <c r="K2791" s="169">
        <f>IFERROR(MATCH(J2791,'Final List'!$B$4:$B$252,0),0)</f>
        <v>0</v>
      </c>
      <c r="L2791" s="169">
        <f>IFERROR(MATCH(J2791,'Final List'!$D$4:$D$252,0),0)</f>
        <v>0</v>
      </c>
      <c r="M2791" s="169">
        <f>IFERROR(MATCH(J2791,'Final List'!$F$4:$F$251,0),0)</f>
        <v>0</v>
      </c>
      <c r="N2791" s="169">
        <f>IFERROR(MATCH(J2791,'Final List'!$H$4:$H$252,0),0)</f>
        <v>0</v>
      </c>
      <c r="O2791" s="169">
        <f>IFERROR(MATCH(J2791,'Final List'!$J$4:$J$252,0),0)</f>
        <v>0</v>
      </c>
      <c r="P2791" s="169">
        <f>IFERROR(MATCH(J2791,'Final List'!$L$4:$L$252,0),0)</f>
        <v>0</v>
      </c>
      <c r="Q2791" s="169">
        <f>IFERROR(MATCH(J2791,'Final List'!$N$4:$N$252,0),0)</f>
        <v>0</v>
      </c>
      <c r="R2791" s="169">
        <f>IFERROR(MATCH(J2791,'Final List'!$P$4:$P$252,0),0)</f>
        <v>0</v>
      </c>
      <c r="S2791" s="169">
        <f t="shared" si="176"/>
        <v>0</v>
      </c>
      <c r="V2791" s="169" t="str">
        <f t="shared" si="174"/>
        <v>SHEPHERD AX</v>
      </c>
      <c r="W2791" s="169" t="s">
        <v>8896</v>
      </c>
    </row>
    <row r="2792" spans="2:23" x14ac:dyDescent="0.25">
      <c r="B2792" s="169" t="s">
        <v>258</v>
      </c>
      <c r="C2792" s="169" t="s">
        <v>45</v>
      </c>
      <c r="D2792" s="169" t="s">
        <v>129</v>
      </c>
      <c r="E2792" s="169" t="s">
        <v>20</v>
      </c>
      <c r="F2792" s="245" t="str">
        <f t="shared" si="175"/>
        <v>DVW 74</v>
      </c>
      <c r="G2792" s="169" t="s">
        <v>10896</v>
      </c>
      <c r="I2792" s="169" t="str">
        <f t="shared" si="173"/>
        <v>L10_DPVE_010E_WINZE</v>
      </c>
      <c r="J2792" s="169" t="s">
        <v>11926</v>
      </c>
      <c r="K2792" s="169">
        <f>IFERROR(MATCH(J2792,'Final List'!$B$4:$B$252,0),0)</f>
        <v>0</v>
      </c>
      <c r="L2792" s="169">
        <f>IFERROR(MATCH(J2792,'Final List'!$D$4:$D$252,0),0)</f>
        <v>0</v>
      </c>
      <c r="M2792" s="169">
        <f>IFERROR(MATCH(J2792,'Final List'!$F$4:$F$251,0),0)</f>
        <v>0</v>
      </c>
      <c r="N2792" s="169">
        <f>IFERROR(MATCH(J2792,'Final List'!$H$4:$H$252,0),0)</f>
        <v>0</v>
      </c>
      <c r="O2792" s="169">
        <f>IFERROR(MATCH(J2792,'Final List'!$J$4:$J$252,0),0)</f>
        <v>0</v>
      </c>
      <c r="P2792" s="169">
        <f>IFERROR(MATCH(J2792,'Final List'!$L$4:$L$252,0),0)</f>
        <v>0</v>
      </c>
      <c r="Q2792" s="169">
        <f>IFERROR(MATCH(J2792,'Final List'!$N$4:$N$252,0),0)</f>
        <v>0</v>
      </c>
      <c r="R2792" s="169">
        <f>IFERROR(MATCH(J2792,'Final List'!$P$4:$P$252,0),0)</f>
        <v>0</v>
      </c>
      <c r="S2792" s="169">
        <f t="shared" si="176"/>
        <v>0</v>
      </c>
      <c r="V2792" s="169" t="str">
        <f t="shared" si="174"/>
        <v>SHEPHERD BC 2</v>
      </c>
      <c r="W2792" s="169" t="s">
        <v>2706</v>
      </c>
    </row>
    <row r="2793" spans="2:23" x14ac:dyDescent="0.25">
      <c r="B2793" s="169" t="s">
        <v>96</v>
      </c>
      <c r="C2793" s="169" t="s">
        <v>45</v>
      </c>
      <c r="D2793" s="169" t="s">
        <v>166</v>
      </c>
      <c r="E2793" s="169" t="s">
        <v>20</v>
      </c>
      <c r="F2793" s="245" t="str">
        <f t="shared" si="175"/>
        <v>DVW 74</v>
      </c>
      <c r="G2793" s="169" t="s">
        <v>10253</v>
      </c>
      <c r="I2793" s="169" t="str">
        <f t="shared" si="173"/>
        <v>L09_DPVE_068E_WINZE</v>
      </c>
      <c r="J2793" s="169" t="s">
        <v>11927</v>
      </c>
      <c r="K2793" s="169">
        <f>IFERROR(MATCH(J2793,'Final List'!$B$4:$B$252,0),0)</f>
        <v>0</v>
      </c>
      <c r="L2793" s="169">
        <f>IFERROR(MATCH(J2793,'Final List'!$D$4:$D$252,0),0)</f>
        <v>0</v>
      </c>
      <c r="M2793" s="169">
        <f>IFERROR(MATCH(J2793,'Final List'!$F$4:$F$251,0),0)</f>
        <v>0</v>
      </c>
      <c r="N2793" s="169">
        <f>IFERROR(MATCH(J2793,'Final List'!$H$4:$H$252,0),0)</f>
        <v>0</v>
      </c>
      <c r="O2793" s="169">
        <f>IFERROR(MATCH(J2793,'Final List'!$J$4:$J$252,0),0)</f>
        <v>0</v>
      </c>
      <c r="P2793" s="169">
        <f>IFERROR(MATCH(J2793,'Final List'!$L$4:$L$252,0),0)</f>
        <v>0</v>
      </c>
      <c r="Q2793" s="169">
        <f>IFERROR(MATCH(J2793,'Final List'!$N$4:$N$252,0),0)</f>
        <v>0</v>
      </c>
      <c r="R2793" s="169">
        <f>IFERROR(MATCH(J2793,'Final List'!$P$4:$P$252,0),0)</f>
        <v>0</v>
      </c>
      <c r="S2793" s="169">
        <f t="shared" si="176"/>
        <v>0</v>
      </c>
      <c r="V2793" s="169" t="str">
        <f t="shared" si="174"/>
        <v>PANSIT NORMAN 4</v>
      </c>
      <c r="W2793" s="169" t="s">
        <v>2706</v>
      </c>
    </row>
    <row r="2794" spans="2:23" x14ac:dyDescent="0.25">
      <c r="B2794" s="169" t="s">
        <v>1167</v>
      </c>
      <c r="C2794" s="169" t="s">
        <v>38</v>
      </c>
      <c r="D2794" s="169" t="s">
        <v>177</v>
      </c>
      <c r="E2794" s="169" t="s">
        <v>6154</v>
      </c>
      <c r="F2794" s="245" t="str">
        <f t="shared" si="175"/>
        <v>Dhoz 71</v>
      </c>
      <c r="G2794" s="169" t="s">
        <v>4122</v>
      </c>
      <c r="I2794" s="169" t="str">
        <f t="shared" si="173"/>
        <v>L12_GHV_054E_DW_ISL</v>
      </c>
      <c r="J2794" s="169" t="s">
        <v>11932</v>
      </c>
      <c r="K2794" s="169">
        <f>IFERROR(MATCH(J2794,'Final List'!$B$4:$B$252,0),0)</f>
        <v>0</v>
      </c>
      <c r="L2794" s="169">
        <f>IFERROR(MATCH(J2794,'Final List'!$D$4:$D$252,0),0)</f>
        <v>0</v>
      </c>
      <c r="M2794" s="169">
        <f>IFERROR(MATCH(J2794,'Final List'!$F$4:$F$251,0),0)</f>
        <v>0</v>
      </c>
      <c r="N2794" s="169">
        <f>IFERROR(MATCH(J2794,'Final List'!$H$4:$H$252,0),0)</f>
        <v>0</v>
      </c>
      <c r="O2794" s="169">
        <f>IFERROR(MATCH(J2794,'Final List'!$J$4:$J$252,0),0)</f>
        <v>0</v>
      </c>
      <c r="P2794" s="169">
        <f>IFERROR(MATCH(J2794,'Final List'!$L$4:$L$252,0),0)</f>
        <v>0</v>
      </c>
      <c r="Q2794" s="169">
        <f>IFERROR(MATCH(J2794,'Final List'!$N$4:$N$252,0),0)</f>
        <v>0</v>
      </c>
      <c r="R2794" s="169">
        <f>IFERROR(MATCH(J2794,'Final List'!$P$4:$P$252,0),0)</f>
        <v>0</v>
      </c>
      <c r="S2794" s="169">
        <f t="shared" si="176"/>
        <v>0</v>
      </c>
      <c r="V2794" s="169" t="str">
        <f t="shared" si="174"/>
        <v>PANCIT NOEL 2</v>
      </c>
      <c r="W2794" s="169" t="s">
        <v>2708</v>
      </c>
    </row>
    <row r="2795" spans="2:23" x14ac:dyDescent="0.25">
      <c r="B2795" s="169" t="s">
        <v>8904</v>
      </c>
      <c r="C2795" s="169" t="s">
        <v>44</v>
      </c>
      <c r="D2795" s="169" t="s">
        <v>7301</v>
      </c>
      <c r="E2795" s="169" t="s">
        <v>62</v>
      </c>
      <c r="F2795" s="245" t="str">
        <f t="shared" si="175"/>
        <v>RobS 79</v>
      </c>
      <c r="G2795" s="169" t="s">
        <v>10885</v>
      </c>
      <c r="I2795" s="169" t="str">
        <f t="shared" si="173"/>
        <v>L03_CV_010W_ROBBING</v>
      </c>
      <c r="J2795" s="169" t="s">
        <v>11935</v>
      </c>
      <c r="K2795" s="169">
        <f>IFERROR(MATCH(J2795,'Final List'!$B$4:$B$252,0),0)</f>
        <v>0</v>
      </c>
      <c r="L2795" s="169">
        <f>IFERROR(MATCH(J2795,'Final List'!$D$4:$D$252,0),0)</f>
        <v>0</v>
      </c>
      <c r="M2795" s="169">
        <f>IFERROR(MATCH(J2795,'Final List'!$F$4:$F$251,0),0)</f>
        <v>0</v>
      </c>
      <c r="N2795" s="169">
        <f>IFERROR(MATCH(J2795,'Final List'!$H$4:$H$252,0),0)</f>
        <v>0</v>
      </c>
      <c r="O2795" s="169">
        <f>IFERROR(MATCH(J2795,'Final List'!$J$4:$J$252,0),0)</f>
        <v>0</v>
      </c>
      <c r="P2795" s="169">
        <f>IFERROR(MATCH(J2795,'Final List'!$L$4:$L$252,0),0)</f>
        <v>0</v>
      </c>
      <c r="Q2795" s="169">
        <f>IFERROR(MATCH(J2795,'Final List'!$N$4:$N$252,0),0)</f>
        <v>0</v>
      </c>
      <c r="R2795" s="169">
        <f>IFERROR(MATCH(J2795,'Final List'!$P$4:$P$252,0),0)</f>
        <v>0</v>
      </c>
      <c r="S2795" s="169">
        <f t="shared" si="176"/>
        <v>0</v>
      </c>
      <c r="T2795" s="169" t="s">
        <v>68</v>
      </c>
      <c r="V2795" s="169" t="str">
        <f t="shared" si="174"/>
        <v>FERNANDEZ, RM 7</v>
      </c>
      <c r="W2795" s="169" t="s">
        <v>2707</v>
      </c>
    </row>
    <row r="2796" spans="2:23" x14ac:dyDescent="0.25">
      <c r="B2796" s="169" t="s">
        <v>96</v>
      </c>
      <c r="C2796" s="169" t="s">
        <v>45</v>
      </c>
      <c r="D2796" s="169" t="s">
        <v>161</v>
      </c>
      <c r="E2796" s="169" t="s">
        <v>6143</v>
      </c>
      <c r="F2796" s="245" t="str">
        <f t="shared" si="175"/>
        <v>Dhoz 71</v>
      </c>
      <c r="G2796" s="169" t="s">
        <v>10888</v>
      </c>
      <c r="I2796" s="169" t="str">
        <f t="shared" si="173"/>
        <v>L09_DPVE_044E_DE_ISL</v>
      </c>
      <c r="J2796" s="169" t="s">
        <v>11937</v>
      </c>
      <c r="K2796" s="169">
        <f>IFERROR(MATCH(J2796,'Final List'!$B$4:$B$252,0),0)</f>
        <v>0</v>
      </c>
      <c r="L2796" s="169">
        <f>IFERROR(MATCH(J2796,'Final List'!$D$4:$D$252,0),0)</f>
        <v>0</v>
      </c>
      <c r="M2796" s="169">
        <f>IFERROR(MATCH(J2796,'Final List'!$F$4:$F$251,0),0)</f>
        <v>0</v>
      </c>
      <c r="N2796" s="169">
        <f>IFERROR(MATCH(J2796,'Final List'!$H$4:$H$252,0),0)</f>
        <v>0</v>
      </c>
      <c r="O2796" s="169">
        <f>IFERROR(MATCH(J2796,'Final List'!$J$4:$J$252,0),0)</f>
        <v>0</v>
      </c>
      <c r="P2796" s="169">
        <f>IFERROR(MATCH(J2796,'Final List'!$L$4:$L$252,0),0)</f>
        <v>0</v>
      </c>
      <c r="Q2796" s="169">
        <f>IFERROR(MATCH(J2796,'Final List'!$N$4:$N$252,0),0)</f>
        <v>0</v>
      </c>
      <c r="R2796" s="169">
        <f>IFERROR(MATCH(J2796,'Final List'!$P$4:$P$252,0),0)</f>
        <v>0</v>
      </c>
      <c r="S2796" s="169">
        <f t="shared" si="176"/>
        <v>0</v>
      </c>
      <c r="V2796" s="169" t="str">
        <f t="shared" si="174"/>
        <v>SHEPHERD BE 1</v>
      </c>
      <c r="W2796" s="169" t="s">
        <v>2708</v>
      </c>
    </row>
    <row r="2797" spans="2:23" x14ac:dyDescent="0.25">
      <c r="B2797" s="169" t="s">
        <v>96</v>
      </c>
      <c r="C2797" s="169" t="s">
        <v>45</v>
      </c>
      <c r="D2797" s="169" t="s">
        <v>146</v>
      </c>
      <c r="E2797" s="169" t="s">
        <v>62</v>
      </c>
      <c r="F2797" s="245" t="str">
        <f t="shared" si="175"/>
        <v>RobS 79</v>
      </c>
      <c r="G2797" s="169" t="s">
        <v>2972</v>
      </c>
      <c r="I2797" s="169" t="str">
        <f t="shared" ref="I2797:I2861" si="177">CONCATENATE(B2797,"_",C2797,"_",D2797,"_",E2797)</f>
        <v>L09_DPVE_030E_ROBBING</v>
      </c>
      <c r="J2797" s="169" t="s">
        <v>11939</v>
      </c>
      <c r="K2797" s="169">
        <f>IFERROR(MATCH(J2797,'Final List'!$B$4:$B$252,0),0)</f>
        <v>0</v>
      </c>
      <c r="L2797" s="169">
        <f>IFERROR(MATCH(J2797,'Final List'!$D$4:$D$252,0),0)</f>
        <v>0</v>
      </c>
      <c r="M2797" s="169">
        <f>IFERROR(MATCH(J2797,'Final List'!$F$4:$F$251,0),0)</f>
        <v>0</v>
      </c>
      <c r="N2797" s="169">
        <f>IFERROR(MATCH(J2797,'Final List'!$H$4:$H$252,0),0)</f>
        <v>0</v>
      </c>
      <c r="O2797" s="169">
        <f>IFERROR(MATCH(J2797,'Final List'!$J$4:$J$252,0),0)</f>
        <v>0</v>
      </c>
      <c r="P2797" s="169">
        <f>IFERROR(MATCH(J2797,'Final List'!$L$4:$L$252,0),0)</f>
        <v>0</v>
      </c>
      <c r="Q2797" s="169">
        <f>IFERROR(MATCH(J2797,'Final List'!$N$4:$N$252,0),0)</f>
        <v>0</v>
      </c>
      <c r="R2797" s="169">
        <f>IFERROR(MATCH(J2797,'Final List'!$P$4:$P$252,0),0)</f>
        <v>0</v>
      </c>
      <c r="S2797" s="169">
        <f t="shared" si="176"/>
        <v>0</v>
      </c>
      <c r="T2797" s="169" t="s">
        <v>68</v>
      </c>
      <c r="V2797" s="169" t="str">
        <f t="shared" si="174"/>
        <v>FABROA 1</v>
      </c>
      <c r="W2797" s="169" t="s">
        <v>2707</v>
      </c>
    </row>
    <row r="2798" spans="2:23" x14ac:dyDescent="0.25">
      <c r="B2798" s="169" t="s">
        <v>91</v>
      </c>
      <c r="C2798" s="169" t="s">
        <v>41</v>
      </c>
      <c r="D2798" s="169" t="s">
        <v>100</v>
      </c>
      <c r="E2798" s="169" t="s">
        <v>6143</v>
      </c>
      <c r="F2798" s="245" t="str">
        <f t="shared" si="175"/>
        <v>Dhoz 71</v>
      </c>
      <c r="G2798" s="169" t="s">
        <v>11469</v>
      </c>
      <c r="I2798" s="169" t="str">
        <f t="shared" si="177"/>
        <v>L04_CTV_020W_DE_ISL</v>
      </c>
      <c r="J2798" s="169" t="s">
        <v>11944</v>
      </c>
      <c r="K2798" s="169">
        <f>IFERROR(MATCH(J2798,'Final List'!$B$4:$B$252,0),0)</f>
        <v>0</v>
      </c>
      <c r="L2798" s="169">
        <f>IFERROR(MATCH(J2798,'Final List'!$D$4:$D$252,0),0)</f>
        <v>0</v>
      </c>
      <c r="M2798" s="169">
        <f>IFERROR(MATCH(J2798,'Final List'!$F$4:$F$251,0),0)</f>
        <v>0</v>
      </c>
      <c r="N2798" s="169">
        <f>IFERROR(MATCH(J2798,'Final List'!$H$4:$H$252,0),0)</f>
        <v>0</v>
      </c>
      <c r="O2798" s="169">
        <f>IFERROR(MATCH(J2798,'Final List'!$J$4:$J$252,0),0)</f>
        <v>0</v>
      </c>
      <c r="P2798" s="169">
        <f>IFERROR(MATCH(J2798,'Final List'!$L$4:$L$252,0),0)</f>
        <v>0</v>
      </c>
      <c r="Q2798" s="169">
        <f>IFERROR(MATCH(J2798,'Final List'!$N$4:$N$252,0),0)</f>
        <v>0</v>
      </c>
      <c r="R2798" s="169">
        <f>IFERROR(MATCH(J2798,'Final List'!$P$4:$P$252,0),0)</f>
        <v>0</v>
      </c>
      <c r="S2798" s="169">
        <f t="shared" si="176"/>
        <v>0</v>
      </c>
      <c r="T2798" s="169" t="s">
        <v>68</v>
      </c>
      <c r="V2798" s="169" t="str">
        <f t="shared" si="174"/>
        <v>MARTINEZ, DN 5</v>
      </c>
      <c r="W2798" s="169" t="s">
        <v>2708</v>
      </c>
    </row>
    <row r="2799" spans="2:23" x14ac:dyDescent="0.25">
      <c r="B2799" s="169" t="s">
        <v>95</v>
      </c>
      <c r="C2799" s="169" t="s">
        <v>57</v>
      </c>
      <c r="D2799" s="169" t="s">
        <v>198</v>
      </c>
      <c r="E2799" s="169" t="s">
        <v>62</v>
      </c>
      <c r="F2799" s="245" t="str">
        <f t="shared" si="175"/>
        <v>RobS 79</v>
      </c>
      <c r="G2799" s="169" t="s">
        <v>380</v>
      </c>
      <c r="I2799" s="169" t="str">
        <f t="shared" si="177"/>
        <v>L08_JVSPLIT_069E_ROBBING</v>
      </c>
      <c r="J2799" s="169" t="s">
        <v>11950</v>
      </c>
      <c r="K2799" s="169">
        <f>IFERROR(MATCH(J2799,'Final List'!$B$4:$B$252,0),0)</f>
        <v>0</v>
      </c>
      <c r="L2799" s="169">
        <f>IFERROR(MATCH(J2799,'Final List'!$D$4:$D$252,0),0)</f>
        <v>0</v>
      </c>
      <c r="M2799" s="169">
        <f>IFERROR(MATCH(J2799,'Final List'!$F$4:$F$251,0),0)</f>
        <v>0</v>
      </c>
      <c r="N2799" s="169">
        <f>IFERROR(MATCH(J2799,'Final List'!$H$4:$H$252,0),0)</f>
        <v>0</v>
      </c>
      <c r="O2799" s="169">
        <f>IFERROR(MATCH(J2799,'Final List'!$J$4:$J$252,0),0)</f>
        <v>0</v>
      </c>
      <c r="P2799" s="169">
        <f>IFERROR(MATCH(J2799,'Final List'!$L$4:$L$252,0),0)</f>
        <v>0</v>
      </c>
      <c r="Q2799" s="169">
        <f>IFERROR(MATCH(J2799,'Final List'!$N$4:$N$252,0),0)</f>
        <v>0</v>
      </c>
      <c r="R2799" s="169">
        <f>IFERROR(MATCH(J2799,'Final List'!$P$4:$P$252,0),0)</f>
        <v>0</v>
      </c>
      <c r="S2799" s="169">
        <f t="shared" si="176"/>
        <v>0</v>
      </c>
      <c r="T2799" s="169" t="s">
        <v>68</v>
      </c>
      <c r="V2799" s="169" t="str">
        <f t="shared" si="174"/>
        <v>AGLOLO 1</v>
      </c>
      <c r="W2799" s="169" t="s">
        <v>2707</v>
      </c>
    </row>
    <row r="2800" spans="2:23" x14ac:dyDescent="0.25">
      <c r="B2800" s="169" t="s">
        <v>11956</v>
      </c>
      <c r="C2800" s="169" t="s">
        <v>11957</v>
      </c>
      <c r="D2800" s="169" t="s">
        <v>11958</v>
      </c>
      <c r="E2800" s="169" t="s">
        <v>12172</v>
      </c>
      <c r="F2800" s="245" t="s">
        <v>14362</v>
      </c>
      <c r="G2800" s="169" t="s">
        <v>329</v>
      </c>
      <c r="I2800" s="169" t="str">
        <f t="shared" si="177"/>
        <v>L01_TIGERWAY_DSP4-L04_VENT.SHAFT</v>
      </c>
      <c r="J2800" s="169" t="s">
        <v>11955</v>
      </c>
      <c r="K2800" s="169">
        <f>IFERROR(MATCH(J2800,'Final List'!$B$4:$B$252,0),0)</f>
        <v>0</v>
      </c>
      <c r="L2800" s="169">
        <f>IFERROR(MATCH(J2800,'Final List'!$D$4:$D$252,0),0)</f>
        <v>0</v>
      </c>
      <c r="M2800" s="169">
        <f>IFERROR(MATCH(J2800,'Final List'!$F$4:$F$251,0),0)</f>
        <v>0</v>
      </c>
      <c r="N2800" s="169">
        <f>IFERROR(MATCH(J2800,'Final List'!$H$4:$H$252,0),0)</f>
        <v>0</v>
      </c>
      <c r="O2800" s="169">
        <f>IFERROR(MATCH(J2800,'Final List'!$J$4:$J$252,0),0)</f>
        <v>0</v>
      </c>
      <c r="P2800" s="169">
        <f>IFERROR(MATCH(J2800,'Final List'!$L$4:$L$252,0),0)</f>
        <v>0</v>
      </c>
      <c r="Q2800" s="169">
        <f>IFERROR(MATCH(J2800,'Final List'!$N$4:$N$252,0),0)</f>
        <v>0</v>
      </c>
      <c r="R2800" s="169">
        <f>IFERROR(MATCH(J2800,'Final List'!$P$4:$P$252,0),0)</f>
        <v>0</v>
      </c>
      <c r="S2800" s="169">
        <f t="shared" si="176"/>
        <v>0</v>
      </c>
      <c r="V2800" s="169" t="str">
        <f t="shared" si="174"/>
        <v>OY-YOY 1</v>
      </c>
      <c r="W2800" s="169" t="s">
        <v>2714</v>
      </c>
    </row>
    <row r="2801" spans="2:23" x14ac:dyDescent="0.25">
      <c r="B2801" s="169" t="s">
        <v>11956</v>
      </c>
      <c r="C2801" s="169" t="s">
        <v>11957</v>
      </c>
      <c r="D2801" s="169" t="s">
        <v>11960</v>
      </c>
      <c r="E2801" s="169" t="s">
        <v>13390</v>
      </c>
      <c r="F2801" s="245" t="str">
        <f>IF(OR(E2801="XCN",E2801="DE",E2801="DW",E2801="DN",E2801="XCS",E2801="XCE",E2801="XCW",E2801="SUMP",E2801="BYPASS",E2801="CHAMBER",E2801="DRAIN HOLE",E2801="DRILLING CHAMBER",E2801="DE_ISL",E2801="DW_ISL",E2801="REHAB"),"Dhoz 71",IF(OR(E2801="RAISE",E2801="RAISE_ISL"),"DVR 72",IF(E2801="ALIMAK","DVA 73",IF(E2801="ALIMAK_RAISE","DVA 73",IF(E2801="WINZE","DVW 74",IF(E2801="SHAFT","DVS 75",IF(AND(E2801="WINZE STOPE",T2801="S"),"RobC 80",IF(AND(E2801="STOPE",T2801="S"),"StpS 77",IF(AND(E2801="WINZE STOPE",T2801="L"),"RobC 80",IF(AND(E2801="STOPE",T2801="L"),"StpL 78",IF(AND(E2801="WINZE STOPE PREP",T2801="S"),"RobC 80",IF(AND(E2801="STOPE PREP",T2801="S"),"StpS 77",IF(AND(E2801="WINZE STOPE PREP",T2801="L"),"RobC 80",IF(AND(E2801="STOPE PREP",T2801="L"),"StpL 78",IF(AND(E2801="ROBBING",T2801="L"),"RobC 80",IF(AND(E2801="ROBBING",T2801="S"),"RobS 79",0))))))))))))))))</f>
        <v>DVA 73</v>
      </c>
      <c r="G2801" s="169" t="s">
        <v>274</v>
      </c>
      <c r="I2801" s="169" t="str">
        <f t="shared" si="177"/>
        <v>L01_TIGERWAY_DSP24-20_ALIMAK_RAISE</v>
      </c>
      <c r="J2801" s="169" t="s">
        <v>14168</v>
      </c>
      <c r="K2801" s="169">
        <f>IFERROR(MATCH(J2801,'Final List'!$B$4:$B$252,0),0)</f>
        <v>0</v>
      </c>
      <c r="L2801" s="169">
        <f>IFERROR(MATCH(J2801,'Final List'!$D$4:$D$252,0),0)</f>
        <v>0</v>
      </c>
      <c r="M2801" s="169">
        <f>IFERROR(MATCH(J2801,'Final List'!$F$4:$F$251,0),0)</f>
        <v>0</v>
      </c>
      <c r="N2801" s="169">
        <f>IFERROR(MATCH(J2801,'Final List'!$H$4:$H$252,0),0)</f>
        <v>0</v>
      </c>
      <c r="O2801" s="169">
        <f>IFERROR(MATCH(J2801,'Final List'!$J$4:$J$252,0),0)</f>
        <v>0</v>
      </c>
      <c r="P2801" s="169">
        <f>IFERROR(MATCH(J2801,'Final List'!$L$4:$L$252,0),0)</f>
        <v>0</v>
      </c>
      <c r="Q2801" s="169">
        <f>IFERROR(MATCH(J2801,'Final List'!$N$4:$N$252,0),0)</f>
        <v>0</v>
      </c>
      <c r="R2801" s="169">
        <f>IFERROR(MATCH(J2801,'Final List'!$P$4:$P$252,0),0)</f>
        <v>0</v>
      </c>
      <c r="S2801" s="169">
        <f t="shared" si="176"/>
        <v>0</v>
      </c>
      <c r="V2801" s="169" t="str">
        <f t="shared" si="174"/>
        <v>PMC MINERS 2</v>
      </c>
      <c r="W2801" s="169" t="s">
        <v>2714</v>
      </c>
    </row>
    <row r="2802" spans="2:23" x14ac:dyDescent="0.25">
      <c r="B2802" s="169" t="s">
        <v>95</v>
      </c>
      <c r="C2802" s="169" t="s">
        <v>38</v>
      </c>
      <c r="D2802" s="169" t="s">
        <v>119</v>
      </c>
      <c r="E2802" s="169" t="s">
        <v>20</v>
      </c>
      <c r="F2802" s="245" t="str">
        <f t="shared" si="175"/>
        <v>DVW 74</v>
      </c>
      <c r="G2802" s="169" t="s">
        <v>583</v>
      </c>
      <c r="I2802" s="169" t="str">
        <f t="shared" si="177"/>
        <v>L08_GHV_012E_WINZE</v>
      </c>
      <c r="J2802" s="169" t="s">
        <v>11964</v>
      </c>
      <c r="K2802" s="169">
        <f>IFERROR(MATCH(J2802,'Final List'!$B$4:$B$252,0),0)</f>
        <v>0</v>
      </c>
      <c r="L2802" s="169">
        <f>IFERROR(MATCH(J2802,'Final List'!$D$4:$D$252,0),0)</f>
        <v>0</v>
      </c>
      <c r="M2802" s="169">
        <f>IFERROR(MATCH(J2802,'Final List'!$F$4:$F$251,0),0)</f>
        <v>0</v>
      </c>
      <c r="N2802" s="169">
        <f>IFERROR(MATCH(J2802,'Final List'!$H$4:$H$252,0),0)</f>
        <v>0</v>
      </c>
      <c r="O2802" s="169">
        <f>IFERROR(MATCH(J2802,'Final List'!$J$4:$J$252,0),0)</f>
        <v>0</v>
      </c>
      <c r="P2802" s="169">
        <f>IFERROR(MATCH(J2802,'Final List'!$L$4:$L$252,0),0)</f>
        <v>0</v>
      </c>
      <c r="Q2802" s="169">
        <f>IFERROR(MATCH(J2802,'Final List'!$N$4:$N$252,0),0)</f>
        <v>0</v>
      </c>
      <c r="R2802" s="169">
        <f>IFERROR(MATCH(J2802,'Final List'!$P$4:$P$252,0),0)</f>
        <v>0</v>
      </c>
      <c r="S2802" s="169">
        <f t="shared" si="176"/>
        <v>0</v>
      </c>
      <c r="V2802" s="169" t="str">
        <f t="shared" si="174"/>
        <v>VILLARANTE 1</v>
      </c>
      <c r="W2802" s="169" t="s">
        <v>2706</v>
      </c>
    </row>
    <row r="2803" spans="2:23" x14ac:dyDescent="0.25">
      <c r="B2803" s="169" t="s">
        <v>95</v>
      </c>
      <c r="C2803" s="169" t="s">
        <v>55</v>
      </c>
      <c r="D2803" s="169" t="s">
        <v>5602</v>
      </c>
      <c r="E2803" s="169" t="s">
        <v>62</v>
      </c>
      <c r="F2803" s="245" t="str">
        <f t="shared" si="175"/>
        <v>RobS 79</v>
      </c>
      <c r="G2803" s="169" t="s">
        <v>577</v>
      </c>
      <c r="I2803" s="169" t="str">
        <f t="shared" si="177"/>
        <v>L08_JVFW_053E_ROBBING</v>
      </c>
      <c r="J2803" s="169" t="s">
        <v>11965</v>
      </c>
      <c r="K2803" s="169">
        <f>IFERROR(MATCH(J2803,'Final List'!$B$4:$B$252,0),0)</f>
        <v>0</v>
      </c>
      <c r="L2803" s="169">
        <f>IFERROR(MATCH(J2803,'Final List'!$D$4:$D$252,0),0)</f>
        <v>0</v>
      </c>
      <c r="M2803" s="169">
        <f>IFERROR(MATCH(J2803,'Final List'!$F$4:$F$251,0),0)</f>
        <v>0</v>
      </c>
      <c r="N2803" s="169">
        <f>IFERROR(MATCH(J2803,'Final List'!$H$4:$H$252,0),0)</f>
        <v>0</v>
      </c>
      <c r="O2803" s="169">
        <f>IFERROR(MATCH(J2803,'Final List'!$J$4:$J$252,0),0)</f>
        <v>0</v>
      </c>
      <c r="P2803" s="169">
        <f>IFERROR(MATCH(J2803,'Final List'!$L$4:$L$252,0),0)</f>
        <v>0</v>
      </c>
      <c r="Q2803" s="169">
        <f>IFERROR(MATCH(J2803,'Final List'!$N$4:$N$252,0),0)</f>
        <v>0</v>
      </c>
      <c r="R2803" s="169">
        <f>IFERROR(MATCH(J2803,'Final List'!$P$4:$P$252,0),0)</f>
        <v>0</v>
      </c>
      <c r="S2803" s="169">
        <f t="shared" si="176"/>
        <v>0</v>
      </c>
      <c r="T2803" s="169" t="s">
        <v>68</v>
      </c>
      <c r="V2803" s="169" t="str">
        <f t="shared" si="174"/>
        <v>CARIKITAN 1</v>
      </c>
      <c r="W2803" s="169" t="s">
        <v>2707</v>
      </c>
    </row>
    <row r="2804" spans="2:23" x14ac:dyDescent="0.25">
      <c r="B2804" s="169" t="s">
        <v>1166</v>
      </c>
      <c r="C2804" s="169" t="s">
        <v>87</v>
      </c>
      <c r="D2804" s="169" t="s">
        <v>5631</v>
      </c>
      <c r="E2804" s="169" t="s">
        <v>63</v>
      </c>
      <c r="F2804" s="245" t="str">
        <f t="shared" si="175"/>
        <v>Dhoz 71</v>
      </c>
      <c r="G2804" s="169" t="s">
        <v>367</v>
      </c>
      <c r="H2804" s="169" t="s">
        <v>368</v>
      </c>
      <c r="I2804" s="169" t="str">
        <f t="shared" si="177"/>
        <v>L11_NONE_020E_XCS</v>
      </c>
      <c r="J2804" s="169" t="s">
        <v>11967</v>
      </c>
      <c r="K2804" s="169">
        <f>IFERROR(MATCH(J2804,'Final List'!$B$4:$B$252,0),0)</f>
        <v>0</v>
      </c>
      <c r="L2804" s="169">
        <f>IFERROR(MATCH(J2804,'Final List'!$D$4:$D$252,0),0)</f>
        <v>0</v>
      </c>
      <c r="M2804" s="169">
        <f>IFERROR(MATCH(J2804,'Final List'!$F$4:$F$251,0),0)</f>
        <v>0</v>
      </c>
      <c r="N2804" s="169">
        <f>IFERROR(MATCH(J2804,'Final List'!$H$4:$H$252,0),0)</f>
        <v>0</v>
      </c>
      <c r="O2804" s="169">
        <f>IFERROR(MATCH(J2804,'Final List'!$J$4:$J$252,0),0)</f>
        <v>0</v>
      </c>
      <c r="P2804" s="169">
        <f>IFERROR(MATCH(J2804,'Final List'!$L$4:$L$252,0),0)</f>
        <v>0</v>
      </c>
      <c r="Q2804" s="169">
        <f>IFERROR(MATCH(J2804,'Final List'!$N$4:$N$252,0),0)</f>
        <v>0</v>
      </c>
      <c r="R2804" s="169">
        <f>IFERROR(MATCH(J2804,'Final List'!$P$4:$P$252,0),0)</f>
        <v>0</v>
      </c>
      <c r="S2804" s="169">
        <f t="shared" si="176"/>
        <v>0</v>
      </c>
      <c r="V2804" s="169" t="str">
        <f t="shared" si="174"/>
        <v>LERIO 2</v>
      </c>
      <c r="W2804" s="169" t="s">
        <v>8898</v>
      </c>
    </row>
    <row r="2805" spans="2:23" x14ac:dyDescent="0.25">
      <c r="B2805" s="169" t="s">
        <v>1166</v>
      </c>
      <c r="C2805" s="169" t="s">
        <v>43</v>
      </c>
      <c r="D2805" s="169" t="s">
        <v>197</v>
      </c>
      <c r="E2805" s="169" t="s">
        <v>19</v>
      </c>
      <c r="F2805" s="245" t="str">
        <f t="shared" si="175"/>
        <v>DVR 72</v>
      </c>
      <c r="G2805" s="169" t="s">
        <v>551</v>
      </c>
      <c r="H2805" s="169" t="s">
        <v>5717</v>
      </c>
      <c r="I2805" s="169" t="str">
        <f t="shared" si="177"/>
        <v>L11_GHVSPLIT_070E_RAISE</v>
      </c>
      <c r="J2805" s="169" t="s">
        <v>12043</v>
      </c>
      <c r="K2805" s="169">
        <f>IFERROR(MATCH(J2805,'Final List'!$B$4:$B$252,0),0)</f>
        <v>0</v>
      </c>
      <c r="L2805" s="169">
        <f>IFERROR(MATCH(J2805,'Final List'!$D$4:$D$252,0),0)</f>
        <v>0</v>
      </c>
      <c r="M2805" s="169">
        <f>IFERROR(MATCH(J2805,'Final List'!$F$4:$F$251,0),0)</f>
        <v>0</v>
      </c>
      <c r="N2805" s="169">
        <f>IFERROR(MATCH(J2805,'Final List'!$H$4:$H$252,0),0)</f>
        <v>0</v>
      </c>
      <c r="O2805" s="169">
        <f>IFERROR(MATCH(J2805,'Final List'!$J$4:$J$252,0),0)</f>
        <v>0</v>
      </c>
      <c r="P2805" s="169">
        <f>IFERROR(MATCH(J2805,'Final List'!$L$4:$L$252,0),0)</f>
        <v>0</v>
      </c>
      <c r="Q2805" s="169">
        <f>IFERROR(MATCH(J2805,'Final List'!$N$4:$N$252,0),0)</f>
        <v>0</v>
      </c>
      <c r="R2805" s="169">
        <f>IFERROR(MATCH(J2805,'Final List'!$P$4:$P$252,0),0)</f>
        <v>0</v>
      </c>
      <c r="S2805" s="169">
        <f t="shared" si="176"/>
        <v>0</v>
      </c>
      <c r="V2805" s="169" t="str">
        <f t="shared" si="174"/>
        <v>SHEPHERD AC 1</v>
      </c>
      <c r="W2805" s="169" t="s">
        <v>2715</v>
      </c>
    </row>
    <row r="2806" spans="2:23" x14ac:dyDescent="0.25">
      <c r="B2806" s="169" t="s">
        <v>1166</v>
      </c>
      <c r="C2806" s="169" t="s">
        <v>38</v>
      </c>
      <c r="D2806" s="169" t="s">
        <v>5602</v>
      </c>
      <c r="E2806" s="169" t="s">
        <v>36</v>
      </c>
      <c r="F2806" s="245" t="str">
        <f t="shared" si="175"/>
        <v>StpS 77</v>
      </c>
      <c r="G2806" s="169" t="s">
        <v>4068</v>
      </c>
      <c r="I2806" s="169" t="str">
        <f t="shared" si="177"/>
        <v>L11_GHV_053E_STOPE</v>
      </c>
      <c r="J2806" s="169" t="s">
        <v>12085</v>
      </c>
      <c r="K2806" s="169">
        <f>IFERROR(MATCH(J2806,'Final List'!$B$4:$B$252,0),0)</f>
        <v>0</v>
      </c>
      <c r="L2806" s="169">
        <f>IFERROR(MATCH(J2806,'Final List'!$D$4:$D$252,0),0)</f>
        <v>0</v>
      </c>
      <c r="M2806" s="169">
        <f>IFERROR(MATCH(J2806,'Final List'!$F$4:$F$251,0),0)</f>
        <v>0</v>
      </c>
      <c r="N2806" s="169">
        <f>IFERROR(MATCH(J2806,'Final List'!$H$4:$H$252,0),0)</f>
        <v>0</v>
      </c>
      <c r="O2806" s="169">
        <f>IFERROR(MATCH(J2806,'Final List'!$J$4:$J$252,0),0)</f>
        <v>0</v>
      </c>
      <c r="P2806" s="169">
        <f>IFERROR(MATCH(J2806,'Final List'!$L$4:$L$252,0),0)</f>
        <v>0</v>
      </c>
      <c r="Q2806" s="169">
        <f>IFERROR(MATCH(J2806,'Final List'!$N$4:$N$252,0),0)</f>
        <v>0</v>
      </c>
      <c r="R2806" s="169">
        <f>IFERROR(MATCH(J2806,'Final List'!$P$4:$P$252,0),0)</f>
        <v>0</v>
      </c>
      <c r="S2806" s="169">
        <f t="shared" si="176"/>
        <v>0</v>
      </c>
      <c r="T2806" s="169" t="s">
        <v>68</v>
      </c>
      <c r="V2806" s="169" t="str">
        <f t="shared" si="174"/>
        <v>MAPAYO</v>
      </c>
      <c r="W2806" s="169" t="s">
        <v>2713</v>
      </c>
    </row>
    <row r="2807" spans="2:23" x14ac:dyDescent="0.25">
      <c r="B2807" s="169" t="s">
        <v>95</v>
      </c>
      <c r="C2807" s="169" t="s">
        <v>45</v>
      </c>
      <c r="D2807" s="169" t="s">
        <v>1230</v>
      </c>
      <c r="E2807" s="169" t="s">
        <v>62</v>
      </c>
      <c r="F2807" s="245" t="str">
        <f t="shared" si="175"/>
        <v>RobC 80</v>
      </c>
      <c r="G2807" s="169" t="s">
        <v>526</v>
      </c>
      <c r="I2807" s="169" t="str">
        <f t="shared" si="177"/>
        <v>L08_DPVE_075E_ROBBING</v>
      </c>
      <c r="J2807" s="169" t="s">
        <v>11977</v>
      </c>
      <c r="K2807" s="169">
        <f>IFERROR(MATCH(J2807,'Final List'!$B$4:$B$252,0),0)</f>
        <v>0</v>
      </c>
      <c r="L2807" s="169">
        <f>IFERROR(MATCH(J2807,'Final List'!$D$4:$D$252,0),0)</f>
        <v>0</v>
      </c>
      <c r="M2807" s="169">
        <f>IFERROR(MATCH(J2807,'Final List'!$F$4:$F$251,0),0)</f>
        <v>0</v>
      </c>
      <c r="N2807" s="169">
        <f>IFERROR(MATCH(J2807,'Final List'!$H$4:$H$252,0),0)</f>
        <v>0</v>
      </c>
      <c r="O2807" s="169">
        <f>IFERROR(MATCH(J2807,'Final List'!$J$4:$J$252,0),0)</f>
        <v>0</v>
      </c>
      <c r="P2807" s="169">
        <f>IFERROR(MATCH(J2807,'Final List'!$L$4:$L$252,0),0)</f>
        <v>0</v>
      </c>
      <c r="Q2807" s="169">
        <f>IFERROR(MATCH(J2807,'Final List'!$N$4:$N$252,0),0)</f>
        <v>0</v>
      </c>
      <c r="R2807" s="169">
        <f>IFERROR(MATCH(J2807,'Final List'!$P$4:$P$252,0),0)</f>
        <v>0</v>
      </c>
      <c r="S2807" s="169">
        <f t="shared" si="176"/>
        <v>0</v>
      </c>
      <c r="T2807" s="169" t="s">
        <v>48</v>
      </c>
      <c r="V2807" s="169" t="str">
        <f t="shared" si="174"/>
        <v>CARIKITAN 2</v>
      </c>
      <c r="W2807" s="169" t="s">
        <v>236</v>
      </c>
    </row>
    <row r="2808" spans="2:23" x14ac:dyDescent="0.25">
      <c r="B2808" s="169" t="s">
        <v>96</v>
      </c>
      <c r="C2808" s="169" t="s">
        <v>45</v>
      </c>
      <c r="D2808" s="169" t="s">
        <v>144</v>
      </c>
      <c r="E2808" s="169" t="s">
        <v>62</v>
      </c>
      <c r="F2808" s="245" t="str">
        <f t="shared" si="175"/>
        <v>RobC 80</v>
      </c>
      <c r="G2808" s="169" t="s">
        <v>9749</v>
      </c>
      <c r="I2808" s="169" t="str">
        <f t="shared" si="177"/>
        <v>L09_DPVE_043E_ROBBING</v>
      </c>
      <c r="J2808" s="169" t="s">
        <v>11978</v>
      </c>
      <c r="K2808" s="169">
        <f>IFERROR(MATCH(J2808,'Final List'!$B$4:$B$252,0),0)</f>
        <v>0</v>
      </c>
      <c r="L2808" s="169">
        <f>IFERROR(MATCH(J2808,'Final List'!$D$4:$D$252,0),0)</f>
        <v>0</v>
      </c>
      <c r="M2808" s="169">
        <f>IFERROR(MATCH(J2808,'Final List'!$F$4:$F$251,0),0)</f>
        <v>0</v>
      </c>
      <c r="N2808" s="169">
        <f>IFERROR(MATCH(J2808,'Final List'!$H$4:$H$252,0),0)</f>
        <v>0</v>
      </c>
      <c r="O2808" s="169">
        <f>IFERROR(MATCH(J2808,'Final List'!$J$4:$J$252,0),0)</f>
        <v>0</v>
      </c>
      <c r="P2808" s="169">
        <f>IFERROR(MATCH(J2808,'Final List'!$L$4:$L$252,0),0)</f>
        <v>0</v>
      </c>
      <c r="Q2808" s="169">
        <f>IFERROR(MATCH(J2808,'Final List'!$N$4:$N$252,0),0)</f>
        <v>0</v>
      </c>
      <c r="R2808" s="169">
        <f>IFERROR(MATCH(J2808,'Final List'!$P$4:$P$252,0),0)</f>
        <v>0</v>
      </c>
      <c r="S2808" s="169">
        <f t="shared" si="176"/>
        <v>0</v>
      </c>
      <c r="T2808" s="169" t="s">
        <v>48</v>
      </c>
      <c r="V2808" s="169" t="str">
        <f t="shared" si="174"/>
        <v>MAPAYO 4</v>
      </c>
      <c r="W2808" s="169" t="s">
        <v>236</v>
      </c>
    </row>
    <row r="2809" spans="2:23" x14ac:dyDescent="0.25">
      <c r="B2809" s="169" t="s">
        <v>96</v>
      </c>
      <c r="C2809" s="169" t="s">
        <v>45</v>
      </c>
      <c r="D2809" s="169" t="s">
        <v>141</v>
      </c>
      <c r="E2809" s="169" t="s">
        <v>62</v>
      </c>
      <c r="F2809" s="245" t="str">
        <f t="shared" si="175"/>
        <v>RobC 80</v>
      </c>
      <c r="G2809" s="169" t="s">
        <v>11</v>
      </c>
      <c r="I2809" s="169" t="str">
        <f t="shared" si="177"/>
        <v>L09_DPVE_029E_ROBBING</v>
      </c>
      <c r="J2809" s="169" t="s">
        <v>11979</v>
      </c>
      <c r="K2809" s="169">
        <f>IFERROR(MATCH(J2809,'Final List'!$B$4:$B$252,0),0)</f>
        <v>0</v>
      </c>
      <c r="L2809" s="169">
        <f>IFERROR(MATCH(J2809,'Final List'!$D$4:$D$252,0),0)</f>
        <v>0</v>
      </c>
      <c r="M2809" s="169">
        <f>IFERROR(MATCH(J2809,'Final List'!$F$4:$F$251,0),0)</f>
        <v>0</v>
      </c>
      <c r="N2809" s="169">
        <f>IFERROR(MATCH(J2809,'Final List'!$H$4:$H$252,0),0)</f>
        <v>0</v>
      </c>
      <c r="O2809" s="169">
        <f>IFERROR(MATCH(J2809,'Final List'!$J$4:$J$252,0),0)</f>
        <v>0</v>
      </c>
      <c r="P2809" s="169">
        <f>IFERROR(MATCH(J2809,'Final List'!$L$4:$L$252,0),0)</f>
        <v>0</v>
      </c>
      <c r="Q2809" s="169">
        <f>IFERROR(MATCH(J2809,'Final List'!$N$4:$N$252,0),0)</f>
        <v>0</v>
      </c>
      <c r="R2809" s="169">
        <f>IFERROR(MATCH(J2809,'Final List'!$P$4:$P$252,0),0)</f>
        <v>115</v>
      </c>
      <c r="S2809" s="169">
        <f t="shared" si="176"/>
        <v>115</v>
      </c>
      <c r="T2809" s="169" t="s">
        <v>48</v>
      </c>
      <c r="V2809" s="169" t="str">
        <f t="shared" si="174"/>
        <v>QUIJANO</v>
      </c>
      <c r="W2809" s="169" t="s">
        <v>236</v>
      </c>
    </row>
    <row r="2810" spans="2:23" x14ac:dyDescent="0.25">
      <c r="B2810" s="169" t="s">
        <v>1167</v>
      </c>
      <c r="C2810" s="169" t="s">
        <v>45</v>
      </c>
      <c r="D2810" s="169" t="s">
        <v>142</v>
      </c>
      <c r="E2810" s="169" t="s">
        <v>36</v>
      </c>
      <c r="F2810" s="245" t="str">
        <f t="shared" si="175"/>
        <v>StpS 77</v>
      </c>
      <c r="G2810" s="169" t="s">
        <v>8682</v>
      </c>
      <c r="I2810" s="169" t="str">
        <f t="shared" si="177"/>
        <v>L12_DPVE_038E_STOPE</v>
      </c>
      <c r="J2810" s="169" t="s">
        <v>12087</v>
      </c>
      <c r="K2810" s="169">
        <f>IFERROR(MATCH(J2810,'Final List'!$B$4:$B$252,0),0)</f>
        <v>0</v>
      </c>
      <c r="L2810" s="169">
        <f>IFERROR(MATCH(J2810,'Final List'!$D$4:$D$252,0),0)</f>
        <v>0</v>
      </c>
      <c r="M2810" s="169">
        <f>IFERROR(MATCH(J2810,'Final List'!$F$4:$F$251,0),0)</f>
        <v>0</v>
      </c>
      <c r="N2810" s="169">
        <f>IFERROR(MATCH(J2810,'Final List'!$H$4:$H$252,0),0)</f>
        <v>0</v>
      </c>
      <c r="O2810" s="169">
        <f>IFERROR(MATCH(J2810,'Final List'!$J$4:$J$252,0),0)</f>
        <v>0</v>
      </c>
      <c r="P2810" s="169">
        <f>IFERROR(MATCH(J2810,'Final List'!$L$4:$L$252,0),0)</f>
        <v>0</v>
      </c>
      <c r="Q2810" s="169">
        <f>IFERROR(MATCH(J2810,'Final List'!$N$4:$N$252,0),0)</f>
        <v>0</v>
      </c>
      <c r="R2810" s="169">
        <f>IFERROR(MATCH(J2810,'Final List'!$P$4:$P$252,0),0)</f>
        <v>0</v>
      </c>
      <c r="S2810" s="169">
        <f t="shared" si="176"/>
        <v>0</v>
      </c>
      <c r="T2810" s="169" t="s">
        <v>68</v>
      </c>
      <c r="V2810" s="169" t="str">
        <f t="shared" si="174"/>
        <v>DUHIG P2</v>
      </c>
      <c r="W2810" s="169" t="s">
        <v>2713</v>
      </c>
    </row>
    <row r="2811" spans="2:23" x14ac:dyDescent="0.25">
      <c r="B2811" s="169" t="s">
        <v>1166</v>
      </c>
      <c r="C2811" s="169" t="s">
        <v>38</v>
      </c>
      <c r="D2811" s="169" t="s">
        <v>198</v>
      </c>
      <c r="E2811" s="169" t="s">
        <v>62</v>
      </c>
      <c r="F2811" s="245" t="str">
        <f t="shared" si="175"/>
        <v>RobS 79</v>
      </c>
      <c r="G2811" s="169" t="s">
        <v>5698</v>
      </c>
      <c r="I2811" s="169" t="str">
        <f t="shared" si="177"/>
        <v>L11_GHV_069E_ROBBING</v>
      </c>
      <c r="J2811" s="169" t="s">
        <v>11983</v>
      </c>
      <c r="K2811" s="169">
        <f>IFERROR(MATCH(J2811,'Final List'!$B$4:$B$252,0),0)</f>
        <v>0</v>
      </c>
      <c r="L2811" s="169">
        <f>IFERROR(MATCH(J2811,'Final List'!$D$4:$D$252,0),0)</f>
        <v>0</v>
      </c>
      <c r="M2811" s="169">
        <f>IFERROR(MATCH(J2811,'Final List'!$F$4:$F$251,0),0)</f>
        <v>0</v>
      </c>
      <c r="N2811" s="169">
        <f>IFERROR(MATCH(J2811,'Final List'!$H$4:$H$252,0),0)</f>
        <v>0</v>
      </c>
      <c r="O2811" s="169">
        <f>IFERROR(MATCH(J2811,'Final List'!$J$4:$J$252,0),0)</f>
        <v>0</v>
      </c>
      <c r="P2811" s="169">
        <f>IFERROR(MATCH(J2811,'Final List'!$L$4:$L$252,0),0)</f>
        <v>0</v>
      </c>
      <c r="Q2811" s="169">
        <f>IFERROR(MATCH(J2811,'Final List'!$N$4:$N$252,0),0)</f>
        <v>0</v>
      </c>
      <c r="R2811" s="169">
        <f>IFERROR(MATCH(J2811,'Final List'!$P$4:$P$252,0),0)</f>
        <v>0</v>
      </c>
      <c r="S2811" s="169">
        <f t="shared" si="176"/>
        <v>0</v>
      </c>
      <c r="T2811" s="169" t="s">
        <v>68</v>
      </c>
      <c r="V2811" s="169" t="str">
        <f t="shared" si="174"/>
        <v>PARAN 1</v>
      </c>
      <c r="W2811" s="169" t="s">
        <v>2707</v>
      </c>
    </row>
    <row r="2812" spans="2:23" x14ac:dyDescent="0.25">
      <c r="B2812" s="169" t="s">
        <v>258</v>
      </c>
      <c r="C2812" s="169" t="s">
        <v>57</v>
      </c>
      <c r="D2812" s="169" t="s">
        <v>166</v>
      </c>
      <c r="E2812" s="169" t="s">
        <v>61</v>
      </c>
      <c r="F2812" s="245" t="str">
        <f t="shared" si="175"/>
        <v>Dhoz 71</v>
      </c>
      <c r="G2812" s="169" t="s">
        <v>5702</v>
      </c>
      <c r="I2812" s="169" t="str">
        <f t="shared" si="177"/>
        <v>L10_JVSPLIT_068E_DW</v>
      </c>
      <c r="J2812" s="169" t="s">
        <v>11987</v>
      </c>
      <c r="K2812" s="169">
        <f>IFERROR(MATCH(J2812,'Final List'!$B$4:$B$252,0),0)</f>
        <v>0</v>
      </c>
      <c r="L2812" s="169">
        <f>IFERROR(MATCH(J2812,'Final List'!$D$4:$D$252,0),0)</f>
        <v>0</v>
      </c>
      <c r="M2812" s="169">
        <f>IFERROR(MATCH(J2812,'Final List'!$F$4:$F$251,0),0)</f>
        <v>0</v>
      </c>
      <c r="N2812" s="169">
        <f>IFERROR(MATCH(J2812,'Final List'!$H$4:$H$252,0),0)</f>
        <v>0</v>
      </c>
      <c r="O2812" s="169">
        <f>IFERROR(MATCH(J2812,'Final List'!$J$4:$J$252,0),0)</f>
        <v>0</v>
      </c>
      <c r="P2812" s="169">
        <f>IFERROR(MATCH(J2812,'Final List'!$L$4:$L$252,0),0)</f>
        <v>0</v>
      </c>
      <c r="Q2812" s="169">
        <f>IFERROR(MATCH(J2812,'Final List'!$N$4:$N$252,0),0)</f>
        <v>0</v>
      </c>
      <c r="R2812" s="169">
        <f>IFERROR(MATCH(J2812,'Final List'!$P$4:$P$252,0),0)</f>
        <v>0</v>
      </c>
      <c r="S2812" s="169">
        <f t="shared" si="176"/>
        <v>0</v>
      </c>
      <c r="V2812" s="169" t="str">
        <f t="shared" si="174"/>
        <v>LARGO 3</v>
      </c>
      <c r="W2812" s="169" t="s">
        <v>8896</v>
      </c>
    </row>
    <row r="2813" spans="2:23" x14ac:dyDescent="0.25">
      <c r="B2813" s="169" t="s">
        <v>96</v>
      </c>
      <c r="C2813" s="169" t="s">
        <v>45</v>
      </c>
      <c r="D2813" s="169" t="s">
        <v>7025</v>
      </c>
      <c r="E2813" s="169" t="s">
        <v>221</v>
      </c>
      <c r="F2813" s="245" t="str">
        <f t="shared" si="175"/>
        <v>RobC 80</v>
      </c>
      <c r="G2813" s="169" t="s">
        <v>5101</v>
      </c>
      <c r="I2813" s="169" t="str">
        <f t="shared" si="177"/>
        <v>L09_DPVE_082E_WINZE STOPE</v>
      </c>
      <c r="J2813" s="169" t="s">
        <v>12179</v>
      </c>
      <c r="K2813" s="169">
        <f>IFERROR(MATCH(J2813,'Final List'!$B$4:$B$252,0),0)</f>
        <v>0</v>
      </c>
      <c r="L2813" s="169">
        <f>IFERROR(MATCH(J2813,'Final List'!$D$4:$D$252,0),0)</f>
        <v>0</v>
      </c>
      <c r="M2813" s="169">
        <f>IFERROR(MATCH(J2813,'Final List'!$F$4:$F$251,0),0)</f>
        <v>0</v>
      </c>
      <c r="N2813" s="169">
        <f>IFERROR(MATCH(J2813,'Final List'!$H$4:$H$252,0),0)</f>
        <v>0</v>
      </c>
      <c r="O2813" s="169">
        <f>IFERROR(MATCH(J2813,'Final List'!$J$4:$J$252,0),0)</f>
        <v>0</v>
      </c>
      <c r="P2813" s="169">
        <f>IFERROR(MATCH(J2813,'Final List'!$L$4:$L$252,0),0)</f>
        <v>0</v>
      </c>
      <c r="Q2813" s="169">
        <f>IFERROR(MATCH(J2813,'Final List'!$N$4:$N$252,0),0)</f>
        <v>0</v>
      </c>
      <c r="R2813" s="169">
        <f>IFERROR(MATCH(J2813,'Final List'!$P$4:$P$252,0),0)</f>
        <v>0</v>
      </c>
      <c r="S2813" s="169">
        <f t="shared" si="176"/>
        <v>0</v>
      </c>
      <c r="T2813" s="169" t="s">
        <v>68</v>
      </c>
      <c r="V2813" s="169" t="str">
        <f t="shared" si="174"/>
        <v>DELOS REYES V3</v>
      </c>
      <c r="W2813" s="169" t="s">
        <v>2719</v>
      </c>
    </row>
    <row r="2814" spans="2:23" x14ac:dyDescent="0.25">
      <c r="B2814" s="169" t="s">
        <v>258</v>
      </c>
      <c r="C2814" s="169" t="s">
        <v>56</v>
      </c>
      <c r="D2814" s="169" t="s">
        <v>165</v>
      </c>
      <c r="E2814" s="169" t="s">
        <v>20</v>
      </c>
      <c r="F2814" s="245" t="str">
        <f t="shared" si="175"/>
        <v>DVW 74</v>
      </c>
      <c r="G2814" s="169" t="s">
        <v>12197</v>
      </c>
      <c r="I2814" s="169" t="str">
        <f t="shared" si="177"/>
        <v>L10_GHVFW_056E_WINZE</v>
      </c>
      <c r="J2814" s="169" t="s">
        <v>11995</v>
      </c>
      <c r="K2814" s="169">
        <f>IFERROR(MATCH(J2814,'Final List'!$B$4:$B$252,0),0)</f>
        <v>0</v>
      </c>
      <c r="L2814" s="169">
        <f>IFERROR(MATCH(J2814,'Final List'!$D$4:$D$252,0),0)</f>
        <v>0</v>
      </c>
      <c r="M2814" s="169">
        <f>IFERROR(MATCH(J2814,'Final List'!$F$4:$F$251,0),0)</f>
        <v>0</v>
      </c>
      <c r="N2814" s="169">
        <f>IFERROR(MATCH(J2814,'Final List'!$H$4:$H$252,0),0)</f>
        <v>0</v>
      </c>
      <c r="O2814" s="169">
        <f>IFERROR(MATCH(J2814,'Final List'!$J$4:$J$252,0),0)</f>
        <v>0</v>
      </c>
      <c r="P2814" s="169">
        <f>IFERROR(MATCH(J2814,'Final List'!$L$4:$L$252,0),0)</f>
        <v>0</v>
      </c>
      <c r="Q2814" s="169">
        <f>IFERROR(MATCH(J2814,'Final List'!$N$4:$N$252,0),0)</f>
        <v>0</v>
      </c>
      <c r="R2814" s="169">
        <f>IFERROR(MATCH(J2814,'Final List'!$P$4:$P$252,0),0)</f>
        <v>0</v>
      </c>
      <c r="S2814" s="169">
        <f t="shared" si="176"/>
        <v>0</v>
      </c>
      <c r="V2814" s="169" t="str">
        <f t="shared" si="174"/>
        <v>NITRO BF 2</v>
      </c>
      <c r="W2814" s="169" t="s">
        <v>2706</v>
      </c>
    </row>
    <row r="2815" spans="2:23" x14ac:dyDescent="0.25">
      <c r="B2815" s="169" t="s">
        <v>1167</v>
      </c>
      <c r="C2815" s="169" t="s">
        <v>87</v>
      </c>
      <c r="D2815" s="169" t="s">
        <v>177</v>
      </c>
      <c r="E2815" s="169" t="s">
        <v>72</v>
      </c>
      <c r="F2815" s="245" t="str">
        <f t="shared" si="175"/>
        <v>Dhoz 71</v>
      </c>
      <c r="G2815" s="169" t="s">
        <v>6878</v>
      </c>
      <c r="I2815" s="169" t="str">
        <f t="shared" si="177"/>
        <v>L12_NONE_054E_CHAMBER</v>
      </c>
      <c r="J2815" s="169" t="s">
        <v>12257</v>
      </c>
      <c r="K2815" s="169">
        <f>IFERROR(MATCH(J2815,'Final List'!$B$4:$B$252,0),0)</f>
        <v>0</v>
      </c>
      <c r="L2815" s="169">
        <f>IFERROR(MATCH(J2815,'Final List'!$D$4:$D$252,0),0)</f>
        <v>0</v>
      </c>
      <c r="M2815" s="169">
        <f>IFERROR(MATCH(J2815,'Final List'!$F$4:$F$251,0),0)</f>
        <v>0</v>
      </c>
      <c r="N2815" s="169">
        <f>IFERROR(MATCH(J2815,'Final List'!$H$4:$H$252,0),0)</f>
        <v>0</v>
      </c>
      <c r="O2815" s="169">
        <f>IFERROR(MATCH(J2815,'Final List'!$J$4:$J$252,0),0)</f>
        <v>0</v>
      </c>
      <c r="P2815" s="169">
        <f>IFERROR(MATCH(J2815,'Final List'!$L$4:$L$252,0),0)</f>
        <v>0</v>
      </c>
      <c r="Q2815" s="169">
        <f>IFERROR(MATCH(J2815,'Final List'!$N$4:$N$252,0),0)</f>
        <v>0</v>
      </c>
      <c r="R2815" s="169">
        <f>IFERROR(MATCH(J2815,'Final List'!$P$4:$P$252,0),0)</f>
        <v>0</v>
      </c>
      <c r="S2815" s="169">
        <f t="shared" si="176"/>
        <v>0</v>
      </c>
      <c r="V2815" s="169" t="str">
        <f t="shared" si="174"/>
        <v>BALANGHIG</v>
      </c>
      <c r="W2815" s="169" t="s">
        <v>2714</v>
      </c>
    </row>
    <row r="2816" spans="2:23" x14ac:dyDescent="0.25">
      <c r="B2816" s="169" t="s">
        <v>91</v>
      </c>
      <c r="C2816" s="169" t="s">
        <v>41</v>
      </c>
      <c r="D2816" s="169" t="s">
        <v>5612</v>
      </c>
      <c r="E2816" s="169" t="s">
        <v>441</v>
      </c>
      <c r="F2816" s="245" t="str">
        <f t="shared" si="175"/>
        <v>RobC 80</v>
      </c>
      <c r="G2816" s="169" t="s">
        <v>10087</v>
      </c>
      <c r="I2816" s="169" t="str">
        <f t="shared" si="177"/>
        <v>L04_CTV_011W_WINZE STOPE PREP</v>
      </c>
      <c r="J2816" s="169" t="s">
        <v>12002</v>
      </c>
      <c r="K2816" s="169">
        <f>IFERROR(MATCH(J2816,'Final List'!$B$4:$B$252,0),0)</f>
        <v>0</v>
      </c>
      <c r="L2816" s="169">
        <f>IFERROR(MATCH(J2816,'Final List'!$D$4:$D$252,0),0)</f>
        <v>0</v>
      </c>
      <c r="M2816" s="169">
        <f>IFERROR(MATCH(J2816,'Final List'!$F$4:$F$251,0),0)</f>
        <v>0</v>
      </c>
      <c r="N2816" s="169">
        <f>IFERROR(MATCH(J2816,'Final List'!$H$4:$H$252,0),0)</f>
        <v>0</v>
      </c>
      <c r="O2816" s="169">
        <f>IFERROR(MATCH(J2816,'Final List'!$J$4:$J$252,0),0)</f>
        <v>0</v>
      </c>
      <c r="P2816" s="169">
        <f>IFERROR(MATCH(J2816,'Final List'!$L$4:$L$252,0),0)</f>
        <v>0</v>
      </c>
      <c r="Q2816" s="169">
        <f>IFERROR(MATCH(J2816,'Final List'!$N$4:$N$252,0),0)</f>
        <v>0</v>
      </c>
      <c r="R2816" s="169">
        <f>IFERROR(MATCH(J2816,'Final List'!$P$4:$P$252,0),0)</f>
        <v>0</v>
      </c>
      <c r="S2816" s="169">
        <f t="shared" si="176"/>
        <v>0</v>
      </c>
      <c r="T2816" s="169" t="s">
        <v>68</v>
      </c>
      <c r="V2816" s="169" t="str">
        <f t="shared" si="174"/>
        <v>MARTINEZ, DN 3</v>
      </c>
      <c r="W2816" s="169" t="s">
        <v>2716</v>
      </c>
    </row>
    <row r="2817" spans="2:23" x14ac:dyDescent="0.25">
      <c r="B2817" s="169" t="s">
        <v>95</v>
      </c>
      <c r="C2817" s="169" t="s">
        <v>45</v>
      </c>
      <c r="D2817" s="169" t="s">
        <v>135</v>
      </c>
      <c r="E2817" s="169" t="s">
        <v>62</v>
      </c>
      <c r="F2817" s="245" t="str">
        <f t="shared" si="175"/>
        <v>RobS 79</v>
      </c>
      <c r="G2817" s="169" t="s">
        <v>380</v>
      </c>
      <c r="H2817" s="169" t="s">
        <v>467</v>
      </c>
      <c r="I2817" s="169" t="str">
        <f t="shared" si="177"/>
        <v>L08_DPVE_034E_ROBBING</v>
      </c>
      <c r="J2817" s="169" t="s">
        <v>12003</v>
      </c>
      <c r="K2817" s="169">
        <f>IFERROR(MATCH(J2817,'Final List'!$B$4:$B$252,0),0)</f>
        <v>0</v>
      </c>
      <c r="L2817" s="169">
        <f>IFERROR(MATCH(J2817,'Final List'!$D$4:$D$252,0),0)</f>
        <v>0</v>
      </c>
      <c r="M2817" s="169">
        <f>IFERROR(MATCH(J2817,'Final List'!$F$4:$F$251,0),0)</f>
        <v>0</v>
      </c>
      <c r="N2817" s="169">
        <f>IFERROR(MATCH(J2817,'Final List'!$H$4:$H$252,0),0)</f>
        <v>0</v>
      </c>
      <c r="O2817" s="169">
        <f>IFERROR(MATCH(J2817,'Final List'!$J$4:$J$252,0),0)</f>
        <v>0</v>
      </c>
      <c r="P2817" s="169">
        <f>IFERROR(MATCH(J2817,'Final List'!$L$4:$L$252,0),0)</f>
        <v>0</v>
      </c>
      <c r="Q2817" s="169">
        <f>IFERROR(MATCH(J2817,'Final List'!$N$4:$N$252,0),0)</f>
        <v>0</v>
      </c>
      <c r="R2817" s="169">
        <f>IFERROR(MATCH(J2817,'Final List'!$P$4:$P$252,0),0)</f>
        <v>0</v>
      </c>
      <c r="S2817" s="169">
        <f t="shared" si="176"/>
        <v>0</v>
      </c>
      <c r="T2817" s="169" t="s">
        <v>68</v>
      </c>
      <c r="V2817" s="169" t="str">
        <f t="shared" si="174"/>
        <v>AGLOLO 2</v>
      </c>
      <c r="W2817" s="169" t="s">
        <v>2707</v>
      </c>
    </row>
    <row r="2818" spans="2:23" x14ac:dyDescent="0.25">
      <c r="B2818" s="169" t="s">
        <v>258</v>
      </c>
      <c r="C2818" s="169" t="s">
        <v>38</v>
      </c>
      <c r="D2818" s="169" t="s">
        <v>7223</v>
      </c>
      <c r="E2818" s="169" t="s">
        <v>62</v>
      </c>
      <c r="F2818" s="245" t="str">
        <f t="shared" si="175"/>
        <v>RobS 79</v>
      </c>
      <c r="G2818" s="169" t="s">
        <v>10896</v>
      </c>
      <c r="I2818" s="169" t="str">
        <f t="shared" si="177"/>
        <v>L10_GHV_002E_ROBBING</v>
      </c>
      <c r="J2818" s="169" t="s">
        <v>12007</v>
      </c>
      <c r="K2818" s="169">
        <f>IFERROR(MATCH(J2818,'Final List'!$B$4:$B$252,0),0)</f>
        <v>0</v>
      </c>
      <c r="L2818" s="169">
        <f>IFERROR(MATCH(J2818,'Final List'!$D$4:$D$252,0),0)</f>
        <v>0</v>
      </c>
      <c r="M2818" s="169">
        <f>IFERROR(MATCH(J2818,'Final List'!$F$4:$F$251,0),0)</f>
        <v>0</v>
      </c>
      <c r="N2818" s="169">
        <f>IFERROR(MATCH(J2818,'Final List'!$H$4:$H$252,0),0)</f>
        <v>0</v>
      </c>
      <c r="O2818" s="169">
        <f>IFERROR(MATCH(J2818,'Final List'!$J$4:$J$252,0),0)</f>
        <v>0</v>
      </c>
      <c r="P2818" s="169">
        <f>IFERROR(MATCH(J2818,'Final List'!$L$4:$L$252,0),0)</f>
        <v>0</v>
      </c>
      <c r="Q2818" s="169">
        <f>IFERROR(MATCH(J2818,'Final List'!$N$4:$N$252,0),0)</f>
        <v>0</v>
      </c>
      <c r="R2818" s="169">
        <f>IFERROR(MATCH(J2818,'Final List'!$P$4:$P$252,0),0)</f>
        <v>0</v>
      </c>
      <c r="S2818" s="169">
        <f t="shared" si="176"/>
        <v>0</v>
      </c>
      <c r="T2818" s="169" t="s">
        <v>68</v>
      </c>
      <c r="V2818" s="169" t="str">
        <f t="shared" si="174"/>
        <v>SHEPHERD BC 2</v>
      </c>
      <c r="W2818" s="169" t="s">
        <v>2707</v>
      </c>
    </row>
    <row r="2819" spans="2:23" x14ac:dyDescent="0.25">
      <c r="B2819" s="169" t="s">
        <v>1166</v>
      </c>
      <c r="C2819" s="169" t="s">
        <v>45</v>
      </c>
      <c r="D2819" s="169" t="s">
        <v>179</v>
      </c>
      <c r="E2819" s="169" t="s">
        <v>20</v>
      </c>
      <c r="F2819" s="245" t="str">
        <f t="shared" ref="F2819:F2882" si="178">IF(OR(E2819="XCN",E2819="DE",E2819="DW",E2819="DN",E2819="XCS",E2819="XCE",E2819="XCW",E2819="SUMP",E2819="BYPASS",E2819="CHAMBER",E2819="DRAIN HOLE",E2819="DRILLING CHAMBER",E2819="DE_ISL",E2819="DW_ISL",E2819="REHAB"),"Dhoz 71",IF(OR(E2819="RAISE",E2819="RAISE_ISL"),"DVR 72",IF(E2819="ALIMAK","DVA 73",IF(E2819="WINZE","DVW 74",IF(E2819="SHAFT","DVS 75",IF(AND(E2819="WINZE STOPE",T2819="S"),"RobC 80",IF(AND(E2819="STOPE",T2819="S"),"StpS 77",IF(AND(E2819="WINZE STOPE",T2819="L"),"RobC 80",IF(AND(E2819="STOPE",T2819="L"),"StpL 78",IF(AND(E2819="WINZE STOPE PREP",T2819="S"),"RobC 80",IF(AND(E2819="STOPE PREP",T2819="S"),"StpS 77",IF(AND(E2819="WINZE STOPE PREP",T2819="L"),"RobC 80",IF(AND(E2819="STOPE PREP",T2819="L"),"StpL 78",IF(AND(E2819="ROBBING",T2819="L"),"RobC 80",IF(AND(E2819="ROBBING",T2819="S"),"RobS 79",0)))))))))))))))</f>
        <v>DVW 74</v>
      </c>
      <c r="G2819" s="169" t="s">
        <v>12009</v>
      </c>
      <c r="I2819" s="169" t="str">
        <f t="shared" si="177"/>
        <v>L11_DPVE_050E_WINZE</v>
      </c>
      <c r="J2819" s="169" t="s">
        <v>12036</v>
      </c>
      <c r="K2819" s="169">
        <f>IFERROR(MATCH(J2819,'Final List'!$B$4:$B$252,0),0)</f>
        <v>0</v>
      </c>
      <c r="L2819" s="169">
        <f>IFERROR(MATCH(J2819,'Final List'!$D$4:$D$252,0),0)</f>
        <v>0</v>
      </c>
      <c r="M2819" s="169">
        <f>IFERROR(MATCH(J2819,'Final List'!$F$4:$F$251,0),0)</f>
        <v>0</v>
      </c>
      <c r="N2819" s="169">
        <f>IFERROR(MATCH(J2819,'Final List'!$H$4:$H$252,0),0)</f>
        <v>0</v>
      </c>
      <c r="O2819" s="169">
        <f>IFERROR(MATCH(J2819,'Final List'!$J$4:$J$252,0),0)</f>
        <v>0</v>
      </c>
      <c r="P2819" s="169">
        <f>IFERROR(MATCH(J2819,'Final List'!$L$4:$L$252,0),0)</f>
        <v>0</v>
      </c>
      <c r="Q2819" s="169">
        <f>IFERROR(MATCH(J2819,'Final List'!$N$4:$N$252,0),0)</f>
        <v>0</v>
      </c>
      <c r="R2819" s="169">
        <f>IFERROR(MATCH(J2819,'Final List'!$P$4:$P$252,0),0)</f>
        <v>0</v>
      </c>
      <c r="S2819" s="169">
        <f t="shared" ref="S2819:S2882" si="179">SUM(K2819:R2819)</f>
        <v>0</v>
      </c>
      <c r="V2819" s="169" t="str">
        <f t="shared" si="174"/>
        <v xml:space="preserve"> ALEÑAR 2</v>
      </c>
      <c r="W2819" s="169" t="s">
        <v>2706</v>
      </c>
    </row>
    <row r="2820" spans="2:23" x14ac:dyDescent="0.25">
      <c r="B2820" s="169" t="s">
        <v>1167</v>
      </c>
      <c r="C2820" s="169" t="s">
        <v>42</v>
      </c>
      <c r="D2820" s="169" t="s">
        <v>175</v>
      </c>
      <c r="E2820" s="169" t="s">
        <v>36</v>
      </c>
      <c r="F2820" s="245" t="str">
        <f t="shared" si="178"/>
        <v>StpS 77</v>
      </c>
      <c r="G2820" s="169" t="s">
        <v>337</v>
      </c>
      <c r="I2820" s="169" t="str">
        <f t="shared" si="177"/>
        <v>L12_JV_060E_STOPE</v>
      </c>
      <c r="J2820" s="169" t="s">
        <v>12175</v>
      </c>
      <c r="K2820" s="169">
        <f>IFERROR(MATCH(J2820,'Final List'!$B$4:$B$252,0),0)</f>
        <v>0</v>
      </c>
      <c r="L2820" s="169">
        <f>IFERROR(MATCH(J2820,'Final List'!$D$4:$D$252,0),0)</f>
        <v>0</v>
      </c>
      <c r="M2820" s="169">
        <f>IFERROR(MATCH(J2820,'Final List'!$F$4:$F$251,0),0)</f>
        <v>0</v>
      </c>
      <c r="N2820" s="169">
        <f>IFERROR(MATCH(J2820,'Final List'!$H$4:$H$252,0),0)</f>
        <v>0</v>
      </c>
      <c r="O2820" s="169">
        <f>IFERROR(MATCH(J2820,'Final List'!$J$4:$J$252,0),0)</f>
        <v>0</v>
      </c>
      <c r="P2820" s="169">
        <f>IFERROR(MATCH(J2820,'Final List'!$L$4:$L$252,0),0)</f>
        <v>0</v>
      </c>
      <c r="Q2820" s="169">
        <f>IFERROR(MATCH(J2820,'Final List'!$N$4:$N$252,0),0)</f>
        <v>0</v>
      </c>
      <c r="R2820" s="169">
        <f>IFERROR(MATCH(J2820,'Final List'!$P$4:$P$252,0),0)</f>
        <v>0</v>
      </c>
      <c r="S2820" s="169">
        <f t="shared" si="179"/>
        <v>0</v>
      </c>
      <c r="T2820" s="169" t="s">
        <v>68</v>
      </c>
      <c r="V2820" s="169" t="str">
        <f t="shared" si="174"/>
        <v>BALANGHIG 2</v>
      </c>
      <c r="W2820" s="169" t="s">
        <v>2713</v>
      </c>
    </row>
    <row r="2821" spans="2:23" x14ac:dyDescent="0.25">
      <c r="B2821" s="169" t="s">
        <v>1167</v>
      </c>
      <c r="C2821" s="169" t="s">
        <v>45</v>
      </c>
      <c r="D2821" s="169" t="s">
        <v>148</v>
      </c>
      <c r="E2821" s="169" t="s">
        <v>36</v>
      </c>
      <c r="F2821" s="245" t="str">
        <f t="shared" si="178"/>
        <v>StpS 77</v>
      </c>
      <c r="G2821" s="169" t="s">
        <v>6931</v>
      </c>
      <c r="I2821" s="169" t="str">
        <f t="shared" si="177"/>
        <v>L12_DPVE_039E_STOPE</v>
      </c>
      <c r="J2821" s="169" t="s">
        <v>12176</v>
      </c>
      <c r="K2821" s="169">
        <f>IFERROR(MATCH(J2821,'Final List'!$B$4:$B$252,0),0)</f>
        <v>0</v>
      </c>
      <c r="L2821" s="169">
        <f>IFERROR(MATCH(J2821,'Final List'!$D$4:$D$252,0),0)</f>
        <v>0</v>
      </c>
      <c r="M2821" s="169">
        <f>IFERROR(MATCH(J2821,'Final List'!$F$4:$F$251,0),0)</f>
        <v>0</v>
      </c>
      <c r="N2821" s="169">
        <f>IFERROR(MATCH(J2821,'Final List'!$H$4:$H$252,0),0)</f>
        <v>0</v>
      </c>
      <c r="O2821" s="169">
        <f>IFERROR(MATCH(J2821,'Final List'!$J$4:$J$252,0),0)</f>
        <v>0</v>
      </c>
      <c r="P2821" s="169">
        <f>IFERROR(MATCH(J2821,'Final List'!$L$4:$L$252,0),0)</f>
        <v>0</v>
      </c>
      <c r="Q2821" s="169">
        <f>IFERROR(MATCH(J2821,'Final List'!$N$4:$N$252,0),0)</f>
        <v>0</v>
      </c>
      <c r="R2821" s="169">
        <f>IFERROR(MATCH(J2821,'Final List'!$P$4:$P$252,0),0)</f>
        <v>0</v>
      </c>
      <c r="S2821" s="169">
        <f t="shared" si="179"/>
        <v>0</v>
      </c>
      <c r="T2821" s="169" t="s">
        <v>68</v>
      </c>
      <c r="V2821" s="169" t="str">
        <f t="shared" si="174"/>
        <v>DUHIG, P2</v>
      </c>
      <c r="W2821" s="169" t="s">
        <v>2713</v>
      </c>
    </row>
    <row r="2822" spans="2:23" x14ac:dyDescent="0.25">
      <c r="B2822" s="169" t="s">
        <v>1167</v>
      </c>
      <c r="C2822" s="169" t="s">
        <v>45</v>
      </c>
      <c r="D2822" s="169" t="s">
        <v>5742</v>
      </c>
      <c r="E2822" s="169" t="s">
        <v>36</v>
      </c>
      <c r="F2822" s="245" t="str">
        <f t="shared" si="178"/>
        <v>StpS 77</v>
      </c>
      <c r="G2822" s="169" t="s">
        <v>6931</v>
      </c>
      <c r="I2822" s="169" t="str">
        <f t="shared" si="177"/>
        <v>L12_DPVE_040E_STOPE</v>
      </c>
      <c r="J2822" s="169" t="s">
        <v>12188</v>
      </c>
      <c r="K2822" s="169">
        <f>IFERROR(MATCH(J2822,'Final List'!$B$4:$B$252,0),0)</f>
        <v>0</v>
      </c>
      <c r="L2822" s="169">
        <f>IFERROR(MATCH(J2822,'Final List'!$D$4:$D$252,0),0)</f>
        <v>0</v>
      </c>
      <c r="M2822" s="169">
        <f>IFERROR(MATCH(J2822,'Final List'!$F$4:$F$251,0),0)</f>
        <v>0</v>
      </c>
      <c r="N2822" s="169">
        <f>IFERROR(MATCH(J2822,'Final List'!$H$4:$H$252,0),0)</f>
        <v>0</v>
      </c>
      <c r="O2822" s="169">
        <f>IFERROR(MATCH(J2822,'Final List'!$J$4:$J$252,0),0)</f>
        <v>0</v>
      </c>
      <c r="P2822" s="169">
        <f>IFERROR(MATCH(J2822,'Final List'!$L$4:$L$252,0),0)</f>
        <v>0</v>
      </c>
      <c r="Q2822" s="169">
        <f>IFERROR(MATCH(J2822,'Final List'!$N$4:$N$252,0),0)</f>
        <v>0</v>
      </c>
      <c r="R2822" s="169">
        <f>IFERROR(MATCH(J2822,'Final List'!$P$4:$P$252,0),0)</f>
        <v>0</v>
      </c>
      <c r="S2822" s="169">
        <f t="shared" si="179"/>
        <v>0</v>
      </c>
      <c r="T2822" s="169" t="s">
        <v>68</v>
      </c>
      <c r="V2822" s="169" t="str">
        <f t="shared" si="174"/>
        <v>DUHIG, P2</v>
      </c>
      <c r="W2822" s="169" t="s">
        <v>2711</v>
      </c>
    </row>
    <row r="2823" spans="2:23" x14ac:dyDescent="0.25">
      <c r="B2823" s="169" t="s">
        <v>1166</v>
      </c>
      <c r="C2823" s="169" t="s">
        <v>45</v>
      </c>
      <c r="D2823" s="169" t="s">
        <v>5912</v>
      </c>
      <c r="E2823" s="169" t="s">
        <v>36</v>
      </c>
      <c r="F2823" s="245" t="str">
        <f t="shared" si="178"/>
        <v>StpS 77</v>
      </c>
      <c r="G2823" s="169" t="s">
        <v>488</v>
      </c>
      <c r="H2823" s="169" t="s">
        <v>12072</v>
      </c>
      <c r="I2823" s="169" t="str">
        <f t="shared" si="177"/>
        <v>L11_DPVE_019E_STOPE</v>
      </c>
      <c r="J2823" s="169" t="s">
        <v>12115</v>
      </c>
      <c r="K2823" s="169">
        <f>IFERROR(MATCH(J2823,'Final List'!$B$4:$B$252,0),0)</f>
        <v>0</v>
      </c>
      <c r="L2823" s="169">
        <f>IFERROR(MATCH(J2823,'Final List'!$D$4:$D$252,0),0)</f>
        <v>0</v>
      </c>
      <c r="M2823" s="169">
        <f>IFERROR(MATCH(J2823,'Final List'!$F$4:$F$251,0),0)</f>
        <v>0</v>
      </c>
      <c r="N2823" s="169">
        <f>IFERROR(MATCH(J2823,'Final List'!$H$4:$H$252,0),0)</f>
        <v>0</v>
      </c>
      <c r="O2823" s="169">
        <f>IFERROR(MATCH(J2823,'Final List'!$J$4:$J$252,0),0)</f>
        <v>0</v>
      </c>
      <c r="P2823" s="169">
        <f>IFERROR(MATCH(J2823,'Final List'!$L$4:$L$252,0),0)</f>
        <v>0</v>
      </c>
      <c r="Q2823" s="169">
        <f>IFERROR(MATCH(J2823,'Final List'!$N$4:$N$252,0),0)</f>
        <v>0</v>
      </c>
      <c r="R2823" s="169">
        <f>IFERROR(MATCH(J2823,'Final List'!$P$4:$P$252,0),0)</f>
        <v>0</v>
      </c>
      <c r="S2823" s="169">
        <f t="shared" si="179"/>
        <v>0</v>
      </c>
      <c r="T2823" s="169" t="s">
        <v>68</v>
      </c>
      <c r="V2823" s="169" t="str">
        <f t="shared" si="174"/>
        <v>NITRO BB 1</v>
      </c>
      <c r="W2823" s="169" t="s">
        <v>2713</v>
      </c>
    </row>
    <row r="2824" spans="2:23" x14ac:dyDescent="0.25">
      <c r="B2824" s="169" t="s">
        <v>1166</v>
      </c>
      <c r="C2824" s="169" t="s">
        <v>45</v>
      </c>
      <c r="D2824" s="169" t="s">
        <v>149</v>
      </c>
      <c r="E2824" s="169" t="s">
        <v>36</v>
      </c>
      <c r="F2824" s="245" t="str">
        <f t="shared" si="178"/>
        <v>StpS 77</v>
      </c>
      <c r="G2824" s="169" t="s">
        <v>5705</v>
      </c>
      <c r="H2824" s="169" t="s">
        <v>12071</v>
      </c>
      <c r="I2824" s="169" t="str">
        <f t="shared" si="177"/>
        <v>L11_DPVE_021E_STOPE</v>
      </c>
      <c r="J2824" s="169" t="s">
        <v>12178</v>
      </c>
      <c r="K2824" s="169">
        <f>IFERROR(MATCH(J2824,'Final List'!$B$4:$B$252,0),0)</f>
        <v>0</v>
      </c>
      <c r="L2824" s="169">
        <f>IFERROR(MATCH(J2824,'Final List'!$D$4:$D$252,0),0)</f>
        <v>0</v>
      </c>
      <c r="M2824" s="169">
        <f>IFERROR(MATCH(J2824,'Final List'!$F$4:$F$251,0),0)</f>
        <v>0</v>
      </c>
      <c r="N2824" s="169">
        <f>IFERROR(MATCH(J2824,'Final List'!$H$4:$H$252,0),0)</f>
        <v>0</v>
      </c>
      <c r="O2824" s="169">
        <f>IFERROR(MATCH(J2824,'Final List'!$J$4:$J$252,0),0)</f>
        <v>0</v>
      </c>
      <c r="P2824" s="169">
        <f>IFERROR(MATCH(J2824,'Final List'!$L$4:$L$252,0),0)</f>
        <v>0</v>
      </c>
      <c r="Q2824" s="169">
        <f>IFERROR(MATCH(J2824,'Final List'!$N$4:$N$252,0),0)</f>
        <v>0</v>
      </c>
      <c r="R2824" s="169">
        <f>IFERROR(MATCH(J2824,'Final List'!$P$4:$P$252,0),0)</f>
        <v>0</v>
      </c>
      <c r="S2824" s="169">
        <f t="shared" si="179"/>
        <v>0</v>
      </c>
      <c r="T2824" s="169" t="s">
        <v>68</v>
      </c>
      <c r="V2824" s="169" t="str">
        <f t="shared" si="174"/>
        <v>NITRO BB 2</v>
      </c>
      <c r="W2824" s="169" t="s">
        <v>2713</v>
      </c>
    </row>
    <row r="2825" spans="2:23" x14ac:dyDescent="0.25">
      <c r="B2825" s="169" t="s">
        <v>95</v>
      </c>
      <c r="C2825" s="169" t="s">
        <v>57</v>
      </c>
      <c r="D2825" s="169" t="s">
        <v>130</v>
      </c>
      <c r="E2825" s="169" t="s">
        <v>62</v>
      </c>
      <c r="F2825" s="245" t="str">
        <f t="shared" si="178"/>
        <v>RobC 80</v>
      </c>
      <c r="G2825" s="169" t="s">
        <v>380</v>
      </c>
      <c r="I2825" s="169" t="str">
        <f t="shared" si="177"/>
        <v>L08_JVSPLIT_036E_ROBBING</v>
      </c>
      <c r="J2825" s="169" t="s">
        <v>12019</v>
      </c>
      <c r="K2825" s="169">
        <f>IFERROR(MATCH(J2825,'Final List'!$B$4:$B$252,0),0)</f>
        <v>0</v>
      </c>
      <c r="L2825" s="169">
        <f>IFERROR(MATCH(J2825,'Final List'!$D$4:$D$252,0),0)</f>
        <v>0</v>
      </c>
      <c r="M2825" s="169">
        <f>IFERROR(MATCH(J2825,'Final List'!$F$4:$F$251,0),0)</f>
        <v>0</v>
      </c>
      <c r="N2825" s="169">
        <f>IFERROR(MATCH(J2825,'Final List'!$H$4:$H$252,0),0)</f>
        <v>0</v>
      </c>
      <c r="O2825" s="169">
        <f>IFERROR(MATCH(J2825,'Final List'!$J$4:$J$252,0),0)</f>
        <v>0</v>
      </c>
      <c r="P2825" s="169">
        <f>IFERROR(MATCH(J2825,'Final List'!$L$4:$L$252,0),0)</f>
        <v>0</v>
      </c>
      <c r="Q2825" s="169">
        <f>IFERROR(MATCH(J2825,'Final List'!$N$4:$N$252,0),0)</f>
        <v>0</v>
      </c>
      <c r="R2825" s="169">
        <f>IFERROR(MATCH(J2825,'Final List'!$P$4:$P$252,0),0)</f>
        <v>0</v>
      </c>
      <c r="S2825" s="169">
        <f t="shared" si="179"/>
        <v>0</v>
      </c>
      <c r="T2825" s="169" t="s">
        <v>48</v>
      </c>
      <c r="V2825" s="169" t="str">
        <f t="shared" si="174"/>
        <v>AGLOLO 1</v>
      </c>
      <c r="W2825" s="169" t="s">
        <v>236</v>
      </c>
    </row>
    <row r="2826" spans="2:23" x14ac:dyDescent="0.25">
      <c r="B2826" s="169" t="s">
        <v>95</v>
      </c>
      <c r="C2826" s="169" t="s">
        <v>45</v>
      </c>
      <c r="D2826" s="169" t="s">
        <v>135</v>
      </c>
      <c r="E2826" s="169" t="s">
        <v>6154</v>
      </c>
      <c r="F2826" s="245" t="str">
        <f t="shared" si="178"/>
        <v>Dhoz 71</v>
      </c>
      <c r="G2826" s="169" t="s">
        <v>305</v>
      </c>
      <c r="I2826" s="169" t="str">
        <f t="shared" si="177"/>
        <v>L08_DPVE_034E_DW_ISL</v>
      </c>
      <c r="J2826" s="169" t="s">
        <v>12023</v>
      </c>
      <c r="K2826" s="169">
        <f>IFERROR(MATCH(J2826,'Final List'!$B$4:$B$252,0),0)</f>
        <v>0</v>
      </c>
      <c r="L2826" s="169">
        <f>IFERROR(MATCH(J2826,'Final List'!$D$4:$D$252,0),0)</f>
        <v>0</v>
      </c>
      <c r="M2826" s="169">
        <f>IFERROR(MATCH(J2826,'Final List'!$F$4:$F$251,0),0)</f>
        <v>0</v>
      </c>
      <c r="N2826" s="169">
        <f>IFERROR(MATCH(J2826,'Final List'!$H$4:$H$252,0),0)</f>
        <v>0</v>
      </c>
      <c r="O2826" s="169">
        <f>IFERROR(MATCH(J2826,'Final List'!$J$4:$J$252,0),0)</f>
        <v>0</v>
      </c>
      <c r="P2826" s="169">
        <f>IFERROR(MATCH(J2826,'Final List'!$L$4:$L$252,0),0)</f>
        <v>0</v>
      </c>
      <c r="Q2826" s="169">
        <f>IFERROR(MATCH(J2826,'Final List'!$N$4:$N$252,0),0)</f>
        <v>0</v>
      </c>
      <c r="R2826" s="169">
        <f>IFERROR(MATCH(J2826,'Final List'!$P$4:$P$252,0),0)</f>
        <v>0</v>
      </c>
      <c r="S2826" s="169">
        <f t="shared" si="179"/>
        <v>0</v>
      </c>
      <c r="V2826" s="169" t="str">
        <f t="shared" si="174"/>
        <v>CABONITA 1</v>
      </c>
      <c r="W2826" s="169" t="s">
        <v>2708</v>
      </c>
    </row>
    <row r="2827" spans="2:23" x14ac:dyDescent="0.25">
      <c r="B2827" s="169" t="s">
        <v>1167</v>
      </c>
      <c r="C2827" s="169" t="s">
        <v>56</v>
      </c>
      <c r="D2827" s="169" t="s">
        <v>167</v>
      </c>
      <c r="E2827" s="169" t="s">
        <v>36</v>
      </c>
      <c r="F2827" s="245" t="str">
        <f t="shared" si="178"/>
        <v>StpS 77</v>
      </c>
      <c r="G2827" s="169" t="s">
        <v>9965</v>
      </c>
      <c r="H2827" s="169" t="s">
        <v>12063</v>
      </c>
      <c r="I2827" s="169" t="str">
        <f t="shared" si="177"/>
        <v>L12_GHVFW_058E_STOPE</v>
      </c>
      <c r="J2827" s="169" t="s">
        <v>12141</v>
      </c>
      <c r="K2827" s="169">
        <f>IFERROR(MATCH(J2827,'Final List'!$B$4:$B$252,0),0)</f>
        <v>0</v>
      </c>
      <c r="L2827" s="169">
        <f>IFERROR(MATCH(J2827,'Final List'!$D$4:$D$252,0),0)</f>
        <v>0</v>
      </c>
      <c r="M2827" s="169">
        <f>IFERROR(MATCH(J2827,'Final List'!$F$4:$F$251,0),0)</f>
        <v>0</v>
      </c>
      <c r="N2827" s="169">
        <f>IFERROR(MATCH(J2827,'Final List'!$H$4:$H$252,0),0)</f>
        <v>0</v>
      </c>
      <c r="O2827" s="169">
        <f>IFERROR(MATCH(J2827,'Final List'!$J$4:$J$252,0),0)</f>
        <v>0</v>
      </c>
      <c r="P2827" s="169">
        <f>IFERROR(MATCH(J2827,'Final List'!$L$4:$L$252,0),0)</f>
        <v>0</v>
      </c>
      <c r="Q2827" s="169">
        <f>IFERROR(MATCH(J2827,'Final List'!$N$4:$N$252,0),0)</f>
        <v>0</v>
      </c>
      <c r="R2827" s="169">
        <f>IFERROR(MATCH(J2827,'Final List'!$P$4:$P$252,0),0)</f>
        <v>0</v>
      </c>
      <c r="S2827" s="169">
        <f t="shared" si="179"/>
        <v>0</v>
      </c>
      <c r="T2827" s="169" t="s">
        <v>68</v>
      </c>
      <c r="V2827" s="169" t="str">
        <f t="shared" si="174"/>
        <v>NITRO AT 1</v>
      </c>
      <c r="W2827" s="169" t="s">
        <v>2713</v>
      </c>
    </row>
    <row r="2828" spans="2:23" x14ac:dyDescent="0.25">
      <c r="B2828" s="169" t="s">
        <v>1166</v>
      </c>
      <c r="C2828" s="169" t="s">
        <v>45</v>
      </c>
      <c r="D2828" s="169" t="s">
        <v>118</v>
      </c>
      <c r="E2828" s="169" t="s">
        <v>19</v>
      </c>
      <c r="F2828" s="245" t="str">
        <f t="shared" si="178"/>
        <v>DVR 72</v>
      </c>
      <c r="G2828" s="169" t="s">
        <v>452</v>
      </c>
      <c r="H2828" s="169" t="s">
        <v>12072</v>
      </c>
      <c r="I2828" s="169" t="str">
        <f t="shared" si="177"/>
        <v>L11_DPVE_014E_RAISE</v>
      </c>
      <c r="J2828" s="169" t="s">
        <v>12365</v>
      </c>
      <c r="K2828" s="169">
        <f>IFERROR(MATCH(J2828,'Final List'!$B$4:$B$252,0),0)</f>
        <v>0</v>
      </c>
      <c r="L2828" s="169">
        <f>IFERROR(MATCH(J2828,'Final List'!$D$4:$D$252,0),0)</f>
        <v>0</v>
      </c>
      <c r="M2828" s="169">
        <f>IFERROR(MATCH(J2828,'Final List'!$F$4:$F$251,0),0)</f>
        <v>0</v>
      </c>
      <c r="N2828" s="169">
        <f>IFERROR(MATCH(J2828,'Final List'!$H$4:$H$252,0),0)</f>
        <v>0</v>
      </c>
      <c r="O2828" s="169">
        <f>IFERROR(MATCH(J2828,'Final List'!$J$4:$J$252,0),0)</f>
        <v>0</v>
      </c>
      <c r="P2828" s="169">
        <f>IFERROR(MATCH(J2828,'Final List'!$L$4:$L$252,0),0)</f>
        <v>0</v>
      </c>
      <c r="Q2828" s="169">
        <f>IFERROR(MATCH(J2828,'Final List'!$N$4:$N$252,0),0)</f>
        <v>0</v>
      </c>
      <c r="R2828" s="169">
        <f>IFERROR(MATCH(J2828,'Final List'!$P$4:$P$252,0),0)</f>
        <v>0</v>
      </c>
      <c r="S2828" s="169">
        <f t="shared" si="179"/>
        <v>0</v>
      </c>
      <c r="V2828" s="169" t="str">
        <f t="shared" si="174"/>
        <v>NITRO BB 1</v>
      </c>
      <c r="W2828" s="169" t="s">
        <v>2715</v>
      </c>
    </row>
    <row r="2829" spans="2:23" x14ac:dyDescent="0.25">
      <c r="B2829" s="169" t="s">
        <v>1166</v>
      </c>
      <c r="C2829" s="169" t="s">
        <v>43</v>
      </c>
      <c r="D2829" s="169" t="s">
        <v>595</v>
      </c>
      <c r="E2829" s="169" t="s">
        <v>19</v>
      </c>
      <c r="F2829" s="245" t="str">
        <f t="shared" si="178"/>
        <v>DVR 72</v>
      </c>
      <c r="G2829" s="169" t="s">
        <v>551</v>
      </c>
      <c r="H2829" s="169" t="s">
        <v>12070</v>
      </c>
      <c r="I2829" s="169" t="str">
        <f t="shared" si="177"/>
        <v>L11_GHVSPLIT_072E_RAISE</v>
      </c>
      <c r="J2829" s="169" t="s">
        <v>12027</v>
      </c>
      <c r="K2829" s="169">
        <f>IFERROR(MATCH(J2829,'Final List'!$B$4:$B$252,0),0)</f>
        <v>0</v>
      </c>
      <c r="L2829" s="169">
        <f>IFERROR(MATCH(J2829,'Final List'!$D$4:$D$252,0),0)</f>
        <v>0</v>
      </c>
      <c r="M2829" s="169">
        <f>IFERROR(MATCH(J2829,'Final List'!$F$4:$F$251,0),0)</f>
        <v>0</v>
      </c>
      <c r="N2829" s="169">
        <f>IFERROR(MATCH(J2829,'Final List'!$H$4:$H$252,0),0)</f>
        <v>0</v>
      </c>
      <c r="O2829" s="169">
        <f>IFERROR(MATCH(J2829,'Final List'!$J$4:$J$252,0),0)</f>
        <v>0</v>
      </c>
      <c r="P2829" s="169">
        <f>IFERROR(MATCH(J2829,'Final List'!$L$4:$L$252,0),0)</f>
        <v>0</v>
      </c>
      <c r="Q2829" s="169">
        <f>IFERROR(MATCH(J2829,'Final List'!$N$4:$N$252,0),0)</f>
        <v>0</v>
      </c>
      <c r="R2829" s="169">
        <f>IFERROR(MATCH(J2829,'Final List'!$P$4:$P$252,0),0)</f>
        <v>0</v>
      </c>
      <c r="S2829" s="169">
        <f t="shared" si="179"/>
        <v>0</v>
      </c>
      <c r="V2829" s="169" t="str">
        <f t="shared" si="174"/>
        <v>NITRO BB</v>
      </c>
      <c r="W2829" s="169" t="s">
        <v>2715</v>
      </c>
    </row>
    <row r="2830" spans="2:23" x14ac:dyDescent="0.25">
      <c r="B2830" s="169" t="s">
        <v>1166</v>
      </c>
      <c r="C2830" s="169" t="s">
        <v>39</v>
      </c>
      <c r="D2830" s="169" t="s">
        <v>168</v>
      </c>
      <c r="E2830" s="169" t="s">
        <v>36</v>
      </c>
      <c r="F2830" s="245" t="str">
        <f t="shared" si="178"/>
        <v>StpS 77</v>
      </c>
      <c r="G2830" s="169" t="s">
        <v>862</v>
      </c>
      <c r="I2830" s="169" t="str">
        <f t="shared" si="177"/>
        <v>L11_JVHW_047E_STOPE</v>
      </c>
      <c r="J2830" s="169" t="s">
        <v>12112</v>
      </c>
      <c r="K2830" s="169">
        <f>IFERROR(MATCH(J2830,'Final List'!$B$4:$B$252,0),0)</f>
        <v>0</v>
      </c>
      <c r="L2830" s="169">
        <f>IFERROR(MATCH(J2830,'Final List'!$D$4:$D$252,0),0)</f>
        <v>0</v>
      </c>
      <c r="M2830" s="169">
        <f>IFERROR(MATCH(J2830,'Final List'!$F$4:$F$251,0),0)</f>
        <v>0</v>
      </c>
      <c r="N2830" s="169">
        <f>IFERROR(MATCH(J2830,'Final List'!$H$4:$H$252,0),0)</f>
        <v>0</v>
      </c>
      <c r="O2830" s="169">
        <f>IFERROR(MATCH(J2830,'Final List'!$J$4:$J$252,0),0)</f>
        <v>0</v>
      </c>
      <c r="P2830" s="169">
        <f>IFERROR(MATCH(J2830,'Final List'!$L$4:$L$252,0),0)</f>
        <v>0</v>
      </c>
      <c r="Q2830" s="169">
        <f>IFERROR(MATCH(J2830,'Final List'!$N$4:$N$252,0),0)</f>
        <v>0</v>
      </c>
      <c r="R2830" s="169">
        <f>IFERROR(MATCH(J2830,'Final List'!$P$4:$P$252,0),0)</f>
        <v>0</v>
      </c>
      <c r="S2830" s="169">
        <f t="shared" si="179"/>
        <v>0</v>
      </c>
      <c r="T2830" s="169" t="s">
        <v>68</v>
      </c>
      <c r="V2830" s="169" t="str">
        <f t="shared" si="174"/>
        <v>REBOTE 1</v>
      </c>
      <c r="W2830" s="169" t="s">
        <v>2711</v>
      </c>
    </row>
    <row r="2831" spans="2:23" x14ac:dyDescent="0.25">
      <c r="B2831" s="169" t="s">
        <v>258</v>
      </c>
      <c r="C2831" s="169" t="s">
        <v>45</v>
      </c>
      <c r="D2831" s="169" t="s">
        <v>11794</v>
      </c>
      <c r="E2831" s="169" t="s">
        <v>61</v>
      </c>
      <c r="F2831" s="245" t="str">
        <f t="shared" si="178"/>
        <v>Dhoz 71</v>
      </c>
      <c r="G2831" s="169" t="s">
        <v>10502</v>
      </c>
      <c r="I2831" s="169" t="str">
        <f t="shared" si="177"/>
        <v>L10_DPVE_102E_DW</v>
      </c>
      <c r="J2831" s="169" t="s">
        <v>12030</v>
      </c>
      <c r="K2831" s="169">
        <f>IFERROR(MATCH(J2831,'Final List'!$B$4:$B$252,0),0)</f>
        <v>0</v>
      </c>
      <c r="L2831" s="169">
        <f>IFERROR(MATCH(J2831,'Final List'!$D$4:$D$252,0),0)</f>
        <v>0</v>
      </c>
      <c r="M2831" s="169">
        <f>IFERROR(MATCH(J2831,'Final List'!$F$4:$F$251,0),0)</f>
        <v>0</v>
      </c>
      <c r="N2831" s="169">
        <f>IFERROR(MATCH(J2831,'Final List'!$H$4:$H$252,0),0)</f>
        <v>0</v>
      </c>
      <c r="O2831" s="169">
        <f>IFERROR(MATCH(J2831,'Final List'!$J$4:$J$252,0),0)</f>
        <v>0</v>
      </c>
      <c r="P2831" s="169">
        <f>IFERROR(MATCH(J2831,'Final List'!$L$4:$L$252,0),0)</f>
        <v>0</v>
      </c>
      <c r="Q2831" s="169">
        <f>IFERROR(MATCH(J2831,'Final List'!$N$4:$N$252,0),0)</f>
        <v>0</v>
      </c>
      <c r="R2831" s="169">
        <f>IFERROR(MATCH(J2831,'Final List'!$P$4:$P$252,0),0)</f>
        <v>0</v>
      </c>
      <c r="S2831" s="169">
        <f t="shared" si="179"/>
        <v>0</v>
      </c>
      <c r="V2831" s="169" t="str">
        <f t="shared" ref="V2831:V2955" si="180">IF(H2831="",G2831,H2831)</f>
        <v>SHEPHERD AX</v>
      </c>
      <c r="W2831" s="169" t="s">
        <v>8896</v>
      </c>
    </row>
    <row r="2832" spans="2:23" x14ac:dyDescent="0.25">
      <c r="B2832" s="169" t="s">
        <v>1167</v>
      </c>
      <c r="C2832" s="169" t="s">
        <v>87</v>
      </c>
      <c r="D2832" s="169" t="s">
        <v>5741</v>
      </c>
      <c r="E2832" s="169" t="s">
        <v>9917</v>
      </c>
      <c r="F2832" s="245" t="s">
        <v>12992</v>
      </c>
      <c r="G2832" s="169" t="s">
        <v>7984</v>
      </c>
      <c r="I2832" s="169" t="str">
        <f t="shared" si="177"/>
        <v>L12_NONE_035E_SHAFT STATION</v>
      </c>
      <c r="J2832" s="169" t="s">
        <v>12032</v>
      </c>
      <c r="K2832" s="169">
        <f>IFERROR(MATCH(J2832,'Final List'!$B$4:$B$252,0),0)</f>
        <v>0</v>
      </c>
      <c r="L2832" s="169">
        <f>IFERROR(MATCH(J2832,'Final List'!$D$4:$D$252,0),0)</f>
        <v>0</v>
      </c>
      <c r="M2832" s="169">
        <f>IFERROR(MATCH(J2832,'Final List'!$F$4:$F$251,0),0)</f>
        <v>0</v>
      </c>
      <c r="N2832" s="169">
        <f>IFERROR(MATCH(J2832,'Final List'!$H$4:$H$252,0),0)</f>
        <v>0</v>
      </c>
      <c r="O2832" s="169">
        <f>IFERROR(MATCH(J2832,'Final List'!$J$4:$J$252,0),0)</f>
        <v>0</v>
      </c>
      <c r="P2832" s="169">
        <f>IFERROR(MATCH(J2832,'Final List'!$L$4:$L$252,0),0)</f>
        <v>0</v>
      </c>
      <c r="Q2832" s="169">
        <f>IFERROR(MATCH(J2832,'Final List'!$N$4:$N$252,0),0)</f>
        <v>0</v>
      </c>
      <c r="R2832" s="169">
        <f>IFERROR(MATCH(J2832,'Final List'!$P$4:$P$252,0),0)</f>
        <v>0</v>
      </c>
      <c r="S2832" s="169">
        <f t="shared" si="179"/>
        <v>0</v>
      </c>
      <c r="V2832" s="169" t="str">
        <f t="shared" si="180"/>
        <v>OLIVEROS</v>
      </c>
      <c r="W2832" s="169" t="s">
        <v>2714</v>
      </c>
    </row>
    <row r="2833" spans="2:23" ht="15.75" x14ac:dyDescent="0.25">
      <c r="B2833" s="169" t="s">
        <v>1167</v>
      </c>
      <c r="C2833" s="169" t="s">
        <v>59</v>
      </c>
      <c r="D2833" s="169" t="s">
        <v>226</v>
      </c>
      <c r="E2833" s="169" t="s">
        <v>60</v>
      </c>
      <c r="F2833" s="245" t="str">
        <f t="shared" si="178"/>
        <v>Dhoz 71</v>
      </c>
      <c r="G2833" s="169" t="s">
        <v>363</v>
      </c>
      <c r="H2833" s="106" t="s">
        <v>12236</v>
      </c>
      <c r="I2833" s="169" t="str">
        <f t="shared" si="177"/>
        <v>L12_GHVHW_074E_DE</v>
      </c>
      <c r="J2833" s="169" t="s">
        <v>12034</v>
      </c>
      <c r="K2833" s="169">
        <f>IFERROR(MATCH(J2833,'Final List'!$B$4:$B$252,0),0)</f>
        <v>0</v>
      </c>
      <c r="L2833" s="169">
        <f>IFERROR(MATCH(J2833,'Final List'!$D$4:$D$252,0),0)</f>
        <v>0</v>
      </c>
      <c r="M2833" s="169">
        <f>IFERROR(MATCH(J2833,'Final List'!$F$4:$F$251,0),0)</f>
        <v>0</v>
      </c>
      <c r="N2833" s="169">
        <f>IFERROR(MATCH(J2833,'Final List'!$H$4:$H$252,0),0)</f>
        <v>0</v>
      </c>
      <c r="O2833" s="169">
        <f>IFERROR(MATCH(J2833,'Final List'!$J$4:$J$252,0),0)</f>
        <v>0</v>
      </c>
      <c r="P2833" s="169">
        <f>IFERROR(MATCH(J2833,'Final List'!$L$4:$L$252,0),0)</f>
        <v>0</v>
      </c>
      <c r="Q2833" s="169">
        <f>IFERROR(MATCH(J2833,'Final List'!$N$4:$N$252,0),0)</f>
        <v>0</v>
      </c>
      <c r="R2833" s="169">
        <f>IFERROR(MATCH(J2833,'Final List'!$P$4:$P$252,0),0)</f>
        <v>0</v>
      </c>
      <c r="S2833" s="169">
        <f t="shared" si="179"/>
        <v>0</v>
      </c>
      <c r="V2833" s="169" t="str">
        <f t="shared" si="180"/>
        <v>NITRO BA 2</v>
      </c>
      <c r="W2833" s="169" t="s">
        <v>8896</v>
      </c>
    </row>
    <row r="2834" spans="2:23" x14ac:dyDescent="0.25">
      <c r="B2834" s="169" t="s">
        <v>1167</v>
      </c>
      <c r="C2834" s="169" t="s">
        <v>43</v>
      </c>
      <c r="D2834" s="169" t="s">
        <v>173</v>
      </c>
      <c r="E2834" s="169" t="s">
        <v>36</v>
      </c>
      <c r="F2834" s="245" t="str">
        <f t="shared" si="178"/>
        <v>StpS 77</v>
      </c>
      <c r="G2834" s="169" t="s">
        <v>12199</v>
      </c>
      <c r="I2834" s="169" t="str">
        <f t="shared" si="177"/>
        <v>L12_GHVSPLIT_049E_STOPE</v>
      </c>
      <c r="J2834" s="169" t="s">
        <v>12205</v>
      </c>
      <c r="K2834" s="169">
        <f>IFERROR(MATCH(J2834,'Final List'!$B$4:$B$252,0),0)</f>
        <v>0</v>
      </c>
      <c r="L2834" s="169">
        <f>IFERROR(MATCH(J2834,'Final List'!$D$4:$D$252,0),0)</f>
        <v>0</v>
      </c>
      <c r="M2834" s="169">
        <f>IFERROR(MATCH(J2834,'Final List'!$F$4:$F$251,0),0)</f>
        <v>0</v>
      </c>
      <c r="N2834" s="169">
        <f>IFERROR(MATCH(J2834,'Final List'!$H$4:$H$252,0),0)</f>
        <v>0</v>
      </c>
      <c r="O2834" s="169">
        <f>IFERROR(MATCH(J2834,'Final List'!$J$4:$J$252,0),0)</f>
        <v>0</v>
      </c>
      <c r="P2834" s="169">
        <f>IFERROR(MATCH(J2834,'Final List'!$L$4:$L$252,0),0)</f>
        <v>0</v>
      </c>
      <c r="Q2834" s="169">
        <f>IFERROR(MATCH(J2834,'Final List'!$N$4:$N$252,0),0)</f>
        <v>0</v>
      </c>
      <c r="R2834" s="169">
        <f>IFERROR(MATCH(J2834,'Final List'!$P$4:$P$252,0),0)</f>
        <v>0</v>
      </c>
      <c r="S2834" s="169">
        <f t="shared" si="179"/>
        <v>0</v>
      </c>
      <c r="T2834" s="169" t="s">
        <v>68</v>
      </c>
      <c r="V2834" s="169" t="str">
        <f t="shared" si="180"/>
        <v>NITRO BF 5</v>
      </c>
      <c r="W2834" s="169" t="s">
        <v>2713</v>
      </c>
    </row>
    <row r="2835" spans="2:23" x14ac:dyDescent="0.25">
      <c r="B2835" s="169" t="s">
        <v>1166</v>
      </c>
      <c r="C2835" s="169" t="s">
        <v>56</v>
      </c>
      <c r="D2835" s="169" t="s">
        <v>146</v>
      </c>
      <c r="E2835" s="169" t="s">
        <v>36</v>
      </c>
      <c r="F2835" s="245" t="str">
        <f t="shared" si="178"/>
        <v>StpS 77</v>
      </c>
      <c r="G2835" s="169" t="s">
        <v>10888</v>
      </c>
      <c r="I2835" s="169" t="str">
        <f t="shared" si="177"/>
        <v>L11_GHVFW_030E_STOPE</v>
      </c>
      <c r="J2835" s="169" t="s">
        <v>12094</v>
      </c>
      <c r="K2835" s="169">
        <f>IFERROR(MATCH(J2835,'Final List'!$B$4:$B$252,0),0)</f>
        <v>0</v>
      </c>
      <c r="L2835" s="169">
        <f>IFERROR(MATCH(J2835,'Final List'!$D$4:$D$252,0),0)</f>
        <v>0</v>
      </c>
      <c r="M2835" s="169">
        <f>IFERROR(MATCH(J2835,'Final List'!$F$4:$F$251,0),0)</f>
        <v>0</v>
      </c>
      <c r="N2835" s="169">
        <f>IFERROR(MATCH(J2835,'Final List'!$H$4:$H$252,0),0)</f>
        <v>0</v>
      </c>
      <c r="O2835" s="169">
        <f>IFERROR(MATCH(J2835,'Final List'!$J$4:$J$252,0),0)</f>
        <v>0</v>
      </c>
      <c r="P2835" s="169">
        <f>IFERROR(MATCH(J2835,'Final List'!$L$4:$L$252,0),0)</f>
        <v>0</v>
      </c>
      <c r="Q2835" s="169">
        <f>IFERROR(MATCH(J2835,'Final List'!$N$4:$N$252,0),0)</f>
        <v>0</v>
      </c>
      <c r="R2835" s="169">
        <f>IFERROR(MATCH(J2835,'Final List'!$P$4:$P$252,0),0)</f>
        <v>0</v>
      </c>
      <c r="S2835" s="169">
        <f t="shared" si="179"/>
        <v>0</v>
      </c>
      <c r="T2835" s="169" t="s">
        <v>68</v>
      </c>
      <c r="V2835" s="169" t="str">
        <f t="shared" si="180"/>
        <v>SHEPHERD BE 1</v>
      </c>
      <c r="W2835" s="169" t="s">
        <v>2713</v>
      </c>
    </row>
    <row r="2836" spans="2:23" x14ac:dyDescent="0.25">
      <c r="B2836" s="169" t="s">
        <v>1167</v>
      </c>
      <c r="C2836" s="169" t="s">
        <v>59</v>
      </c>
      <c r="D2836" s="169" t="s">
        <v>289</v>
      </c>
      <c r="E2836" s="169" t="s">
        <v>36</v>
      </c>
      <c r="F2836" s="245" t="str">
        <f t="shared" si="178"/>
        <v>StpS 77</v>
      </c>
      <c r="G2836" s="169" t="s">
        <v>362</v>
      </c>
      <c r="H2836" s="169" t="s">
        <v>363</v>
      </c>
      <c r="I2836" s="169" t="str">
        <f t="shared" si="177"/>
        <v>L12_GHVHW_059E_STOPE</v>
      </c>
      <c r="J2836" s="169" t="s">
        <v>12104</v>
      </c>
      <c r="K2836" s="169">
        <f>IFERROR(MATCH(J2836,'Final List'!$B$4:$B$252,0),0)</f>
        <v>0</v>
      </c>
      <c r="L2836" s="169">
        <f>IFERROR(MATCH(J2836,'Final List'!$D$4:$D$252,0),0)</f>
        <v>0</v>
      </c>
      <c r="M2836" s="169">
        <f>IFERROR(MATCH(J2836,'Final List'!$F$4:$F$251,0),0)</f>
        <v>0</v>
      </c>
      <c r="N2836" s="169">
        <f>IFERROR(MATCH(J2836,'Final List'!$H$4:$H$252,0),0)</f>
        <v>0</v>
      </c>
      <c r="O2836" s="169">
        <f>IFERROR(MATCH(J2836,'Final List'!$J$4:$J$252,0),0)</f>
        <v>0</v>
      </c>
      <c r="P2836" s="169">
        <f>IFERROR(MATCH(J2836,'Final List'!$L$4:$L$252,0),0)</f>
        <v>0</v>
      </c>
      <c r="Q2836" s="169">
        <f>IFERROR(MATCH(J2836,'Final List'!$N$4:$N$252,0),0)</f>
        <v>0</v>
      </c>
      <c r="R2836" s="169">
        <f>IFERROR(MATCH(J2836,'Final List'!$P$4:$P$252,0),0)</f>
        <v>0</v>
      </c>
      <c r="S2836" s="169">
        <f t="shared" si="179"/>
        <v>0</v>
      </c>
      <c r="T2836" s="169" t="s">
        <v>68</v>
      </c>
      <c r="V2836" s="169" t="str">
        <f t="shared" si="180"/>
        <v>BABOR 2</v>
      </c>
      <c r="W2836" s="169" t="s">
        <v>2713</v>
      </c>
    </row>
    <row r="2837" spans="2:23" x14ac:dyDescent="0.25">
      <c r="B2837" s="169" t="s">
        <v>1166</v>
      </c>
      <c r="C2837" s="169" t="s">
        <v>38</v>
      </c>
      <c r="D2837" s="169" t="s">
        <v>142</v>
      </c>
      <c r="E2837" s="169" t="s">
        <v>61</v>
      </c>
      <c r="F2837" s="245" t="str">
        <f t="shared" si="178"/>
        <v>Dhoz 71</v>
      </c>
      <c r="G2837" s="169" t="s">
        <v>474</v>
      </c>
      <c r="H2837" s="169" t="s">
        <v>12513</v>
      </c>
      <c r="I2837" s="169" t="str">
        <f t="shared" si="177"/>
        <v>L11_GHV_038E_DW</v>
      </c>
      <c r="J2837" s="169" t="s">
        <v>12041</v>
      </c>
      <c r="K2837" s="169">
        <f>IFERROR(MATCH(J2837,'Final List'!$B$4:$B$252,0),0)</f>
        <v>0</v>
      </c>
      <c r="L2837" s="169">
        <f>IFERROR(MATCH(J2837,'Final List'!$D$4:$D$252,0),0)</f>
        <v>0</v>
      </c>
      <c r="M2837" s="169">
        <f>IFERROR(MATCH(J2837,'Final List'!$F$4:$F$251,0),0)</f>
        <v>0</v>
      </c>
      <c r="N2837" s="169">
        <f>IFERROR(MATCH(J2837,'Final List'!$H$4:$H$252,0),0)</f>
        <v>0</v>
      </c>
      <c r="O2837" s="169">
        <f>IFERROR(MATCH(J2837,'Final List'!$J$4:$J$252,0),0)</f>
        <v>0</v>
      </c>
      <c r="P2837" s="169">
        <f>IFERROR(MATCH(J2837,'Final List'!$L$4:$L$252,0),0)</f>
        <v>0</v>
      </c>
      <c r="Q2837" s="169">
        <f>IFERROR(MATCH(J2837,'Final List'!$N$4:$N$252,0),0)</f>
        <v>0</v>
      </c>
      <c r="R2837" s="169">
        <f>IFERROR(MATCH(J2837,'Final List'!$P$4:$P$252,0),0)</f>
        <v>0</v>
      </c>
      <c r="S2837" s="169">
        <f t="shared" si="179"/>
        <v>0</v>
      </c>
      <c r="V2837" s="169" t="str">
        <f t="shared" si="180"/>
        <v>NITRO BK 1</v>
      </c>
      <c r="W2837" s="169" t="s">
        <v>8896</v>
      </c>
    </row>
    <row r="2838" spans="2:23" x14ac:dyDescent="0.25">
      <c r="B2838" s="169" t="s">
        <v>1167</v>
      </c>
      <c r="C2838" s="169" t="s">
        <v>39</v>
      </c>
      <c r="D2838" s="169" t="s">
        <v>164</v>
      </c>
      <c r="E2838" s="169" t="s">
        <v>61</v>
      </c>
      <c r="F2838" s="245" t="str">
        <f t="shared" si="178"/>
        <v>Dhoz 71</v>
      </c>
      <c r="G2838" s="169" t="s">
        <v>318</v>
      </c>
      <c r="H2838" s="169" t="s">
        <v>10253</v>
      </c>
      <c r="I2838" s="169" t="str">
        <f t="shared" si="177"/>
        <v>L12_JVHW_064E_DW</v>
      </c>
      <c r="J2838" s="169" t="s">
        <v>12099</v>
      </c>
      <c r="K2838" s="169">
        <f>IFERROR(MATCH(J2838,'Final List'!$B$4:$B$252,0),0)</f>
        <v>0</v>
      </c>
      <c r="L2838" s="169">
        <f>IFERROR(MATCH(J2838,'Final List'!$D$4:$D$252,0),0)</f>
        <v>0</v>
      </c>
      <c r="M2838" s="169">
        <f>IFERROR(MATCH(J2838,'Final List'!$F$4:$F$251,0),0)</f>
        <v>0</v>
      </c>
      <c r="N2838" s="169">
        <f>IFERROR(MATCH(J2838,'Final List'!$H$4:$H$252,0),0)</f>
        <v>0</v>
      </c>
      <c r="O2838" s="169">
        <f>IFERROR(MATCH(J2838,'Final List'!$J$4:$J$252,0),0)</f>
        <v>0</v>
      </c>
      <c r="P2838" s="169">
        <f>IFERROR(MATCH(J2838,'Final List'!$L$4:$L$252,0),0)</f>
        <v>0</v>
      </c>
      <c r="Q2838" s="169">
        <f>IFERROR(MATCH(J2838,'Final List'!$N$4:$N$252,0),0)</f>
        <v>0</v>
      </c>
      <c r="R2838" s="169">
        <f>IFERROR(MATCH(J2838,'Final List'!$P$4:$P$252,0),0)</f>
        <v>0</v>
      </c>
      <c r="S2838" s="169">
        <f t="shared" si="179"/>
        <v>0</v>
      </c>
      <c r="V2838" s="169" t="str">
        <f t="shared" si="180"/>
        <v>PANSIT NORMAN 4</v>
      </c>
      <c r="W2838" s="169" t="s">
        <v>8896</v>
      </c>
    </row>
    <row r="2839" spans="2:23" x14ac:dyDescent="0.25">
      <c r="B2839" s="169" t="s">
        <v>258</v>
      </c>
      <c r="C2839" s="169" t="s">
        <v>87</v>
      </c>
      <c r="D2839" s="169" t="s">
        <v>5689</v>
      </c>
      <c r="E2839" s="169" t="s">
        <v>63</v>
      </c>
      <c r="F2839" s="245" t="str">
        <f t="shared" si="178"/>
        <v>Dhoz 71</v>
      </c>
      <c r="G2839" s="169" t="s">
        <v>10895</v>
      </c>
      <c r="I2839" s="169" t="str">
        <f t="shared" si="177"/>
        <v>L10_NONE_003E_XCS</v>
      </c>
      <c r="J2839" s="169" t="s">
        <v>12051</v>
      </c>
      <c r="K2839" s="169">
        <f>IFERROR(MATCH(J2839,'Final List'!$B$4:$B$252,0),0)</f>
        <v>0</v>
      </c>
      <c r="L2839" s="169">
        <f>IFERROR(MATCH(J2839,'Final List'!$D$4:$D$252,0),0)</f>
        <v>0</v>
      </c>
      <c r="M2839" s="169">
        <f>IFERROR(MATCH(J2839,'Final List'!$F$4:$F$251,0),0)</f>
        <v>0</v>
      </c>
      <c r="N2839" s="169">
        <f>IFERROR(MATCH(J2839,'Final List'!$H$4:$H$252,0),0)</f>
        <v>0</v>
      </c>
      <c r="O2839" s="169">
        <f>IFERROR(MATCH(J2839,'Final List'!$J$4:$J$252,0),0)</f>
        <v>0</v>
      </c>
      <c r="P2839" s="169">
        <f>IFERROR(MATCH(J2839,'Final List'!$L$4:$L$252,0),0)</f>
        <v>0</v>
      </c>
      <c r="Q2839" s="169">
        <f>IFERROR(MATCH(J2839,'Final List'!$N$4:$N$252,0),0)</f>
        <v>0</v>
      </c>
      <c r="R2839" s="169">
        <f>IFERROR(MATCH(J2839,'Final List'!$P$4:$P$252,0),0)</f>
        <v>0</v>
      </c>
      <c r="S2839" s="169">
        <f t="shared" si="179"/>
        <v>0</v>
      </c>
      <c r="V2839" s="169" t="str">
        <f t="shared" si="180"/>
        <v>SHEPHERD BC 1</v>
      </c>
      <c r="W2839" s="169" t="s">
        <v>8898</v>
      </c>
    </row>
    <row r="2840" spans="2:23" x14ac:dyDescent="0.25">
      <c r="B2840" s="169" t="s">
        <v>1166</v>
      </c>
      <c r="C2840" s="169" t="s">
        <v>59</v>
      </c>
      <c r="D2840" s="169" t="s">
        <v>166</v>
      </c>
      <c r="E2840" s="169" t="s">
        <v>20</v>
      </c>
      <c r="F2840" s="245" t="str">
        <f t="shared" si="178"/>
        <v>DVW 74</v>
      </c>
      <c r="G2840" s="169" t="s">
        <v>11469</v>
      </c>
      <c r="I2840" s="169" t="str">
        <f t="shared" si="177"/>
        <v>L11_GHVHW_068E_WINZE</v>
      </c>
      <c r="J2840" s="169" t="s">
        <v>12052</v>
      </c>
      <c r="K2840" s="169">
        <f>IFERROR(MATCH(J2840,'Final List'!$B$4:$B$252,0),0)</f>
        <v>0</v>
      </c>
      <c r="L2840" s="169">
        <f>IFERROR(MATCH(J2840,'Final List'!$D$4:$D$252,0),0)</f>
        <v>0</v>
      </c>
      <c r="M2840" s="169">
        <f>IFERROR(MATCH(J2840,'Final List'!$F$4:$F$251,0),0)</f>
        <v>0</v>
      </c>
      <c r="N2840" s="169">
        <f>IFERROR(MATCH(J2840,'Final List'!$H$4:$H$252,0),0)</f>
        <v>0</v>
      </c>
      <c r="O2840" s="169">
        <f>IFERROR(MATCH(J2840,'Final List'!$J$4:$J$252,0),0)</f>
        <v>0</v>
      </c>
      <c r="P2840" s="169">
        <f>IFERROR(MATCH(J2840,'Final List'!$L$4:$L$252,0),0)</f>
        <v>0</v>
      </c>
      <c r="Q2840" s="169">
        <f>IFERROR(MATCH(J2840,'Final List'!$N$4:$N$252,0),0)</f>
        <v>0</v>
      </c>
      <c r="R2840" s="169">
        <f>IFERROR(MATCH(J2840,'Final List'!$P$4:$P$252,0),0)</f>
        <v>0</v>
      </c>
      <c r="S2840" s="169">
        <f t="shared" si="179"/>
        <v>0</v>
      </c>
      <c r="V2840" s="169" t="str">
        <f t="shared" si="180"/>
        <v>MARTINEZ, DN 5</v>
      </c>
      <c r="W2840" s="169" t="s">
        <v>2706</v>
      </c>
    </row>
    <row r="2841" spans="2:23" x14ac:dyDescent="0.25">
      <c r="B2841" s="169" t="s">
        <v>8904</v>
      </c>
      <c r="C2841" s="169" t="s">
        <v>57</v>
      </c>
      <c r="D2841" s="169" t="s">
        <v>195</v>
      </c>
      <c r="E2841" s="169" t="s">
        <v>62</v>
      </c>
      <c r="F2841" s="245" t="str">
        <f t="shared" si="178"/>
        <v>RobS 79</v>
      </c>
      <c r="G2841" s="169" t="s">
        <v>9366</v>
      </c>
      <c r="I2841" s="169" t="str">
        <f t="shared" si="177"/>
        <v>L03_JVSPLIT_008W_ROBBING</v>
      </c>
      <c r="J2841" s="169" t="s">
        <v>12053</v>
      </c>
      <c r="K2841" s="169">
        <f>IFERROR(MATCH(J2841,'Final List'!$B$4:$B$252,0),0)</f>
        <v>0</v>
      </c>
      <c r="L2841" s="169">
        <f>IFERROR(MATCH(J2841,'Final List'!$D$4:$D$252,0),0)</f>
        <v>0</v>
      </c>
      <c r="M2841" s="169">
        <f>IFERROR(MATCH(J2841,'Final List'!$F$4:$F$251,0),0)</f>
        <v>0</v>
      </c>
      <c r="N2841" s="169">
        <f>IFERROR(MATCH(J2841,'Final List'!$H$4:$H$252,0),0)</f>
        <v>0</v>
      </c>
      <c r="O2841" s="169">
        <f>IFERROR(MATCH(J2841,'Final List'!$J$4:$J$252,0),0)</f>
        <v>0</v>
      </c>
      <c r="P2841" s="169">
        <f>IFERROR(MATCH(J2841,'Final List'!$L$4:$L$252,0),0)</f>
        <v>0</v>
      </c>
      <c r="Q2841" s="169">
        <f>IFERROR(MATCH(J2841,'Final List'!$N$4:$N$252,0),0)</f>
        <v>0</v>
      </c>
      <c r="R2841" s="169">
        <f>IFERROR(MATCH(J2841,'Final List'!$P$4:$P$252,0),0)</f>
        <v>0</v>
      </c>
      <c r="S2841" s="169">
        <f t="shared" si="179"/>
        <v>0</v>
      </c>
      <c r="T2841" s="169" t="s">
        <v>68</v>
      </c>
      <c r="V2841" s="169" t="str">
        <f t="shared" si="180"/>
        <v>FERNANDEZ, RM 2</v>
      </c>
      <c r="W2841" s="169" t="s">
        <v>2707</v>
      </c>
    </row>
    <row r="2842" spans="2:23" x14ac:dyDescent="0.25">
      <c r="B2842" s="169" t="s">
        <v>95</v>
      </c>
      <c r="C2842" s="169" t="s">
        <v>56</v>
      </c>
      <c r="D2842" s="169" t="s">
        <v>106</v>
      </c>
      <c r="E2842" s="169" t="s">
        <v>62</v>
      </c>
      <c r="F2842" s="245" t="str">
        <f t="shared" si="178"/>
        <v>RobS 79</v>
      </c>
      <c r="G2842" s="169" t="s">
        <v>305</v>
      </c>
      <c r="I2842" s="169" t="str">
        <f t="shared" si="177"/>
        <v>L08_GHVFW_033W_ROBBING</v>
      </c>
      <c r="J2842" s="169" t="s">
        <v>12054</v>
      </c>
      <c r="K2842" s="169">
        <f>IFERROR(MATCH(J2842,'Final List'!$B$4:$B$252,0),0)</f>
        <v>0</v>
      </c>
      <c r="L2842" s="169">
        <f>IFERROR(MATCH(J2842,'Final List'!$D$4:$D$252,0),0)</f>
        <v>0</v>
      </c>
      <c r="M2842" s="169">
        <f>IFERROR(MATCH(J2842,'Final List'!$F$4:$F$251,0),0)</f>
        <v>0</v>
      </c>
      <c r="N2842" s="169">
        <f>IFERROR(MATCH(J2842,'Final List'!$H$4:$H$252,0),0)</f>
        <v>0</v>
      </c>
      <c r="O2842" s="169">
        <f>IFERROR(MATCH(J2842,'Final List'!$J$4:$J$252,0),0)</f>
        <v>0</v>
      </c>
      <c r="P2842" s="169">
        <f>IFERROR(MATCH(J2842,'Final List'!$L$4:$L$252,0),0)</f>
        <v>0</v>
      </c>
      <c r="Q2842" s="169">
        <f>IFERROR(MATCH(J2842,'Final List'!$N$4:$N$252,0),0)</f>
        <v>0</v>
      </c>
      <c r="R2842" s="169">
        <f>IFERROR(MATCH(J2842,'Final List'!$P$4:$P$252,0),0)</f>
        <v>0</v>
      </c>
      <c r="S2842" s="169">
        <f t="shared" si="179"/>
        <v>0</v>
      </c>
      <c r="T2842" s="169" t="s">
        <v>68</v>
      </c>
      <c r="V2842" s="169" t="str">
        <f t="shared" si="180"/>
        <v>CABONITA 1</v>
      </c>
      <c r="W2842" s="169" t="s">
        <v>2707</v>
      </c>
    </row>
    <row r="2843" spans="2:23" x14ac:dyDescent="0.25">
      <c r="B2843" s="169" t="s">
        <v>1166</v>
      </c>
      <c r="C2843" s="169" t="s">
        <v>45</v>
      </c>
      <c r="D2843" s="169" t="s">
        <v>5631</v>
      </c>
      <c r="E2843" s="169" t="s">
        <v>61</v>
      </c>
      <c r="F2843" s="245" t="str">
        <f t="shared" si="178"/>
        <v>Dhoz 71</v>
      </c>
      <c r="G2843" s="169" t="s">
        <v>368</v>
      </c>
      <c r="I2843" s="169" t="str">
        <f t="shared" si="177"/>
        <v>L11_DPVE_020E_DW</v>
      </c>
      <c r="J2843" s="169" t="s">
        <v>12056</v>
      </c>
      <c r="K2843" s="169">
        <f>IFERROR(MATCH(J2843,'Final List'!$B$4:$B$252,0),0)</f>
        <v>0</v>
      </c>
      <c r="L2843" s="169">
        <f>IFERROR(MATCH(J2843,'Final List'!$D$4:$D$252,0),0)</f>
        <v>0</v>
      </c>
      <c r="M2843" s="169">
        <f>IFERROR(MATCH(J2843,'Final List'!$F$4:$F$251,0),0)</f>
        <v>0</v>
      </c>
      <c r="N2843" s="169">
        <f>IFERROR(MATCH(J2843,'Final List'!$H$4:$H$252,0),0)</f>
        <v>0</v>
      </c>
      <c r="O2843" s="169">
        <f>IFERROR(MATCH(J2843,'Final List'!$J$4:$J$252,0),0)</f>
        <v>0</v>
      </c>
      <c r="P2843" s="169">
        <f>IFERROR(MATCH(J2843,'Final List'!$L$4:$L$252,0),0)</f>
        <v>0</v>
      </c>
      <c r="Q2843" s="169">
        <f>IFERROR(MATCH(J2843,'Final List'!$N$4:$N$252,0),0)</f>
        <v>0</v>
      </c>
      <c r="R2843" s="169">
        <f>IFERROR(MATCH(J2843,'Final List'!$P$4:$P$252,0),0)</f>
        <v>0</v>
      </c>
      <c r="S2843" s="169">
        <f t="shared" si="179"/>
        <v>0</v>
      </c>
      <c r="V2843" s="169" t="str">
        <f t="shared" si="180"/>
        <v>LERIO 2</v>
      </c>
      <c r="W2843" s="169" t="s">
        <v>8896</v>
      </c>
    </row>
    <row r="2844" spans="2:23" x14ac:dyDescent="0.25">
      <c r="B2844" s="169" t="s">
        <v>258</v>
      </c>
      <c r="C2844" s="169" t="s">
        <v>38</v>
      </c>
      <c r="D2844" s="169" t="s">
        <v>109</v>
      </c>
      <c r="E2844" s="169" t="s">
        <v>20</v>
      </c>
      <c r="F2844" s="245" t="str">
        <f t="shared" si="178"/>
        <v>DVW 74</v>
      </c>
      <c r="G2844" s="169" t="s">
        <v>10896</v>
      </c>
      <c r="I2844" s="169" t="str">
        <f t="shared" si="177"/>
        <v>L10_GHV_002W_WINZE</v>
      </c>
      <c r="J2844" s="169" t="s">
        <v>12059</v>
      </c>
      <c r="K2844" s="169">
        <f>IFERROR(MATCH(J2844,'Final List'!$B$4:$B$252,0),0)</f>
        <v>0</v>
      </c>
      <c r="L2844" s="169">
        <f>IFERROR(MATCH(J2844,'Final List'!$D$4:$D$252,0),0)</f>
        <v>0</v>
      </c>
      <c r="M2844" s="169">
        <f>IFERROR(MATCH(J2844,'Final List'!$F$4:$F$251,0),0)</f>
        <v>0</v>
      </c>
      <c r="N2844" s="169">
        <f>IFERROR(MATCH(J2844,'Final List'!$H$4:$H$252,0),0)</f>
        <v>0</v>
      </c>
      <c r="O2844" s="169">
        <f>IFERROR(MATCH(J2844,'Final List'!$J$4:$J$252,0),0)</f>
        <v>0</v>
      </c>
      <c r="P2844" s="169">
        <f>IFERROR(MATCH(J2844,'Final List'!$L$4:$L$252,0),0)</f>
        <v>0</v>
      </c>
      <c r="Q2844" s="169">
        <f>IFERROR(MATCH(J2844,'Final List'!$N$4:$N$252,0),0)</f>
        <v>0</v>
      </c>
      <c r="R2844" s="169">
        <f>IFERROR(MATCH(J2844,'Final List'!$P$4:$P$252,0),0)</f>
        <v>0</v>
      </c>
      <c r="S2844" s="169">
        <f t="shared" si="179"/>
        <v>0</v>
      </c>
      <c r="V2844" s="169" t="str">
        <f t="shared" si="180"/>
        <v>SHEPHERD BC 2</v>
      </c>
      <c r="W2844" s="169" t="s">
        <v>2706</v>
      </c>
    </row>
    <row r="2845" spans="2:23" x14ac:dyDescent="0.25">
      <c r="B2845" s="169" t="s">
        <v>258</v>
      </c>
      <c r="C2845" s="169" t="s">
        <v>12074</v>
      </c>
      <c r="D2845" s="169" t="s">
        <v>197</v>
      </c>
      <c r="E2845" s="169" t="s">
        <v>62</v>
      </c>
      <c r="F2845" s="245" t="str">
        <f t="shared" si="178"/>
        <v>RobS 79</v>
      </c>
      <c r="G2845" s="169" t="s">
        <v>5697</v>
      </c>
      <c r="I2845" s="169" t="str">
        <f t="shared" si="177"/>
        <v>L10_DPVB_070E_ROBBING</v>
      </c>
      <c r="J2845" s="169" t="s">
        <v>12075</v>
      </c>
      <c r="K2845" s="169">
        <f>IFERROR(MATCH(J2845,'Final List'!$B$4:$B$252,0),0)</f>
        <v>0</v>
      </c>
      <c r="L2845" s="169">
        <f>IFERROR(MATCH(J2845,'Final List'!$D$4:$D$252,0),0)</f>
        <v>0</v>
      </c>
      <c r="M2845" s="169">
        <f>IFERROR(MATCH(J2845,'Final List'!$F$4:$F$251,0),0)</f>
        <v>0</v>
      </c>
      <c r="N2845" s="169">
        <f>IFERROR(MATCH(J2845,'Final List'!$H$4:$H$252,0),0)</f>
        <v>0</v>
      </c>
      <c r="O2845" s="169">
        <f>IFERROR(MATCH(J2845,'Final List'!$J$4:$J$252,0),0)</f>
        <v>0</v>
      </c>
      <c r="P2845" s="169">
        <f>IFERROR(MATCH(J2845,'Final List'!$L$4:$L$252,0),0)</f>
        <v>0</v>
      </c>
      <c r="Q2845" s="169">
        <f>IFERROR(MATCH(J2845,'Final List'!$N$4:$N$252,0),0)</f>
        <v>0</v>
      </c>
      <c r="R2845" s="169">
        <f>IFERROR(MATCH(J2845,'Final List'!$P$4:$P$252,0),0)</f>
        <v>0</v>
      </c>
      <c r="S2845" s="169">
        <f t="shared" si="179"/>
        <v>0</v>
      </c>
      <c r="T2845" s="169" t="s">
        <v>68</v>
      </c>
      <c r="V2845" s="169" t="str">
        <f t="shared" si="180"/>
        <v>OLIVEROS 1</v>
      </c>
      <c r="W2845" s="169" t="s">
        <v>2707</v>
      </c>
    </row>
    <row r="2846" spans="2:23" x14ac:dyDescent="0.25">
      <c r="B2846" s="169" t="s">
        <v>1166</v>
      </c>
      <c r="C2846" s="169" t="s">
        <v>59</v>
      </c>
      <c r="D2846" s="169" t="s">
        <v>870</v>
      </c>
      <c r="E2846" s="169" t="s">
        <v>60</v>
      </c>
      <c r="F2846" s="245" t="str">
        <f t="shared" si="178"/>
        <v>Dhoz 71</v>
      </c>
      <c r="G2846" s="169" t="s">
        <v>551</v>
      </c>
      <c r="H2846" s="169" t="s">
        <v>352</v>
      </c>
      <c r="I2846" s="169" t="str">
        <f t="shared" si="177"/>
        <v>L11_GHVHW_073E_DE</v>
      </c>
      <c r="J2846" s="169" t="s">
        <v>12078</v>
      </c>
      <c r="K2846" s="169">
        <f>IFERROR(MATCH(J2846,'Final List'!$B$4:$B$252,0),0)</f>
        <v>0</v>
      </c>
      <c r="L2846" s="169">
        <f>IFERROR(MATCH(J2846,'Final List'!$D$4:$D$252,0),0)</f>
        <v>0</v>
      </c>
      <c r="M2846" s="169">
        <f>IFERROR(MATCH(J2846,'Final List'!$F$4:$F$251,0),0)</f>
        <v>0</v>
      </c>
      <c r="N2846" s="169">
        <f>IFERROR(MATCH(J2846,'Final List'!$H$4:$H$252,0),0)</f>
        <v>0</v>
      </c>
      <c r="O2846" s="169">
        <f>IFERROR(MATCH(J2846,'Final List'!$J$4:$J$252,0),0)</f>
        <v>0</v>
      </c>
      <c r="P2846" s="169">
        <f>IFERROR(MATCH(J2846,'Final List'!$L$4:$L$252,0),0)</f>
        <v>0</v>
      </c>
      <c r="Q2846" s="169">
        <f>IFERROR(MATCH(J2846,'Final List'!$N$4:$N$252,0),0)</f>
        <v>0</v>
      </c>
      <c r="R2846" s="169">
        <f>IFERROR(MATCH(J2846,'Final List'!$P$4:$P$252,0),0)</f>
        <v>0</v>
      </c>
      <c r="S2846" s="169">
        <f t="shared" si="179"/>
        <v>0</v>
      </c>
      <c r="V2846" s="169" t="str">
        <f t="shared" si="180"/>
        <v>BAÑEZ 5</v>
      </c>
      <c r="W2846" s="169" t="s">
        <v>8896</v>
      </c>
    </row>
    <row r="2847" spans="2:23" x14ac:dyDescent="0.25">
      <c r="B2847" s="169" t="s">
        <v>1166</v>
      </c>
      <c r="C2847" s="169" t="s">
        <v>39</v>
      </c>
      <c r="D2847" s="169" t="s">
        <v>123</v>
      </c>
      <c r="E2847" s="169" t="s">
        <v>60</v>
      </c>
      <c r="F2847" s="245" t="str">
        <f t="shared" si="178"/>
        <v>Dhoz 71</v>
      </c>
      <c r="G2847" s="169" t="s">
        <v>11884</v>
      </c>
      <c r="I2847" s="169" t="str">
        <f t="shared" si="177"/>
        <v>L11_JVHW_031E_DE</v>
      </c>
      <c r="J2847" s="169" t="s">
        <v>12079</v>
      </c>
      <c r="K2847" s="169">
        <f>IFERROR(MATCH(J2847,'Final List'!$B$4:$B$252,0),0)</f>
        <v>0</v>
      </c>
      <c r="L2847" s="169">
        <f>IFERROR(MATCH(J2847,'Final List'!$D$4:$D$252,0),0)</f>
        <v>0</v>
      </c>
      <c r="M2847" s="169">
        <f>IFERROR(MATCH(J2847,'Final List'!$F$4:$F$251,0),0)</f>
        <v>0</v>
      </c>
      <c r="N2847" s="169">
        <f>IFERROR(MATCH(J2847,'Final List'!$H$4:$H$252,0),0)</f>
        <v>0</v>
      </c>
      <c r="O2847" s="169">
        <f>IFERROR(MATCH(J2847,'Final List'!$J$4:$J$252,0),0)</f>
        <v>0</v>
      </c>
      <c r="P2847" s="169">
        <f>IFERROR(MATCH(J2847,'Final List'!$L$4:$L$252,0),0)</f>
        <v>0</v>
      </c>
      <c r="Q2847" s="169">
        <f>IFERROR(MATCH(J2847,'Final List'!$N$4:$N$252,0),0)</f>
        <v>0</v>
      </c>
      <c r="R2847" s="169">
        <f>IFERROR(MATCH(J2847,'Final List'!$P$4:$P$252,0),0)</f>
        <v>0</v>
      </c>
      <c r="S2847" s="169">
        <f t="shared" si="179"/>
        <v>0</v>
      </c>
      <c r="V2847" s="169" t="str">
        <f t="shared" si="180"/>
        <v>DUHIG, R</v>
      </c>
      <c r="W2847" s="169" t="s">
        <v>8896</v>
      </c>
    </row>
    <row r="2848" spans="2:23" x14ac:dyDescent="0.25">
      <c r="B2848" s="169" t="s">
        <v>1166</v>
      </c>
      <c r="C2848" s="169" t="s">
        <v>39</v>
      </c>
      <c r="D2848" s="169" t="s">
        <v>159</v>
      </c>
      <c r="E2848" s="169" t="s">
        <v>19</v>
      </c>
      <c r="F2848" s="245" t="str">
        <f t="shared" si="178"/>
        <v>DVR 72</v>
      </c>
      <c r="G2848" s="169" t="s">
        <v>5720</v>
      </c>
      <c r="H2848" s="169" t="s">
        <v>342</v>
      </c>
      <c r="I2848" s="169" t="str">
        <f t="shared" si="177"/>
        <v>L11_JVHW_023E_RAISE</v>
      </c>
      <c r="J2848" s="169" t="s">
        <v>12080</v>
      </c>
      <c r="K2848" s="169">
        <f>IFERROR(MATCH(J2848,'Final List'!$B$4:$B$252,0),0)</f>
        <v>0</v>
      </c>
      <c r="L2848" s="169">
        <f>IFERROR(MATCH(J2848,'Final List'!$D$4:$D$252,0),0)</f>
        <v>0</v>
      </c>
      <c r="M2848" s="169">
        <f>IFERROR(MATCH(J2848,'Final List'!$F$4:$F$251,0),0)</f>
        <v>0</v>
      </c>
      <c r="N2848" s="169">
        <f>IFERROR(MATCH(J2848,'Final List'!$H$4:$H$252,0),0)</f>
        <v>0</v>
      </c>
      <c r="O2848" s="169">
        <f>IFERROR(MATCH(J2848,'Final List'!$J$4:$J$252,0),0)</f>
        <v>0</v>
      </c>
      <c r="P2848" s="169">
        <f>IFERROR(MATCH(J2848,'Final List'!$L$4:$L$252,0),0)</f>
        <v>0</v>
      </c>
      <c r="Q2848" s="169">
        <f>IFERROR(MATCH(J2848,'Final List'!$N$4:$N$252,0),0)</f>
        <v>0</v>
      </c>
      <c r="R2848" s="169">
        <f>IFERROR(MATCH(J2848,'Final List'!$P$4:$P$252,0),0)</f>
        <v>0</v>
      </c>
      <c r="S2848" s="169">
        <f t="shared" si="179"/>
        <v>0</v>
      </c>
      <c r="V2848" s="169" t="str">
        <f t="shared" si="180"/>
        <v>BADBADON 2</v>
      </c>
      <c r="W2848" s="169" t="s">
        <v>2715</v>
      </c>
    </row>
    <row r="2849" spans="2:23" x14ac:dyDescent="0.25">
      <c r="B2849" s="169" t="s">
        <v>258</v>
      </c>
      <c r="C2849" s="169" t="s">
        <v>45</v>
      </c>
      <c r="D2849" s="169" t="s">
        <v>197</v>
      </c>
      <c r="E2849" s="169" t="s">
        <v>62</v>
      </c>
      <c r="F2849" s="245" t="str">
        <f t="shared" si="178"/>
        <v>RobS 79</v>
      </c>
      <c r="G2849" s="169" t="s">
        <v>5697</v>
      </c>
      <c r="I2849" s="169" t="str">
        <f t="shared" si="177"/>
        <v>L10_DPVE_070E_ROBBING</v>
      </c>
      <c r="J2849" s="169" t="s">
        <v>12073</v>
      </c>
      <c r="K2849" s="169">
        <f>IFERROR(MATCH(J2849,'Final List'!$B$4:$B$252,0),0)</f>
        <v>0</v>
      </c>
      <c r="L2849" s="169">
        <f>IFERROR(MATCH(J2849,'Final List'!$D$4:$D$252,0),0)</f>
        <v>0</v>
      </c>
      <c r="M2849" s="169">
        <f>IFERROR(MATCH(J2849,'Final List'!$F$4:$F$251,0),0)</f>
        <v>0</v>
      </c>
      <c r="N2849" s="169">
        <f>IFERROR(MATCH(J2849,'Final List'!$H$4:$H$252,0),0)</f>
        <v>0</v>
      </c>
      <c r="O2849" s="169">
        <f>IFERROR(MATCH(J2849,'Final List'!$J$4:$J$252,0),0)</f>
        <v>0</v>
      </c>
      <c r="P2849" s="169">
        <f>IFERROR(MATCH(J2849,'Final List'!$L$4:$L$252,0),0)</f>
        <v>0</v>
      </c>
      <c r="Q2849" s="169">
        <f>IFERROR(MATCH(J2849,'Final List'!$N$4:$N$252,0),0)</f>
        <v>0</v>
      </c>
      <c r="R2849" s="169">
        <f>IFERROR(MATCH(J2849,'Final List'!$P$4:$P$252,0),0)</f>
        <v>0</v>
      </c>
      <c r="S2849" s="169">
        <f t="shared" si="179"/>
        <v>0</v>
      </c>
      <c r="T2849" s="169" t="s">
        <v>68</v>
      </c>
      <c r="V2849" s="169" t="str">
        <f t="shared" si="180"/>
        <v>OLIVEROS 1</v>
      </c>
      <c r="W2849" s="169" t="s">
        <v>2707</v>
      </c>
    </row>
    <row r="2850" spans="2:23" ht="14.25" customHeight="1" x14ac:dyDescent="0.25">
      <c r="B2850" s="169" t="s">
        <v>1167</v>
      </c>
      <c r="C2850" s="169" t="s">
        <v>45</v>
      </c>
      <c r="D2850" s="169" t="s">
        <v>143</v>
      </c>
      <c r="E2850" s="169" t="s">
        <v>61</v>
      </c>
      <c r="F2850" s="245" t="str">
        <f t="shared" si="178"/>
        <v>Dhoz 71</v>
      </c>
      <c r="G2850" s="169" t="s">
        <v>9885</v>
      </c>
      <c r="H2850" s="169" t="s">
        <v>12547</v>
      </c>
      <c r="I2850" s="169" t="str">
        <f t="shared" si="177"/>
        <v>L12_DPVE_032E_DW</v>
      </c>
      <c r="J2850" s="169" t="s">
        <v>12420</v>
      </c>
      <c r="K2850" s="169">
        <f>IFERROR(MATCH(J2850,'Final List'!$B$4:$B$252,0),0)</f>
        <v>0</v>
      </c>
      <c r="L2850" s="169">
        <f>IFERROR(MATCH(J2850,'Final List'!$D$4:$D$252,0),0)</f>
        <v>0</v>
      </c>
      <c r="M2850" s="169">
        <f>IFERROR(MATCH(J2850,'Final List'!$F$4:$F$251,0),0)</f>
        <v>0</v>
      </c>
      <c r="N2850" s="169">
        <f>IFERROR(MATCH(J2850,'Final List'!$H$4:$H$252,0),0)</f>
        <v>0</v>
      </c>
      <c r="O2850" s="169">
        <f>IFERROR(MATCH(J2850,'Final List'!$J$4:$J$252,0),0)</f>
        <v>0</v>
      </c>
      <c r="P2850" s="169">
        <f>IFERROR(MATCH(J2850,'Final List'!$L$4:$L$252,0),0)</f>
        <v>0</v>
      </c>
      <c r="Q2850" s="169">
        <f>IFERROR(MATCH(J2850,'Final List'!$N$4:$N$252,0),0)</f>
        <v>0</v>
      </c>
      <c r="R2850" s="169">
        <f>IFERROR(MATCH(J2850,'Final List'!$P$4:$P$252,0),0)</f>
        <v>0</v>
      </c>
      <c r="S2850" s="169">
        <f t="shared" si="179"/>
        <v>0</v>
      </c>
      <c r="V2850" s="169" t="str">
        <f t="shared" si="180"/>
        <v>NITRO BN</v>
      </c>
      <c r="W2850" s="169" t="s">
        <v>8896</v>
      </c>
    </row>
    <row r="2851" spans="2:23" x14ac:dyDescent="0.25">
      <c r="B2851" s="169" t="s">
        <v>1166</v>
      </c>
      <c r="C2851" s="169" t="s">
        <v>59</v>
      </c>
      <c r="D2851" s="169" t="s">
        <v>205</v>
      </c>
      <c r="E2851" s="169" t="s">
        <v>61</v>
      </c>
      <c r="F2851" s="245" t="str">
        <f t="shared" si="178"/>
        <v>Dhoz 71</v>
      </c>
      <c r="G2851" s="169" t="s">
        <v>10758</v>
      </c>
      <c r="I2851" s="169" t="str">
        <f t="shared" si="177"/>
        <v>L11_GHVHW_066E_DW</v>
      </c>
      <c r="J2851" s="169" t="s">
        <v>12089</v>
      </c>
      <c r="K2851" s="169">
        <f>IFERROR(MATCH(J2851,'Final List'!$B$4:$B$252,0),0)</f>
        <v>0</v>
      </c>
      <c r="L2851" s="169">
        <f>IFERROR(MATCH(J2851,'Final List'!$D$4:$D$252,0),0)</f>
        <v>0</v>
      </c>
      <c r="M2851" s="169">
        <f>IFERROR(MATCH(J2851,'Final List'!$F$4:$F$251,0),0)</f>
        <v>0</v>
      </c>
      <c r="N2851" s="169">
        <f>IFERROR(MATCH(J2851,'Final List'!$H$4:$H$252,0),0)</f>
        <v>0</v>
      </c>
      <c r="O2851" s="169">
        <f>IFERROR(MATCH(J2851,'Final List'!$J$4:$J$252,0),0)</f>
        <v>0</v>
      </c>
      <c r="P2851" s="169">
        <f>IFERROR(MATCH(J2851,'Final List'!$L$4:$L$252,0),0)</f>
        <v>0</v>
      </c>
      <c r="Q2851" s="169">
        <f>IFERROR(MATCH(J2851,'Final List'!$N$4:$N$252,0),0)</f>
        <v>0</v>
      </c>
      <c r="R2851" s="169">
        <f>IFERROR(MATCH(J2851,'Final List'!$P$4:$P$252,0),0)</f>
        <v>0</v>
      </c>
      <c r="S2851" s="169">
        <f t="shared" si="179"/>
        <v>0</v>
      </c>
      <c r="V2851" s="169" t="str">
        <f t="shared" si="180"/>
        <v>MARTINEZ, DN</v>
      </c>
      <c r="W2851" s="169" t="s">
        <v>8896</v>
      </c>
    </row>
    <row r="2852" spans="2:23" x14ac:dyDescent="0.25">
      <c r="B2852" s="169" t="s">
        <v>1166</v>
      </c>
      <c r="C2852" s="169" t="s">
        <v>39</v>
      </c>
      <c r="D2852" s="169" t="s">
        <v>5742</v>
      </c>
      <c r="E2852" s="169" t="s">
        <v>19</v>
      </c>
      <c r="F2852" s="245" t="str">
        <f t="shared" si="178"/>
        <v>DVR 72</v>
      </c>
      <c r="G2852" s="169" t="s">
        <v>342</v>
      </c>
      <c r="I2852" s="169" t="str">
        <f t="shared" si="177"/>
        <v>L11_JVHW_040E_RAISE</v>
      </c>
      <c r="J2852" s="169" t="s">
        <v>12090</v>
      </c>
      <c r="K2852" s="169">
        <f>IFERROR(MATCH(J2852,'Final List'!$B$4:$B$252,0),0)</f>
        <v>0</v>
      </c>
      <c r="L2852" s="169">
        <f>IFERROR(MATCH(J2852,'Final List'!$D$4:$D$252,0),0)</f>
        <v>0</v>
      </c>
      <c r="M2852" s="169">
        <f>IFERROR(MATCH(J2852,'Final List'!$F$4:$F$251,0),0)</f>
        <v>0</v>
      </c>
      <c r="N2852" s="169">
        <f>IFERROR(MATCH(J2852,'Final List'!$H$4:$H$252,0),0)</f>
        <v>0</v>
      </c>
      <c r="O2852" s="169">
        <f>IFERROR(MATCH(J2852,'Final List'!$J$4:$J$252,0),0)</f>
        <v>0</v>
      </c>
      <c r="P2852" s="169">
        <f>IFERROR(MATCH(J2852,'Final List'!$L$4:$L$252,0),0)</f>
        <v>0</v>
      </c>
      <c r="Q2852" s="169">
        <f>IFERROR(MATCH(J2852,'Final List'!$N$4:$N$252,0),0)</f>
        <v>0</v>
      </c>
      <c r="R2852" s="169">
        <f>IFERROR(MATCH(J2852,'Final List'!$P$4:$P$252,0),0)</f>
        <v>0</v>
      </c>
      <c r="S2852" s="169">
        <f t="shared" si="179"/>
        <v>0</v>
      </c>
      <c r="V2852" s="169" t="str">
        <f t="shared" si="180"/>
        <v>BADBADON 2</v>
      </c>
      <c r="W2852" s="169" t="s">
        <v>2715</v>
      </c>
    </row>
    <row r="2853" spans="2:23" x14ac:dyDescent="0.25">
      <c r="B2853" s="169" t="s">
        <v>96</v>
      </c>
      <c r="C2853" s="169" t="s">
        <v>45</v>
      </c>
      <c r="D2853" s="169" t="s">
        <v>218</v>
      </c>
      <c r="E2853" s="169" t="s">
        <v>61</v>
      </c>
      <c r="F2853" s="245" t="str">
        <f t="shared" si="178"/>
        <v>Dhoz 71</v>
      </c>
      <c r="G2853" s="169" t="s">
        <v>12062</v>
      </c>
      <c r="I2853" s="169" t="str">
        <f t="shared" si="177"/>
        <v>L09_DPVE_062E_DW</v>
      </c>
      <c r="J2853" s="169" t="s">
        <v>12091</v>
      </c>
      <c r="K2853" s="169">
        <f>IFERROR(MATCH(J2853,'Final List'!$B$4:$B$252,0),0)</f>
        <v>0</v>
      </c>
      <c r="L2853" s="169">
        <f>IFERROR(MATCH(J2853,'Final List'!$D$4:$D$252,0),0)</f>
        <v>0</v>
      </c>
      <c r="M2853" s="169">
        <f>IFERROR(MATCH(J2853,'Final List'!$F$4:$F$251,0),0)</f>
        <v>0</v>
      </c>
      <c r="N2853" s="169">
        <f>IFERROR(MATCH(J2853,'Final List'!$H$4:$H$252,0),0)</f>
        <v>0</v>
      </c>
      <c r="O2853" s="169">
        <f>IFERROR(MATCH(J2853,'Final List'!$J$4:$J$252,0),0)</f>
        <v>0</v>
      </c>
      <c r="P2853" s="169">
        <f>IFERROR(MATCH(J2853,'Final List'!$L$4:$L$252,0),0)</f>
        <v>0</v>
      </c>
      <c r="Q2853" s="169">
        <f>IFERROR(MATCH(J2853,'Final List'!$N$4:$N$252,0),0)</f>
        <v>0</v>
      </c>
      <c r="R2853" s="169">
        <f>IFERROR(MATCH(J2853,'Final List'!$P$4:$P$252,0),0)</f>
        <v>0</v>
      </c>
      <c r="S2853" s="169">
        <f t="shared" si="179"/>
        <v>0</v>
      </c>
      <c r="V2853" s="169" t="str">
        <f t="shared" si="180"/>
        <v>NITRO AA 1</v>
      </c>
      <c r="W2853" s="169" t="s">
        <v>8896</v>
      </c>
    </row>
    <row r="2854" spans="2:23" x14ac:dyDescent="0.25">
      <c r="B2854" s="169" t="s">
        <v>95</v>
      </c>
      <c r="C2854" s="169" t="s">
        <v>55</v>
      </c>
      <c r="D2854" s="169" t="s">
        <v>173</v>
      </c>
      <c r="E2854" s="169" t="s">
        <v>62</v>
      </c>
      <c r="F2854" s="245" t="str">
        <f t="shared" si="178"/>
        <v>RobS 79</v>
      </c>
      <c r="G2854" s="169" t="s">
        <v>577</v>
      </c>
      <c r="I2854" s="169" t="str">
        <f t="shared" si="177"/>
        <v>L08_JVFW_049E_ROBBING</v>
      </c>
      <c r="J2854" s="169" t="s">
        <v>12093</v>
      </c>
      <c r="K2854" s="169">
        <f>IFERROR(MATCH(J2854,'Final List'!$B$4:$B$252,0),0)</f>
        <v>0</v>
      </c>
      <c r="L2854" s="169">
        <f>IFERROR(MATCH(J2854,'Final List'!$D$4:$D$252,0),0)</f>
        <v>0</v>
      </c>
      <c r="M2854" s="169">
        <f>IFERROR(MATCH(J2854,'Final List'!$F$4:$F$251,0),0)</f>
        <v>0</v>
      </c>
      <c r="N2854" s="169">
        <f>IFERROR(MATCH(J2854,'Final List'!$H$4:$H$252,0),0)</f>
        <v>0</v>
      </c>
      <c r="O2854" s="169">
        <f>IFERROR(MATCH(J2854,'Final List'!$J$4:$J$252,0),0)</f>
        <v>0</v>
      </c>
      <c r="P2854" s="169">
        <f>IFERROR(MATCH(J2854,'Final List'!$L$4:$L$252,0),0)</f>
        <v>0</v>
      </c>
      <c r="Q2854" s="169">
        <f>IFERROR(MATCH(J2854,'Final List'!$N$4:$N$252,0),0)</f>
        <v>0</v>
      </c>
      <c r="R2854" s="169">
        <f>IFERROR(MATCH(J2854,'Final List'!$P$4:$P$252,0),0)</f>
        <v>0</v>
      </c>
      <c r="S2854" s="169">
        <f t="shared" si="179"/>
        <v>0</v>
      </c>
      <c r="T2854" s="169" t="s">
        <v>68</v>
      </c>
      <c r="V2854" s="169" t="str">
        <f t="shared" si="180"/>
        <v>CARIKITAN 1</v>
      </c>
      <c r="W2854" s="169" t="s">
        <v>2707</v>
      </c>
    </row>
    <row r="2855" spans="2:23" x14ac:dyDescent="0.25">
      <c r="B2855" s="169" t="s">
        <v>258</v>
      </c>
      <c r="C2855" s="169" t="s">
        <v>45</v>
      </c>
      <c r="D2855" s="169" t="s">
        <v>9827</v>
      </c>
      <c r="E2855" s="169" t="s">
        <v>20</v>
      </c>
      <c r="F2855" s="245" t="str">
        <f t="shared" si="178"/>
        <v>DVW 74</v>
      </c>
      <c r="G2855" s="169" t="s">
        <v>12067</v>
      </c>
      <c r="I2855" s="169" t="str">
        <f t="shared" si="177"/>
        <v>L10_DPVE_088E_WINZE</v>
      </c>
      <c r="J2855" s="169" t="s">
        <v>12100</v>
      </c>
      <c r="K2855" s="169">
        <f>IFERROR(MATCH(J2855,'Final List'!$B$4:$B$252,0),0)</f>
        <v>0</v>
      </c>
      <c r="L2855" s="169">
        <f>IFERROR(MATCH(J2855,'Final List'!$D$4:$D$252,0),0)</f>
        <v>0</v>
      </c>
      <c r="M2855" s="169">
        <f>IFERROR(MATCH(J2855,'Final List'!$F$4:$F$251,0),0)</f>
        <v>0</v>
      </c>
      <c r="N2855" s="169">
        <f>IFERROR(MATCH(J2855,'Final List'!$H$4:$H$252,0),0)</f>
        <v>0</v>
      </c>
      <c r="O2855" s="169">
        <f>IFERROR(MATCH(J2855,'Final List'!$J$4:$J$252,0),0)</f>
        <v>0</v>
      </c>
      <c r="P2855" s="169">
        <f>IFERROR(MATCH(J2855,'Final List'!$L$4:$L$252,0),0)</f>
        <v>0</v>
      </c>
      <c r="Q2855" s="169">
        <f>IFERROR(MATCH(J2855,'Final List'!$N$4:$N$252,0),0)</f>
        <v>0</v>
      </c>
      <c r="R2855" s="169">
        <f>IFERROR(MATCH(J2855,'Final List'!$P$4:$P$252,0),0)</f>
        <v>0</v>
      </c>
      <c r="S2855" s="169">
        <f t="shared" si="179"/>
        <v>0</v>
      </c>
      <c r="V2855" s="169" t="str">
        <f t="shared" si="180"/>
        <v>NITRO BC 2</v>
      </c>
      <c r="W2855" s="169" t="s">
        <v>2706</v>
      </c>
    </row>
    <row r="2856" spans="2:23" x14ac:dyDescent="0.25">
      <c r="B2856" s="169" t="s">
        <v>8904</v>
      </c>
      <c r="C2856" s="169" t="s">
        <v>57</v>
      </c>
      <c r="D2856" s="169" t="s">
        <v>5612</v>
      </c>
      <c r="E2856" s="169" t="s">
        <v>62</v>
      </c>
      <c r="F2856" s="245" t="str">
        <f t="shared" si="178"/>
        <v>RobC 80</v>
      </c>
      <c r="G2856" s="169" t="s">
        <v>9349</v>
      </c>
      <c r="I2856" s="169" t="str">
        <f t="shared" si="177"/>
        <v>L03_JVSPLIT_011W_ROBBING</v>
      </c>
      <c r="J2856" s="169" t="s">
        <v>12109</v>
      </c>
      <c r="K2856" s="169">
        <f>IFERROR(MATCH(J2856,'Final List'!$B$4:$B$252,0),0)</f>
        <v>0</v>
      </c>
      <c r="L2856" s="169">
        <f>IFERROR(MATCH(J2856,'Final List'!$D$4:$D$252,0),0)</f>
        <v>0</v>
      </c>
      <c r="M2856" s="169">
        <f>IFERROR(MATCH(J2856,'Final List'!$F$4:$F$251,0),0)</f>
        <v>0</v>
      </c>
      <c r="N2856" s="169">
        <f>IFERROR(MATCH(J2856,'Final List'!$H$4:$H$252,0),0)</f>
        <v>0</v>
      </c>
      <c r="O2856" s="169">
        <f>IFERROR(MATCH(J2856,'Final List'!$J$4:$J$252,0),0)</f>
        <v>0</v>
      </c>
      <c r="P2856" s="169">
        <f>IFERROR(MATCH(J2856,'Final List'!$L$4:$L$252,0),0)</f>
        <v>0</v>
      </c>
      <c r="Q2856" s="169">
        <f>IFERROR(MATCH(J2856,'Final List'!$N$4:$N$252,0),0)</f>
        <v>0</v>
      </c>
      <c r="R2856" s="169">
        <f>IFERROR(MATCH(J2856,'Final List'!$P$4:$P$252,0),0)</f>
        <v>0</v>
      </c>
      <c r="S2856" s="169">
        <f t="shared" si="179"/>
        <v>0</v>
      </c>
      <c r="T2856" s="169" t="s">
        <v>48</v>
      </c>
      <c r="V2856" s="169" t="str">
        <f t="shared" si="180"/>
        <v>FERNANDEZ, RM 3</v>
      </c>
      <c r="W2856" s="169" t="s">
        <v>236</v>
      </c>
    </row>
    <row r="2857" spans="2:23" x14ac:dyDescent="0.25">
      <c r="B2857" s="169" t="s">
        <v>1166</v>
      </c>
      <c r="C2857" s="169" t="s">
        <v>87</v>
      </c>
      <c r="D2857" s="169" t="s">
        <v>170</v>
      </c>
      <c r="E2857" s="169" t="s">
        <v>37</v>
      </c>
      <c r="F2857" s="245" t="str">
        <f t="shared" si="178"/>
        <v>Dhoz 71</v>
      </c>
      <c r="G2857" s="169" t="s">
        <v>862</v>
      </c>
      <c r="H2857" s="169" t="s">
        <v>12070</v>
      </c>
      <c r="I2857" s="169" t="str">
        <f t="shared" si="177"/>
        <v>L11_NONE_071E_XCN</v>
      </c>
      <c r="J2857" s="169" t="s">
        <v>12110</v>
      </c>
      <c r="K2857" s="169">
        <f>IFERROR(MATCH(J2857,'Final List'!$B$4:$B$252,0),0)</f>
        <v>0</v>
      </c>
      <c r="L2857" s="169">
        <f>IFERROR(MATCH(J2857,'Final List'!$D$4:$D$252,0),0)</f>
        <v>0</v>
      </c>
      <c r="M2857" s="169">
        <f>IFERROR(MATCH(J2857,'Final List'!$F$4:$F$251,0),0)</f>
        <v>0</v>
      </c>
      <c r="N2857" s="169">
        <f>IFERROR(MATCH(J2857,'Final List'!$H$4:$H$252,0),0)</f>
        <v>0</v>
      </c>
      <c r="O2857" s="169">
        <f>IFERROR(MATCH(J2857,'Final List'!$J$4:$J$252,0),0)</f>
        <v>0</v>
      </c>
      <c r="P2857" s="169">
        <f>IFERROR(MATCH(J2857,'Final List'!$L$4:$L$252,0),0)</f>
        <v>0</v>
      </c>
      <c r="Q2857" s="169">
        <f>IFERROR(MATCH(J2857,'Final List'!$N$4:$N$252,0),0)</f>
        <v>0</v>
      </c>
      <c r="R2857" s="169">
        <f>IFERROR(MATCH(J2857,'Final List'!$P$4:$P$252,0),0)</f>
        <v>0</v>
      </c>
      <c r="S2857" s="169">
        <f t="shared" si="179"/>
        <v>0</v>
      </c>
      <c r="V2857" s="169" t="str">
        <f t="shared" si="180"/>
        <v>NITRO BB</v>
      </c>
      <c r="W2857" s="169" t="s">
        <v>8898</v>
      </c>
    </row>
    <row r="2858" spans="2:23" x14ac:dyDescent="0.25">
      <c r="B2858" s="169" t="s">
        <v>96</v>
      </c>
      <c r="C2858" s="169" t="s">
        <v>87</v>
      </c>
      <c r="D2858" s="169" t="s">
        <v>101</v>
      </c>
      <c r="E2858" s="169" t="s">
        <v>63</v>
      </c>
      <c r="F2858" s="245" t="str">
        <f t="shared" si="178"/>
        <v>Dhoz 71</v>
      </c>
      <c r="G2858" s="169" t="s">
        <v>1661</v>
      </c>
      <c r="I2858" s="169" t="str">
        <f t="shared" si="177"/>
        <v>L09_NONE_023W_XCS</v>
      </c>
      <c r="J2858" s="169" t="s">
        <v>13854</v>
      </c>
      <c r="K2858" s="169">
        <f>IFERROR(MATCH(J2858,'Final List'!$B$4:$B$252,0),0)</f>
        <v>0</v>
      </c>
      <c r="L2858" s="169">
        <f>IFERROR(MATCH(J2858,'Final List'!$D$4:$D$252,0),0)</f>
        <v>0</v>
      </c>
      <c r="M2858" s="169">
        <f>IFERROR(MATCH(J2858,'Final List'!$F$4:$F$251,0),0)</f>
        <v>0</v>
      </c>
      <c r="N2858" s="169">
        <f>IFERROR(MATCH(J2858,'Final List'!$H$4:$H$252,0),0)</f>
        <v>0</v>
      </c>
      <c r="O2858" s="169">
        <f>IFERROR(MATCH(J2858,'Final List'!$J$4:$J$252,0),0)</f>
        <v>0</v>
      </c>
      <c r="P2858" s="169">
        <f>IFERROR(MATCH(J2858,'Final List'!$L$4:$L$252,0),0)</f>
        <v>0</v>
      </c>
      <c r="Q2858" s="169">
        <f>IFERROR(MATCH(J2858,'Final List'!$N$4:$N$252,0),0)</f>
        <v>0</v>
      </c>
      <c r="R2858" s="169">
        <f>IFERROR(MATCH(J2858,'Final List'!$P$4:$P$252,0),0)</f>
        <v>0</v>
      </c>
      <c r="S2858" s="169">
        <f t="shared" si="179"/>
        <v>0</v>
      </c>
      <c r="V2858" s="169" t="str">
        <f t="shared" si="180"/>
        <v>DELOS REYES V2</v>
      </c>
      <c r="W2858" s="169" t="s">
        <v>8898</v>
      </c>
    </row>
    <row r="2859" spans="2:23" x14ac:dyDescent="0.25">
      <c r="B2859" s="169" t="s">
        <v>258</v>
      </c>
      <c r="C2859" s="169" t="s">
        <v>87</v>
      </c>
      <c r="D2859" s="169" t="s">
        <v>115</v>
      </c>
      <c r="E2859" s="169" t="s">
        <v>37</v>
      </c>
      <c r="F2859" s="245" t="str">
        <f t="shared" si="178"/>
        <v>Dhoz 71</v>
      </c>
      <c r="G2859" s="169" t="s">
        <v>12065</v>
      </c>
      <c r="I2859" s="169" t="str">
        <f t="shared" si="177"/>
        <v>L10_NONE_019W_XCN</v>
      </c>
      <c r="J2859" s="169" t="s">
        <v>12118</v>
      </c>
      <c r="K2859" s="169">
        <f>IFERROR(MATCH(J2859,'Final List'!$B$4:$B$252,0),0)</f>
        <v>0</v>
      </c>
      <c r="L2859" s="169">
        <f>IFERROR(MATCH(J2859,'Final List'!$D$4:$D$252,0),0)</f>
        <v>0</v>
      </c>
      <c r="M2859" s="169">
        <f>IFERROR(MATCH(J2859,'Final List'!$F$4:$F$251,0),0)</f>
        <v>0</v>
      </c>
      <c r="N2859" s="169">
        <f>IFERROR(MATCH(J2859,'Final List'!$H$4:$H$252,0),0)</f>
        <v>0</v>
      </c>
      <c r="O2859" s="169">
        <f>IFERROR(MATCH(J2859,'Final List'!$J$4:$J$252,0),0)</f>
        <v>0</v>
      </c>
      <c r="P2859" s="169">
        <f>IFERROR(MATCH(J2859,'Final List'!$L$4:$L$252,0),0)</f>
        <v>0</v>
      </c>
      <c r="Q2859" s="169">
        <f>IFERROR(MATCH(J2859,'Final List'!$N$4:$N$252,0),0)</f>
        <v>0</v>
      </c>
      <c r="R2859" s="169">
        <f>IFERROR(MATCH(J2859,'Final List'!$P$4:$P$252,0),0)</f>
        <v>0</v>
      </c>
      <c r="S2859" s="169">
        <f t="shared" si="179"/>
        <v>0</v>
      </c>
      <c r="V2859" s="169" t="str">
        <f t="shared" si="180"/>
        <v>NITRO BD 1</v>
      </c>
      <c r="W2859" s="169" t="s">
        <v>8898</v>
      </c>
    </row>
    <row r="2860" spans="2:23" x14ac:dyDescent="0.25">
      <c r="B2860" s="169" t="s">
        <v>95</v>
      </c>
      <c r="C2860" s="169" t="s">
        <v>45</v>
      </c>
      <c r="D2860" s="169" t="s">
        <v>143</v>
      </c>
      <c r="E2860" s="169" t="s">
        <v>62</v>
      </c>
      <c r="F2860" s="245" t="str">
        <f t="shared" si="178"/>
        <v>RobS 79</v>
      </c>
      <c r="G2860" s="169" t="s">
        <v>380</v>
      </c>
      <c r="I2860" s="169" t="str">
        <f t="shared" si="177"/>
        <v>L08_DPVE_032E_ROBBING</v>
      </c>
      <c r="J2860" s="169" t="s">
        <v>12120</v>
      </c>
      <c r="K2860" s="169">
        <f>IFERROR(MATCH(J2860,'Final List'!$B$4:$B$252,0),0)</f>
        <v>0</v>
      </c>
      <c r="L2860" s="169">
        <f>IFERROR(MATCH(J2860,'Final List'!$D$4:$D$252,0),0)</f>
        <v>0</v>
      </c>
      <c r="M2860" s="169">
        <f>IFERROR(MATCH(J2860,'Final List'!$F$4:$F$251,0),0)</f>
        <v>0</v>
      </c>
      <c r="N2860" s="169">
        <f>IFERROR(MATCH(J2860,'Final List'!$H$4:$H$252,0),0)</f>
        <v>0</v>
      </c>
      <c r="O2860" s="169">
        <f>IFERROR(MATCH(J2860,'Final List'!$J$4:$J$252,0),0)</f>
        <v>0</v>
      </c>
      <c r="P2860" s="169">
        <f>IFERROR(MATCH(J2860,'Final List'!$L$4:$L$252,0),0)</f>
        <v>0</v>
      </c>
      <c r="Q2860" s="169">
        <f>IFERROR(MATCH(J2860,'Final List'!$N$4:$N$252,0),0)</f>
        <v>0</v>
      </c>
      <c r="R2860" s="169">
        <f>IFERROR(MATCH(J2860,'Final List'!$P$4:$P$252,0),0)</f>
        <v>0</v>
      </c>
      <c r="S2860" s="169">
        <f t="shared" si="179"/>
        <v>0</v>
      </c>
      <c r="T2860" s="169" t="s">
        <v>68</v>
      </c>
      <c r="V2860" s="169" t="str">
        <f t="shared" si="180"/>
        <v>AGLOLO 1</v>
      </c>
      <c r="W2860" s="169" t="s">
        <v>2707</v>
      </c>
    </row>
    <row r="2861" spans="2:23" x14ac:dyDescent="0.25">
      <c r="B2861" s="169" t="s">
        <v>96</v>
      </c>
      <c r="C2861" s="169" t="s">
        <v>87</v>
      </c>
      <c r="D2861" s="169" t="s">
        <v>6358</v>
      </c>
      <c r="E2861" s="169" t="s">
        <v>37</v>
      </c>
      <c r="F2861" s="245" t="str">
        <f t="shared" si="178"/>
        <v>Dhoz 71</v>
      </c>
      <c r="G2861" s="169" t="s">
        <v>6621</v>
      </c>
      <c r="H2861" s="169" t="s">
        <v>6621</v>
      </c>
      <c r="I2861" s="169" t="str">
        <f t="shared" si="177"/>
        <v>L09_NONE_087E_XCN</v>
      </c>
      <c r="J2861" s="169" t="s">
        <v>12121</v>
      </c>
      <c r="K2861" s="169">
        <f>IFERROR(MATCH(J2861,'Final List'!$B$4:$B$252,0),0)</f>
        <v>0</v>
      </c>
      <c r="L2861" s="169">
        <f>IFERROR(MATCH(J2861,'Final List'!$D$4:$D$252,0),0)</f>
        <v>0</v>
      </c>
      <c r="M2861" s="169">
        <f>IFERROR(MATCH(J2861,'Final List'!$F$4:$F$251,0),0)</f>
        <v>0</v>
      </c>
      <c r="N2861" s="169">
        <f>IFERROR(MATCH(J2861,'Final List'!$H$4:$H$252,0),0)</f>
        <v>0</v>
      </c>
      <c r="O2861" s="169">
        <f>IFERROR(MATCH(J2861,'Final List'!$J$4:$J$252,0),0)</f>
        <v>0</v>
      </c>
      <c r="P2861" s="169">
        <f>IFERROR(MATCH(J2861,'Final List'!$L$4:$L$252,0),0)</f>
        <v>0</v>
      </c>
      <c r="Q2861" s="169">
        <f>IFERROR(MATCH(J2861,'Final List'!$N$4:$N$252,0),0)</f>
        <v>0</v>
      </c>
      <c r="R2861" s="169">
        <f>IFERROR(MATCH(J2861,'Final List'!$P$4:$P$252,0),0)</f>
        <v>0</v>
      </c>
      <c r="S2861" s="169">
        <f t="shared" si="179"/>
        <v>0</v>
      </c>
      <c r="V2861" s="169" t="str">
        <f t="shared" si="180"/>
        <v>DELOS REYES V1</v>
      </c>
      <c r="W2861" s="169" t="s">
        <v>8898</v>
      </c>
    </row>
    <row r="2862" spans="2:23" x14ac:dyDescent="0.25">
      <c r="B2862" s="169" t="s">
        <v>1167</v>
      </c>
      <c r="C2862" s="169" t="s">
        <v>59</v>
      </c>
      <c r="D2862" s="169" t="s">
        <v>205</v>
      </c>
      <c r="E2862" s="169" t="s">
        <v>36</v>
      </c>
      <c r="F2862" s="245" t="str">
        <f t="shared" si="178"/>
        <v>StpS 77</v>
      </c>
      <c r="G2862" s="169" t="s">
        <v>362</v>
      </c>
      <c r="H2862" s="169" t="s">
        <v>12549</v>
      </c>
      <c r="I2862" s="169" t="str">
        <f t="shared" ref="I2862:I2925" si="181">CONCATENATE(B2862,"_",C2862,"_",D2862,"_",E2862)</f>
        <v>L12_GHVHW_066E_STOPE</v>
      </c>
      <c r="J2862" s="169" t="s">
        <v>12272</v>
      </c>
      <c r="K2862" s="169">
        <f>IFERROR(MATCH(J2862,'Final List'!$B$4:$B$252,0),0)</f>
        <v>0</v>
      </c>
      <c r="L2862" s="169">
        <f>IFERROR(MATCH(J2862,'Final List'!$D$4:$D$252,0),0)</f>
        <v>0</v>
      </c>
      <c r="M2862" s="169">
        <f>IFERROR(MATCH(J2862,'Final List'!$F$4:$F$251,0),0)</f>
        <v>0</v>
      </c>
      <c r="N2862" s="169">
        <f>IFERROR(MATCH(J2862,'Final List'!$H$4:$H$252,0),0)</f>
        <v>0</v>
      </c>
      <c r="O2862" s="169">
        <f>IFERROR(MATCH(J2862,'Final List'!$J$4:$J$252,0),0)</f>
        <v>0</v>
      </c>
      <c r="P2862" s="169">
        <f>IFERROR(MATCH(J2862,'Final List'!$L$4:$L$252,0),0)</f>
        <v>0</v>
      </c>
      <c r="Q2862" s="169">
        <f>IFERROR(MATCH(J2862,'Final List'!$N$4:$N$252,0),0)</f>
        <v>0</v>
      </c>
      <c r="R2862" s="169">
        <f>IFERROR(MATCH(J2862,'Final List'!$P$4:$P$252,0),0)</f>
        <v>0</v>
      </c>
      <c r="S2862" s="169">
        <f t="shared" si="179"/>
        <v>0</v>
      </c>
      <c r="T2862" s="169" t="s">
        <v>68</v>
      </c>
      <c r="V2862" s="169" t="str">
        <f t="shared" si="180"/>
        <v>NITRO BR</v>
      </c>
      <c r="W2862" s="169" t="s">
        <v>2713</v>
      </c>
    </row>
    <row r="2863" spans="2:23" x14ac:dyDescent="0.25">
      <c r="B2863" s="169" t="s">
        <v>1167</v>
      </c>
      <c r="C2863" s="169" t="s">
        <v>59</v>
      </c>
      <c r="D2863" s="169" t="s">
        <v>218</v>
      </c>
      <c r="E2863" s="169" t="s">
        <v>36</v>
      </c>
      <c r="F2863" s="245" t="str">
        <f t="shared" si="178"/>
        <v>StpS 77</v>
      </c>
      <c r="G2863" s="169" t="s">
        <v>362</v>
      </c>
      <c r="I2863" s="169" t="str">
        <f t="shared" si="181"/>
        <v>L12_GHVHW_062E_STOPE</v>
      </c>
      <c r="J2863" s="169" t="s">
        <v>12274</v>
      </c>
      <c r="K2863" s="169">
        <f>IFERROR(MATCH(J2863,'Final List'!$B$4:$B$252,0),0)</f>
        <v>0</v>
      </c>
      <c r="L2863" s="169">
        <f>IFERROR(MATCH(J2863,'Final List'!$D$4:$D$252,0),0)</f>
        <v>0</v>
      </c>
      <c r="M2863" s="169">
        <f>IFERROR(MATCH(J2863,'Final List'!$F$4:$F$251,0),0)</f>
        <v>0</v>
      </c>
      <c r="N2863" s="169">
        <f>IFERROR(MATCH(J2863,'Final List'!$H$4:$H$252,0),0)</f>
        <v>0</v>
      </c>
      <c r="O2863" s="169">
        <f>IFERROR(MATCH(J2863,'Final List'!$J$4:$J$252,0),0)</f>
        <v>0</v>
      </c>
      <c r="P2863" s="169">
        <f>IFERROR(MATCH(J2863,'Final List'!$L$4:$L$252,0),0)</f>
        <v>0</v>
      </c>
      <c r="Q2863" s="169">
        <f>IFERROR(MATCH(J2863,'Final List'!$N$4:$N$252,0),0)</f>
        <v>0</v>
      </c>
      <c r="R2863" s="169">
        <f>IFERROR(MATCH(J2863,'Final List'!$P$4:$P$252,0),0)</f>
        <v>0</v>
      </c>
      <c r="S2863" s="169">
        <f t="shared" si="179"/>
        <v>0</v>
      </c>
      <c r="T2863" s="169" t="s">
        <v>68</v>
      </c>
      <c r="V2863" s="169" t="str">
        <f t="shared" si="180"/>
        <v>BABOR 1</v>
      </c>
      <c r="W2863" s="169" t="s">
        <v>2713</v>
      </c>
    </row>
    <row r="2864" spans="2:23" x14ac:dyDescent="0.25">
      <c r="B2864" s="169" t="s">
        <v>1167</v>
      </c>
      <c r="C2864" s="169" t="s">
        <v>45</v>
      </c>
      <c r="D2864" s="169" t="s">
        <v>142</v>
      </c>
      <c r="E2864" s="169" t="s">
        <v>19</v>
      </c>
      <c r="F2864" s="245" t="str">
        <f t="shared" si="178"/>
        <v>DVR 72</v>
      </c>
      <c r="G2864" s="169" t="s">
        <v>6931</v>
      </c>
      <c r="I2864" s="169" t="str">
        <f t="shared" si="181"/>
        <v>L12_DPVE_038E_RAISE</v>
      </c>
      <c r="J2864" s="169" t="s">
        <v>12125</v>
      </c>
      <c r="K2864" s="169">
        <f>IFERROR(MATCH(J2864,'Final List'!$B$4:$B$252,0),0)</f>
        <v>0</v>
      </c>
      <c r="L2864" s="169">
        <f>IFERROR(MATCH(J2864,'Final List'!$D$4:$D$252,0),0)</f>
        <v>0</v>
      </c>
      <c r="M2864" s="169">
        <f>IFERROR(MATCH(J2864,'Final List'!$F$4:$F$251,0),0)</f>
        <v>0</v>
      </c>
      <c r="N2864" s="169">
        <f>IFERROR(MATCH(J2864,'Final List'!$H$4:$H$252,0),0)</f>
        <v>0</v>
      </c>
      <c r="O2864" s="169">
        <f>IFERROR(MATCH(J2864,'Final List'!$J$4:$J$252,0),0)</f>
        <v>0</v>
      </c>
      <c r="P2864" s="169">
        <f>IFERROR(MATCH(J2864,'Final List'!$L$4:$L$252,0),0)</f>
        <v>0</v>
      </c>
      <c r="Q2864" s="169">
        <f>IFERROR(MATCH(J2864,'Final List'!$N$4:$N$252,0),0)</f>
        <v>0</v>
      </c>
      <c r="R2864" s="169">
        <f>IFERROR(MATCH(J2864,'Final List'!$P$4:$P$252,0),0)</f>
        <v>0</v>
      </c>
      <c r="S2864" s="169">
        <f t="shared" si="179"/>
        <v>0</v>
      </c>
      <c r="V2864" s="169" t="str">
        <f t="shared" si="180"/>
        <v>DUHIG, P2</v>
      </c>
      <c r="W2864" s="169" t="s">
        <v>2715</v>
      </c>
    </row>
    <row r="2865" spans="2:23" x14ac:dyDescent="0.25">
      <c r="B2865" s="169" t="s">
        <v>1167</v>
      </c>
      <c r="C2865" s="169" t="s">
        <v>45</v>
      </c>
      <c r="D2865" s="169" t="s">
        <v>123</v>
      </c>
      <c r="E2865" s="169" t="s">
        <v>60</v>
      </c>
      <c r="F2865" s="245" t="str">
        <f t="shared" si="178"/>
        <v>Dhoz 71</v>
      </c>
      <c r="G2865" s="169" t="s">
        <v>9885</v>
      </c>
      <c r="I2865" s="169" t="str">
        <f t="shared" si="181"/>
        <v>L12_DPVE_031E_DE</v>
      </c>
      <c r="J2865" s="169" t="s">
        <v>12419</v>
      </c>
      <c r="K2865" s="169">
        <f>IFERROR(MATCH(J2865,'Final List'!$B$4:$B$252,0),0)</f>
        <v>0</v>
      </c>
      <c r="L2865" s="169">
        <f>IFERROR(MATCH(J2865,'Final List'!$D$4:$D$252,0),0)</f>
        <v>0</v>
      </c>
      <c r="M2865" s="169">
        <f>IFERROR(MATCH(J2865,'Final List'!$F$4:$F$251,0),0)</f>
        <v>0</v>
      </c>
      <c r="N2865" s="169">
        <f>IFERROR(MATCH(J2865,'Final List'!$H$4:$H$252,0),0)</f>
        <v>0</v>
      </c>
      <c r="O2865" s="169">
        <f>IFERROR(MATCH(J2865,'Final List'!$J$4:$J$252,0),0)</f>
        <v>0</v>
      </c>
      <c r="P2865" s="169">
        <f>IFERROR(MATCH(J2865,'Final List'!$L$4:$L$252,0),0)</f>
        <v>0</v>
      </c>
      <c r="Q2865" s="169">
        <f>IFERROR(MATCH(J2865,'Final List'!$N$4:$N$252,0),0)</f>
        <v>0</v>
      </c>
      <c r="R2865" s="169">
        <f>IFERROR(MATCH(J2865,'Final List'!$P$4:$P$252,0),0)</f>
        <v>0</v>
      </c>
      <c r="S2865" s="169">
        <f t="shared" si="179"/>
        <v>0</v>
      </c>
      <c r="V2865" s="169" t="str">
        <f t="shared" si="180"/>
        <v>CAYMAN 2</v>
      </c>
      <c r="W2865" s="169" t="s">
        <v>8896</v>
      </c>
    </row>
    <row r="2866" spans="2:23" x14ac:dyDescent="0.25">
      <c r="B2866" s="169" t="s">
        <v>95</v>
      </c>
      <c r="C2866" s="169" t="s">
        <v>38</v>
      </c>
      <c r="D2866" s="169" t="s">
        <v>112</v>
      </c>
      <c r="E2866" s="169" t="s">
        <v>20</v>
      </c>
      <c r="F2866" s="245" t="str">
        <f t="shared" si="178"/>
        <v>DVW 74</v>
      </c>
      <c r="G2866" s="169" t="s">
        <v>583</v>
      </c>
      <c r="I2866" s="169" t="str">
        <f t="shared" si="181"/>
        <v>L08_GHV_018E_WINZE</v>
      </c>
      <c r="J2866" s="169" t="s">
        <v>12126</v>
      </c>
      <c r="K2866" s="169">
        <f>IFERROR(MATCH(J2866,'Final List'!$B$4:$B$252,0),0)</f>
        <v>0</v>
      </c>
      <c r="L2866" s="169">
        <f>IFERROR(MATCH(J2866,'Final List'!$D$4:$D$252,0),0)</f>
        <v>0</v>
      </c>
      <c r="M2866" s="169">
        <f>IFERROR(MATCH(J2866,'Final List'!$F$4:$F$251,0),0)</f>
        <v>0</v>
      </c>
      <c r="N2866" s="169">
        <f>IFERROR(MATCH(J2866,'Final List'!$H$4:$H$252,0),0)</f>
        <v>0</v>
      </c>
      <c r="O2866" s="169">
        <f>IFERROR(MATCH(J2866,'Final List'!$J$4:$J$252,0),0)</f>
        <v>0</v>
      </c>
      <c r="P2866" s="169">
        <f>IFERROR(MATCH(J2866,'Final List'!$L$4:$L$252,0),0)</f>
        <v>0</v>
      </c>
      <c r="Q2866" s="169">
        <f>IFERROR(MATCH(J2866,'Final List'!$N$4:$N$252,0),0)</f>
        <v>0</v>
      </c>
      <c r="R2866" s="169">
        <f>IFERROR(MATCH(J2866,'Final List'!$P$4:$P$252,0),0)</f>
        <v>0</v>
      </c>
      <c r="S2866" s="169">
        <f t="shared" si="179"/>
        <v>0</v>
      </c>
      <c r="V2866" s="169" t="str">
        <f t="shared" si="180"/>
        <v>VILLARANTE 1</v>
      </c>
      <c r="W2866" s="169" t="s">
        <v>2706</v>
      </c>
    </row>
    <row r="2867" spans="2:23" x14ac:dyDescent="0.25">
      <c r="B2867" s="169" t="s">
        <v>96</v>
      </c>
      <c r="C2867" s="169" t="s">
        <v>42</v>
      </c>
      <c r="D2867" s="169" t="s">
        <v>197</v>
      </c>
      <c r="E2867" s="169" t="s">
        <v>20</v>
      </c>
      <c r="F2867" s="245" t="str">
        <f t="shared" si="178"/>
        <v>DVW 74</v>
      </c>
      <c r="G2867" s="169" t="s">
        <v>2972</v>
      </c>
      <c r="I2867" s="169" t="str">
        <f t="shared" si="181"/>
        <v>L09_JV_070E_WINZE</v>
      </c>
      <c r="J2867" s="169" t="s">
        <v>12127</v>
      </c>
      <c r="K2867" s="169">
        <f>IFERROR(MATCH(J2867,'Final List'!$B$4:$B$252,0),0)</f>
        <v>0</v>
      </c>
      <c r="L2867" s="169">
        <f>IFERROR(MATCH(J2867,'Final List'!$D$4:$D$252,0),0)</f>
        <v>0</v>
      </c>
      <c r="M2867" s="169">
        <f>IFERROR(MATCH(J2867,'Final List'!$F$4:$F$251,0),0)</f>
        <v>0</v>
      </c>
      <c r="N2867" s="169">
        <f>IFERROR(MATCH(J2867,'Final List'!$H$4:$H$252,0),0)</f>
        <v>0</v>
      </c>
      <c r="O2867" s="169">
        <f>IFERROR(MATCH(J2867,'Final List'!$J$4:$J$252,0),0)</f>
        <v>0</v>
      </c>
      <c r="P2867" s="169">
        <f>IFERROR(MATCH(J2867,'Final List'!$L$4:$L$252,0),0)</f>
        <v>0</v>
      </c>
      <c r="Q2867" s="169">
        <f>IFERROR(MATCH(J2867,'Final List'!$N$4:$N$252,0),0)</f>
        <v>0</v>
      </c>
      <c r="R2867" s="169">
        <f>IFERROR(MATCH(J2867,'Final List'!$P$4:$P$252,0),0)</f>
        <v>0</v>
      </c>
      <c r="S2867" s="169">
        <f t="shared" si="179"/>
        <v>0</v>
      </c>
      <c r="V2867" s="169" t="str">
        <f t="shared" si="180"/>
        <v>FABROA 1</v>
      </c>
      <c r="W2867" s="169" t="s">
        <v>2717</v>
      </c>
    </row>
    <row r="2868" spans="2:23" x14ac:dyDescent="0.25">
      <c r="B2868" s="169" t="s">
        <v>96</v>
      </c>
      <c r="C2868" s="169" t="s">
        <v>42</v>
      </c>
      <c r="D2868" s="169" t="s">
        <v>205</v>
      </c>
      <c r="E2868" s="169" t="s">
        <v>62</v>
      </c>
      <c r="F2868" s="245" t="str">
        <f t="shared" si="178"/>
        <v>RobS 79</v>
      </c>
      <c r="G2868" s="169" t="s">
        <v>344</v>
      </c>
      <c r="I2868" s="169" t="str">
        <f t="shared" si="181"/>
        <v>L09_JV_066E_ROBBING</v>
      </c>
      <c r="J2868" s="169" t="s">
        <v>12130</v>
      </c>
      <c r="K2868" s="169">
        <f>IFERROR(MATCH(J2868,'Final List'!$B$4:$B$252,0),0)</f>
        <v>0</v>
      </c>
      <c r="L2868" s="169">
        <f>IFERROR(MATCH(J2868,'Final List'!$D$4:$D$252,0),0)</f>
        <v>0</v>
      </c>
      <c r="M2868" s="169">
        <f>IFERROR(MATCH(J2868,'Final List'!$F$4:$F$251,0),0)</f>
        <v>0</v>
      </c>
      <c r="N2868" s="169">
        <f>IFERROR(MATCH(J2868,'Final List'!$H$4:$H$252,0),0)</f>
        <v>0</v>
      </c>
      <c r="O2868" s="169">
        <f>IFERROR(MATCH(J2868,'Final List'!$J$4:$J$252,0),0)</f>
        <v>0</v>
      </c>
      <c r="P2868" s="169">
        <f>IFERROR(MATCH(J2868,'Final List'!$L$4:$L$252,0),0)</f>
        <v>0</v>
      </c>
      <c r="Q2868" s="169">
        <f>IFERROR(MATCH(J2868,'Final List'!$N$4:$N$252,0),0)</f>
        <v>0</v>
      </c>
      <c r="R2868" s="169">
        <f>IFERROR(MATCH(J2868,'Final List'!$P$4:$P$252,0),0)</f>
        <v>0</v>
      </c>
      <c r="S2868" s="169">
        <f t="shared" si="179"/>
        <v>0</v>
      </c>
      <c r="T2868" s="169" t="s">
        <v>68</v>
      </c>
      <c r="V2868" s="169" t="str">
        <f t="shared" si="180"/>
        <v>UDLOS 1</v>
      </c>
      <c r="W2868" s="169" t="s">
        <v>2707</v>
      </c>
    </row>
    <row r="2869" spans="2:23" x14ac:dyDescent="0.25">
      <c r="B2869" s="169" t="s">
        <v>96</v>
      </c>
      <c r="C2869" s="169" t="s">
        <v>45</v>
      </c>
      <c r="D2869" s="169" t="s">
        <v>5604</v>
      </c>
      <c r="E2869" s="169" t="s">
        <v>62</v>
      </c>
      <c r="F2869" s="245" t="str">
        <f t="shared" si="178"/>
        <v>RobC 80</v>
      </c>
      <c r="G2869" s="169" t="s">
        <v>12062</v>
      </c>
      <c r="H2869" s="169" t="s">
        <v>2972</v>
      </c>
      <c r="I2869" s="169" t="str">
        <f t="shared" si="181"/>
        <v>L09_DPVE_063E_ROBBING</v>
      </c>
      <c r="J2869" s="169" t="s">
        <v>12131</v>
      </c>
      <c r="K2869" s="169">
        <f>IFERROR(MATCH(J2869,'Final List'!$B$4:$B$252,0),0)</f>
        <v>0</v>
      </c>
      <c r="L2869" s="169">
        <f>IFERROR(MATCH(J2869,'Final List'!$D$4:$D$252,0),0)</f>
        <v>0</v>
      </c>
      <c r="M2869" s="169">
        <f>IFERROR(MATCH(J2869,'Final List'!$F$4:$F$251,0),0)</f>
        <v>0</v>
      </c>
      <c r="N2869" s="169">
        <f>IFERROR(MATCH(J2869,'Final List'!$H$4:$H$252,0),0)</f>
        <v>0</v>
      </c>
      <c r="O2869" s="169">
        <f>IFERROR(MATCH(J2869,'Final List'!$J$4:$J$252,0),0)</f>
        <v>0</v>
      </c>
      <c r="P2869" s="169">
        <f>IFERROR(MATCH(J2869,'Final List'!$L$4:$L$252,0),0)</f>
        <v>0</v>
      </c>
      <c r="Q2869" s="169">
        <f>IFERROR(MATCH(J2869,'Final List'!$N$4:$N$252,0),0)</f>
        <v>0</v>
      </c>
      <c r="R2869" s="169">
        <f>IFERROR(MATCH(J2869,'Final List'!$P$4:$P$252,0),0)</f>
        <v>0</v>
      </c>
      <c r="S2869" s="169">
        <f t="shared" si="179"/>
        <v>0</v>
      </c>
      <c r="T2869" s="169" t="s">
        <v>48</v>
      </c>
      <c r="V2869" s="169" t="str">
        <f t="shared" si="180"/>
        <v>FABROA 1</v>
      </c>
      <c r="W2869" s="169" t="s">
        <v>236</v>
      </c>
    </row>
    <row r="2870" spans="2:23" x14ac:dyDescent="0.25">
      <c r="B2870" s="169" t="s">
        <v>258</v>
      </c>
      <c r="C2870" s="169" t="s">
        <v>55</v>
      </c>
      <c r="D2870" s="169" t="s">
        <v>179</v>
      </c>
      <c r="E2870" s="169" t="s">
        <v>62</v>
      </c>
      <c r="F2870" s="245" t="str">
        <f t="shared" si="178"/>
        <v>RobS 79</v>
      </c>
      <c r="G2870" s="169" t="s">
        <v>5697</v>
      </c>
      <c r="I2870" s="169" t="str">
        <f t="shared" si="181"/>
        <v>L10_JVFW_050E_ROBBING</v>
      </c>
      <c r="J2870" s="169" t="s">
        <v>12132</v>
      </c>
      <c r="K2870" s="169">
        <f>IFERROR(MATCH(J2870,'Final List'!$B$4:$B$252,0),0)</f>
        <v>0</v>
      </c>
      <c r="L2870" s="169">
        <f>IFERROR(MATCH(J2870,'Final List'!$D$4:$D$252,0),0)</f>
        <v>0</v>
      </c>
      <c r="M2870" s="169">
        <f>IFERROR(MATCH(J2870,'Final List'!$F$4:$F$251,0),0)</f>
        <v>0</v>
      </c>
      <c r="N2870" s="169">
        <f>IFERROR(MATCH(J2870,'Final List'!$H$4:$H$252,0),0)</f>
        <v>0</v>
      </c>
      <c r="O2870" s="169">
        <f>IFERROR(MATCH(J2870,'Final List'!$J$4:$J$252,0),0)</f>
        <v>0</v>
      </c>
      <c r="P2870" s="169">
        <f>IFERROR(MATCH(J2870,'Final List'!$L$4:$L$252,0),0)</f>
        <v>0</v>
      </c>
      <c r="Q2870" s="169">
        <f>IFERROR(MATCH(J2870,'Final List'!$N$4:$N$252,0),0)</f>
        <v>0</v>
      </c>
      <c r="R2870" s="169">
        <f>IFERROR(MATCH(J2870,'Final List'!$P$4:$P$252,0),0)</f>
        <v>0</v>
      </c>
      <c r="S2870" s="169">
        <f t="shared" si="179"/>
        <v>0</v>
      </c>
      <c r="T2870" s="169" t="s">
        <v>68</v>
      </c>
      <c r="V2870" s="169" t="str">
        <f t="shared" si="180"/>
        <v>OLIVEROS 1</v>
      </c>
      <c r="W2870" s="169" t="s">
        <v>2707</v>
      </c>
    </row>
    <row r="2871" spans="2:23" x14ac:dyDescent="0.25">
      <c r="B2871" s="169" t="s">
        <v>1166</v>
      </c>
      <c r="C2871" s="169" t="s">
        <v>43</v>
      </c>
      <c r="D2871" s="169" t="s">
        <v>133</v>
      </c>
      <c r="E2871" s="169" t="s">
        <v>60</v>
      </c>
      <c r="F2871" s="245" t="str">
        <f t="shared" si="178"/>
        <v>Dhoz 71</v>
      </c>
      <c r="G2871" s="169" t="s">
        <v>474</v>
      </c>
      <c r="I2871" s="169" t="str">
        <f t="shared" si="181"/>
        <v>L11_GHVSPLIT_037E_DE</v>
      </c>
      <c r="J2871" s="169" t="s">
        <v>12167</v>
      </c>
      <c r="K2871" s="169">
        <f>IFERROR(MATCH(J2871,'Final List'!$B$4:$B$252,0),0)</f>
        <v>0</v>
      </c>
      <c r="L2871" s="169">
        <f>IFERROR(MATCH(J2871,'Final List'!$D$4:$D$252,0),0)</f>
        <v>0</v>
      </c>
      <c r="M2871" s="169">
        <f>IFERROR(MATCH(J2871,'Final List'!$F$4:$F$251,0),0)</f>
        <v>0</v>
      </c>
      <c r="N2871" s="169">
        <f>IFERROR(MATCH(J2871,'Final List'!$H$4:$H$252,0),0)</f>
        <v>0</v>
      </c>
      <c r="O2871" s="169">
        <f>IFERROR(MATCH(J2871,'Final List'!$J$4:$J$252,0),0)</f>
        <v>0</v>
      </c>
      <c r="P2871" s="169">
        <f>IFERROR(MATCH(J2871,'Final List'!$L$4:$L$252,0),0)</f>
        <v>0</v>
      </c>
      <c r="Q2871" s="169">
        <f>IFERROR(MATCH(J2871,'Final List'!$N$4:$N$252,0),0)</f>
        <v>0</v>
      </c>
      <c r="R2871" s="169">
        <f>IFERROR(MATCH(J2871,'Final List'!$P$4:$P$252,0),0)</f>
        <v>0</v>
      </c>
      <c r="S2871" s="169">
        <f t="shared" si="179"/>
        <v>0</v>
      </c>
      <c r="V2871" s="169" t="str">
        <f t="shared" si="180"/>
        <v>TORMIS 1</v>
      </c>
      <c r="W2871" s="169" t="s">
        <v>8896</v>
      </c>
    </row>
    <row r="2872" spans="2:23" x14ac:dyDescent="0.25">
      <c r="B2872" s="169" t="s">
        <v>8904</v>
      </c>
      <c r="C2872" s="169" t="s">
        <v>42</v>
      </c>
      <c r="D2872" s="169" t="s">
        <v>99</v>
      </c>
      <c r="E2872" s="169" t="s">
        <v>62</v>
      </c>
      <c r="F2872" s="245" t="str">
        <f t="shared" si="178"/>
        <v>RobS 79</v>
      </c>
      <c r="G2872" s="169" t="s">
        <v>9366</v>
      </c>
      <c r="I2872" s="169" t="str">
        <f t="shared" si="181"/>
        <v>L03_JV_028W_ROBBING</v>
      </c>
      <c r="J2872" s="169" t="s">
        <v>12137</v>
      </c>
      <c r="K2872" s="169">
        <f>IFERROR(MATCH(J2872,'Final List'!$B$4:$B$252,0),0)</f>
        <v>0</v>
      </c>
      <c r="L2872" s="169">
        <f>IFERROR(MATCH(J2872,'Final List'!$D$4:$D$252,0),0)</f>
        <v>0</v>
      </c>
      <c r="M2872" s="169">
        <f>IFERROR(MATCH(J2872,'Final List'!$F$4:$F$251,0),0)</f>
        <v>0</v>
      </c>
      <c r="N2872" s="169">
        <f>IFERROR(MATCH(J2872,'Final List'!$H$4:$H$252,0),0)</f>
        <v>0</v>
      </c>
      <c r="O2872" s="169">
        <f>IFERROR(MATCH(J2872,'Final List'!$J$4:$J$252,0),0)</f>
        <v>0</v>
      </c>
      <c r="P2872" s="169">
        <f>IFERROR(MATCH(J2872,'Final List'!$L$4:$L$252,0),0)</f>
        <v>0</v>
      </c>
      <c r="Q2872" s="169">
        <f>IFERROR(MATCH(J2872,'Final List'!$N$4:$N$252,0),0)</f>
        <v>0</v>
      </c>
      <c r="R2872" s="169">
        <f>IFERROR(MATCH(J2872,'Final List'!$P$4:$P$252,0),0)</f>
        <v>0</v>
      </c>
      <c r="S2872" s="169">
        <f t="shared" si="179"/>
        <v>0</v>
      </c>
      <c r="T2872" s="169" t="s">
        <v>68</v>
      </c>
      <c r="V2872" s="169" t="str">
        <f t="shared" si="180"/>
        <v>FERNANDEZ, RM 2</v>
      </c>
      <c r="W2872" s="169" t="s">
        <v>2707</v>
      </c>
    </row>
    <row r="2873" spans="2:23" x14ac:dyDescent="0.25">
      <c r="B2873" s="169" t="s">
        <v>95</v>
      </c>
      <c r="C2873" s="169" t="s">
        <v>59</v>
      </c>
      <c r="D2873" s="169" t="s">
        <v>111</v>
      </c>
      <c r="E2873" s="169" t="s">
        <v>6154</v>
      </c>
      <c r="F2873" s="245" t="str">
        <f t="shared" si="178"/>
        <v>Dhoz 71</v>
      </c>
      <c r="G2873" s="169" t="s">
        <v>9753</v>
      </c>
      <c r="I2873" s="169" t="str">
        <f t="shared" si="181"/>
        <v>L08_GHVHW_004W_DW_ISL</v>
      </c>
      <c r="J2873" s="169" t="s">
        <v>12138</v>
      </c>
      <c r="K2873" s="169">
        <f>IFERROR(MATCH(J2873,'Final List'!$B$4:$B$252,0),0)</f>
        <v>0</v>
      </c>
      <c r="L2873" s="169">
        <f>IFERROR(MATCH(J2873,'Final List'!$D$4:$D$252,0),0)</f>
        <v>0</v>
      </c>
      <c r="M2873" s="169">
        <f>IFERROR(MATCH(J2873,'Final List'!$F$4:$F$251,0),0)</f>
        <v>0</v>
      </c>
      <c r="N2873" s="169">
        <f>IFERROR(MATCH(J2873,'Final List'!$H$4:$H$252,0),0)</f>
        <v>0</v>
      </c>
      <c r="O2873" s="169">
        <f>IFERROR(MATCH(J2873,'Final List'!$J$4:$J$252,0),0)</f>
        <v>0</v>
      </c>
      <c r="P2873" s="169">
        <f>IFERROR(MATCH(J2873,'Final List'!$L$4:$L$252,0),0)</f>
        <v>0</v>
      </c>
      <c r="Q2873" s="169">
        <f>IFERROR(MATCH(J2873,'Final List'!$N$4:$N$252,0),0)</f>
        <v>0</v>
      </c>
      <c r="R2873" s="169">
        <f>IFERROR(MATCH(J2873,'Final List'!$P$4:$P$252,0),0)</f>
        <v>0</v>
      </c>
      <c r="S2873" s="169">
        <f t="shared" si="179"/>
        <v>0</v>
      </c>
      <c r="V2873" s="169" t="str">
        <f t="shared" si="180"/>
        <v>CAPUYAN 2</v>
      </c>
      <c r="W2873" s="169" t="s">
        <v>2708</v>
      </c>
    </row>
    <row r="2874" spans="2:23" x14ac:dyDescent="0.25">
      <c r="B2874" s="169" t="s">
        <v>258</v>
      </c>
      <c r="C2874" s="169" t="s">
        <v>45</v>
      </c>
      <c r="D2874" s="169" t="s">
        <v>6983</v>
      </c>
      <c r="E2874" s="169" t="s">
        <v>61</v>
      </c>
      <c r="F2874" s="245" t="str">
        <f t="shared" si="178"/>
        <v>Dhoz 71</v>
      </c>
      <c r="G2874" s="169" t="s">
        <v>12144</v>
      </c>
      <c r="I2874" s="169" t="str">
        <f t="shared" si="181"/>
        <v>L10_DPVE_001E_DW</v>
      </c>
      <c r="J2874" s="169" t="s">
        <v>12143</v>
      </c>
      <c r="K2874" s="169">
        <f>IFERROR(MATCH(J2874,'Final List'!$B$4:$B$252,0),0)</f>
        <v>0</v>
      </c>
      <c r="L2874" s="169">
        <f>IFERROR(MATCH(J2874,'Final List'!$D$4:$D$252,0),0)</f>
        <v>0</v>
      </c>
      <c r="M2874" s="169">
        <f>IFERROR(MATCH(J2874,'Final List'!$F$4:$F$251,0),0)</f>
        <v>0</v>
      </c>
      <c r="N2874" s="169">
        <f>IFERROR(MATCH(J2874,'Final List'!$H$4:$H$252,0),0)</f>
        <v>0</v>
      </c>
      <c r="O2874" s="169">
        <f>IFERROR(MATCH(J2874,'Final List'!$J$4:$J$252,0),0)</f>
        <v>0</v>
      </c>
      <c r="P2874" s="169">
        <f>IFERROR(MATCH(J2874,'Final List'!$L$4:$L$252,0),0)</f>
        <v>0</v>
      </c>
      <c r="Q2874" s="169">
        <f>IFERROR(MATCH(J2874,'Final List'!$N$4:$N$252,0),0)</f>
        <v>0</v>
      </c>
      <c r="R2874" s="169">
        <f>IFERROR(MATCH(J2874,'Final List'!$P$4:$P$252,0),0)</f>
        <v>0</v>
      </c>
      <c r="S2874" s="169">
        <f t="shared" si="179"/>
        <v>0</v>
      </c>
      <c r="V2874" s="169" t="str">
        <f t="shared" si="180"/>
        <v>NITRO BC</v>
      </c>
      <c r="W2874" s="169" t="s">
        <v>8896</v>
      </c>
    </row>
    <row r="2875" spans="2:23" x14ac:dyDescent="0.25">
      <c r="B2875" s="169" t="s">
        <v>1166</v>
      </c>
      <c r="C2875" s="169" t="s">
        <v>45</v>
      </c>
      <c r="D2875" s="169" t="s">
        <v>128</v>
      </c>
      <c r="E2875" s="169" t="s">
        <v>36</v>
      </c>
      <c r="F2875" s="245" t="str">
        <f t="shared" si="178"/>
        <v>StpS 77</v>
      </c>
      <c r="G2875" s="169" t="s">
        <v>448</v>
      </c>
      <c r="I2875" s="169" t="str">
        <f t="shared" si="181"/>
        <v>L11_DPVE_027E_STOPE</v>
      </c>
      <c r="J2875" s="169" t="s">
        <v>12267</v>
      </c>
      <c r="K2875" s="169">
        <f>IFERROR(MATCH(J2875,'Final List'!$B$4:$B$252,0),0)</f>
        <v>0</v>
      </c>
      <c r="L2875" s="169">
        <f>IFERROR(MATCH(J2875,'Final List'!$D$4:$D$252,0),0)</f>
        <v>0</v>
      </c>
      <c r="M2875" s="169">
        <f>IFERROR(MATCH(J2875,'Final List'!$F$4:$F$251,0),0)</f>
        <v>0</v>
      </c>
      <c r="N2875" s="169">
        <f>IFERROR(MATCH(J2875,'Final List'!$H$4:$H$252,0),0)</f>
        <v>0</v>
      </c>
      <c r="O2875" s="169">
        <f>IFERROR(MATCH(J2875,'Final List'!$J$4:$J$252,0),0)</f>
        <v>0</v>
      </c>
      <c r="P2875" s="169">
        <f>IFERROR(MATCH(J2875,'Final List'!$L$4:$L$252,0),0)</f>
        <v>0</v>
      </c>
      <c r="Q2875" s="169">
        <f>IFERROR(MATCH(J2875,'Final List'!$N$4:$N$252,0),0)</f>
        <v>0</v>
      </c>
      <c r="R2875" s="169">
        <f>IFERROR(MATCH(J2875,'Final List'!$P$4:$P$252,0),0)</f>
        <v>0</v>
      </c>
      <c r="S2875" s="169">
        <f t="shared" si="179"/>
        <v>0</v>
      </c>
      <c r="T2875" s="169" t="s">
        <v>68</v>
      </c>
      <c r="V2875" s="169" t="str">
        <f t="shared" si="180"/>
        <v>COMAINGKING 2</v>
      </c>
      <c r="W2875" s="169" t="s">
        <v>2713</v>
      </c>
    </row>
    <row r="2876" spans="2:23" x14ac:dyDescent="0.25">
      <c r="B2876" s="169" t="s">
        <v>1166</v>
      </c>
      <c r="C2876" s="169" t="s">
        <v>87</v>
      </c>
      <c r="D2876" s="169" t="s">
        <v>5781</v>
      </c>
      <c r="E2876" s="169" t="s">
        <v>37</v>
      </c>
      <c r="F2876" s="245" t="str">
        <f t="shared" si="178"/>
        <v>Dhoz 71</v>
      </c>
      <c r="G2876" s="169" t="s">
        <v>1376</v>
      </c>
      <c r="H2876" s="169" t="s">
        <v>8339</v>
      </c>
      <c r="I2876" s="169" t="str">
        <f>CONCATENATE(B2876,"_",C2876,"_",D2876,"_",E2876)</f>
        <v>L11_NONE_051E_XCN</v>
      </c>
      <c r="J2876" s="169" t="s">
        <v>12147</v>
      </c>
      <c r="K2876" s="169">
        <f>IFERROR(MATCH(J2876,'Final List'!$B$4:$B$252,0),0)</f>
        <v>0</v>
      </c>
      <c r="L2876" s="169">
        <f>IFERROR(MATCH(J2876,'Final List'!$D$4:$D$252,0),0)</f>
        <v>0</v>
      </c>
      <c r="M2876" s="169">
        <f>IFERROR(MATCH(J2876,'Final List'!$F$4:$F$251,0),0)</f>
        <v>0</v>
      </c>
      <c r="N2876" s="169">
        <f>IFERROR(MATCH(J2876,'Final List'!$H$4:$H$252,0),0)</f>
        <v>0</v>
      </c>
      <c r="O2876" s="169">
        <f>IFERROR(MATCH(J2876,'Final List'!$J$4:$J$252,0),0)</f>
        <v>0</v>
      </c>
      <c r="P2876" s="169">
        <f>IFERROR(MATCH(J2876,'Final List'!$L$4:$L$252,0),0)</f>
        <v>0</v>
      </c>
      <c r="Q2876" s="169">
        <f>IFERROR(MATCH(J2876,'Final List'!$N$4:$N$252,0),0)</f>
        <v>0</v>
      </c>
      <c r="R2876" s="169">
        <f>IFERROR(MATCH(J2876,'Final List'!$P$4:$P$252,0),0)</f>
        <v>0</v>
      </c>
      <c r="S2876" s="169">
        <f t="shared" si="179"/>
        <v>0</v>
      </c>
      <c r="V2876" s="169" t="str">
        <f t="shared" si="180"/>
        <v>MARTINEZ DN</v>
      </c>
      <c r="W2876" s="169" t="s">
        <v>2714</v>
      </c>
    </row>
    <row r="2877" spans="2:23" x14ac:dyDescent="0.25">
      <c r="B2877" s="169" t="s">
        <v>1166</v>
      </c>
      <c r="C2877" s="169" t="s">
        <v>45</v>
      </c>
      <c r="D2877" s="169" t="s">
        <v>112</v>
      </c>
      <c r="E2877" s="169" t="s">
        <v>60</v>
      </c>
      <c r="F2877" s="245" t="str">
        <f t="shared" si="178"/>
        <v>Dhoz 71</v>
      </c>
      <c r="G2877" s="169" t="s">
        <v>5698</v>
      </c>
      <c r="I2877" s="169" t="str">
        <f t="shared" si="181"/>
        <v>L11_DPVE_018E_DE</v>
      </c>
      <c r="J2877" s="169" t="s">
        <v>12168</v>
      </c>
      <c r="K2877" s="169">
        <f>IFERROR(MATCH(J2877,'Final List'!$B$4:$B$252,0),0)</f>
        <v>0</v>
      </c>
      <c r="L2877" s="169">
        <f>IFERROR(MATCH(J2877,'Final List'!$D$4:$D$252,0),0)</f>
        <v>0</v>
      </c>
      <c r="M2877" s="169">
        <f>IFERROR(MATCH(J2877,'Final List'!$F$4:$F$251,0),0)</f>
        <v>0</v>
      </c>
      <c r="N2877" s="169">
        <f>IFERROR(MATCH(J2877,'Final List'!$H$4:$H$252,0),0)</f>
        <v>0</v>
      </c>
      <c r="O2877" s="169">
        <f>IFERROR(MATCH(J2877,'Final List'!$J$4:$J$252,0),0)</f>
        <v>0</v>
      </c>
      <c r="P2877" s="169">
        <f>IFERROR(MATCH(J2877,'Final List'!$L$4:$L$252,0),0)</f>
        <v>0</v>
      </c>
      <c r="Q2877" s="169">
        <f>IFERROR(MATCH(J2877,'Final List'!$N$4:$N$252,0),0)</f>
        <v>0</v>
      </c>
      <c r="R2877" s="169">
        <f>IFERROR(MATCH(J2877,'Final List'!$P$4:$P$252,0),0)</f>
        <v>0</v>
      </c>
      <c r="S2877" s="169">
        <f t="shared" si="179"/>
        <v>0</v>
      </c>
      <c r="V2877" s="169" t="str">
        <f t="shared" si="180"/>
        <v>PARAN 1</v>
      </c>
      <c r="W2877" s="169" t="s">
        <v>8896</v>
      </c>
    </row>
    <row r="2878" spans="2:23" x14ac:dyDescent="0.25">
      <c r="B2878" s="169" t="s">
        <v>8904</v>
      </c>
      <c r="C2878" s="169" t="s">
        <v>42</v>
      </c>
      <c r="D2878" s="169" t="s">
        <v>171</v>
      </c>
      <c r="E2878" s="169" t="s">
        <v>6143</v>
      </c>
      <c r="F2878" s="245" t="str">
        <f t="shared" si="178"/>
        <v>Dhoz 71</v>
      </c>
      <c r="G2878" s="169" t="s">
        <v>10062</v>
      </c>
      <c r="I2878" s="169" t="str">
        <f t="shared" si="181"/>
        <v>L03_JV_015W_DE_ISL</v>
      </c>
      <c r="J2878" s="169" t="s">
        <v>12149</v>
      </c>
      <c r="K2878" s="169">
        <f>IFERROR(MATCH(J2878,'Final List'!$B$4:$B$252,0),0)</f>
        <v>0</v>
      </c>
      <c r="L2878" s="169">
        <f>IFERROR(MATCH(J2878,'Final List'!$D$4:$D$252,0),0)</f>
        <v>0</v>
      </c>
      <c r="M2878" s="169">
        <f>IFERROR(MATCH(J2878,'Final List'!$F$4:$F$251,0),0)</f>
        <v>0</v>
      </c>
      <c r="N2878" s="169">
        <f>IFERROR(MATCH(J2878,'Final List'!$H$4:$H$252,0),0)</f>
        <v>0</v>
      </c>
      <c r="O2878" s="169">
        <f>IFERROR(MATCH(J2878,'Final List'!$J$4:$J$252,0),0)</f>
        <v>0</v>
      </c>
      <c r="P2878" s="169">
        <f>IFERROR(MATCH(J2878,'Final List'!$L$4:$L$252,0),0)</f>
        <v>0</v>
      </c>
      <c r="Q2878" s="169">
        <f>IFERROR(MATCH(J2878,'Final List'!$N$4:$N$252,0),0)</f>
        <v>0</v>
      </c>
      <c r="R2878" s="169">
        <f>IFERROR(MATCH(J2878,'Final List'!$P$4:$P$252,0),0)</f>
        <v>0</v>
      </c>
      <c r="S2878" s="169">
        <f t="shared" si="179"/>
        <v>0</v>
      </c>
      <c r="T2878" s="169" t="s">
        <v>68</v>
      </c>
      <c r="V2878" s="169" t="str">
        <f t="shared" si="180"/>
        <v>FERNANDEZ, RM 6</v>
      </c>
      <c r="W2878" s="169" t="s">
        <v>2708</v>
      </c>
    </row>
    <row r="2879" spans="2:23" x14ac:dyDescent="0.25">
      <c r="B2879" s="169" t="s">
        <v>8904</v>
      </c>
      <c r="C2879" s="169" t="s">
        <v>38</v>
      </c>
      <c r="D2879" s="169" t="s">
        <v>5888</v>
      </c>
      <c r="E2879" s="169" t="s">
        <v>62</v>
      </c>
      <c r="F2879" s="245" t="str">
        <f t="shared" si="178"/>
        <v>RobS 79</v>
      </c>
      <c r="G2879" s="169" t="s">
        <v>9348</v>
      </c>
      <c r="I2879" s="169" t="str">
        <f t="shared" si="181"/>
        <v>L03_GHV_024W_ROBBING</v>
      </c>
      <c r="J2879" s="169" t="s">
        <v>12162</v>
      </c>
      <c r="K2879" s="169">
        <f>IFERROR(MATCH(J2879,'Final List'!$B$4:$B$252,0),0)</f>
        <v>0</v>
      </c>
      <c r="L2879" s="169">
        <f>IFERROR(MATCH(J2879,'Final List'!$D$4:$D$252,0),0)</f>
        <v>0</v>
      </c>
      <c r="M2879" s="169">
        <f>IFERROR(MATCH(J2879,'Final List'!$F$4:$F$251,0),0)</f>
        <v>0</v>
      </c>
      <c r="N2879" s="169">
        <f>IFERROR(MATCH(J2879,'Final List'!$H$4:$H$252,0),0)</f>
        <v>0</v>
      </c>
      <c r="O2879" s="169">
        <f>IFERROR(MATCH(J2879,'Final List'!$J$4:$J$252,0),0)</f>
        <v>0</v>
      </c>
      <c r="P2879" s="169">
        <f>IFERROR(MATCH(J2879,'Final List'!$L$4:$L$252,0),0)</f>
        <v>0</v>
      </c>
      <c r="Q2879" s="169">
        <f>IFERROR(MATCH(J2879,'Final List'!$N$4:$N$252,0),0)</f>
        <v>0</v>
      </c>
      <c r="R2879" s="169">
        <f>IFERROR(MATCH(J2879,'Final List'!$P$4:$P$252,0),0)</f>
        <v>0</v>
      </c>
      <c r="S2879" s="169">
        <f t="shared" si="179"/>
        <v>0</v>
      </c>
      <c r="T2879" s="169" t="s">
        <v>68</v>
      </c>
      <c r="V2879" s="169" t="str">
        <f t="shared" si="180"/>
        <v>FERNANDEZ, RM 1</v>
      </c>
      <c r="W2879" s="169" t="s">
        <v>2707</v>
      </c>
    </row>
    <row r="2880" spans="2:23" x14ac:dyDescent="0.25">
      <c r="B2880" s="169" t="s">
        <v>1166</v>
      </c>
      <c r="C2880" s="169" t="s">
        <v>43</v>
      </c>
      <c r="D2880" s="169" t="s">
        <v>166</v>
      </c>
      <c r="E2880" s="169" t="s">
        <v>36</v>
      </c>
      <c r="F2880" s="245" t="str">
        <f t="shared" si="178"/>
        <v>StpS 77</v>
      </c>
      <c r="G2880" s="169" t="s">
        <v>12068</v>
      </c>
      <c r="H2880" s="169" t="s">
        <v>4068</v>
      </c>
      <c r="I2880" s="169" t="str">
        <f t="shared" si="181"/>
        <v>L11_GHVSPLIT_068E_STOPE</v>
      </c>
      <c r="J2880" s="169" t="s">
        <v>12415</v>
      </c>
      <c r="K2880" s="169">
        <f>IFERROR(MATCH(J2880,'Final List'!$B$4:$B$252,0),0)</f>
        <v>0</v>
      </c>
      <c r="L2880" s="169">
        <f>IFERROR(MATCH(J2880,'Final List'!$D$4:$D$252,0),0)</f>
        <v>0</v>
      </c>
      <c r="M2880" s="169">
        <f>IFERROR(MATCH(J2880,'Final List'!$F$4:$F$251,0),0)</f>
        <v>0</v>
      </c>
      <c r="N2880" s="169">
        <f>IFERROR(MATCH(J2880,'Final List'!$H$4:$H$252,0),0)</f>
        <v>0</v>
      </c>
      <c r="O2880" s="169">
        <f>IFERROR(MATCH(J2880,'Final List'!$J$4:$J$252,0),0)</f>
        <v>0</v>
      </c>
      <c r="P2880" s="169">
        <f>IFERROR(MATCH(J2880,'Final List'!$L$4:$L$252,0),0)</f>
        <v>0</v>
      </c>
      <c r="Q2880" s="169">
        <f>IFERROR(MATCH(J2880,'Final List'!$N$4:$N$252,0),0)</f>
        <v>0</v>
      </c>
      <c r="R2880" s="169">
        <f>IFERROR(MATCH(J2880,'Final List'!$P$4:$P$252,0),0)</f>
        <v>0</v>
      </c>
      <c r="S2880" s="169">
        <f t="shared" si="179"/>
        <v>0</v>
      </c>
      <c r="T2880" s="169" t="s">
        <v>68</v>
      </c>
      <c r="V2880" s="169" t="str">
        <f>IF(H2880="",G2880,H2880)</f>
        <v>MAPAYO</v>
      </c>
      <c r="W2880" s="169" t="s">
        <v>2713</v>
      </c>
    </row>
    <row r="2881" spans="2:23" x14ac:dyDescent="0.25">
      <c r="B2881" s="169" t="s">
        <v>96</v>
      </c>
      <c r="C2881" s="169" t="s">
        <v>57</v>
      </c>
      <c r="D2881" s="169" t="s">
        <v>1230</v>
      </c>
      <c r="E2881" s="169" t="s">
        <v>62</v>
      </c>
      <c r="F2881" s="245" t="str">
        <f t="shared" si="178"/>
        <v>RobS 79</v>
      </c>
      <c r="G2881" s="169" t="s">
        <v>8202</v>
      </c>
      <c r="I2881" s="169" t="str">
        <f t="shared" si="181"/>
        <v>L09_JVSPLIT_075E_ROBBING</v>
      </c>
      <c r="J2881" s="169" t="s">
        <v>12156</v>
      </c>
      <c r="K2881" s="169">
        <f>IFERROR(MATCH(J2881,'Final List'!$B$4:$B$252,0),0)</f>
        <v>0</v>
      </c>
      <c r="L2881" s="169">
        <f>IFERROR(MATCH(J2881,'Final List'!$D$4:$D$252,0),0)</f>
        <v>0</v>
      </c>
      <c r="M2881" s="169">
        <f>IFERROR(MATCH(J2881,'Final List'!$F$4:$F$251,0),0)</f>
        <v>0</v>
      </c>
      <c r="N2881" s="169">
        <f>IFERROR(MATCH(J2881,'Final List'!$H$4:$H$252,0),0)</f>
        <v>0</v>
      </c>
      <c r="O2881" s="169">
        <f>IFERROR(MATCH(J2881,'Final List'!$J$4:$J$252,0),0)</f>
        <v>0</v>
      </c>
      <c r="P2881" s="169">
        <f>IFERROR(MATCH(J2881,'Final List'!$L$4:$L$252,0),0)</f>
        <v>0</v>
      </c>
      <c r="Q2881" s="169">
        <f>IFERROR(MATCH(J2881,'Final List'!$N$4:$N$252,0),0)</f>
        <v>0</v>
      </c>
      <c r="R2881" s="169">
        <f>IFERROR(MATCH(J2881,'Final List'!$P$4:$P$252,0),0)</f>
        <v>0</v>
      </c>
      <c r="S2881" s="169">
        <f t="shared" si="179"/>
        <v>0</v>
      </c>
      <c r="T2881" s="169" t="s">
        <v>68</v>
      </c>
      <c r="V2881" s="169" t="str">
        <f t="shared" si="180"/>
        <v>PANSIT, NORMAN 2</v>
      </c>
      <c r="W2881" s="169" t="s">
        <v>2707</v>
      </c>
    </row>
    <row r="2882" spans="2:23" x14ac:dyDescent="0.25">
      <c r="B2882" s="169" t="s">
        <v>96</v>
      </c>
      <c r="C2882" s="169" t="s">
        <v>56</v>
      </c>
      <c r="D2882" s="169" t="s">
        <v>6941</v>
      </c>
      <c r="E2882" s="169" t="s">
        <v>6154</v>
      </c>
      <c r="F2882" s="245" t="str">
        <f t="shared" si="178"/>
        <v>Dhoz 71</v>
      </c>
      <c r="G2882" s="169" t="s">
        <v>12063</v>
      </c>
      <c r="I2882" s="169" t="str">
        <f t="shared" si="181"/>
        <v>L09_GHVFW_031W_DW_ISL</v>
      </c>
      <c r="J2882" s="169" t="s">
        <v>12284</v>
      </c>
      <c r="K2882" s="169">
        <f>IFERROR(MATCH(J2882,'Final List'!$B$4:$B$252,0),0)</f>
        <v>0</v>
      </c>
      <c r="L2882" s="169">
        <f>IFERROR(MATCH(J2882,'Final List'!$D$4:$D$252,0),0)</f>
        <v>0</v>
      </c>
      <c r="M2882" s="169">
        <f>IFERROR(MATCH(J2882,'Final List'!$F$4:$F$251,0),0)</f>
        <v>0</v>
      </c>
      <c r="N2882" s="169">
        <f>IFERROR(MATCH(J2882,'Final List'!$H$4:$H$252,0),0)</f>
        <v>0</v>
      </c>
      <c r="O2882" s="169">
        <f>IFERROR(MATCH(J2882,'Final List'!$J$4:$J$252,0),0)</f>
        <v>0</v>
      </c>
      <c r="P2882" s="169">
        <f>IFERROR(MATCH(J2882,'Final List'!$L$4:$L$252,0),0)</f>
        <v>0</v>
      </c>
      <c r="Q2882" s="169">
        <f>IFERROR(MATCH(J2882,'Final List'!$N$4:$N$252,0),0)</f>
        <v>0</v>
      </c>
      <c r="R2882" s="169">
        <f>IFERROR(MATCH(J2882,'Final List'!$P$4:$P$252,0),0)</f>
        <v>0</v>
      </c>
      <c r="S2882" s="169">
        <f t="shared" si="179"/>
        <v>0</v>
      </c>
      <c r="V2882" s="169" t="str">
        <f t="shared" si="180"/>
        <v>NITRO AT 1</v>
      </c>
      <c r="W2882" s="169" t="s">
        <v>2708</v>
      </c>
    </row>
    <row r="2883" spans="2:23" x14ac:dyDescent="0.25">
      <c r="B2883" s="169" t="s">
        <v>96</v>
      </c>
      <c r="C2883" s="169" t="s">
        <v>38</v>
      </c>
      <c r="D2883" s="169" t="s">
        <v>177</v>
      </c>
      <c r="E2883" s="169" t="s">
        <v>20</v>
      </c>
      <c r="F2883" s="245" t="str">
        <f t="shared" ref="F2883:F2946" si="182">IF(OR(E2883="XCN",E2883="DE",E2883="DW",E2883="DN",E2883="XCS",E2883="XCE",E2883="XCW",E2883="SUMP",E2883="BYPASS",E2883="CHAMBER",E2883="DRAIN HOLE",E2883="DRILLING CHAMBER",E2883="DE_ISL",E2883="DW_ISL",E2883="REHAB"),"Dhoz 71",IF(OR(E2883="RAISE",E2883="RAISE_ISL"),"DVR 72",IF(E2883="ALIMAK","DVA 73",IF(E2883="WINZE","DVW 74",IF(E2883="SHAFT","DVS 75",IF(AND(E2883="WINZE STOPE",T2883="S"),"RobC 80",IF(AND(E2883="STOPE",T2883="S"),"StpS 77",IF(AND(E2883="WINZE STOPE",T2883="L"),"RobC 80",IF(AND(E2883="STOPE",T2883="L"),"StpL 78",IF(AND(E2883="WINZE STOPE PREP",T2883="S"),"RobC 80",IF(AND(E2883="STOPE PREP",T2883="S"),"StpS 77",IF(AND(E2883="WINZE STOPE PREP",T2883="L"),"RobC 80",IF(AND(E2883="STOPE PREP",T2883="L"),"StpL 78",IF(AND(E2883="ROBBING",T2883="L"),"RobC 80",IF(AND(E2883="ROBBING",T2883="S"),"RobS 79",0)))))))))))))))</f>
        <v>DVW 74</v>
      </c>
      <c r="G2883" s="169" t="s">
        <v>350</v>
      </c>
      <c r="I2883" s="169" t="str">
        <f t="shared" si="181"/>
        <v>L09_GHV_054E_WINZE</v>
      </c>
      <c r="J2883" s="169" t="s">
        <v>12160</v>
      </c>
      <c r="K2883" s="169">
        <f>IFERROR(MATCH(J2883,'Final List'!$B$4:$B$252,0),0)</f>
        <v>0</v>
      </c>
      <c r="L2883" s="169">
        <f>IFERROR(MATCH(J2883,'Final List'!$D$4:$D$252,0),0)</f>
        <v>0</v>
      </c>
      <c r="M2883" s="169">
        <f>IFERROR(MATCH(J2883,'Final List'!$F$4:$F$251,0),0)</f>
        <v>0</v>
      </c>
      <c r="N2883" s="169">
        <f>IFERROR(MATCH(J2883,'Final List'!$H$4:$H$252,0),0)</f>
        <v>0</v>
      </c>
      <c r="O2883" s="169">
        <f>IFERROR(MATCH(J2883,'Final List'!$J$4:$J$252,0),0)</f>
        <v>0</v>
      </c>
      <c r="P2883" s="169">
        <f>IFERROR(MATCH(J2883,'Final List'!$L$4:$L$252,0),0)</f>
        <v>0</v>
      </c>
      <c r="Q2883" s="169">
        <f>IFERROR(MATCH(J2883,'Final List'!$N$4:$N$252,0),0)</f>
        <v>0</v>
      </c>
      <c r="R2883" s="169">
        <f>IFERROR(MATCH(J2883,'Final List'!$P$4:$P$252,0),0)</f>
        <v>0</v>
      </c>
      <c r="S2883" s="169">
        <f t="shared" ref="S2883:S2946" si="183">SUM(K2883:R2883)</f>
        <v>0</v>
      </c>
      <c r="V2883" s="169" t="str">
        <f t="shared" si="180"/>
        <v>QUIJANO 1</v>
      </c>
      <c r="W2883" s="169" t="s">
        <v>2706</v>
      </c>
    </row>
    <row r="2884" spans="2:23" x14ac:dyDescent="0.25">
      <c r="B2884" s="169" t="s">
        <v>1166</v>
      </c>
      <c r="C2884" s="169" t="s">
        <v>59</v>
      </c>
      <c r="D2884" s="169" t="s">
        <v>205</v>
      </c>
      <c r="E2884" s="169" t="s">
        <v>19</v>
      </c>
      <c r="F2884" s="245" t="str">
        <f t="shared" si="182"/>
        <v>DVR 72</v>
      </c>
      <c r="G2884" s="169" t="s">
        <v>10758</v>
      </c>
      <c r="I2884" s="169" t="str">
        <f t="shared" si="181"/>
        <v>L11_GHVHW_066E_RAISE</v>
      </c>
      <c r="J2884" s="169" t="s">
        <v>12163</v>
      </c>
      <c r="K2884" s="169">
        <f>IFERROR(MATCH(J2884,'Final List'!$B$4:$B$252,0),0)</f>
        <v>0</v>
      </c>
      <c r="L2884" s="169">
        <f>IFERROR(MATCH(J2884,'Final List'!$D$4:$D$252,0),0)</f>
        <v>0</v>
      </c>
      <c r="M2884" s="169">
        <f>IFERROR(MATCH(J2884,'Final List'!$F$4:$F$251,0),0)</f>
        <v>0</v>
      </c>
      <c r="N2884" s="169">
        <f>IFERROR(MATCH(J2884,'Final List'!$H$4:$H$252,0),0)</f>
        <v>0</v>
      </c>
      <c r="O2884" s="169">
        <f>IFERROR(MATCH(J2884,'Final List'!$J$4:$J$252,0),0)</f>
        <v>0</v>
      </c>
      <c r="P2884" s="169">
        <f>IFERROR(MATCH(J2884,'Final List'!$L$4:$L$252,0),0)</f>
        <v>0</v>
      </c>
      <c r="Q2884" s="169">
        <f>IFERROR(MATCH(J2884,'Final List'!$N$4:$N$252,0),0)</f>
        <v>0</v>
      </c>
      <c r="R2884" s="169">
        <f>IFERROR(MATCH(J2884,'Final List'!$P$4:$P$252,0),0)</f>
        <v>0</v>
      </c>
      <c r="S2884" s="169">
        <f t="shared" si="183"/>
        <v>0</v>
      </c>
      <c r="V2884" s="169" t="str">
        <f t="shared" si="180"/>
        <v>MARTINEZ, DN</v>
      </c>
      <c r="W2884" s="169" t="s">
        <v>2715</v>
      </c>
    </row>
    <row r="2885" spans="2:23" x14ac:dyDescent="0.25">
      <c r="B2885" s="169" t="s">
        <v>1166</v>
      </c>
      <c r="C2885" s="169" t="s">
        <v>59</v>
      </c>
      <c r="D2885" s="169" t="s">
        <v>198</v>
      </c>
      <c r="E2885" s="169" t="s">
        <v>19</v>
      </c>
      <c r="F2885" s="245" t="str">
        <f t="shared" si="182"/>
        <v>DVR 72</v>
      </c>
      <c r="G2885" s="169" t="s">
        <v>551</v>
      </c>
      <c r="H2885" s="169" t="s">
        <v>12070</v>
      </c>
      <c r="I2885" s="169" t="str">
        <f t="shared" si="181"/>
        <v>L11_GHVHW_069E_RAISE</v>
      </c>
      <c r="J2885" s="169" t="s">
        <v>12164</v>
      </c>
      <c r="K2885" s="169">
        <f>IFERROR(MATCH(J2885,'Final List'!$B$4:$B$252,0),0)</f>
        <v>0</v>
      </c>
      <c r="L2885" s="169">
        <f>IFERROR(MATCH(J2885,'Final List'!$D$4:$D$252,0),0)</f>
        <v>0</v>
      </c>
      <c r="M2885" s="169">
        <f>IFERROR(MATCH(J2885,'Final List'!$F$4:$F$251,0),0)</f>
        <v>0</v>
      </c>
      <c r="N2885" s="169">
        <f>IFERROR(MATCH(J2885,'Final List'!$H$4:$H$252,0),0)</f>
        <v>0</v>
      </c>
      <c r="O2885" s="169">
        <f>IFERROR(MATCH(J2885,'Final List'!$J$4:$J$252,0),0)</f>
        <v>0</v>
      </c>
      <c r="P2885" s="169">
        <f>IFERROR(MATCH(J2885,'Final List'!$L$4:$L$252,0),0)</f>
        <v>0</v>
      </c>
      <c r="Q2885" s="169">
        <f>IFERROR(MATCH(J2885,'Final List'!$N$4:$N$252,0),0)</f>
        <v>0</v>
      </c>
      <c r="R2885" s="169">
        <f>IFERROR(MATCH(J2885,'Final List'!$P$4:$P$252,0),0)</f>
        <v>0</v>
      </c>
      <c r="S2885" s="169">
        <f t="shared" si="183"/>
        <v>0</v>
      </c>
      <c r="V2885" s="169" t="str">
        <f t="shared" si="180"/>
        <v>NITRO BB</v>
      </c>
      <c r="W2885" s="169" t="s">
        <v>2715</v>
      </c>
    </row>
    <row r="2886" spans="2:23" x14ac:dyDescent="0.25">
      <c r="B2886" s="169" t="s">
        <v>1166</v>
      </c>
      <c r="C2886" s="169" t="s">
        <v>87</v>
      </c>
      <c r="D2886" s="169" t="s">
        <v>118</v>
      </c>
      <c r="E2886" s="169" t="s">
        <v>37</v>
      </c>
      <c r="F2886" s="245" t="str">
        <f t="shared" si="182"/>
        <v>Dhoz 71</v>
      </c>
      <c r="G2886" s="169" t="s">
        <v>12198</v>
      </c>
      <c r="H2886" s="169" t="s">
        <v>340</v>
      </c>
      <c r="I2886" s="169" t="str">
        <f t="shared" si="181"/>
        <v>L11_NONE_014E_XCN</v>
      </c>
      <c r="J2886" s="169" t="s">
        <v>12165</v>
      </c>
      <c r="K2886" s="169">
        <f>IFERROR(MATCH(J2886,'Final List'!$B$4:$B$252,0),0)</f>
        <v>0</v>
      </c>
      <c r="L2886" s="169">
        <f>IFERROR(MATCH(J2886,'Final List'!$D$4:$D$252,0),0)</f>
        <v>0</v>
      </c>
      <c r="M2886" s="169">
        <f>IFERROR(MATCH(J2886,'Final List'!$F$4:$F$251,0),0)</f>
        <v>0</v>
      </c>
      <c r="N2886" s="169">
        <f>IFERROR(MATCH(J2886,'Final List'!$H$4:$H$252,0),0)</f>
        <v>0</v>
      </c>
      <c r="O2886" s="169">
        <f>IFERROR(MATCH(J2886,'Final List'!$J$4:$J$252,0),0)</f>
        <v>0</v>
      </c>
      <c r="P2886" s="169">
        <f>IFERROR(MATCH(J2886,'Final List'!$L$4:$L$252,0),0)</f>
        <v>0</v>
      </c>
      <c r="Q2886" s="169">
        <f>IFERROR(MATCH(J2886,'Final List'!$N$4:$N$252,0),0)</f>
        <v>0</v>
      </c>
      <c r="R2886" s="169">
        <f>IFERROR(MATCH(J2886,'Final List'!$P$4:$P$252,0),0)</f>
        <v>0</v>
      </c>
      <c r="S2886" s="169">
        <f t="shared" si="183"/>
        <v>0</v>
      </c>
      <c r="V2886" s="169" t="str">
        <f t="shared" si="180"/>
        <v>COMAINGKING</v>
      </c>
      <c r="W2886" s="169" t="s">
        <v>8898</v>
      </c>
    </row>
    <row r="2887" spans="2:23" x14ac:dyDescent="0.25">
      <c r="B2887" s="169" t="s">
        <v>1166</v>
      </c>
      <c r="C2887" s="169" t="s">
        <v>11957</v>
      </c>
      <c r="D2887" s="169" t="s">
        <v>12170</v>
      </c>
      <c r="E2887" s="169" t="s">
        <v>12171</v>
      </c>
      <c r="F2887" s="245" t="s">
        <v>14362</v>
      </c>
      <c r="G2887" s="169" t="s">
        <v>274</v>
      </c>
      <c r="I2887" s="169" t="str">
        <f t="shared" si="181"/>
        <v>L11_TIGERWAY_DSP26_WIDENING</v>
      </c>
      <c r="J2887" s="169" t="s">
        <v>12169</v>
      </c>
      <c r="K2887" s="169">
        <f>IFERROR(MATCH(J2887,'Final List'!$B$4:$B$252,0),0)</f>
        <v>0</v>
      </c>
      <c r="L2887" s="169">
        <f>IFERROR(MATCH(J2887,'Final List'!$D$4:$D$252,0),0)</f>
        <v>0</v>
      </c>
      <c r="M2887" s="169">
        <f>IFERROR(MATCH(J2887,'Final List'!$F$4:$F$251,0),0)</f>
        <v>0</v>
      </c>
      <c r="N2887" s="169">
        <f>IFERROR(MATCH(J2887,'Final List'!$H$4:$H$252,0),0)</f>
        <v>0</v>
      </c>
      <c r="O2887" s="169">
        <f>IFERROR(MATCH(J2887,'Final List'!$J$4:$J$252,0),0)</f>
        <v>0</v>
      </c>
      <c r="P2887" s="169">
        <f>IFERROR(MATCH(J2887,'Final List'!$L$4:$L$252,0),0)</f>
        <v>0</v>
      </c>
      <c r="Q2887" s="169">
        <f>IFERROR(MATCH(J2887,'Final List'!$N$4:$N$252,0),0)</f>
        <v>0</v>
      </c>
      <c r="R2887" s="169">
        <f>IFERROR(MATCH(J2887,'Final List'!$P$4:$P$252,0),0)</f>
        <v>0</v>
      </c>
      <c r="S2887" s="169">
        <f t="shared" si="183"/>
        <v>0</v>
      </c>
      <c r="V2887" s="169" t="str">
        <f t="shared" si="180"/>
        <v>PMC MINERS 2</v>
      </c>
      <c r="W2887" s="169" t="s">
        <v>2714</v>
      </c>
    </row>
    <row r="2888" spans="2:23" x14ac:dyDescent="0.25">
      <c r="B2888" s="169" t="s">
        <v>95</v>
      </c>
      <c r="C2888" s="169" t="s">
        <v>42</v>
      </c>
      <c r="D2888" s="169" t="s">
        <v>197</v>
      </c>
      <c r="E2888" s="169" t="s">
        <v>62</v>
      </c>
      <c r="F2888" s="245" t="str">
        <f t="shared" si="182"/>
        <v>RobS 79</v>
      </c>
      <c r="G2888" s="169" t="s">
        <v>6925</v>
      </c>
      <c r="H2888" s="169" t="s">
        <v>12303</v>
      </c>
      <c r="I2888" s="169" t="str">
        <f t="shared" si="181"/>
        <v>L08_JV_070E_ROBBING</v>
      </c>
      <c r="J2888" s="169" t="s">
        <v>12182</v>
      </c>
      <c r="K2888" s="169">
        <f>IFERROR(MATCH(J2888,'Final List'!$B$4:$B$252,0),0)</f>
        <v>0</v>
      </c>
      <c r="L2888" s="169">
        <f>IFERROR(MATCH(J2888,'Final List'!$D$4:$D$252,0),0)</f>
        <v>0</v>
      </c>
      <c r="M2888" s="169">
        <f>IFERROR(MATCH(J2888,'Final List'!$F$4:$F$251,0),0)</f>
        <v>0</v>
      </c>
      <c r="N2888" s="169">
        <f>IFERROR(MATCH(J2888,'Final List'!$H$4:$H$252,0),0)</f>
        <v>0</v>
      </c>
      <c r="O2888" s="169">
        <f>IFERROR(MATCH(J2888,'Final List'!$J$4:$J$252,0),0)</f>
        <v>0</v>
      </c>
      <c r="P2888" s="169">
        <f>IFERROR(MATCH(J2888,'Final List'!$L$4:$L$252,0),0)</f>
        <v>0</v>
      </c>
      <c r="Q2888" s="169">
        <f>IFERROR(MATCH(J2888,'Final List'!$N$4:$N$252,0),0)</f>
        <v>0</v>
      </c>
      <c r="R2888" s="169">
        <f>IFERROR(MATCH(J2888,'Final List'!$P$4:$P$252,0),0)</f>
        <v>0</v>
      </c>
      <c r="S2888" s="169">
        <f t="shared" si="183"/>
        <v>0</v>
      </c>
      <c r="T2888" s="169" t="s">
        <v>68</v>
      </c>
      <c r="V2888" s="169" t="str">
        <f t="shared" si="180"/>
        <v>CAPUYAN 3</v>
      </c>
      <c r="W2888" s="169" t="s">
        <v>2707</v>
      </c>
    </row>
    <row r="2889" spans="2:23" x14ac:dyDescent="0.25">
      <c r="B2889" s="169" t="s">
        <v>258</v>
      </c>
      <c r="C2889" s="169" t="s">
        <v>45</v>
      </c>
      <c r="D2889" s="169" t="s">
        <v>170</v>
      </c>
      <c r="E2889" s="169" t="s">
        <v>6154</v>
      </c>
      <c r="F2889" s="245" t="str">
        <f t="shared" si="182"/>
        <v>Dhoz 71</v>
      </c>
      <c r="G2889" s="169" t="s">
        <v>5700</v>
      </c>
      <c r="I2889" s="169" t="str">
        <f t="shared" si="181"/>
        <v>L10_DPVE_071E_DW_ISL</v>
      </c>
      <c r="J2889" s="169" t="s">
        <v>12191</v>
      </c>
      <c r="K2889" s="169">
        <f>IFERROR(MATCH(J2889,'Final List'!$B$4:$B$252,0),0)</f>
        <v>0</v>
      </c>
      <c r="L2889" s="169">
        <f>IFERROR(MATCH(J2889,'Final List'!$D$4:$D$252,0),0)</f>
        <v>0</v>
      </c>
      <c r="M2889" s="169">
        <f>IFERROR(MATCH(J2889,'Final List'!$F$4:$F$251,0),0)</f>
        <v>0</v>
      </c>
      <c r="N2889" s="169">
        <f>IFERROR(MATCH(J2889,'Final List'!$H$4:$H$252,0),0)</f>
        <v>0</v>
      </c>
      <c r="O2889" s="169">
        <f>IFERROR(MATCH(J2889,'Final List'!$J$4:$J$252,0),0)</f>
        <v>0</v>
      </c>
      <c r="P2889" s="169">
        <f>IFERROR(MATCH(J2889,'Final List'!$L$4:$L$252,0),0)</f>
        <v>0</v>
      </c>
      <c r="Q2889" s="169">
        <f>IFERROR(MATCH(J2889,'Final List'!$N$4:$N$252,0),0)</f>
        <v>0</v>
      </c>
      <c r="R2889" s="169">
        <f>IFERROR(MATCH(J2889,'Final List'!$P$4:$P$252,0),0)</f>
        <v>0</v>
      </c>
      <c r="S2889" s="169">
        <f t="shared" si="183"/>
        <v>0</v>
      </c>
      <c r="V2889" s="169" t="str">
        <f t="shared" si="180"/>
        <v>LARGO 1</v>
      </c>
      <c r="W2889" s="169" t="s">
        <v>2708</v>
      </c>
    </row>
    <row r="2890" spans="2:23" x14ac:dyDescent="0.25">
      <c r="B2890" s="169" t="s">
        <v>95</v>
      </c>
      <c r="C2890" s="169" t="s">
        <v>45</v>
      </c>
      <c r="D2890" s="169" t="s">
        <v>175</v>
      </c>
      <c r="E2890" s="169" t="s">
        <v>6154</v>
      </c>
      <c r="F2890" s="245" t="str">
        <f t="shared" si="182"/>
        <v>Dhoz 71</v>
      </c>
      <c r="G2890" s="169" t="s">
        <v>942</v>
      </c>
      <c r="H2890" s="169" t="s">
        <v>9753</v>
      </c>
      <c r="I2890" s="169" t="str">
        <f t="shared" si="181"/>
        <v>L08_DPVE_060E_DW_ISL</v>
      </c>
      <c r="J2890" s="169" t="s">
        <v>12190</v>
      </c>
      <c r="K2890" s="169">
        <f>IFERROR(MATCH(J2890,'Final List'!$B$4:$B$252,0),0)</f>
        <v>0</v>
      </c>
      <c r="L2890" s="169">
        <f>IFERROR(MATCH(J2890,'Final List'!$D$4:$D$252,0),0)</f>
        <v>0</v>
      </c>
      <c r="M2890" s="169">
        <f>IFERROR(MATCH(J2890,'Final List'!$F$4:$F$251,0),0)</f>
        <v>0</v>
      </c>
      <c r="N2890" s="169">
        <f>IFERROR(MATCH(J2890,'Final List'!$H$4:$H$252,0),0)</f>
        <v>0</v>
      </c>
      <c r="O2890" s="169">
        <f>IFERROR(MATCH(J2890,'Final List'!$J$4:$J$252,0),0)</f>
        <v>0</v>
      </c>
      <c r="P2890" s="169">
        <f>IFERROR(MATCH(J2890,'Final List'!$L$4:$L$252,0),0)</f>
        <v>0</v>
      </c>
      <c r="Q2890" s="169">
        <f>IFERROR(MATCH(J2890,'Final List'!$N$4:$N$252,0),0)</f>
        <v>0</v>
      </c>
      <c r="R2890" s="169">
        <f>IFERROR(MATCH(J2890,'Final List'!$P$4:$P$252,0),0)</f>
        <v>0</v>
      </c>
      <c r="S2890" s="169">
        <f t="shared" si="183"/>
        <v>0</v>
      </c>
      <c r="V2890" s="169" t="str">
        <f t="shared" si="180"/>
        <v>CAPUYAN 2</v>
      </c>
      <c r="W2890" s="169" t="s">
        <v>2708</v>
      </c>
    </row>
    <row r="2891" spans="2:23" x14ac:dyDescent="0.25">
      <c r="B2891" s="169" t="s">
        <v>95</v>
      </c>
      <c r="C2891" s="169" t="s">
        <v>45</v>
      </c>
      <c r="D2891" s="169" t="s">
        <v>132</v>
      </c>
      <c r="E2891" s="169" t="s">
        <v>6143</v>
      </c>
      <c r="F2891" s="245" t="str">
        <f t="shared" si="182"/>
        <v>Dhoz 71</v>
      </c>
      <c r="G2891" s="169" t="s">
        <v>467</v>
      </c>
      <c r="I2891" s="169" t="str">
        <f t="shared" si="181"/>
        <v>L08_DPVE_033E_DE_ISL</v>
      </c>
      <c r="J2891" s="169" t="s">
        <v>12194</v>
      </c>
      <c r="K2891" s="169">
        <f>IFERROR(MATCH(J2891,'Final List'!$B$4:$B$252,0),0)</f>
        <v>0</v>
      </c>
      <c r="L2891" s="169">
        <f>IFERROR(MATCH(J2891,'Final List'!$D$4:$D$252,0),0)</f>
        <v>0</v>
      </c>
      <c r="M2891" s="169">
        <f>IFERROR(MATCH(J2891,'Final List'!$F$4:$F$251,0),0)</f>
        <v>0</v>
      </c>
      <c r="N2891" s="169">
        <f>IFERROR(MATCH(J2891,'Final List'!$H$4:$H$252,0),0)</f>
        <v>0</v>
      </c>
      <c r="O2891" s="169">
        <f>IFERROR(MATCH(J2891,'Final List'!$J$4:$J$252,0),0)</f>
        <v>0</v>
      </c>
      <c r="P2891" s="169">
        <f>IFERROR(MATCH(J2891,'Final List'!$L$4:$L$252,0),0)</f>
        <v>0</v>
      </c>
      <c r="Q2891" s="169">
        <f>IFERROR(MATCH(J2891,'Final List'!$N$4:$N$252,0),0)</f>
        <v>0</v>
      </c>
      <c r="R2891" s="169">
        <f>IFERROR(MATCH(J2891,'Final List'!$P$4:$P$252,0),0)</f>
        <v>0</v>
      </c>
      <c r="S2891" s="169">
        <f t="shared" si="183"/>
        <v>0</v>
      </c>
      <c r="V2891" s="169" t="str">
        <f t="shared" si="180"/>
        <v>AGLOLO 2</v>
      </c>
      <c r="W2891" s="169" t="s">
        <v>2708</v>
      </c>
    </row>
    <row r="2892" spans="2:23" x14ac:dyDescent="0.25">
      <c r="B2892" s="169" t="s">
        <v>258</v>
      </c>
      <c r="C2892" s="169" t="s">
        <v>45</v>
      </c>
      <c r="D2892" s="169" t="s">
        <v>9640</v>
      </c>
      <c r="E2892" s="169" t="s">
        <v>20</v>
      </c>
      <c r="F2892" s="245" t="str">
        <f t="shared" si="182"/>
        <v>DVW 74</v>
      </c>
      <c r="G2892" s="169" t="s">
        <v>12204</v>
      </c>
      <c r="H2892" s="169" t="s">
        <v>5700</v>
      </c>
      <c r="I2892" s="169" t="str">
        <f t="shared" si="181"/>
        <v>L10_DPVE_094E_WINZE</v>
      </c>
      <c r="J2892" s="169" t="s">
        <v>12203</v>
      </c>
      <c r="K2892" s="169">
        <f>IFERROR(MATCH(J2892,'Final List'!$B$4:$B$252,0),0)</f>
        <v>0</v>
      </c>
      <c r="L2892" s="169">
        <f>IFERROR(MATCH(J2892,'Final List'!$D$4:$D$252,0),0)</f>
        <v>0</v>
      </c>
      <c r="M2892" s="169">
        <f>IFERROR(MATCH(J2892,'Final List'!$F$4:$F$251,0),0)</f>
        <v>0</v>
      </c>
      <c r="N2892" s="169">
        <f>IFERROR(MATCH(J2892,'Final List'!$H$4:$H$252,0),0)</f>
        <v>0</v>
      </c>
      <c r="O2892" s="169">
        <f>IFERROR(MATCH(J2892,'Final List'!$J$4:$J$252,0),0)</f>
        <v>0</v>
      </c>
      <c r="P2892" s="169">
        <f>IFERROR(MATCH(J2892,'Final List'!$L$4:$L$252,0),0)</f>
        <v>0</v>
      </c>
      <c r="Q2892" s="169">
        <f>IFERROR(MATCH(J2892,'Final List'!$N$4:$N$252,0),0)</f>
        <v>0</v>
      </c>
      <c r="R2892" s="169">
        <f>IFERROR(MATCH(J2892,'Final List'!$P$4:$P$252,0),0)</f>
        <v>0</v>
      </c>
      <c r="S2892" s="169">
        <f t="shared" si="183"/>
        <v>0</v>
      </c>
      <c r="V2892" s="169" t="str">
        <f t="shared" si="180"/>
        <v>LARGO 1</v>
      </c>
      <c r="W2892" s="169" t="s">
        <v>2706</v>
      </c>
    </row>
    <row r="2893" spans="2:23" x14ac:dyDescent="0.25">
      <c r="B2893" s="169" t="s">
        <v>1166</v>
      </c>
      <c r="C2893" s="169" t="s">
        <v>45</v>
      </c>
      <c r="D2893" s="169" t="s">
        <v>165</v>
      </c>
      <c r="E2893" s="169" t="s">
        <v>60</v>
      </c>
      <c r="F2893" s="245" t="str">
        <f t="shared" si="182"/>
        <v>Dhoz 71</v>
      </c>
      <c r="G2893" s="169" t="s">
        <v>368</v>
      </c>
      <c r="I2893" s="169" t="str">
        <f t="shared" si="181"/>
        <v>L11_DPVE_056E_DE</v>
      </c>
      <c r="J2893" s="169" t="s">
        <v>12213</v>
      </c>
      <c r="K2893" s="169">
        <f>IFERROR(MATCH(J2893,'Final List'!$B$4:$B$252,0),0)</f>
        <v>0</v>
      </c>
      <c r="L2893" s="169">
        <f>IFERROR(MATCH(J2893,'Final List'!$D$4:$D$252,0),0)</f>
        <v>0</v>
      </c>
      <c r="M2893" s="169">
        <f>IFERROR(MATCH(J2893,'Final List'!$F$4:$F$251,0),0)</f>
        <v>0</v>
      </c>
      <c r="N2893" s="169">
        <f>IFERROR(MATCH(J2893,'Final List'!$H$4:$H$252,0),0)</f>
        <v>0</v>
      </c>
      <c r="O2893" s="169">
        <f>IFERROR(MATCH(J2893,'Final List'!$J$4:$J$252,0),0)</f>
        <v>0</v>
      </c>
      <c r="P2893" s="169">
        <f>IFERROR(MATCH(J2893,'Final List'!$L$4:$L$252,0),0)</f>
        <v>0</v>
      </c>
      <c r="Q2893" s="169">
        <f>IFERROR(MATCH(J2893,'Final List'!$N$4:$N$252,0),0)</f>
        <v>0</v>
      </c>
      <c r="R2893" s="169">
        <f>IFERROR(MATCH(J2893,'Final List'!$P$4:$P$252,0),0)</f>
        <v>0</v>
      </c>
      <c r="S2893" s="169">
        <f t="shared" si="183"/>
        <v>0</v>
      </c>
      <c r="V2893" s="169" t="str">
        <f t="shared" si="180"/>
        <v>LERIO 2</v>
      </c>
      <c r="W2893" s="169" t="s">
        <v>8896</v>
      </c>
    </row>
    <row r="2894" spans="2:23" x14ac:dyDescent="0.25">
      <c r="B2894" s="169" t="s">
        <v>96</v>
      </c>
      <c r="C2894" s="169" t="s">
        <v>59</v>
      </c>
      <c r="D2894" s="169" t="s">
        <v>7223</v>
      </c>
      <c r="E2894" s="169" t="s">
        <v>6154</v>
      </c>
      <c r="F2894" s="245" t="str">
        <f t="shared" si="182"/>
        <v>Dhoz 71</v>
      </c>
      <c r="G2894" s="169" t="s">
        <v>8202</v>
      </c>
      <c r="I2894" s="169" t="str">
        <f t="shared" si="181"/>
        <v>L09_GHVHW_002E_DW_ISL</v>
      </c>
      <c r="J2894" s="169" t="s">
        <v>12214</v>
      </c>
      <c r="K2894" s="169">
        <f>IFERROR(MATCH(J2894,'Final List'!$B$4:$B$252,0),0)</f>
        <v>0</v>
      </c>
      <c r="L2894" s="169">
        <f>IFERROR(MATCH(J2894,'Final List'!$D$4:$D$252,0),0)</f>
        <v>0</v>
      </c>
      <c r="M2894" s="169">
        <f>IFERROR(MATCH(J2894,'Final List'!$F$4:$F$251,0),0)</f>
        <v>0</v>
      </c>
      <c r="N2894" s="169">
        <f>IFERROR(MATCH(J2894,'Final List'!$H$4:$H$252,0),0)</f>
        <v>0</v>
      </c>
      <c r="O2894" s="169">
        <f>IFERROR(MATCH(J2894,'Final List'!$J$4:$J$252,0),0)</f>
        <v>0</v>
      </c>
      <c r="P2894" s="169">
        <f>IFERROR(MATCH(J2894,'Final List'!$L$4:$L$252,0),0)</f>
        <v>0</v>
      </c>
      <c r="Q2894" s="169">
        <f>IFERROR(MATCH(J2894,'Final List'!$N$4:$N$252,0),0)</f>
        <v>0</v>
      </c>
      <c r="R2894" s="169">
        <f>IFERROR(MATCH(J2894,'Final List'!$P$4:$P$252,0),0)</f>
        <v>0</v>
      </c>
      <c r="S2894" s="169">
        <f t="shared" si="183"/>
        <v>0</v>
      </c>
      <c r="V2894" s="169" t="str">
        <f t="shared" si="180"/>
        <v>PANSIT, NORMAN 2</v>
      </c>
      <c r="W2894" s="169" t="s">
        <v>8896</v>
      </c>
    </row>
    <row r="2895" spans="2:23" x14ac:dyDescent="0.25">
      <c r="B2895" s="169" t="s">
        <v>95</v>
      </c>
      <c r="C2895" s="169" t="s">
        <v>59</v>
      </c>
      <c r="D2895" s="169" t="s">
        <v>5741</v>
      </c>
      <c r="E2895" s="169" t="s">
        <v>62</v>
      </c>
      <c r="F2895" s="245" t="str">
        <f t="shared" si="182"/>
        <v>RobS 79</v>
      </c>
      <c r="G2895" s="169" t="s">
        <v>380</v>
      </c>
      <c r="I2895" s="169" t="str">
        <f t="shared" si="181"/>
        <v>L08_GHVHW_035E_ROBBING</v>
      </c>
      <c r="J2895" s="169" t="s">
        <v>12218</v>
      </c>
      <c r="K2895" s="169">
        <f>IFERROR(MATCH(J2895,'Final List'!$B$4:$B$252,0),0)</f>
        <v>0</v>
      </c>
      <c r="L2895" s="169">
        <f>IFERROR(MATCH(J2895,'Final List'!$D$4:$D$252,0),0)</f>
        <v>0</v>
      </c>
      <c r="M2895" s="169">
        <f>IFERROR(MATCH(J2895,'Final List'!$F$4:$F$251,0),0)</f>
        <v>0</v>
      </c>
      <c r="N2895" s="169">
        <f>IFERROR(MATCH(J2895,'Final List'!$H$4:$H$252,0),0)</f>
        <v>0</v>
      </c>
      <c r="O2895" s="169">
        <f>IFERROR(MATCH(J2895,'Final List'!$J$4:$J$252,0),0)</f>
        <v>0</v>
      </c>
      <c r="P2895" s="169">
        <f>IFERROR(MATCH(J2895,'Final List'!$L$4:$L$252,0),0)</f>
        <v>0</v>
      </c>
      <c r="Q2895" s="169">
        <f>IFERROR(MATCH(J2895,'Final List'!$N$4:$N$252,0),0)</f>
        <v>0</v>
      </c>
      <c r="R2895" s="169">
        <f>IFERROR(MATCH(J2895,'Final List'!$P$4:$P$252,0),0)</f>
        <v>0</v>
      </c>
      <c r="S2895" s="169">
        <f t="shared" si="183"/>
        <v>0</v>
      </c>
      <c r="T2895" s="169" t="s">
        <v>68</v>
      </c>
      <c r="V2895" s="169" t="str">
        <f t="shared" si="180"/>
        <v>AGLOLO 1</v>
      </c>
      <c r="W2895" s="169" t="s">
        <v>2707</v>
      </c>
    </row>
    <row r="2896" spans="2:23" x14ac:dyDescent="0.25">
      <c r="B2896" s="169" t="s">
        <v>1167</v>
      </c>
      <c r="C2896" s="169" t="s">
        <v>39</v>
      </c>
      <c r="D2896" s="169" t="s">
        <v>166</v>
      </c>
      <c r="E2896" s="169" t="s">
        <v>19</v>
      </c>
      <c r="F2896" s="245" t="str">
        <f t="shared" si="182"/>
        <v>DVR 72</v>
      </c>
      <c r="G2896" s="169" t="s">
        <v>318</v>
      </c>
      <c r="H2896" s="169" t="s">
        <v>12312</v>
      </c>
      <c r="I2896" s="169" t="str">
        <f t="shared" si="181"/>
        <v>L12_JVHW_068E_RAISE</v>
      </c>
      <c r="J2896" s="169" t="s">
        <v>12403</v>
      </c>
      <c r="K2896" s="169">
        <f>IFERROR(MATCH(J2896,'Final List'!$B$4:$B$252,0),0)</f>
        <v>0</v>
      </c>
      <c r="L2896" s="169">
        <f>IFERROR(MATCH(J2896,'Final List'!$D$4:$D$252,0),0)</f>
        <v>0</v>
      </c>
      <c r="M2896" s="169">
        <f>IFERROR(MATCH(J2896,'Final List'!$F$4:$F$251,0),0)</f>
        <v>0</v>
      </c>
      <c r="N2896" s="169">
        <f>IFERROR(MATCH(J2896,'Final List'!$H$4:$H$252,0),0)</f>
        <v>0</v>
      </c>
      <c r="O2896" s="169">
        <f>IFERROR(MATCH(J2896,'Final List'!$J$4:$J$252,0),0)</f>
        <v>0</v>
      </c>
      <c r="P2896" s="169">
        <f>IFERROR(MATCH(J2896,'Final List'!$L$4:$L$252,0),0)</f>
        <v>0</v>
      </c>
      <c r="Q2896" s="169">
        <f>IFERROR(MATCH(J2896,'Final List'!$N$4:$N$252,0),0)</f>
        <v>0</v>
      </c>
      <c r="R2896" s="169">
        <f>IFERROR(MATCH(J2896,'Final List'!$P$4:$P$252,0),0)</f>
        <v>0</v>
      </c>
      <c r="S2896" s="169">
        <f t="shared" si="183"/>
        <v>0</v>
      </c>
      <c r="V2896" s="169" t="str">
        <f t="shared" si="180"/>
        <v>PANSIT NORMAN 5</v>
      </c>
      <c r="W2896" s="169" t="s">
        <v>2715</v>
      </c>
    </row>
    <row r="2897" spans="2:23" x14ac:dyDescent="0.25">
      <c r="B2897" s="169" t="s">
        <v>1166</v>
      </c>
      <c r="C2897" s="169" t="s">
        <v>43</v>
      </c>
      <c r="D2897" s="169" t="s">
        <v>132</v>
      </c>
      <c r="E2897" s="169" t="s">
        <v>19</v>
      </c>
      <c r="F2897" s="245" t="str">
        <f t="shared" si="182"/>
        <v>DVR 72</v>
      </c>
      <c r="G2897" s="169" t="s">
        <v>11469</v>
      </c>
      <c r="I2897" s="169" t="str">
        <f t="shared" si="181"/>
        <v>L11_GHVSPLIT_033E_RAISE</v>
      </c>
      <c r="J2897" s="169" t="s">
        <v>12221</v>
      </c>
      <c r="K2897" s="169">
        <f>IFERROR(MATCH(J2897,'Final List'!$B$4:$B$252,0),0)</f>
        <v>0</v>
      </c>
      <c r="L2897" s="169">
        <f>IFERROR(MATCH(J2897,'Final List'!$D$4:$D$252,0),0)</f>
        <v>0</v>
      </c>
      <c r="M2897" s="169">
        <f>IFERROR(MATCH(J2897,'Final List'!$F$4:$F$251,0),0)</f>
        <v>0</v>
      </c>
      <c r="N2897" s="169">
        <f>IFERROR(MATCH(J2897,'Final List'!$H$4:$H$252,0),0)</f>
        <v>0</v>
      </c>
      <c r="O2897" s="169">
        <f>IFERROR(MATCH(J2897,'Final List'!$J$4:$J$252,0),0)</f>
        <v>0</v>
      </c>
      <c r="P2897" s="169">
        <f>IFERROR(MATCH(J2897,'Final List'!$L$4:$L$252,0),0)</f>
        <v>0</v>
      </c>
      <c r="Q2897" s="169">
        <f>IFERROR(MATCH(J2897,'Final List'!$N$4:$N$252,0),0)</f>
        <v>0</v>
      </c>
      <c r="R2897" s="169">
        <f>IFERROR(MATCH(J2897,'Final List'!$P$4:$P$252,0),0)</f>
        <v>0</v>
      </c>
      <c r="S2897" s="169">
        <f t="shared" si="183"/>
        <v>0</v>
      </c>
      <c r="V2897" s="169" t="str">
        <f t="shared" si="180"/>
        <v>MARTINEZ, DN 5</v>
      </c>
      <c r="W2897" s="169" t="s">
        <v>2715</v>
      </c>
    </row>
    <row r="2898" spans="2:23" x14ac:dyDescent="0.25">
      <c r="B2898" s="169" t="s">
        <v>1166</v>
      </c>
      <c r="C2898" s="169" t="s">
        <v>56</v>
      </c>
      <c r="D2898" s="169" t="s">
        <v>159</v>
      </c>
      <c r="E2898" s="169" t="s">
        <v>61</v>
      </c>
      <c r="F2898" s="245" t="str">
        <f t="shared" si="182"/>
        <v>Dhoz 71</v>
      </c>
      <c r="G2898" s="169" t="s">
        <v>12069</v>
      </c>
      <c r="I2898" s="169" t="str">
        <f t="shared" si="181"/>
        <v>L11_GHVFW_023E_DW</v>
      </c>
      <c r="J2898" s="169" t="s">
        <v>12222</v>
      </c>
      <c r="K2898" s="169">
        <f>IFERROR(MATCH(J2898,'Final List'!$B$4:$B$252,0),0)</f>
        <v>0</v>
      </c>
      <c r="L2898" s="169">
        <f>IFERROR(MATCH(J2898,'Final List'!$D$4:$D$252,0),0)</f>
        <v>0</v>
      </c>
      <c r="M2898" s="169">
        <f>IFERROR(MATCH(J2898,'Final List'!$F$4:$F$251,0),0)</f>
        <v>0</v>
      </c>
      <c r="N2898" s="169">
        <f>IFERROR(MATCH(J2898,'Final List'!$H$4:$H$252,0),0)</f>
        <v>0</v>
      </c>
      <c r="O2898" s="169">
        <f>IFERROR(MATCH(J2898,'Final List'!$J$4:$J$252,0),0)</f>
        <v>0</v>
      </c>
      <c r="P2898" s="169">
        <f>IFERROR(MATCH(J2898,'Final List'!$L$4:$L$252,0),0)</f>
        <v>0</v>
      </c>
      <c r="Q2898" s="169">
        <f>IFERROR(MATCH(J2898,'Final List'!$N$4:$N$252,0),0)</f>
        <v>0</v>
      </c>
      <c r="R2898" s="169">
        <f>IFERROR(MATCH(J2898,'Final List'!$P$4:$P$252,0),0)</f>
        <v>0</v>
      </c>
      <c r="S2898" s="169">
        <f t="shared" si="183"/>
        <v>0</v>
      </c>
      <c r="V2898" s="169" t="str">
        <f t="shared" si="180"/>
        <v>NITRO BE 1</v>
      </c>
      <c r="W2898" s="169" t="s">
        <v>8896</v>
      </c>
    </row>
    <row r="2899" spans="2:23" x14ac:dyDescent="0.25">
      <c r="B2899" s="169" t="s">
        <v>95</v>
      </c>
      <c r="C2899" s="169" t="s">
        <v>45</v>
      </c>
      <c r="D2899" s="169" t="s">
        <v>170</v>
      </c>
      <c r="E2899" s="169" t="s">
        <v>62</v>
      </c>
      <c r="F2899" s="245" t="str">
        <f t="shared" si="182"/>
        <v>RobS 79</v>
      </c>
      <c r="G2899" s="169" t="s">
        <v>526</v>
      </c>
      <c r="I2899" s="169" t="str">
        <f t="shared" si="181"/>
        <v>L08_DPVE_071E_ROBBING</v>
      </c>
      <c r="J2899" s="169" t="s">
        <v>12223</v>
      </c>
      <c r="K2899" s="169">
        <f>IFERROR(MATCH(J2899,'Final List'!$B$4:$B$252,0),0)</f>
        <v>0</v>
      </c>
      <c r="L2899" s="169">
        <f>IFERROR(MATCH(J2899,'Final List'!$D$4:$D$252,0),0)</f>
        <v>0</v>
      </c>
      <c r="M2899" s="169">
        <f>IFERROR(MATCH(J2899,'Final List'!$F$4:$F$251,0),0)</f>
        <v>0</v>
      </c>
      <c r="N2899" s="169">
        <f>IFERROR(MATCH(J2899,'Final List'!$H$4:$H$252,0),0)</f>
        <v>0</v>
      </c>
      <c r="O2899" s="169">
        <f>IFERROR(MATCH(J2899,'Final List'!$J$4:$J$252,0),0)</f>
        <v>0</v>
      </c>
      <c r="P2899" s="169">
        <f>IFERROR(MATCH(J2899,'Final List'!$L$4:$L$252,0),0)</f>
        <v>0</v>
      </c>
      <c r="Q2899" s="169">
        <f>IFERROR(MATCH(J2899,'Final List'!$N$4:$N$252,0),0)</f>
        <v>0</v>
      </c>
      <c r="R2899" s="169">
        <f>IFERROR(MATCH(J2899,'Final List'!$P$4:$P$252,0),0)</f>
        <v>0</v>
      </c>
      <c r="S2899" s="169">
        <f t="shared" si="183"/>
        <v>0</v>
      </c>
      <c r="T2899" s="169" t="s">
        <v>68</v>
      </c>
      <c r="V2899" s="169" t="str">
        <f t="shared" si="180"/>
        <v>CARIKITAN 2</v>
      </c>
      <c r="W2899" s="169" t="s">
        <v>2707</v>
      </c>
    </row>
    <row r="2900" spans="2:23" x14ac:dyDescent="0.25">
      <c r="B2900" s="169" t="s">
        <v>258</v>
      </c>
      <c r="C2900" s="169" t="s">
        <v>43</v>
      </c>
      <c r="D2900" s="169" t="s">
        <v>108</v>
      </c>
      <c r="E2900" s="169" t="s">
        <v>60</v>
      </c>
      <c r="F2900" s="245" t="str">
        <f t="shared" si="182"/>
        <v>Dhoz 71</v>
      </c>
      <c r="G2900" s="169" t="s">
        <v>12065</v>
      </c>
      <c r="I2900" s="169" t="str">
        <f t="shared" si="181"/>
        <v>L10_GHVSPLIT_007W_DE</v>
      </c>
      <c r="J2900" s="169" t="s">
        <v>12227</v>
      </c>
      <c r="K2900" s="169">
        <f>IFERROR(MATCH(J2900,'Final List'!$B$4:$B$252,0),0)</f>
        <v>0</v>
      </c>
      <c r="L2900" s="169">
        <f>IFERROR(MATCH(J2900,'Final List'!$D$4:$D$252,0),0)</f>
        <v>0</v>
      </c>
      <c r="M2900" s="169">
        <f>IFERROR(MATCH(J2900,'Final List'!$F$4:$F$251,0),0)</f>
        <v>0</v>
      </c>
      <c r="N2900" s="169">
        <f>IFERROR(MATCH(J2900,'Final List'!$H$4:$H$252,0),0)</f>
        <v>0</v>
      </c>
      <c r="O2900" s="169">
        <f>IFERROR(MATCH(J2900,'Final List'!$J$4:$J$252,0),0)</f>
        <v>0</v>
      </c>
      <c r="P2900" s="169">
        <f>IFERROR(MATCH(J2900,'Final List'!$L$4:$L$252,0),0)</f>
        <v>0</v>
      </c>
      <c r="Q2900" s="169">
        <f>IFERROR(MATCH(J2900,'Final List'!$N$4:$N$252,0),0)</f>
        <v>0</v>
      </c>
      <c r="R2900" s="169">
        <f>IFERROR(MATCH(J2900,'Final List'!$P$4:$P$252,0),0)</f>
        <v>0</v>
      </c>
      <c r="S2900" s="169">
        <f t="shared" si="183"/>
        <v>0</v>
      </c>
      <c r="V2900" s="169" t="str">
        <f t="shared" si="180"/>
        <v>NITRO BD 1</v>
      </c>
      <c r="W2900" s="169" t="s">
        <v>8896</v>
      </c>
    </row>
    <row r="2901" spans="2:23" x14ac:dyDescent="0.25">
      <c r="B2901" s="169" t="s">
        <v>258</v>
      </c>
      <c r="C2901" s="169" t="s">
        <v>56</v>
      </c>
      <c r="D2901" s="169" t="s">
        <v>176</v>
      </c>
      <c r="E2901" s="169" t="s">
        <v>6143</v>
      </c>
      <c r="F2901" s="245" t="str">
        <f t="shared" si="182"/>
        <v>Dhoz 71</v>
      </c>
      <c r="G2901" s="169" t="s">
        <v>12197</v>
      </c>
      <c r="I2901" s="169" t="str">
        <f t="shared" si="181"/>
        <v>L10_GHVFW_057E_DE_ISL</v>
      </c>
      <c r="J2901" s="169" t="s">
        <v>12228</v>
      </c>
      <c r="K2901" s="169">
        <f>IFERROR(MATCH(J2901,'Final List'!$B$4:$B$252,0),0)</f>
        <v>0</v>
      </c>
      <c r="L2901" s="169">
        <f>IFERROR(MATCH(J2901,'Final List'!$D$4:$D$252,0),0)</f>
        <v>0</v>
      </c>
      <c r="M2901" s="169">
        <f>IFERROR(MATCH(J2901,'Final List'!$F$4:$F$251,0),0)</f>
        <v>0</v>
      </c>
      <c r="N2901" s="169">
        <f>IFERROR(MATCH(J2901,'Final List'!$H$4:$H$252,0),0)</f>
        <v>0</v>
      </c>
      <c r="O2901" s="169">
        <f>IFERROR(MATCH(J2901,'Final List'!$J$4:$J$252,0),0)</f>
        <v>0</v>
      </c>
      <c r="P2901" s="169">
        <f>IFERROR(MATCH(J2901,'Final List'!$L$4:$L$252,0),0)</f>
        <v>0</v>
      </c>
      <c r="Q2901" s="169">
        <f>IFERROR(MATCH(J2901,'Final List'!$N$4:$N$252,0),0)</f>
        <v>0</v>
      </c>
      <c r="R2901" s="169">
        <f>IFERROR(MATCH(J2901,'Final List'!$P$4:$P$252,0),0)</f>
        <v>0</v>
      </c>
      <c r="S2901" s="169">
        <f t="shared" si="183"/>
        <v>0</v>
      </c>
      <c r="T2901" s="169" t="s">
        <v>68</v>
      </c>
      <c r="V2901" s="169" t="str">
        <f t="shared" si="180"/>
        <v>NITRO BF 2</v>
      </c>
      <c r="W2901" s="169" t="s">
        <v>2708</v>
      </c>
    </row>
    <row r="2902" spans="2:23" x14ac:dyDescent="0.25">
      <c r="B2902" s="169" t="s">
        <v>95</v>
      </c>
      <c r="C2902" s="169" t="s">
        <v>59</v>
      </c>
      <c r="D2902" s="169" t="s">
        <v>5835</v>
      </c>
      <c r="E2902" s="169" t="s">
        <v>62</v>
      </c>
      <c r="F2902" s="245" t="str">
        <f t="shared" si="182"/>
        <v>RobS 79</v>
      </c>
      <c r="G2902" s="169" t="s">
        <v>305</v>
      </c>
      <c r="I2902" s="169" t="str">
        <f t="shared" si="181"/>
        <v>L08_GHVHW_003W_ROBBING</v>
      </c>
      <c r="J2902" s="169" t="s">
        <v>12232</v>
      </c>
      <c r="K2902" s="169">
        <f>IFERROR(MATCH(J2902,'Final List'!$B$4:$B$252,0),0)</f>
        <v>0</v>
      </c>
      <c r="L2902" s="169">
        <f>IFERROR(MATCH(J2902,'Final List'!$D$4:$D$252,0),0)</f>
        <v>0</v>
      </c>
      <c r="M2902" s="169">
        <f>IFERROR(MATCH(J2902,'Final List'!$F$4:$F$251,0),0)</f>
        <v>0</v>
      </c>
      <c r="N2902" s="169">
        <f>IFERROR(MATCH(J2902,'Final List'!$H$4:$H$252,0),0)</f>
        <v>0</v>
      </c>
      <c r="O2902" s="169">
        <f>IFERROR(MATCH(J2902,'Final List'!$J$4:$J$252,0),0)</f>
        <v>0</v>
      </c>
      <c r="P2902" s="169">
        <f>IFERROR(MATCH(J2902,'Final List'!$L$4:$L$252,0),0)</f>
        <v>0</v>
      </c>
      <c r="Q2902" s="169">
        <f>IFERROR(MATCH(J2902,'Final List'!$N$4:$N$252,0),0)</f>
        <v>0</v>
      </c>
      <c r="R2902" s="169">
        <f>IFERROR(MATCH(J2902,'Final List'!$P$4:$P$252,0),0)</f>
        <v>0</v>
      </c>
      <c r="S2902" s="169">
        <f t="shared" si="183"/>
        <v>0</v>
      </c>
      <c r="T2902" s="169" t="s">
        <v>68</v>
      </c>
      <c r="V2902" s="169" t="str">
        <f t="shared" si="180"/>
        <v>CABONITA 1</v>
      </c>
      <c r="W2902" s="169" t="s">
        <v>2707</v>
      </c>
    </row>
    <row r="2903" spans="2:23" x14ac:dyDescent="0.25">
      <c r="B2903" s="169" t="s">
        <v>96</v>
      </c>
      <c r="C2903" s="169" t="s">
        <v>45</v>
      </c>
      <c r="D2903" s="169" t="s">
        <v>226</v>
      </c>
      <c r="E2903" s="169" t="s">
        <v>62</v>
      </c>
      <c r="F2903" s="245" t="str">
        <f t="shared" si="182"/>
        <v>RobC 80</v>
      </c>
      <c r="G2903" s="169" t="s">
        <v>10253</v>
      </c>
      <c r="H2903" s="169" t="s">
        <v>344</v>
      </c>
      <c r="I2903" s="169" t="str">
        <f t="shared" si="181"/>
        <v>L09_DPVE_074E_ROBBING</v>
      </c>
      <c r="J2903" s="169" t="s">
        <v>12234</v>
      </c>
      <c r="K2903" s="169">
        <f>IFERROR(MATCH(J2903,'Final List'!$B$4:$B$252,0),0)</f>
        <v>0</v>
      </c>
      <c r="L2903" s="169">
        <f>IFERROR(MATCH(J2903,'Final List'!$D$4:$D$252,0),0)</f>
        <v>0</v>
      </c>
      <c r="M2903" s="169">
        <f>IFERROR(MATCH(J2903,'Final List'!$F$4:$F$251,0),0)</f>
        <v>0</v>
      </c>
      <c r="N2903" s="169">
        <f>IFERROR(MATCH(J2903,'Final List'!$H$4:$H$252,0),0)</f>
        <v>0</v>
      </c>
      <c r="O2903" s="169">
        <f>IFERROR(MATCH(J2903,'Final List'!$J$4:$J$252,0),0)</f>
        <v>0</v>
      </c>
      <c r="P2903" s="169">
        <f>IFERROR(MATCH(J2903,'Final List'!$L$4:$L$252,0),0)</f>
        <v>0</v>
      </c>
      <c r="Q2903" s="169">
        <f>IFERROR(MATCH(J2903,'Final List'!$N$4:$N$252,0),0)</f>
        <v>0</v>
      </c>
      <c r="R2903" s="169">
        <f>IFERROR(MATCH(J2903,'Final List'!$P$4:$P$252,0),0)</f>
        <v>0</v>
      </c>
      <c r="S2903" s="169">
        <f t="shared" si="183"/>
        <v>0</v>
      </c>
      <c r="T2903" s="169" t="s">
        <v>48</v>
      </c>
      <c r="V2903" s="169" t="str">
        <f t="shared" si="180"/>
        <v>UDLOS 1</v>
      </c>
      <c r="W2903" s="169" t="s">
        <v>236</v>
      </c>
    </row>
    <row r="2904" spans="2:23" x14ac:dyDescent="0.25">
      <c r="B2904" s="169" t="s">
        <v>1167</v>
      </c>
      <c r="C2904" s="169" t="s">
        <v>87</v>
      </c>
      <c r="D2904" s="169" t="s">
        <v>6114</v>
      </c>
      <c r="E2904" s="169" t="s">
        <v>72</v>
      </c>
      <c r="F2904" s="245" t="str">
        <f t="shared" si="182"/>
        <v>Dhoz 71</v>
      </c>
      <c r="G2904" s="169" t="s">
        <v>6930</v>
      </c>
      <c r="I2904" s="169" t="str">
        <f t="shared" si="181"/>
        <v>L12_NONE_078E_CHAMBER</v>
      </c>
      <c r="J2904" s="169" t="s">
        <v>12237</v>
      </c>
      <c r="K2904" s="169">
        <f>IFERROR(MATCH(J2904,'Final List'!$B$4:$B$252,0),0)</f>
        <v>0</v>
      </c>
      <c r="L2904" s="169">
        <f>IFERROR(MATCH(J2904,'Final List'!$D$4:$D$252,0),0)</f>
        <v>0</v>
      </c>
      <c r="M2904" s="169">
        <f>IFERROR(MATCH(J2904,'Final List'!$F$4:$F$251,0),0)</f>
        <v>0</v>
      </c>
      <c r="N2904" s="169">
        <f>IFERROR(MATCH(J2904,'Final List'!$H$4:$H$252,0),0)</f>
        <v>0</v>
      </c>
      <c r="O2904" s="169">
        <f>IFERROR(MATCH(J2904,'Final List'!$J$4:$J$252,0),0)</f>
        <v>0</v>
      </c>
      <c r="P2904" s="169">
        <f>IFERROR(MATCH(J2904,'Final List'!$L$4:$L$252,0),0)</f>
        <v>0</v>
      </c>
      <c r="Q2904" s="169">
        <f>IFERROR(MATCH(J2904,'Final List'!$N$4:$N$252,0),0)</f>
        <v>0</v>
      </c>
      <c r="R2904" s="169">
        <f>IFERROR(MATCH(J2904,'Final List'!$P$4:$P$252,0),0)</f>
        <v>0</v>
      </c>
      <c r="S2904" s="169">
        <f t="shared" si="183"/>
        <v>0</v>
      </c>
      <c r="V2904" s="169" t="str">
        <f t="shared" si="180"/>
        <v>DUHIG, P1</v>
      </c>
      <c r="W2904" s="169" t="s">
        <v>2714</v>
      </c>
    </row>
    <row r="2905" spans="2:23" x14ac:dyDescent="0.25">
      <c r="B2905" s="169" t="s">
        <v>1166</v>
      </c>
      <c r="C2905" s="169" t="s">
        <v>56</v>
      </c>
      <c r="D2905" s="169" t="s">
        <v>143</v>
      </c>
      <c r="E2905" s="169" t="s">
        <v>61</v>
      </c>
      <c r="F2905" s="245" t="str">
        <f t="shared" si="182"/>
        <v>Dhoz 71</v>
      </c>
      <c r="G2905" s="169" t="s">
        <v>385</v>
      </c>
      <c r="I2905" s="169" t="str">
        <f t="shared" si="181"/>
        <v>L11_GHVFW_032E_DW</v>
      </c>
      <c r="J2905" s="169" t="s">
        <v>12240</v>
      </c>
      <c r="K2905" s="169">
        <f>IFERROR(MATCH(J2905,'Final List'!$B$4:$B$252,0),0)</f>
        <v>0</v>
      </c>
      <c r="L2905" s="169">
        <f>IFERROR(MATCH(J2905,'Final List'!$D$4:$D$252,0),0)</f>
        <v>0</v>
      </c>
      <c r="M2905" s="169">
        <f>IFERROR(MATCH(J2905,'Final List'!$F$4:$F$251,0),0)</f>
        <v>0</v>
      </c>
      <c r="N2905" s="169">
        <f>IFERROR(MATCH(J2905,'Final List'!$H$4:$H$252,0),0)</f>
        <v>0</v>
      </c>
      <c r="O2905" s="169">
        <f>IFERROR(MATCH(J2905,'Final List'!$J$4:$J$252,0),0)</f>
        <v>0</v>
      </c>
      <c r="P2905" s="169">
        <f>IFERROR(MATCH(J2905,'Final List'!$L$4:$L$252,0),0)</f>
        <v>0</v>
      </c>
      <c r="Q2905" s="169">
        <f>IFERROR(MATCH(J2905,'Final List'!$N$4:$N$252,0),0)</f>
        <v>0</v>
      </c>
      <c r="R2905" s="169">
        <f>IFERROR(MATCH(J2905,'Final List'!$P$4:$P$252,0),0)</f>
        <v>0</v>
      </c>
      <c r="S2905" s="169">
        <f t="shared" si="183"/>
        <v>0</v>
      </c>
      <c r="V2905" s="169" t="str">
        <f t="shared" si="180"/>
        <v>SILVOZA 1</v>
      </c>
      <c r="W2905" s="169" t="s">
        <v>8896</v>
      </c>
    </row>
    <row r="2906" spans="2:23" x14ac:dyDescent="0.25">
      <c r="B2906" s="169" t="s">
        <v>95</v>
      </c>
      <c r="C2906" s="169" t="s">
        <v>55</v>
      </c>
      <c r="D2906" s="169" t="s">
        <v>179</v>
      </c>
      <c r="E2906" s="169" t="s">
        <v>62</v>
      </c>
      <c r="F2906" s="245" t="str">
        <f t="shared" si="182"/>
        <v>RobS 79</v>
      </c>
      <c r="G2906" s="169" t="s">
        <v>577</v>
      </c>
      <c r="I2906" s="169" t="str">
        <f t="shared" si="181"/>
        <v>L08_JVFW_050E_ROBBING</v>
      </c>
      <c r="J2906" s="169" t="s">
        <v>12241</v>
      </c>
      <c r="K2906" s="169">
        <f>IFERROR(MATCH(J2906,'Final List'!$B$4:$B$252,0),0)</f>
        <v>0</v>
      </c>
      <c r="L2906" s="169">
        <f>IFERROR(MATCH(J2906,'Final List'!$D$4:$D$252,0),0)</f>
        <v>0</v>
      </c>
      <c r="M2906" s="169">
        <f>IFERROR(MATCH(J2906,'Final List'!$F$4:$F$251,0),0)</f>
        <v>0</v>
      </c>
      <c r="N2906" s="169">
        <f>IFERROR(MATCH(J2906,'Final List'!$H$4:$H$252,0),0)</f>
        <v>0</v>
      </c>
      <c r="O2906" s="169">
        <f>IFERROR(MATCH(J2906,'Final List'!$J$4:$J$252,0),0)</f>
        <v>0</v>
      </c>
      <c r="P2906" s="169">
        <f>IFERROR(MATCH(J2906,'Final List'!$L$4:$L$252,0),0)</f>
        <v>0</v>
      </c>
      <c r="Q2906" s="169">
        <f>IFERROR(MATCH(J2906,'Final List'!$N$4:$N$252,0),0)</f>
        <v>0</v>
      </c>
      <c r="R2906" s="169">
        <f>IFERROR(MATCH(J2906,'Final List'!$P$4:$P$252,0),0)</f>
        <v>0</v>
      </c>
      <c r="S2906" s="169">
        <f t="shared" si="183"/>
        <v>0</v>
      </c>
      <c r="T2906" s="169" t="s">
        <v>68</v>
      </c>
      <c r="V2906" s="169" t="str">
        <f t="shared" si="180"/>
        <v>CARIKITAN 1</v>
      </c>
      <c r="W2906" s="169" t="s">
        <v>2707</v>
      </c>
    </row>
    <row r="2907" spans="2:23" x14ac:dyDescent="0.25">
      <c r="B2907" s="169" t="s">
        <v>258</v>
      </c>
      <c r="C2907" s="169" t="s">
        <v>87</v>
      </c>
      <c r="D2907" s="169" t="s">
        <v>164</v>
      </c>
      <c r="E2907" s="169" t="s">
        <v>63</v>
      </c>
      <c r="F2907" s="245" t="str">
        <f t="shared" si="182"/>
        <v>Dhoz 71</v>
      </c>
      <c r="G2907" s="169" t="s">
        <v>12244</v>
      </c>
      <c r="I2907" s="169" t="str">
        <f t="shared" si="181"/>
        <v>L10_NONE_064E_XCS</v>
      </c>
      <c r="J2907" s="169" t="s">
        <v>12243</v>
      </c>
      <c r="K2907" s="169">
        <f>IFERROR(MATCH(J2907,'Final List'!$B$4:$B$252,0),0)</f>
        <v>0</v>
      </c>
      <c r="L2907" s="169">
        <f>IFERROR(MATCH(J2907,'Final List'!$D$4:$D$252,0),0)</f>
        <v>0</v>
      </c>
      <c r="M2907" s="169">
        <f>IFERROR(MATCH(J2907,'Final List'!$F$4:$F$251,0),0)</f>
        <v>0</v>
      </c>
      <c r="N2907" s="169">
        <f>IFERROR(MATCH(J2907,'Final List'!$H$4:$H$252,0),0)</f>
        <v>0</v>
      </c>
      <c r="O2907" s="169">
        <f>IFERROR(MATCH(J2907,'Final List'!$J$4:$J$252,0),0)</f>
        <v>0</v>
      </c>
      <c r="P2907" s="169">
        <f>IFERROR(MATCH(J2907,'Final List'!$L$4:$L$252,0),0)</f>
        <v>0</v>
      </c>
      <c r="Q2907" s="169">
        <f>IFERROR(MATCH(J2907,'Final List'!$N$4:$N$252,0),0)</f>
        <v>0</v>
      </c>
      <c r="R2907" s="169">
        <f>IFERROR(MATCH(J2907,'Final List'!$P$4:$P$252,0),0)</f>
        <v>0</v>
      </c>
      <c r="S2907" s="169">
        <f t="shared" si="183"/>
        <v>0</v>
      </c>
      <c r="V2907" s="169" t="str">
        <f t="shared" si="180"/>
        <v>NITRO AY</v>
      </c>
      <c r="W2907" s="169" t="s">
        <v>8898</v>
      </c>
    </row>
    <row r="2908" spans="2:23" x14ac:dyDescent="0.25">
      <c r="B2908" s="169" t="s">
        <v>258</v>
      </c>
      <c r="C2908" s="169" t="s">
        <v>87</v>
      </c>
      <c r="D2908" s="169" t="s">
        <v>7915</v>
      </c>
      <c r="E2908" s="169" t="s">
        <v>12246</v>
      </c>
      <c r="F2908" s="245" t="s">
        <v>14362</v>
      </c>
      <c r="G2908" s="169" t="s">
        <v>5701</v>
      </c>
      <c r="I2908" s="169" t="str">
        <f t="shared" si="181"/>
        <v>L10_NONE_083E_VENTRAISE</v>
      </c>
      <c r="J2908" s="169" t="s">
        <v>12245</v>
      </c>
      <c r="K2908" s="169">
        <f>IFERROR(MATCH(J2908,'Final List'!$B$4:$B$252,0),0)</f>
        <v>0</v>
      </c>
      <c r="L2908" s="169">
        <f>IFERROR(MATCH(J2908,'Final List'!$D$4:$D$252,0),0)</f>
        <v>0</v>
      </c>
      <c r="M2908" s="169">
        <f>IFERROR(MATCH(J2908,'Final List'!$F$4:$F$251,0),0)</f>
        <v>0</v>
      </c>
      <c r="N2908" s="169">
        <f>IFERROR(MATCH(J2908,'Final List'!$H$4:$H$252,0),0)</f>
        <v>0</v>
      </c>
      <c r="O2908" s="169">
        <f>IFERROR(MATCH(J2908,'Final List'!$J$4:$J$252,0),0)</f>
        <v>0</v>
      </c>
      <c r="P2908" s="169">
        <f>IFERROR(MATCH(J2908,'Final List'!$L$4:$L$252,0),0)</f>
        <v>0</v>
      </c>
      <c r="Q2908" s="169">
        <f>IFERROR(MATCH(J2908,'Final List'!$N$4:$N$252,0),0)</f>
        <v>0</v>
      </c>
      <c r="R2908" s="169">
        <f>IFERROR(MATCH(J2908,'Final List'!$P$4:$P$252,0),0)</f>
        <v>0</v>
      </c>
      <c r="S2908" s="169">
        <f t="shared" si="183"/>
        <v>0</v>
      </c>
      <c r="V2908" s="169" t="str">
        <f t="shared" si="180"/>
        <v>LARGO 2</v>
      </c>
      <c r="W2908" s="169" t="s">
        <v>2714</v>
      </c>
    </row>
    <row r="2909" spans="2:23" x14ac:dyDescent="0.25">
      <c r="B2909" s="169" t="s">
        <v>95</v>
      </c>
      <c r="C2909" s="169" t="s">
        <v>87</v>
      </c>
      <c r="D2909" s="169" t="s">
        <v>171</v>
      </c>
      <c r="E2909" s="169" t="s">
        <v>37</v>
      </c>
      <c r="F2909" s="245" t="str">
        <f t="shared" si="182"/>
        <v>Dhoz 71</v>
      </c>
      <c r="G2909" s="169" t="s">
        <v>380</v>
      </c>
      <c r="H2909" s="169" t="s">
        <v>526</v>
      </c>
      <c r="I2909" s="169" t="str">
        <f t="shared" si="181"/>
        <v>L08_NONE_015W_XCN</v>
      </c>
      <c r="J2909" s="169" t="s">
        <v>12248</v>
      </c>
      <c r="K2909" s="169">
        <f>IFERROR(MATCH(J2909,'Final List'!$B$4:$B$252,0),0)</f>
        <v>0</v>
      </c>
      <c r="L2909" s="169">
        <f>IFERROR(MATCH(J2909,'Final List'!$D$4:$D$252,0),0)</f>
        <v>0</v>
      </c>
      <c r="M2909" s="169">
        <f>IFERROR(MATCH(J2909,'Final List'!$F$4:$F$251,0),0)</f>
        <v>0</v>
      </c>
      <c r="N2909" s="169">
        <f>IFERROR(MATCH(J2909,'Final List'!$H$4:$H$252,0),0)</f>
        <v>0</v>
      </c>
      <c r="O2909" s="169">
        <f>IFERROR(MATCH(J2909,'Final List'!$J$4:$J$252,0),0)</f>
        <v>0</v>
      </c>
      <c r="P2909" s="169">
        <f>IFERROR(MATCH(J2909,'Final List'!$L$4:$L$252,0),0)</f>
        <v>0</v>
      </c>
      <c r="Q2909" s="169">
        <f>IFERROR(MATCH(J2909,'Final List'!$N$4:$N$252,0),0)</f>
        <v>0</v>
      </c>
      <c r="R2909" s="169">
        <f>IFERROR(MATCH(J2909,'Final List'!$P$4:$P$252,0),0)</f>
        <v>0</v>
      </c>
      <c r="S2909" s="169">
        <f t="shared" si="183"/>
        <v>0</v>
      </c>
      <c r="V2909" s="169" t="str">
        <f t="shared" si="180"/>
        <v>CARIKITAN 2</v>
      </c>
      <c r="W2909" s="169" t="s">
        <v>8897</v>
      </c>
    </row>
    <row r="2910" spans="2:23" x14ac:dyDescent="0.25">
      <c r="B2910" s="169" t="s">
        <v>8904</v>
      </c>
      <c r="C2910" s="169" t="s">
        <v>42</v>
      </c>
      <c r="D2910" s="169" t="s">
        <v>141</v>
      </c>
      <c r="E2910" s="169" t="s">
        <v>62</v>
      </c>
      <c r="F2910" s="245" t="str">
        <f t="shared" si="182"/>
        <v>RobS 79</v>
      </c>
      <c r="G2910" s="169" t="s">
        <v>9349</v>
      </c>
      <c r="I2910" s="169" t="str">
        <f t="shared" si="181"/>
        <v>L03_JV_029E_ROBBING</v>
      </c>
      <c r="J2910" s="169" t="s">
        <v>12250</v>
      </c>
      <c r="K2910" s="169">
        <f>IFERROR(MATCH(J2910,'Final List'!$B$4:$B$252,0),0)</f>
        <v>0</v>
      </c>
      <c r="L2910" s="169">
        <f>IFERROR(MATCH(J2910,'Final List'!$D$4:$D$252,0),0)</f>
        <v>0</v>
      </c>
      <c r="M2910" s="169">
        <f>IFERROR(MATCH(J2910,'Final List'!$F$4:$F$251,0),0)</f>
        <v>0</v>
      </c>
      <c r="N2910" s="169">
        <f>IFERROR(MATCH(J2910,'Final List'!$H$4:$H$252,0),0)</f>
        <v>0</v>
      </c>
      <c r="O2910" s="169">
        <f>IFERROR(MATCH(J2910,'Final List'!$J$4:$J$252,0),0)</f>
        <v>0</v>
      </c>
      <c r="P2910" s="169">
        <f>IFERROR(MATCH(J2910,'Final List'!$L$4:$L$252,0),0)</f>
        <v>0</v>
      </c>
      <c r="Q2910" s="169">
        <f>IFERROR(MATCH(J2910,'Final List'!$N$4:$N$252,0),0)</f>
        <v>0</v>
      </c>
      <c r="R2910" s="169">
        <f>IFERROR(MATCH(J2910,'Final List'!$P$4:$P$252,0),0)</f>
        <v>0</v>
      </c>
      <c r="S2910" s="169">
        <f t="shared" si="183"/>
        <v>0</v>
      </c>
      <c r="T2910" s="169" t="s">
        <v>68</v>
      </c>
      <c r="V2910" s="169" t="str">
        <f t="shared" si="180"/>
        <v>FERNANDEZ, RM 3</v>
      </c>
      <c r="W2910" s="169" t="s">
        <v>2707</v>
      </c>
    </row>
    <row r="2911" spans="2:23" x14ac:dyDescent="0.25">
      <c r="B2911" s="169" t="s">
        <v>8904</v>
      </c>
      <c r="C2911" s="169" t="s">
        <v>42</v>
      </c>
      <c r="D2911" s="169" t="s">
        <v>6036</v>
      </c>
      <c r="E2911" s="169" t="s">
        <v>62</v>
      </c>
      <c r="F2911" s="245" t="str">
        <f t="shared" si="182"/>
        <v>RobS 79</v>
      </c>
      <c r="G2911" s="169" t="s">
        <v>9455</v>
      </c>
      <c r="I2911" s="169" t="str">
        <f t="shared" si="181"/>
        <v>L03_JV_017E_ROBBING</v>
      </c>
      <c r="J2911" s="169" t="s">
        <v>12256</v>
      </c>
      <c r="K2911" s="169">
        <f>IFERROR(MATCH(J2911,'Final List'!$B$4:$B$252,0),0)</f>
        <v>0</v>
      </c>
      <c r="L2911" s="169">
        <f>IFERROR(MATCH(J2911,'Final List'!$D$4:$D$252,0),0)</f>
        <v>0</v>
      </c>
      <c r="M2911" s="169">
        <f>IFERROR(MATCH(J2911,'Final List'!$F$4:$F$251,0),0)</f>
        <v>0</v>
      </c>
      <c r="N2911" s="169">
        <f>IFERROR(MATCH(J2911,'Final List'!$H$4:$H$252,0),0)</f>
        <v>0</v>
      </c>
      <c r="O2911" s="169">
        <f>IFERROR(MATCH(J2911,'Final List'!$J$4:$J$252,0),0)</f>
        <v>0</v>
      </c>
      <c r="P2911" s="169">
        <f>IFERROR(MATCH(J2911,'Final List'!$L$4:$L$252,0),0)</f>
        <v>0</v>
      </c>
      <c r="Q2911" s="169">
        <f>IFERROR(MATCH(J2911,'Final List'!$N$4:$N$252,0),0)</f>
        <v>0</v>
      </c>
      <c r="R2911" s="169">
        <f>IFERROR(MATCH(J2911,'Final List'!$P$4:$P$252,0),0)</f>
        <v>0</v>
      </c>
      <c r="S2911" s="169">
        <f t="shared" si="183"/>
        <v>0</v>
      </c>
      <c r="T2911" s="169" t="s">
        <v>68</v>
      </c>
      <c r="V2911" s="169" t="str">
        <f t="shared" si="180"/>
        <v>FERNANDEZ, RM 4</v>
      </c>
      <c r="W2911" s="169" t="s">
        <v>2707</v>
      </c>
    </row>
    <row r="2912" spans="2:23" x14ac:dyDescent="0.25">
      <c r="B2912" s="169" t="s">
        <v>96</v>
      </c>
      <c r="C2912" s="169" t="s">
        <v>43</v>
      </c>
      <c r="D2912" s="169" t="s">
        <v>101</v>
      </c>
      <c r="E2912" s="169" t="s">
        <v>61</v>
      </c>
      <c r="F2912" s="245" t="str">
        <f t="shared" si="182"/>
        <v>Dhoz 71</v>
      </c>
      <c r="G2912" s="169" t="s">
        <v>1661</v>
      </c>
      <c r="I2912" s="169" t="str">
        <f t="shared" si="181"/>
        <v>L09_GHVSPLIT_023W_DW</v>
      </c>
      <c r="J2912" s="169" t="s">
        <v>12258</v>
      </c>
      <c r="K2912" s="169">
        <f>IFERROR(MATCH(J2912,'Final List'!$B$4:$B$252,0),0)</f>
        <v>0</v>
      </c>
      <c r="L2912" s="169">
        <f>IFERROR(MATCH(J2912,'Final List'!$D$4:$D$252,0),0)</f>
        <v>0</v>
      </c>
      <c r="M2912" s="169">
        <f>IFERROR(MATCH(J2912,'Final List'!$F$4:$F$251,0),0)</f>
        <v>0</v>
      </c>
      <c r="N2912" s="169">
        <f>IFERROR(MATCH(J2912,'Final List'!$H$4:$H$252,0),0)</f>
        <v>0</v>
      </c>
      <c r="O2912" s="169">
        <f>IFERROR(MATCH(J2912,'Final List'!$J$4:$J$252,0),0)</f>
        <v>0</v>
      </c>
      <c r="P2912" s="169">
        <f>IFERROR(MATCH(J2912,'Final List'!$L$4:$L$252,0),0)</f>
        <v>0</v>
      </c>
      <c r="Q2912" s="169">
        <f>IFERROR(MATCH(J2912,'Final List'!$N$4:$N$252,0),0)</f>
        <v>0</v>
      </c>
      <c r="R2912" s="169">
        <f>IFERROR(MATCH(J2912,'Final List'!$P$4:$P$252,0),0)</f>
        <v>0</v>
      </c>
      <c r="S2912" s="169">
        <f t="shared" si="183"/>
        <v>0</v>
      </c>
      <c r="V2912" s="169" t="str">
        <f t="shared" si="180"/>
        <v>DELOS REYES V2</v>
      </c>
      <c r="W2912" s="169" t="s">
        <v>8896</v>
      </c>
    </row>
    <row r="2913" spans="2:23" x14ac:dyDescent="0.25">
      <c r="B2913" s="169" t="s">
        <v>95</v>
      </c>
      <c r="C2913" s="169" t="s">
        <v>45</v>
      </c>
      <c r="D2913" s="169" t="s">
        <v>123</v>
      </c>
      <c r="E2913" s="169" t="s">
        <v>6143</v>
      </c>
      <c r="F2913" s="245" t="str">
        <f t="shared" si="182"/>
        <v>Dhoz 71</v>
      </c>
      <c r="G2913" s="169" t="s">
        <v>467</v>
      </c>
      <c r="I2913" s="169" t="str">
        <f t="shared" si="181"/>
        <v>L08_DPVE_031E_DE_ISL</v>
      </c>
      <c r="J2913" s="169" t="s">
        <v>12260</v>
      </c>
      <c r="K2913" s="169">
        <f>IFERROR(MATCH(J2913,'Final List'!$B$4:$B$252,0),0)</f>
        <v>0</v>
      </c>
      <c r="L2913" s="169">
        <f>IFERROR(MATCH(J2913,'Final List'!$D$4:$D$252,0),0)</f>
        <v>0</v>
      </c>
      <c r="M2913" s="169">
        <f>IFERROR(MATCH(J2913,'Final List'!$F$4:$F$251,0),0)</f>
        <v>0</v>
      </c>
      <c r="N2913" s="169">
        <f>IFERROR(MATCH(J2913,'Final List'!$H$4:$H$252,0),0)</f>
        <v>0</v>
      </c>
      <c r="O2913" s="169">
        <f>IFERROR(MATCH(J2913,'Final List'!$J$4:$J$252,0),0)</f>
        <v>0</v>
      </c>
      <c r="P2913" s="169">
        <f>IFERROR(MATCH(J2913,'Final List'!$L$4:$L$252,0),0)</f>
        <v>0</v>
      </c>
      <c r="Q2913" s="169">
        <f>IFERROR(MATCH(J2913,'Final List'!$N$4:$N$252,0),0)</f>
        <v>0</v>
      </c>
      <c r="R2913" s="169">
        <f>IFERROR(MATCH(J2913,'Final List'!$P$4:$P$252,0),0)</f>
        <v>0</v>
      </c>
      <c r="S2913" s="169">
        <f t="shared" si="183"/>
        <v>0</v>
      </c>
      <c r="V2913" s="169" t="str">
        <f t="shared" si="180"/>
        <v>AGLOLO 2</v>
      </c>
      <c r="W2913" s="169" t="s">
        <v>2708</v>
      </c>
    </row>
    <row r="2914" spans="2:23" x14ac:dyDescent="0.25">
      <c r="B2914" s="169" t="s">
        <v>95</v>
      </c>
      <c r="C2914" s="169" t="s">
        <v>57</v>
      </c>
      <c r="D2914" s="169" t="s">
        <v>284</v>
      </c>
      <c r="E2914" s="169" t="s">
        <v>19</v>
      </c>
      <c r="F2914" s="245" t="str">
        <f t="shared" si="182"/>
        <v>DVR 72</v>
      </c>
      <c r="G2914" s="169" t="s">
        <v>577</v>
      </c>
      <c r="I2914" s="169" t="str">
        <f t="shared" si="181"/>
        <v>L08_JVSPLIT_061E_RAISE</v>
      </c>
      <c r="J2914" s="169" t="s">
        <v>12261</v>
      </c>
      <c r="K2914" s="169">
        <f>IFERROR(MATCH(J2914,'Final List'!$B$4:$B$252,0),0)</f>
        <v>0</v>
      </c>
      <c r="L2914" s="169">
        <f>IFERROR(MATCH(J2914,'Final List'!$D$4:$D$252,0),0)</f>
        <v>0</v>
      </c>
      <c r="M2914" s="169">
        <f>IFERROR(MATCH(J2914,'Final List'!$F$4:$F$251,0),0)</f>
        <v>0</v>
      </c>
      <c r="N2914" s="169">
        <f>IFERROR(MATCH(J2914,'Final List'!$H$4:$H$252,0),0)</f>
        <v>0</v>
      </c>
      <c r="O2914" s="169">
        <f>IFERROR(MATCH(J2914,'Final List'!$J$4:$J$252,0),0)</f>
        <v>0</v>
      </c>
      <c r="P2914" s="169">
        <f>IFERROR(MATCH(J2914,'Final List'!$L$4:$L$252,0),0)</f>
        <v>0</v>
      </c>
      <c r="Q2914" s="169">
        <f>IFERROR(MATCH(J2914,'Final List'!$N$4:$N$252,0),0)</f>
        <v>0</v>
      </c>
      <c r="R2914" s="169">
        <f>IFERROR(MATCH(J2914,'Final List'!$P$4:$P$252,0),0)</f>
        <v>0</v>
      </c>
      <c r="S2914" s="169">
        <f t="shared" si="183"/>
        <v>0</v>
      </c>
      <c r="V2914" s="169" t="str">
        <f t="shared" si="180"/>
        <v>CARIKITAN 1</v>
      </c>
      <c r="W2914" s="169" t="s">
        <v>2715</v>
      </c>
    </row>
    <row r="2915" spans="2:23" x14ac:dyDescent="0.25">
      <c r="B2915" s="169" t="s">
        <v>1166</v>
      </c>
      <c r="C2915" s="169" t="s">
        <v>55</v>
      </c>
      <c r="D2915" s="169" t="s">
        <v>146</v>
      </c>
      <c r="E2915" s="169" t="s">
        <v>60</v>
      </c>
      <c r="F2915" s="245" t="str">
        <f t="shared" si="182"/>
        <v>Dhoz 71</v>
      </c>
      <c r="G2915" s="169" t="s">
        <v>12071</v>
      </c>
      <c r="I2915" s="169" t="str">
        <f t="shared" si="181"/>
        <v>L11_JVFW_030E_DE</v>
      </c>
      <c r="J2915" s="169" t="s">
        <v>12263</v>
      </c>
      <c r="K2915" s="169">
        <f>IFERROR(MATCH(J2915,'Final List'!$B$4:$B$252,0),0)</f>
        <v>0</v>
      </c>
      <c r="L2915" s="169">
        <f>IFERROR(MATCH(J2915,'Final List'!$D$4:$D$252,0),0)</f>
        <v>0</v>
      </c>
      <c r="M2915" s="169">
        <f>IFERROR(MATCH(J2915,'Final List'!$F$4:$F$251,0),0)</f>
        <v>0</v>
      </c>
      <c r="N2915" s="169">
        <f>IFERROR(MATCH(J2915,'Final List'!$H$4:$H$252,0),0)</f>
        <v>0</v>
      </c>
      <c r="O2915" s="169">
        <f>IFERROR(MATCH(J2915,'Final List'!$J$4:$J$252,0),0)</f>
        <v>0</v>
      </c>
      <c r="P2915" s="169">
        <f>IFERROR(MATCH(J2915,'Final List'!$L$4:$L$252,0),0)</f>
        <v>0</v>
      </c>
      <c r="Q2915" s="169">
        <f>IFERROR(MATCH(J2915,'Final List'!$N$4:$N$252,0),0)</f>
        <v>0</v>
      </c>
      <c r="R2915" s="169">
        <f>IFERROR(MATCH(J2915,'Final List'!$P$4:$P$252,0),0)</f>
        <v>0</v>
      </c>
      <c r="S2915" s="169">
        <f t="shared" si="183"/>
        <v>0</v>
      </c>
      <c r="V2915" s="169" t="str">
        <f t="shared" si="180"/>
        <v>NITRO BB 2</v>
      </c>
      <c r="W2915" s="169" t="s">
        <v>8896</v>
      </c>
    </row>
    <row r="2916" spans="2:23" x14ac:dyDescent="0.25">
      <c r="B2916" s="169" t="s">
        <v>1166</v>
      </c>
      <c r="C2916" s="169" t="s">
        <v>45</v>
      </c>
      <c r="D2916" s="169" t="s">
        <v>6033</v>
      </c>
      <c r="E2916" s="169" t="s">
        <v>19</v>
      </c>
      <c r="F2916" s="245" t="str">
        <f t="shared" si="182"/>
        <v>DVR 72</v>
      </c>
      <c r="G2916" s="169" t="s">
        <v>452</v>
      </c>
      <c r="I2916" s="169" t="str">
        <f t="shared" si="181"/>
        <v>L11_DPVE_013E_RAISE</v>
      </c>
      <c r="J2916" s="169" t="s">
        <v>12264</v>
      </c>
      <c r="K2916" s="169">
        <f>IFERROR(MATCH(J2916,'Final List'!$B$4:$B$252,0),0)</f>
        <v>0</v>
      </c>
      <c r="L2916" s="169">
        <f>IFERROR(MATCH(J2916,'Final List'!$D$4:$D$252,0),0)</f>
        <v>0</v>
      </c>
      <c r="M2916" s="169">
        <f>IFERROR(MATCH(J2916,'Final List'!$F$4:$F$251,0),0)</f>
        <v>0</v>
      </c>
      <c r="N2916" s="169">
        <f>IFERROR(MATCH(J2916,'Final List'!$H$4:$H$252,0),0)</f>
        <v>0</v>
      </c>
      <c r="O2916" s="169">
        <f>IFERROR(MATCH(J2916,'Final List'!$J$4:$J$252,0),0)</f>
        <v>0</v>
      </c>
      <c r="P2916" s="169">
        <f>IFERROR(MATCH(J2916,'Final List'!$L$4:$L$252,0),0)</f>
        <v>0</v>
      </c>
      <c r="Q2916" s="169">
        <f>IFERROR(MATCH(J2916,'Final List'!$N$4:$N$252,0),0)</f>
        <v>0</v>
      </c>
      <c r="R2916" s="169">
        <f>IFERROR(MATCH(J2916,'Final List'!$P$4:$P$252,0),0)</f>
        <v>0</v>
      </c>
      <c r="S2916" s="169">
        <f t="shared" si="183"/>
        <v>0</v>
      </c>
      <c r="V2916" s="169" t="str">
        <f t="shared" si="180"/>
        <v>BAÑEZ 6</v>
      </c>
      <c r="W2916" s="169" t="s">
        <v>2715</v>
      </c>
    </row>
    <row r="2917" spans="2:23" x14ac:dyDescent="0.25">
      <c r="B2917" s="169" t="s">
        <v>96</v>
      </c>
      <c r="C2917" s="169" t="s">
        <v>57</v>
      </c>
      <c r="D2917" s="169" t="s">
        <v>170</v>
      </c>
      <c r="E2917" s="169" t="s">
        <v>62</v>
      </c>
      <c r="F2917" s="245" t="str">
        <f t="shared" si="182"/>
        <v>RobS 79</v>
      </c>
      <c r="G2917" s="169" t="s">
        <v>9749</v>
      </c>
      <c r="I2917" s="169" t="str">
        <f t="shared" si="181"/>
        <v>L09_JVSPLIT_071E_ROBBING</v>
      </c>
      <c r="J2917" s="169" t="s">
        <v>12269</v>
      </c>
      <c r="K2917" s="169">
        <f>IFERROR(MATCH(J2917,'Final List'!$B$4:$B$252,0),0)</f>
        <v>0</v>
      </c>
      <c r="L2917" s="169">
        <f>IFERROR(MATCH(J2917,'Final List'!$D$4:$D$252,0),0)</f>
        <v>0</v>
      </c>
      <c r="M2917" s="169">
        <f>IFERROR(MATCH(J2917,'Final List'!$F$4:$F$251,0),0)</f>
        <v>0</v>
      </c>
      <c r="N2917" s="169">
        <f>IFERROR(MATCH(J2917,'Final List'!$H$4:$H$252,0),0)</f>
        <v>0</v>
      </c>
      <c r="O2917" s="169">
        <f>IFERROR(MATCH(J2917,'Final List'!$J$4:$J$252,0),0)</f>
        <v>0</v>
      </c>
      <c r="P2917" s="169">
        <f>IFERROR(MATCH(J2917,'Final List'!$L$4:$L$252,0),0)</f>
        <v>0</v>
      </c>
      <c r="Q2917" s="169">
        <f>IFERROR(MATCH(J2917,'Final List'!$N$4:$N$252,0),0)</f>
        <v>0</v>
      </c>
      <c r="R2917" s="169">
        <f>IFERROR(MATCH(J2917,'Final List'!$P$4:$P$252,0),0)</f>
        <v>0</v>
      </c>
      <c r="S2917" s="169">
        <f t="shared" si="183"/>
        <v>0</v>
      </c>
      <c r="T2917" s="169" t="s">
        <v>68</v>
      </c>
      <c r="V2917" s="169" t="str">
        <f t="shared" si="180"/>
        <v>MAPAYO 4</v>
      </c>
      <c r="W2917" s="169" t="s">
        <v>2707</v>
      </c>
    </row>
    <row r="2918" spans="2:23" x14ac:dyDescent="0.25">
      <c r="B2918" s="169" t="s">
        <v>8904</v>
      </c>
      <c r="C2918" s="169" t="s">
        <v>41</v>
      </c>
      <c r="D2918" s="169" t="s">
        <v>114</v>
      </c>
      <c r="E2918" s="169" t="s">
        <v>19</v>
      </c>
      <c r="F2918" s="245" t="str">
        <f t="shared" si="182"/>
        <v>DVR 72</v>
      </c>
      <c r="G2918" s="169" t="s">
        <v>10398</v>
      </c>
      <c r="I2918" s="169" t="str">
        <f t="shared" si="181"/>
        <v>L03_CTV_025W_RAISE</v>
      </c>
      <c r="J2918" s="169" t="s">
        <v>12358</v>
      </c>
      <c r="K2918" s="169">
        <f>IFERROR(MATCH(J2918,'Final List'!$B$4:$B$252,0),0)</f>
        <v>0</v>
      </c>
      <c r="L2918" s="169">
        <f>IFERROR(MATCH(J2918,'Final List'!$D$4:$D$252,0),0)</f>
        <v>0</v>
      </c>
      <c r="M2918" s="169">
        <f>IFERROR(MATCH(J2918,'Final List'!$F$4:$F$251,0),0)</f>
        <v>0</v>
      </c>
      <c r="N2918" s="169">
        <f>IFERROR(MATCH(J2918,'Final List'!$H$4:$H$252,0),0)</f>
        <v>0</v>
      </c>
      <c r="O2918" s="169">
        <f>IFERROR(MATCH(J2918,'Final List'!$J$4:$J$252,0),0)</f>
        <v>0</v>
      </c>
      <c r="P2918" s="169">
        <f>IFERROR(MATCH(J2918,'Final List'!$L$4:$L$252,0),0)</f>
        <v>0</v>
      </c>
      <c r="Q2918" s="169">
        <f>IFERROR(MATCH(J2918,'Final List'!$N$4:$N$252,0),0)</f>
        <v>0</v>
      </c>
      <c r="R2918" s="169">
        <f>IFERROR(MATCH(J2918,'Final List'!$P$4:$P$252,0),0)</f>
        <v>0</v>
      </c>
      <c r="S2918" s="169">
        <f t="shared" si="183"/>
        <v>0</v>
      </c>
      <c r="V2918" s="169" t="str">
        <f t="shared" si="180"/>
        <v>FERNANDEZ, RM 5</v>
      </c>
      <c r="W2918" s="169" t="s">
        <v>2714</v>
      </c>
    </row>
    <row r="2919" spans="2:23" x14ac:dyDescent="0.25">
      <c r="B2919" s="169" t="s">
        <v>95</v>
      </c>
      <c r="C2919" s="169" t="s">
        <v>45</v>
      </c>
      <c r="D2919" s="169" t="s">
        <v>201</v>
      </c>
      <c r="E2919" s="169" t="s">
        <v>62</v>
      </c>
      <c r="F2919" s="245" t="str">
        <f t="shared" si="182"/>
        <v>RobS 79</v>
      </c>
      <c r="G2919" s="169" t="s">
        <v>13952</v>
      </c>
      <c r="I2919" s="169" t="str">
        <f t="shared" si="181"/>
        <v>L08_DPVE_067E_ROBBING</v>
      </c>
      <c r="J2919" s="169" t="s">
        <v>12276</v>
      </c>
      <c r="K2919" s="169">
        <f>IFERROR(MATCH(J2919,'Final List'!$B$4:$B$252,0),0)</f>
        <v>0</v>
      </c>
      <c r="L2919" s="169">
        <f>IFERROR(MATCH(J2919,'Final List'!$D$4:$D$252,0),0)</f>
        <v>0</v>
      </c>
      <c r="M2919" s="169">
        <f>IFERROR(MATCH(J2919,'Final List'!$F$4:$F$251,0),0)</f>
        <v>0</v>
      </c>
      <c r="N2919" s="169">
        <f>IFERROR(MATCH(J2919,'Final List'!$H$4:$H$252,0),0)</f>
        <v>0</v>
      </c>
      <c r="O2919" s="169">
        <f>IFERROR(MATCH(J2919,'Final List'!$J$4:$J$252,0),0)</f>
        <v>0</v>
      </c>
      <c r="P2919" s="169">
        <f>IFERROR(MATCH(J2919,'Final List'!$L$4:$L$252,0),0)</f>
        <v>0</v>
      </c>
      <c r="Q2919" s="169">
        <f>IFERROR(MATCH(J2919,'Final List'!$N$4:$N$252,0),0)</f>
        <v>0</v>
      </c>
      <c r="R2919" s="169">
        <f>IFERROR(MATCH(J2919,'Final List'!$P$4:$P$252,0),0)</f>
        <v>0</v>
      </c>
      <c r="S2919" s="169">
        <f t="shared" si="183"/>
        <v>0</v>
      </c>
      <c r="T2919" s="169" t="s">
        <v>68</v>
      </c>
      <c r="V2919" s="169" t="str">
        <f t="shared" si="180"/>
        <v>FERNANDEZ 5</v>
      </c>
      <c r="W2919" s="169" t="s">
        <v>2707</v>
      </c>
    </row>
    <row r="2920" spans="2:23" x14ac:dyDescent="0.25">
      <c r="B2920" s="169" t="s">
        <v>95</v>
      </c>
      <c r="C2920" s="169" t="s">
        <v>38</v>
      </c>
      <c r="D2920" s="169" t="s">
        <v>5912</v>
      </c>
      <c r="E2920" s="169" t="s">
        <v>6143</v>
      </c>
      <c r="F2920" s="245" t="str">
        <f t="shared" si="182"/>
        <v>Dhoz 71</v>
      </c>
      <c r="G2920" s="169" t="s">
        <v>583</v>
      </c>
      <c r="I2920" s="169" t="str">
        <f t="shared" si="181"/>
        <v>L08_GHV_019E_DE_ISL</v>
      </c>
      <c r="J2920" s="169" t="s">
        <v>12282</v>
      </c>
      <c r="K2920" s="169">
        <f>IFERROR(MATCH(J2920,'Final List'!$B$4:$B$252,0),0)</f>
        <v>0</v>
      </c>
      <c r="L2920" s="169">
        <f>IFERROR(MATCH(J2920,'Final List'!$D$4:$D$252,0),0)</f>
        <v>0</v>
      </c>
      <c r="M2920" s="169">
        <f>IFERROR(MATCH(J2920,'Final List'!$F$4:$F$251,0),0)</f>
        <v>0</v>
      </c>
      <c r="N2920" s="169">
        <f>IFERROR(MATCH(J2920,'Final List'!$H$4:$H$252,0),0)</f>
        <v>0</v>
      </c>
      <c r="O2920" s="169">
        <f>IFERROR(MATCH(J2920,'Final List'!$J$4:$J$252,0),0)</f>
        <v>0</v>
      </c>
      <c r="P2920" s="169">
        <f>IFERROR(MATCH(J2920,'Final List'!$L$4:$L$252,0),0)</f>
        <v>0</v>
      </c>
      <c r="Q2920" s="169">
        <f>IFERROR(MATCH(J2920,'Final List'!$N$4:$N$252,0),0)</f>
        <v>0</v>
      </c>
      <c r="R2920" s="169">
        <f>IFERROR(MATCH(J2920,'Final List'!$P$4:$P$252,0),0)</f>
        <v>0</v>
      </c>
      <c r="S2920" s="169">
        <f t="shared" si="183"/>
        <v>0</v>
      </c>
      <c r="T2920" s="169" t="s">
        <v>68</v>
      </c>
      <c r="V2920" s="169" t="str">
        <f t="shared" si="180"/>
        <v>VILLARANTE 1</v>
      </c>
      <c r="W2920" s="169" t="s">
        <v>2708</v>
      </c>
    </row>
    <row r="2921" spans="2:23" x14ac:dyDescent="0.25">
      <c r="B2921" s="169" t="s">
        <v>1167</v>
      </c>
      <c r="C2921" s="169" t="s">
        <v>57</v>
      </c>
      <c r="D2921" s="169" t="s">
        <v>5741</v>
      </c>
      <c r="E2921" s="169" t="s">
        <v>61</v>
      </c>
      <c r="F2921" s="245" t="str">
        <f t="shared" si="182"/>
        <v>Dhoz 71</v>
      </c>
      <c r="G2921" s="169" t="s">
        <v>10002</v>
      </c>
      <c r="I2921" s="169" t="str">
        <f t="shared" si="181"/>
        <v>L12_JVSPLIT_035E_DW</v>
      </c>
      <c r="J2921" s="169" t="s">
        <v>12298</v>
      </c>
      <c r="K2921" s="169">
        <f>IFERROR(MATCH(J2921,'Final List'!$B$4:$B$252,0),0)</f>
        <v>0</v>
      </c>
      <c r="L2921" s="169">
        <f>IFERROR(MATCH(J2921,'Final List'!$D$4:$D$252,0),0)</f>
        <v>0</v>
      </c>
      <c r="M2921" s="169">
        <f>IFERROR(MATCH(J2921,'Final List'!$F$4:$F$251,0),0)</f>
        <v>0</v>
      </c>
      <c r="N2921" s="169">
        <f>IFERROR(MATCH(J2921,'Final List'!$H$4:$H$252,0),0)</f>
        <v>0</v>
      </c>
      <c r="O2921" s="169">
        <f>IFERROR(MATCH(J2921,'Final List'!$J$4:$J$252,0),0)</f>
        <v>0</v>
      </c>
      <c r="P2921" s="169">
        <f>IFERROR(MATCH(J2921,'Final List'!$L$4:$L$252,0),0)</f>
        <v>0</v>
      </c>
      <c r="Q2921" s="169">
        <f>IFERROR(MATCH(J2921,'Final List'!$N$4:$N$252,0),0)</f>
        <v>0</v>
      </c>
      <c r="R2921" s="169">
        <f>IFERROR(MATCH(J2921,'Final List'!$P$4:$P$252,0),0)</f>
        <v>0</v>
      </c>
      <c r="S2921" s="169">
        <f t="shared" si="183"/>
        <v>0</v>
      </c>
      <c r="V2921" s="169" t="str">
        <f t="shared" si="180"/>
        <v>CAYMAN 3</v>
      </c>
      <c r="W2921" s="169" t="s">
        <v>8896</v>
      </c>
    </row>
    <row r="2922" spans="2:23" x14ac:dyDescent="0.25">
      <c r="B2922" s="169" t="s">
        <v>1166</v>
      </c>
      <c r="C2922" s="169" t="s">
        <v>59</v>
      </c>
      <c r="D2922" s="169" t="s">
        <v>198</v>
      </c>
      <c r="E2922" s="169" t="s">
        <v>36</v>
      </c>
      <c r="F2922" s="245" t="str">
        <f t="shared" si="182"/>
        <v>StpS 77</v>
      </c>
      <c r="G2922" s="169" t="s">
        <v>352</v>
      </c>
      <c r="H2922" s="169" t="s">
        <v>12070</v>
      </c>
      <c r="I2922" s="169" t="str">
        <f t="shared" si="181"/>
        <v>L11_GHVHW_069E_STOPE</v>
      </c>
      <c r="J2922" s="169" t="s">
        <v>12371</v>
      </c>
      <c r="K2922" s="169">
        <f>IFERROR(MATCH(J2922,'Final List'!$B$4:$B$252,0),0)</f>
        <v>0</v>
      </c>
      <c r="L2922" s="169">
        <f>IFERROR(MATCH(J2922,'Final List'!$D$4:$D$252,0),0)</f>
        <v>0</v>
      </c>
      <c r="M2922" s="169">
        <f>IFERROR(MATCH(J2922,'Final List'!$F$4:$F$251,0),0)</f>
        <v>0</v>
      </c>
      <c r="N2922" s="169">
        <f>IFERROR(MATCH(J2922,'Final List'!$H$4:$H$252,0),0)</f>
        <v>0</v>
      </c>
      <c r="O2922" s="169">
        <f>IFERROR(MATCH(J2922,'Final List'!$J$4:$J$252,0),0)</f>
        <v>0</v>
      </c>
      <c r="P2922" s="169">
        <f>IFERROR(MATCH(J2922,'Final List'!$L$4:$L$252,0),0)</f>
        <v>0</v>
      </c>
      <c r="Q2922" s="169">
        <f>IFERROR(MATCH(J2922,'Final List'!$N$4:$N$252,0),0)</f>
        <v>0</v>
      </c>
      <c r="R2922" s="169">
        <f>IFERROR(MATCH(J2922,'Final List'!$P$4:$P$252,0),0)</f>
        <v>0</v>
      </c>
      <c r="S2922" s="169">
        <f t="shared" si="183"/>
        <v>0</v>
      </c>
      <c r="T2922" s="169" t="s">
        <v>68</v>
      </c>
      <c r="V2922" s="169" t="str">
        <f t="shared" si="180"/>
        <v>NITRO BB</v>
      </c>
      <c r="W2922" s="169" t="s">
        <v>2713</v>
      </c>
    </row>
    <row r="2923" spans="2:23" x14ac:dyDescent="0.25">
      <c r="B2923" s="169" t="s">
        <v>96</v>
      </c>
      <c r="C2923" s="169" t="s">
        <v>56</v>
      </c>
      <c r="D2923" s="169" t="s">
        <v>6941</v>
      </c>
      <c r="E2923" s="169" t="s">
        <v>6143</v>
      </c>
      <c r="F2923" s="245" t="str">
        <f t="shared" si="182"/>
        <v>Dhoz 71</v>
      </c>
      <c r="G2923" s="169" t="s">
        <v>12063</v>
      </c>
      <c r="I2923" s="169" t="str">
        <f t="shared" si="181"/>
        <v>L09_GHVFW_031W_DE_ISL</v>
      </c>
      <c r="J2923" s="169" t="s">
        <v>12288</v>
      </c>
      <c r="K2923" s="169">
        <f>IFERROR(MATCH(J2923,'Final List'!$B$4:$B$252,0),0)</f>
        <v>0</v>
      </c>
      <c r="L2923" s="169">
        <f>IFERROR(MATCH(J2923,'Final List'!$D$4:$D$252,0),0)</f>
        <v>0</v>
      </c>
      <c r="M2923" s="169">
        <f>IFERROR(MATCH(J2923,'Final List'!$F$4:$F$251,0),0)</f>
        <v>0</v>
      </c>
      <c r="N2923" s="169">
        <f>IFERROR(MATCH(J2923,'Final List'!$H$4:$H$252,0),0)</f>
        <v>0</v>
      </c>
      <c r="O2923" s="169">
        <f>IFERROR(MATCH(J2923,'Final List'!$J$4:$J$252,0),0)</f>
        <v>0</v>
      </c>
      <c r="P2923" s="169">
        <f>IFERROR(MATCH(J2923,'Final List'!$L$4:$L$252,0),0)</f>
        <v>0</v>
      </c>
      <c r="Q2923" s="169">
        <f>IFERROR(MATCH(J2923,'Final List'!$N$4:$N$252,0),0)</f>
        <v>0</v>
      </c>
      <c r="R2923" s="169">
        <f>IFERROR(MATCH(J2923,'Final List'!$P$4:$P$252,0),0)</f>
        <v>0</v>
      </c>
      <c r="S2923" s="169">
        <f t="shared" si="183"/>
        <v>0</v>
      </c>
      <c r="V2923" s="169" t="str">
        <f t="shared" si="180"/>
        <v>NITRO AT 1</v>
      </c>
      <c r="W2923" s="169" t="s">
        <v>2708</v>
      </c>
    </row>
    <row r="2924" spans="2:23" x14ac:dyDescent="0.25">
      <c r="B2924" s="169" t="s">
        <v>258</v>
      </c>
      <c r="C2924" s="169" t="s">
        <v>87</v>
      </c>
      <c r="D2924" s="169" t="s">
        <v>9640</v>
      </c>
      <c r="E2924" s="169" t="s">
        <v>63</v>
      </c>
      <c r="F2924" s="245" t="str">
        <f t="shared" si="182"/>
        <v>Dhoz 71</v>
      </c>
      <c r="G2924" s="169" t="s">
        <v>12204</v>
      </c>
      <c r="I2924" s="169" t="str">
        <f t="shared" si="181"/>
        <v>L10_NONE_094E_XCS</v>
      </c>
      <c r="J2924" s="169" t="s">
        <v>12289</v>
      </c>
      <c r="K2924" s="169">
        <f>IFERROR(MATCH(J2924,'Final List'!$B$4:$B$252,0),0)</f>
        <v>0</v>
      </c>
      <c r="L2924" s="169">
        <f>IFERROR(MATCH(J2924,'Final List'!$D$4:$D$252,0),0)</f>
        <v>0</v>
      </c>
      <c r="M2924" s="169">
        <f>IFERROR(MATCH(J2924,'Final List'!$F$4:$F$251,0),0)</f>
        <v>0</v>
      </c>
      <c r="N2924" s="169">
        <f>IFERROR(MATCH(J2924,'Final List'!$H$4:$H$252,0),0)</f>
        <v>0</v>
      </c>
      <c r="O2924" s="169">
        <f>IFERROR(MATCH(J2924,'Final List'!$J$4:$J$252,0),0)</f>
        <v>0</v>
      </c>
      <c r="P2924" s="169">
        <f>IFERROR(MATCH(J2924,'Final List'!$L$4:$L$252,0),0)</f>
        <v>0</v>
      </c>
      <c r="Q2924" s="169">
        <f>IFERROR(MATCH(J2924,'Final List'!$N$4:$N$252,0),0)</f>
        <v>0</v>
      </c>
      <c r="R2924" s="169">
        <f>IFERROR(MATCH(J2924,'Final List'!$P$4:$P$252,0),0)</f>
        <v>0</v>
      </c>
      <c r="S2924" s="169">
        <f t="shared" si="183"/>
        <v>0</v>
      </c>
      <c r="V2924" s="169" t="str">
        <f t="shared" si="180"/>
        <v>NITRO AF</v>
      </c>
      <c r="W2924" s="169" t="s">
        <v>8898</v>
      </c>
    </row>
    <row r="2925" spans="2:23" x14ac:dyDescent="0.25">
      <c r="B2925" s="169" t="s">
        <v>1166</v>
      </c>
      <c r="C2925" s="169" t="s">
        <v>45</v>
      </c>
      <c r="D2925" s="169" t="s">
        <v>6114</v>
      </c>
      <c r="E2925" s="169" t="s">
        <v>60</v>
      </c>
      <c r="F2925" s="245" t="str">
        <f t="shared" si="182"/>
        <v>Dhoz 71</v>
      </c>
      <c r="G2925" s="169" t="s">
        <v>862</v>
      </c>
      <c r="H2925" s="169" t="s">
        <v>12672</v>
      </c>
      <c r="I2925" s="169" t="str">
        <f t="shared" si="181"/>
        <v>L11_DPVE_078E_DE</v>
      </c>
      <c r="J2925" s="169" t="s">
        <v>12363</v>
      </c>
      <c r="K2925" s="169">
        <f>IFERROR(MATCH(J2925,'Final List'!$B$4:$B$252,0),0)</f>
        <v>0</v>
      </c>
      <c r="L2925" s="169">
        <f>IFERROR(MATCH(J2925,'Final List'!$D$4:$D$252,0),0)</f>
        <v>0</v>
      </c>
      <c r="M2925" s="169">
        <f>IFERROR(MATCH(J2925,'Final List'!$F$4:$F$251,0),0)</f>
        <v>0</v>
      </c>
      <c r="N2925" s="169">
        <f>IFERROR(MATCH(J2925,'Final List'!$H$4:$H$252,0),0)</f>
        <v>0</v>
      </c>
      <c r="O2925" s="169">
        <f>IFERROR(MATCH(J2925,'Final List'!$J$4:$J$252,0),0)</f>
        <v>0</v>
      </c>
      <c r="P2925" s="169">
        <f>IFERROR(MATCH(J2925,'Final List'!$L$4:$L$252,0),0)</f>
        <v>0</v>
      </c>
      <c r="Q2925" s="169">
        <f>IFERROR(MATCH(J2925,'Final List'!$N$4:$N$252,0),0)</f>
        <v>0</v>
      </c>
      <c r="R2925" s="169">
        <f>IFERROR(MATCH(J2925,'Final List'!$P$4:$P$252,0),0)</f>
        <v>0</v>
      </c>
      <c r="S2925" s="169">
        <f t="shared" si="183"/>
        <v>0</v>
      </c>
      <c r="V2925" s="169" t="str">
        <f t="shared" si="180"/>
        <v>NITRO BE</v>
      </c>
      <c r="W2925" s="169" t="s">
        <v>8896</v>
      </c>
    </row>
    <row r="2926" spans="2:23" x14ac:dyDescent="0.25">
      <c r="B2926" s="169" t="s">
        <v>95</v>
      </c>
      <c r="C2926" s="169" t="s">
        <v>38</v>
      </c>
      <c r="D2926" s="169" t="s">
        <v>109</v>
      </c>
      <c r="E2926" s="169" t="s">
        <v>62</v>
      </c>
      <c r="F2926" s="245" t="str">
        <f t="shared" si="182"/>
        <v>RobS 79</v>
      </c>
      <c r="G2926" s="169" t="s">
        <v>305</v>
      </c>
      <c r="H2926" s="169" t="s">
        <v>15076</v>
      </c>
      <c r="I2926" s="169" t="str">
        <f t="shared" ref="I2926:I2989" si="184">CONCATENATE(B2926,"_",C2926,"_",D2926,"_",E2926)</f>
        <v>L08_GHV_002W_ROBBING</v>
      </c>
      <c r="J2926" s="169" t="s">
        <v>2741</v>
      </c>
      <c r="K2926" s="169">
        <f>IFERROR(MATCH(J2926,'Final List'!$B$4:$B$252,0),0)</f>
        <v>0</v>
      </c>
      <c r="L2926" s="169">
        <f>IFERROR(MATCH(J2926,'Final List'!$D$4:$D$252,0),0)</f>
        <v>0</v>
      </c>
      <c r="M2926" s="169">
        <f>IFERROR(MATCH(J2926,'Final List'!$F$4:$F$251,0),0)</f>
        <v>0</v>
      </c>
      <c r="N2926" s="169">
        <f>IFERROR(MATCH(J2926,'Final List'!$H$4:$H$252,0),0)</f>
        <v>0</v>
      </c>
      <c r="O2926" s="169">
        <f>IFERROR(MATCH(J2926,'Final List'!$J$4:$J$252,0),0)</f>
        <v>0</v>
      </c>
      <c r="P2926" s="169">
        <f>IFERROR(MATCH(J2926,'Final List'!$L$4:$L$252,0),0)</f>
        <v>0</v>
      </c>
      <c r="Q2926" s="169">
        <f>IFERROR(MATCH(J2926,'Final List'!$N$4:$N$252,0),0)</f>
        <v>0</v>
      </c>
      <c r="R2926" s="169">
        <f>IFERROR(MATCH(J2926,'Final List'!$P$4:$P$252,0),0)</f>
        <v>88</v>
      </c>
      <c r="S2926" s="169">
        <f t="shared" si="183"/>
        <v>88</v>
      </c>
      <c r="T2926" s="169" t="s">
        <v>68</v>
      </c>
      <c r="V2926" s="169" t="str">
        <f t="shared" si="180"/>
        <v>NITRO CQ</v>
      </c>
      <c r="W2926" s="169" t="s">
        <v>2707</v>
      </c>
    </row>
    <row r="2927" spans="2:23" x14ac:dyDescent="0.25">
      <c r="B2927" s="169" t="s">
        <v>96</v>
      </c>
      <c r="C2927" s="169" t="s">
        <v>45</v>
      </c>
      <c r="D2927" s="169" t="s">
        <v>143</v>
      </c>
      <c r="E2927" s="169" t="s">
        <v>62</v>
      </c>
      <c r="F2927" s="245" t="str">
        <f t="shared" si="182"/>
        <v>RobS 79</v>
      </c>
      <c r="G2927" s="169" t="s">
        <v>344</v>
      </c>
      <c r="I2927" s="169" t="str">
        <f t="shared" si="184"/>
        <v>L09_DPVE_032E_ROBBING</v>
      </c>
      <c r="J2927" s="169" t="s">
        <v>12300</v>
      </c>
      <c r="K2927" s="169">
        <f>IFERROR(MATCH(J2927,'Final List'!$B$4:$B$252,0),0)</f>
        <v>0</v>
      </c>
      <c r="L2927" s="169">
        <f>IFERROR(MATCH(J2927,'Final List'!$D$4:$D$252,0),0)</f>
        <v>0</v>
      </c>
      <c r="M2927" s="169">
        <f>IFERROR(MATCH(J2927,'Final List'!$F$4:$F$251,0),0)</f>
        <v>0</v>
      </c>
      <c r="N2927" s="169">
        <f>IFERROR(MATCH(J2927,'Final List'!$H$4:$H$252,0),0)</f>
        <v>0</v>
      </c>
      <c r="O2927" s="169">
        <f>IFERROR(MATCH(J2927,'Final List'!$J$4:$J$252,0),0)</f>
        <v>0</v>
      </c>
      <c r="P2927" s="169">
        <f>IFERROR(MATCH(J2927,'Final List'!$L$4:$L$252,0),0)</f>
        <v>0</v>
      </c>
      <c r="Q2927" s="169">
        <f>IFERROR(MATCH(J2927,'Final List'!$N$4:$N$252,0),0)</f>
        <v>0</v>
      </c>
      <c r="R2927" s="169">
        <f>IFERROR(MATCH(J2927,'Final List'!$P$4:$P$252,0),0)</f>
        <v>0</v>
      </c>
      <c r="S2927" s="169">
        <f t="shared" si="183"/>
        <v>0</v>
      </c>
      <c r="T2927" s="169" t="s">
        <v>68</v>
      </c>
      <c r="V2927" s="169" t="str">
        <f t="shared" si="180"/>
        <v>UDLOS 1</v>
      </c>
      <c r="W2927" s="169" t="s">
        <v>2707</v>
      </c>
    </row>
    <row r="2928" spans="2:23" x14ac:dyDescent="0.25">
      <c r="B2928" s="169" t="s">
        <v>258</v>
      </c>
      <c r="C2928" s="169" t="s">
        <v>43</v>
      </c>
      <c r="D2928" s="169" t="s">
        <v>117</v>
      </c>
      <c r="E2928" s="169" t="s">
        <v>61</v>
      </c>
      <c r="F2928" s="245" t="str">
        <f t="shared" si="182"/>
        <v>Dhoz 71</v>
      </c>
      <c r="G2928" s="169" t="s">
        <v>12065</v>
      </c>
      <c r="I2928" s="169" t="str">
        <f t="shared" si="184"/>
        <v>L10_GHVSPLIT_006W_DW</v>
      </c>
      <c r="J2928" s="169" t="s">
        <v>12306</v>
      </c>
      <c r="K2928" s="169">
        <f>IFERROR(MATCH(J2928,'Final List'!$B$4:$B$252,0),0)</f>
        <v>0</v>
      </c>
      <c r="L2928" s="169">
        <f>IFERROR(MATCH(J2928,'Final List'!$D$4:$D$252,0),0)</f>
        <v>0</v>
      </c>
      <c r="M2928" s="169">
        <f>IFERROR(MATCH(J2928,'Final List'!$F$4:$F$251,0),0)</f>
        <v>0</v>
      </c>
      <c r="N2928" s="169">
        <f>IFERROR(MATCH(J2928,'Final List'!$H$4:$H$252,0),0)</f>
        <v>0</v>
      </c>
      <c r="O2928" s="169">
        <f>IFERROR(MATCH(J2928,'Final List'!$J$4:$J$252,0),0)</f>
        <v>0</v>
      </c>
      <c r="P2928" s="169">
        <f>IFERROR(MATCH(J2928,'Final List'!$L$4:$L$252,0),0)</f>
        <v>0</v>
      </c>
      <c r="Q2928" s="169">
        <f>IFERROR(MATCH(J2928,'Final List'!$N$4:$N$252,0),0)</f>
        <v>0</v>
      </c>
      <c r="R2928" s="169">
        <f>IFERROR(MATCH(J2928,'Final List'!$P$4:$P$252,0),0)</f>
        <v>0</v>
      </c>
      <c r="S2928" s="169">
        <f t="shared" si="183"/>
        <v>0</v>
      </c>
      <c r="V2928" s="169" t="str">
        <f t="shared" si="180"/>
        <v>NITRO BD 1</v>
      </c>
      <c r="W2928" s="169" t="s">
        <v>8896</v>
      </c>
    </row>
    <row r="2929" spans="2:23" x14ac:dyDescent="0.25">
      <c r="B2929" s="169" t="s">
        <v>8904</v>
      </c>
      <c r="C2929" s="169" t="s">
        <v>42</v>
      </c>
      <c r="D2929" s="169" t="s">
        <v>134</v>
      </c>
      <c r="E2929" s="169" t="s">
        <v>62</v>
      </c>
      <c r="F2929" s="245" t="str">
        <f t="shared" si="182"/>
        <v>RobS 79</v>
      </c>
      <c r="G2929" s="169" t="s">
        <v>9455</v>
      </c>
      <c r="I2929" s="169" t="str">
        <f t="shared" si="184"/>
        <v>L03_JV_016W_ROBBING</v>
      </c>
      <c r="J2929" s="169" t="s">
        <v>12307</v>
      </c>
      <c r="K2929" s="169">
        <f>IFERROR(MATCH(J2929,'Final List'!$B$4:$B$252,0),0)</f>
        <v>0</v>
      </c>
      <c r="L2929" s="169">
        <f>IFERROR(MATCH(J2929,'Final List'!$D$4:$D$252,0),0)</f>
        <v>0</v>
      </c>
      <c r="M2929" s="169">
        <f>IFERROR(MATCH(J2929,'Final List'!$F$4:$F$251,0),0)</f>
        <v>0</v>
      </c>
      <c r="N2929" s="169">
        <f>IFERROR(MATCH(J2929,'Final List'!$H$4:$H$252,0),0)</f>
        <v>0</v>
      </c>
      <c r="O2929" s="169">
        <f>IFERROR(MATCH(J2929,'Final List'!$J$4:$J$252,0),0)</f>
        <v>0</v>
      </c>
      <c r="P2929" s="169">
        <f>IFERROR(MATCH(J2929,'Final List'!$L$4:$L$252,0),0)</f>
        <v>0</v>
      </c>
      <c r="Q2929" s="169">
        <f>IFERROR(MATCH(J2929,'Final List'!$N$4:$N$252,0),0)</f>
        <v>0</v>
      </c>
      <c r="R2929" s="169">
        <f>IFERROR(MATCH(J2929,'Final List'!$P$4:$P$252,0),0)</f>
        <v>0</v>
      </c>
      <c r="S2929" s="169">
        <f t="shared" si="183"/>
        <v>0</v>
      </c>
      <c r="T2929" s="169" t="s">
        <v>68</v>
      </c>
      <c r="V2929" s="169" t="str">
        <f t="shared" si="180"/>
        <v>FERNANDEZ, RM 4</v>
      </c>
      <c r="W2929" s="169" t="s">
        <v>2707</v>
      </c>
    </row>
    <row r="2930" spans="2:23" x14ac:dyDescent="0.25">
      <c r="B2930" s="169" t="s">
        <v>1166</v>
      </c>
      <c r="C2930" s="169" t="s">
        <v>43</v>
      </c>
      <c r="D2930" s="169" t="s">
        <v>169</v>
      </c>
      <c r="E2930" s="169" t="s">
        <v>61</v>
      </c>
      <c r="F2930" s="245" t="str">
        <f t="shared" si="182"/>
        <v>Dhoz 71</v>
      </c>
      <c r="G2930" s="169" t="s">
        <v>8339</v>
      </c>
      <c r="I2930" s="169" t="str">
        <f t="shared" si="184"/>
        <v>L11_GHVSPLIT_065E_DW</v>
      </c>
      <c r="J2930" s="169" t="s">
        <v>12309</v>
      </c>
      <c r="K2930" s="169">
        <f>IFERROR(MATCH(J2930,'Final List'!$B$4:$B$252,0),0)</f>
        <v>0</v>
      </c>
      <c r="L2930" s="169">
        <f>IFERROR(MATCH(J2930,'Final List'!$D$4:$D$252,0),0)</f>
        <v>0</v>
      </c>
      <c r="M2930" s="169">
        <f>IFERROR(MATCH(J2930,'Final List'!$F$4:$F$251,0),0)</f>
        <v>0</v>
      </c>
      <c r="N2930" s="169">
        <f>IFERROR(MATCH(J2930,'Final List'!$H$4:$H$252,0),0)</f>
        <v>0</v>
      </c>
      <c r="O2930" s="169">
        <f>IFERROR(MATCH(J2930,'Final List'!$J$4:$J$252,0),0)</f>
        <v>0</v>
      </c>
      <c r="P2930" s="169">
        <f>IFERROR(MATCH(J2930,'Final List'!$L$4:$L$252,0),0)</f>
        <v>0</v>
      </c>
      <c r="Q2930" s="169">
        <f>IFERROR(MATCH(J2930,'Final List'!$N$4:$N$252,0),0)</f>
        <v>0</v>
      </c>
      <c r="R2930" s="169">
        <f>IFERROR(MATCH(J2930,'Final List'!$P$4:$P$252,0),0)</f>
        <v>0</v>
      </c>
      <c r="S2930" s="169">
        <f t="shared" si="183"/>
        <v>0</v>
      </c>
      <c r="V2930" s="169" t="str">
        <f t="shared" si="180"/>
        <v>MARTINEZ DN</v>
      </c>
      <c r="W2930" s="169" t="s">
        <v>8896</v>
      </c>
    </row>
    <row r="2931" spans="2:23" x14ac:dyDescent="0.25">
      <c r="B2931" s="169" t="s">
        <v>1166</v>
      </c>
      <c r="C2931" s="169" t="s">
        <v>45</v>
      </c>
      <c r="D2931" s="169" t="s">
        <v>130</v>
      </c>
      <c r="E2931" s="169" t="s">
        <v>60</v>
      </c>
      <c r="F2931" s="245" t="str">
        <f t="shared" si="182"/>
        <v>Dhoz 71</v>
      </c>
      <c r="G2931" s="169" t="s">
        <v>474</v>
      </c>
      <c r="H2931" s="169" t="s">
        <v>367</v>
      </c>
      <c r="I2931" s="169" t="str">
        <f t="shared" si="184"/>
        <v>L11_DPVE_036E_DE</v>
      </c>
      <c r="J2931" s="169" t="s">
        <v>12311</v>
      </c>
      <c r="K2931" s="169">
        <f>IFERROR(MATCH(J2931,'Final List'!$B$4:$B$252,0),0)</f>
        <v>0</v>
      </c>
      <c r="L2931" s="169">
        <f>IFERROR(MATCH(J2931,'Final List'!$D$4:$D$252,0),0)</f>
        <v>0</v>
      </c>
      <c r="M2931" s="169">
        <f>IFERROR(MATCH(J2931,'Final List'!$F$4:$F$251,0),0)</f>
        <v>0</v>
      </c>
      <c r="N2931" s="169">
        <f>IFERROR(MATCH(J2931,'Final List'!$H$4:$H$252,0),0)</f>
        <v>0</v>
      </c>
      <c r="O2931" s="169">
        <f>IFERROR(MATCH(J2931,'Final List'!$J$4:$J$252,0),0)</f>
        <v>0</v>
      </c>
      <c r="P2931" s="169">
        <f>IFERROR(MATCH(J2931,'Final List'!$L$4:$L$252,0),0)</f>
        <v>0</v>
      </c>
      <c r="Q2931" s="169">
        <f>IFERROR(MATCH(J2931,'Final List'!$N$4:$N$252,0),0)</f>
        <v>0</v>
      </c>
      <c r="R2931" s="169">
        <f>IFERROR(MATCH(J2931,'Final List'!$P$4:$P$252,0),0)</f>
        <v>0</v>
      </c>
      <c r="S2931" s="169">
        <f t="shared" si="183"/>
        <v>0</v>
      </c>
      <c r="V2931" s="169" t="str">
        <f t="shared" si="180"/>
        <v>LERIO 1</v>
      </c>
      <c r="W2931" s="169" t="s">
        <v>8896</v>
      </c>
    </row>
    <row r="2932" spans="2:23" x14ac:dyDescent="0.25">
      <c r="B2932" s="169" t="s">
        <v>96</v>
      </c>
      <c r="C2932" s="169" t="s">
        <v>45</v>
      </c>
      <c r="D2932" s="169" t="s">
        <v>5887</v>
      </c>
      <c r="E2932" s="169" t="s">
        <v>6154</v>
      </c>
      <c r="F2932" s="245" t="str">
        <f t="shared" si="182"/>
        <v>Dhoz 71</v>
      </c>
      <c r="G2932" s="169" t="s">
        <v>349</v>
      </c>
      <c r="H2932" s="169" t="s">
        <v>2970</v>
      </c>
      <c r="I2932" s="169" t="str">
        <f t="shared" si="184"/>
        <v>L09_DPVE_085E_DW_ISL</v>
      </c>
      <c r="J2932" s="169" t="s">
        <v>12490</v>
      </c>
      <c r="K2932" s="169">
        <f>IFERROR(MATCH(J2932,'Final List'!$B$4:$B$252,0),0)</f>
        <v>0</v>
      </c>
      <c r="L2932" s="169">
        <f>IFERROR(MATCH(J2932,'Final List'!$D$4:$D$252,0),0)</f>
        <v>0</v>
      </c>
      <c r="M2932" s="169">
        <f>IFERROR(MATCH(J2932,'Final List'!$F$4:$F$251,0),0)</f>
        <v>0</v>
      </c>
      <c r="N2932" s="169">
        <f>IFERROR(MATCH(J2932,'Final List'!$H$4:$H$252,0),0)</f>
        <v>0</v>
      </c>
      <c r="O2932" s="169">
        <f>IFERROR(MATCH(J2932,'Final List'!$J$4:$J$252,0),0)</f>
        <v>0</v>
      </c>
      <c r="P2932" s="169">
        <f>IFERROR(MATCH(J2932,'Final List'!$L$4:$L$252,0),0)</f>
        <v>0</v>
      </c>
      <c r="Q2932" s="169">
        <f>IFERROR(MATCH(J2932,'Final List'!$N$4:$N$252,0),0)</f>
        <v>0</v>
      </c>
      <c r="R2932" s="169">
        <f>IFERROR(MATCH(J2932,'Final List'!$P$4:$P$252,0),0)</f>
        <v>0</v>
      </c>
      <c r="S2932" s="169">
        <f t="shared" si="183"/>
        <v>0</v>
      </c>
      <c r="V2932" s="169" t="str">
        <f t="shared" si="180"/>
        <v>FABROA 2</v>
      </c>
      <c r="W2932" s="169" t="s">
        <v>8896</v>
      </c>
    </row>
    <row r="2933" spans="2:23" x14ac:dyDescent="0.25">
      <c r="B2933" s="169" t="s">
        <v>1166</v>
      </c>
      <c r="C2933" s="169" t="s">
        <v>55</v>
      </c>
      <c r="D2933" s="169" t="s">
        <v>5601</v>
      </c>
      <c r="E2933" s="169" t="s">
        <v>61</v>
      </c>
      <c r="F2933" s="245" t="str">
        <f t="shared" si="182"/>
        <v>Dhoz 71</v>
      </c>
      <c r="G2933" s="169" t="s">
        <v>12072</v>
      </c>
      <c r="I2933" s="169" t="str">
        <f t="shared" si="184"/>
        <v>L11_JVFW_026E_DW</v>
      </c>
      <c r="J2933" s="169" t="s">
        <v>12330</v>
      </c>
      <c r="K2933" s="169">
        <f>IFERROR(MATCH(J2933,'Final List'!$B$4:$B$252,0),0)</f>
        <v>0</v>
      </c>
      <c r="L2933" s="169">
        <f>IFERROR(MATCH(J2933,'Final List'!$D$4:$D$252,0),0)</f>
        <v>0</v>
      </c>
      <c r="M2933" s="169">
        <f>IFERROR(MATCH(J2933,'Final List'!$F$4:$F$251,0),0)</f>
        <v>0</v>
      </c>
      <c r="N2933" s="169">
        <f>IFERROR(MATCH(J2933,'Final List'!$H$4:$H$252,0),0)</f>
        <v>0</v>
      </c>
      <c r="O2933" s="169">
        <f>IFERROR(MATCH(J2933,'Final List'!$J$4:$J$252,0),0)</f>
        <v>0</v>
      </c>
      <c r="P2933" s="169">
        <f>IFERROR(MATCH(J2933,'Final List'!$L$4:$L$252,0),0)</f>
        <v>0</v>
      </c>
      <c r="Q2933" s="169">
        <f>IFERROR(MATCH(J2933,'Final List'!$N$4:$N$252,0),0)</f>
        <v>0</v>
      </c>
      <c r="R2933" s="169">
        <f>IFERROR(MATCH(J2933,'Final List'!$P$4:$P$252,0),0)</f>
        <v>0</v>
      </c>
      <c r="S2933" s="169">
        <f t="shared" si="183"/>
        <v>0</v>
      </c>
      <c r="V2933" s="169" t="str">
        <f t="shared" si="180"/>
        <v>NITRO BB 1</v>
      </c>
      <c r="W2933" s="169" t="s">
        <v>8896</v>
      </c>
    </row>
    <row r="2934" spans="2:23" x14ac:dyDescent="0.25">
      <c r="B2934" s="169" t="s">
        <v>1166</v>
      </c>
      <c r="C2934" s="169" t="s">
        <v>45</v>
      </c>
      <c r="D2934" s="169" t="s">
        <v>112</v>
      </c>
      <c r="E2934" s="169" t="s">
        <v>19</v>
      </c>
      <c r="F2934" s="245" t="str">
        <f t="shared" si="182"/>
        <v>DVR 72</v>
      </c>
      <c r="G2934" s="169" t="s">
        <v>5698</v>
      </c>
      <c r="I2934" s="169" t="str">
        <f t="shared" si="184"/>
        <v>L11_DPVE_018E_RAISE</v>
      </c>
      <c r="J2934" s="169" t="s">
        <v>11895</v>
      </c>
      <c r="K2934" s="169">
        <f>IFERROR(MATCH(J2934,'Final List'!$B$4:$B$252,0),0)</f>
        <v>0</v>
      </c>
      <c r="L2934" s="169">
        <f>IFERROR(MATCH(J2934,'Final List'!$D$4:$D$252,0),0)</f>
        <v>0</v>
      </c>
      <c r="M2934" s="169">
        <f>IFERROR(MATCH(J2934,'Final List'!$F$4:$F$251,0),0)</f>
        <v>0</v>
      </c>
      <c r="N2934" s="169">
        <f>IFERROR(MATCH(J2934,'Final List'!$H$4:$H$252,0),0)</f>
        <v>0</v>
      </c>
      <c r="O2934" s="169">
        <f>IFERROR(MATCH(J2934,'Final List'!$J$4:$J$252,0),0)</f>
        <v>0</v>
      </c>
      <c r="P2934" s="169">
        <f>IFERROR(MATCH(J2934,'Final List'!$L$4:$L$252,0),0)</f>
        <v>0</v>
      </c>
      <c r="Q2934" s="169">
        <f>IFERROR(MATCH(J2934,'Final List'!$N$4:$N$252,0),0)</f>
        <v>0</v>
      </c>
      <c r="R2934" s="169">
        <f>IFERROR(MATCH(J2934,'Final List'!$P$4:$P$252,0),0)</f>
        <v>0</v>
      </c>
      <c r="S2934" s="169">
        <f t="shared" si="183"/>
        <v>0</v>
      </c>
      <c r="V2934" s="169" t="str">
        <f t="shared" si="180"/>
        <v>PARAN 1</v>
      </c>
      <c r="W2934" s="169" t="s">
        <v>2715</v>
      </c>
    </row>
    <row r="2935" spans="2:23" x14ac:dyDescent="0.25">
      <c r="B2935" s="169" t="s">
        <v>1167</v>
      </c>
      <c r="C2935" s="169" t="s">
        <v>42</v>
      </c>
      <c r="D2935" s="169" t="s">
        <v>5604</v>
      </c>
      <c r="E2935" s="169" t="s">
        <v>36</v>
      </c>
      <c r="F2935" s="245" t="str">
        <f t="shared" si="182"/>
        <v>StpS 77</v>
      </c>
      <c r="G2935" s="169" t="s">
        <v>746</v>
      </c>
      <c r="H2935" s="169" t="s">
        <v>12546</v>
      </c>
      <c r="I2935" s="169" t="str">
        <f t="shared" si="184"/>
        <v>L12_JV_063E_STOPE</v>
      </c>
      <c r="J2935" s="169" t="s">
        <v>12491</v>
      </c>
      <c r="K2935" s="169">
        <f>IFERROR(MATCH(J2935,'Final List'!$B$4:$B$252,0),0)</f>
        <v>0</v>
      </c>
      <c r="L2935" s="169">
        <f>IFERROR(MATCH(J2935,'Final List'!$D$4:$D$252,0),0)</f>
        <v>0</v>
      </c>
      <c r="M2935" s="169">
        <f>IFERROR(MATCH(J2935,'Final List'!$F$4:$F$251,0),0)</f>
        <v>0</v>
      </c>
      <c r="N2935" s="169">
        <f>IFERROR(MATCH(J2935,'Final List'!$H$4:$H$252,0),0)</f>
        <v>0</v>
      </c>
      <c r="O2935" s="169">
        <f>IFERROR(MATCH(J2935,'Final List'!$J$4:$J$252,0),0)</f>
        <v>0</v>
      </c>
      <c r="P2935" s="169">
        <f>IFERROR(MATCH(J2935,'Final List'!$L$4:$L$252,0),0)</f>
        <v>0</v>
      </c>
      <c r="Q2935" s="169">
        <f>IFERROR(MATCH(J2935,'Final List'!$N$4:$N$252,0),0)</f>
        <v>0</v>
      </c>
      <c r="R2935" s="169">
        <f>IFERROR(MATCH(J2935,'Final List'!$P$4:$P$252,0),0)</f>
        <v>0</v>
      </c>
      <c r="S2935" s="169">
        <f t="shared" si="183"/>
        <v>0</v>
      </c>
      <c r="T2935" s="169" t="s">
        <v>68</v>
      </c>
      <c r="V2935" s="169" t="str">
        <f t="shared" si="180"/>
        <v>NITRO BQ</v>
      </c>
      <c r="W2935" s="169" t="s">
        <v>2713</v>
      </c>
    </row>
    <row r="2936" spans="2:23" x14ac:dyDescent="0.25">
      <c r="B2936" s="169" t="s">
        <v>1166</v>
      </c>
      <c r="C2936" s="169" t="s">
        <v>87</v>
      </c>
      <c r="D2936" s="169" t="s">
        <v>169</v>
      </c>
      <c r="E2936" s="169" t="s">
        <v>37</v>
      </c>
      <c r="F2936" s="245" t="str">
        <f t="shared" si="182"/>
        <v>Dhoz 71</v>
      </c>
      <c r="G2936" s="169" t="s">
        <v>8339</v>
      </c>
      <c r="H2936" s="169" t="s">
        <v>4068</v>
      </c>
      <c r="I2936" s="169" t="str">
        <f t="shared" si="184"/>
        <v>L11_NONE_065E_XCN</v>
      </c>
      <c r="J2936" s="169" t="s">
        <v>12335</v>
      </c>
      <c r="K2936" s="169">
        <f>IFERROR(MATCH(J2936,'Final List'!$B$4:$B$252,0),0)</f>
        <v>0</v>
      </c>
      <c r="L2936" s="169">
        <f>IFERROR(MATCH(J2936,'Final List'!$D$4:$D$252,0),0)</f>
        <v>0</v>
      </c>
      <c r="M2936" s="169">
        <f>IFERROR(MATCH(J2936,'Final List'!$F$4:$F$251,0),0)</f>
        <v>0</v>
      </c>
      <c r="N2936" s="169">
        <f>IFERROR(MATCH(J2936,'Final List'!$H$4:$H$252,0),0)</f>
        <v>0</v>
      </c>
      <c r="O2936" s="169">
        <f>IFERROR(MATCH(J2936,'Final List'!$J$4:$J$252,0),0)</f>
        <v>0</v>
      </c>
      <c r="P2936" s="169">
        <f>IFERROR(MATCH(J2936,'Final List'!$L$4:$L$252,0),0)</f>
        <v>0</v>
      </c>
      <c r="Q2936" s="169">
        <f>IFERROR(MATCH(J2936,'Final List'!$N$4:$N$252,0),0)</f>
        <v>0</v>
      </c>
      <c r="R2936" s="169">
        <f>IFERROR(MATCH(J2936,'Final List'!$P$4:$P$252,0),0)</f>
        <v>0</v>
      </c>
      <c r="S2936" s="169">
        <f t="shared" si="183"/>
        <v>0</v>
      </c>
      <c r="V2936" s="169" t="str">
        <f t="shared" si="180"/>
        <v>MAPAYO</v>
      </c>
      <c r="W2936" s="169" t="s">
        <v>2714</v>
      </c>
    </row>
    <row r="2937" spans="2:23" x14ac:dyDescent="0.25">
      <c r="B2937" s="169" t="s">
        <v>96</v>
      </c>
      <c r="C2937" s="169" t="s">
        <v>42</v>
      </c>
      <c r="D2937" s="169" t="s">
        <v>142</v>
      </c>
      <c r="E2937" s="169" t="s">
        <v>60</v>
      </c>
      <c r="F2937" s="245" t="str">
        <f t="shared" si="182"/>
        <v>Dhoz 71</v>
      </c>
      <c r="G2937" s="169" t="s">
        <v>9749</v>
      </c>
      <c r="H2937" s="169" t="s">
        <v>344</v>
      </c>
      <c r="I2937" s="169" t="str">
        <f t="shared" si="184"/>
        <v>L09_JV_038E_DE</v>
      </c>
      <c r="J2937" s="169" t="s">
        <v>12338</v>
      </c>
      <c r="K2937" s="169">
        <f>IFERROR(MATCH(J2937,'Final List'!$B$4:$B$252,0),0)</f>
        <v>0</v>
      </c>
      <c r="L2937" s="169">
        <f>IFERROR(MATCH(J2937,'Final List'!$D$4:$D$252,0),0)</f>
        <v>0</v>
      </c>
      <c r="M2937" s="169">
        <f>IFERROR(MATCH(J2937,'Final List'!$F$4:$F$251,0),0)</f>
        <v>0</v>
      </c>
      <c r="N2937" s="169">
        <f>IFERROR(MATCH(J2937,'Final List'!$H$4:$H$252,0),0)</f>
        <v>0</v>
      </c>
      <c r="O2937" s="169">
        <f>IFERROR(MATCH(J2937,'Final List'!$J$4:$J$252,0),0)</f>
        <v>0</v>
      </c>
      <c r="P2937" s="169">
        <f>IFERROR(MATCH(J2937,'Final List'!$L$4:$L$252,0),0)</f>
        <v>0</v>
      </c>
      <c r="Q2937" s="169">
        <f>IFERROR(MATCH(J2937,'Final List'!$N$4:$N$252,0),0)</f>
        <v>0</v>
      </c>
      <c r="R2937" s="169">
        <f>IFERROR(MATCH(J2937,'Final List'!$P$4:$P$252,0),0)</f>
        <v>0</v>
      </c>
      <c r="S2937" s="169">
        <f t="shared" si="183"/>
        <v>0</v>
      </c>
      <c r="V2937" s="169" t="str">
        <f t="shared" si="180"/>
        <v>UDLOS 1</v>
      </c>
      <c r="W2937" s="169" t="s">
        <v>8896</v>
      </c>
    </row>
    <row r="2938" spans="2:23" x14ac:dyDescent="0.25">
      <c r="B2938" s="169" t="s">
        <v>96</v>
      </c>
      <c r="C2938" s="169" t="s">
        <v>42</v>
      </c>
      <c r="D2938" s="169" t="s">
        <v>110</v>
      </c>
      <c r="E2938" s="169" t="s">
        <v>60</v>
      </c>
      <c r="F2938" s="245" t="str">
        <f t="shared" si="182"/>
        <v>Dhoz 71</v>
      </c>
      <c r="G2938" s="169" t="s">
        <v>1606</v>
      </c>
      <c r="I2938" s="169" t="str">
        <f t="shared" si="184"/>
        <v>L09_JV_004E_DE</v>
      </c>
      <c r="J2938" s="169" t="s">
        <v>12339</v>
      </c>
      <c r="K2938" s="169">
        <f>IFERROR(MATCH(J2938,'Final List'!$B$4:$B$252,0),0)</f>
        <v>0</v>
      </c>
      <c r="L2938" s="169">
        <f>IFERROR(MATCH(J2938,'Final List'!$D$4:$D$252,0),0)</f>
        <v>0</v>
      </c>
      <c r="M2938" s="169">
        <f>IFERROR(MATCH(J2938,'Final List'!$F$4:$F$251,0),0)</f>
        <v>0</v>
      </c>
      <c r="N2938" s="169">
        <f>IFERROR(MATCH(J2938,'Final List'!$H$4:$H$252,0),0)</f>
        <v>0</v>
      </c>
      <c r="O2938" s="169">
        <f>IFERROR(MATCH(J2938,'Final List'!$J$4:$J$252,0),0)</f>
        <v>0</v>
      </c>
      <c r="P2938" s="169">
        <f>IFERROR(MATCH(J2938,'Final List'!$L$4:$L$252,0),0)</f>
        <v>0</v>
      </c>
      <c r="Q2938" s="169">
        <f>IFERROR(MATCH(J2938,'Final List'!$N$4:$N$252,0),0)</f>
        <v>0</v>
      </c>
      <c r="R2938" s="169">
        <f>IFERROR(MATCH(J2938,'Final List'!$P$4:$P$252,0),0)</f>
        <v>0</v>
      </c>
      <c r="S2938" s="169">
        <f t="shared" si="183"/>
        <v>0</v>
      </c>
      <c r="V2938" s="169" t="str">
        <f t="shared" si="180"/>
        <v>PMC MINERS</v>
      </c>
      <c r="W2938" s="169" t="s">
        <v>8896</v>
      </c>
    </row>
    <row r="2939" spans="2:23" x14ac:dyDescent="0.25">
      <c r="B2939" s="169" t="s">
        <v>1166</v>
      </c>
      <c r="C2939" s="169" t="s">
        <v>45</v>
      </c>
      <c r="D2939" s="169" t="s">
        <v>119</v>
      </c>
      <c r="E2939" s="169" t="s">
        <v>60</v>
      </c>
      <c r="F2939" s="245" t="str">
        <f t="shared" si="182"/>
        <v>Dhoz 71</v>
      </c>
      <c r="G2939" s="169" t="s">
        <v>342</v>
      </c>
      <c r="H2939" s="169" t="s">
        <v>10758</v>
      </c>
      <c r="I2939" s="169" t="str">
        <f t="shared" si="184"/>
        <v>L11_DPVE_012E_DE</v>
      </c>
      <c r="J2939" s="169" t="s">
        <v>12340</v>
      </c>
      <c r="K2939" s="169">
        <f>IFERROR(MATCH(J2939,'Final List'!$B$4:$B$252,0),0)</f>
        <v>0</v>
      </c>
      <c r="L2939" s="169">
        <f>IFERROR(MATCH(J2939,'Final List'!$D$4:$D$252,0),0)</f>
        <v>0</v>
      </c>
      <c r="M2939" s="169">
        <f>IFERROR(MATCH(J2939,'Final List'!$F$4:$F$251,0),0)</f>
        <v>0</v>
      </c>
      <c r="N2939" s="169">
        <f>IFERROR(MATCH(J2939,'Final List'!$H$4:$H$252,0),0)</f>
        <v>0</v>
      </c>
      <c r="O2939" s="169">
        <f>IFERROR(MATCH(J2939,'Final List'!$J$4:$J$252,0),0)</f>
        <v>0</v>
      </c>
      <c r="P2939" s="169">
        <f>IFERROR(MATCH(J2939,'Final List'!$L$4:$L$252,0),0)</f>
        <v>0</v>
      </c>
      <c r="Q2939" s="169">
        <f>IFERROR(MATCH(J2939,'Final List'!$N$4:$N$252,0),0)</f>
        <v>0</v>
      </c>
      <c r="R2939" s="169">
        <f>IFERROR(MATCH(J2939,'Final List'!$P$4:$P$252,0),0)</f>
        <v>0</v>
      </c>
      <c r="S2939" s="169">
        <f t="shared" si="183"/>
        <v>0</v>
      </c>
      <c r="V2939" s="169" t="str">
        <f t="shared" si="180"/>
        <v>MARTINEZ, DN</v>
      </c>
      <c r="W2939" s="169" t="s">
        <v>8896</v>
      </c>
    </row>
    <row r="2940" spans="2:23" x14ac:dyDescent="0.25">
      <c r="B2940" s="169" t="s">
        <v>1166</v>
      </c>
      <c r="C2940" s="169" t="s">
        <v>45</v>
      </c>
      <c r="D2940" s="169" t="s">
        <v>167</v>
      </c>
      <c r="E2940" s="169" t="s">
        <v>60</v>
      </c>
      <c r="F2940" s="245" t="str">
        <f t="shared" si="182"/>
        <v>Dhoz 71</v>
      </c>
      <c r="G2940" s="169" t="s">
        <v>385</v>
      </c>
      <c r="I2940" s="169" t="str">
        <f t="shared" si="184"/>
        <v>L11_DPVE_058E_DE</v>
      </c>
      <c r="J2940" s="169" t="s">
        <v>12341</v>
      </c>
      <c r="K2940" s="169">
        <f>IFERROR(MATCH(J2940,'Final List'!$B$4:$B$252,0),0)</f>
        <v>0</v>
      </c>
      <c r="L2940" s="169">
        <f>IFERROR(MATCH(J2940,'Final List'!$D$4:$D$252,0),0)</f>
        <v>0</v>
      </c>
      <c r="M2940" s="169">
        <f>IFERROR(MATCH(J2940,'Final List'!$F$4:$F$251,0),0)</f>
        <v>0</v>
      </c>
      <c r="N2940" s="169">
        <f>IFERROR(MATCH(J2940,'Final List'!$H$4:$H$252,0),0)</f>
        <v>0</v>
      </c>
      <c r="O2940" s="169">
        <f>IFERROR(MATCH(J2940,'Final List'!$J$4:$J$252,0),0)</f>
        <v>0</v>
      </c>
      <c r="P2940" s="169">
        <f>IFERROR(MATCH(J2940,'Final List'!$L$4:$L$252,0),0)</f>
        <v>0</v>
      </c>
      <c r="Q2940" s="169">
        <f>IFERROR(MATCH(J2940,'Final List'!$N$4:$N$252,0),0)</f>
        <v>0</v>
      </c>
      <c r="R2940" s="169">
        <f>IFERROR(MATCH(J2940,'Final List'!$P$4:$P$252,0),0)</f>
        <v>0</v>
      </c>
      <c r="S2940" s="169">
        <f t="shared" si="183"/>
        <v>0</v>
      </c>
      <c r="V2940" s="169" t="str">
        <f t="shared" si="180"/>
        <v>SILVOZA 1</v>
      </c>
      <c r="W2940" s="169" t="s">
        <v>8896</v>
      </c>
    </row>
    <row r="2941" spans="2:23" x14ac:dyDescent="0.25">
      <c r="B2941" s="169" t="s">
        <v>258</v>
      </c>
      <c r="C2941" s="169" t="s">
        <v>87</v>
      </c>
      <c r="D2941" s="169" t="s">
        <v>5689</v>
      </c>
      <c r="E2941" s="169" t="s">
        <v>37</v>
      </c>
      <c r="F2941" s="245" t="str">
        <f t="shared" si="182"/>
        <v>Dhoz 71</v>
      </c>
      <c r="G2941" s="169" t="s">
        <v>5697</v>
      </c>
      <c r="I2941" s="169" t="str">
        <f t="shared" si="184"/>
        <v>L10_NONE_003E_XCN</v>
      </c>
      <c r="J2941" s="169" t="s">
        <v>12352</v>
      </c>
      <c r="K2941" s="169">
        <f>IFERROR(MATCH(J2941,'Final List'!$B$4:$B$252,0),0)</f>
        <v>0</v>
      </c>
      <c r="L2941" s="169">
        <f>IFERROR(MATCH(J2941,'Final List'!$D$4:$D$252,0),0)</f>
        <v>0</v>
      </c>
      <c r="M2941" s="169">
        <f>IFERROR(MATCH(J2941,'Final List'!$F$4:$F$251,0),0)</f>
        <v>0</v>
      </c>
      <c r="N2941" s="169">
        <f>IFERROR(MATCH(J2941,'Final List'!$H$4:$H$252,0),0)</f>
        <v>0</v>
      </c>
      <c r="O2941" s="169">
        <f>IFERROR(MATCH(J2941,'Final List'!$J$4:$J$252,0),0)</f>
        <v>0</v>
      </c>
      <c r="P2941" s="169">
        <f>IFERROR(MATCH(J2941,'Final List'!$L$4:$L$252,0),0)</f>
        <v>0</v>
      </c>
      <c r="Q2941" s="169">
        <f>IFERROR(MATCH(J2941,'Final List'!$N$4:$N$252,0),0)</f>
        <v>0</v>
      </c>
      <c r="R2941" s="169">
        <f>IFERROR(MATCH(J2941,'Final List'!$P$4:$P$252,0),0)</f>
        <v>0</v>
      </c>
      <c r="S2941" s="169">
        <f t="shared" si="183"/>
        <v>0</v>
      </c>
      <c r="V2941" s="169" t="str">
        <f t="shared" si="180"/>
        <v>OLIVEROS 1</v>
      </c>
      <c r="W2941" s="169" t="s">
        <v>8898</v>
      </c>
    </row>
    <row r="2942" spans="2:23" x14ac:dyDescent="0.25">
      <c r="B2942" s="169" t="s">
        <v>1166</v>
      </c>
      <c r="C2942" s="169" t="s">
        <v>43</v>
      </c>
      <c r="D2942" s="169" t="s">
        <v>159</v>
      </c>
      <c r="E2942" s="169" t="s">
        <v>60</v>
      </c>
      <c r="F2942" s="245" t="str">
        <f t="shared" si="182"/>
        <v>Dhoz 71</v>
      </c>
      <c r="G2942" s="169" t="s">
        <v>452</v>
      </c>
      <c r="H2942" s="169" t="s">
        <v>474</v>
      </c>
      <c r="I2942" s="169" t="str">
        <f t="shared" si="184"/>
        <v>L11_GHVSPLIT_023E_DE</v>
      </c>
      <c r="J2942" s="169" t="s">
        <v>12359</v>
      </c>
      <c r="K2942" s="169">
        <f>IFERROR(MATCH(J2942,'Final List'!$B$4:$B$252,0),0)</f>
        <v>0</v>
      </c>
      <c r="L2942" s="169">
        <f>IFERROR(MATCH(J2942,'Final List'!$D$4:$D$252,0),0)</f>
        <v>0</v>
      </c>
      <c r="M2942" s="169">
        <f>IFERROR(MATCH(J2942,'Final List'!$F$4:$F$251,0),0)</f>
        <v>0</v>
      </c>
      <c r="N2942" s="169">
        <f>IFERROR(MATCH(J2942,'Final List'!$H$4:$H$252,0),0)</f>
        <v>0</v>
      </c>
      <c r="O2942" s="169">
        <f>IFERROR(MATCH(J2942,'Final List'!$J$4:$J$252,0),0)</f>
        <v>0</v>
      </c>
      <c r="P2942" s="169">
        <f>IFERROR(MATCH(J2942,'Final List'!$L$4:$L$252,0),0)</f>
        <v>0</v>
      </c>
      <c r="Q2942" s="169">
        <f>IFERROR(MATCH(J2942,'Final List'!$N$4:$N$252,0),0)</f>
        <v>0</v>
      </c>
      <c r="R2942" s="169">
        <f>IFERROR(MATCH(J2942,'Final List'!$P$4:$P$252,0),0)</f>
        <v>0</v>
      </c>
      <c r="S2942" s="169">
        <f t="shared" si="183"/>
        <v>0</v>
      </c>
      <c r="V2942" s="169" t="str">
        <f t="shared" si="180"/>
        <v>TORMIS 1</v>
      </c>
      <c r="W2942" s="169" t="s">
        <v>8896</v>
      </c>
    </row>
    <row r="2943" spans="2:23" x14ac:dyDescent="0.25">
      <c r="B2943" s="169" t="s">
        <v>1166</v>
      </c>
      <c r="C2943" s="169" t="s">
        <v>39</v>
      </c>
      <c r="D2943" s="169" t="s">
        <v>149</v>
      </c>
      <c r="E2943" s="169" t="s">
        <v>19</v>
      </c>
      <c r="F2943" s="245" t="str">
        <f t="shared" si="182"/>
        <v>DVR 72</v>
      </c>
      <c r="G2943" s="169" t="s">
        <v>12072</v>
      </c>
      <c r="I2943" s="169" t="str">
        <f t="shared" si="184"/>
        <v>L11_JVHW_021E_RAISE</v>
      </c>
      <c r="J2943" s="169" t="s">
        <v>12348</v>
      </c>
      <c r="K2943" s="169">
        <f>IFERROR(MATCH(J2943,'Final List'!$B$4:$B$252,0),0)</f>
        <v>0</v>
      </c>
      <c r="L2943" s="169">
        <f>IFERROR(MATCH(J2943,'Final List'!$D$4:$D$252,0),0)</f>
        <v>0</v>
      </c>
      <c r="M2943" s="169">
        <f>IFERROR(MATCH(J2943,'Final List'!$F$4:$F$251,0),0)</f>
        <v>0</v>
      </c>
      <c r="N2943" s="169">
        <f>IFERROR(MATCH(J2943,'Final List'!$H$4:$H$252,0),0)</f>
        <v>0</v>
      </c>
      <c r="O2943" s="169">
        <f>IFERROR(MATCH(J2943,'Final List'!$J$4:$J$252,0),0)</f>
        <v>0</v>
      </c>
      <c r="P2943" s="169">
        <f>IFERROR(MATCH(J2943,'Final List'!$L$4:$L$252,0),0)</f>
        <v>0</v>
      </c>
      <c r="Q2943" s="169">
        <f>IFERROR(MATCH(J2943,'Final List'!$N$4:$N$252,0),0)</f>
        <v>0</v>
      </c>
      <c r="R2943" s="169">
        <f>IFERROR(MATCH(J2943,'Final List'!$P$4:$P$252,0),0)</f>
        <v>0</v>
      </c>
      <c r="S2943" s="169">
        <f t="shared" si="183"/>
        <v>0</v>
      </c>
      <c r="V2943" s="169" t="str">
        <f t="shared" si="180"/>
        <v>NITRO BB 1</v>
      </c>
      <c r="W2943" s="169" t="s">
        <v>2715</v>
      </c>
    </row>
    <row r="2944" spans="2:23" x14ac:dyDescent="0.25">
      <c r="B2944" s="169" t="s">
        <v>258</v>
      </c>
      <c r="C2944" s="169" t="s">
        <v>45</v>
      </c>
      <c r="D2944" s="169" t="s">
        <v>9156</v>
      </c>
      <c r="E2944" s="169" t="s">
        <v>6143</v>
      </c>
      <c r="F2944" s="245" t="str">
        <f t="shared" si="182"/>
        <v>Dhoz 71</v>
      </c>
      <c r="G2944" s="169" t="s">
        <v>12067</v>
      </c>
      <c r="I2944" s="169" t="str">
        <f t="shared" si="184"/>
        <v>L10_DPVE_092E_DE_ISL</v>
      </c>
      <c r="J2944" s="169" t="s">
        <v>12349</v>
      </c>
      <c r="K2944" s="169">
        <f>IFERROR(MATCH(J2944,'Final List'!$B$4:$B$252,0),0)</f>
        <v>0</v>
      </c>
      <c r="L2944" s="169">
        <f>IFERROR(MATCH(J2944,'Final List'!$D$4:$D$252,0),0)</f>
        <v>0</v>
      </c>
      <c r="M2944" s="169">
        <f>IFERROR(MATCH(J2944,'Final List'!$F$4:$F$251,0),0)</f>
        <v>0</v>
      </c>
      <c r="N2944" s="169">
        <f>IFERROR(MATCH(J2944,'Final List'!$H$4:$H$252,0),0)</f>
        <v>0</v>
      </c>
      <c r="O2944" s="169">
        <f>IFERROR(MATCH(J2944,'Final List'!$J$4:$J$252,0),0)</f>
        <v>0</v>
      </c>
      <c r="P2944" s="169">
        <f>IFERROR(MATCH(J2944,'Final List'!$L$4:$L$252,0),0)</f>
        <v>0</v>
      </c>
      <c r="Q2944" s="169">
        <f>IFERROR(MATCH(J2944,'Final List'!$N$4:$N$252,0),0)</f>
        <v>0</v>
      </c>
      <c r="R2944" s="169">
        <f>IFERROR(MATCH(J2944,'Final List'!$P$4:$P$252,0),0)</f>
        <v>0</v>
      </c>
      <c r="S2944" s="169">
        <f t="shared" si="183"/>
        <v>0</v>
      </c>
      <c r="V2944" s="169" t="str">
        <f t="shared" si="180"/>
        <v>NITRO BC 2</v>
      </c>
      <c r="W2944" s="169" t="s">
        <v>8896</v>
      </c>
    </row>
    <row r="2945" spans="2:23" x14ac:dyDescent="0.25">
      <c r="B2945" s="169" t="s">
        <v>1166</v>
      </c>
      <c r="C2945" s="169" t="s">
        <v>45</v>
      </c>
      <c r="D2945" s="169" t="s">
        <v>164</v>
      </c>
      <c r="E2945" s="169" t="s">
        <v>19</v>
      </c>
      <c r="F2945" s="245" t="str">
        <f t="shared" si="182"/>
        <v>DVR 72</v>
      </c>
      <c r="G2945" s="169" t="s">
        <v>447</v>
      </c>
      <c r="I2945" s="169" t="str">
        <f t="shared" si="184"/>
        <v>L11_DPVE_064E_RAISE</v>
      </c>
      <c r="J2945" s="169" t="s">
        <v>12354</v>
      </c>
      <c r="K2945" s="169">
        <f>IFERROR(MATCH(J2945,'Final List'!$B$4:$B$252,0),0)</f>
        <v>0</v>
      </c>
      <c r="L2945" s="169">
        <f>IFERROR(MATCH(J2945,'Final List'!$D$4:$D$252,0),0)</f>
        <v>0</v>
      </c>
      <c r="M2945" s="169">
        <f>IFERROR(MATCH(J2945,'Final List'!$F$4:$F$251,0),0)</f>
        <v>0</v>
      </c>
      <c r="N2945" s="169">
        <f>IFERROR(MATCH(J2945,'Final List'!$H$4:$H$252,0),0)</f>
        <v>0</v>
      </c>
      <c r="O2945" s="169">
        <f>IFERROR(MATCH(J2945,'Final List'!$J$4:$J$252,0),0)</f>
        <v>0</v>
      </c>
      <c r="P2945" s="169">
        <f>IFERROR(MATCH(J2945,'Final List'!$L$4:$L$252,0),0)</f>
        <v>0</v>
      </c>
      <c r="Q2945" s="169">
        <f>IFERROR(MATCH(J2945,'Final List'!$N$4:$N$252,0),0)</f>
        <v>0</v>
      </c>
      <c r="R2945" s="169">
        <f>IFERROR(MATCH(J2945,'Final List'!$P$4:$P$252,0),0)</f>
        <v>0</v>
      </c>
      <c r="S2945" s="169">
        <f t="shared" si="183"/>
        <v>0</v>
      </c>
      <c r="V2945" s="169" t="str">
        <f t="shared" si="180"/>
        <v>COMAINGKING 1</v>
      </c>
      <c r="W2945" s="169" t="s">
        <v>2715</v>
      </c>
    </row>
    <row r="2946" spans="2:23" x14ac:dyDescent="0.25">
      <c r="B2946" s="169" t="s">
        <v>258</v>
      </c>
      <c r="C2946" s="169" t="s">
        <v>43</v>
      </c>
      <c r="D2946" s="169" t="s">
        <v>195</v>
      </c>
      <c r="E2946" s="169" t="s">
        <v>61</v>
      </c>
      <c r="F2946" s="245" t="str">
        <f t="shared" si="182"/>
        <v>Dhoz 71</v>
      </c>
      <c r="G2946" s="169" t="s">
        <v>12244</v>
      </c>
      <c r="I2946" s="169" t="str">
        <f t="shared" si="184"/>
        <v>L10_GHVSPLIT_008W_DW</v>
      </c>
      <c r="J2946" s="169" t="s">
        <v>12353</v>
      </c>
      <c r="K2946" s="169">
        <f>IFERROR(MATCH(J2946,'Final List'!$B$4:$B$252,0),0)</f>
        <v>0</v>
      </c>
      <c r="L2946" s="169">
        <f>IFERROR(MATCH(J2946,'Final List'!$D$4:$D$252,0),0)</f>
        <v>0</v>
      </c>
      <c r="M2946" s="169">
        <f>IFERROR(MATCH(J2946,'Final List'!$F$4:$F$251,0),0)</f>
        <v>0</v>
      </c>
      <c r="N2946" s="169">
        <f>IFERROR(MATCH(J2946,'Final List'!$H$4:$H$252,0),0)</f>
        <v>0</v>
      </c>
      <c r="O2946" s="169">
        <f>IFERROR(MATCH(J2946,'Final List'!$J$4:$J$252,0),0)</f>
        <v>0</v>
      </c>
      <c r="P2946" s="169">
        <f>IFERROR(MATCH(J2946,'Final List'!$L$4:$L$252,0),0)</f>
        <v>0</v>
      </c>
      <c r="Q2946" s="169">
        <f>IFERROR(MATCH(J2946,'Final List'!$N$4:$N$252,0),0)</f>
        <v>0</v>
      </c>
      <c r="R2946" s="169">
        <f>IFERROR(MATCH(J2946,'Final List'!$P$4:$P$252,0),0)</f>
        <v>0</v>
      </c>
      <c r="S2946" s="169">
        <f t="shared" si="183"/>
        <v>0</v>
      </c>
      <c r="V2946" s="169" t="str">
        <f t="shared" si="180"/>
        <v>NITRO AY</v>
      </c>
      <c r="W2946" s="169" t="s">
        <v>8896</v>
      </c>
    </row>
    <row r="2947" spans="2:23" x14ac:dyDescent="0.25">
      <c r="B2947" s="169" t="s">
        <v>1166</v>
      </c>
      <c r="C2947" s="169" t="s">
        <v>45</v>
      </c>
      <c r="D2947" s="169" t="s">
        <v>5872</v>
      </c>
      <c r="E2947" s="169" t="s">
        <v>19</v>
      </c>
      <c r="F2947" s="245" t="str">
        <f t="shared" ref="F2947:F3010" si="185">IF(OR(E2947="XCN",E2947="DE",E2947="DW",E2947="DN",E2947="XCS",E2947="XCE",E2947="XCW",E2947="SUMP",E2947="BYPASS",E2947="CHAMBER",E2947="DRAIN HOLE",E2947="DRILLING CHAMBER",E2947="DE_ISL",E2947="DW_ISL",E2947="REHAB"),"Dhoz 71",IF(OR(E2947="RAISE",E2947="RAISE_ISL"),"DVR 72",IF(E2947="ALIMAK","DVA 73",IF(E2947="WINZE","DVW 74",IF(E2947="SHAFT","DVS 75",IF(AND(E2947="WINZE STOPE",T2947="S"),"RobC 80",IF(AND(E2947="STOPE",T2947="S"),"StpS 77",IF(AND(E2947="WINZE STOPE",T2947="L"),"RobC 80",IF(AND(E2947="STOPE",T2947="L"),"StpL 78",IF(AND(E2947="WINZE STOPE PREP",T2947="S"),"RobC 80",IF(AND(E2947="STOPE PREP",T2947="S"),"StpS 77",IF(AND(E2947="WINZE STOPE PREP",T2947="L"),"RobC 80",IF(AND(E2947="STOPE PREP",T2947="L"),"StpL 78",IF(AND(E2947="ROBBING",T2947="L"),"RobC 80",IF(AND(E2947="ROBBING",T2947="S"),"RobS 79",0)))))))))))))))</f>
        <v>DVR 72</v>
      </c>
      <c r="G2947" s="169" t="s">
        <v>862</v>
      </c>
      <c r="H2947" s="169" t="s">
        <v>447</v>
      </c>
      <c r="I2947" s="169" t="str">
        <f t="shared" si="184"/>
        <v>L11_DPVE_076E_RAISE</v>
      </c>
      <c r="J2947" s="169" t="s">
        <v>12360</v>
      </c>
      <c r="K2947" s="169">
        <f>IFERROR(MATCH(J2947,'Final List'!$B$4:$B$252,0),0)</f>
        <v>0</v>
      </c>
      <c r="L2947" s="169">
        <f>IFERROR(MATCH(J2947,'Final List'!$D$4:$D$252,0),0)</f>
        <v>0</v>
      </c>
      <c r="M2947" s="169">
        <f>IFERROR(MATCH(J2947,'Final List'!$F$4:$F$251,0),0)</f>
        <v>0</v>
      </c>
      <c r="N2947" s="169">
        <f>IFERROR(MATCH(J2947,'Final List'!$H$4:$H$252,0),0)</f>
        <v>0</v>
      </c>
      <c r="O2947" s="169">
        <f>IFERROR(MATCH(J2947,'Final List'!$J$4:$J$252,0),0)</f>
        <v>0</v>
      </c>
      <c r="P2947" s="169">
        <f>IFERROR(MATCH(J2947,'Final List'!$L$4:$L$252,0),0)</f>
        <v>0</v>
      </c>
      <c r="Q2947" s="169">
        <f>IFERROR(MATCH(J2947,'Final List'!$N$4:$N$252,0),0)</f>
        <v>0</v>
      </c>
      <c r="R2947" s="169">
        <f>IFERROR(MATCH(J2947,'Final List'!$P$4:$P$252,0),0)</f>
        <v>0</v>
      </c>
      <c r="S2947" s="169">
        <f t="shared" ref="S2947:S3010" si="186">SUM(K2947:R2947)</f>
        <v>0</v>
      </c>
      <c r="V2947" s="169" t="str">
        <f t="shared" si="180"/>
        <v>COMAINGKING 1</v>
      </c>
      <c r="W2947" s="169" t="s">
        <v>2715</v>
      </c>
    </row>
    <row r="2948" spans="2:23" x14ac:dyDescent="0.25">
      <c r="B2948" s="169" t="s">
        <v>1166</v>
      </c>
      <c r="C2948" s="169" t="s">
        <v>45</v>
      </c>
      <c r="D2948" s="169" t="s">
        <v>175</v>
      </c>
      <c r="E2948" s="169" t="s">
        <v>19</v>
      </c>
      <c r="F2948" s="245" t="str">
        <f t="shared" si="185"/>
        <v>DVR 72</v>
      </c>
      <c r="G2948" s="169" t="s">
        <v>10890</v>
      </c>
      <c r="I2948" s="169" t="str">
        <f t="shared" si="184"/>
        <v>L11_DPVE_060E_RAISE</v>
      </c>
      <c r="J2948" s="169" t="s">
        <v>12361</v>
      </c>
      <c r="K2948" s="169">
        <f>IFERROR(MATCH(J2948,'Final List'!$B$4:$B$252,0),0)</f>
        <v>0</v>
      </c>
      <c r="L2948" s="169">
        <f>IFERROR(MATCH(J2948,'Final List'!$D$4:$D$252,0),0)</f>
        <v>0</v>
      </c>
      <c r="M2948" s="169">
        <f>IFERROR(MATCH(J2948,'Final List'!$F$4:$F$251,0),0)</f>
        <v>0</v>
      </c>
      <c r="N2948" s="169">
        <f>IFERROR(MATCH(J2948,'Final List'!$H$4:$H$252,0),0)</f>
        <v>0</v>
      </c>
      <c r="O2948" s="169">
        <f>IFERROR(MATCH(J2948,'Final List'!$J$4:$J$252,0),0)</f>
        <v>0</v>
      </c>
      <c r="P2948" s="169">
        <f>IFERROR(MATCH(J2948,'Final List'!$L$4:$L$252,0),0)</f>
        <v>0</v>
      </c>
      <c r="Q2948" s="169">
        <f>IFERROR(MATCH(J2948,'Final List'!$N$4:$N$252,0),0)</f>
        <v>0</v>
      </c>
      <c r="R2948" s="169">
        <f>IFERROR(MATCH(J2948,'Final List'!$P$4:$P$252,0),0)</f>
        <v>0</v>
      </c>
      <c r="S2948" s="169">
        <f t="shared" si="186"/>
        <v>0</v>
      </c>
      <c r="V2948" s="169" t="str">
        <f t="shared" si="180"/>
        <v>MARTINEZ, DN 1</v>
      </c>
      <c r="W2948" s="169" t="s">
        <v>2715</v>
      </c>
    </row>
    <row r="2949" spans="2:23" x14ac:dyDescent="0.25">
      <c r="B2949" s="169" t="s">
        <v>1167</v>
      </c>
      <c r="C2949" s="169" t="s">
        <v>87</v>
      </c>
      <c r="D2949" s="169" t="s">
        <v>5614</v>
      </c>
      <c r="E2949" s="169" t="s">
        <v>20</v>
      </c>
      <c r="F2949" s="245" t="str">
        <f t="shared" si="185"/>
        <v>DVW 74</v>
      </c>
      <c r="G2949" s="169" t="s">
        <v>4068</v>
      </c>
      <c r="I2949" s="169" t="str">
        <f t="shared" si="184"/>
        <v>L12_NONE_055E_WINZE</v>
      </c>
      <c r="J2949" s="169" t="s">
        <v>12362</v>
      </c>
      <c r="K2949" s="169">
        <f>IFERROR(MATCH(J2949,'Final List'!$B$4:$B$252,0),0)</f>
        <v>0</v>
      </c>
      <c r="L2949" s="169">
        <f>IFERROR(MATCH(J2949,'Final List'!$D$4:$D$252,0),0)</f>
        <v>0</v>
      </c>
      <c r="M2949" s="169">
        <f>IFERROR(MATCH(J2949,'Final List'!$F$4:$F$251,0),0)</f>
        <v>0</v>
      </c>
      <c r="N2949" s="169">
        <f>IFERROR(MATCH(J2949,'Final List'!$H$4:$H$252,0),0)</f>
        <v>0</v>
      </c>
      <c r="O2949" s="169">
        <f>IFERROR(MATCH(J2949,'Final List'!$J$4:$J$252,0),0)</f>
        <v>0</v>
      </c>
      <c r="P2949" s="169">
        <f>IFERROR(MATCH(J2949,'Final List'!$L$4:$L$252,0),0)</f>
        <v>0</v>
      </c>
      <c r="Q2949" s="169">
        <f>IFERROR(MATCH(J2949,'Final List'!$N$4:$N$252,0),0)</f>
        <v>0</v>
      </c>
      <c r="R2949" s="169">
        <f>IFERROR(MATCH(J2949,'Final List'!$P$4:$P$252,0),0)</f>
        <v>0</v>
      </c>
      <c r="S2949" s="169">
        <f t="shared" si="186"/>
        <v>0</v>
      </c>
      <c r="V2949" s="169" t="str">
        <f t="shared" si="180"/>
        <v>MAPAYO</v>
      </c>
      <c r="W2949" s="169" t="s">
        <v>2714</v>
      </c>
    </row>
    <row r="2950" spans="2:23" x14ac:dyDescent="0.25">
      <c r="B2950" s="169" t="s">
        <v>258</v>
      </c>
      <c r="C2950" s="169" t="s">
        <v>87</v>
      </c>
      <c r="D2950" s="169" t="s">
        <v>7301</v>
      </c>
      <c r="E2950" s="169" t="s">
        <v>37</v>
      </c>
      <c r="F2950" s="245" t="str">
        <f t="shared" si="185"/>
        <v>Dhoz 71</v>
      </c>
      <c r="G2950" s="169" t="s">
        <v>12065</v>
      </c>
      <c r="H2950" s="169" t="s">
        <v>12409</v>
      </c>
      <c r="I2950" s="169" t="str">
        <f t="shared" si="184"/>
        <v>L10_NONE_010W_XCN</v>
      </c>
      <c r="J2950" s="169" t="s">
        <v>12367</v>
      </c>
      <c r="K2950" s="169">
        <f>IFERROR(MATCH(J2950,'Final List'!$B$4:$B$252,0),0)</f>
        <v>0</v>
      </c>
      <c r="L2950" s="169">
        <f>IFERROR(MATCH(J2950,'Final List'!$D$4:$D$252,0),0)</f>
        <v>0</v>
      </c>
      <c r="M2950" s="169">
        <f>IFERROR(MATCH(J2950,'Final List'!$F$4:$F$251,0),0)</f>
        <v>0</v>
      </c>
      <c r="N2950" s="169">
        <f>IFERROR(MATCH(J2950,'Final List'!$H$4:$H$252,0),0)</f>
        <v>0</v>
      </c>
      <c r="O2950" s="169">
        <f>IFERROR(MATCH(J2950,'Final List'!$J$4:$J$252,0),0)</f>
        <v>0</v>
      </c>
      <c r="P2950" s="169">
        <f>IFERROR(MATCH(J2950,'Final List'!$L$4:$L$252,0),0)</f>
        <v>0</v>
      </c>
      <c r="Q2950" s="169">
        <f>IFERROR(MATCH(J2950,'Final List'!$N$4:$N$252,0),0)</f>
        <v>0</v>
      </c>
      <c r="R2950" s="169">
        <f>IFERROR(MATCH(J2950,'Final List'!$P$4:$P$252,0),0)</f>
        <v>0</v>
      </c>
      <c r="S2950" s="169">
        <f t="shared" si="186"/>
        <v>0</v>
      </c>
      <c r="V2950" s="169" t="str">
        <f t="shared" si="180"/>
        <v>LARGO</v>
      </c>
      <c r="W2950" s="169" t="s">
        <v>8898</v>
      </c>
    </row>
    <row r="2951" spans="2:23" x14ac:dyDescent="0.25">
      <c r="B2951" s="169" t="s">
        <v>95</v>
      </c>
      <c r="C2951" s="169" t="s">
        <v>38</v>
      </c>
      <c r="D2951" s="169" t="s">
        <v>5912</v>
      </c>
      <c r="E2951" s="169" t="s">
        <v>6154</v>
      </c>
      <c r="F2951" s="245" t="str">
        <f t="shared" si="185"/>
        <v>Dhoz 71</v>
      </c>
      <c r="G2951" s="169" t="s">
        <v>583</v>
      </c>
      <c r="I2951" s="169" t="str">
        <f t="shared" si="184"/>
        <v>L08_GHV_019E_DW_ISL</v>
      </c>
      <c r="J2951" s="169" t="s">
        <v>12369</v>
      </c>
      <c r="K2951" s="169">
        <f>IFERROR(MATCH(J2951,'Final List'!$B$4:$B$252,0),0)</f>
        <v>0</v>
      </c>
      <c r="L2951" s="169">
        <f>IFERROR(MATCH(J2951,'Final List'!$D$4:$D$252,0),0)</f>
        <v>0</v>
      </c>
      <c r="M2951" s="169">
        <f>IFERROR(MATCH(J2951,'Final List'!$F$4:$F$251,0),0)</f>
        <v>0</v>
      </c>
      <c r="N2951" s="169">
        <f>IFERROR(MATCH(J2951,'Final List'!$H$4:$H$252,0),0)</f>
        <v>0</v>
      </c>
      <c r="O2951" s="169">
        <f>IFERROR(MATCH(J2951,'Final List'!$J$4:$J$252,0),0)</f>
        <v>0</v>
      </c>
      <c r="P2951" s="169">
        <f>IFERROR(MATCH(J2951,'Final List'!$L$4:$L$252,0),0)</f>
        <v>0</v>
      </c>
      <c r="Q2951" s="169">
        <f>IFERROR(MATCH(J2951,'Final List'!$N$4:$N$252,0),0)</f>
        <v>0</v>
      </c>
      <c r="R2951" s="169">
        <f>IFERROR(MATCH(J2951,'Final List'!$P$4:$P$252,0),0)</f>
        <v>0</v>
      </c>
      <c r="S2951" s="169">
        <f t="shared" si="186"/>
        <v>0</v>
      </c>
      <c r="V2951" s="169" t="str">
        <f t="shared" si="180"/>
        <v>VILLARANTE 1</v>
      </c>
      <c r="W2951" s="169" t="s">
        <v>8895</v>
      </c>
    </row>
    <row r="2952" spans="2:23" x14ac:dyDescent="0.25">
      <c r="B2952" s="169" t="s">
        <v>258</v>
      </c>
      <c r="C2952" s="169" t="s">
        <v>56</v>
      </c>
      <c r="D2952" s="169" t="s">
        <v>176</v>
      </c>
      <c r="E2952" s="169" t="s">
        <v>6154</v>
      </c>
      <c r="F2952" s="245" t="str">
        <f t="shared" si="185"/>
        <v>Dhoz 71</v>
      </c>
      <c r="G2952" s="319" t="s">
        <v>12197</v>
      </c>
      <c r="I2952" s="169" t="str">
        <f>CONCATENATE(B2952,"_",C2952,"_",D2952,"_",E2952)</f>
        <v>L10_GHVFW_057E_DW_ISL</v>
      </c>
      <c r="J2952" s="169" t="s">
        <v>12370</v>
      </c>
      <c r="K2952" s="169">
        <f>IFERROR(MATCH(J2952,'Final List'!$B$4:$B$252,0),0)</f>
        <v>0</v>
      </c>
      <c r="L2952" s="169">
        <f>IFERROR(MATCH(J2952,'Final List'!$D$4:$D$252,0),0)</f>
        <v>0</v>
      </c>
      <c r="M2952" s="169">
        <f>IFERROR(MATCH(J2952,'Final List'!$F$4:$F$251,0),0)</f>
        <v>0</v>
      </c>
      <c r="N2952" s="169">
        <f>IFERROR(MATCH(J2952,'Final List'!$H$4:$H$252,0),0)</f>
        <v>0</v>
      </c>
      <c r="O2952" s="169">
        <f>IFERROR(MATCH(J2952,'Final List'!$J$4:$J$252,0),0)</f>
        <v>0</v>
      </c>
      <c r="P2952" s="169">
        <f>IFERROR(MATCH(J2952,'Final List'!$L$4:$L$252,0),0)</f>
        <v>0</v>
      </c>
      <c r="Q2952" s="169">
        <f>IFERROR(MATCH(J2952,'Final List'!$N$4:$N$252,0),0)</f>
        <v>0</v>
      </c>
      <c r="R2952" s="169">
        <f>IFERROR(MATCH(J2952,'Final List'!$P$4:$P$252,0),0)</f>
        <v>0</v>
      </c>
      <c r="S2952" s="169">
        <f t="shared" si="186"/>
        <v>0</v>
      </c>
      <c r="V2952" s="169" t="str">
        <f t="shared" si="180"/>
        <v>NITRO BF 2</v>
      </c>
      <c r="W2952" s="169" t="s">
        <v>2708</v>
      </c>
    </row>
    <row r="2953" spans="2:23" x14ac:dyDescent="0.25">
      <c r="B2953" s="169" t="s">
        <v>1167</v>
      </c>
      <c r="C2953" s="169" t="s">
        <v>43</v>
      </c>
      <c r="D2953" s="169" t="s">
        <v>169</v>
      </c>
      <c r="E2953" s="169" t="s">
        <v>60</v>
      </c>
      <c r="F2953" s="245" t="str">
        <f t="shared" si="185"/>
        <v>Dhoz 71</v>
      </c>
      <c r="G2953" s="169" t="s">
        <v>12280</v>
      </c>
      <c r="H2953" s="169" t="s">
        <v>337</v>
      </c>
      <c r="I2953" s="169" t="str">
        <f t="shared" si="184"/>
        <v>L12_GHVSPLIT_065E_DE</v>
      </c>
      <c r="J2953" s="169" t="s">
        <v>12378</v>
      </c>
      <c r="K2953" s="169">
        <f>IFERROR(MATCH(J2953,'Final List'!$B$4:$B$252,0),0)</f>
        <v>0</v>
      </c>
      <c r="L2953" s="169">
        <f>IFERROR(MATCH(J2953,'Final List'!$D$4:$D$252,0),0)</f>
        <v>0</v>
      </c>
      <c r="M2953" s="169">
        <f>IFERROR(MATCH(J2953,'Final List'!$F$4:$F$251,0),0)</f>
        <v>0</v>
      </c>
      <c r="N2953" s="169">
        <f>IFERROR(MATCH(J2953,'Final List'!$H$4:$H$252,0),0)</f>
        <v>0</v>
      </c>
      <c r="O2953" s="169">
        <f>IFERROR(MATCH(J2953,'Final List'!$J$4:$J$252,0),0)</f>
        <v>0</v>
      </c>
      <c r="P2953" s="169">
        <f>IFERROR(MATCH(J2953,'Final List'!$L$4:$L$252,0),0)</f>
        <v>0</v>
      </c>
      <c r="Q2953" s="169">
        <f>IFERROR(MATCH(J2953,'Final List'!$N$4:$N$252,0),0)</f>
        <v>0</v>
      </c>
      <c r="R2953" s="169">
        <f>IFERROR(MATCH(J2953,'Final List'!$P$4:$P$252,0),0)</f>
        <v>0</v>
      </c>
      <c r="S2953" s="169">
        <f t="shared" si="186"/>
        <v>0</v>
      </c>
      <c r="V2953" s="169" t="str">
        <f t="shared" si="180"/>
        <v>BALANGHIG 2</v>
      </c>
      <c r="W2953" s="169" t="s">
        <v>8896</v>
      </c>
    </row>
    <row r="2954" spans="2:23" x14ac:dyDescent="0.25">
      <c r="B2954" s="169" t="s">
        <v>1166</v>
      </c>
      <c r="C2954" s="169" t="s">
        <v>45</v>
      </c>
      <c r="D2954" s="169" t="s">
        <v>131</v>
      </c>
      <c r="E2954" s="169" t="s">
        <v>19</v>
      </c>
      <c r="F2954" s="245" t="str">
        <f t="shared" si="185"/>
        <v>DVR 72</v>
      </c>
      <c r="G2954" s="169" t="s">
        <v>452</v>
      </c>
      <c r="H2954" s="169" t="s">
        <v>11884</v>
      </c>
      <c r="I2954" s="169" t="str">
        <f t="shared" si="184"/>
        <v>L11_DPVE_011E_RAISE</v>
      </c>
      <c r="J2954" s="169" t="s">
        <v>12379</v>
      </c>
      <c r="K2954" s="169">
        <f>IFERROR(MATCH(J2954,'Final List'!$B$4:$B$252,0),0)</f>
        <v>0</v>
      </c>
      <c r="L2954" s="169">
        <f>IFERROR(MATCH(J2954,'Final List'!$D$4:$D$252,0),0)</f>
        <v>0</v>
      </c>
      <c r="M2954" s="169">
        <f>IFERROR(MATCH(J2954,'Final List'!$F$4:$F$251,0),0)</f>
        <v>0</v>
      </c>
      <c r="N2954" s="169">
        <f>IFERROR(MATCH(J2954,'Final List'!$H$4:$H$252,0),0)</f>
        <v>0</v>
      </c>
      <c r="O2954" s="169">
        <f>IFERROR(MATCH(J2954,'Final List'!$J$4:$J$252,0),0)</f>
        <v>0</v>
      </c>
      <c r="P2954" s="169">
        <f>IFERROR(MATCH(J2954,'Final List'!$L$4:$L$252,0),0)</f>
        <v>0</v>
      </c>
      <c r="Q2954" s="169">
        <f>IFERROR(MATCH(J2954,'Final List'!$N$4:$N$252,0),0)</f>
        <v>0</v>
      </c>
      <c r="R2954" s="169">
        <f>IFERROR(MATCH(J2954,'Final List'!$P$4:$P$252,0),0)</f>
        <v>0</v>
      </c>
      <c r="S2954" s="169">
        <f t="shared" si="186"/>
        <v>0</v>
      </c>
      <c r="V2954" s="169" t="str">
        <f t="shared" si="180"/>
        <v>DUHIG, R</v>
      </c>
      <c r="W2954" s="169" t="s">
        <v>2715</v>
      </c>
    </row>
    <row r="2955" spans="2:23" x14ac:dyDescent="0.25">
      <c r="B2955" s="169" t="s">
        <v>12320</v>
      </c>
      <c r="C2955" s="169" t="s">
        <v>43</v>
      </c>
      <c r="D2955" s="169" t="s">
        <v>5614</v>
      </c>
      <c r="E2955" s="169" t="s">
        <v>60</v>
      </c>
      <c r="F2955" s="245" t="str">
        <f t="shared" si="185"/>
        <v>Dhoz 71</v>
      </c>
      <c r="G2955" s="169" t="s">
        <v>389</v>
      </c>
      <c r="I2955" s="169" t="str">
        <f t="shared" si="184"/>
        <v>L425_GHVSPLIT_055E_DE</v>
      </c>
      <c r="J2955" s="169" t="s">
        <v>12380</v>
      </c>
      <c r="K2955" s="169">
        <f>IFERROR(MATCH(J2955,'Final List'!$B$4:$B$252,0),0)</f>
        <v>0</v>
      </c>
      <c r="L2955" s="169">
        <f>IFERROR(MATCH(J2955,'Final List'!$D$4:$D$252,0),0)</f>
        <v>0</v>
      </c>
      <c r="M2955" s="169">
        <f>IFERROR(MATCH(J2955,'Final List'!$F$4:$F$251,0),0)</f>
        <v>0</v>
      </c>
      <c r="N2955" s="169">
        <f>IFERROR(MATCH(J2955,'Final List'!$H$4:$H$252,0),0)</f>
        <v>0</v>
      </c>
      <c r="O2955" s="169">
        <f>IFERROR(MATCH(J2955,'Final List'!$J$4:$J$252,0),0)</f>
        <v>0</v>
      </c>
      <c r="P2955" s="169">
        <f>IFERROR(MATCH(J2955,'Final List'!$L$4:$L$252,0),0)</f>
        <v>0</v>
      </c>
      <c r="Q2955" s="169">
        <f>IFERROR(MATCH(J2955,'Final List'!$N$4:$N$252,0),0)</f>
        <v>0</v>
      </c>
      <c r="R2955" s="169">
        <f>IFERROR(MATCH(J2955,'Final List'!$P$4:$P$252,0),0)</f>
        <v>0</v>
      </c>
      <c r="S2955" s="169">
        <f t="shared" si="186"/>
        <v>0</v>
      </c>
      <c r="V2955" s="169" t="str">
        <f t="shared" si="180"/>
        <v>CAPPUYO 1</v>
      </c>
      <c r="W2955" s="169" t="s">
        <v>8896</v>
      </c>
    </row>
    <row r="2956" spans="2:23" x14ac:dyDescent="0.25">
      <c r="B2956" s="169" t="s">
        <v>258</v>
      </c>
      <c r="C2956" s="169" t="s">
        <v>87</v>
      </c>
      <c r="D2956" s="169" t="s">
        <v>108</v>
      </c>
      <c r="E2956" s="169" t="s">
        <v>12382</v>
      </c>
      <c r="F2956" s="245" t="s">
        <v>14362</v>
      </c>
      <c r="G2956" s="169" t="s">
        <v>12064</v>
      </c>
      <c r="I2956" s="169" t="str">
        <f t="shared" si="184"/>
        <v>L10_NONE_007W_VENTDRIVE</v>
      </c>
      <c r="J2956" s="169" t="s">
        <v>12381</v>
      </c>
      <c r="K2956" s="169">
        <f>IFERROR(MATCH(J2956,'Final List'!$B$4:$B$252,0),0)</f>
        <v>0</v>
      </c>
      <c r="L2956" s="169">
        <f>IFERROR(MATCH(J2956,'Final List'!$D$4:$D$252,0),0)</f>
        <v>0</v>
      </c>
      <c r="M2956" s="169">
        <f>IFERROR(MATCH(J2956,'Final List'!$F$4:$F$251,0),0)</f>
        <v>0</v>
      </c>
      <c r="N2956" s="169">
        <f>IFERROR(MATCH(J2956,'Final List'!$H$4:$H$252,0),0)</f>
        <v>0</v>
      </c>
      <c r="O2956" s="169">
        <f>IFERROR(MATCH(J2956,'Final List'!$J$4:$J$252,0),0)</f>
        <v>0</v>
      </c>
      <c r="P2956" s="169">
        <f>IFERROR(MATCH(J2956,'Final List'!$L$4:$L$252,0),0)</f>
        <v>0</v>
      </c>
      <c r="Q2956" s="169">
        <f>IFERROR(MATCH(J2956,'Final List'!$N$4:$N$252,0),0)</f>
        <v>0</v>
      </c>
      <c r="R2956" s="169">
        <f>IFERROR(MATCH(J2956,'Final List'!$P$4:$P$252,0),0)</f>
        <v>0</v>
      </c>
      <c r="S2956" s="169">
        <f t="shared" si="186"/>
        <v>0</v>
      </c>
      <c r="V2956" s="169" t="str">
        <f t="shared" ref="V2956:V3031" si="187">IF(H2956="",G2956,H2956)</f>
        <v>NITRO AX</v>
      </c>
      <c r="W2956" s="169" t="s">
        <v>2714</v>
      </c>
    </row>
    <row r="2957" spans="2:23" x14ac:dyDescent="0.25">
      <c r="B2957" s="169" t="s">
        <v>1166</v>
      </c>
      <c r="C2957" s="169" t="s">
        <v>39</v>
      </c>
      <c r="D2957" s="169" t="s">
        <v>289</v>
      </c>
      <c r="E2957" s="169" t="s">
        <v>19</v>
      </c>
      <c r="F2957" s="245" t="str">
        <f t="shared" si="185"/>
        <v>DVR 72</v>
      </c>
      <c r="G2957" s="169" t="s">
        <v>10758</v>
      </c>
      <c r="I2957" s="169" t="str">
        <f t="shared" si="184"/>
        <v>L11_JVHW_059E_RAISE</v>
      </c>
      <c r="J2957" s="169" t="s">
        <v>12384</v>
      </c>
      <c r="K2957" s="169">
        <f>IFERROR(MATCH(J2957,'Final List'!$B$4:$B$252,0),0)</f>
        <v>0</v>
      </c>
      <c r="L2957" s="169">
        <f>IFERROR(MATCH(J2957,'Final List'!$D$4:$D$252,0),0)</f>
        <v>0</v>
      </c>
      <c r="M2957" s="169">
        <f>IFERROR(MATCH(J2957,'Final List'!$F$4:$F$251,0),0)</f>
        <v>0</v>
      </c>
      <c r="N2957" s="169">
        <f>IFERROR(MATCH(J2957,'Final List'!$H$4:$H$252,0),0)</f>
        <v>0</v>
      </c>
      <c r="O2957" s="169">
        <f>IFERROR(MATCH(J2957,'Final List'!$J$4:$J$252,0),0)</f>
        <v>0</v>
      </c>
      <c r="P2957" s="169">
        <f>IFERROR(MATCH(J2957,'Final List'!$L$4:$L$252,0),0)</f>
        <v>0</v>
      </c>
      <c r="Q2957" s="169">
        <f>IFERROR(MATCH(J2957,'Final List'!$N$4:$N$252,0),0)</f>
        <v>0</v>
      </c>
      <c r="R2957" s="169">
        <f>IFERROR(MATCH(J2957,'Final List'!$P$4:$P$252,0),0)</f>
        <v>0</v>
      </c>
      <c r="S2957" s="169">
        <f t="shared" si="186"/>
        <v>0</v>
      </c>
      <c r="V2957" s="169" t="str">
        <f t="shared" si="187"/>
        <v>MARTINEZ, DN</v>
      </c>
      <c r="W2957" s="169" t="s">
        <v>2715</v>
      </c>
    </row>
    <row r="2958" spans="2:23" x14ac:dyDescent="0.25">
      <c r="B2958" s="169" t="s">
        <v>258</v>
      </c>
      <c r="C2958" s="169" t="s">
        <v>45</v>
      </c>
      <c r="D2958" s="169" t="s">
        <v>7223</v>
      </c>
      <c r="E2958" s="169" t="s">
        <v>19</v>
      </c>
      <c r="F2958" s="245" t="str">
        <f t="shared" si="185"/>
        <v>DVR 72</v>
      </c>
      <c r="G2958" s="169" t="s">
        <v>12144</v>
      </c>
      <c r="I2958" s="169" t="str">
        <f t="shared" si="184"/>
        <v>L10_DPVE_002E_RAISE</v>
      </c>
      <c r="J2958" s="169" t="s">
        <v>12385</v>
      </c>
      <c r="K2958" s="169">
        <f>IFERROR(MATCH(J2958,'Final List'!$B$4:$B$252,0),0)</f>
        <v>0</v>
      </c>
      <c r="L2958" s="169">
        <f>IFERROR(MATCH(J2958,'Final List'!$D$4:$D$252,0),0)</f>
        <v>0</v>
      </c>
      <c r="M2958" s="169">
        <f>IFERROR(MATCH(J2958,'Final List'!$F$4:$F$251,0),0)</f>
        <v>0</v>
      </c>
      <c r="N2958" s="169">
        <f>IFERROR(MATCH(J2958,'Final List'!$H$4:$H$252,0),0)</f>
        <v>0</v>
      </c>
      <c r="O2958" s="169">
        <f>IFERROR(MATCH(J2958,'Final List'!$J$4:$J$252,0),0)</f>
        <v>0</v>
      </c>
      <c r="P2958" s="169">
        <f>IFERROR(MATCH(J2958,'Final List'!$L$4:$L$252,0),0)</f>
        <v>0</v>
      </c>
      <c r="Q2958" s="169">
        <f>IFERROR(MATCH(J2958,'Final List'!$N$4:$N$252,0),0)</f>
        <v>0</v>
      </c>
      <c r="R2958" s="169">
        <f>IFERROR(MATCH(J2958,'Final List'!$P$4:$P$252,0),0)</f>
        <v>0</v>
      </c>
      <c r="S2958" s="169">
        <f t="shared" si="186"/>
        <v>0</v>
      </c>
      <c r="V2958" s="169" t="str">
        <f t="shared" si="187"/>
        <v>NITRO BC</v>
      </c>
      <c r="W2958" s="169" t="s">
        <v>2715</v>
      </c>
    </row>
    <row r="2959" spans="2:23" x14ac:dyDescent="0.25">
      <c r="B2959" s="169" t="s">
        <v>95</v>
      </c>
      <c r="C2959" s="169" t="s">
        <v>38</v>
      </c>
      <c r="D2959" s="169" t="s">
        <v>5912</v>
      </c>
      <c r="E2959" s="169" t="s">
        <v>221</v>
      </c>
      <c r="F2959" s="245" t="str">
        <f t="shared" si="185"/>
        <v>RobC 80</v>
      </c>
      <c r="G2959" s="169" t="s">
        <v>583</v>
      </c>
      <c r="I2959" s="169" t="str">
        <f t="shared" si="184"/>
        <v>L08_GHV_019E_WINZE STOPE</v>
      </c>
      <c r="J2959" s="169" t="s">
        <v>12437</v>
      </c>
      <c r="K2959" s="169">
        <f>IFERROR(MATCH(J2959,'Final List'!$B$4:$B$252,0),0)</f>
        <v>0</v>
      </c>
      <c r="L2959" s="169">
        <f>IFERROR(MATCH(J2959,'Final List'!$D$4:$D$252,0),0)</f>
        <v>0</v>
      </c>
      <c r="M2959" s="169">
        <f>IFERROR(MATCH(J2959,'Final List'!$F$4:$F$251,0),0)</f>
        <v>0</v>
      </c>
      <c r="N2959" s="169">
        <f>IFERROR(MATCH(J2959,'Final List'!$H$4:$H$252,0),0)</f>
        <v>0</v>
      </c>
      <c r="O2959" s="169">
        <f>IFERROR(MATCH(J2959,'Final List'!$J$4:$J$252,0),0)</f>
        <v>0</v>
      </c>
      <c r="P2959" s="169">
        <f>IFERROR(MATCH(J2959,'Final List'!$L$4:$L$252,0),0)</f>
        <v>0</v>
      </c>
      <c r="Q2959" s="169">
        <f>IFERROR(MATCH(J2959,'Final List'!$N$4:$N$252,0),0)</f>
        <v>0</v>
      </c>
      <c r="R2959" s="169">
        <f>IFERROR(MATCH(J2959,'Final List'!$P$4:$P$252,0),0)</f>
        <v>0</v>
      </c>
      <c r="S2959" s="169">
        <f t="shared" si="186"/>
        <v>0</v>
      </c>
      <c r="T2959" s="169" t="s">
        <v>68</v>
      </c>
      <c r="V2959" s="169" t="str">
        <f t="shared" si="187"/>
        <v>VILLARANTE 1</v>
      </c>
      <c r="W2959" s="169" t="s">
        <v>2713</v>
      </c>
    </row>
    <row r="2960" spans="2:23" x14ac:dyDescent="0.25">
      <c r="B2960" s="169" t="s">
        <v>1166</v>
      </c>
      <c r="C2960" s="169" t="s">
        <v>38</v>
      </c>
      <c r="D2960" s="169" t="s">
        <v>176</v>
      </c>
      <c r="E2960" s="169" t="s">
        <v>20</v>
      </c>
      <c r="F2960" s="245" t="str">
        <f t="shared" si="185"/>
        <v>DVW 74</v>
      </c>
      <c r="G2960" s="169" t="s">
        <v>11469</v>
      </c>
      <c r="I2960" s="169" t="str">
        <f t="shared" si="184"/>
        <v>L11_GHV_057E_WINZE</v>
      </c>
      <c r="J2960" s="169" t="s">
        <v>12392</v>
      </c>
      <c r="K2960" s="169">
        <f>IFERROR(MATCH(J2960,'Final List'!$B$4:$B$252,0),0)</f>
        <v>0</v>
      </c>
      <c r="L2960" s="169">
        <f>IFERROR(MATCH(J2960,'Final List'!$D$4:$D$252,0),0)</f>
        <v>0</v>
      </c>
      <c r="M2960" s="169">
        <f>IFERROR(MATCH(J2960,'Final List'!$F$4:$F$251,0),0)</f>
        <v>0</v>
      </c>
      <c r="N2960" s="169">
        <f>IFERROR(MATCH(J2960,'Final List'!$H$4:$H$252,0),0)</f>
        <v>0</v>
      </c>
      <c r="O2960" s="169">
        <f>IFERROR(MATCH(J2960,'Final List'!$J$4:$J$252,0),0)</f>
        <v>0</v>
      </c>
      <c r="P2960" s="169">
        <f>IFERROR(MATCH(J2960,'Final List'!$L$4:$L$252,0),0)</f>
        <v>0</v>
      </c>
      <c r="Q2960" s="169">
        <f>IFERROR(MATCH(J2960,'Final List'!$N$4:$N$252,0),0)</f>
        <v>0</v>
      </c>
      <c r="R2960" s="169">
        <f>IFERROR(MATCH(J2960,'Final List'!$P$4:$P$252,0),0)</f>
        <v>0</v>
      </c>
      <c r="S2960" s="169">
        <f t="shared" si="186"/>
        <v>0</v>
      </c>
      <c r="V2960" s="169" t="str">
        <f t="shared" si="187"/>
        <v>MARTINEZ, DN 5</v>
      </c>
      <c r="W2960" s="169" t="s">
        <v>2706</v>
      </c>
    </row>
    <row r="2961" spans="2:23" x14ac:dyDescent="0.25">
      <c r="B2961" s="169" t="s">
        <v>96</v>
      </c>
      <c r="C2961" s="169" t="s">
        <v>87</v>
      </c>
      <c r="D2961" s="169" t="s">
        <v>6139</v>
      </c>
      <c r="E2961" s="169" t="s">
        <v>37</v>
      </c>
      <c r="F2961" s="245" t="str">
        <f t="shared" si="185"/>
        <v>Dhoz 71</v>
      </c>
      <c r="G2961" s="169" t="s">
        <v>1606</v>
      </c>
      <c r="H2961" s="169" t="s">
        <v>1661</v>
      </c>
      <c r="I2961" s="169" t="str">
        <f t="shared" si="184"/>
        <v>L09_NONE_030W_XCN</v>
      </c>
      <c r="J2961" s="169" t="s">
        <v>12393</v>
      </c>
      <c r="K2961" s="169">
        <f>IFERROR(MATCH(J2961,'Final List'!$B$4:$B$252,0),0)</f>
        <v>0</v>
      </c>
      <c r="L2961" s="169">
        <f>IFERROR(MATCH(J2961,'Final List'!$D$4:$D$252,0),0)</f>
        <v>0</v>
      </c>
      <c r="M2961" s="169">
        <f>IFERROR(MATCH(J2961,'Final List'!$F$4:$F$251,0),0)</f>
        <v>0</v>
      </c>
      <c r="N2961" s="169">
        <f>IFERROR(MATCH(J2961,'Final List'!$H$4:$H$252,0),0)</f>
        <v>0</v>
      </c>
      <c r="O2961" s="169">
        <f>IFERROR(MATCH(J2961,'Final List'!$J$4:$J$252,0),0)</f>
        <v>0</v>
      </c>
      <c r="P2961" s="169">
        <f>IFERROR(MATCH(J2961,'Final List'!$L$4:$L$252,0),0)</f>
        <v>0</v>
      </c>
      <c r="Q2961" s="169">
        <f>IFERROR(MATCH(J2961,'Final List'!$N$4:$N$252,0),0)</f>
        <v>0</v>
      </c>
      <c r="R2961" s="169">
        <f>IFERROR(MATCH(J2961,'Final List'!$P$4:$P$252,0),0)</f>
        <v>0</v>
      </c>
      <c r="S2961" s="169">
        <f t="shared" si="186"/>
        <v>0</v>
      </c>
      <c r="V2961" s="169" t="str">
        <f t="shared" si="187"/>
        <v>DELOS REYES V2</v>
      </c>
      <c r="W2961" s="169" t="s">
        <v>8898</v>
      </c>
    </row>
    <row r="2962" spans="2:23" x14ac:dyDescent="0.25">
      <c r="B2962" s="169" t="s">
        <v>258</v>
      </c>
      <c r="C2962" s="169" t="s">
        <v>56</v>
      </c>
      <c r="D2962" s="169" t="s">
        <v>167</v>
      </c>
      <c r="E2962" s="169" t="s">
        <v>221</v>
      </c>
      <c r="F2962" s="245" t="str">
        <f t="shared" si="185"/>
        <v>RobC 80</v>
      </c>
      <c r="G2962" s="169" t="s">
        <v>12197</v>
      </c>
      <c r="I2962" s="169" t="str">
        <f t="shared" si="184"/>
        <v>L10_GHVFW_058E_WINZE STOPE</v>
      </c>
      <c r="J2962" s="169" t="s">
        <v>12472</v>
      </c>
      <c r="K2962" s="169">
        <f>IFERROR(MATCH(J2962,'Final List'!$B$4:$B$252,0),0)</f>
        <v>0</v>
      </c>
      <c r="L2962" s="169">
        <f>IFERROR(MATCH(J2962,'Final List'!$D$4:$D$252,0),0)</f>
        <v>0</v>
      </c>
      <c r="M2962" s="169">
        <f>IFERROR(MATCH(J2962,'Final List'!$F$4:$F$251,0),0)</f>
        <v>0</v>
      </c>
      <c r="N2962" s="169">
        <f>IFERROR(MATCH(J2962,'Final List'!$H$4:$H$252,0),0)</f>
        <v>0</v>
      </c>
      <c r="O2962" s="169">
        <f>IFERROR(MATCH(J2962,'Final List'!$J$4:$J$252,0),0)</f>
        <v>0</v>
      </c>
      <c r="P2962" s="169">
        <f>IFERROR(MATCH(J2962,'Final List'!$L$4:$L$252,0),0)</f>
        <v>0</v>
      </c>
      <c r="Q2962" s="169">
        <f>IFERROR(MATCH(J2962,'Final List'!$N$4:$N$252,0),0)</f>
        <v>0</v>
      </c>
      <c r="R2962" s="169">
        <f>IFERROR(MATCH(J2962,'Final List'!$P$4:$P$252,0),0)</f>
        <v>0</v>
      </c>
      <c r="S2962" s="169">
        <f t="shared" si="186"/>
        <v>0</v>
      </c>
      <c r="T2962" s="169" t="s">
        <v>68</v>
      </c>
      <c r="V2962" s="169" t="str">
        <f t="shared" si="187"/>
        <v>NITRO BF 2</v>
      </c>
      <c r="W2962" s="169" t="s">
        <v>2719</v>
      </c>
    </row>
    <row r="2963" spans="2:23" x14ac:dyDescent="0.25">
      <c r="B2963" s="169" t="s">
        <v>1166</v>
      </c>
      <c r="C2963" s="169" t="s">
        <v>45</v>
      </c>
      <c r="D2963" s="169" t="s">
        <v>5889</v>
      </c>
      <c r="E2963" s="169" t="s">
        <v>61</v>
      </c>
      <c r="F2963" s="245" t="str">
        <f t="shared" si="185"/>
        <v>Dhoz 71</v>
      </c>
      <c r="G2963" s="169" t="s">
        <v>742</v>
      </c>
      <c r="H2963" s="169" t="s">
        <v>352</v>
      </c>
      <c r="I2963" s="169" t="str">
        <f t="shared" si="184"/>
        <v>L11_DPVE_077E_DW</v>
      </c>
      <c r="J2963" s="169" t="s">
        <v>12397</v>
      </c>
      <c r="K2963" s="169">
        <f>IFERROR(MATCH(J2963,'Final List'!$B$4:$B$252,0),0)</f>
        <v>0</v>
      </c>
      <c r="L2963" s="169">
        <f>IFERROR(MATCH(J2963,'Final List'!$D$4:$D$252,0),0)</f>
        <v>0</v>
      </c>
      <c r="M2963" s="169">
        <f>IFERROR(MATCH(J2963,'Final List'!$F$4:$F$251,0),0)</f>
        <v>0</v>
      </c>
      <c r="N2963" s="169">
        <f>IFERROR(MATCH(J2963,'Final List'!$H$4:$H$252,0),0)</f>
        <v>0</v>
      </c>
      <c r="O2963" s="169">
        <f>IFERROR(MATCH(J2963,'Final List'!$J$4:$J$252,0),0)</f>
        <v>0</v>
      </c>
      <c r="P2963" s="169">
        <f>IFERROR(MATCH(J2963,'Final List'!$L$4:$L$252,0),0)</f>
        <v>0</v>
      </c>
      <c r="Q2963" s="169">
        <f>IFERROR(MATCH(J2963,'Final List'!$N$4:$N$252,0),0)</f>
        <v>0</v>
      </c>
      <c r="R2963" s="169">
        <f>IFERROR(MATCH(J2963,'Final List'!$P$4:$P$252,0),0)</f>
        <v>0</v>
      </c>
      <c r="S2963" s="169">
        <f t="shared" si="186"/>
        <v>0</v>
      </c>
      <c r="V2963" s="169" t="str">
        <f t="shared" si="187"/>
        <v>BAÑEZ 5</v>
      </c>
      <c r="W2963" s="169" t="s">
        <v>8896</v>
      </c>
    </row>
    <row r="2964" spans="2:23" x14ac:dyDescent="0.25">
      <c r="B2964" s="169" t="s">
        <v>1166</v>
      </c>
      <c r="C2964" s="169" t="s">
        <v>59</v>
      </c>
      <c r="D2964" s="169" t="s">
        <v>164</v>
      </c>
      <c r="E2964" s="169" t="s">
        <v>61</v>
      </c>
      <c r="F2964" s="245" t="str">
        <f t="shared" si="185"/>
        <v>Dhoz 71</v>
      </c>
      <c r="G2964" s="169" t="s">
        <v>367</v>
      </c>
      <c r="I2964" s="169" t="str">
        <f t="shared" si="184"/>
        <v>L11_GHVHW_064E_DW</v>
      </c>
      <c r="J2964" s="169" t="s">
        <v>12396</v>
      </c>
      <c r="K2964" s="169">
        <f>IFERROR(MATCH(J2964,'Final List'!$B$4:$B$252,0),0)</f>
        <v>0</v>
      </c>
      <c r="L2964" s="169">
        <f>IFERROR(MATCH(J2964,'Final List'!$D$4:$D$252,0),0)</f>
        <v>0</v>
      </c>
      <c r="M2964" s="169">
        <f>IFERROR(MATCH(J2964,'Final List'!$F$4:$F$251,0),0)</f>
        <v>0</v>
      </c>
      <c r="N2964" s="169">
        <f>IFERROR(MATCH(J2964,'Final List'!$H$4:$H$252,0),0)</f>
        <v>0</v>
      </c>
      <c r="O2964" s="169">
        <f>IFERROR(MATCH(J2964,'Final List'!$J$4:$J$252,0),0)</f>
        <v>0</v>
      </c>
      <c r="P2964" s="169">
        <f>IFERROR(MATCH(J2964,'Final List'!$L$4:$L$252,0),0)</f>
        <v>0</v>
      </c>
      <c r="Q2964" s="169">
        <f>IFERROR(MATCH(J2964,'Final List'!$N$4:$N$252,0),0)</f>
        <v>0</v>
      </c>
      <c r="R2964" s="169">
        <f>IFERROR(MATCH(J2964,'Final List'!$P$4:$P$252,0),0)</f>
        <v>0</v>
      </c>
      <c r="S2964" s="169">
        <f t="shared" si="186"/>
        <v>0</v>
      </c>
      <c r="V2964" s="169" t="str">
        <f t="shared" si="187"/>
        <v>LERIO 1</v>
      </c>
      <c r="W2964" s="169" t="s">
        <v>8896</v>
      </c>
    </row>
    <row r="2965" spans="2:23" x14ac:dyDescent="0.25">
      <c r="B2965" s="169" t="s">
        <v>1166</v>
      </c>
      <c r="C2965" s="169" t="s">
        <v>45</v>
      </c>
      <c r="D2965" s="169" t="s">
        <v>5604</v>
      </c>
      <c r="E2965" s="169" t="s">
        <v>60</v>
      </c>
      <c r="F2965" s="245" t="str">
        <f t="shared" si="185"/>
        <v>Dhoz 71</v>
      </c>
      <c r="G2965" s="169" t="s">
        <v>385</v>
      </c>
      <c r="I2965" s="169" t="str">
        <f t="shared" si="184"/>
        <v>L11_DPVE_063E_DE</v>
      </c>
      <c r="J2965" s="169" t="s">
        <v>12395</v>
      </c>
      <c r="K2965" s="169">
        <f>IFERROR(MATCH(J2965,'Final List'!$B$4:$B$252,0),0)</f>
        <v>0</v>
      </c>
      <c r="L2965" s="169">
        <f>IFERROR(MATCH(J2965,'Final List'!$D$4:$D$252,0),0)</f>
        <v>0</v>
      </c>
      <c r="M2965" s="169">
        <f>IFERROR(MATCH(J2965,'Final List'!$F$4:$F$251,0),0)</f>
        <v>0</v>
      </c>
      <c r="N2965" s="169">
        <f>IFERROR(MATCH(J2965,'Final List'!$H$4:$H$252,0),0)</f>
        <v>0</v>
      </c>
      <c r="O2965" s="169">
        <f>IFERROR(MATCH(J2965,'Final List'!$J$4:$J$252,0),0)</f>
        <v>0</v>
      </c>
      <c r="P2965" s="169">
        <f>IFERROR(MATCH(J2965,'Final List'!$L$4:$L$252,0),0)</f>
        <v>0</v>
      </c>
      <c r="Q2965" s="169">
        <f>IFERROR(MATCH(J2965,'Final List'!$N$4:$N$252,0),0)</f>
        <v>0</v>
      </c>
      <c r="R2965" s="169">
        <f>IFERROR(MATCH(J2965,'Final List'!$P$4:$P$252,0),0)</f>
        <v>0</v>
      </c>
      <c r="S2965" s="169">
        <f t="shared" si="186"/>
        <v>0</v>
      </c>
      <c r="V2965" s="169" t="str">
        <f t="shared" si="187"/>
        <v>SILVOZA 1</v>
      </c>
      <c r="W2965" s="169" t="s">
        <v>8896</v>
      </c>
    </row>
    <row r="2966" spans="2:23" x14ac:dyDescent="0.25">
      <c r="B2966" s="169" t="s">
        <v>96</v>
      </c>
      <c r="C2966" s="169" t="s">
        <v>38</v>
      </c>
      <c r="D2966" s="169" t="s">
        <v>167</v>
      </c>
      <c r="E2966" s="169" t="s">
        <v>62</v>
      </c>
      <c r="F2966" s="245" t="str">
        <f t="shared" si="185"/>
        <v>RobS 79</v>
      </c>
      <c r="G2966" s="169" t="s">
        <v>350</v>
      </c>
      <c r="I2966" s="169" t="str">
        <f t="shared" si="184"/>
        <v>L09_GHV_058E_ROBBING</v>
      </c>
      <c r="J2966" s="169" t="s">
        <v>12401</v>
      </c>
      <c r="K2966" s="169">
        <f>IFERROR(MATCH(J2966,'Final List'!$B$4:$B$252,0),0)</f>
        <v>0</v>
      </c>
      <c r="L2966" s="169">
        <f>IFERROR(MATCH(J2966,'Final List'!$D$4:$D$252,0),0)</f>
        <v>0</v>
      </c>
      <c r="M2966" s="169">
        <f>IFERROR(MATCH(J2966,'Final List'!$F$4:$F$251,0),0)</f>
        <v>0</v>
      </c>
      <c r="N2966" s="169">
        <f>IFERROR(MATCH(J2966,'Final List'!$H$4:$H$252,0),0)</f>
        <v>0</v>
      </c>
      <c r="O2966" s="169">
        <f>IFERROR(MATCH(J2966,'Final List'!$J$4:$J$252,0),0)</f>
        <v>0</v>
      </c>
      <c r="P2966" s="169">
        <f>IFERROR(MATCH(J2966,'Final List'!$L$4:$L$252,0),0)</f>
        <v>0</v>
      </c>
      <c r="Q2966" s="169">
        <f>IFERROR(MATCH(J2966,'Final List'!$N$4:$N$252,0),0)</f>
        <v>0</v>
      </c>
      <c r="R2966" s="169">
        <f>IFERROR(MATCH(J2966,'Final List'!$P$4:$P$252,0),0)</f>
        <v>0</v>
      </c>
      <c r="S2966" s="169">
        <f t="shared" si="186"/>
        <v>0</v>
      </c>
      <c r="T2966" s="169" t="s">
        <v>68</v>
      </c>
      <c r="V2966" s="169" t="str">
        <f t="shared" si="187"/>
        <v>QUIJANO 1</v>
      </c>
      <c r="W2966" s="169" t="s">
        <v>2707</v>
      </c>
    </row>
    <row r="2967" spans="2:23" x14ac:dyDescent="0.25">
      <c r="B2967" s="169" t="s">
        <v>96</v>
      </c>
      <c r="C2967" s="169" t="s">
        <v>42</v>
      </c>
      <c r="D2967" s="169" t="s">
        <v>175</v>
      </c>
      <c r="E2967" s="169" t="s">
        <v>221</v>
      </c>
      <c r="F2967" s="245" t="str">
        <f t="shared" si="185"/>
        <v>RobC 80</v>
      </c>
      <c r="G2967" s="169" t="s">
        <v>485</v>
      </c>
      <c r="I2967" s="169" t="str">
        <f t="shared" si="184"/>
        <v>L09_JV_060E_WINZE STOPE</v>
      </c>
      <c r="J2967" s="169" t="s">
        <v>12462</v>
      </c>
      <c r="K2967" s="169">
        <f>IFERROR(MATCH(J2967,'Final List'!$B$4:$B$252,0),0)</f>
        <v>0</v>
      </c>
      <c r="L2967" s="169">
        <f>IFERROR(MATCH(J2967,'Final List'!$D$4:$D$252,0),0)</f>
        <v>0</v>
      </c>
      <c r="M2967" s="169">
        <f>IFERROR(MATCH(J2967,'Final List'!$F$4:$F$251,0),0)</f>
        <v>0</v>
      </c>
      <c r="N2967" s="169">
        <f>IFERROR(MATCH(J2967,'Final List'!$H$4:$H$252,0),0)</f>
        <v>0</v>
      </c>
      <c r="O2967" s="169">
        <f>IFERROR(MATCH(J2967,'Final List'!$J$4:$J$252,0),0)</f>
        <v>0</v>
      </c>
      <c r="P2967" s="169">
        <f>IFERROR(MATCH(J2967,'Final List'!$L$4:$L$252,0),0)</f>
        <v>0</v>
      </c>
      <c r="Q2967" s="169">
        <f>IFERROR(MATCH(J2967,'Final List'!$N$4:$N$252,0),0)</f>
        <v>0</v>
      </c>
      <c r="R2967" s="169">
        <f>IFERROR(MATCH(J2967,'Final List'!$P$4:$P$252,0),0)</f>
        <v>0</v>
      </c>
      <c r="S2967" s="169">
        <f t="shared" si="186"/>
        <v>0</v>
      </c>
      <c r="T2967" s="169" t="s">
        <v>68</v>
      </c>
      <c r="V2967" s="169" t="str">
        <f t="shared" si="187"/>
        <v>BALANGHIG 3</v>
      </c>
      <c r="W2967" s="169" t="s">
        <v>2713</v>
      </c>
    </row>
    <row r="2968" spans="2:23" x14ac:dyDescent="0.25">
      <c r="B2968" s="169" t="s">
        <v>96</v>
      </c>
      <c r="C2968" s="169" t="s">
        <v>87</v>
      </c>
      <c r="D2968" s="169" t="s">
        <v>135</v>
      </c>
      <c r="E2968" s="169" t="s">
        <v>63</v>
      </c>
      <c r="F2968" s="245" t="str">
        <f t="shared" si="185"/>
        <v>Dhoz 71</v>
      </c>
      <c r="G2968" s="169" t="s">
        <v>1510</v>
      </c>
      <c r="I2968" s="169" t="str">
        <f t="shared" si="184"/>
        <v>L09_NONE_034E_XCS</v>
      </c>
      <c r="J2968" s="169" t="s">
        <v>12405</v>
      </c>
      <c r="K2968" s="169">
        <f>IFERROR(MATCH(J2968,'Final List'!$B$4:$B$252,0),0)</f>
        <v>0</v>
      </c>
      <c r="L2968" s="169">
        <f>IFERROR(MATCH(J2968,'Final List'!$D$4:$D$252,0),0)</f>
        <v>0</v>
      </c>
      <c r="M2968" s="169">
        <f>IFERROR(MATCH(J2968,'Final List'!$F$4:$F$251,0),0)</f>
        <v>0</v>
      </c>
      <c r="N2968" s="169">
        <f>IFERROR(MATCH(J2968,'Final List'!$H$4:$H$252,0),0)</f>
        <v>0</v>
      </c>
      <c r="O2968" s="169">
        <f>IFERROR(MATCH(J2968,'Final List'!$J$4:$J$252,0),0)</f>
        <v>0</v>
      </c>
      <c r="P2968" s="169">
        <f>IFERROR(MATCH(J2968,'Final List'!$L$4:$L$252,0),0)</f>
        <v>0</v>
      </c>
      <c r="Q2968" s="169">
        <f>IFERROR(MATCH(J2968,'Final List'!$N$4:$N$252,0),0)</f>
        <v>0</v>
      </c>
      <c r="R2968" s="169">
        <f>IFERROR(MATCH(J2968,'Final List'!$P$4:$P$252,0),0)</f>
        <v>0</v>
      </c>
      <c r="S2968" s="169">
        <f t="shared" si="186"/>
        <v>0</v>
      </c>
      <c r="V2968" s="169" t="str">
        <f t="shared" si="187"/>
        <v>DELOS REYES</v>
      </c>
      <c r="W2968" s="169" t="s">
        <v>2714</v>
      </c>
    </row>
    <row r="2969" spans="2:23" x14ac:dyDescent="0.25">
      <c r="B2969" s="169" t="s">
        <v>12320</v>
      </c>
      <c r="C2969" s="169" t="s">
        <v>59</v>
      </c>
      <c r="D2969" s="169" t="s">
        <v>174</v>
      </c>
      <c r="E2969" s="169" t="s">
        <v>61</v>
      </c>
      <c r="F2969" s="245" t="str">
        <f t="shared" si="185"/>
        <v>Dhoz 71</v>
      </c>
      <c r="G2969" s="169" t="s">
        <v>390</v>
      </c>
      <c r="H2969" s="169" t="s">
        <v>747</v>
      </c>
      <c r="I2969" s="169" t="str">
        <f t="shared" si="184"/>
        <v>L425_GHVHW_052E_DW</v>
      </c>
      <c r="J2969" s="169" t="s">
        <v>12442</v>
      </c>
      <c r="K2969" s="169">
        <f>IFERROR(MATCH(J2969,'Final List'!$B$4:$B$252,0),0)</f>
        <v>0</v>
      </c>
      <c r="L2969" s="169">
        <f>IFERROR(MATCH(J2969,'Final List'!$D$4:$D$252,0),0)</f>
        <v>0</v>
      </c>
      <c r="M2969" s="169">
        <f>IFERROR(MATCH(J2969,'Final List'!$F$4:$F$251,0),0)</f>
        <v>0</v>
      </c>
      <c r="N2969" s="169">
        <f>IFERROR(MATCH(J2969,'Final List'!$H$4:$H$252,0),0)</f>
        <v>0</v>
      </c>
      <c r="O2969" s="169">
        <f>IFERROR(MATCH(J2969,'Final List'!$J$4:$J$252,0),0)</f>
        <v>0</v>
      </c>
      <c r="P2969" s="169">
        <f>IFERROR(MATCH(J2969,'Final List'!$L$4:$L$252,0),0)</f>
        <v>0</v>
      </c>
      <c r="Q2969" s="169">
        <f>IFERROR(MATCH(J2969,'Final List'!$N$4:$N$252,0),0)</f>
        <v>0</v>
      </c>
      <c r="R2969" s="169">
        <f>IFERROR(MATCH(J2969,'Final List'!$P$4:$P$252,0),0)</f>
        <v>0</v>
      </c>
      <c r="S2969" s="169">
        <f t="shared" si="186"/>
        <v>0</v>
      </c>
      <c r="V2969" s="169" t="str">
        <f t="shared" si="187"/>
        <v>REBOTE</v>
      </c>
      <c r="W2969" s="169" t="s">
        <v>8896</v>
      </c>
    </row>
    <row r="2970" spans="2:23" x14ac:dyDescent="0.25">
      <c r="B2970" s="169" t="s">
        <v>1166</v>
      </c>
      <c r="C2970" s="169" t="s">
        <v>87</v>
      </c>
      <c r="D2970" s="169" t="s">
        <v>121</v>
      </c>
      <c r="E2970" s="169" t="s">
        <v>37</v>
      </c>
      <c r="F2970" s="245" t="str">
        <f t="shared" si="185"/>
        <v>Dhoz 71</v>
      </c>
      <c r="G2970" s="169" t="s">
        <v>6980</v>
      </c>
      <c r="I2970" s="169" t="str">
        <f t="shared" si="184"/>
        <v>L11_NONE_022E_XCN</v>
      </c>
      <c r="J2970" s="169" t="s">
        <v>12406</v>
      </c>
      <c r="K2970" s="169">
        <f>IFERROR(MATCH(J2970,'Final List'!$B$4:$B$252,0),0)</f>
        <v>0</v>
      </c>
      <c r="L2970" s="169">
        <f>IFERROR(MATCH(J2970,'Final List'!$D$4:$D$252,0),0)</f>
        <v>0</v>
      </c>
      <c r="M2970" s="169">
        <f>IFERROR(MATCH(J2970,'Final List'!$F$4:$F$251,0),0)</f>
        <v>0</v>
      </c>
      <c r="N2970" s="169">
        <f>IFERROR(MATCH(J2970,'Final List'!$H$4:$H$252,0),0)</f>
        <v>0</v>
      </c>
      <c r="O2970" s="169">
        <f>IFERROR(MATCH(J2970,'Final List'!$J$4:$J$252,0),0)</f>
        <v>0</v>
      </c>
      <c r="P2970" s="169">
        <f>IFERROR(MATCH(J2970,'Final List'!$L$4:$L$252,0),0)</f>
        <v>0</v>
      </c>
      <c r="Q2970" s="169">
        <f>IFERROR(MATCH(J2970,'Final List'!$N$4:$N$252,0),0)</f>
        <v>0</v>
      </c>
      <c r="R2970" s="169">
        <f>IFERROR(MATCH(J2970,'Final List'!$P$4:$P$252,0),0)</f>
        <v>0</v>
      </c>
      <c r="S2970" s="169">
        <f t="shared" si="186"/>
        <v>0</v>
      </c>
      <c r="V2970" s="169" t="str">
        <f t="shared" si="187"/>
        <v>BADBADON 3</v>
      </c>
      <c r="W2970" s="169" t="s">
        <v>8898</v>
      </c>
    </row>
    <row r="2971" spans="2:23" x14ac:dyDescent="0.25">
      <c r="B2971" s="169" t="s">
        <v>258</v>
      </c>
      <c r="C2971" s="169" t="s">
        <v>87</v>
      </c>
      <c r="D2971" s="169" t="s">
        <v>5741</v>
      </c>
      <c r="E2971" s="169" t="s">
        <v>63</v>
      </c>
      <c r="F2971" s="245" t="str">
        <f t="shared" si="185"/>
        <v>Dhoz 71</v>
      </c>
      <c r="G2971" s="169" t="s">
        <v>12409</v>
      </c>
      <c r="H2971" s="169" t="s">
        <v>12244</v>
      </c>
      <c r="I2971" s="169" t="str">
        <f t="shared" si="184"/>
        <v>L10_NONE_035E_XCS</v>
      </c>
      <c r="J2971" s="169" t="s">
        <v>12408</v>
      </c>
      <c r="K2971" s="169">
        <f>IFERROR(MATCH(J2971,'Final List'!$B$4:$B$252,0),0)</f>
        <v>0</v>
      </c>
      <c r="L2971" s="169">
        <f>IFERROR(MATCH(J2971,'Final List'!$D$4:$D$252,0),0)</f>
        <v>0</v>
      </c>
      <c r="M2971" s="169">
        <f>IFERROR(MATCH(J2971,'Final List'!$F$4:$F$251,0),0)</f>
        <v>0</v>
      </c>
      <c r="N2971" s="169">
        <f>IFERROR(MATCH(J2971,'Final List'!$H$4:$H$252,0),0)</f>
        <v>0</v>
      </c>
      <c r="O2971" s="169">
        <f>IFERROR(MATCH(J2971,'Final List'!$J$4:$J$252,0),0)</f>
        <v>0</v>
      </c>
      <c r="P2971" s="169">
        <f>IFERROR(MATCH(J2971,'Final List'!$L$4:$L$252,0),0)</f>
        <v>0</v>
      </c>
      <c r="Q2971" s="169">
        <f>IFERROR(MATCH(J2971,'Final List'!$N$4:$N$252,0),0)</f>
        <v>0</v>
      </c>
      <c r="R2971" s="169">
        <f>IFERROR(MATCH(J2971,'Final List'!$P$4:$P$252,0),0)</f>
        <v>0</v>
      </c>
      <c r="S2971" s="169">
        <f t="shared" si="186"/>
        <v>0</v>
      </c>
      <c r="V2971" s="169" t="str">
        <f t="shared" si="187"/>
        <v>NITRO AY</v>
      </c>
      <c r="W2971" s="169" t="s">
        <v>2714</v>
      </c>
    </row>
    <row r="2972" spans="2:23" x14ac:dyDescent="0.25">
      <c r="B2972" s="169" t="s">
        <v>96</v>
      </c>
      <c r="C2972" s="169" t="s">
        <v>42</v>
      </c>
      <c r="D2972" s="169" t="s">
        <v>142</v>
      </c>
      <c r="E2972" s="169" t="s">
        <v>61</v>
      </c>
      <c r="F2972" s="245" t="str">
        <f t="shared" si="185"/>
        <v>Dhoz 71</v>
      </c>
      <c r="G2972" s="169" t="s">
        <v>344</v>
      </c>
      <c r="I2972" s="169" t="str">
        <f t="shared" si="184"/>
        <v>L09_JV_038E_DW</v>
      </c>
      <c r="J2972" s="169" t="s">
        <v>12410</v>
      </c>
      <c r="K2972" s="169">
        <f>IFERROR(MATCH(J2972,'Final List'!$B$4:$B$252,0),0)</f>
        <v>0</v>
      </c>
      <c r="L2972" s="169">
        <f>IFERROR(MATCH(J2972,'Final List'!$D$4:$D$252,0),0)</f>
        <v>0</v>
      </c>
      <c r="M2972" s="169">
        <f>IFERROR(MATCH(J2972,'Final List'!$F$4:$F$251,0),0)</f>
        <v>0</v>
      </c>
      <c r="N2972" s="169">
        <f>IFERROR(MATCH(J2972,'Final List'!$H$4:$H$252,0),0)</f>
        <v>0</v>
      </c>
      <c r="O2972" s="169">
        <f>IFERROR(MATCH(J2972,'Final List'!$J$4:$J$252,0),0)</f>
        <v>0</v>
      </c>
      <c r="P2972" s="169">
        <f>IFERROR(MATCH(J2972,'Final List'!$L$4:$L$252,0),0)</f>
        <v>0</v>
      </c>
      <c r="Q2972" s="169">
        <f>IFERROR(MATCH(J2972,'Final List'!$N$4:$N$252,0),0)</f>
        <v>0</v>
      </c>
      <c r="R2972" s="169">
        <f>IFERROR(MATCH(J2972,'Final List'!$P$4:$P$252,0),0)</f>
        <v>0</v>
      </c>
      <c r="S2972" s="169">
        <f t="shared" si="186"/>
        <v>0</v>
      </c>
      <c r="V2972" s="169" t="str">
        <f t="shared" si="187"/>
        <v>UDLOS 1</v>
      </c>
      <c r="W2972" s="169" t="s">
        <v>8896</v>
      </c>
    </row>
    <row r="2973" spans="2:23" x14ac:dyDescent="0.25">
      <c r="B2973" s="169" t="s">
        <v>1167</v>
      </c>
      <c r="C2973" s="169" t="s">
        <v>39</v>
      </c>
      <c r="D2973" s="169" t="s">
        <v>198</v>
      </c>
      <c r="E2973" s="169" t="s">
        <v>19</v>
      </c>
      <c r="F2973" s="245" t="str">
        <f t="shared" si="185"/>
        <v>DVR 72</v>
      </c>
      <c r="G2973" s="169" t="s">
        <v>12312</v>
      </c>
      <c r="I2973" s="169" t="str">
        <f t="shared" si="184"/>
        <v>L12_JVHW_069E_RAISE</v>
      </c>
      <c r="J2973" s="169" t="s">
        <v>12412</v>
      </c>
      <c r="K2973" s="169">
        <f>IFERROR(MATCH(J2973,'Final List'!$B$4:$B$252,0),0)</f>
        <v>0</v>
      </c>
      <c r="L2973" s="169">
        <f>IFERROR(MATCH(J2973,'Final List'!$D$4:$D$252,0),0)</f>
        <v>0</v>
      </c>
      <c r="M2973" s="169">
        <f>IFERROR(MATCH(J2973,'Final List'!$F$4:$F$251,0),0)</f>
        <v>0</v>
      </c>
      <c r="N2973" s="169">
        <f>IFERROR(MATCH(J2973,'Final List'!$H$4:$H$252,0),0)</f>
        <v>0</v>
      </c>
      <c r="O2973" s="169">
        <f>IFERROR(MATCH(J2973,'Final List'!$J$4:$J$252,0),0)</f>
        <v>0</v>
      </c>
      <c r="P2973" s="169">
        <f>IFERROR(MATCH(J2973,'Final List'!$L$4:$L$252,0),0)</f>
        <v>0</v>
      </c>
      <c r="Q2973" s="169">
        <f>IFERROR(MATCH(J2973,'Final List'!$N$4:$N$252,0),0)</f>
        <v>0</v>
      </c>
      <c r="R2973" s="169">
        <f>IFERROR(MATCH(J2973,'Final List'!$P$4:$P$252,0),0)</f>
        <v>0</v>
      </c>
      <c r="S2973" s="169">
        <f t="shared" si="186"/>
        <v>0</v>
      </c>
      <c r="V2973" s="169" t="str">
        <f t="shared" si="187"/>
        <v>PANSIT NORMAN 5</v>
      </c>
      <c r="W2973" s="169" t="s">
        <v>2715</v>
      </c>
    </row>
    <row r="2974" spans="2:23" x14ac:dyDescent="0.25">
      <c r="B2974" s="169" t="s">
        <v>1167</v>
      </c>
      <c r="C2974" s="169" t="s">
        <v>56</v>
      </c>
      <c r="D2974" s="169" t="s">
        <v>167</v>
      </c>
      <c r="E2974" s="169" t="s">
        <v>19</v>
      </c>
      <c r="F2974" s="245" t="str">
        <f t="shared" si="185"/>
        <v>DVR 72</v>
      </c>
      <c r="G2974" s="169" t="s">
        <v>12063</v>
      </c>
      <c r="I2974" s="169" t="str">
        <f t="shared" si="184"/>
        <v>L12_GHVFW_058E_RAISE</v>
      </c>
      <c r="J2974" s="169" t="s">
        <v>12413</v>
      </c>
      <c r="K2974" s="169">
        <f>IFERROR(MATCH(J2974,'Final List'!$B$4:$B$252,0),0)</f>
        <v>0</v>
      </c>
      <c r="L2974" s="169">
        <f>IFERROR(MATCH(J2974,'Final List'!$D$4:$D$252,0),0)</f>
        <v>0</v>
      </c>
      <c r="M2974" s="169">
        <f>IFERROR(MATCH(J2974,'Final List'!$F$4:$F$251,0),0)</f>
        <v>0</v>
      </c>
      <c r="N2974" s="169">
        <f>IFERROR(MATCH(J2974,'Final List'!$H$4:$H$252,0),0)</f>
        <v>0</v>
      </c>
      <c r="O2974" s="169">
        <f>IFERROR(MATCH(J2974,'Final List'!$J$4:$J$252,0),0)</f>
        <v>0</v>
      </c>
      <c r="P2974" s="169">
        <f>IFERROR(MATCH(J2974,'Final List'!$L$4:$L$252,0),0)</f>
        <v>0</v>
      </c>
      <c r="Q2974" s="169">
        <f>IFERROR(MATCH(J2974,'Final List'!$N$4:$N$252,0),0)</f>
        <v>0</v>
      </c>
      <c r="R2974" s="169">
        <f>IFERROR(MATCH(J2974,'Final List'!$P$4:$P$252,0),0)</f>
        <v>0</v>
      </c>
      <c r="S2974" s="169">
        <f t="shared" si="186"/>
        <v>0</v>
      </c>
      <c r="V2974" s="169" t="str">
        <f t="shared" si="187"/>
        <v>NITRO AT 1</v>
      </c>
      <c r="W2974" s="169" t="s">
        <v>2715</v>
      </c>
    </row>
    <row r="2975" spans="2:23" x14ac:dyDescent="0.25">
      <c r="B2975" s="169" t="s">
        <v>1166</v>
      </c>
      <c r="C2975" s="169" t="s">
        <v>87</v>
      </c>
      <c r="D2975" s="169" t="s">
        <v>169</v>
      </c>
      <c r="E2975" s="169" t="s">
        <v>20</v>
      </c>
      <c r="F2975" s="245" t="str">
        <f t="shared" si="185"/>
        <v>DVW 74</v>
      </c>
      <c r="G2975" s="169" t="s">
        <v>4068</v>
      </c>
      <c r="I2975" s="169" t="str">
        <f t="shared" si="184"/>
        <v>L11_NONE_065E_WINZE</v>
      </c>
      <c r="J2975" s="169" t="s">
        <v>12417</v>
      </c>
      <c r="K2975" s="169">
        <f>IFERROR(MATCH(J2975,'Final List'!$B$4:$B$252,0),0)</f>
        <v>0</v>
      </c>
      <c r="L2975" s="169">
        <f>IFERROR(MATCH(J2975,'Final List'!$D$4:$D$252,0),0)</f>
        <v>0</v>
      </c>
      <c r="M2975" s="169">
        <f>IFERROR(MATCH(J2975,'Final List'!$F$4:$F$251,0),0)</f>
        <v>0</v>
      </c>
      <c r="N2975" s="169">
        <f>IFERROR(MATCH(J2975,'Final List'!$H$4:$H$252,0),0)</f>
        <v>0</v>
      </c>
      <c r="O2975" s="169">
        <f>IFERROR(MATCH(J2975,'Final List'!$J$4:$J$252,0),0)</f>
        <v>0</v>
      </c>
      <c r="P2975" s="169">
        <f>IFERROR(MATCH(J2975,'Final List'!$L$4:$L$252,0),0)</f>
        <v>0</v>
      </c>
      <c r="Q2975" s="169">
        <f>IFERROR(MATCH(J2975,'Final List'!$N$4:$N$252,0),0)</f>
        <v>0</v>
      </c>
      <c r="R2975" s="169">
        <f>IFERROR(MATCH(J2975,'Final List'!$P$4:$P$252,0),0)</f>
        <v>0</v>
      </c>
      <c r="S2975" s="169">
        <f t="shared" si="186"/>
        <v>0</v>
      </c>
      <c r="V2975" s="169" t="str">
        <f t="shared" si="187"/>
        <v>MAPAYO</v>
      </c>
      <c r="W2975" s="169" t="s">
        <v>2714</v>
      </c>
    </row>
    <row r="2976" spans="2:23" x14ac:dyDescent="0.25">
      <c r="B2976" s="169" t="s">
        <v>1166</v>
      </c>
      <c r="C2976" s="169" t="s">
        <v>45</v>
      </c>
      <c r="D2976" s="169" t="s">
        <v>162</v>
      </c>
      <c r="E2976" s="169" t="s">
        <v>60</v>
      </c>
      <c r="F2976" s="245" t="str">
        <f t="shared" si="185"/>
        <v>Dhoz 71</v>
      </c>
      <c r="G2976" s="169" t="s">
        <v>342</v>
      </c>
      <c r="H2976" s="169" t="s">
        <v>10758</v>
      </c>
      <c r="I2976" s="169" t="str">
        <f t="shared" si="184"/>
        <v>L11_DPVE_008E_DE</v>
      </c>
      <c r="J2976" s="169" t="s">
        <v>12498</v>
      </c>
      <c r="K2976" s="169">
        <f>IFERROR(MATCH(J2976,'Final List'!$B$4:$B$252,0),0)</f>
        <v>0</v>
      </c>
      <c r="L2976" s="169">
        <f>IFERROR(MATCH(J2976,'Final List'!$D$4:$D$252,0),0)</f>
        <v>0</v>
      </c>
      <c r="M2976" s="169">
        <f>IFERROR(MATCH(J2976,'Final List'!$F$4:$F$251,0),0)</f>
        <v>0</v>
      </c>
      <c r="N2976" s="169">
        <f>IFERROR(MATCH(J2976,'Final List'!$H$4:$H$252,0),0)</f>
        <v>0</v>
      </c>
      <c r="O2976" s="169">
        <f>IFERROR(MATCH(J2976,'Final List'!$J$4:$J$252,0),0)</f>
        <v>0</v>
      </c>
      <c r="P2976" s="169">
        <f>IFERROR(MATCH(J2976,'Final List'!$L$4:$L$252,0),0)</f>
        <v>0</v>
      </c>
      <c r="Q2976" s="169">
        <f>IFERROR(MATCH(J2976,'Final List'!$N$4:$N$252,0),0)</f>
        <v>0</v>
      </c>
      <c r="R2976" s="169">
        <f>IFERROR(MATCH(J2976,'Final List'!$P$4:$P$252,0),0)</f>
        <v>0</v>
      </c>
      <c r="S2976" s="169">
        <f t="shared" si="186"/>
        <v>0</v>
      </c>
      <c r="V2976" s="169" t="str">
        <f t="shared" si="187"/>
        <v>MARTINEZ, DN</v>
      </c>
      <c r="W2976" s="169" t="s">
        <v>8896</v>
      </c>
    </row>
    <row r="2977" spans="2:23" x14ac:dyDescent="0.25">
      <c r="B2977" s="169" t="s">
        <v>1166</v>
      </c>
      <c r="C2977" s="169" t="s">
        <v>87</v>
      </c>
      <c r="D2977" s="169" t="s">
        <v>5604</v>
      </c>
      <c r="E2977" s="169" t="s">
        <v>63</v>
      </c>
      <c r="F2977" s="245" t="str">
        <f t="shared" si="185"/>
        <v>Dhoz 71</v>
      </c>
      <c r="G2977" s="169" t="s">
        <v>303</v>
      </c>
      <c r="I2977" s="169" t="str">
        <f t="shared" si="184"/>
        <v>L11_NONE_063E_XCS</v>
      </c>
      <c r="J2977" s="169" t="s">
        <v>12422</v>
      </c>
      <c r="K2977" s="169">
        <f>IFERROR(MATCH(J2977,'Final List'!$B$4:$B$252,0),0)</f>
        <v>0</v>
      </c>
      <c r="L2977" s="169">
        <f>IFERROR(MATCH(J2977,'Final List'!$D$4:$D$252,0),0)</f>
        <v>0</v>
      </c>
      <c r="M2977" s="169">
        <f>IFERROR(MATCH(J2977,'Final List'!$F$4:$F$251,0),0)</f>
        <v>0</v>
      </c>
      <c r="N2977" s="169">
        <f>IFERROR(MATCH(J2977,'Final List'!$H$4:$H$252,0),0)</f>
        <v>0</v>
      </c>
      <c r="O2977" s="169">
        <f>IFERROR(MATCH(J2977,'Final List'!$J$4:$J$252,0),0)</f>
        <v>0</v>
      </c>
      <c r="P2977" s="169">
        <f>IFERROR(MATCH(J2977,'Final List'!$L$4:$L$252,0),0)</f>
        <v>0</v>
      </c>
      <c r="Q2977" s="169">
        <f>IFERROR(MATCH(J2977,'Final List'!$N$4:$N$252,0),0)</f>
        <v>0</v>
      </c>
      <c r="R2977" s="169">
        <f>IFERROR(MATCH(J2977,'Final List'!$P$4:$P$252,0),0)</f>
        <v>0</v>
      </c>
      <c r="S2977" s="169">
        <f t="shared" si="186"/>
        <v>0</v>
      </c>
      <c r="V2977" s="169" t="str">
        <f t="shared" si="187"/>
        <v>BELICAN 1</v>
      </c>
      <c r="W2977" s="169" t="s">
        <v>8898</v>
      </c>
    </row>
    <row r="2978" spans="2:23" x14ac:dyDescent="0.25">
      <c r="B2978" s="169" t="s">
        <v>1167</v>
      </c>
      <c r="C2978" s="169" t="s">
        <v>87</v>
      </c>
      <c r="D2978" s="169" t="s">
        <v>5723</v>
      </c>
      <c r="E2978" s="169" t="s">
        <v>37</v>
      </c>
      <c r="F2978" s="245" t="str">
        <f t="shared" si="185"/>
        <v>Dhoz 71</v>
      </c>
      <c r="G2978" s="169" t="s">
        <v>6930</v>
      </c>
      <c r="I2978" s="169" t="str">
        <f t="shared" si="184"/>
        <v>L12_NONE_046E_XCN</v>
      </c>
      <c r="J2978" s="169" t="s">
        <v>12423</v>
      </c>
      <c r="K2978" s="169">
        <f>IFERROR(MATCH(J2978,'Final List'!$B$4:$B$252,0),0)</f>
        <v>0</v>
      </c>
      <c r="L2978" s="169">
        <f>IFERROR(MATCH(J2978,'Final List'!$D$4:$D$252,0),0)</f>
        <v>0</v>
      </c>
      <c r="M2978" s="169">
        <f>IFERROR(MATCH(J2978,'Final List'!$F$4:$F$251,0),0)</f>
        <v>0</v>
      </c>
      <c r="N2978" s="169">
        <f>IFERROR(MATCH(J2978,'Final List'!$H$4:$H$252,0),0)</f>
        <v>0</v>
      </c>
      <c r="O2978" s="169">
        <f>IFERROR(MATCH(J2978,'Final List'!$J$4:$J$252,0),0)</f>
        <v>0</v>
      </c>
      <c r="P2978" s="169">
        <f>IFERROR(MATCH(J2978,'Final List'!$L$4:$L$252,0),0)</f>
        <v>0</v>
      </c>
      <c r="Q2978" s="169">
        <f>IFERROR(MATCH(J2978,'Final List'!$N$4:$N$252,0),0)</f>
        <v>0</v>
      </c>
      <c r="R2978" s="169">
        <f>IFERROR(MATCH(J2978,'Final List'!$P$4:$P$252,0),0)</f>
        <v>0</v>
      </c>
      <c r="S2978" s="169">
        <f t="shared" si="186"/>
        <v>0</v>
      </c>
      <c r="V2978" s="169" t="str">
        <f t="shared" si="187"/>
        <v>DUHIG, P1</v>
      </c>
      <c r="W2978" s="169" t="s">
        <v>2714</v>
      </c>
    </row>
    <row r="2979" spans="2:23" x14ac:dyDescent="0.25">
      <c r="B2979" s="169" t="s">
        <v>95</v>
      </c>
      <c r="C2979" s="169" t="s">
        <v>59</v>
      </c>
      <c r="D2979" s="169" t="s">
        <v>140</v>
      </c>
      <c r="E2979" s="169" t="s">
        <v>62</v>
      </c>
      <c r="F2979" s="245" t="str">
        <f t="shared" si="185"/>
        <v>RobS 79</v>
      </c>
      <c r="G2979" s="169" t="s">
        <v>604</v>
      </c>
      <c r="H2979" s="169" t="s">
        <v>305</v>
      </c>
      <c r="I2979" s="169" t="str">
        <f t="shared" si="184"/>
        <v>L08_GHVHW_005W_ROBBING</v>
      </c>
      <c r="J2979" s="169" t="s">
        <v>12426</v>
      </c>
      <c r="K2979" s="169">
        <f>IFERROR(MATCH(J2979,'Final List'!$B$4:$B$252,0),0)</f>
        <v>0</v>
      </c>
      <c r="L2979" s="169">
        <f>IFERROR(MATCH(J2979,'Final List'!$D$4:$D$252,0),0)</f>
        <v>0</v>
      </c>
      <c r="M2979" s="169">
        <f>IFERROR(MATCH(J2979,'Final List'!$F$4:$F$251,0),0)</f>
        <v>0</v>
      </c>
      <c r="N2979" s="169">
        <f>IFERROR(MATCH(J2979,'Final List'!$H$4:$H$252,0),0)</f>
        <v>0</v>
      </c>
      <c r="O2979" s="169">
        <f>IFERROR(MATCH(J2979,'Final List'!$J$4:$J$252,0),0)</f>
        <v>0</v>
      </c>
      <c r="P2979" s="169">
        <f>IFERROR(MATCH(J2979,'Final List'!$L$4:$L$252,0),0)</f>
        <v>0</v>
      </c>
      <c r="Q2979" s="169">
        <f>IFERROR(MATCH(J2979,'Final List'!$N$4:$N$252,0),0)</f>
        <v>0</v>
      </c>
      <c r="R2979" s="169">
        <f>IFERROR(MATCH(J2979,'Final List'!$P$4:$P$252,0),0)</f>
        <v>0</v>
      </c>
      <c r="S2979" s="169">
        <f t="shared" si="186"/>
        <v>0</v>
      </c>
      <c r="T2979" s="169" t="s">
        <v>68</v>
      </c>
      <c r="V2979" s="169" t="str">
        <f t="shared" si="187"/>
        <v>CABONITA 1</v>
      </c>
      <c r="W2979" s="169" t="s">
        <v>2707</v>
      </c>
    </row>
    <row r="2980" spans="2:23" x14ac:dyDescent="0.25">
      <c r="B2980" s="169" t="s">
        <v>96</v>
      </c>
      <c r="C2980" s="169" t="s">
        <v>43</v>
      </c>
      <c r="D2980" s="169" t="s">
        <v>116</v>
      </c>
      <c r="E2980" s="169" t="s">
        <v>60</v>
      </c>
      <c r="F2980" s="245" t="str">
        <f t="shared" si="185"/>
        <v>Dhoz 71</v>
      </c>
      <c r="G2980" s="169" t="s">
        <v>1661</v>
      </c>
      <c r="I2980" s="169" t="str">
        <f t="shared" si="184"/>
        <v>L09_GHVSPLIT_021W_DE</v>
      </c>
      <c r="J2980" s="169" t="s">
        <v>12430</v>
      </c>
      <c r="K2980" s="169">
        <f>IFERROR(MATCH(J2980,'Final List'!$B$4:$B$252,0),0)</f>
        <v>0</v>
      </c>
      <c r="L2980" s="169">
        <f>IFERROR(MATCH(J2980,'Final List'!$D$4:$D$252,0),0)</f>
        <v>0</v>
      </c>
      <c r="M2980" s="169">
        <f>IFERROR(MATCH(J2980,'Final List'!$F$4:$F$251,0),0)</f>
        <v>0</v>
      </c>
      <c r="N2980" s="169">
        <f>IFERROR(MATCH(J2980,'Final List'!$H$4:$H$252,0),0)</f>
        <v>0</v>
      </c>
      <c r="O2980" s="169">
        <f>IFERROR(MATCH(J2980,'Final List'!$J$4:$J$252,0),0)</f>
        <v>0</v>
      </c>
      <c r="P2980" s="169">
        <f>IFERROR(MATCH(J2980,'Final List'!$L$4:$L$252,0),0)</f>
        <v>0</v>
      </c>
      <c r="Q2980" s="169">
        <f>IFERROR(MATCH(J2980,'Final List'!$N$4:$N$252,0),0)</f>
        <v>0</v>
      </c>
      <c r="R2980" s="169">
        <f>IFERROR(MATCH(J2980,'Final List'!$P$4:$P$252,0),0)</f>
        <v>0</v>
      </c>
      <c r="S2980" s="169">
        <f t="shared" si="186"/>
        <v>0</v>
      </c>
      <c r="V2980" s="169" t="str">
        <f t="shared" si="187"/>
        <v>DELOS REYES V2</v>
      </c>
      <c r="W2980" s="169" t="s">
        <v>8896</v>
      </c>
    </row>
    <row r="2981" spans="2:23" x14ac:dyDescent="0.25">
      <c r="B2981" s="169" t="s">
        <v>1166</v>
      </c>
      <c r="C2981" s="169" t="s">
        <v>45</v>
      </c>
      <c r="D2981" s="169" t="s">
        <v>145</v>
      </c>
      <c r="E2981" s="169" t="s">
        <v>61</v>
      </c>
      <c r="F2981" s="245" t="str">
        <f t="shared" si="185"/>
        <v>Dhoz 71</v>
      </c>
      <c r="G2981" s="169" t="s">
        <v>342</v>
      </c>
      <c r="H2981" s="169" t="s">
        <v>10758</v>
      </c>
      <c r="I2981" s="169" t="str">
        <f t="shared" si="184"/>
        <v>L11_DPVE_009E_DW</v>
      </c>
      <c r="J2981" s="169" t="s">
        <v>12499</v>
      </c>
      <c r="K2981" s="169">
        <f>IFERROR(MATCH(J2981,'Final List'!$B$4:$B$252,0),0)</f>
        <v>0</v>
      </c>
      <c r="L2981" s="169">
        <f>IFERROR(MATCH(J2981,'Final List'!$D$4:$D$252,0),0)</f>
        <v>0</v>
      </c>
      <c r="M2981" s="169">
        <f>IFERROR(MATCH(J2981,'Final List'!$F$4:$F$251,0),0)</f>
        <v>0</v>
      </c>
      <c r="N2981" s="169">
        <f>IFERROR(MATCH(J2981,'Final List'!$H$4:$H$252,0),0)</f>
        <v>0</v>
      </c>
      <c r="O2981" s="169">
        <f>IFERROR(MATCH(J2981,'Final List'!$J$4:$J$252,0),0)</f>
        <v>0</v>
      </c>
      <c r="P2981" s="169">
        <f>IFERROR(MATCH(J2981,'Final List'!$L$4:$L$252,0),0)</f>
        <v>0</v>
      </c>
      <c r="Q2981" s="169">
        <f>IFERROR(MATCH(J2981,'Final List'!$N$4:$N$252,0),0)</f>
        <v>0</v>
      </c>
      <c r="R2981" s="169">
        <f>IFERROR(MATCH(J2981,'Final List'!$P$4:$P$252,0),0)</f>
        <v>0</v>
      </c>
      <c r="S2981" s="169">
        <f t="shared" si="186"/>
        <v>0</v>
      </c>
      <c r="V2981" s="169" t="str">
        <f t="shared" si="187"/>
        <v>MARTINEZ, DN</v>
      </c>
      <c r="W2981" s="169" t="s">
        <v>8896</v>
      </c>
    </row>
    <row r="2982" spans="2:23" x14ac:dyDescent="0.25">
      <c r="B2982" s="169" t="s">
        <v>95</v>
      </c>
      <c r="C2982" s="169" t="s">
        <v>45</v>
      </c>
      <c r="D2982" s="169" t="s">
        <v>175</v>
      </c>
      <c r="E2982" s="169" t="s">
        <v>221</v>
      </c>
      <c r="F2982" s="245" t="str">
        <f t="shared" si="185"/>
        <v>RobC 80</v>
      </c>
      <c r="G2982" s="169" t="s">
        <v>9753</v>
      </c>
      <c r="I2982" s="169" t="str">
        <f t="shared" si="184"/>
        <v>L08_DPVE_060E_WINZE STOPE</v>
      </c>
      <c r="J2982" s="169" t="s">
        <v>12566</v>
      </c>
      <c r="K2982" s="169">
        <f>IFERROR(MATCH(J2982,'Final List'!$B$4:$B$252,0),0)</f>
        <v>0</v>
      </c>
      <c r="L2982" s="169">
        <f>IFERROR(MATCH(J2982,'Final List'!$D$4:$D$252,0),0)</f>
        <v>0</v>
      </c>
      <c r="M2982" s="169">
        <f>IFERROR(MATCH(J2982,'Final List'!$F$4:$F$251,0),0)</f>
        <v>0</v>
      </c>
      <c r="N2982" s="169">
        <f>IFERROR(MATCH(J2982,'Final List'!$H$4:$H$252,0),0)</f>
        <v>0</v>
      </c>
      <c r="O2982" s="169">
        <f>IFERROR(MATCH(J2982,'Final List'!$J$4:$J$252,0),0)</f>
        <v>0</v>
      </c>
      <c r="P2982" s="169">
        <f>IFERROR(MATCH(J2982,'Final List'!$L$4:$L$252,0),0)</f>
        <v>0</v>
      </c>
      <c r="Q2982" s="169">
        <f>IFERROR(MATCH(J2982,'Final List'!$N$4:$N$252,0),0)</f>
        <v>0</v>
      </c>
      <c r="R2982" s="169">
        <f>IFERROR(MATCH(J2982,'Final List'!$P$4:$P$252,0),0)</f>
        <v>0</v>
      </c>
      <c r="S2982" s="169">
        <f t="shared" si="186"/>
        <v>0</v>
      </c>
      <c r="T2982" s="169" t="s">
        <v>280</v>
      </c>
      <c r="V2982" s="169" t="str">
        <f t="shared" si="187"/>
        <v>CAPUYAN 2</v>
      </c>
      <c r="W2982" s="169" t="s">
        <v>2719</v>
      </c>
    </row>
    <row r="2983" spans="2:23" x14ac:dyDescent="0.25">
      <c r="B2983" s="169" t="s">
        <v>96</v>
      </c>
      <c r="C2983" s="169" t="s">
        <v>45</v>
      </c>
      <c r="D2983" s="169" t="s">
        <v>870</v>
      </c>
      <c r="E2983" s="169" t="s">
        <v>62</v>
      </c>
      <c r="F2983" s="245" t="str">
        <f t="shared" si="185"/>
        <v>RobS 79</v>
      </c>
      <c r="G2983" s="169" t="s">
        <v>14902</v>
      </c>
      <c r="I2983" s="169" t="str">
        <f t="shared" si="184"/>
        <v>L09_DPVE_073E_ROBBING</v>
      </c>
      <c r="J2983" s="169" t="s">
        <v>12432</v>
      </c>
      <c r="K2983" s="169">
        <f>IFERROR(MATCH(J2983,'Final List'!$B$4:$B$252,0),0)</f>
        <v>0</v>
      </c>
      <c r="L2983" s="169">
        <f>IFERROR(MATCH(J2983,'Final List'!$D$4:$D$252,0),0)</f>
        <v>0</v>
      </c>
      <c r="M2983" s="169">
        <f>IFERROR(MATCH(J2983,'Final List'!$F$4:$F$251,0),0)</f>
        <v>0</v>
      </c>
      <c r="N2983" s="169">
        <f>IFERROR(MATCH(J2983,'Final List'!$H$4:$H$252,0),0)</f>
        <v>0</v>
      </c>
      <c r="O2983" s="169">
        <f>IFERROR(MATCH(J2983,'Final List'!$J$4:$J$252,0),0)</f>
        <v>0</v>
      </c>
      <c r="P2983" s="169">
        <f>IFERROR(MATCH(J2983,'Final List'!$L$4:$L$252,0),0)</f>
        <v>0</v>
      </c>
      <c r="Q2983" s="169">
        <f>IFERROR(MATCH(J2983,'Final List'!$N$4:$N$252,0),0)</f>
        <v>0</v>
      </c>
      <c r="R2983" s="169">
        <f>IFERROR(MATCH(J2983,'Final List'!$P$4:$P$252,0),0)</f>
        <v>110</v>
      </c>
      <c r="S2983" s="169">
        <f t="shared" si="186"/>
        <v>110</v>
      </c>
      <c r="T2983" s="169" t="s">
        <v>68</v>
      </c>
      <c r="V2983" s="169" t="str">
        <f t="shared" si="187"/>
        <v>DELOS REYES 3</v>
      </c>
      <c r="W2983" s="169" t="s">
        <v>2707</v>
      </c>
    </row>
    <row r="2984" spans="2:23" x14ac:dyDescent="0.25">
      <c r="B2984" s="169" t="s">
        <v>96</v>
      </c>
      <c r="C2984" s="169" t="s">
        <v>38</v>
      </c>
      <c r="D2984" s="169" t="s">
        <v>5601</v>
      </c>
      <c r="E2984" s="169" t="s">
        <v>19</v>
      </c>
      <c r="F2984" s="245" t="str">
        <f t="shared" si="185"/>
        <v>DVR 72</v>
      </c>
      <c r="G2984" s="169" t="s">
        <v>12062</v>
      </c>
      <c r="H2984" s="169" t="s">
        <v>6216</v>
      </c>
      <c r="I2984" s="169" t="str">
        <f t="shared" si="184"/>
        <v>L09_GHV_026E_RAISE</v>
      </c>
      <c r="J2984" s="169" t="s">
        <v>12436</v>
      </c>
      <c r="K2984" s="169">
        <f>IFERROR(MATCH(J2984,'Final List'!$B$4:$B$252,0),0)</f>
        <v>0</v>
      </c>
      <c r="L2984" s="169">
        <f>IFERROR(MATCH(J2984,'Final List'!$D$4:$D$252,0),0)</f>
        <v>0</v>
      </c>
      <c r="M2984" s="169">
        <f>IFERROR(MATCH(J2984,'Final List'!$F$4:$F$251,0),0)</f>
        <v>0</v>
      </c>
      <c r="N2984" s="169">
        <f>IFERROR(MATCH(J2984,'Final List'!$H$4:$H$252,0),0)</f>
        <v>0</v>
      </c>
      <c r="O2984" s="169">
        <f>IFERROR(MATCH(J2984,'Final List'!$J$4:$J$252,0),0)</f>
        <v>0</v>
      </c>
      <c r="P2984" s="169">
        <f>IFERROR(MATCH(J2984,'Final List'!$L$4:$L$252,0),0)</f>
        <v>0</v>
      </c>
      <c r="Q2984" s="169">
        <f>IFERROR(MATCH(J2984,'Final List'!$N$4:$N$252,0),0)</f>
        <v>0</v>
      </c>
      <c r="R2984" s="169">
        <f>IFERROR(MATCH(J2984,'Final List'!$P$4:$P$252,0),0)</f>
        <v>0</v>
      </c>
      <c r="S2984" s="169">
        <f t="shared" si="186"/>
        <v>0</v>
      </c>
      <c r="V2984" s="169" t="str">
        <f t="shared" si="187"/>
        <v>FERNANDEZ</v>
      </c>
      <c r="W2984" s="169" t="s">
        <v>2715</v>
      </c>
    </row>
    <row r="2985" spans="2:23" x14ac:dyDescent="0.25">
      <c r="B2985" s="169" t="s">
        <v>258</v>
      </c>
      <c r="C2985" s="169" t="s">
        <v>43</v>
      </c>
      <c r="D2985" s="169" t="s">
        <v>117</v>
      </c>
      <c r="E2985" s="169" t="s">
        <v>19</v>
      </c>
      <c r="F2985" s="245" t="str">
        <f t="shared" si="185"/>
        <v>DVR 72</v>
      </c>
      <c r="G2985" s="169" t="s">
        <v>12244</v>
      </c>
      <c r="H2985" s="169" t="s">
        <v>12144</v>
      </c>
      <c r="I2985" s="169" t="str">
        <f t="shared" si="184"/>
        <v>L10_GHVSPLIT_006W_RAISE</v>
      </c>
      <c r="J2985" s="169" t="s">
        <v>12438</v>
      </c>
      <c r="K2985" s="169">
        <f>IFERROR(MATCH(J2985,'Final List'!$B$4:$B$252,0),0)</f>
        <v>0</v>
      </c>
      <c r="L2985" s="169">
        <f>IFERROR(MATCH(J2985,'Final List'!$D$4:$D$252,0),0)</f>
        <v>0</v>
      </c>
      <c r="M2985" s="169">
        <f>IFERROR(MATCH(J2985,'Final List'!$F$4:$F$251,0),0)</f>
        <v>0</v>
      </c>
      <c r="N2985" s="169">
        <f>IFERROR(MATCH(J2985,'Final List'!$H$4:$H$252,0),0)</f>
        <v>0</v>
      </c>
      <c r="O2985" s="169">
        <f>IFERROR(MATCH(J2985,'Final List'!$J$4:$J$252,0),0)</f>
        <v>0</v>
      </c>
      <c r="P2985" s="169">
        <f>IFERROR(MATCH(J2985,'Final List'!$L$4:$L$252,0),0)</f>
        <v>0</v>
      </c>
      <c r="Q2985" s="169">
        <f>IFERROR(MATCH(J2985,'Final List'!$N$4:$N$252,0),0)</f>
        <v>0</v>
      </c>
      <c r="R2985" s="169">
        <f>IFERROR(MATCH(J2985,'Final List'!$P$4:$P$252,0),0)</f>
        <v>0</v>
      </c>
      <c r="S2985" s="169">
        <f t="shared" si="186"/>
        <v>0</v>
      </c>
      <c r="V2985" s="169" t="str">
        <f t="shared" si="187"/>
        <v>NITRO BC</v>
      </c>
      <c r="W2985" s="169" t="s">
        <v>2715</v>
      </c>
    </row>
    <row r="2986" spans="2:23" x14ac:dyDescent="0.25">
      <c r="B2986" s="169" t="s">
        <v>95</v>
      </c>
      <c r="C2986" s="169" t="s">
        <v>42</v>
      </c>
      <c r="D2986" s="169" t="s">
        <v>132</v>
      </c>
      <c r="E2986" s="169" t="s">
        <v>62</v>
      </c>
      <c r="F2986" s="245" t="str">
        <f t="shared" si="185"/>
        <v>RobS 79</v>
      </c>
      <c r="G2986" s="169" t="s">
        <v>604</v>
      </c>
      <c r="I2986" s="169" t="str">
        <f t="shared" si="184"/>
        <v>L08_JV_033E_ROBBING</v>
      </c>
      <c r="J2986" s="169" t="s">
        <v>12439</v>
      </c>
      <c r="K2986" s="169">
        <f>IFERROR(MATCH(J2986,'Final List'!$B$4:$B$252,0),0)</f>
        <v>0</v>
      </c>
      <c r="L2986" s="169">
        <f>IFERROR(MATCH(J2986,'Final List'!$D$4:$D$252,0),0)</f>
        <v>0</v>
      </c>
      <c r="M2986" s="169">
        <f>IFERROR(MATCH(J2986,'Final List'!$F$4:$F$251,0),0)</f>
        <v>0</v>
      </c>
      <c r="N2986" s="169">
        <f>IFERROR(MATCH(J2986,'Final List'!$H$4:$H$252,0),0)</f>
        <v>0</v>
      </c>
      <c r="O2986" s="169">
        <f>IFERROR(MATCH(J2986,'Final List'!$J$4:$J$252,0),0)</f>
        <v>0</v>
      </c>
      <c r="P2986" s="169">
        <f>IFERROR(MATCH(J2986,'Final List'!$L$4:$L$252,0),0)</f>
        <v>0</v>
      </c>
      <c r="Q2986" s="169">
        <f>IFERROR(MATCH(J2986,'Final List'!$N$4:$N$252,0),0)</f>
        <v>0</v>
      </c>
      <c r="R2986" s="169">
        <f>IFERROR(MATCH(J2986,'Final List'!$P$4:$P$252,0),0)</f>
        <v>0</v>
      </c>
      <c r="S2986" s="169">
        <f t="shared" si="186"/>
        <v>0</v>
      </c>
      <c r="T2986" s="169" t="s">
        <v>68</v>
      </c>
      <c r="V2986" s="169" t="str">
        <f t="shared" si="187"/>
        <v>CARIKITAN 3</v>
      </c>
      <c r="W2986" s="169" t="s">
        <v>2707</v>
      </c>
    </row>
    <row r="2987" spans="2:23" x14ac:dyDescent="0.25">
      <c r="B2987" s="169" t="s">
        <v>1166</v>
      </c>
      <c r="C2987" s="169" t="s">
        <v>87</v>
      </c>
      <c r="D2987" s="169" t="s">
        <v>141</v>
      </c>
      <c r="E2987" s="169" t="s">
        <v>63</v>
      </c>
      <c r="F2987" s="245" t="str">
        <f t="shared" si="185"/>
        <v>Dhoz 71</v>
      </c>
      <c r="G2987" s="169" t="s">
        <v>447</v>
      </c>
      <c r="I2987" s="169" t="str">
        <f t="shared" si="184"/>
        <v>L11_NONE_029E_XCS</v>
      </c>
      <c r="J2987" s="169" t="s">
        <v>12440</v>
      </c>
      <c r="K2987" s="169">
        <f>IFERROR(MATCH(J2987,'Final List'!$B$4:$B$252,0),0)</f>
        <v>0</v>
      </c>
      <c r="L2987" s="169">
        <f>IFERROR(MATCH(J2987,'Final List'!$D$4:$D$252,0),0)</f>
        <v>0</v>
      </c>
      <c r="M2987" s="169">
        <f>IFERROR(MATCH(J2987,'Final List'!$F$4:$F$251,0),0)</f>
        <v>0</v>
      </c>
      <c r="N2987" s="169">
        <f>IFERROR(MATCH(J2987,'Final List'!$H$4:$H$252,0),0)</f>
        <v>0</v>
      </c>
      <c r="O2987" s="169">
        <f>IFERROR(MATCH(J2987,'Final List'!$J$4:$J$252,0),0)</f>
        <v>0</v>
      </c>
      <c r="P2987" s="169">
        <f>IFERROR(MATCH(J2987,'Final List'!$L$4:$L$252,0),0)</f>
        <v>0</v>
      </c>
      <c r="Q2987" s="169">
        <f>IFERROR(MATCH(J2987,'Final List'!$N$4:$N$252,0),0)</f>
        <v>0</v>
      </c>
      <c r="R2987" s="169">
        <f>IFERROR(MATCH(J2987,'Final List'!$P$4:$P$252,0),0)</f>
        <v>0</v>
      </c>
      <c r="S2987" s="169">
        <f t="shared" si="186"/>
        <v>0</v>
      </c>
      <c r="V2987" s="169" t="str">
        <f t="shared" si="187"/>
        <v>COMAINGKING 1</v>
      </c>
      <c r="W2987" s="169" t="s">
        <v>2714</v>
      </c>
    </row>
    <row r="2988" spans="2:23" x14ac:dyDescent="0.25">
      <c r="B2988" s="169" t="s">
        <v>1167</v>
      </c>
      <c r="C2988" s="169" t="s">
        <v>38</v>
      </c>
      <c r="D2988" s="169" t="s">
        <v>165</v>
      </c>
      <c r="E2988" s="169" t="s">
        <v>36</v>
      </c>
      <c r="F2988" s="245" t="str">
        <f t="shared" si="185"/>
        <v>StpS 77</v>
      </c>
      <c r="G2988" s="169" t="s">
        <v>10253</v>
      </c>
      <c r="H2988" s="169" t="s">
        <v>12568</v>
      </c>
      <c r="I2988" s="169" t="str">
        <f t="shared" si="184"/>
        <v>L12_GHV_056E_STOPE</v>
      </c>
      <c r="J2988" s="169" t="s">
        <v>12524</v>
      </c>
      <c r="K2988" s="169">
        <f>IFERROR(MATCH(J2988,'Final List'!$B$4:$B$252,0),0)</f>
        <v>0</v>
      </c>
      <c r="L2988" s="169">
        <f>IFERROR(MATCH(J2988,'Final List'!$D$4:$D$252,0),0)</f>
        <v>0</v>
      </c>
      <c r="M2988" s="169">
        <f>IFERROR(MATCH(J2988,'Final List'!$F$4:$F$251,0),0)</f>
        <v>0</v>
      </c>
      <c r="N2988" s="169">
        <f>IFERROR(MATCH(J2988,'Final List'!$H$4:$H$252,0),0)</f>
        <v>0</v>
      </c>
      <c r="O2988" s="169">
        <f>IFERROR(MATCH(J2988,'Final List'!$J$4:$J$252,0),0)</f>
        <v>0</v>
      </c>
      <c r="P2988" s="169">
        <f>IFERROR(MATCH(J2988,'Final List'!$L$4:$L$252,0),0)</f>
        <v>0</v>
      </c>
      <c r="Q2988" s="169">
        <f>IFERROR(MATCH(J2988,'Final List'!$N$4:$N$252,0),0)</f>
        <v>0</v>
      </c>
      <c r="R2988" s="169">
        <f>IFERROR(MATCH(J2988,'Final List'!$P$4:$P$252,0),0)</f>
        <v>0</v>
      </c>
      <c r="S2988" s="169">
        <f t="shared" si="186"/>
        <v>0</v>
      </c>
      <c r="T2988" s="169" t="s">
        <v>68</v>
      </c>
      <c r="V2988" s="169" t="str">
        <f t="shared" si="187"/>
        <v>NITRO BP</v>
      </c>
      <c r="W2988" s="169" t="s">
        <v>2713</v>
      </c>
    </row>
    <row r="2989" spans="2:23" x14ac:dyDescent="0.25">
      <c r="B2989" s="169" t="s">
        <v>1166</v>
      </c>
      <c r="C2989" s="169" t="s">
        <v>55</v>
      </c>
      <c r="D2989" s="169" t="s">
        <v>146</v>
      </c>
      <c r="E2989" s="169" t="s">
        <v>19</v>
      </c>
      <c r="F2989" s="245" t="str">
        <f t="shared" si="185"/>
        <v>DVR 72</v>
      </c>
      <c r="G2989" s="169" t="s">
        <v>12072</v>
      </c>
      <c r="I2989" s="169" t="str">
        <f t="shared" si="184"/>
        <v>L11_JVFW_030E_RAISE</v>
      </c>
      <c r="J2989" s="169" t="s">
        <v>12452</v>
      </c>
      <c r="K2989" s="169">
        <f>IFERROR(MATCH(J2989,'Final List'!$B$4:$B$252,0),0)</f>
        <v>0</v>
      </c>
      <c r="L2989" s="169">
        <f>IFERROR(MATCH(J2989,'Final List'!$D$4:$D$252,0),0)</f>
        <v>0</v>
      </c>
      <c r="M2989" s="169">
        <f>IFERROR(MATCH(J2989,'Final List'!$F$4:$F$251,0),0)</f>
        <v>0</v>
      </c>
      <c r="N2989" s="169">
        <f>IFERROR(MATCH(J2989,'Final List'!$H$4:$H$252,0),0)</f>
        <v>0</v>
      </c>
      <c r="O2989" s="169">
        <f>IFERROR(MATCH(J2989,'Final List'!$J$4:$J$252,0),0)</f>
        <v>0</v>
      </c>
      <c r="P2989" s="169">
        <f>IFERROR(MATCH(J2989,'Final List'!$L$4:$L$252,0),0)</f>
        <v>0</v>
      </c>
      <c r="Q2989" s="169">
        <f>IFERROR(MATCH(J2989,'Final List'!$N$4:$N$252,0),0)</f>
        <v>0</v>
      </c>
      <c r="R2989" s="169">
        <f>IFERROR(MATCH(J2989,'Final List'!$P$4:$P$252,0),0)</f>
        <v>0</v>
      </c>
      <c r="S2989" s="169">
        <f t="shared" si="186"/>
        <v>0</v>
      </c>
      <c r="V2989" s="169" t="str">
        <f t="shared" si="187"/>
        <v>NITRO BB 1</v>
      </c>
      <c r="W2989" s="169" t="s">
        <v>2715</v>
      </c>
    </row>
    <row r="2990" spans="2:23" x14ac:dyDescent="0.25">
      <c r="B2990" s="169" t="s">
        <v>258</v>
      </c>
      <c r="C2990" s="169" t="s">
        <v>38</v>
      </c>
      <c r="D2990" s="169" t="s">
        <v>5723</v>
      </c>
      <c r="E2990" s="169" t="s">
        <v>62</v>
      </c>
      <c r="F2990" s="245" t="str">
        <f t="shared" si="185"/>
        <v>RobS 79</v>
      </c>
      <c r="G2990" s="169" t="s">
        <v>12244</v>
      </c>
      <c r="I2990" s="169" t="str">
        <f t="shared" ref="I2990:I3037" si="188">CONCATENATE(B2990,"_",C2990,"_",D2990,"_",E2990)</f>
        <v>L10_GHV_046E_ROBBING</v>
      </c>
      <c r="J2990" s="169" t="s">
        <v>12454</v>
      </c>
      <c r="K2990" s="169">
        <f>IFERROR(MATCH(J2990,'Final List'!$B$4:$B$252,0),0)</f>
        <v>0</v>
      </c>
      <c r="L2990" s="169">
        <f>IFERROR(MATCH(J2990,'Final List'!$D$4:$D$252,0),0)</f>
        <v>0</v>
      </c>
      <c r="M2990" s="169">
        <f>IFERROR(MATCH(J2990,'Final List'!$F$4:$F$251,0),0)</f>
        <v>0</v>
      </c>
      <c r="N2990" s="169">
        <f>IFERROR(MATCH(J2990,'Final List'!$H$4:$H$252,0),0)</f>
        <v>0</v>
      </c>
      <c r="O2990" s="169">
        <f>IFERROR(MATCH(J2990,'Final List'!$J$4:$J$252,0),0)</f>
        <v>0</v>
      </c>
      <c r="P2990" s="169">
        <f>IFERROR(MATCH(J2990,'Final List'!$L$4:$L$252,0),0)</f>
        <v>0</v>
      </c>
      <c r="Q2990" s="169">
        <f>IFERROR(MATCH(J2990,'Final List'!$N$4:$N$252,0),0)</f>
        <v>0</v>
      </c>
      <c r="R2990" s="169">
        <f>IFERROR(MATCH(J2990,'Final List'!$P$4:$P$252,0),0)</f>
        <v>0</v>
      </c>
      <c r="S2990" s="169">
        <f t="shared" si="186"/>
        <v>0</v>
      </c>
      <c r="T2990" s="169" t="s">
        <v>68</v>
      </c>
      <c r="V2990" s="169" t="str">
        <f t="shared" si="187"/>
        <v>NITRO AY</v>
      </c>
      <c r="W2990" s="169" t="s">
        <v>2707</v>
      </c>
    </row>
    <row r="2991" spans="2:23" x14ac:dyDescent="0.25">
      <c r="B2991" s="169" t="s">
        <v>1167</v>
      </c>
      <c r="C2991" s="169" t="s">
        <v>59</v>
      </c>
      <c r="D2991" s="169" t="s">
        <v>178</v>
      </c>
      <c r="E2991" s="169" t="s">
        <v>61</v>
      </c>
      <c r="F2991" s="245" t="str">
        <f t="shared" si="185"/>
        <v>Dhoz 71</v>
      </c>
      <c r="G2991" s="169" t="s">
        <v>12236</v>
      </c>
      <c r="I2991" s="169" t="str">
        <f t="shared" si="188"/>
        <v>L12_GHVHW_048E_DW</v>
      </c>
      <c r="J2991" s="169" t="s">
        <v>12455</v>
      </c>
      <c r="K2991" s="169">
        <f>IFERROR(MATCH(J2991,'Final List'!$B$4:$B$252,0),0)</f>
        <v>0</v>
      </c>
      <c r="L2991" s="169">
        <f>IFERROR(MATCH(J2991,'Final List'!$D$4:$D$252,0),0)</f>
        <v>0</v>
      </c>
      <c r="M2991" s="169">
        <f>IFERROR(MATCH(J2991,'Final List'!$F$4:$F$251,0),0)</f>
        <v>0</v>
      </c>
      <c r="N2991" s="169">
        <f>IFERROR(MATCH(J2991,'Final List'!$H$4:$H$252,0),0)</f>
        <v>0</v>
      </c>
      <c r="O2991" s="169">
        <f>IFERROR(MATCH(J2991,'Final List'!$J$4:$J$252,0),0)</f>
        <v>0</v>
      </c>
      <c r="P2991" s="169">
        <f>IFERROR(MATCH(J2991,'Final List'!$L$4:$L$252,0),0)</f>
        <v>0</v>
      </c>
      <c r="Q2991" s="169">
        <f>IFERROR(MATCH(J2991,'Final List'!$N$4:$N$252,0),0)</f>
        <v>0</v>
      </c>
      <c r="R2991" s="169">
        <f>IFERROR(MATCH(J2991,'Final List'!$P$4:$P$252,0),0)</f>
        <v>0</v>
      </c>
      <c r="S2991" s="169">
        <f t="shared" si="186"/>
        <v>0</v>
      </c>
      <c r="V2991" s="169" t="str">
        <f t="shared" si="187"/>
        <v>NITRO BA 2</v>
      </c>
      <c r="W2991" s="169" t="s">
        <v>8896</v>
      </c>
    </row>
    <row r="2992" spans="2:23" x14ac:dyDescent="0.25">
      <c r="B2992" s="169" t="s">
        <v>1167</v>
      </c>
      <c r="C2992" s="169" t="s">
        <v>87</v>
      </c>
      <c r="D2992" s="169" t="s">
        <v>178</v>
      </c>
      <c r="E2992" s="169" t="s">
        <v>37</v>
      </c>
      <c r="F2992" s="245" t="str">
        <f t="shared" si="185"/>
        <v>Dhoz 71</v>
      </c>
      <c r="G2992" s="169" t="s">
        <v>12236</v>
      </c>
      <c r="I2992" s="169" t="str">
        <f t="shared" si="188"/>
        <v>L12_NONE_048E_XCN</v>
      </c>
      <c r="J2992" s="169" t="s">
        <v>12456</v>
      </c>
      <c r="K2992" s="169">
        <f>IFERROR(MATCH(J2992,'Final List'!$B$4:$B$252,0),0)</f>
        <v>0</v>
      </c>
      <c r="L2992" s="169">
        <f>IFERROR(MATCH(J2992,'Final List'!$D$4:$D$252,0),0)</f>
        <v>0</v>
      </c>
      <c r="M2992" s="169">
        <f>IFERROR(MATCH(J2992,'Final List'!$F$4:$F$251,0),0)</f>
        <v>0</v>
      </c>
      <c r="N2992" s="169">
        <f>IFERROR(MATCH(J2992,'Final List'!$H$4:$H$252,0),0)</f>
        <v>0</v>
      </c>
      <c r="O2992" s="169">
        <f>IFERROR(MATCH(J2992,'Final List'!$J$4:$J$252,0),0)</f>
        <v>0</v>
      </c>
      <c r="P2992" s="169">
        <f>IFERROR(MATCH(J2992,'Final List'!$L$4:$L$252,0),0)</f>
        <v>0</v>
      </c>
      <c r="Q2992" s="169">
        <f>IFERROR(MATCH(J2992,'Final List'!$N$4:$N$252,0),0)</f>
        <v>0</v>
      </c>
      <c r="R2992" s="169">
        <f>IFERROR(MATCH(J2992,'Final List'!$P$4:$P$252,0),0)</f>
        <v>0</v>
      </c>
      <c r="S2992" s="169">
        <f t="shared" si="186"/>
        <v>0</v>
      </c>
      <c r="V2992" s="169" t="str">
        <f t="shared" si="187"/>
        <v>NITRO BA 2</v>
      </c>
      <c r="W2992" s="169" t="s">
        <v>8898</v>
      </c>
    </row>
    <row r="2993" spans="2:23" x14ac:dyDescent="0.25">
      <c r="B2993" s="169" t="s">
        <v>12320</v>
      </c>
      <c r="C2993" s="169" t="s">
        <v>42</v>
      </c>
      <c r="D2993" s="169" t="s">
        <v>179</v>
      </c>
      <c r="E2993" s="169" t="s">
        <v>60</v>
      </c>
      <c r="F2993" s="245" t="str">
        <f t="shared" si="185"/>
        <v>Dhoz 71</v>
      </c>
      <c r="G2993" s="169" t="s">
        <v>5697</v>
      </c>
      <c r="I2993" s="169" t="str">
        <f t="shared" si="188"/>
        <v>L425_JV_050E_DE</v>
      </c>
      <c r="J2993" s="169" t="s">
        <v>12457</v>
      </c>
      <c r="K2993" s="169">
        <f>IFERROR(MATCH(J2993,'Final List'!$B$4:$B$252,0),0)</f>
        <v>0</v>
      </c>
      <c r="L2993" s="169">
        <f>IFERROR(MATCH(J2993,'Final List'!$D$4:$D$252,0),0)</f>
        <v>0</v>
      </c>
      <c r="M2993" s="169">
        <f>IFERROR(MATCH(J2993,'Final List'!$F$4:$F$251,0),0)</f>
        <v>0</v>
      </c>
      <c r="N2993" s="169">
        <f>IFERROR(MATCH(J2993,'Final List'!$H$4:$H$252,0),0)</f>
        <v>0</v>
      </c>
      <c r="O2993" s="169">
        <f>IFERROR(MATCH(J2993,'Final List'!$J$4:$J$252,0),0)</f>
        <v>0</v>
      </c>
      <c r="P2993" s="169">
        <f>IFERROR(MATCH(J2993,'Final List'!$L$4:$L$252,0),0)</f>
        <v>0</v>
      </c>
      <c r="Q2993" s="169">
        <f>IFERROR(MATCH(J2993,'Final List'!$N$4:$N$252,0),0)</f>
        <v>0</v>
      </c>
      <c r="R2993" s="169">
        <f>IFERROR(MATCH(J2993,'Final List'!$P$4:$P$252,0),0)</f>
        <v>0</v>
      </c>
      <c r="S2993" s="169">
        <f t="shared" si="186"/>
        <v>0</v>
      </c>
      <c r="V2993" s="169" t="str">
        <f t="shared" si="187"/>
        <v>OLIVEROS 1</v>
      </c>
      <c r="W2993" s="169" t="s">
        <v>8896</v>
      </c>
    </row>
    <row r="2994" spans="2:23" x14ac:dyDescent="0.25">
      <c r="B2994" s="169" t="s">
        <v>12320</v>
      </c>
      <c r="C2994" s="169" t="s">
        <v>38</v>
      </c>
      <c r="D2994" s="169" t="s">
        <v>177</v>
      </c>
      <c r="E2994" s="169" t="s">
        <v>60</v>
      </c>
      <c r="F2994" s="245" t="str">
        <f t="shared" si="185"/>
        <v>Dhoz 71</v>
      </c>
      <c r="G2994" s="169" t="s">
        <v>522</v>
      </c>
      <c r="H2994" s="169" t="s">
        <v>742</v>
      </c>
      <c r="I2994" s="169" t="str">
        <f t="shared" si="188"/>
        <v>L425_GHV_054E_DE</v>
      </c>
      <c r="J2994" s="169" t="s">
        <v>12464</v>
      </c>
      <c r="K2994" s="169">
        <f>IFERROR(MATCH(J2994,'Final List'!$B$4:$B$252,0),0)</f>
        <v>0</v>
      </c>
      <c r="L2994" s="169">
        <f>IFERROR(MATCH(J2994,'Final List'!$D$4:$D$252,0),0)</f>
        <v>0</v>
      </c>
      <c r="M2994" s="169">
        <f>IFERROR(MATCH(J2994,'Final List'!$F$4:$F$251,0),0)</f>
        <v>0</v>
      </c>
      <c r="N2994" s="169">
        <f>IFERROR(MATCH(J2994,'Final List'!$H$4:$H$252,0),0)</f>
        <v>0</v>
      </c>
      <c r="O2994" s="169">
        <f>IFERROR(MATCH(J2994,'Final List'!$J$4:$J$252,0),0)</f>
        <v>0</v>
      </c>
      <c r="P2994" s="169">
        <f>IFERROR(MATCH(J2994,'Final List'!$L$4:$L$252,0),0)</f>
        <v>0</v>
      </c>
      <c r="Q2994" s="169">
        <f>IFERROR(MATCH(J2994,'Final List'!$N$4:$N$252,0),0)</f>
        <v>0</v>
      </c>
      <c r="R2994" s="169">
        <f>IFERROR(MATCH(J2994,'Final List'!$P$4:$P$252,0),0)</f>
        <v>0</v>
      </c>
      <c r="S2994" s="169">
        <f t="shared" si="186"/>
        <v>0</v>
      </c>
      <c r="V2994" s="169" t="str">
        <f t="shared" si="187"/>
        <v>REBOTE 2</v>
      </c>
      <c r="W2994" s="169" t="s">
        <v>8896</v>
      </c>
    </row>
    <row r="2995" spans="2:23" x14ac:dyDescent="0.25">
      <c r="B2995" s="169" t="s">
        <v>12320</v>
      </c>
      <c r="C2995" s="169" t="s">
        <v>38</v>
      </c>
      <c r="D2995" s="169" t="s">
        <v>5602</v>
      </c>
      <c r="E2995" s="169" t="s">
        <v>61</v>
      </c>
      <c r="F2995" s="245" t="str">
        <f t="shared" si="185"/>
        <v>Dhoz 71</v>
      </c>
      <c r="G2995" s="169" t="s">
        <v>522</v>
      </c>
      <c r="H2995" s="169" t="s">
        <v>747</v>
      </c>
      <c r="I2995" s="169" t="str">
        <f t="shared" si="188"/>
        <v>L425_GHV_053E_DW</v>
      </c>
      <c r="J2995" s="169" t="s">
        <v>12465</v>
      </c>
      <c r="K2995" s="169">
        <f>IFERROR(MATCH(J2995,'Final List'!$B$4:$B$252,0),0)</f>
        <v>0</v>
      </c>
      <c r="L2995" s="169">
        <f>IFERROR(MATCH(J2995,'Final List'!$D$4:$D$252,0),0)</f>
        <v>0</v>
      </c>
      <c r="M2995" s="169">
        <f>IFERROR(MATCH(J2995,'Final List'!$F$4:$F$251,0),0)</f>
        <v>0</v>
      </c>
      <c r="N2995" s="169">
        <f>IFERROR(MATCH(J2995,'Final List'!$H$4:$H$252,0),0)</f>
        <v>0</v>
      </c>
      <c r="O2995" s="169">
        <f>IFERROR(MATCH(J2995,'Final List'!$J$4:$J$252,0),0)</f>
        <v>0</v>
      </c>
      <c r="P2995" s="169">
        <f>IFERROR(MATCH(J2995,'Final List'!$L$4:$L$252,0),0)</f>
        <v>0</v>
      </c>
      <c r="Q2995" s="169">
        <f>IFERROR(MATCH(J2995,'Final List'!$N$4:$N$252,0),0)</f>
        <v>0</v>
      </c>
      <c r="R2995" s="169">
        <f>IFERROR(MATCH(J2995,'Final List'!$P$4:$P$252,0),0)</f>
        <v>0</v>
      </c>
      <c r="S2995" s="169">
        <f t="shared" si="186"/>
        <v>0</v>
      </c>
      <c r="V2995" s="169" t="str">
        <f t="shared" si="187"/>
        <v>REBOTE</v>
      </c>
      <c r="W2995" s="169" t="s">
        <v>8896</v>
      </c>
    </row>
    <row r="2996" spans="2:23" x14ac:dyDescent="0.25">
      <c r="B2996" s="169" t="s">
        <v>258</v>
      </c>
      <c r="C2996" s="169" t="s">
        <v>45</v>
      </c>
      <c r="D2996" s="169" t="s">
        <v>5689</v>
      </c>
      <c r="E2996" s="169" t="s">
        <v>61</v>
      </c>
      <c r="F2996" s="245" t="str">
        <f t="shared" si="185"/>
        <v>Dhoz 71</v>
      </c>
      <c r="G2996" s="169" t="s">
        <v>5697</v>
      </c>
      <c r="I2996" s="169" t="str">
        <f t="shared" si="188"/>
        <v>L10_DPVE_003E_DW</v>
      </c>
      <c r="J2996" s="169" t="s">
        <v>12475</v>
      </c>
      <c r="K2996" s="169">
        <f>IFERROR(MATCH(J2996,'Final List'!$B$4:$B$252,0),0)</f>
        <v>0</v>
      </c>
      <c r="L2996" s="169">
        <f>IFERROR(MATCH(J2996,'Final List'!$D$4:$D$252,0),0)</f>
        <v>0</v>
      </c>
      <c r="M2996" s="169">
        <f>IFERROR(MATCH(J2996,'Final List'!$F$4:$F$251,0),0)</f>
        <v>0</v>
      </c>
      <c r="N2996" s="169">
        <f>IFERROR(MATCH(J2996,'Final List'!$H$4:$H$252,0),0)</f>
        <v>0</v>
      </c>
      <c r="O2996" s="169">
        <f>IFERROR(MATCH(J2996,'Final List'!$J$4:$J$252,0),0)</f>
        <v>0</v>
      </c>
      <c r="P2996" s="169">
        <f>IFERROR(MATCH(J2996,'Final List'!$L$4:$L$252,0),0)</f>
        <v>0</v>
      </c>
      <c r="Q2996" s="169">
        <f>IFERROR(MATCH(J2996,'Final List'!$N$4:$N$252,0),0)</f>
        <v>0</v>
      </c>
      <c r="R2996" s="169">
        <f>IFERROR(MATCH(J2996,'Final List'!$P$4:$P$252,0),0)</f>
        <v>0</v>
      </c>
      <c r="S2996" s="169">
        <f t="shared" si="186"/>
        <v>0</v>
      </c>
      <c r="V2996" s="169" t="str">
        <f t="shared" si="187"/>
        <v>OLIVEROS 1</v>
      </c>
      <c r="W2996" s="169" t="s">
        <v>8896</v>
      </c>
    </row>
    <row r="2997" spans="2:23" x14ac:dyDescent="0.25">
      <c r="B2997" s="169" t="s">
        <v>1166</v>
      </c>
      <c r="C2997" s="169" t="s">
        <v>43</v>
      </c>
      <c r="D2997" s="169" t="s">
        <v>123</v>
      </c>
      <c r="E2997" s="169" t="s">
        <v>19</v>
      </c>
      <c r="F2997" s="245" t="str">
        <f t="shared" si="185"/>
        <v>DVR 72</v>
      </c>
      <c r="G2997" s="169" t="s">
        <v>12069</v>
      </c>
      <c r="I2997" s="169" t="str">
        <f t="shared" si="188"/>
        <v>L11_GHVSPLIT_031E_RAISE</v>
      </c>
      <c r="J2997" s="169" t="s">
        <v>12477</v>
      </c>
      <c r="K2997" s="169">
        <f>IFERROR(MATCH(J2997,'Final List'!$B$4:$B$252,0),0)</f>
        <v>0</v>
      </c>
      <c r="L2997" s="169">
        <f>IFERROR(MATCH(J2997,'Final List'!$D$4:$D$252,0),0)</f>
        <v>0</v>
      </c>
      <c r="M2997" s="169">
        <f>IFERROR(MATCH(J2997,'Final List'!$F$4:$F$251,0),0)</f>
        <v>0</v>
      </c>
      <c r="N2997" s="169">
        <f>IFERROR(MATCH(J2997,'Final List'!$H$4:$H$252,0),0)</f>
        <v>0</v>
      </c>
      <c r="O2997" s="169">
        <f>IFERROR(MATCH(J2997,'Final List'!$J$4:$J$252,0),0)</f>
        <v>0</v>
      </c>
      <c r="P2997" s="169">
        <f>IFERROR(MATCH(J2997,'Final List'!$L$4:$L$252,0),0)</f>
        <v>0</v>
      </c>
      <c r="Q2997" s="169">
        <f>IFERROR(MATCH(J2997,'Final List'!$N$4:$N$252,0),0)</f>
        <v>0</v>
      </c>
      <c r="R2997" s="169">
        <f>IFERROR(MATCH(J2997,'Final List'!$P$4:$P$252,0),0)</f>
        <v>0</v>
      </c>
      <c r="S2997" s="169">
        <f t="shared" si="186"/>
        <v>0</v>
      </c>
      <c r="V2997" s="169" t="str">
        <f t="shared" si="187"/>
        <v>NITRO BE 1</v>
      </c>
      <c r="W2997" s="169" t="s">
        <v>2715</v>
      </c>
    </row>
    <row r="2998" spans="2:23" x14ac:dyDescent="0.25">
      <c r="B2998" s="169" t="s">
        <v>1166</v>
      </c>
      <c r="C2998" s="169" t="s">
        <v>59</v>
      </c>
      <c r="D2998" s="169" t="s">
        <v>164</v>
      </c>
      <c r="E2998" s="169" t="s">
        <v>36</v>
      </c>
      <c r="F2998" s="245" t="str">
        <f t="shared" si="185"/>
        <v>StpS 77</v>
      </c>
      <c r="G2998" s="169" t="s">
        <v>367</v>
      </c>
      <c r="I2998" s="169" t="str">
        <f t="shared" si="188"/>
        <v>L11_GHVHW_064E_STOPE</v>
      </c>
      <c r="J2998" s="169" t="s">
        <v>12553</v>
      </c>
      <c r="K2998" s="169">
        <f>IFERROR(MATCH(J2998,'Final List'!$B$4:$B$252,0),0)</f>
        <v>0</v>
      </c>
      <c r="L2998" s="169">
        <f>IFERROR(MATCH(J2998,'Final List'!$D$4:$D$252,0),0)</f>
        <v>0</v>
      </c>
      <c r="M2998" s="169">
        <f>IFERROR(MATCH(J2998,'Final List'!$F$4:$F$251,0),0)</f>
        <v>0</v>
      </c>
      <c r="N2998" s="169">
        <f>IFERROR(MATCH(J2998,'Final List'!$H$4:$H$252,0),0)</f>
        <v>0</v>
      </c>
      <c r="O2998" s="169">
        <f>IFERROR(MATCH(J2998,'Final List'!$J$4:$J$252,0),0)</f>
        <v>0</v>
      </c>
      <c r="P2998" s="169">
        <f>IFERROR(MATCH(J2998,'Final List'!$L$4:$L$252,0),0)</f>
        <v>0</v>
      </c>
      <c r="Q2998" s="169">
        <f>IFERROR(MATCH(J2998,'Final List'!$N$4:$N$252,0),0)</f>
        <v>0</v>
      </c>
      <c r="R2998" s="169">
        <f>IFERROR(MATCH(J2998,'Final List'!$P$4:$P$252,0),0)</f>
        <v>0</v>
      </c>
      <c r="S2998" s="169">
        <f t="shared" si="186"/>
        <v>0</v>
      </c>
      <c r="T2998" s="169" t="s">
        <v>68</v>
      </c>
      <c r="V2998" s="169" t="str">
        <f t="shared" si="187"/>
        <v>LERIO 1</v>
      </c>
      <c r="W2998" s="169" t="s">
        <v>2713</v>
      </c>
    </row>
    <row r="2999" spans="2:23" x14ac:dyDescent="0.25">
      <c r="B2999" s="169" t="s">
        <v>1166</v>
      </c>
      <c r="C2999" s="169" t="s">
        <v>87</v>
      </c>
      <c r="D2999" s="169" t="s">
        <v>119</v>
      </c>
      <c r="E2999" s="169" t="s">
        <v>37</v>
      </c>
      <c r="F2999" s="245" t="str">
        <f t="shared" si="185"/>
        <v>Dhoz 71</v>
      </c>
      <c r="G2999" s="169" t="s">
        <v>10758</v>
      </c>
      <c r="I2999" s="169" t="str">
        <f t="shared" si="188"/>
        <v>L11_NONE_012E_XCN</v>
      </c>
      <c r="J2999" s="169" t="s">
        <v>12479</v>
      </c>
      <c r="K2999" s="169">
        <f>IFERROR(MATCH(J2999,'Final List'!$B$4:$B$252,0),0)</f>
        <v>0</v>
      </c>
      <c r="L2999" s="169">
        <f>IFERROR(MATCH(J2999,'Final List'!$D$4:$D$252,0),0)</f>
        <v>0</v>
      </c>
      <c r="M2999" s="169">
        <f>IFERROR(MATCH(J2999,'Final List'!$F$4:$F$251,0),0)</f>
        <v>0</v>
      </c>
      <c r="N2999" s="169">
        <f>IFERROR(MATCH(J2999,'Final List'!$H$4:$H$252,0),0)</f>
        <v>0</v>
      </c>
      <c r="O2999" s="169">
        <f>IFERROR(MATCH(J2999,'Final List'!$J$4:$J$252,0),0)</f>
        <v>0</v>
      </c>
      <c r="P2999" s="169">
        <f>IFERROR(MATCH(J2999,'Final List'!$L$4:$L$252,0),0)</f>
        <v>0</v>
      </c>
      <c r="Q2999" s="169">
        <f>IFERROR(MATCH(J2999,'Final List'!$N$4:$N$252,0),0)</f>
        <v>0</v>
      </c>
      <c r="R2999" s="169">
        <f>IFERROR(MATCH(J2999,'Final List'!$P$4:$P$252,0),0)</f>
        <v>0</v>
      </c>
      <c r="S2999" s="169">
        <f t="shared" si="186"/>
        <v>0</v>
      </c>
      <c r="V2999" s="169" t="str">
        <f t="shared" si="187"/>
        <v>MARTINEZ, DN</v>
      </c>
      <c r="W2999" s="169" t="s">
        <v>8898</v>
      </c>
    </row>
    <row r="3000" spans="2:23" x14ac:dyDescent="0.25">
      <c r="B3000" s="169" t="s">
        <v>1166</v>
      </c>
      <c r="C3000" s="169" t="s">
        <v>87</v>
      </c>
      <c r="D3000" s="169" t="s">
        <v>161</v>
      </c>
      <c r="E3000" s="169" t="s">
        <v>63</v>
      </c>
      <c r="F3000" s="245" t="str">
        <f t="shared" si="185"/>
        <v>Dhoz 71</v>
      </c>
      <c r="G3000" s="169" t="s">
        <v>342</v>
      </c>
      <c r="I3000" s="169" t="str">
        <f t="shared" si="188"/>
        <v>L11_NONE_044E_XCS</v>
      </c>
      <c r="J3000" s="169" t="s">
        <v>12480</v>
      </c>
      <c r="K3000" s="169">
        <f>IFERROR(MATCH(J3000,'Final List'!$B$4:$B$252,0),0)</f>
        <v>0</v>
      </c>
      <c r="L3000" s="169">
        <f>IFERROR(MATCH(J3000,'Final List'!$D$4:$D$252,0),0)</f>
        <v>0</v>
      </c>
      <c r="M3000" s="169">
        <f>IFERROR(MATCH(J3000,'Final List'!$F$4:$F$251,0),0)</f>
        <v>0</v>
      </c>
      <c r="N3000" s="169">
        <f>IFERROR(MATCH(J3000,'Final List'!$H$4:$H$252,0),0)</f>
        <v>0</v>
      </c>
      <c r="O3000" s="169">
        <f>IFERROR(MATCH(J3000,'Final List'!$J$4:$J$252,0),0)</f>
        <v>0</v>
      </c>
      <c r="P3000" s="169">
        <f>IFERROR(MATCH(J3000,'Final List'!$L$4:$L$252,0),0)</f>
        <v>0</v>
      </c>
      <c r="Q3000" s="169">
        <f>IFERROR(MATCH(J3000,'Final List'!$N$4:$N$252,0),0)</f>
        <v>0</v>
      </c>
      <c r="R3000" s="169">
        <f>IFERROR(MATCH(J3000,'Final List'!$P$4:$P$252,0),0)</f>
        <v>0</v>
      </c>
      <c r="S3000" s="169">
        <f t="shared" si="186"/>
        <v>0</v>
      </c>
      <c r="V3000" s="169" t="str">
        <f t="shared" si="187"/>
        <v>BADBADON 2</v>
      </c>
      <c r="W3000" s="169" t="s">
        <v>2714</v>
      </c>
    </row>
    <row r="3001" spans="2:23" x14ac:dyDescent="0.25">
      <c r="B3001" s="169" t="s">
        <v>258</v>
      </c>
      <c r="C3001" s="169" t="s">
        <v>45</v>
      </c>
      <c r="D3001" s="169" t="s">
        <v>5887</v>
      </c>
      <c r="E3001" s="169" t="s">
        <v>62</v>
      </c>
      <c r="F3001" s="245" t="str">
        <f t="shared" si="185"/>
        <v>RobS 79</v>
      </c>
      <c r="G3001" s="169" t="s">
        <v>12064</v>
      </c>
      <c r="I3001" s="169" t="str">
        <f t="shared" si="188"/>
        <v>L10_DPVE_085E_ROBBING</v>
      </c>
      <c r="J3001" s="169" t="s">
        <v>12483</v>
      </c>
      <c r="K3001" s="169">
        <f>IFERROR(MATCH(J3001,'Final List'!$B$4:$B$252,0),0)</f>
        <v>0</v>
      </c>
      <c r="L3001" s="169">
        <f>IFERROR(MATCH(J3001,'Final List'!$D$4:$D$252,0),0)</f>
        <v>0</v>
      </c>
      <c r="M3001" s="169">
        <f>IFERROR(MATCH(J3001,'Final List'!$F$4:$F$251,0),0)</f>
        <v>0</v>
      </c>
      <c r="N3001" s="169">
        <f>IFERROR(MATCH(J3001,'Final List'!$H$4:$H$252,0),0)</f>
        <v>0</v>
      </c>
      <c r="O3001" s="169">
        <f>IFERROR(MATCH(J3001,'Final List'!$J$4:$J$252,0),0)</f>
        <v>0</v>
      </c>
      <c r="P3001" s="169">
        <f>IFERROR(MATCH(J3001,'Final List'!$L$4:$L$252,0),0)</f>
        <v>0</v>
      </c>
      <c r="Q3001" s="169">
        <f>IFERROR(MATCH(J3001,'Final List'!$N$4:$N$252,0),0)</f>
        <v>0</v>
      </c>
      <c r="R3001" s="169">
        <f>IFERROR(MATCH(J3001,'Final List'!$P$4:$P$252,0),0)</f>
        <v>0</v>
      </c>
      <c r="S3001" s="169">
        <f t="shared" si="186"/>
        <v>0</v>
      </c>
      <c r="T3001" s="169" t="s">
        <v>68</v>
      </c>
      <c r="V3001" s="169" t="str">
        <f t="shared" si="187"/>
        <v>NITRO AX</v>
      </c>
      <c r="W3001" s="169" t="s">
        <v>2707</v>
      </c>
    </row>
    <row r="3002" spans="2:23" x14ac:dyDescent="0.25">
      <c r="B3002" s="169" t="s">
        <v>95</v>
      </c>
      <c r="C3002" s="169" t="s">
        <v>56</v>
      </c>
      <c r="D3002" s="169" t="s">
        <v>117</v>
      </c>
      <c r="E3002" s="169" t="s">
        <v>20</v>
      </c>
      <c r="F3002" s="245" t="str">
        <f t="shared" si="185"/>
        <v>DVW 74</v>
      </c>
      <c r="G3002" s="169" t="s">
        <v>577</v>
      </c>
      <c r="I3002" s="169" t="str">
        <f t="shared" si="188"/>
        <v>L08_GHVFW_006W_WINZE</v>
      </c>
      <c r="J3002" s="169" t="s">
        <v>12485</v>
      </c>
      <c r="K3002" s="169">
        <f>IFERROR(MATCH(J3002,'Final List'!$B$4:$B$252,0),0)</f>
        <v>0</v>
      </c>
      <c r="L3002" s="169">
        <f>IFERROR(MATCH(J3002,'Final List'!$D$4:$D$252,0),0)</f>
        <v>0</v>
      </c>
      <c r="M3002" s="169">
        <f>IFERROR(MATCH(J3002,'Final List'!$F$4:$F$251,0),0)</f>
        <v>0</v>
      </c>
      <c r="N3002" s="169">
        <f>IFERROR(MATCH(J3002,'Final List'!$H$4:$H$252,0),0)</f>
        <v>0</v>
      </c>
      <c r="O3002" s="169">
        <f>IFERROR(MATCH(J3002,'Final List'!$J$4:$J$252,0),0)</f>
        <v>0</v>
      </c>
      <c r="P3002" s="169">
        <f>IFERROR(MATCH(J3002,'Final List'!$L$4:$L$252,0),0)</f>
        <v>0</v>
      </c>
      <c r="Q3002" s="169">
        <f>IFERROR(MATCH(J3002,'Final List'!$N$4:$N$252,0),0)</f>
        <v>0</v>
      </c>
      <c r="R3002" s="169">
        <f>IFERROR(MATCH(J3002,'Final List'!$P$4:$P$252,0),0)</f>
        <v>0</v>
      </c>
      <c r="S3002" s="169">
        <f t="shared" si="186"/>
        <v>0</v>
      </c>
      <c r="V3002" s="169" t="str">
        <f t="shared" si="187"/>
        <v>CARIKITAN 1</v>
      </c>
      <c r="W3002" s="169" t="s">
        <v>2706</v>
      </c>
    </row>
    <row r="3003" spans="2:23" x14ac:dyDescent="0.25">
      <c r="B3003" s="169" t="s">
        <v>95</v>
      </c>
      <c r="C3003" s="169" t="s">
        <v>87</v>
      </c>
      <c r="D3003" s="169" t="s">
        <v>5889</v>
      </c>
      <c r="E3003" s="169" t="s">
        <v>37</v>
      </c>
      <c r="F3003" s="245" t="str">
        <f t="shared" si="185"/>
        <v>Dhoz 71</v>
      </c>
      <c r="G3003" s="169" t="s">
        <v>12303</v>
      </c>
      <c r="I3003" s="169" t="str">
        <f t="shared" si="188"/>
        <v>L08_NONE_077E_XCN</v>
      </c>
      <c r="J3003" s="169" t="s">
        <v>12489</v>
      </c>
      <c r="K3003" s="169">
        <f>IFERROR(MATCH(J3003,'Final List'!$B$4:$B$252,0),0)</f>
        <v>0</v>
      </c>
      <c r="L3003" s="169">
        <f>IFERROR(MATCH(J3003,'Final List'!$D$4:$D$252,0),0)</f>
        <v>0</v>
      </c>
      <c r="M3003" s="169">
        <f>IFERROR(MATCH(J3003,'Final List'!$F$4:$F$251,0),0)</f>
        <v>0</v>
      </c>
      <c r="N3003" s="169">
        <f>IFERROR(MATCH(J3003,'Final List'!$H$4:$H$252,0),0)</f>
        <v>0</v>
      </c>
      <c r="O3003" s="169">
        <f>IFERROR(MATCH(J3003,'Final List'!$J$4:$J$252,0),0)</f>
        <v>0</v>
      </c>
      <c r="P3003" s="169">
        <f>IFERROR(MATCH(J3003,'Final List'!$L$4:$L$252,0),0)</f>
        <v>0</v>
      </c>
      <c r="Q3003" s="169">
        <f>IFERROR(MATCH(J3003,'Final List'!$N$4:$N$252,0),0)</f>
        <v>0</v>
      </c>
      <c r="R3003" s="169">
        <f>IFERROR(MATCH(J3003,'Final List'!$P$4:$P$252,0),0)</f>
        <v>0</v>
      </c>
      <c r="S3003" s="169">
        <f t="shared" si="186"/>
        <v>0</v>
      </c>
      <c r="V3003" s="169" t="str">
        <f t="shared" si="187"/>
        <v>CAPUYAN 3</v>
      </c>
      <c r="W3003" s="169" t="s">
        <v>8897</v>
      </c>
    </row>
    <row r="3004" spans="2:23" x14ac:dyDescent="0.25">
      <c r="B3004" s="169" t="s">
        <v>12320</v>
      </c>
      <c r="C3004" s="169" t="s">
        <v>87</v>
      </c>
      <c r="D3004" s="169" t="s">
        <v>5723</v>
      </c>
      <c r="E3004" s="169" t="s">
        <v>37</v>
      </c>
      <c r="F3004" s="245" t="str">
        <f t="shared" si="185"/>
        <v>Dhoz 71</v>
      </c>
      <c r="G3004" s="169" t="s">
        <v>5697</v>
      </c>
      <c r="I3004" s="169" t="str">
        <f t="shared" si="188"/>
        <v>L425_NONE_046E_XCN</v>
      </c>
      <c r="J3004" s="169" t="s">
        <v>12494</v>
      </c>
      <c r="K3004" s="169">
        <f>IFERROR(MATCH(J3004,'Final List'!$B$4:$B$252,0),0)</f>
        <v>0</v>
      </c>
      <c r="L3004" s="169">
        <f>IFERROR(MATCH(J3004,'Final List'!$D$4:$D$252,0),0)</f>
        <v>0</v>
      </c>
      <c r="M3004" s="169">
        <f>IFERROR(MATCH(J3004,'Final List'!$F$4:$F$251,0),0)</f>
        <v>0</v>
      </c>
      <c r="N3004" s="169">
        <f>IFERROR(MATCH(J3004,'Final List'!$H$4:$H$252,0),0)</f>
        <v>0</v>
      </c>
      <c r="O3004" s="169">
        <f>IFERROR(MATCH(J3004,'Final List'!$J$4:$J$252,0),0)</f>
        <v>0</v>
      </c>
      <c r="P3004" s="169">
        <f>IFERROR(MATCH(J3004,'Final List'!$L$4:$L$252,0),0)</f>
        <v>0</v>
      </c>
      <c r="Q3004" s="169">
        <f>IFERROR(MATCH(J3004,'Final List'!$N$4:$N$252,0),0)</f>
        <v>0</v>
      </c>
      <c r="R3004" s="169">
        <f>IFERROR(MATCH(J3004,'Final List'!$P$4:$P$252,0),0)</f>
        <v>0</v>
      </c>
      <c r="S3004" s="169">
        <f t="shared" si="186"/>
        <v>0</v>
      </c>
      <c r="V3004" s="169" t="str">
        <f t="shared" si="187"/>
        <v>OLIVEROS 1</v>
      </c>
      <c r="W3004" s="169" t="s">
        <v>8898</v>
      </c>
    </row>
    <row r="3005" spans="2:23" x14ac:dyDescent="0.25">
      <c r="B3005" s="169" t="s">
        <v>1167</v>
      </c>
      <c r="C3005" s="169" t="s">
        <v>43</v>
      </c>
      <c r="D3005" s="169" t="s">
        <v>170</v>
      </c>
      <c r="E3005" s="169" t="s">
        <v>60</v>
      </c>
      <c r="F3005" s="245" t="str">
        <f t="shared" si="185"/>
        <v>Dhoz 71</v>
      </c>
      <c r="G3005" s="169" t="s">
        <v>9885</v>
      </c>
      <c r="I3005" s="169" t="str">
        <f t="shared" si="188"/>
        <v>L12_GHVSPLIT_071E_DE</v>
      </c>
      <c r="J3005" s="169" t="s">
        <v>12495</v>
      </c>
      <c r="K3005" s="169">
        <f>IFERROR(MATCH(J3005,'Final List'!$B$4:$B$252,0),0)</f>
        <v>0</v>
      </c>
      <c r="L3005" s="169">
        <f>IFERROR(MATCH(J3005,'Final List'!$D$4:$D$252,0),0)</f>
        <v>0</v>
      </c>
      <c r="M3005" s="169">
        <f>IFERROR(MATCH(J3005,'Final List'!$F$4:$F$251,0),0)</f>
        <v>0</v>
      </c>
      <c r="N3005" s="169">
        <f>IFERROR(MATCH(J3005,'Final List'!$H$4:$H$252,0),0)</f>
        <v>0</v>
      </c>
      <c r="O3005" s="169">
        <f>IFERROR(MATCH(J3005,'Final List'!$J$4:$J$252,0),0)</f>
        <v>0</v>
      </c>
      <c r="P3005" s="169">
        <f>IFERROR(MATCH(J3005,'Final List'!$L$4:$L$252,0),0)</f>
        <v>0</v>
      </c>
      <c r="Q3005" s="169">
        <f>IFERROR(MATCH(J3005,'Final List'!$N$4:$N$252,0),0)</f>
        <v>0</v>
      </c>
      <c r="R3005" s="169">
        <f>IFERROR(MATCH(J3005,'Final List'!$P$4:$P$252,0),0)</f>
        <v>0</v>
      </c>
      <c r="S3005" s="169">
        <f t="shared" si="186"/>
        <v>0</v>
      </c>
      <c r="V3005" s="169" t="str">
        <f t="shared" si="187"/>
        <v>CAYMAN 2</v>
      </c>
      <c r="W3005" s="169" t="s">
        <v>8896</v>
      </c>
    </row>
    <row r="3006" spans="2:23" x14ac:dyDescent="0.25">
      <c r="F3006" s="245">
        <f t="shared" si="185"/>
        <v>0</v>
      </c>
    </row>
    <row r="3007" spans="2:23" x14ac:dyDescent="0.25">
      <c r="B3007" s="169" t="s">
        <v>1166</v>
      </c>
      <c r="C3007" s="169" t="s">
        <v>45</v>
      </c>
      <c r="D3007" s="169" t="s">
        <v>135</v>
      </c>
      <c r="E3007" s="169" t="s">
        <v>19</v>
      </c>
      <c r="F3007" s="245" t="str">
        <f t="shared" si="185"/>
        <v>DVR 72</v>
      </c>
      <c r="G3007" s="169" t="s">
        <v>4068</v>
      </c>
      <c r="I3007" s="169" t="str">
        <f t="shared" si="188"/>
        <v>L11_DPVE_034E_RAISE</v>
      </c>
      <c r="J3007" s="169" t="s">
        <v>12571</v>
      </c>
      <c r="K3007" s="169">
        <f>IFERROR(MATCH(J3007,'Final List'!$B$4:$B$252,0),0)</f>
        <v>0</v>
      </c>
      <c r="L3007" s="169">
        <f>IFERROR(MATCH(J3007,'Final List'!$D$4:$D$252,0),0)</f>
        <v>0</v>
      </c>
      <c r="M3007" s="169">
        <f>IFERROR(MATCH(J3007,'Final List'!$F$4:$F$251,0),0)</f>
        <v>0</v>
      </c>
      <c r="N3007" s="169">
        <f>IFERROR(MATCH(J3007,'Final List'!$H$4:$H$252,0),0)</f>
        <v>0</v>
      </c>
      <c r="O3007" s="169">
        <f>IFERROR(MATCH(J3007,'Final List'!$J$4:$J$252,0),0)</f>
        <v>0</v>
      </c>
      <c r="P3007" s="169">
        <f>IFERROR(MATCH(J3007,'Final List'!$L$4:$L$252,0),0)</f>
        <v>0</v>
      </c>
      <c r="Q3007" s="169">
        <f>IFERROR(MATCH(J3007,'Final List'!$N$4:$N$252,0),0)</f>
        <v>0</v>
      </c>
      <c r="R3007" s="169">
        <f>IFERROR(MATCH(J3007,'Final List'!$P$4:$P$252,0),0)</f>
        <v>0</v>
      </c>
      <c r="S3007" s="169">
        <f t="shared" si="186"/>
        <v>0</v>
      </c>
      <c r="V3007" s="169" t="str">
        <f t="shared" si="187"/>
        <v>MAPAYO</v>
      </c>
      <c r="W3007" s="169" t="s">
        <v>2715</v>
      </c>
    </row>
    <row r="3008" spans="2:23" x14ac:dyDescent="0.25">
      <c r="B3008" s="169" t="s">
        <v>8904</v>
      </c>
      <c r="C3008" s="169" t="s">
        <v>41</v>
      </c>
      <c r="D3008" s="169" t="s">
        <v>114</v>
      </c>
      <c r="E3008" s="169" t="s">
        <v>36</v>
      </c>
      <c r="F3008" s="245" t="str">
        <f t="shared" si="185"/>
        <v>StpS 77</v>
      </c>
      <c r="G3008" s="169" t="s">
        <v>10398</v>
      </c>
      <c r="I3008" s="169" t="str">
        <f t="shared" si="188"/>
        <v>L03_CTV_025W_STOPE</v>
      </c>
      <c r="J3008" s="169" t="s">
        <v>12622</v>
      </c>
      <c r="K3008" s="169">
        <f>IFERROR(MATCH(J3008,'Final List'!$B$4:$B$252,0),0)</f>
        <v>0</v>
      </c>
      <c r="L3008" s="169">
        <f>IFERROR(MATCH(J3008,'Final List'!$D$4:$D$252,0),0)</f>
        <v>0</v>
      </c>
      <c r="M3008" s="169">
        <f>IFERROR(MATCH(J3008,'Final List'!$F$4:$F$251,0),0)</f>
        <v>0</v>
      </c>
      <c r="N3008" s="169">
        <f>IFERROR(MATCH(J3008,'Final List'!$H$4:$H$252,0),0)</f>
        <v>0</v>
      </c>
      <c r="O3008" s="169">
        <f>IFERROR(MATCH(J3008,'Final List'!$J$4:$J$252,0),0)</f>
        <v>0</v>
      </c>
      <c r="P3008" s="169">
        <f>IFERROR(MATCH(J3008,'Final List'!$L$4:$L$252,0),0)</f>
        <v>0</v>
      </c>
      <c r="Q3008" s="169">
        <f>IFERROR(MATCH(J3008,'Final List'!$N$4:$N$252,0),0)</f>
        <v>0</v>
      </c>
      <c r="R3008" s="169">
        <f>IFERROR(MATCH(J3008,'Final List'!$P$4:$P$252,0),0)</f>
        <v>0</v>
      </c>
      <c r="S3008" s="169">
        <f t="shared" si="186"/>
        <v>0</v>
      </c>
      <c r="T3008" s="169" t="s">
        <v>68</v>
      </c>
      <c r="V3008" s="169" t="str">
        <f t="shared" si="187"/>
        <v>FERNANDEZ, RM 5</v>
      </c>
      <c r="W3008" s="169" t="s">
        <v>2713</v>
      </c>
    </row>
    <row r="3009" spans="2:23" x14ac:dyDescent="0.25">
      <c r="B3009" s="169" t="s">
        <v>96</v>
      </c>
      <c r="C3009" s="169" t="s">
        <v>45</v>
      </c>
      <c r="D3009" s="169" t="s">
        <v>9537</v>
      </c>
      <c r="E3009" s="169" t="s">
        <v>60</v>
      </c>
      <c r="F3009" s="245" t="str">
        <f t="shared" si="185"/>
        <v>Dhoz 71</v>
      </c>
      <c r="G3009" s="169" t="s">
        <v>6621</v>
      </c>
      <c r="I3009" s="169" t="str">
        <f t="shared" si="188"/>
        <v>L09_DPVE_093E_DE</v>
      </c>
      <c r="J3009" s="169" t="s">
        <v>12606</v>
      </c>
      <c r="K3009" s="169">
        <f>IFERROR(MATCH(J3009,'Final List'!$B$4:$B$252,0),0)</f>
        <v>0</v>
      </c>
      <c r="L3009" s="169">
        <f>IFERROR(MATCH(J3009,'Final List'!$D$4:$D$252,0),0)</f>
        <v>0</v>
      </c>
      <c r="M3009" s="169">
        <f>IFERROR(MATCH(J3009,'Final List'!$F$4:$F$251,0),0)</f>
        <v>0</v>
      </c>
      <c r="N3009" s="169">
        <f>IFERROR(MATCH(J3009,'Final List'!$H$4:$H$252,0),0)</f>
        <v>0</v>
      </c>
      <c r="O3009" s="169">
        <f>IFERROR(MATCH(J3009,'Final List'!$J$4:$J$252,0),0)</f>
        <v>0</v>
      </c>
      <c r="P3009" s="169">
        <f>IFERROR(MATCH(J3009,'Final List'!$L$4:$L$252,0),0)</f>
        <v>0</v>
      </c>
      <c r="Q3009" s="169">
        <f>IFERROR(MATCH(J3009,'Final List'!$N$4:$N$252,0),0)</f>
        <v>0</v>
      </c>
      <c r="R3009" s="169">
        <f>IFERROR(MATCH(J3009,'Final List'!$P$4:$P$252,0),0)</f>
        <v>0</v>
      </c>
      <c r="S3009" s="169">
        <f t="shared" si="186"/>
        <v>0</v>
      </c>
      <c r="V3009" s="169" t="str">
        <f t="shared" si="187"/>
        <v>DELOS REYES V1</v>
      </c>
      <c r="W3009" s="169" t="s">
        <v>8896</v>
      </c>
    </row>
    <row r="3010" spans="2:23" x14ac:dyDescent="0.25">
      <c r="B3010" s="169" t="s">
        <v>1166</v>
      </c>
      <c r="C3010" s="169" t="s">
        <v>87</v>
      </c>
      <c r="D3010" s="169" t="s">
        <v>173</v>
      </c>
      <c r="E3010" s="214" t="s">
        <v>37</v>
      </c>
      <c r="F3010" s="245" t="str">
        <f t="shared" si="185"/>
        <v>Dhoz 71</v>
      </c>
      <c r="G3010" s="169" t="s">
        <v>10758</v>
      </c>
      <c r="I3010" s="169" t="str">
        <f t="shared" si="188"/>
        <v>L11_NONE_049E_XCN</v>
      </c>
      <c r="J3010" s="169" t="s">
        <v>12514</v>
      </c>
      <c r="K3010" s="169">
        <f>IFERROR(MATCH(J3010,'Final List'!$B$4:$B$252,0),0)</f>
        <v>0</v>
      </c>
      <c r="L3010" s="169">
        <f>IFERROR(MATCH(J3010,'Final List'!$D$4:$D$252,0),0)</f>
        <v>0</v>
      </c>
      <c r="M3010" s="169">
        <f>IFERROR(MATCH(J3010,'Final List'!$F$4:$F$251,0),0)</f>
        <v>0</v>
      </c>
      <c r="N3010" s="169">
        <f>IFERROR(MATCH(J3010,'Final List'!$H$4:$H$252,0),0)</f>
        <v>0</v>
      </c>
      <c r="O3010" s="169">
        <f>IFERROR(MATCH(J3010,'Final List'!$J$4:$J$252,0),0)</f>
        <v>0</v>
      </c>
      <c r="P3010" s="169">
        <f>IFERROR(MATCH(J3010,'Final List'!$L$4:$L$252,0),0)</f>
        <v>0</v>
      </c>
      <c r="Q3010" s="169">
        <f>IFERROR(MATCH(J3010,'Final List'!$N$4:$N$252,0),0)</f>
        <v>0</v>
      </c>
      <c r="R3010" s="169">
        <f>IFERROR(MATCH(J3010,'Final List'!$P$4:$P$252,0),0)</f>
        <v>0</v>
      </c>
      <c r="S3010" s="169">
        <f t="shared" si="186"/>
        <v>0</v>
      </c>
      <c r="V3010" s="169" t="str">
        <f t="shared" si="187"/>
        <v>MARTINEZ, DN</v>
      </c>
      <c r="W3010" s="169" t="s">
        <v>2714</v>
      </c>
    </row>
    <row r="3011" spans="2:23" x14ac:dyDescent="0.25">
      <c r="B3011" s="169" t="s">
        <v>258</v>
      </c>
      <c r="C3011" s="169" t="s">
        <v>45</v>
      </c>
      <c r="D3011" s="169" t="s">
        <v>179</v>
      </c>
      <c r="E3011" s="169" t="s">
        <v>62</v>
      </c>
      <c r="F3011" s="245" t="str">
        <f t="shared" ref="F3011:F3074" si="189">IF(OR(E3011="XCN",E3011="DE",E3011="DW",E3011="DN",E3011="XCS",E3011="XCE",E3011="XCW",E3011="SUMP",E3011="BYPASS",E3011="CHAMBER",E3011="DRAIN HOLE",E3011="DRILLING CHAMBER",E3011="DE_ISL",E3011="DW_ISL",E3011="REHAB"),"Dhoz 71",IF(OR(E3011="RAISE",E3011="RAISE_ISL"),"DVR 72",IF(E3011="ALIMAK","DVA 73",IF(E3011="WINZE","DVW 74",IF(E3011="SHAFT","DVS 75",IF(AND(E3011="WINZE STOPE",T3011="S"),"RobC 80",IF(AND(E3011="STOPE",T3011="S"),"StpS 77",IF(AND(E3011="WINZE STOPE",T3011="L"),"RobC 80",IF(AND(E3011="STOPE",T3011="L"),"StpL 78",IF(AND(E3011="WINZE STOPE PREP",T3011="S"),"RobC 80",IF(AND(E3011="STOPE PREP",T3011="S"),"StpS 77",IF(AND(E3011="WINZE STOPE PREP",T3011="L"),"RobC 80",IF(AND(E3011="STOPE PREP",T3011="L"),"StpL 78",IF(AND(E3011="ROBBING",T3011="L"),"RobC 80",IF(AND(E3011="ROBBING",T3011="S"),"RobS 79",0)))))))))))))))</f>
        <v>RobS 79</v>
      </c>
      <c r="G3011" s="169" t="s">
        <v>5698</v>
      </c>
      <c r="I3011" s="169" t="str">
        <f t="shared" si="188"/>
        <v>L10_DPVE_050E_ROBBING</v>
      </c>
      <c r="J3011" s="169" t="s">
        <v>12518</v>
      </c>
      <c r="K3011" s="169">
        <f>IFERROR(MATCH(J3011,'Final List'!$B$4:$B$252,0),0)</f>
        <v>0</v>
      </c>
      <c r="L3011" s="169">
        <f>IFERROR(MATCH(J3011,'Final List'!$D$4:$D$252,0),0)</f>
        <v>0</v>
      </c>
      <c r="M3011" s="169">
        <f>IFERROR(MATCH(J3011,'Final List'!$F$4:$F$251,0),0)</f>
        <v>0</v>
      </c>
      <c r="N3011" s="169">
        <f>IFERROR(MATCH(J3011,'Final List'!$H$4:$H$252,0),0)</f>
        <v>0</v>
      </c>
      <c r="O3011" s="169">
        <f>IFERROR(MATCH(J3011,'Final List'!$J$4:$J$252,0),0)</f>
        <v>0</v>
      </c>
      <c r="P3011" s="169">
        <f>IFERROR(MATCH(J3011,'Final List'!$L$4:$L$252,0),0)</f>
        <v>0</v>
      </c>
      <c r="Q3011" s="169">
        <f>IFERROR(MATCH(J3011,'Final List'!$N$4:$N$252,0),0)</f>
        <v>0</v>
      </c>
      <c r="R3011" s="169">
        <f>IFERROR(MATCH(J3011,'Final List'!$P$4:$P$252,0),0)</f>
        <v>0</v>
      </c>
      <c r="S3011" s="169">
        <f t="shared" ref="S3011:S3074" si="190">SUM(K3011:R3011)</f>
        <v>0</v>
      </c>
      <c r="T3011" s="169" t="s">
        <v>68</v>
      </c>
      <c r="V3011" s="169" t="str">
        <f t="shared" si="187"/>
        <v>PARAN 1</v>
      </c>
      <c r="W3011" s="169" t="s">
        <v>2707</v>
      </c>
    </row>
    <row r="3012" spans="2:23" x14ac:dyDescent="0.25">
      <c r="B3012" s="169" t="s">
        <v>258</v>
      </c>
      <c r="C3012" s="169" t="s">
        <v>38</v>
      </c>
      <c r="D3012" s="169" t="s">
        <v>168</v>
      </c>
      <c r="E3012" s="169" t="s">
        <v>20</v>
      </c>
      <c r="F3012" s="245" t="str">
        <f t="shared" si="189"/>
        <v>DVW 74</v>
      </c>
      <c r="G3012" s="169" t="s">
        <v>12244</v>
      </c>
      <c r="H3012" s="169" t="s">
        <v>12197</v>
      </c>
      <c r="I3012" s="169" t="str">
        <f t="shared" si="188"/>
        <v>L10_GHV_047E_WINZE</v>
      </c>
      <c r="J3012" s="169" t="s">
        <v>12520</v>
      </c>
      <c r="K3012" s="169">
        <f>IFERROR(MATCH(J3012,'Final List'!$B$4:$B$252,0),0)</f>
        <v>0</v>
      </c>
      <c r="L3012" s="169">
        <f>IFERROR(MATCH(J3012,'Final List'!$D$4:$D$252,0),0)</f>
        <v>0</v>
      </c>
      <c r="M3012" s="169">
        <f>IFERROR(MATCH(J3012,'Final List'!$F$4:$F$251,0),0)</f>
        <v>0</v>
      </c>
      <c r="N3012" s="169">
        <f>IFERROR(MATCH(J3012,'Final List'!$H$4:$H$252,0),0)</f>
        <v>0</v>
      </c>
      <c r="O3012" s="169">
        <f>IFERROR(MATCH(J3012,'Final List'!$J$4:$J$252,0),0)</f>
        <v>0</v>
      </c>
      <c r="P3012" s="169">
        <f>IFERROR(MATCH(J3012,'Final List'!$L$4:$L$252,0),0)</f>
        <v>0</v>
      </c>
      <c r="Q3012" s="169">
        <f>IFERROR(MATCH(J3012,'Final List'!$N$4:$N$252,0),0)</f>
        <v>0</v>
      </c>
      <c r="R3012" s="169">
        <f>IFERROR(MATCH(J3012,'Final List'!$P$4:$P$252,0),0)</f>
        <v>0</v>
      </c>
      <c r="S3012" s="169">
        <f t="shared" si="190"/>
        <v>0</v>
      </c>
      <c r="V3012" s="169" t="str">
        <f t="shared" si="187"/>
        <v>NITRO BF 2</v>
      </c>
      <c r="W3012" s="169" t="s">
        <v>2706</v>
      </c>
    </row>
    <row r="3013" spans="2:23" x14ac:dyDescent="0.25">
      <c r="B3013" s="169" t="s">
        <v>1166</v>
      </c>
      <c r="C3013" s="169" t="s">
        <v>45</v>
      </c>
      <c r="D3013" s="169" t="s">
        <v>6387</v>
      </c>
      <c r="E3013" s="169" t="s">
        <v>19</v>
      </c>
      <c r="F3013" s="245" t="str">
        <f t="shared" si="189"/>
        <v>DVR 72</v>
      </c>
      <c r="G3013" s="169" t="s">
        <v>862</v>
      </c>
      <c r="H3013" s="169" t="s">
        <v>6926</v>
      </c>
      <c r="I3013" s="169" t="str">
        <f t="shared" si="188"/>
        <v>L11_DPVE_079E_RAISE</v>
      </c>
      <c r="J3013" s="169" t="s">
        <v>12521</v>
      </c>
      <c r="K3013" s="169">
        <f>IFERROR(MATCH(J3013,'Final List'!$B$4:$B$252,0),0)</f>
        <v>0</v>
      </c>
      <c r="L3013" s="169">
        <f>IFERROR(MATCH(J3013,'Final List'!$D$4:$D$252,0),0)</f>
        <v>0</v>
      </c>
      <c r="M3013" s="169">
        <f>IFERROR(MATCH(J3013,'Final List'!$F$4:$F$251,0),0)</f>
        <v>0</v>
      </c>
      <c r="N3013" s="169">
        <f>IFERROR(MATCH(J3013,'Final List'!$H$4:$H$252,0),0)</f>
        <v>0</v>
      </c>
      <c r="O3013" s="169">
        <f>IFERROR(MATCH(J3013,'Final List'!$J$4:$J$252,0),0)</f>
        <v>0</v>
      </c>
      <c r="P3013" s="169">
        <f>IFERROR(MATCH(J3013,'Final List'!$L$4:$L$252,0),0)</f>
        <v>0</v>
      </c>
      <c r="Q3013" s="169">
        <f>IFERROR(MATCH(J3013,'Final List'!$N$4:$N$252,0),0)</f>
        <v>0</v>
      </c>
      <c r="R3013" s="169">
        <f>IFERROR(MATCH(J3013,'Final List'!$P$4:$P$252,0),0)</f>
        <v>0</v>
      </c>
      <c r="S3013" s="169">
        <f t="shared" si="190"/>
        <v>0</v>
      </c>
      <c r="V3013" s="169" t="str">
        <f t="shared" si="187"/>
        <v>DUHIG, R1</v>
      </c>
      <c r="W3013" s="169" t="s">
        <v>2715</v>
      </c>
    </row>
    <row r="3014" spans="2:23" x14ac:dyDescent="0.25">
      <c r="B3014" s="169" t="s">
        <v>1167</v>
      </c>
      <c r="C3014" s="169" t="s">
        <v>59</v>
      </c>
      <c r="D3014" s="169" t="s">
        <v>5602</v>
      </c>
      <c r="E3014" s="169" t="s">
        <v>19</v>
      </c>
      <c r="F3014" s="245" t="str">
        <f t="shared" si="189"/>
        <v>DVR 72</v>
      </c>
      <c r="G3014" s="169" t="s">
        <v>12067</v>
      </c>
      <c r="I3014" s="169" t="str">
        <f t="shared" si="188"/>
        <v>L12_GHVHW_053E_RAISE</v>
      </c>
      <c r="J3014" s="169" t="s">
        <v>12522</v>
      </c>
      <c r="K3014" s="169">
        <f>IFERROR(MATCH(J3014,'Final List'!$B$4:$B$252,0),0)</f>
        <v>0</v>
      </c>
      <c r="L3014" s="169">
        <f>IFERROR(MATCH(J3014,'Final List'!$D$4:$D$252,0),0)</f>
        <v>0</v>
      </c>
      <c r="M3014" s="169">
        <f>IFERROR(MATCH(J3014,'Final List'!$F$4:$F$251,0),0)</f>
        <v>0</v>
      </c>
      <c r="N3014" s="169">
        <f>IFERROR(MATCH(J3014,'Final List'!$H$4:$H$252,0),0)</f>
        <v>0</v>
      </c>
      <c r="O3014" s="169">
        <f>IFERROR(MATCH(J3014,'Final List'!$J$4:$J$252,0),0)</f>
        <v>0</v>
      </c>
      <c r="P3014" s="169">
        <f>IFERROR(MATCH(J3014,'Final List'!$L$4:$L$252,0),0)</f>
        <v>0</v>
      </c>
      <c r="Q3014" s="169">
        <f>IFERROR(MATCH(J3014,'Final List'!$N$4:$N$252,0),0)</f>
        <v>0</v>
      </c>
      <c r="R3014" s="169">
        <f>IFERROR(MATCH(J3014,'Final List'!$P$4:$P$252,0),0)</f>
        <v>0</v>
      </c>
      <c r="S3014" s="169">
        <f t="shared" si="190"/>
        <v>0</v>
      </c>
      <c r="V3014" s="169" t="str">
        <f t="shared" si="187"/>
        <v>NITRO BC 2</v>
      </c>
      <c r="W3014" s="169" t="s">
        <v>2715</v>
      </c>
    </row>
    <row r="3015" spans="2:23" x14ac:dyDescent="0.25">
      <c r="B3015" s="169" t="s">
        <v>96</v>
      </c>
      <c r="C3015" s="169" t="s">
        <v>38</v>
      </c>
      <c r="D3015" s="169" t="s">
        <v>6036</v>
      </c>
      <c r="E3015" s="169" t="s">
        <v>20</v>
      </c>
      <c r="F3015" s="245" t="str">
        <f t="shared" si="189"/>
        <v>DVW 74</v>
      </c>
      <c r="G3015" s="169" t="s">
        <v>1457</v>
      </c>
      <c r="I3015" s="169" t="str">
        <f t="shared" si="188"/>
        <v>L09_GHV_017E_WINZE</v>
      </c>
      <c r="J3015" s="169" t="s">
        <v>288</v>
      </c>
      <c r="K3015" s="169">
        <f>IFERROR(MATCH(J3015,'Final List'!$B$4:$B$252,0),0)</f>
        <v>0</v>
      </c>
      <c r="L3015" s="169">
        <f>IFERROR(MATCH(J3015,'Final List'!$D$4:$D$252,0),0)</f>
        <v>0</v>
      </c>
      <c r="M3015" s="169">
        <f>IFERROR(MATCH(J3015,'Final List'!$F$4:$F$251,0),0)</f>
        <v>0</v>
      </c>
      <c r="N3015" s="169">
        <f>IFERROR(MATCH(J3015,'Final List'!$H$4:$H$252,0),0)</f>
        <v>0</v>
      </c>
      <c r="O3015" s="169">
        <f>IFERROR(MATCH(J3015,'Final List'!$J$4:$J$252,0),0)</f>
        <v>0</v>
      </c>
      <c r="P3015" s="169">
        <f>IFERROR(MATCH(J3015,'Final List'!$L$4:$L$252,0),0)</f>
        <v>0</v>
      </c>
      <c r="Q3015" s="169">
        <f>IFERROR(MATCH(J3015,'Final List'!$N$4:$N$252,0),0)</f>
        <v>0</v>
      </c>
      <c r="R3015" s="169">
        <f>IFERROR(MATCH(J3015,'Final List'!$P$4:$P$252,0),0)</f>
        <v>0</v>
      </c>
      <c r="S3015" s="169">
        <f t="shared" si="190"/>
        <v>0</v>
      </c>
      <c r="V3015" s="169" t="str">
        <f t="shared" si="187"/>
        <v>UDLOS</v>
      </c>
      <c r="W3015" s="169" t="s">
        <v>2706</v>
      </c>
    </row>
    <row r="3016" spans="2:23" x14ac:dyDescent="0.25">
      <c r="B3016" s="169" t="s">
        <v>96</v>
      </c>
      <c r="C3016" s="169" t="s">
        <v>45</v>
      </c>
      <c r="D3016" s="169" t="s">
        <v>169</v>
      </c>
      <c r="E3016" s="169" t="s">
        <v>60</v>
      </c>
      <c r="F3016" s="245" t="str">
        <f t="shared" si="189"/>
        <v>Dhoz 71</v>
      </c>
      <c r="G3016" s="169" t="s">
        <v>12528</v>
      </c>
      <c r="I3016" s="169" t="str">
        <f t="shared" si="188"/>
        <v>L09_DPVE_065E_DE</v>
      </c>
      <c r="J3016" s="169" t="s">
        <v>12527</v>
      </c>
      <c r="K3016" s="169">
        <f>IFERROR(MATCH(J3016,'Final List'!$B$4:$B$252,0),0)</f>
        <v>0</v>
      </c>
      <c r="L3016" s="169">
        <f>IFERROR(MATCH(J3016,'Final List'!$D$4:$D$252,0),0)</f>
        <v>0</v>
      </c>
      <c r="M3016" s="169">
        <f>IFERROR(MATCH(J3016,'Final List'!$F$4:$F$251,0),0)</f>
        <v>0</v>
      </c>
      <c r="N3016" s="169">
        <f>IFERROR(MATCH(J3016,'Final List'!$H$4:$H$252,0),0)</f>
        <v>0</v>
      </c>
      <c r="O3016" s="169">
        <f>IFERROR(MATCH(J3016,'Final List'!$J$4:$J$252,0),0)</f>
        <v>0</v>
      </c>
      <c r="P3016" s="169">
        <f>IFERROR(MATCH(J3016,'Final List'!$L$4:$L$252,0),0)</f>
        <v>0</v>
      </c>
      <c r="Q3016" s="169">
        <f>IFERROR(MATCH(J3016,'Final List'!$N$4:$N$252,0),0)</f>
        <v>0</v>
      </c>
      <c r="R3016" s="169">
        <f>IFERROR(MATCH(J3016,'Final List'!$P$4:$P$252,0),0)</f>
        <v>0</v>
      </c>
      <c r="S3016" s="169">
        <f t="shared" si="190"/>
        <v>0</v>
      </c>
      <c r="V3016" s="169" t="str">
        <f t="shared" si="187"/>
        <v>NITRO AA</v>
      </c>
      <c r="W3016" s="169" t="s">
        <v>8896</v>
      </c>
    </row>
    <row r="3017" spans="2:23" x14ac:dyDescent="0.25">
      <c r="B3017" s="169" t="s">
        <v>96</v>
      </c>
      <c r="C3017" s="169" t="s">
        <v>45</v>
      </c>
      <c r="D3017" s="169" t="s">
        <v>123</v>
      </c>
      <c r="E3017" s="169" t="s">
        <v>62</v>
      </c>
      <c r="F3017" s="245" t="str">
        <f t="shared" si="189"/>
        <v>RobC 80</v>
      </c>
      <c r="G3017" s="169" t="s">
        <v>350</v>
      </c>
      <c r="I3017" s="169" t="str">
        <f t="shared" si="188"/>
        <v>L09_DPVE_031E_ROBBING</v>
      </c>
      <c r="J3017" s="169" t="s">
        <v>12529</v>
      </c>
      <c r="K3017" s="169">
        <f>IFERROR(MATCH(J3017,'Final List'!$B$4:$B$252,0),0)</f>
        <v>0</v>
      </c>
      <c r="L3017" s="169">
        <f>IFERROR(MATCH(J3017,'Final List'!$D$4:$D$252,0),0)</f>
        <v>0</v>
      </c>
      <c r="M3017" s="169">
        <f>IFERROR(MATCH(J3017,'Final List'!$F$4:$F$251,0),0)</f>
        <v>0</v>
      </c>
      <c r="N3017" s="169">
        <f>IFERROR(MATCH(J3017,'Final List'!$H$4:$H$252,0),0)</f>
        <v>0</v>
      </c>
      <c r="O3017" s="169">
        <f>IFERROR(MATCH(J3017,'Final List'!$J$4:$J$252,0),0)</f>
        <v>0</v>
      </c>
      <c r="P3017" s="169">
        <f>IFERROR(MATCH(J3017,'Final List'!$L$4:$L$252,0),0)</f>
        <v>0</v>
      </c>
      <c r="Q3017" s="169">
        <f>IFERROR(MATCH(J3017,'Final List'!$N$4:$N$252,0),0)</f>
        <v>0</v>
      </c>
      <c r="R3017" s="169">
        <f>IFERROR(MATCH(J3017,'Final List'!$P$4:$P$252,0),0)</f>
        <v>0</v>
      </c>
      <c r="S3017" s="169">
        <f t="shared" si="190"/>
        <v>0</v>
      </c>
      <c r="T3017" s="169" t="s">
        <v>48</v>
      </c>
      <c r="V3017" s="169" t="str">
        <f t="shared" si="187"/>
        <v>QUIJANO 1</v>
      </c>
      <c r="W3017" s="169" t="s">
        <v>236</v>
      </c>
    </row>
    <row r="3018" spans="2:23" x14ac:dyDescent="0.25">
      <c r="B3018" s="169" t="s">
        <v>1166</v>
      </c>
      <c r="C3018" s="169" t="s">
        <v>45</v>
      </c>
      <c r="D3018" s="169" t="s">
        <v>119</v>
      </c>
      <c r="E3018" s="169" t="s">
        <v>19</v>
      </c>
      <c r="F3018" s="245" t="str">
        <f t="shared" si="189"/>
        <v>DVR 72</v>
      </c>
      <c r="G3018" s="169" t="s">
        <v>10758</v>
      </c>
      <c r="I3018" s="169" t="str">
        <f t="shared" si="188"/>
        <v>L11_DPVE_012E_RAISE</v>
      </c>
      <c r="J3018" s="169" t="s">
        <v>12534</v>
      </c>
      <c r="K3018" s="169">
        <f>IFERROR(MATCH(J3018,'Final List'!$B$4:$B$252,0),0)</f>
        <v>0</v>
      </c>
      <c r="L3018" s="169">
        <f>IFERROR(MATCH(J3018,'Final List'!$D$4:$D$252,0),0)</f>
        <v>0</v>
      </c>
      <c r="M3018" s="169">
        <f>IFERROR(MATCH(J3018,'Final List'!$F$4:$F$251,0),0)</f>
        <v>0</v>
      </c>
      <c r="N3018" s="169">
        <f>IFERROR(MATCH(J3018,'Final List'!$H$4:$H$252,0),0)</f>
        <v>0</v>
      </c>
      <c r="O3018" s="169">
        <f>IFERROR(MATCH(J3018,'Final List'!$J$4:$J$252,0),0)</f>
        <v>0</v>
      </c>
      <c r="P3018" s="169">
        <f>IFERROR(MATCH(J3018,'Final List'!$L$4:$L$252,0),0)</f>
        <v>0</v>
      </c>
      <c r="Q3018" s="169">
        <f>IFERROR(MATCH(J3018,'Final List'!$N$4:$N$252,0),0)</f>
        <v>0</v>
      </c>
      <c r="R3018" s="169">
        <f>IFERROR(MATCH(J3018,'Final List'!$P$4:$P$252,0),0)</f>
        <v>0</v>
      </c>
      <c r="S3018" s="169">
        <f t="shared" si="190"/>
        <v>0</v>
      </c>
      <c r="V3018" s="169" t="str">
        <f t="shared" si="187"/>
        <v>MARTINEZ, DN</v>
      </c>
      <c r="W3018" s="169" t="s">
        <v>2715</v>
      </c>
    </row>
    <row r="3019" spans="2:23" x14ac:dyDescent="0.25">
      <c r="B3019" s="169" t="s">
        <v>8904</v>
      </c>
      <c r="C3019" s="169" t="s">
        <v>42</v>
      </c>
      <c r="D3019" s="169" t="s">
        <v>171</v>
      </c>
      <c r="E3019" s="169" t="s">
        <v>6154</v>
      </c>
      <c r="F3019" s="245" t="str">
        <f t="shared" si="189"/>
        <v>Dhoz 71</v>
      </c>
      <c r="G3019" s="169" t="s">
        <v>10062</v>
      </c>
      <c r="I3019" s="169" t="str">
        <f t="shared" si="188"/>
        <v>L03_JV_015W_DW_ISL</v>
      </c>
      <c r="J3019" s="169" t="s">
        <v>12604</v>
      </c>
      <c r="K3019" s="169">
        <f>IFERROR(MATCH(J3019,'Final List'!$B$4:$B$252,0),0)</f>
        <v>0</v>
      </c>
      <c r="L3019" s="169">
        <f>IFERROR(MATCH(J3019,'Final List'!$D$4:$D$252,0),0)</f>
        <v>0</v>
      </c>
      <c r="M3019" s="169">
        <f>IFERROR(MATCH(J3019,'Final List'!$F$4:$F$251,0),0)</f>
        <v>0</v>
      </c>
      <c r="N3019" s="169">
        <f>IFERROR(MATCH(J3019,'Final List'!$H$4:$H$252,0),0)</f>
        <v>0</v>
      </c>
      <c r="O3019" s="169">
        <f>IFERROR(MATCH(J3019,'Final List'!$J$4:$J$252,0),0)</f>
        <v>0</v>
      </c>
      <c r="P3019" s="169">
        <f>IFERROR(MATCH(J3019,'Final List'!$L$4:$L$252,0),0)</f>
        <v>0</v>
      </c>
      <c r="Q3019" s="169">
        <f>IFERROR(MATCH(J3019,'Final List'!$N$4:$N$252,0),0)</f>
        <v>0</v>
      </c>
      <c r="R3019" s="169">
        <f>IFERROR(MATCH(J3019,'Final List'!$P$4:$P$252,0),0)</f>
        <v>0</v>
      </c>
      <c r="S3019" s="169">
        <f t="shared" si="190"/>
        <v>0</v>
      </c>
      <c r="T3019" s="169" t="s">
        <v>68</v>
      </c>
      <c r="V3019" s="169" t="str">
        <f t="shared" si="187"/>
        <v>FERNANDEZ, RM 6</v>
      </c>
      <c r="W3019" s="169" t="s">
        <v>2708</v>
      </c>
    </row>
    <row r="3020" spans="2:23" x14ac:dyDescent="0.25">
      <c r="B3020" s="169" t="s">
        <v>1166</v>
      </c>
      <c r="C3020" s="169" t="s">
        <v>43</v>
      </c>
      <c r="D3020" s="169" t="s">
        <v>5631</v>
      </c>
      <c r="E3020" s="169" t="s">
        <v>19</v>
      </c>
      <c r="F3020" s="245" t="str">
        <f t="shared" si="189"/>
        <v>DVR 72</v>
      </c>
      <c r="G3020" s="169" t="s">
        <v>1369</v>
      </c>
      <c r="H3020" s="169" t="s">
        <v>12071</v>
      </c>
      <c r="I3020" s="169" t="str">
        <f t="shared" si="188"/>
        <v>L11_GHVSPLIT_020E_RAISE</v>
      </c>
      <c r="J3020" s="169" t="s">
        <v>12538</v>
      </c>
      <c r="K3020" s="169">
        <f>IFERROR(MATCH(J3020,'Final List'!$B$4:$B$252,0),0)</f>
        <v>0</v>
      </c>
      <c r="L3020" s="169">
        <f>IFERROR(MATCH(J3020,'Final List'!$D$4:$D$252,0),0)</f>
        <v>0</v>
      </c>
      <c r="M3020" s="169">
        <f>IFERROR(MATCH(J3020,'Final List'!$F$4:$F$251,0),0)</f>
        <v>0</v>
      </c>
      <c r="N3020" s="169">
        <f>IFERROR(MATCH(J3020,'Final List'!$H$4:$H$252,0),0)</f>
        <v>0</v>
      </c>
      <c r="O3020" s="169">
        <f>IFERROR(MATCH(J3020,'Final List'!$J$4:$J$252,0),0)</f>
        <v>0</v>
      </c>
      <c r="P3020" s="169">
        <f>IFERROR(MATCH(J3020,'Final List'!$L$4:$L$252,0),0)</f>
        <v>0</v>
      </c>
      <c r="Q3020" s="169">
        <f>IFERROR(MATCH(J3020,'Final List'!$N$4:$N$252,0),0)</f>
        <v>0</v>
      </c>
      <c r="R3020" s="169">
        <f>IFERROR(MATCH(J3020,'Final List'!$P$4:$P$252,0),0)</f>
        <v>0</v>
      </c>
      <c r="S3020" s="169">
        <f t="shared" si="190"/>
        <v>0</v>
      </c>
      <c r="V3020" s="169" t="str">
        <f t="shared" si="187"/>
        <v>NITRO BB 2</v>
      </c>
      <c r="W3020" s="169" t="s">
        <v>2715</v>
      </c>
    </row>
    <row r="3021" spans="2:23" x14ac:dyDescent="0.25">
      <c r="B3021" s="169" t="s">
        <v>1167</v>
      </c>
      <c r="C3021" s="169" t="s">
        <v>43</v>
      </c>
      <c r="D3021" s="169" t="s">
        <v>168</v>
      </c>
      <c r="E3021" s="169" t="s">
        <v>19</v>
      </c>
      <c r="F3021" s="245" t="str">
        <f t="shared" si="189"/>
        <v>DVR 72</v>
      </c>
      <c r="G3021" s="169" t="s">
        <v>5705</v>
      </c>
      <c r="H3021" s="169" t="s">
        <v>336</v>
      </c>
      <c r="I3021" s="169" t="str">
        <f t="shared" si="188"/>
        <v>L12_GHVSPLIT_047E_RAISE</v>
      </c>
      <c r="J3021" s="169" t="s">
        <v>12535</v>
      </c>
      <c r="K3021" s="169">
        <f>IFERROR(MATCH(J3021,'Final List'!$B$4:$B$252,0),0)</f>
        <v>0</v>
      </c>
      <c r="L3021" s="169">
        <f>IFERROR(MATCH(J3021,'Final List'!$D$4:$D$252,0),0)</f>
        <v>0</v>
      </c>
      <c r="M3021" s="169">
        <f>IFERROR(MATCH(J3021,'Final List'!$F$4:$F$251,0),0)</f>
        <v>0</v>
      </c>
      <c r="N3021" s="169">
        <f>IFERROR(MATCH(J3021,'Final List'!$H$4:$H$252,0),0)</f>
        <v>0</v>
      </c>
      <c r="O3021" s="169">
        <f>IFERROR(MATCH(J3021,'Final List'!$J$4:$J$252,0),0)</f>
        <v>0</v>
      </c>
      <c r="P3021" s="169">
        <f>IFERROR(MATCH(J3021,'Final List'!$L$4:$L$252,0),0)</f>
        <v>0</v>
      </c>
      <c r="Q3021" s="169">
        <f>IFERROR(MATCH(J3021,'Final List'!$N$4:$N$252,0),0)</f>
        <v>0</v>
      </c>
      <c r="R3021" s="169">
        <f>IFERROR(MATCH(J3021,'Final List'!$P$4:$P$252,0),0)</f>
        <v>0</v>
      </c>
      <c r="S3021" s="169">
        <f t="shared" si="190"/>
        <v>0</v>
      </c>
      <c r="V3021" s="169" t="str">
        <f t="shared" si="187"/>
        <v>BALANGHIG 1</v>
      </c>
      <c r="W3021" s="169" t="s">
        <v>2715</v>
      </c>
    </row>
    <row r="3022" spans="2:23" x14ac:dyDescent="0.25">
      <c r="B3022" s="169" t="s">
        <v>1167</v>
      </c>
      <c r="C3022" s="169" t="s">
        <v>45</v>
      </c>
      <c r="D3022" s="169" t="s">
        <v>172</v>
      </c>
      <c r="E3022" s="169" t="s">
        <v>19</v>
      </c>
      <c r="F3022" s="245" t="str">
        <f t="shared" si="189"/>
        <v>DVR 72</v>
      </c>
      <c r="G3022" s="169" t="s">
        <v>6930</v>
      </c>
      <c r="I3022" s="169" t="str">
        <f t="shared" si="188"/>
        <v>L12_DPVE_045E_RAISE</v>
      </c>
      <c r="J3022" s="169" t="s">
        <v>12536</v>
      </c>
      <c r="K3022" s="169">
        <f>IFERROR(MATCH(J3022,'Final List'!$B$4:$B$252,0),0)</f>
        <v>0</v>
      </c>
      <c r="L3022" s="169">
        <f>IFERROR(MATCH(J3022,'Final List'!$D$4:$D$252,0),0)</f>
        <v>0</v>
      </c>
      <c r="M3022" s="169">
        <f>IFERROR(MATCH(J3022,'Final List'!$F$4:$F$251,0),0)</f>
        <v>0</v>
      </c>
      <c r="N3022" s="169">
        <f>IFERROR(MATCH(J3022,'Final List'!$H$4:$H$252,0),0)</f>
        <v>0</v>
      </c>
      <c r="O3022" s="169">
        <f>IFERROR(MATCH(J3022,'Final List'!$J$4:$J$252,0),0)</f>
        <v>0</v>
      </c>
      <c r="P3022" s="169">
        <f>IFERROR(MATCH(J3022,'Final List'!$L$4:$L$252,0),0)</f>
        <v>0</v>
      </c>
      <c r="Q3022" s="169">
        <f>IFERROR(MATCH(J3022,'Final List'!$N$4:$N$252,0),0)</f>
        <v>0</v>
      </c>
      <c r="R3022" s="169">
        <f>IFERROR(MATCH(J3022,'Final List'!$P$4:$P$252,0),0)</f>
        <v>0</v>
      </c>
      <c r="S3022" s="169">
        <f t="shared" si="190"/>
        <v>0</v>
      </c>
      <c r="V3022" s="169" t="str">
        <f t="shared" si="187"/>
        <v>DUHIG, P1</v>
      </c>
      <c r="W3022" s="169" t="s">
        <v>2715</v>
      </c>
    </row>
    <row r="3023" spans="2:23" x14ac:dyDescent="0.25">
      <c r="B3023" s="169" t="s">
        <v>1166</v>
      </c>
      <c r="C3023" s="169" t="s">
        <v>45</v>
      </c>
      <c r="D3023" s="169" t="s">
        <v>129</v>
      </c>
      <c r="E3023" s="169" t="s">
        <v>60</v>
      </c>
      <c r="F3023" s="245" t="str">
        <f t="shared" si="189"/>
        <v>Dhoz 71</v>
      </c>
      <c r="G3023" s="169" t="s">
        <v>10758</v>
      </c>
      <c r="I3023" s="169" t="str">
        <f t="shared" si="188"/>
        <v>L11_DPVE_010E_DE</v>
      </c>
      <c r="J3023" s="169" t="s">
        <v>12537</v>
      </c>
      <c r="K3023" s="169">
        <f>IFERROR(MATCH(J3023,'Final List'!$B$4:$B$252,0),0)</f>
        <v>0</v>
      </c>
      <c r="L3023" s="169">
        <f>IFERROR(MATCH(J3023,'Final List'!$D$4:$D$252,0),0)</f>
        <v>0</v>
      </c>
      <c r="M3023" s="169">
        <f>IFERROR(MATCH(J3023,'Final List'!$F$4:$F$251,0),0)</f>
        <v>0</v>
      </c>
      <c r="N3023" s="169">
        <f>IFERROR(MATCH(J3023,'Final List'!$H$4:$H$252,0),0)</f>
        <v>0</v>
      </c>
      <c r="O3023" s="169">
        <f>IFERROR(MATCH(J3023,'Final List'!$J$4:$J$252,0),0)</f>
        <v>0</v>
      </c>
      <c r="P3023" s="169">
        <f>IFERROR(MATCH(J3023,'Final List'!$L$4:$L$252,0),0)</f>
        <v>0</v>
      </c>
      <c r="Q3023" s="169">
        <f>IFERROR(MATCH(J3023,'Final List'!$N$4:$N$252,0),0)</f>
        <v>0</v>
      </c>
      <c r="R3023" s="169">
        <f>IFERROR(MATCH(J3023,'Final List'!$P$4:$P$252,0),0)</f>
        <v>0</v>
      </c>
      <c r="S3023" s="169">
        <f t="shared" si="190"/>
        <v>0</v>
      </c>
      <c r="V3023" s="169" t="str">
        <f t="shared" si="187"/>
        <v>MARTINEZ, DN</v>
      </c>
      <c r="W3023" s="169" t="s">
        <v>8896</v>
      </c>
    </row>
    <row r="3024" spans="2:23" x14ac:dyDescent="0.25">
      <c r="B3024" s="169" t="s">
        <v>1166</v>
      </c>
      <c r="C3024" s="169" t="s">
        <v>87</v>
      </c>
      <c r="D3024" s="169" t="s">
        <v>148</v>
      </c>
      <c r="E3024" s="214" t="s">
        <v>63</v>
      </c>
      <c r="F3024" s="245" t="str">
        <f t="shared" si="189"/>
        <v>Dhoz 71</v>
      </c>
      <c r="G3024" s="169" t="s">
        <v>6954</v>
      </c>
      <c r="I3024" s="169" t="str">
        <f t="shared" si="188"/>
        <v>L11_NONE_039E_XCS</v>
      </c>
      <c r="J3024" s="169" t="s">
        <v>12540</v>
      </c>
      <c r="K3024" s="169">
        <f>IFERROR(MATCH(J3024,'Final List'!$B$4:$B$252,0),0)</f>
        <v>0</v>
      </c>
      <c r="L3024" s="169">
        <f>IFERROR(MATCH(J3024,'Final List'!$D$4:$D$252,0),0)</f>
        <v>0</v>
      </c>
      <c r="M3024" s="169">
        <f>IFERROR(MATCH(J3024,'Final List'!$F$4:$F$251,0),0)</f>
        <v>0</v>
      </c>
      <c r="N3024" s="169">
        <f>IFERROR(MATCH(J3024,'Final List'!$H$4:$H$252,0),0)</f>
        <v>0</v>
      </c>
      <c r="O3024" s="169">
        <f>IFERROR(MATCH(J3024,'Final List'!$J$4:$J$252,0),0)</f>
        <v>0</v>
      </c>
      <c r="P3024" s="169">
        <f>IFERROR(MATCH(J3024,'Final List'!$L$4:$L$252,0),0)</f>
        <v>0</v>
      </c>
      <c r="Q3024" s="169">
        <f>IFERROR(MATCH(J3024,'Final List'!$N$4:$N$252,0),0)</f>
        <v>0</v>
      </c>
      <c r="R3024" s="169">
        <f>IFERROR(MATCH(J3024,'Final List'!$P$4:$P$252,0),0)</f>
        <v>0</v>
      </c>
      <c r="S3024" s="169">
        <f t="shared" si="190"/>
        <v>0</v>
      </c>
      <c r="V3024" s="169" t="str">
        <f t="shared" si="187"/>
        <v>BADBADON</v>
      </c>
      <c r="W3024" s="169" t="s">
        <v>2714</v>
      </c>
    </row>
    <row r="3025" spans="2:23" x14ac:dyDescent="0.25">
      <c r="B3025" s="169" t="s">
        <v>96</v>
      </c>
      <c r="C3025" s="169" t="s">
        <v>59</v>
      </c>
      <c r="D3025" s="169" t="s">
        <v>106</v>
      </c>
      <c r="E3025" s="169" t="s">
        <v>61</v>
      </c>
      <c r="F3025" s="245" t="str">
        <f t="shared" si="189"/>
        <v>Dhoz 71</v>
      </c>
      <c r="G3025" s="169" t="s">
        <v>12528</v>
      </c>
      <c r="H3025" s="169" t="s">
        <v>12659</v>
      </c>
      <c r="I3025" s="169" t="str">
        <f t="shared" si="188"/>
        <v>L09_GHVHW_033W_DW</v>
      </c>
      <c r="J3025" s="169" t="s">
        <v>12543</v>
      </c>
      <c r="K3025" s="169">
        <f>IFERROR(MATCH(J3025,'Final List'!$B$4:$B$252,0),0)</f>
        <v>0</v>
      </c>
      <c r="L3025" s="169">
        <f>IFERROR(MATCH(J3025,'Final List'!$D$4:$D$252,0),0)</f>
        <v>0</v>
      </c>
      <c r="M3025" s="169">
        <f>IFERROR(MATCH(J3025,'Final List'!$F$4:$F$251,0),0)</f>
        <v>0</v>
      </c>
      <c r="N3025" s="169">
        <f>IFERROR(MATCH(J3025,'Final List'!$H$4:$H$252,0),0)</f>
        <v>0</v>
      </c>
      <c r="O3025" s="169">
        <f>IFERROR(MATCH(J3025,'Final List'!$J$4:$J$252,0),0)</f>
        <v>0</v>
      </c>
      <c r="P3025" s="169">
        <f>IFERROR(MATCH(J3025,'Final List'!$L$4:$L$252,0),0)</f>
        <v>0</v>
      </c>
      <c r="Q3025" s="169">
        <f>IFERROR(MATCH(J3025,'Final List'!$N$4:$N$252,0),0)</f>
        <v>0</v>
      </c>
      <c r="R3025" s="169">
        <f>IFERROR(MATCH(J3025,'Final List'!$P$4:$P$252,0),0)</f>
        <v>0</v>
      </c>
      <c r="S3025" s="169">
        <f t="shared" si="190"/>
        <v>0</v>
      </c>
      <c r="V3025" s="169" t="str">
        <f t="shared" si="187"/>
        <v>NITRO BS</v>
      </c>
      <c r="W3025" s="169" t="s">
        <v>8896</v>
      </c>
    </row>
    <row r="3026" spans="2:23" x14ac:dyDescent="0.25">
      <c r="B3026" s="169" t="s">
        <v>96</v>
      </c>
      <c r="C3026" s="169" t="s">
        <v>38</v>
      </c>
      <c r="D3026" s="169" t="s">
        <v>176</v>
      </c>
      <c r="E3026" s="169" t="s">
        <v>62</v>
      </c>
      <c r="F3026" s="245" t="str">
        <f t="shared" si="189"/>
        <v>RobS 79</v>
      </c>
      <c r="G3026" s="169" t="s">
        <v>12545</v>
      </c>
      <c r="I3026" s="169" t="str">
        <f t="shared" si="188"/>
        <v>L09_GHV_057E_ROBBING</v>
      </c>
      <c r="J3026" s="169" t="s">
        <v>12544</v>
      </c>
      <c r="K3026" s="169">
        <f>IFERROR(MATCH(J3026,'Final List'!$B$4:$B$252,0),0)</f>
        <v>0</v>
      </c>
      <c r="L3026" s="169">
        <f>IFERROR(MATCH(J3026,'Final List'!$D$4:$D$252,0),0)</f>
        <v>0</v>
      </c>
      <c r="M3026" s="169">
        <f>IFERROR(MATCH(J3026,'Final List'!$F$4:$F$251,0),0)</f>
        <v>0</v>
      </c>
      <c r="N3026" s="169">
        <f>IFERROR(MATCH(J3026,'Final List'!$H$4:$H$252,0),0)</f>
        <v>0</v>
      </c>
      <c r="O3026" s="169">
        <f>IFERROR(MATCH(J3026,'Final List'!$J$4:$J$252,0),0)</f>
        <v>0</v>
      </c>
      <c r="P3026" s="169">
        <f>IFERROR(MATCH(J3026,'Final List'!$L$4:$L$252,0),0)</f>
        <v>0</v>
      </c>
      <c r="Q3026" s="169">
        <f>IFERROR(MATCH(J3026,'Final List'!$N$4:$N$252,0),0)</f>
        <v>0</v>
      </c>
      <c r="R3026" s="169">
        <f>IFERROR(MATCH(J3026,'Final List'!$P$4:$P$252,0),0)</f>
        <v>0</v>
      </c>
      <c r="S3026" s="169">
        <f t="shared" si="190"/>
        <v>0</v>
      </c>
      <c r="T3026" s="169" t="s">
        <v>68</v>
      </c>
      <c r="V3026" s="169" t="str">
        <f t="shared" si="187"/>
        <v>FERNANDEZ 4</v>
      </c>
      <c r="W3026" s="169" t="s">
        <v>2707</v>
      </c>
    </row>
    <row r="3027" spans="2:23" x14ac:dyDescent="0.25">
      <c r="B3027" s="169" t="s">
        <v>1166</v>
      </c>
      <c r="C3027" s="169" t="s">
        <v>45</v>
      </c>
      <c r="D3027" s="169" t="s">
        <v>169</v>
      </c>
      <c r="E3027" s="169" t="s">
        <v>60</v>
      </c>
      <c r="F3027" s="245" t="str">
        <f t="shared" si="189"/>
        <v>Dhoz 71</v>
      </c>
      <c r="G3027" s="169" t="s">
        <v>303</v>
      </c>
      <c r="I3027" s="169" t="str">
        <f t="shared" si="188"/>
        <v>L11_DPVE_065E_DE</v>
      </c>
      <c r="J3027" s="169" t="s">
        <v>12584</v>
      </c>
      <c r="K3027" s="169">
        <f>IFERROR(MATCH(J3027,'Final List'!$B$4:$B$252,0),0)</f>
        <v>0</v>
      </c>
      <c r="L3027" s="169">
        <f>IFERROR(MATCH(J3027,'Final List'!$D$4:$D$252,0),0)</f>
        <v>0</v>
      </c>
      <c r="M3027" s="169">
        <f>IFERROR(MATCH(J3027,'Final List'!$F$4:$F$251,0),0)</f>
        <v>0</v>
      </c>
      <c r="N3027" s="169">
        <f>IFERROR(MATCH(J3027,'Final List'!$H$4:$H$252,0),0)</f>
        <v>0</v>
      </c>
      <c r="O3027" s="169">
        <f>IFERROR(MATCH(J3027,'Final List'!$J$4:$J$252,0),0)</f>
        <v>0</v>
      </c>
      <c r="P3027" s="169">
        <f>IFERROR(MATCH(J3027,'Final List'!$L$4:$L$252,0),0)</f>
        <v>0</v>
      </c>
      <c r="Q3027" s="169">
        <f>IFERROR(MATCH(J3027,'Final List'!$N$4:$N$252,0),0)</f>
        <v>0</v>
      </c>
      <c r="R3027" s="169">
        <f>IFERROR(MATCH(J3027,'Final List'!$P$4:$P$252,0),0)</f>
        <v>0</v>
      </c>
      <c r="S3027" s="169">
        <f t="shared" si="190"/>
        <v>0</v>
      </c>
      <c r="V3027" s="169" t="str">
        <f t="shared" si="187"/>
        <v>BELICAN 1</v>
      </c>
      <c r="W3027" s="169" t="s">
        <v>8896</v>
      </c>
    </row>
    <row r="3028" spans="2:23" x14ac:dyDescent="0.25">
      <c r="B3028" s="169" t="s">
        <v>96</v>
      </c>
      <c r="C3028" s="169" t="s">
        <v>45</v>
      </c>
      <c r="D3028" s="169" t="s">
        <v>9156</v>
      </c>
      <c r="E3028" s="169" t="s">
        <v>61</v>
      </c>
      <c r="F3028" s="245" t="str">
        <f t="shared" si="189"/>
        <v>Dhoz 71</v>
      </c>
      <c r="G3028" s="169" t="s">
        <v>1661</v>
      </c>
      <c r="I3028" s="169" t="str">
        <f t="shared" si="188"/>
        <v>L09_DPVE_092E_DW</v>
      </c>
      <c r="J3028" s="169" t="s">
        <v>12605</v>
      </c>
      <c r="K3028" s="169">
        <f>IFERROR(MATCH(J3028,'Final List'!$B$4:$B$252,0),0)</f>
        <v>0</v>
      </c>
      <c r="L3028" s="169">
        <f>IFERROR(MATCH(J3028,'Final List'!$D$4:$D$252,0),0)</f>
        <v>0</v>
      </c>
      <c r="M3028" s="169">
        <f>IFERROR(MATCH(J3028,'Final List'!$F$4:$F$251,0),0)</f>
        <v>0</v>
      </c>
      <c r="N3028" s="169">
        <f>IFERROR(MATCH(J3028,'Final List'!$H$4:$H$252,0),0)</f>
        <v>0</v>
      </c>
      <c r="O3028" s="169">
        <f>IFERROR(MATCH(J3028,'Final List'!$J$4:$J$252,0),0)</f>
        <v>0</v>
      </c>
      <c r="P3028" s="169">
        <f>IFERROR(MATCH(J3028,'Final List'!$L$4:$L$252,0),0)</f>
        <v>0</v>
      </c>
      <c r="Q3028" s="169">
        <f>IFERROR(MATCH(J3028,'Final List'!$N$4:$N$252,0),0)</f>
        <v>0</v>
      </c>
      <c r="R3028" s="169">
        <f>IFERROR(MATCH(J3028,'Final List'!$P$4:$P$252,0),0)</f>
        <v>0</v>
      </c>
      <c r="S3028" s="169">
        <f t="shared" si="190"/>
        <v>0</v>
      </c>
      <c r="V3028" s="169" t="str">
        <f t="shared" si="187"/>
        <v>DELOS REYES V2</v>
      </c>
      <c r="W3028" s="169" t="s">
        <v>8896</v>
      </c>
    </row>
    <row r="3029" spans="2:23" x14ac:dyDescent="0.25">
      <c r="B3029" s="169" t="s">
        <v>1167</v>
      </c>
      <c r="C3029" s="169" t="s">
        <v>87</v>
      </c>
      <c r="D3029" s="169" t="s">
        <v>5723</v>
      </c>
      <c r="E3029" s="169" t="s">
        <v>20</v>
      </c>
      <c r="F3029" s="245" t="str">
        <f t="shared" si="189"/>
        <v>DVW 74</v>
      </c>
      <c r="G3029" s="169" t="s">
        <v>389</v>
      </c>
      <c r="I3029" s="169" t="str">
        <f t="shared" si="188"/>
        <v>L12_NONE_046E_WINZE</v>
      </c>
      <c r="J3029" s="169" t="s">
        <v>12551</v>
      </c>
      <c r="K3029" s="169">
        <f>IFERROR(MATCH(J3029,'Final List'!$B$4:$B$252,0),0)</f>
        <v>0</v>
      </c>
      <c r="L3029" s="169">
        <f>IFERROR(MATCH(J3029,'Final List'!$D$4:$D$252,0),0)</f>
        <v>0</v>
      </c>
      <c r="M3029" s="169">
        <f>IFERROR(MATCH(J3029,'Final List'!$F$4:$F$251,0),0)</f>
        <v>0</v>
      </c>
      <c r="N3029" s="169">
        <f>IFERROR(MATCH(J3029,'Final List'!$H$4:$H$252,0),0)</f>
        <v>0</v>
      </c>
      <c r="O3029" s="169">
        <f>IFERROR(MATCH(J3029,'Final List'!$J$4:$J$252,0),0)</f>
        <v>0</v>
      </c>
      <c r="P3029" s="169">
        <f>IFERROR(MATCH(J3029,'Final List'!$L$4:$L$252,0),0)</f>
        <v>0</v>
      </c>
      <c r="Q3029" s="169">
        <f>IFERROR(MATCH(J3029,'Final List'!$N$4:$N$252,0),0)</f>
        <v>0</v>
      </c>
      <c r="R3029" s="169">
        <f>IFERROR(MATCH(J3029,'Final List'!$P$4:$P$252,0),0)</f>
        <v>0</v>
      </c>
      <c r="S3029" s="169">
        <f t="shared" si="190"/>
        <v>0</v>
      </c>
      <c r="V3029" s="169" t="str">
        <f t="shared" si="187"/>
        <v>CAPPUYO 1</v>
      </c>
      <c r="W3029" s="169" t="s">
        <v>2706</v>
      </c>
    </row>
    <row r="3030" spans="2:23" x14ac:dyDescent="0.25">
      <c r="B3030" s="169" t="s">
        <v>258</v>
      </c>
      <c r="C3030" s="169" t="s">
        <v>45</v>
      </c>
      <c r="D3030" s="169" t="s">
        <v>5912</v>
      </c>
      <c r="E3030" s="169" t="s">
        <v>61</v>
      </c>
      <c r="F3030" s="245" t="str">
        <f t="shared" si="189"/>
        <v>Dhoz 71</v>
      </c>
      <c r="G3030" s="169" t="s">
        <v>12064</v>
      </c>
      <c r="I3030" s="169" t="str">
        <f t="shared" si="188"/>
        <v>L10_DPVE_019E_DW</v>
      </c>
      <c r="J3030" s="169" t="s">
        <v>12557</v>
      </c>
      <c r="K3030" s="169">
        <f>IFERROR(MATCH(J3030,'Final List'!$B$4:$B$252,0),0)</f>
        <v>0</v>
      </c>
      <c r="L3030" s="169">
        <f>IFERROR(MATCH(J3030,'Final List'!$D$4:$D$252,0),0)</f>
        <v>0</v>
      </c>
      <c r="M3030" s="169">
        <f>IFERROR(MATCH(J3030,'Final List'!$F$4:$F$251,0),0)</f>
        <v>0</v>
      </c>
      <c r="N3030" s="169">
        <f>IFERROR(MATCH(J3030,'Final List'!$H$4:$H$252,0),0)</f>
        <v>0</v>
      </c>
      <c r="O3030" s="169">
        <f>IFERROR(MATCH(J3030,'Final List'!$J$4:$J$252,0),0)</f>
        <v>0</v>
      </c>
      <c r="P3030" s="169">
        <f>IFERROR(MATCH(J3030,'Final List'!$L$4:$L$252,0),0)</f>
        <v>0</v>
      </c>
      <c r="Q3030" s="169">
        <f>IFERROR(MATCH(J3030,'Final List'!$N$4:$N$252,0),0)</f>
        <v>0</v>
      </c>
      <c r="R3030" s="169">
        <f>IFERROR(MATCH(J3030,'Final List'!$P$4:$P$252,0),0)</f>
        <v>0</v>
      </c>
      <c r="S3030" s="169">
        <f t="shared" si="190"/>
        <v>0</v>
      </c>
      <c r="V3030" s="169" t="str">
        <f t="shared" si="187"/>
        <v>NITRO AX</v>
      </c>
      <c r="W3030" s="169" t="s">
        <v>8896</v>
      </c>
    </row>
    <row r="3031" spans="2:23" x14ac:dyDescent="0.25">
      <c r="B3031" s="169" t="s">
        <v>96</v>
      </c>
      <c r="C3031" s="169" t="s">
        <v>43</v>
      </c>
      <c r="D3031" s="169" t="s">
        <v>5940</v>
      </c>
      <c r="E3031" s="169" t="s">
        <v>19</v>
      </c>
      <c r="F3031" s="245" t="str">
        <f t="shared" si="189"/>
        <v>DVR 72</v>
      </c>
      <c r="G3031" s="169" t="s">
        <v>1661</v>
      </c>
      <c r="I3031" s="169" t="str">
        <f t="shared" si="188"/>
        <v>L09_GHVSPLIT_022W_RAISE</v>
      </c>
      <c r="J3031" s="169" t="s">
        <v>12559</v>
      </c>
      <c r="K3031" s="169">
        <f>IFERROR(MATCH(J3031,'Final List'!$B$4:$B$252,0),0)</f>
        <v>0</v>
      </c>
      <c r="L3031" s="169">
        <f>IFERROR(MATCH(J3031,'Final List'!$D$4:$D$252,0),0)</f>
        <v>0</v>
      </c>
      <c r="M3031" s="169">
        <f>IFERROR(MATCH(J3031,'Final List'!$F$4:$F$251,0),0)</f>
        <v>0</v>
      </c>
      <c r="N3031" s="169">
        <f>IFERROR(MATCH(J3031,'Final List'!$H$4:$H$252,0),0)</f>
        <v>0</v>
      </c>
      <c r="O3031" s="169">
        <f>IFERROR(MATCH(J3031,'Final List'!$J$4:$J$252,0),0)</f>
        <v>0</v>
      </c>
      <c r="P3031" s="169">
        <f>IFERROR(MATCH(J3031,'Final List'!$L$4:$L$252,0),0)</f>
        <v>0</v>
      </c>
      <c r="Q3031" s="169">
        <f>IFERROR(MATCH(J3031,'Final List'!$N$4:$N$252,0),0)</f>
        <v>0</v>
      </c>
      <c r="R3031" s="169">
        <f>IFERROR(MATCH(J3031,'Final List'!$P$4:$P$252,0),0)</f>
        <v>0</v>
      </c>
      <c r="S3031" s="169">
        <f t="shared" si="190"/>
        <v>0</v>
      </c>
      <c r="V3031" s="169" t="str">
        <f t="shared" si="187"/>
        <v>DELOS REYES V2</v>
      </c>
      <c r="W3031" s="169" t="s">
        <v>2715</v>
      </c>
    </row>
    <row r="3032" spans="2:23" x14ac:dyDescent="0.25">
      <c r="B3032" s="169" t="s">
        <v>12320</v>
      </c>
      <c r="C3032" s="169" t="s">
        <v>87</v>
      </c>
      <c r="D3032" s="169" t="s">
        <v>178</v>
      </c>
      <c r="E3032" s="169" t="s">
        <v>63</v>
      </c>
      <c r="F3032" s="245" t="str">
        <f t="shared" si="189"/>
        <v>Dhoz 71</v>
      </c>
      <c r="G3032" s="169" t="s">
        <v>389</v>
      </c>
      <c r="H3032" s="169" t="s">
        <v>747</v>
      </c>
      <c r="I3032" s="169" t="str">
        <f t="shared" si="188"/>
        <v>L425_NONE_048E_XCS</v>
      </c>
      <c r="J3032" s="169" t="s">
        <v>12319</v>
      </c>
      <c r="K3032" s="169">
        <f>IFERROR(MATCH(J3032,'Final List'!$B$4:$B$252,0),0)</f>
        <v>0</v>
      </c>
      <c r="L3032" s="169">
        <f>IFERROR(MATCH(J3032,'Final List'!$D$4:$D$252,0),0)</f>
        <v>0</v>
      </c>
      <c r="M3032" s="169">
        <f>IFERROR(MATCH(J3032,'Final List'!$F$4:$F$251,0),0)</f>
        <v>0</v>
      </c>
      <c r="N3032" s="169">
        <f>IFERROR(MATCH(J3032,'Final List'!$H$4:$H$252,0),0)</f>
        <v>0</v>
      </c>
      <c r="O3032" s="169">
        <f>IFERROR(MATCH(J3032,'Final List'!$J$4:$J$252,0),0)</f>
        <v>0</v>
      </c>
      <c r="P3032" s="169">
        <f>IFERROR(MATCH(J3032,'Final List'!$L$4:$L$252,0),0)</f>
        <v>0</v>
      </c>
      <c r="Q3032" s="169">
        <f>IFERROR(MATCH(J3032,'Final List'!$N$4:$N$252,0),0)</f>
        <v>0</v>
      </c>
      <c r="R3032" s="169">
        <f>IFERROR(MATCH(J3032,'Final List'!$P$4:$P$252,0),0)</f>
        <v>0</v>
      </c>
      <c r="S3032" s="169">
        <f t="shared" si="190"/>
        <v>0</v>
      </c>
      <c r="V3032" s="169" t="str">
        <f t="shared" ref="V3032:V3094" si="191">IF(H3032="",G3032,H3032)</f>
        <v>REBOTE</v>
      </c>
      <c r="W3032" s="169" t="s">
        <v>2714</v>
      </c>
    </row>
    <row r="3033" spans="2:23" x14ac:dyDescent="0.25">
      <c r="B3033" s="169" t="s">
        <v>12320</v>
      </c>
      <c r="C3033" s="169" t="s">
        <v>87</v>
      </c>
      <c r="D3033" s="169" t="s">
        <v>5741</v>
      </c>
      <c r="E3033" s="169" t="s">
        <v>9917</v>
      </c>
      <c r="F3033" s="245" t="s">
        <v>14362</v>
      </c>
      <c r="G3033" s="169" t="s">
        <v>7984</v>
      </c>
      <c r="I3033" s="169" t="str">
        <f t="shared" si="188"/>
        <v>L425_NONE_035E_SHAFT STATION</v>
      </c>
      <c r="J3033" s="169" t="s">
        <v>12500</v>
      </c>
      <c r="K3033" s="169">
        <f>IFERROR(MATCH(J3033,'Final List'!$B$4:$B$252,0),0)</f>
        <v>0</v>
      </c>
      <c r="L3033" s="169">
        <f>IFERROR(MATCH(J3033,'Final List'!$D$4:$D$252,0),0)</f>
        <v>0</v>
      </c>
      <c r="M3033" s="169">
        <f>IFERROR(MATCH(J3033,'Final List'!$F$4:$F$251,0),0)</f>
        <v>0</v>
      </c>
      <c r="N3033" s="169">
        <f>IFERROR(MATCH(J3033,'Final List'!$H$4:$H$252,0),0)</f>
        <v>0</v>
      </c>
      <c r="O3033" s="169">
        <f>IFERROR(MATCH(J3033,'Final List'!$J$4:$J$252,0),0)</f>
        <v>0</v>
      </c>
      <c r="P3033" s="169">
        <f>IFERROR(MATCH(J3033,'Final List'!$L$4:$L$252,0),0)</f>
        <v>0</v>
      </c>
      <c r="Q3033" s="169">
        <f>IFERROR(MATCH(J3033,'Final List'!$N$4:$N$252,0),0)</f>
        <v>0</v>
      </c>
      <c r="R3033" s="169">
        <f>IFERROR(MATCH(J3033,'Final List'!$P$4:$P$252,0),0)</f>
        <v>0</v>
      </c>
      <c r="S3033" s="169">
        <f t="shared" si="190"/>
        <v>0</v>
      </c>
      <c r="V3033" s="169" t="str">
        <f t="shared" si="191"/>
        <v>OLIVEROS</v>
      </c>
      <c r="W3033" s="169" t="s">
        <v>2714</v>
      </c>
    </row>
    <row r="3034" spans="2:23" x14ac:dyDescent="0.25">
      <c r="B3034" s="169" t="s">
        <v>258</v>
      </c>
      <c r="C3034" s="169" t="s">
        <v>45</v>
      </c>
      <c r="D3034" s="169" t="s">
        <v>5689</v>
      </c>
      <c r="E3034" s="169" t="s">
        <v>60</v>
      </c>
      <c r="F3034" s="245" t="str">
        <f t="shared" si="189"/>
        <v>Dhoz 71</v>
      </c>
      <c r="G3034" s="169" t="s">
        <v>5697</v>
      </c>
      <c r="H3034" s="169" t="s">
        <v>5700</v>
      </c>
      <c r="I3034" s="169" t="str">
        <f t="shared" si="188"/>
        <v>L10_DPVE_003E_DE</v>
      </c>
      <c r="J3034" s="169" t="s">
        <v>12561</v>
      </c>
      <c r="K3034" s="169">
        <f>IFERROR(MATCH(J3034,'Final List'!$B$4:$B$252,0),0)</f>
        <v>0</v>
      </c>
      <c r="L3034" s="169">
        <f>IFERROR(MATCH(J3034,'Final List'!$D$4:$D$252,0),0)</f>
        <v>0</v>
      </c>
      <c r="M3034" s="169">
        <f>IFERROR(MATCH(J3034,'Final List'!$F$4:$F$251,0),0)</f>
        <v>0</v>
      </c>
      <c r="N3034" s="169">
        <f>IFERROR(MATCH(J3034,'Final List'!$H$4:$H$252,0),0)</f>
        <v>0</v>
      </c>
      <c r="O3034" s="169">
        <f>IFERROR(MATCH(J3034,'Final List'!$J$4:$J$252,0),0)</f>
        <v>0</v>
      </c>
      <c r="P3034" s="169">
        <f>IFERROR(MATCH(J3034,'Final List'!$L$4:$L$252,0),0)</f>
        <v>0</v>
      </c>
      <c r="Q3034" s="169">
        <f>IFERROR(MATCH(J3034,'Final List'!$N$4:$N$252,0),0)</f>
        <v>0</v>
      </c>
      <c r="R3034" s="169">
        <f>IFERROR(MATCH(J3034,'Final List'!$P$4:$P$252,0),0)</f>
        <v>0</v>
      </c>
      <c r="S3034" s="169">
        <f t="shared" si="190"/>
        <v>0</v>
      </c>
      <c r="V3034" s="169" t="str">
        <f t="shared" si="191"/>
        <v>LARGO 1</v>
      </c>
      <c r="W3034" s="169" t="s">
        <v>8896</v>
      </c>
    </row>
    <row r="3035" spans="2:23" x14ac:dyDescent="0.25">
      <c r="B3035" s="169" t="s">
        <v>258</v>
      </c>
      <c r="C3035" s="169" t="s">
        <v>57</v>
      </c>
      <c r="D3035" s="169" t="s">
        <v>173</v>
      </c>
      <c r="E3035" s="169" t="s">
        <v>62</v>
      </c>
      <c r="F3035" s="245" t="str">
        <f t="shared" si="189"/>
        <v>RobS 79</v>
      </c>
      <c r="G3035" s="169" t="s">
        <v>5698</v>
      </c>
      <c r="I3035" s="169" t="str">
        <f t="shared" si="188"/>
        <v>L10_JVSPLIT_049E_ROBBING</v>
      </c>
      <c r="J3035" s="169" t="s">
        <v>12563</v>
      </c>
      <c r="K3035" s="169">
        <f>IFERROR(MATCH(J3035,'Final List'!$B$4:$B$252,0),0)</f>
        <v>0</v>
      </c>
      <c r="L3035" s="169">
        <f>IFERROR(MATCH(J3035,'Final List'!$D$4:$D$252,0),0)</f>
        <v>0</v>
      </c>
      <c r="M3035" s="169">
        <f>IFERROR(MATCH(J3035,'Final List'!$F$4:$F$251,0),0)</f>
        <v>0</v>
      </c>
      <c r="N3035" s="169">
        <f>IFERROR(MATCH(J3035,'Final List'!$H$4:$H$252,0),0)</f>
        <v>0</v>
      </c>
      <c r="O3035" s="169">
        <f>IFERROR(MATCH(J3035,'Final List'!$J$4:$J$252,0),0)</f>
        <v>0</v>
      </c>
      <c r="P3035" s="169">
        <f>IFERROR(MATCH(J3035,'Final List'!$L$4:$L$252,0),0)</f>
        <v>0</v>
      </c>
      <c r="Q3035" s="169">
        <f>IFERROR(MATCH(J3035,'Final List'!$N$4:$N$252,0),0)</f>
        <v>0</v>
      </c>
      <c r="R3035" s="169">
        <f>IFERROR(MATCH(J3035,'Final List'!$P$4:$P$252,0),0)</f>
        <v>0</v>
      </c>
      <c r="S3035" s="169">
        <f t="shared" si="190"/>
        <v>0</v>
      </c>
      <c r="T3035" s="169" t="s">
        <v>68</v>
      </c>
      <c r="V3035" s="169" t="str">
        <f t="shared" si="191"/>
        <v>PARAN 1</v>
      </c>
      <c r="W3035" s="169" t="s">
        <v>2707</v>
      </c>
    </row>
    <row r="3036" spans="2:23" x14ac:dyDescent="0.25">
      <c r="B3036" s="169" t="s">
        <v>12320</v>
      </c>
      <c r="C3036" s="169" t="s">
        <v>87</v>
      </c>
      <c r="D3036" s="169" t="s">
        <v>5741</v>
      </c>
      <c r="E3036" s="169" t="s">
        <v>9917</v>
      </c>
      <c r="F3036" s="245" t="s">
        <v>14362</v>
      </c>
      <c r="G3036" s="169" t="s">
        <v>7984</v>
      </c>
      <c r="I3036" s="169" t="str">
        <f t="shared" si="188"/>
        <v>L425_NONE_035E_SHAFT STATION</v>
      </c>
      <c r="J3036" s="169" t="s">
        <v>12500</v>
      </c>
      <c r="K3036" s="169">
        <f>IFERROR(MATCH(J3036,'Final List'!$B$4:$B$252,0),0)</f>
        <v>0</v>
      </c>
      <c r="L3036" s="169">
        <f>IFERROR(MATCH(J3036,'Final List'!$D$4:$D$252,0),0)</f>
        <v>0</v>
      </c>
      <c r="M3036" s="169">
        <f>IFERROR(MATCH(J3036,'Final List'!$F$4:$F$251,0),0)</f>
        <v>0</v>
      </c>
      <c r="N3036" s="169">
        <f>IFERROR(MATCH(J3036,'Final List'!$H$4:$H$252,0),0)</f>
        <v>0</v>
      </c>
      <c r="O3036" s="169">
        <f>IFERROR(MATCH(J3036,'Final List'!$J$4:$J$252,0),0)</f>
        <v>0</v>
      </c>
      <c r="P3036" s="169">
        <f>IFERROR(MATCH(J3036,'Final List'!$L$4:$L$252,0),0)</f>
        <v>0</v>
      </c>
      <c r="Q3036" s="169">
        <f>IFERROR(MATCH(J3036,'Final List'!$N$4:$N$252,0),0)</f>
        <v>0</v>
      </c>
      <c r="R3036" s="169">
        <f>IFERROR(MATCH(J3036,'Final List'!$P$4:$P$252,0),0)</f>
        <v>0</v>
      </c>
      <c r="S3036" s="169">
        <f t="shared" si="190"/>
        <v>0</v>
      </c>
      <c r="V3036" s="169" t="str">
        <f t="shared" si="191"/>
        <v>OLIVEROS</v>
      </c>
    </row>
    <row r="3037" spans="2:23" x14ac:dyDescent="0.25">
      <c r="B3037" s="169" t="s">
        <v>95</v>
      </c>
      <c r="C3037" s="169" t="s">
        <v>38</v>
      </c>
      <c r="D3037" s="169" t="s">
        <v>5912</v>
      </c>
      <c r="E3037" s="169" t="s">
        <v>62</v>
      </c>
      <c r="F3037" s="245" t="str">
        <f t="shared" si="189"/>
        <v>RobS 79</v>
      </c>
      <c r="G3037" s="169" t="s">
        <v>583</v>
      </c>
      <c r="I3037" s="169" t="str">
        <f t="shared" si="188"/>
        <v>L08_GHV_019E_ROBBING</v>
      </c>
      <c r="J3037" s="169" t="s">
        <v>12572</v>
      </c>
      <c r="K3037" s="169">
        <f>IFERROR(MATCH(J3037,'Final List'!$B$4:$B$252,0),0)</f>
        <v>0</v>
      </c>
      <c r="L3037" s="169">
        <f>IFERROR(MATCH(J3037,'Final List'!$D$4:$D$252,0),0)</f>
        <v>0</v>
      </c>
      <c r="M3037" s="169">
        <f>IFERROR(MATCH(J3037,'Final List'!$F$4:$F$251,0),0)</f>
        <v>0</v>
      </c>
      <c r="N3037" s="169">
        <f>IFERROR(MATCH(J3037,'Final List'!$H$4:$H$252,0),0)</f>
        <v>0</v>
      </c>
      <c r="O3037" s="169">
        <f>IFERROR(MATCH(J3037,'Final List'!$J$4:$J$252,0),0)</f>
        <v>0</v>
      </c>
      <c r="P3037" s="169">
        <f>IFERROR(MATCH(J3037,'Final List'!$L$4:$L$252,0),0)</f>
        <v>0</v>
      </c>
      <c r="Q3037" s="169">
        <f>IFERROR(MATCH(J3037,'Final List'!$N$4:$N$252,0),0)</f>
        <v>0</v>
      </c>
      <c r="R3037" s="169">
        <f>IFERROR(MATCH(J3037,'Final List'!$P$4:$P$252,0),0)</f>
        <v>0</v>
      </c>
      <c r="S3037" s="169">
        <f t="shared" si="190"/>
        <v>0</v>
      </c>
      <c r="T3037" s="169" t="s">
        <v>68</v>
      </c>
      <c r="V3037" s="169" t="str">
        <f t="shared" si="191"/>
        <v>VILLARANTE 1</v>
      </c>
      <c r="W3037" s="169" t="s">
        <v>2707</v>
      </c>
    </row>
    <row r="3038" spans="2:23" x14ac:dyDescent="0.25">
      <c r="B3038" s="169" t="s">
        <v>1166</v>
      </c>
      <c r="C3038" s="169" t="s">
        <v>87</v>
      </c>
      <c r="D3038" s="169" t="s">
        <v>103</v>
      </c>
      <c r="E3038" s="169" t="s">
        <v>37</v>
      </c>
      <c r="F3038" s="245" t="str">
        <f t="shared" si="189"/>
        <v>Dhoz 71</v>
      </c>
      <c r="G3038" s="169" t="s">
        <v>452</v>
      </c>
      <c r="I3038" s="169" t="str">
        <f t="shared" ref="I3038:I3102" si="192">CONCATENATE(B3038,"_",C3038,"_",D3038,"_",E3038)</f>
        <v>L11_NONE_005E_XCN</v>
      </c>
      <c r="J3038" s="169" t="s">
        <v>12573</v>
      </c>
      <c r="K3038" s="169">
        <f>IFERROR(MATCH(J3038,'Final List'!$B$4:$B$252,0),0)</f>
        <v>0</v>
      </c>
      <c r="L3038" s="169">
        <f>IFERROR(MATCH(J3038,'Final List'!$D$4:$D$252,0),0)</f>
        <v>0</v>
      </c>
      <c r="M3038" s="169">
        <f>IFERROR(MATCH(J3038,'Final List'!$F$4:$F$251,0),0)</f>
        <v>0</v>
      </c>
      <c r="N3038" s="169">
        <f>IFERROR(MATCH(J3038,'Final List'!$H$4:$H$252,0),0)</f>
        <v>0</v>
      </c>
      <c r="O3038" s="169">
        <f>IFERROR(MATCH(J3038,'Final List'!$J$4:$J$252,0),0)</f>
        <v>0</v>
      </c>
      <c r="P3038" s="169">
        <f>IFERROR(MATCH(J3038,'Final List'!$L$4:$L$252,0),0)</f>
        <v>0</v>
      </c>
      <c r="Q3038" s="169">
        <f>IFERROR(MATCH(J3038,'Final List'!$N$4:$N$252,0),0)</f>
        <v>0</v>
      </c>
      <c r="R3038" s="169">
        <f>IFERROR(MATCH(J3038,'Final List'!$P$4:$P$252,0),0)</f>
        <v>0</v>
      </c>
      <c r="S3038" s="169">
        <f t="shared" si="190"/>
        <v>0</v>
      </c>
      <c r="V3038" s="169" t="str">
        <f t="shared" si="191"/>
        <v>BAÑEZ 6</v>
      </c>
      <c r="W3038" s="169" t="s">
        <v>8898</v>
      </c>
    </row>
    <row r="3039" spans="2:23" x14ac:dyDescent="0.25">
      <c r="B3039" s="169" t="s">
        <v>1166</v>
      </c>
      <c r="C3039" s="169" t="s">
        <v>45</v>
      </c>
      <c r="D3039" s="169" t="s">
        <v>6864</v>
      </c>
      <c r="E3039" s="169" t="s">
        <v>61</v>
      </c>
      <c r="F3039" s="245" t="str">
        <f t="shared" si="189"/>
        <v>Dhoz 71</v>
      </c>
      <c r="G3039" s="169" t="s">
        <v>12069</v>
      </c>
      <c r="I3039" s="169" t="str">
        <f t="shared" si="192"/>
        <v>L11_DPVE_006E_DW</v>
      </c>
      <c r="J3039" s="169" t="s">
        <v>12574</v>
      </c>
      <c r="K3039" s="169">
        <f>IFERROR(MATCH(J3039,'Final List'!$B$4:$B$252,0),0)</f>
        <v>0</v>
      </c>
      <c r="L3039" s="169">
        <f>IFERROR(MATCH(J3039,'Final List'!$D$4:$D$252,0),0)</f>
        <v>0</v>
      </c>
      <c r="M3039" s="169">
        <f>IFERROR(MATCH(J3039,'Final List'!$F$4:$F$251,0),0)</f>
        <v>0</v>
      </c>
      <c r="N3039" s="169">
        <f>IFERROR(MATCH(J3039,'Final List'!$H$4:$H$252,0),0)</f>
        <v>0</v>
      </c>
      <c r="O3039" s="169">
        <f>IFERROR(MATCH(J3039,'Final List'!$J$4:$J$252,0),0)</f>
        <v>0</v>
      </c>
      <c r="P3039" s="169">
        <f>IFERROR(MATCH(J3039,'Final List'!$L$4:$L$252,0),0)</f>
        <v>0</v>
      </c>
      <c r="Q3039" s="169">
        <f>IFERROR(MATCH(J3039,'Final List'!$N$4:$N$252,0),0)</f>
        <v>0</v>
      </c>
      <c r="R3039" s="169">
        <f>IFERROR(MATCH(J3039,'Final List'!$P$4:$P$252,0),0)</f>
        <v>0</v>
      </c>
      <c r="S3039" s="169">
        <f t="shared" si="190"/>
        <v>0</v>
      </c>
      <c r="V3039" s="169" t="str">
        <f t="shared" si="191"/>
        <v>NITRO BE 1</v>
      </c>
      <c r="W3039" s="169" t="s">
        <v>8896</v>
      </c>
    </row>
    <row r="3040" spans="2:23" x14ac:dyDescent="0.25">
      <c r="B3040" s="169" t="s">
        <v>1166</v>
      </c>
      <c r="C3040" s="169" t="s">
        <v>45</v>
      </c>
      <c r="D3040" s="169" t="s">
        <v>118</v>
      </c>
      <c r="E3040" s="169" t="s">
        <v>36</v>
      </c>
      <c r="F3040" s="245" t="str">
        <f t="shared" si="189"/>
        <v>StpS 77</v>
      </c>
      <c r="G3040" s="169" t="s">
        <v>12072</v>
      </c>
      <c r="I3040" s="169" t="str">
        <f t="shared" si="192"/>
        <v>L11_DPVE_014E_STOPE</v>
      </c>
      <c r="J3040" s="169" t="s">
        <v>12641</v>
      </c>
      <c r="K3040" s="169">
        <f>IFERROR(MATCH(J3040,'Final List'!$B$4:$B$252,0),0)</f>
        <v>0</v>
      </c>
      <c r="L3040" s="169">
        <f>IFERROR(MATCH(J3040,'Final List'!$D$4:$D$252,0),0)</f>
        <v>0</v>
      </c>
      <c r="M3040" s="169">
        <f>IFERROR(MATCH(J3040,'Final List'!$F$4:$F$251,0),0)</f>
        <v>0</v>
      </c>
      <c r="N3040" s="169">
        <f>IFERROR(MATCH(J3040,'Final List'!$H$4:$H$252,0),0)</f>
        <v>0</v>
      </c>
      <c r="O3040" s="169">
        <f>IFERROR(MATCH(J3040,'Final List'!$J$4:$J$252,0),0)</f>
        <v>0</v>
      </c>
      <c r="P3040" s="169">
        <f>IFERROR(MATCH(J3040,'Final List'!$L$4:$L$252,0),0)</f>
        <v>0</v>
      </c>
      <c r="Q3040" s="169">
        <f>IFERROR(MATCH(J3040,'Final List'!$N$4:$N$252,0),0)</f>
        <v>0</v>
      </c>
      <c r="R3040" s="169">
        <f>IFERROR(MATCH(J3040,'Final List'!$P$4:$P$252,0),0)</f>
        <v>0</v>
      </c>
      <c r="S3040" s="169">
        <f t="shared" si="190"/>
        <v>0</v>
      </c>
      <c r="T3040" s="169" t="s">
        <v>68</v>
      </c>
      <c r="V3040" s="169" t="str">
        <f t="shared" si="191"/>
        <v>NITRO BB 1</v>
      </c>
      <c r="W3040" s="169" t="s">
        <v>2713</v>
      </c>
    </row>
    <row r="3041" spans="2:23" x14ac:dyDescent="0.25">
      <c r="B3041" s="169" t="s">
        <v>1166</v>
      </c>
      <c r="C3041" s="169" t="s">
        <v>45</v>
      </c>
      <c r="D3041" s="169" t="s">
        <v>284</v>
      </c>
      <c r="E3041" s="169" t="s">
        <v>61</v>
      </c>
      <c r="F3041" s="245" t="str">
        <f t="shared" si="189"/>
        <v>Dhoz 71</v>
      </c>
      <c r="G3041" s="169" t="s">
        <v>12580</v>
      </c>
      <c r="H3041" s="169" t="s">
        <v>12070</v>
      </c>
      <c r="I3041" s="169" t="str">
        <f t="shared" si="192"/>
        <v>L11_DPVE_061E_DW</v>
      </c>
      <c r="J3041" s="169" t="s">
        <v>12583</v>
      </c>
      <c r="K3041" s="169">
        <f>IFERROR(MATCH(J3041,'Final List'!$B$4:$B$252,0),0)</f>
        <v>0</v>
      </c>
      <c r="L3041" s="169">
        <f>IFERROR(MATCH(J3041,'Final List'!$D$4:$D$252,0),0)</f>
        <v>0</v>
      </c>
      <c r="M3041" s="169">
        <f>IFERROR(MATCH(J3041,'Final List'!$F$4:$F$251,0),0)</f>
        <v>0</v>
      </c>
      <c r="N3041" s="169">
        <f>IFERROR(MATCH(J3041,'Final List'!$H$4:$H$252,0),0)</f>
        <v>0</v>
      </c>
      <c r="O3041" s="169">
        <f>IFERROR(MATCH(J3041,'Final List'!$J$4:$J$252,0),0)</f>
        <v>0</v>
      </c>
      <c r="P3041" s="169">
        <f>IFERROR(MATCH(J3041,'Final List'!$L$4:$L$252,0),0)</f>
        <v>0</v>
      </c>
      <c r="Q3041" s="169">
        <f>IFERROR(MATCH(J3041,'Final List'!$N$4:$N$252,0),0)</f>
        <v>0</v>
      </c>
      <c r="R3041" s="169">
        <f>IFERROR(MATCH(J3041,'Final List'!$P$4:$P$252,0),0)</f>
        <v>0</v>
      </c>
      <c r="S3041" s="169">
        <f t="shared" si="190"/>
        <v>0</v>
      </c>
      <c r="V3041" s="169" t="str">
        <f t="shared" si="191"/>
        <v>NITRO BB</v>
      </c>
      <c r="W3041" s="169" t="s">
        <v>8896</v>
      </c>
    </row>
    <row r="3042" spans="2:23" x14ac:dyDescent="0.25">
      <c r="B3042" s="169" t="s">
        <v>1166</v>
      </c>
      <c r="C3042" s="169" t="s">
        <v>39</v>
      </c>
      <c r="D3042" s="169" t="s">
        <v>201</v>
      </c>
      <c r="E3042" s="169" t="s">
        <v>19</v>
      </c>
      <c r="F3042" s="245" t="str">
        <f t="shared" si="189"/>
        <v>DVR 72</v>
      </c>
      <c r="G3042" s="169" t="s">
        <v>448</v>
      </c>
      <c r="H3042" s="169" t="s">
        <v>356</v>
      </c>
      <c r="I3042" s="169" t="str">
        <f t="shared" si="192"/>
        <v>L11_JVHW_067E_RAISE</v>
      </c>
      <c r="J3042" s="169" t="s">
        <v>12582</v>
      </c>
      <c r="K3042" s="169">
        <f>IFERROR(MATCH(J3042,'Final List'!$B$4:$B$252,0),0)</f>
        <v>0</v>
      </c>
      <c r="L3042" s="169">
        <f>IFERROR(MATCH(J3042,'Final List'!$D$4:$D$252,0),0)</f>
        <v>0</v>
      </c>
      <c r="M3042" s="169">
        <f>IFERROR(MATCH(J3042,'Final List'!$F$4:$F$251,0),0)</f>
        <v>0</v>
      </c>
      <c r="N3042" s="169">
        <f>IFERROR(MATCH(J3042,'Final List'!$H$4:$H$252,0),0)</f>
        <v>0</v>
      </c>
      <c r="O3042" s="169">
        <f>IFERROR(MATCH(J3042,'Final List'!$J$4:$J$252,0),0)</f>
        <v>0</v>
      </c>
      <c r="P3042" s="169">
        <f>IFERROR(MATCH(J3042,'Final List'!$L$4:$L$252,0),0)</f>
        <v>0</v>
      </c>
      <c r="Q3042" s="169">
        <f>IFERROR(MATCH(J3042,'Final List'!$N$4:$N$252,0),0)</f>
        <v>0</v>
      </c>
      <c r="R3042" s="169">
        <f>IFERROR(MATCH(J3042,'Final List'!$P$4:$P$252,0),0)</f>
        <v>0</v>
      </c>
      <c r="S3042" s="169">
        <f t="shared" si="190"/>
        <v>0</v>
      </c>
      <c r="V3042" s="169" t="str">
        <f t="shared" si="191"/>
        <v>BAÑEZ 1</v>
      </c>
      <c r="W3042" s="169" t="s">
        <v>2715</v>
      </c>
    </row>
    <row r="3043" spans="2:23" x14ac:dyDescent="0.25">
      <c r="B3043" s="169" t="s">
        <v>258</v>
      </c>
      <c r="C3043" s="169" t="s">
        <v>45</v>
      </c>
      <c r="D3043" s="169" t="s">
        <v>110</v>
      </c>
      <c r="E3043" s="169" t="s">
        <v>61</v>
      </c>
      <c r="F3043" s="245" t="str">
        <f t="shared" si="189"/>
        <v>Dhoz 71</v>
      </c>
      <c r="G3043" s="169" t="s">
        <v>5697</v>
      </c>
      <c r="I3043" s="169" t="str">
        <f t="shared" si="192"/>
        <v>L10_DPVE_004E_DW</v>
      </c>
      <c r="J3043" s="169" t="s">
        <v>12587</v>
      </c>
      <c r="K3043" s="169">
        <f>IFERROR(MATCH(J3043,'Final List'!$B$4:$B$252,0),0)</f>
        <v>0</v>
      </c>
      <c r="L3043" s="169">
        <f>IFERROR(MATCH(J3043,'Final List'!$D$4:$D$252,0),0)</f>
        <v>0</v>
      </c>
      <c r="M3043" s="169">
        <f>IFERROR(MATCH(J3043,'Final List'!$F$4:$F$251,0),0)</f>
        <v>0</v>
      </c>
      <c r="N3043" s="169">
        <f>IFERROR(MATCH(J3043,'Final List'!$H$4:$H$252,0),0)</f>
        <v>0</v>
      </c>
      <c r="O3043" s="169">
        <f>IFERROR(MATCH(J3043,'Final List'!$J$4:$J$252,0),0)</f>
        <v>0</v>
      </c>
      <c r="P3043" s="169">
        <f>IFERROR(MATCH(J3043,'Final List'!$L$4:$L$252,0),0)</f>
        <v>0</v>
      </c>
      <c r="Q3043" s="169">
        <f>IFERROR(MATCH(J3043,'Final List'!$N$4:$N$252,0),0)</f>
        <v>0</v>
      </c>
      <c r="R3043" s="169">
        <f>IFERROR(MATCH(J3043,'Final List'!$P$4:$P$252,0),0)</f>
        <v>0</v>
      </c>
      <c r="S3043" s="169">
        <f t="shared" si="190"/>
        <v>0</v>
      </c>
      <c r="V3043" s="169" t="str">
        <f t="shared" si="191"/>
        <v>OLIVEROS 1</v>
      </c>
      <c r="W3043" s="169" t="s">
        <v>8896</v>
      </c>
    </row>
    <row r="3044" spans="2:23" x14ac:dyDescent="0.25">
      <c r="B3044" s="169" t="s">
        <v>95</v>
      </c>
      <c r="C3044" s="169" t="s">
        <v>45</v>
      </c>
      <c r="D3044" s="169" t="s">
        <v>6710</v>
      </c>
      <c r="E3044" s="169" t="s">
        <v>60</v>
      </c>
      <c r="F3044" s="245" t="str">
        <f t="shared" si="189"/>
        <v>Dhoz 71</v>
      </c>
      <c r="G3044" s="169" t="s">
        <v>577</v>
      </c>
      <c r="I3044" s="169" t="str">
        <f t="shared" si="192"/>
        <v>L08_DPVE_018W_DE</v>
      </c>
      <c r="J3044" s="169" t="s">
        <v>12588</v>
      </c>
      <c r="K3044" s="169">
        <f>IFERROR(MATCH(J3044,'Final List'!$B$4:$B$252,0),0)</f>
        <v>0</v>
      </c>
      <c r="L3044" s="169">
        <f>IFERROR(MATCH(J3044,'Final List'!$D$4:$D$252,0),0)</f>
        <v>0</v>
      </c>
      <c r="M3044" s="169">
        <f>IFERROR(MATCH(J3044,'Final List'!$F$4:$F$251,0),0)</f>
        <v>0</v>
      </c>
      <c r="N3044" s="169">
        <f>IFERROR(MATCH(J3044,'Final List'!$H$4:$H$252,0),0)</f>
        <v>0</v>
      </c>
      <c r="O3044" s="169">
        <f>IFERROR(MATCH(J3044,'Final List'!$J$4:$J$252,0),0)</f>
        <v>0</v>
      </c>
      <c r="P3044" s="169">
        <f>IFERROR(MATCH(J3044,'Final List'!$L$4:$L$252,0),0)</f>
        <v>0</v>
      </c>
      <c r="Q3044" s="169">
        <f>IFERROR(MATCH(J3044,'Final List'!$N$4:$N$252,0),0)</f>
        <v>0</v>
      </c>
      <c r="R3044" s="169">
        <f>IFERROR(MATCH(J3044,'Final List'!$P$4:$P$252,0),0)</f>
        <v>0</v>
      </c>
      <c r="S3044" s="169">
        <f t="shared" si="190"/>
        <v>0</v>
      </c>
      <c r="V3044" s="169" t="str">
        <f t="shared" si="191"/>
        <v>CARIKITAN 1</v>
      </c>
      <c r="W3044" s="169" t="s">
        <v>8895</v>
      </c>
    </row>
    <row r="3045" spans="2:23" x14ac:dyDescent="0.25">
      <c r="B3045" s="169" t="s">
        <v>95</v>
      </c>
      <c r="C3045" s="169" t="s">
        <v>45</v>
      </c>
      <c r="D3045" s="169" t="s">
        <v>100</v>
      </c>
      <c r="E3045" s="169" t="s">
        <v>61</v>
      </c>
      <c r="F3045" s="245" t="str">
        <f t="shared" si="189"/>
        <v>Dhoz 71</v>
      </c>
      <c r="G3045" s="169" t="s">
        <v>14137</v>
      </c>
      <c r="I3045" s="169" t="str">
        <f t="shared" si="192"/>
        <v>L08_DPVE_020W_DW</v>
      </c>
      <c r="J3045" s="169" t="s">
        <v>12589</v>
      </c>
      <c r="K3045" s="169">
        <f>IFERROR(MATCH(J3045,'Final List'!$B$4:$B$252,0),0)</f>
        <v>0</v>
      </c>
      <c r="L3045" s="169">
        <f>IFERROR(MATCH(J3045,'Final List'!$D$4:$D$252,0),0)</f>
        <v>0</v>
      </c>
      <c r="M3045" s="169">
        <f>IFERROR(MATCH(J3045,'Final List'!$F$4:$F$251,0),0)</f>
        <v>0</v>
      </c>
      <c r="N3045" s="169">
        <f>IFERROR(MATCH(J3045,'Final List'!$H$4:$H$252,0),0)</f>
        <v>0</v>
      </c>
      <c r="O3045" s="169">
        <f>IFERROR(MATCH(J3045,'Final List'!$J$4:$J$252,0),0)</f>
        <v>0</v>
      </c>
      <c r="P3045" s="169">
        <f>IFERROR(MATCH(J3045,'Final List'!$L$4:$L$252,0),0)</f>
        <v>0</v>
      </c>
      <c r="Q3045" s="169">
        <f>IFERROR(MATCH(J3045,'Final List'!$N$4:$N$252,0),0)</f>
        <v>0</v>
      </c>
      <c r="R3045" s="169">
        <f>IFERROR(MATCH(J3045,'Final List'!$P$4:$P$252,0),0)</f>
        <v>0</v>
      </c>
      <c r="S3045" s="169">
        <f t="shared" si="190"/>
        <v>0</v>
      </c>
      <c r="V3045" s="169" t="str">
        <f t="shared" si="191"/>
        <v>CANTAGO 1</v>
      </c>
      <c r="W3045" s="169" t="s">
        <v>8895</v>
      </c>
    </row>
    <row r="3046" spans="2:23" x14ac:dyDescent="0.25">
      <c r="B3046" s="169" t="s">
        <v>258</v>
      </c>
      <c r="C3046" s="169" t="s">
        <v>87</v>
      </c>
      <c r="D3046" s="169" t="s">
        <v>97</v>
      </c>
      <c r="E3046" s="169" t="s">
        <v>63</v>
      </c>
      <c r="F3046" s="245" t="str">
        <f t="shared" si="189"/>
        <v>Dhoz 71</v>
      </c>
      <c r="G3046" s="169" t="s">
        <v>12409</v>
      </c>
      <c r="I3046" s="169" t="str">
        <f t="shared" si="192"/>
        <v>L10_NONE_012W_XCS</v>
      </c>
      <c r="J3046" s="169" t="s">
        <v>12593</v>
      </c>
      <c r="K3046" s="169">
        <f>IFERROR(MATCH(J3046,'Final List'!$B$4:$B$252,0),0)</f>
        <v>0</v>
      </c>
      <c r="L3046" s="169">
        <f>IFERROR(MATCH(J3046,'Final List'!$D$4:$D$252,0),0)</f>
        <v>0</v>
      </c>
      <c r="M3046" s="169">
        <f>IFERROR(MATCH(J3046,'Final List'!$F$4:$F$251,0),0)</f>
        <v>0</v>
      </c>
      <c r="N3046" s="169">
        <f>IFERROR(MATCH(J3046,'Final List'!$H$4:$H$252,0),0)</f>
        <v>0</v>
      </c>
      <c r="O3046" s="169">
        <f>IFERROR(MATCH(J3046,'Final List'!$J$4:$J$252,0),0)</f>
        <v>0</v>
      </c>
      <c r="P3046" s="169">
        <f>IFERROR(MATCH(J3046,'Final List'!$L$4:$L$252,0),0)</f>
        <v>0</v>
      </c>
      <c r="Q3046" s="169">
        <f>IFERROR(MATCH(J3046,'Final List'!$N$4:$N$252,0),0)</f>
        <v>0</v>
      </c>
      <c r="R3046" s="169">
        <f>IFERROR(MATCH(J3046,'Final List'!$P$4:$P$252,0),0)</f>
        <v>0</v>
      </c>
      <c r="S3046" s="169">
        <f t="shared" si="190"/>
        <v>0</v>
      </c>
      <c r="V3046" s="169" t="str">
        <f t="shared" si="191"/>
        <v>LARGO</v>
      </c>
      <c r="W3046" s="169" t="s">
        <v>8898</v>
      </c>
    </row>
    <row r="3047" spans="2:23" x14ac:dyDescent="0.25">
      <c r="B3047" s="169" t="s">
        <v>8904</v>
      </c>
      <c r="C3047" s="169" t="s">
        <v>42</v>
      </c>
      <c r="D3047" s="169" t="s">
        <v>12594</v>
      </c>
      <c r="E3047" s="169" t="s">
        <v>19</v>
      </c>
      <c r="F3047" s="245" t="str">
        <f t="shared" si="189"/>
        <v>DVR 72</v>
      </c>
      <c r="G3047" s="169" t="s">
        <v>9348</v>
      </c>
      <c r="I3047" s="169" t="str">
        <f t="shared" si="192"/>
        <v>L03_JV_039W_RAISE</v>
      </c>
      <c r="J3047" s="169" t="s">
        <v>12639</v>
      </c>
      <c r="K3047" s="169">
        <f>IFERROR(MATCH(J3047,'Final List'!$B$4:$B$252,0),0)</f>
        <v>0</v>
      </c>
      <c r="L3047" s="169">
        <f>IFERROR(MATCH(J3047,'Final List'!$D$4:$D$252,0),0)</f>
        <v>0</v>
      </c>
      <c r="M3047" s="169">
        <f>IFERROR(MATCH(J3047,'Final List'!$F$4:$F$251,0),0)</f>
        <v>0</v>
      </c>
      <c r="N3047" s="169">
        <f>IFERROR(MATCH(J3047,'Final List'!$H$4:$H$252,0),0)</f>
        <v>0</v>
      </c>
      <c r="O3047" s="169">
        <f>IFERROR(MATCH(J3047,'Final List'!$J$4:$J$252,0),0)</f>
        <v>0</v>
      </c>
      <c r="P3047" s="169">
        <f>IFERROR(MATCH(J3047,'Final List'!$L$4:$L$252,0),0)</f>
        <v>0</v>
      </c>
      <c r="Q3047" s="169">
        <f>IFERROR(MATCH(J3047,'Final List'!$N$4:$N$252,0),0)</f>
        <v>0</v>
      </c>
      <c r="R3047" s="169">
        <f>IFERROR(MATCH(J3047,'Final List'!$P$4:$P$252,0),0)</f>
        <v>0</v>
      </c>
      <c r="S3047" s="169">
        <f t="shared" si="190"/>
        <v>0</v>
      </c>
      <c r="V3047" s="169" t="str">
        <f t="shared" si="191"/>
        <v>FERNANDEZ, RM 1</v>
      </c>
      <c r="W3047" s="169" t="s">
        <v>2715</v>
      </c>
    </row>
    <row r="3048" spans="2:23" x14ac:dyDescent="0.25">
      <c r="B3048" s="169" t="s">
        <v>12597</v>
      </c>
      <c r="C3048" s="169" t="s">
        <v>11957</v>
      </c>
      <c r="D3048" s="169" t="s">
        <v>12598</v>
      </c>
      <c r="E3048" s="169" t="s">
        <v>12171</v>
      </c>
      <c r="F3048" s="245" t="s">
        <v>14362</v>
      </c>
      <c r="G3048" s="169" t="s">
        <v>12596</v>
      </c>
      <c r="H3048" s="169" t="s">
        <v>12585</v>
      </c>
      <c r="I3048" s="169" t="str">
        <f t="shared" si="192"/>
        <v>L12 _TIGERWAY_DSP29B_WIDENING</v>
      </c>
      <c r="J3048" s="169" t="s">
        <v>12599</v>
      </c>
      <c r="K3048" s="169">
        <f>IFERROR(MATCH(J3048,'Final List'!$B$4:$B$252,0),0)</f>
        <v>0</v>
      </c>
      <c r="L3048" s="169">
        <f>IFERROR(MATCH(J3048,'Final List'!$D$4:$D$252,0),0)</f>
        <v>0</v>
      </c>
      <c r="M3048" s="169">
        <f>IFERROR(MATCH(J3048,'Final List'!$F$4:$F$251,0),0)</f>
        <v>0</v>
      </c>
      <c r="N3048" s="169">
        <f>IFERROR(MATCH(J3048,'Final List'!$H$4:$H$252,0),0)</f>
        <v>0</v>
      </c>
      <c r="O3048" s="169">
        <f>IFERROR(MATCH(J3048,'Final List'!$J$4:$J$252,0),0)</f>
        <v>0</v>
      </c>
      <c r="P3048" s="169">
        <f>IFERROR(MATCH(J3048,'Final List'!$L$4:$L$252,0),0)</f>
        <v>0</v>
      </c>
      <c r="Q3048" s="169">
        <f>IFERROR(MATCH(J3048,'Final List'!$N$4:$N$252,0),0)</f>
        <v>0</v>
      </c>
      <c r="R3048" s="169">
        <f>IFERROR(MATCH(J3048,'Final List'!$P$4:$P$252,0),0)</f>
        <v>0</v>
      </c>
      <c r="S3048" s="169">
        <f t="shared" si="190"/>
        <v>0</v>
      </c>
      <c r="V3048" s="169" t="str">
        <f t="shared" si="191"/>
        <v>NITRO BI</v>
      </c>
      <c r="W3048" s="169" t="s">
        <v>2714</v>
      </c>
    </row>
    <row r="3049" spans="2:23" x14ac:dyDescent="0.25">
      <c r="B3049" s="169" t="s">
        <v>12320</v>
      </c>
      <c r="C3049" s="169" t="s">
        <v>87</v>
      </c>
      <c r="D3049" s="169" t="s">
        <v>173</v>
      </c>
      <c r="E3049" s="169" t="s">
        <v>70</v>
      </c>
      <c r="F3049" s="245" t="str">
        <f t="shared" si="189"/>
        <v>Dhoz 71</v>
      </c>
      <c r="G3049" s="169" t="s">
        <v>389</v>
      </c>
      <c r="I3049" s="169" t="str">
        <f t="shared" si="192"/>
        <v>L425_NONE_049E_SUMP</v>
      </c>
      <c r="J3049" s="169" t="s">
        <v>12600</v>
      </c>
      <c r="K3049" s="169">
        <f>IFERROR(MATCH(J3049,'Final List'!$B$4:$B$252,0),0)</f>
        <v>0</v>
      </c>
      <c r="L3049" s="169">
        <f>IFERROR(MATCH(J3049,'Final List'!$D$4:$D$252,0),0)</f>
        <v>0</v>
      </c>
      <c r="M3049" s="169">
        <f>IFERROR(MATCH(J3049,'Final List'!$F$4:$F$251,0),0)</f>
        <v>0</v>
      </c>
      <c r="N3049" s="169">
        <f>IFERROR(MATCH(J3049,'Final List'!$H$4:$H$252,0),0)</f>
        <v>0</v>
      </c>
      <c r="O3049" s="169">
        <f>IFERROR(MATCH(J3049,'Final List'!$J$4:$J$252,0),0)</f>
        <v>0</v>
      </c>
      <c r="P3049" s="169">
        <f>IFERROR(MATCH(J3049,'Final List'!$L$4:$L$252,0),0)</f>
        <v>0</v>
      </c>
      <c r="Q3049" s="169">
        <f>IFERROR(MATCH(J3049,'Final List'!$N$4:$N$252,0),0)</f>
        <v>0</v>
      </c>
      <c r="R3049" s="169">
        <f>IFERROR(MATCH(J3049,'Final List'!$P$4:$P$252,0),0)</f>
        <v>0</v>
      </c>
      <c r="S3049" s="169">
        <f t="shared" si="190"/>
        <v>0</v>
      </c>
      <c r="V3049" s="169" t="str">
        <f t="shared" si="191"/>
        <v>CAPPUYO 1</v>
      </c>
      <c r="W3049" s="169" t="s">
        <v>2714</v>
      </c>
    </row>
    <row r="3050" spans="2:23" x14ac:dyDescent="0.25">
      <c r="B3050" s="169" t="s">
        <v>12320</v>
      </c>
      <c r="C3050" s="169" t="s">
        <v>59</v>
      </c>
      <c r="D3050" s="169" t="s">
        <v>218</v>
      </c>
      <c r="E3050" s="169" t="s">
        <v>60</v>
      </c>
      <c r="F3050" s="245" t="str">
        <f t="shared" si="189"/>
        <v>Dhoz 71</v>
      </c>
      <c r="G3050" s="169" t="s">
        <v>389</v>
      </c>
      <c r="H3050" s="169" t="s">
        <v>365</v>
      </c>
      <c r="I3050" s="169" t="str">
        <f t="shared" si="192"/>
        <v>L425_GHVHW_062E_DE</v>
      </c>
      <c r="J3050" s="169" t="s">
        <v>13588</v>
      </c>
      <c r="K3050" s="169">
        <f>IFERROR(MATCH(J3050,'Final List'!$B$4:$B$252,0),0)</f>
        <v>0</v>
      </c>
      <c r="L3050" s="169">
        <f>IFERROR(MATCH(J3050,'Final List'!$D$4:$D$252,0),0)</f>
        <v>0</v>
      </c>
      <c r="M3050" s="169">
        <f>IFERROR(MATCH(J3050,'Final List'!$F$4:$F$251,0),0)</f>
        <v>0</v>
      </c>
      <c r="N3050" s="169">
        <f>IFERROR(MATCH(J3050,'Final List'!$H$4:$H$252,0),0)</f>
        <v>0</v>
      </c>
      <c r="O3050" s="169">
        <f>IFERROR(MATCH(J3050,'Final List'!$J$4:$J$252,0),0)</f>
        <v>0</v>
      </c>
      <c r="P3050" s="169">
        <f>IFERROR(MATCH(J3050,'Final List'!$L$4:$L$252,0),0)</f>
        <v>0</v>
      </c>
      <c r="Q3050" s="169">
        <f>IFERROR(MATCH(J3050,'Final List'!$N$4:$N$252,0),0)</f>
        <v>0</v>
      </c>
      <c r="R3050" s="169">
        <f>IFERROR(MATCH(J3050,'Final List'!$P$4:$P$252,0),0)</f>
        <v>0</v>
      </c>
      <c r="S3050" s="169">
        <f t="shared" si="190"/>
        <v>0</v>
      </c>
      <c r="V3050" s="169" t="str">
        <f t="shared" si="191"/>
        <v>BABOR 5</v>
      </c>
      <c r="W3050" s="169" t="s">
        <v>8896</v>
      </c>
    </row>
    <row r="3051" spans="2:23" x14ac:dyDescent="0.25">
      <c r="B3051" s="169" t="s">
        <v>12320</v>
      </c>
      <c r="C3051" s="169" t="s">
        <v>43</v>
      </c>
      <c r="D3051" s="169" t="s">
        <v>144</v>
      </c>
      <c r="E3051" s="169" t="s">
        <v>61</v>
      </c>
      <c r="F3051" s="245" t="str">
        <f t="shared" si="189"/>
        <v>Dhoz 71</v>
      </c>
      <c r="G3051" s="169" t="s">
        <v>389</v>
      </c>
      <c r="H3051" s="169" t="s">
        <v>356</v>
      </c>
      <c r="I3051" s="169" t="str">
        <f t="shared" si="192"/>
        <v>L425_GHVSPLIT_043E_DW</v>
      </c>
      <c r="J3051" s="169" t="s">
        <v>12601</v>
      </c>
      <c r="K3051" s="169">
        <f>IFERROR(MATCH(J3051,'Final List'!$B$4:$B$252,0),0)</f>
        <v>0</v>
      </c>
      <c r="L3051" s="169">
        <f>IFERROR(MATCH(J3051,'Final List'!$D$4:$D$252,0),0)</f>
        <v>0</v>
      </c>
      <c r="M3051" s="169">
        <f>IFERROR(MATCH(J3051,'Final List'!$F$4:$F$251,0),0)</f>
        <v>0</v>
      </c>
      <c r="N3051" s="169">
        <f>IFERROR(MATCH(J3051,'Final List'!$H$4:$H$252,0),0)</f>
        <v>0</v>
      </c>
      <c r="O3051" s="169">
        <f>IFERROR(MATCH(J3051,'Final List'!$J$4:$J$252,0),0)</f>
        <v>0</v>
      </c>
      <c r="P3051" s="169">
        <f>IFERROR(MATCH(J3051,'Final List'!$L$4:$L$252,0),0)</f>
        <v>0</v>
      </c>
      <c r="Q3051" s="169">
        <f>IFERROR(MATCH(J3051,'Final List'!$N$4:$N$252,0),0)</f>
        <v>0</v>
      </c>
      <c r="R3051" s="169">
        <f>IFERROR(MATCH(J3051,'Final List'!$P$4:$P$252,0),0)</f>
        <v>0</v>
      </c>
      <c r="S3051" s="169">
        <f t="shared" si="190"/>
        <v>0</v>
      </c>
      <c r="V3051" s="169" t="str">
        <f t="shared" si="191"/>
        <v>BAÑEZ 1</v>
      </c>
      <c r="W3051" s="169" t="s">
        <v>8896</v>
      </c>
    </row>
    <row r="3052" spans="2:23" x14ac:dyDescent="0.25">
      <c r="B3052" s="169" t="s">
        <v>12320</v>
      </c>
      <c r="C3052" s="169" t="s">
        <v>43</v>
      </c>
      <c r="D3052" s="169" t="s">
        <v>289</v>
      </c>
      <c r="E3052" s="169" t="s">
        <v>61</v>
      </c>
      <c r="F3052" s="245" t="str">
        <f t="shared" si="189"/>
        <v>Dhoz 71</v>
      </c>
      <c r="G3052" s="169" t="s">
        <v>390</v>
      </c>
      <c r="H3052" s="169" t="s">
        <v>5705</v>
      </c>
      <c r="I3052" s="169" t="str">
        <f t="shared" si="192"/>
        <v>L425_GHVSPLIT_059E_DW</v>
      </c>
      <c r="J3052" s="169" t="s">
        <v>12602</v>
      </c>
      <c r="K3052" s="169">
        <f>IFERROR(MATCH(J3052,'Final List'!$B$4:$B$252,0),0)</f>
        <v>0</v>
      </c>
      <c r="L3052" s="169">
        <f>IFERROR(MATCH(J3052,'Final List'!$D$4:$D$252,0),0)</f>
        <v>0</v>
      </c>
      <c r="M3052" s="169">
        <f>IFERROR(MATCH(J3052,'Final List'!$F$4:$F$251,0),0)</f>
        <v>0</v>
      </c>
      <c r="N3052" s="169">
        <f>IFERROR(MATCH(J3052,'Final List'!$H$4:$H$252,0),0)</f>
        <v>0</v>
      </c>
      <c r="O3052" s="169">
        <f>IFERROR(MATCH(J3052,'Final List'!$J$4:$J$252,0),0)</f>
        <v>0</v>
      </c>
      <c r="P3052" s="169">
        <f>IFERROR(MATCH(J3052,'Final List'!$L$4:$L$252,0),0)</f>
        <v>0</v>
      </c>
      <c r="Q3052" s="169">
        <f>IFERROR(MATCH(J3052,'Final List'!$N$4:$N$252,0),0)</f>
        <v>0</v>
      </c>
      <c r="R3052" s="169">
        <f>IFERROR(MATCH(J3052,'Final List'!$P$4:$P$252,0),0)</f>
        <v>0</v>
      </c>
      <c r="S3052" s="169">
        <f t="shared" si="190"/>
        <v>0</v>
      </c>
      <c r="V3052" s="169" t="str">
        <f t="shared" si="191"/>
        <v>OLIVEROS 4</v>
      </c>
      <c r="W3052" s="169" t="s">
        <v>8896</v>
      </c>
    </row>
    <row r="3053" spans="2:23" x14ac:dyDescent="0.25">
      <c r="B3053" s="169" t="s">
        <v>12320</v>
      </c>
      <c r="C3053" s="169" t="s">
        <v>43</v>
      </c>
      <c r="D3053" s="169" t="s">
        <v>5781</v>
      </c>
      <c r="E3053" s="169" t="s">
        <v>61</v>
      </c>
      <c r="F3053" s="245" t="str">
        <f t="shared" si="189"/>
        <v>Dhoz 71</v>
      </c>
      <c r="G3053" s="169" t="s">
        <v>390</v>
      </c>
      <c r="H3053" s="169" t="s">
        <v>75</v>
      </c>
      <c r="I3053" s="169" t="str">
        <f t="shared" si="192"/>
        <v>L425_GHVSPLIT_051E_DW</v>
      </c>
      <c r="J3053" s="169" t="s">
        <v>12603</v>
      </c>
      <c r="K3053" s="169">
        <f>IFERROR(MATCH(J3053,'Final List'!$B$4:$B$252,0),0)</f>
        <v>0</v>
      </c>
      <c r="L3053" s="169">
        <f>IFERROR(MATCH(J3053,'Final List'!$D$4:$D$252,0),0)</f>
        <v>0</v>
      </c>
      <c r="M3053" s="169">
        <f>IFERROR(MATCH(J3053,'Final List'!$F$4:$F$251,0),0)</f>
        <v>0</v>
      </c>
      <c r="N3053" s="169">
        <f>IFERROR(MATCH(J3053,'Final List'!$H$4:$H$252,0),0)</f>
        <v>0</v>
      </c>
      <c r="O3053" s="169">
        <f>IFERROR(MATCH(J3053,'Final List'!$J$4:$J$252,0),0)</f>
        <v>0</v>
      </c>
      <c r="P3053" s="169">
        <f>IFERROR(MATCH(J3053,'Final List'!$L$4:$L$252,0),0)</f>
        <v>0</v>
      </c>
      <c r="Q3053" s="169">
        <f>IFERROR(MATCH(J3053,'Final List'!$N$4:$N$252,0),0)</f>
        <v>0</v>
      </c>
      <c r="R3053" s="169">
        <f>IFERROR(MATCH(J3053,'Final List'!$P$4:$P$252,0),0)</f>
        <v>0</v>
      </c>
      <c r="S3053" s="169">
        <f t="shared" si="190"/>
        <v>0</v>
      </c>
      <c r="V3053" s="169" t="str">
        <f t="shared" si="191"/>
        <v>BABOR</v>
      </c>
      <c r="W3053" s="169" t="s">
        <v>8896</v>
      </c>
    </row>
    <row r="3054" spans="2:23" x14ac:dyDescent="0.25">
      <c r="B3054" s="169" t="s">
        <v>1166</v>
      </c>
      <c r="C3054" s="169" t="s">
        <v>45</v>
      </c>
      <c r="D3054" s="169" t="s">
        <v>168</v>
      </c>
      <c r="E3054" s="169" t="s">
        <v>36</v>
      </c>
      <c r="F3054" s="245" t="str">
        <f t="shared" si="189"/>
        <v>StpS 77</v>
      </c>
      <c r="G3054" s="169" t="s">
        <v>4068</v>
      </c>
      <c r="I3054" s="169" t="str">
        <f t="shared" si="192"/>
        <v>L11_DPVE_047E_STOPE</v>
      </c>
      <c r="J3054" s="169" t="s">
        <v>12700</v>
      </c>
      <c r="K3054" s="169">
        <f>IFERROR(MATCH(J3054,'Final List'!$B$4:$B$252,0),0)</f>
        <v>0</v>
      </c>
      <c r="L3054" s="169">
        <f>IFERROR(MATCH(J3054,'Final List'!$D$4:$D$252,0),0)</f>
        <v>0</v>
      </c>
      <c r="M3054" s="169">
        <f>IFERROR(MATCH(J3054,'Final List'!$F$4:$F$251,0),0)</f>
        <v>0</v>
      </c>
      <c r="N3054" s="169">
        <f>IFERROR(MATCH(J3054,'Final List'!$H$4:$H$252,0),0)</f>
        <v>0</v>
      </c>
      <c r="O3054" s="169">
        <f>IFERROR(MATCH(J3054,'Final List'!$J$4:$J$252,0),0)</f>
        <v>0</v>
      </c>
      <c r="P3054" s="169">
        <f>IFERROR(MATCH(J3054,'Final List'!$L$4:$L$252,0),0)</f>
        <v>0</v>
      </c>
      <c r="Q3054" s="169">
        <f>IFERROR(MATCH(J3054,'Final List'!$N$4:$N$252,0),0)</f>
        <v>0</v>
      </c>
      <c r="R3054" s="169">
        <f>IFERROR(MATCH(J3054,'Final List'!$P$4:$P$252,0),0)</f>
        <v>0</v>
      </c>
      <c r="S3054" s="169">
        <f t="shared" si="190"/>
        <v>0</v>
      </c>
      <c r="T3054" s="169" t="s">
        <v>68</v>
      </c>
      <c r="V3054" s="169" t="str">
        <f t="shared" si="191"/>
        <v>MAPAYO</v>
      </c>
      <c r="W3054" s="169" t="s">
        <v>2713</v>
      </c>
    </row>
    <row r="3055" spans="2:23" x14ac:dyDescent="0.25">
      <c r="B3055" s="169" t="s">
        <v>95</v>
      </c>
      <c r="C3055" s="169" t="s">
        <v>45</v>
      </c>
      <c r="D3055" s="169" t="s">
        <v>144</v>
      </c>
      <c r="E3055" s="169" t="s">
        <v>20</v>
      </c>
      <c r="F3055" s="245" t="str">
        <f t="shared" si="189"/>
        <v>DVW 74</v>
      </c>
      <c r="G3055" s="169" t="s">
        <v>583</v>
      </c>
      <c r="I3055" s="169" t="str">
        <f t="shared" si="192"/>
        <v>L08_DPVE_043E_WINZE</v>
      </c>
      <c r="J3055" s="169" t="s">
        <v>12617</v>
      </c>
      <c r="K3055" s="169">
        <f>IFERROR(MATCH(J3055,'Final List'!$B$4:$B$252,0),0)</f>
        <v>0</v>
      </c>
      <c r="L3055" s="169">
        <f>IFERROR(MATCH(J3055,'Final List'!$D$4:$D$252,0),0)</f>
        <v>0</v>
      </c>
      <c r="M3055" s="169">
        <f>IFERROR(MATCH(J3055,'Final List'!$F$4:$F$251,0),0)</f>
        <v>0</v>
      </c>
      <c r="N3055" s="169">
        <f>IFERROR(MATCH(J3055,'Final List'!$H$4:$H$252,0),0)</f>
        <v>0</v>
      </c>
      <c r="O3055" s="169">
        <f>IFERROR(MATCH(J3055,'Final List'!$J$4:$J$252,0),0)</f>
        <v>0</v>
      </c>
      <c r="P3055" s="169">
        <f>IFERROR(MATCH(J3055,'Final List'!$L$4:$L$252,0),0)</f>
        <v>0</v>
      </c>
      <c r="Q3055" s="169">
        <f>IFERROR(MATCH(J3055,'Final List'!$N$4:$N$252,0),0)</f>
        <v>0</v>
      </c>
      <c r="R3055" s="169">
        <f>IFERROR(MATCH(J3055,'Final List'!$P$4:$P$252,0),0)</f>
        <v>0</v>
      </c>
      <c r="S3055" s="169">
        <f t="shared" si="190"/>
        <v>0</v>
      </c>
      <c r="V3055" s="169" t="str">
        <f t="shared" si="191"/>
        <v>VILLARANTE 1</v>
      </c>
      <c r="W3055" s="169" t="s">
        <v>2706</v>
      </c>
    </row>
    <row r="3056" spans="2:23" x14ac:dyDescent="0.25">
      <c r="B3056" s="169" t="s">
        <v>96</v>
      </c>
      <c r="C3056" s="169" t="s">
        <v>45</v>
      </c>
      <c r="D3056" s="169" t="s">
        <v>870</v>
      </c>
      <c r="E3056" s="169" t="s">
        <v>6154</v>
      </c>
      <c r="F3056" s="245" t="str">
        <f t="shared" si="189"/>
        <v>Dhoz 71</v>
      </c>
      <c r="G3056" s="169" t="s">
        <v>5101</v>
      </c>
      <c r="I3056" s="169" t="str">
        <f t="shared" si="192"/>
        <v>L09_DPVE_073E_DW_ISL</v>
      </c>
      <c r="J3056" s="169" t="s">
        <v>12619</v>
      </c>
      <c r="K3056" s="169">
        <f>IFERROR(MATCH(J3056,'Final List'!$B$4:$B$252,0),0)</f>
        <v>0</v>
      </c>
      <c r="L3056" s="169">
        <f>IFERROR(MATCH(J3056,'Final List'!$D$4:$D$252,0),0)</f>
        <v>0</v>
      </c>
      <c r="M3056" s="169">
        <f>IFERROR(MATCH(J3056,'Final List'!$F$4:$F$251,0),0)</f>
        <v>0</v>
      </c>
      <c r="N3056" s="169">
        <f>IFERROR(MATCH(J3056,'Final List'!$H$4:$H$252,0),0)</f>
        <v>0</v>
      </c>
      <c r="O3056" s="169">
        <f>IFERROR(MATCH(J3056,'Final List'!$J$4:$J$252,0),0)</f>
        <v>0</v>
      </c>
      <c r="P3056" s="169">
        <f>IFERROR(MATCH(J3056,'Final List'!$L$4:$L$252,0),0)</f>
        <v>0</v>
      </c>
      <c r="Q3056" s="169">
        <f>IFERROR(MATCH(J3056,'Final List'!$N$4:$N$252,0),0)</f>
        <v>0</v>
      </c>
      <c r="R3056" s="169">
        <f>IFERROR(MATCH(J3056,'Final List'!$P$4:$P$252,0),0)</f>
        <v>0</v>
      </c>
      <c r="S3056" s="169">
        <f t="shared" si="190"/>
        <v>0</v>
      </c>
      <c r="V3056" s="169" t="str">
        <f t="shared" si="191"/>
        <v>DELOS REYES V3</v>
      </c>
      <c r="W3056" s="169" t="s">
        <v>8896</v>
      </c>
    </row>
    <row r="3057" spans="2:23" x14ac:dyDescent="0.25">
      <c r="B3057" s="169" t="s">
        <v>96</v>
      </c>
      <c r="C3057" s="169" t="s">
        <v>38</v>
      </c>
      <c r="D3057" s="169" t="s">
        <v>6036</v>
      </c>
      <c r="E3057" s="169" t="s">
        <v>6154</v>
      </c>
      <c r="F3057" s="245" t="str">
        <f t="shared" si="189"/>
        <v>Dhoz 71</v>
      </c>
      <c r="G3057" s="169" t="s">
        <v>1457</v>
      </c>
      <c r="I3057" s="169" t="str">
        <f t="shared" si="192"/>
        <v>L09_GHV_017E_DW_ISL</v>
      </c>
      <c r="J3057" s="169" t="s">
        <v>12624</v>
      </c>
      <c r="K3057" s="169">
        <f>IFERROR(MATCH(J3057,'Final List'!$B$4:$B$252,0),0)</f>
        <v>0</v>
      </c>
      <c r="L3057" s="169">
        <f>IFERROR(MATCH(J3057,'Final List'!$D$4:$D$252,0),0)</f>
        <v>0</v>
      </c>
      <c r="M3057" s="169">
        <f>IFERROR(MATCH(J3057,'Final List'!$F$4:$F$251,0),0)</f>
        <v>0</v>
      </c>
      <c r="N3057" s="169">
        <f>IFERROR(MATCH(J3057,'Final List'!$H$4:$H$252,0),0)</f>
        <v>0</v>
      </c>
      <c r="O3057" s="169">
        <f>IFERROR(MATCH(J3057,'Final List'!$J$4:$J$252,0),0)</f>
        <v>0</v>
      </c>
      <c r="P3057" s="169">
        <f>IFERROR(MATCH(J3057,'Final List'!$L$4:$L$252,0),0)</f>
        <v>0</v>
      </c>
      <c r="Q3057" s="169">
        <f>IFERROR(MATCH(J3057,'Final List'!$N$4:$N$252,0),0)</f>
        <v>0</v>
      </c>
      <c r="R3057" s="169">
        <f>IFERROR(MATCH(J3057,'Final List'!$P$4:$P$252,0),0)</f>
        <v>0</v>
      </c>
      <c r="S3057" s="169">
        <f t="shared" si="190"/>
        <v>0</v>
      </c>
      <c r="V3057" s="169" t="str">
        <f t="shared" si="191"/>
        <v>UDLOS</v>
      </c>
      <c r="W3057" s="169" t="s">
        <v>8896</v>
      </c>
    </row>
    <row r="3058" spans="2:23" x14ac:dyDescent="0.25">
      <c r="B3058" s="169" t="s">
        <v>1166</v>
      </c>
      <c r="C3058" s="169" t="s">
        <v>55</v>
      </c>
      <c r="D3058" s="169" t="s">
        <v>870</v>
      </c>
      <c r="E3058" s="169" t="s">
        <v>19</v>
      </c>
      <c r="F3058" s="245" t="str">
        <f t="shared" si="189"/>
        <v>DVR 72</v>
      </c>
      <c r="G3058" s="169" t="s">
        <v>359</v>
      </c>
      <c r="I3058" s="169" t="str">
        <f t="shared" si="192"/>
        <v>L11_JVFW_073E_RAISE</v>
      </c>
      <c r="J3058" s="169" t="s">
        <v>12625</v>
      </c>
      <c r="K3058" s="169">
        <f>IFERROR(MATCH(J3058,'Final List'!$B$4:$B$252,0),0)</f>
        <v>0</v>
      </c>
      <c r="L3058" s="169">
        <f>IFERROR(MATCH(J3058,'Final List'!$D$4:$D$252,0),0)</f>
        <v>0</v>
      </c>
      <c r="M3058" s="169">
        <f>IFERROR(MATCH(J3058,'Final List'!$F$4:$F$251,0),0)</f>
        <v>0</v>
      </c>
      <c r="N3058" s="169">
        <f>IFERROR(MATCH(J3058,'Final List'!$H$4:$H$252,0),0)</f>
        <v>0</v>
      </c>
      <c r="O3058" s="169">
        <f>IFERROR(MATCH(J3058,'Final List'!$J$4:$J$252,0),0)</f>
        <v>0</v>
      </c>
      <c r="P3058" s="169">
        <f>IFERROR(MATCH(J3058,'Final List'!$L$4:$L$252,0),0)</f>
        <v>0</v>
      </c>
      <c r="Q3058" s="169">
        <f>IFERROR(MATCH(J3058,'Final List'!$N$4:$N$252,0),0)</f>
        <v>0</v>
      </c>
      <c r="R3058" s="169">
        <f>IFERROR(MATCH(J3058,'Final List'!$P$4:$P$252,0),0)</f>
        <v>0</v>
      </c>
      <c r="S3058" s="169">
        <f t="shared" si="190"/>
        <v>0</v>
      </c>
      <c r="V3058" s="169" t="str">
        <f t="shared" si="191"/>
        <v>ALEÑAR 2</v>
      </c>
      <c r="W3058" s="169" t="s">
        <v>2715</v>
      </c>
    </row>
    <row r="3059" spans="2:23" x14ac:dyDescent="0.25">
      <c r="B3059" s="169" t="s">
        <v>96</v>
      </c>
      <c r="C3059" s="169" t="s">
        <v>45</v>
      </c>
      <c r="D3059" s="169" t="s">
        <v>5887</v>
      </c>
      <c r="E3059" s="169" t="s">
        <v>221</v>
      </c>
      <c r="F3059" s="245" t="str">
        <f t="shared" si="189"/>
        <v>RobC 80</v>
      </c>
      <c r="G3059" s="169" t="s">
        <v>2970</v>
      </c>
      <c r="H3059" s="169" t="s">
        <v>12658</v>
      </c>
      <c r="I3059" s="169" t="str">
        <f t="shared" si="192"/>
        <v>L09_DPVE_085E_WINZE STOPE</v>
      </c>
      <c r="J3059" s="169" t="s">
        <v>12830</v>
      </c>
      <c r="K3059" s="169">
        <f>IFERROR(MATCH(J3059,'Final List'!$B$4:$B$252,0),0)</f>
        <v>0</v>
      </c>
      <c r="L3059" s="169">
        <f>IFERROR(MATCH(J3059,'Final List'!$D$4:$D$252,0),0)</f>
        <v>0</v>
      </c>
      <c r="M3059" s="169">
        <f>IFERROR(MATCH(J3059,'Final List'!$F$4:$F$251,0),0)</f>
        <v>0</v>
      </c>
      <c r="N3059" s="169">
        <f>IFERROR(MATCH(J3059,'Final List'!$H$4:$H$252,0),0)</f>
        <v>0</v>
      </c>
      <c r="O3059" s="169">
        <f>IFERROR(MATCH(J3059,'Final List'!$J$4:$J$252,0),0)</f>
        <v>0</v>
      </c>
      <c r="P3059" s="169">
        <f>IFERROR(MATCH(J3059,'Final List'!$L$4:$L$252,0),0)</f>
        <v>0</v>
      </c>
      <c r="Q3059" s="169">
        <f>IFERROR(MATCH(J3059,'Final List'!$N$4:$N$252,0),0)</f>
        <v>0</v>
      </c>
      <c r="R3059" s="169">
        <f>IFERROR(MATCH(J3059,'Final List'!$P$4:$P$252,0),0)</f>
        <v>0</v>
      </c>
      <c r="S3059" s="169">
        <f t="shared" si="190"/>
        <v>0</v>
      </c>
      <c r="T3059" s="169" t="s">
        <v>68</v>
      </c>
      <c r="V3059" s="169" t="str">
        <f t="shared" si="191"/>
        <v>NITRO BT</v>
      </c>
      <c r="W3059" s="169" t="s">
        <v>2713</v>
      </c>
    </row>
    <row r="3060" spans="2:23" x14ac:dyDescent="0.25">
      <c r="B3060" s="169" t="s">
        <v>1166</v>
      </c>
      <c r="C3060" s="169" t="s">
        <v>38</v>
      </c>
      <c r="D3060" s="169" t="s">
        <v>178</v>
      </c>
      <c r="E3060" s="169" t="s">
        <v>61</v>
      </c>
      <c r="F3060" s="245" t="str">
        <f t="shared" si="189"/>
        <v>Dhoz 71</v>
      </c>
      <c r="G3060" s="169" t="s">
        <v>12513</v>
      </c>
      <c r="H3060" s="169" t="s">
        <v>356</v>
      </c>
      <c r="I3060" s="169" t="str">
        <f t="shared" si="192"/>
        <v>L11_GHV_048E_DW</v>
      </c>
      <c r="J3060" s="169" t="s">
        <v>12630</v>
      </c>
      <c r="K3060" s="169">
        <f>IFERROR(MATCH(J3060,'Final List'!$B$4:$B$252,0),0)</f>
        <v>0</v>
      </c>
      <c r="L3060" s="169">
        <f>IFERROR(MATCH(J3060,'Final List'!$D$4:$D$252,0),0)</f>
        <v>0</v>
      </c>
      <c r="M3060" s="169">
        <f>IFERROR(MATCH(J3060,'Final List'!$F$4:$F$251,0),0)</f>
        <v>0</v>
      </c>
      <c r="N3060" s="169">
        <f>IFERROR(MATCH(J3060,'Final List'!$H$4:$H$252,0),0)</f>
        <v>0</v>
      </c>
      <c r="O3060" s="169">
        <f>IFERROR(MATCH(J3060,'Final List'!$J$4:$J$252,0),0)</f>
        <v>0</v>
      </c>
      <c r="P3060" s="169">
        <f>IFERROR(MATCH(J3060,'Final List'!$L$4:$L$252,0),0)</f>
        <v>0</v>
      </c>
      <c r="Q3060" s="169">
        <f>IFERROR(MATCH(J3060,'Final List'!$N$4:$N$252,0),0)</f>
        <v>0</v>
      </c>
      <c r="R3060" s="169">
        <f>IFERROR(MATCH(J3060,'Final List'!$P$4:$P$252,0),0)</f>
        <v>0</v>
      </c>
      <c r="S3060" s="169">
        <f t="shared" si="190"/>
        <v>0</v>
      </c>
      <c r="V3060" s="169" t="str">
        <f t="shared" si="191"/>
        <v>BAÑEZ 1</v>
      </c>
      <c r="W3060" s="169" t="s">
        <v>8896</v>
      </c>
    </row>
    <row r="3061" spans="2:23" x14ac:dyDescent="0.25">
      <c r="B3061" s="169" t="s">
        <v>1166</v>
      </c>
      <c r="C3061" s="169" t="s">
        <v>45</v>
      </c>
      <c r="D3061" s="169" t="s">
        <v>247</v>
      </c>
      <c r="E3061" s="169" t="s">
        <v>60</v>
      </c>
      <c r="F3061" s="245" t="str">
        <f t="shared" si="189"/>
        <v>Dhoz 71</v>
      </c>
      <c r="G3061" s="169" t="s">
        <v>862</v>
      </c>
      <c r="H3061" s="169" t="s">
        <v>488</v>
      </c>
      <c r="I3061" s="169" t="str">
        <f t="shared" si="192"/>
        <v>L11_DPVE_080E_DE</v>
      </c>
      <c r="J3061" s="169" t="s">
        <v>12631</v>
      </c>
      <c r="K3061" s="169">
        <f>IFERROR(MATCH(J3061,'Final List'!$B$4:$B$252,0),0)</f>
        <v>0</v>
      </c>
      <c r="L3061" s="169">
        <f>IFERROR(MATCH(J3061,'Final List'!$D$4:$D$252,0),0)</f>
        <v>0</v>
      </c>
      <c r="M3061" s="169">
        <f>IFERROR(MATCH(J3061,'Final List'!$F$4:$F$251,0),0)</f>
        <v>0</v>
      </c>
      <c r="N3061" s="169">
        <f>IFERROR(MATCH(J3061,'Final List'!$H$4:$H$252,0),0)</f>
        <v>0</v>
      </c>
      <c r="O3061" s="169">
        <f>IFERROR(MATCH(J3061,'Final List'!$J$4:$J$252,0),0)</f>
        <v>0</v>
      </c>
      <c r="P3061" s="169">
        <f>IFERROR(MATCH(J3061,'Final List'!$L$4:$L$252,0),0)</f>
        <v>0</v>
      </c>
      <c r="Q3061" s="169">
        <f>IFERROR(MATCH(J3061,'Final List'!$N$4:$N$252,0),0)</f>
        <v>0</v>
      </c>
      <c r="R3061" s="169">
        <f>IFERROR(MATCH(J3061,'Final List'!$P$4:$P$252,0),0)</f>
        <v>0</v>
      </c>
      <c r="S3061" s="169">
        <f t="shared" si="190"/>
        <v>0</v>
      </c>
      <c r="V3061" s="169" t="str">
        <f t="shared" si="191"/>
        <v>BAÑEZ 9</v>
      </c>
      <c r="W3061" s="169" t="s">
        <v>8896</v>
      </c>
    </row>
    <row r="3062" spans="2:23" x14ac:dyDescent="0.25">
      <c r="B3062" s="169" t="s">
        <v>1167</v>
      </c>
      <c r="C3062" s="169" t="s">
        <v>45</v>
      </c>
      <c r="D3062" s="169" t="s">
        <v>132</v>
      </c>
      <c r="E3062" s="169" t="s">
        <v>19</v>
      </c>
      <c r="F3062" s="245" t="str">
        <f t="shared" si="189"/>
        <v>DVR 72</v>
      </c>
      <c r="G3062" s="169" t="s">
        <v>9885</v>
      </c>
      <c r="I3062" s="169" t="str">
        <f t="shared" si="192"/>
        <v>L12_DPVE_033E_RAISE</v>
      </c>
      <c r="J3062" s="169" t="s">
        <v>12635</v>
      </c>
      <c r="K3062" s="169">
        <f>IFERROR(MATCH(J3062,'Final List'!$B$4:$B$252,0),0)</f>
        <v>0</v>
      </c>
      <c r="L3062" s="169">
        <f>IFERROR(MATCH(J3062,'Final List'!$D$4:$D$252,0),0)</f>
        <v>0</v>
      </c>
      <c r="M3062" s="169">
        <f>IFERROR(MATCH(J3062,'Final List'!$F$4:$F$251,0),0)</f>
        <v>0</v>
      </c>
      <c r="N3062" s="169">
        <f>IFERROR(MATCH(J3062,'Final List'!$H$4:$H$252,0),0)</f>
        <v>0</v>
      </c>
      <c r="O3062" s="169">
        <f>IFERROR(MATCH(J3062,'Final List'!$J$4:$J$252,0),0)</f>
        <v>0</v>
      </c>
      <c r="P3062" s="169">
        <f>IFERROR(MATCH(J3062,'Final List'!$L$4:$L$252,0),0)</f>
        <v>0</v>
      </c>
      <c r="Q3062" s="169">
        <f>IFERROR(MATCH(J3062,'Final List'!$N$4:$N$252,0),0)</f>
        <v>0</v>
      </c>
      <c r="R3062" s="169">
        <f>IFERROR(MATCH(J3062,'Final List'!$P$4:$P$252,0),0)</f>
        <v>0</v>
      </c>
      <c r="S3062" s="169">
        <f t="shared" si="190"/>
        <v>0</v>
      </c>
      <c r="V3062" s="169" t="str">
        <f t="shared" si="191"/>
        <v>CAYMAN 2</v>
      </c>
      <c r="W3062" s="169" t="s">
        <v>2715</v>
      </c>
    </row>
    <row r="3063" spans="2:23" x14ac:dyDescent="0.25">
      <c r="B3063" s="169" t="s">
        <v>258</v>
      </c>
      <c r="C3063" s="169" t="s">
        <v>43</v>
      </c>
      <c r="D3063" s="169" t="s">
        <v>161</v>
      </c>
      <c r="E3063" s="169" t="s">
        <v>62</v>
      </c>
      <c r="F3063" s="245" t="str">
        <f t="shared" si="189"/>
        <v>RobS 79</v>
      </c>
      <c r="G3063" s="169" t="s">
        <v>5698</v>
      </c>
      <c r="I3063" s="169" t="str">
        <f t="shared" si="192"/>
        <v>L10_GHVSPLIT_044E_ROBBING</v>
      </c>
      <c r="J3063" s="169" t="s">
        <v>12638</v>
      </c>
      <c r="K3063" s="169">
        <f>IFERROR(MATCH(J3063,'Final List'!$B$4:$B$252,0),0)</f>
        <v>0</v>
      </c>
      <c r="L3063" s="169">
        <f>IFERROR(MATCH(J3063,'Final List'!$D$4:$D$252,0),0)</f>
        <v>0</v>
      </c>
      <c r="M3063" s="169">
        <f>IFERROR(MATCH(J3063,'Final List'!$F$4:$F$251,0),0)</f>
        <v>0</v>
      </c>
      <c r="N3063" s="169">
        <f>IFERROR(MATCH(J3063,'Final List'!$H$4:$H$252,0),0)</f>
        <v>0</v>
      </c>
      <c r="O3063" s="169">
        <f>IFERROR(MATCH(J3063,'Final List'!$J$4:$J$252,0),0)</f>
        <v>0</v>
      </c>
      <c r="P3063" s="169">
        <f>IFERROR(MATCH(J3063,'Final List'!$L$4:$L$252,0),0)</f>
        <v>0</v>
      </c>
      <c r="Q3063" s="169">
        <f>IFERROR(MATCH(J3063,'Final List'!$N$4:$N$252,0),0)</f>
        <v>0</v>
      </c>
      <c r="R3063" s="169">
        <f>IFERROR(MATCH(J3063,'Final List'!$P$4:$P$252,0),0)</f>
        <v>0</v>
      </c>
      <c r="S3063" s="169">
        <f t="shared" si="190"/>
        <v>0</v>
      </c>
      <c r="T3063" s="169" t="s">
        <v>68</v>
      </c>
      <c r="V3063" s="169" t="str">
        <f t="shared" si="191"/>
        <v>PARAN 1</v>
      </c>
      <c r="W3063" s="169" t="s">
        <v>2707</v>
      </c>
    </row>
    <row r="3064" spans="2:23" x14ac:dyDescent="0.25">
      <c r="B3064" s="169" t="s">
        <v>1166</v>
      </c>
      <c r="C3064" s="169" t="s">
        <v>55</v>
      </c>
      <c r="D3064" s="169" t="s">
        <v>1230</v>
      </c>
      <c r="E3064" s="169" t="s">
        <v>60</v>
      </c>
      <c r="F3064" s="245" t="str">
        <f t="shared" si="189"/>
        <v>Dhoz 71</v>
      </c>
      <c r="G3064" s="169" t="s">
        <v>359</v>
      </c>
      <c r="I3064" s="169" t="str">
        <f t="shared" si="192"/>
        <v>L11_JVFW_075E_DE</v>
      </c>
      <c r="J3064" s="169" t="s">
        <v>12643</v>
      </c>
      <c r="K3064" s="169">
        <f>IFERROR(MATCH(J3064,'Final List'!$B$4:$B$252,0),0)</f>
        <v>0</v>
      </c>
      <c r="L3064" s="169">
        <f>IFERROR(MATCH(J3064,'Final List'!$D$4:$D$252,0),0)</f>
        <v>0</v>
      </c>
      <c r="M3064" s="169">
        <f>IFERROR(MATCH(J3064,'Final List'!$F$4:$F$251,0),0)</f>
        <v>0</v>
      </c>
      <c r="N3064" s="169">
        <f>IFERROR(MATCH(J3064,'Final List'!$H$4:$H$252,0),0)</f>
        <v>0</v>
      </c>
      <c r="O3064" s="169">
        <f>IFERROR(MATCH(J3064,'Final List'!$J$4:$J$252,0),0)</f>
        <v>0</v>
      </c>
      <c r="P3064" s="169">
        <f>IFERROR(MATCH(J3064,'Final List'!$L$4:$L$252,0),0)</f>
        <v>0</v>
      </c>
      <c r="Q3064" s="169">
        <f>IFERROR(MATCH(J3064,'Final List'!$N$4:$N$252,0),0)</f>
        <v>0</v>
      </c>
      <c r="R3064" s="169">
        <f>IFERROR(MATCH(J3064,'Final List'!$P$4:$P$252,0),0)</f>
        <v>0</v>
      </c>
      <c r="S3064" s="169">
        <f t="shared" si="190"/>
        <v>0</v>
      </c>
      <c r="V3064" s="169" t="str">
        <f t="shared" si="191"/>
        <v>ALEÑAR 2</v>
      </c>
      <c r="W3064" s="169" t="s">
        <v>8896</v>
      </c>
    </row>
    <row r="3065" spans="2:23" x14ac:dyDescent="0.25">
      <c r="B3065" s="169" t="s">
        <v>1166</v>
      </c>
      <c r="C3065" s="169" t="s">
        <v>38</v>
      </c>
      <c r="D3065" s="169" t="s">
        <v>175</v>
      </c>
      <c r="E3065" s="169" t="s">
        <v>62</v>
      </c>
      <c r="F3065" s="245" t="str">
        <f t="shared" si="189"/>
        <v>RobS 79</v>
      </c>
      <c r="G3065" s="169" t="s">
        <v>356</v>
      </c>
      <c r="I3065" s="169" t="str">
        <f t="shared" si="192"/>
        <v>L11_GHV_060E_ROBBING</v>
      </c>
      <c r="J3065" s="169" t="s">
        <v>12644</v>
      </c>
      <c r="K3065" s="169">
        <f>IFERROR(MATCH(J3065,'Final List'!$B$4:$B$252,0),0)</f>
        <v>0</v>
      </c>
      <c r="L3065" s="169">
        <f>IFERROR(MATCH(J3065,'Final List'!$D$4:$D$252,0),0)</f>
        <v>0</v>
      </c>
      <c r="M3065" s="169">
        <f>IFERROR(MATCH(J3065,'Final List'!$F$4:$F$251,0),0)</f>
        <v>0</v>
      </c>
      <c r="N3065" s="169">
        <f>IFERROR(MATCH(J3065,'Final List'!$H$4:$H$252,0),0)</f>
        <v>0</v>
      </c>
      <c r="O3065" s="169">
        <f>IFERROR(MATCH(J3065,'Final List'!$J$4:$J$252,0),0)</f>
        <v>0</v>
      </c>
      <c r="P3065" s="169">
        <f>IFERROR(MATCH(J3065,'Final List'!$L$4:$L$252,0),0)</f>
        <v>0</v>
      </c>
      <c r="Q3065" s="169">
        <f>IFERROR(MATCH(J3065,'Final List'!$N$4:$N$252,0),0)</f>
        <v>0</v>
      </c>
      <c r="R3065" s="169">
        <f>IFERROR(MATCH(J3065,'Final List'!$P$4:$P$252,0),0)</f>
        <v>0</v>
      </c>
      <c r="S3065" s="169">
        <f t="shared" si="190"/>
        <v>0</v>
      </c>
      <c r="T3065" s="169" t="s">
        <v>68</v>
      </c>
      <c r="V3065" s="169" t="str">
        <f t="shared" si="191"/>
        <v>BAÑEZ 1</v>
      </c>
      <c r="W3065" s="169" t="s">
        <v>2707</v>
      </c>
    </row>
    <row r="3066" spans="2:23" x14ac:dyDescent="0.25">
      <c r="B3066" s="169" t="s">
        <v>96</v>
      </c>
      <c r="C3066" s="169" t="s">
        <v>42</v>
      </c>
      <c r="D3066" s="169" t="s">
        <v>175</v>
      </c>
      <c r="E3066" s="169" t="s">
        <v>62</v>
      </c>
      <c r="F3066" s="245" t="str">
        <f t="shared" si="189"/>
        <v>RobS 79</v>
      </c>
      <c r="G3066" s="169" t="s">
        <v>485</v>
      </c>
      <c r="I3066" s="169" t="str">
        <f t="shared" si="192"/>
        <v>L09_JV_060E_ROBBING</v>
      </c>
      <c r="J3066" s="169" t="s">
        <v>12646</v>
      </c>
      <c r="K3066" s="169">
        <f>IFERROR(MATCH(J3066,'Final List'!$B$4:$B$252,0),0)</f>
        <v>0</v>
      </c>
      <c r="L3066" s="169">
        <f>IFERROR(MATCH(J3066,'Final List'!$D$4:$D$252,0),0)</f>
        <v>0</v>
      </c>
      <c r="M3066" s="169">
        <f>IFERROR(MATCH(J3066,'Final List'!$F$4:$F$251,0),0)</f>
        <v>0</v>
      </c>
      <c r="N3066" s="169">
        <f>IFERROR(MATCH(J3066,'Final List'!$H$4:$H$252,0),0)</f>
        <v>0</v>
      </c>
      <c r="O3066" s="169">
        <f>IFERROR(MATCH(J3066,'Final List'!$J$4:$J$252,0),0)</f>
        <v>0</v>
      </c>
      <c r="P3066" s="169">
        <f>IFERROR(MATCH(J3066,'Final List'!$L$4:$L$252,0),0)</f>
        <v>0</v>
      </c>
      <c r="Q3066" s="169">
        <f>IFERROR(MATCH(J3066,'Final List'!$N$4:$N$252,0),0)</f>
        <v>0</v>
      </c>
      <c r="R3066" s="169">
        <f>IFERROR(MATCH(J3066,'Final List'!$P$4:$P$252,0),0)</f>
        <v>0</v>
      </c>
      <c r="S3066" s="169">
        <f t="shared" si="190"/>
        <v>0</v>
      </c>
      <c r="T3066" s="169" t="s">
        <v>68</v>
      </c>
      <c r="V3066" s="169" t="str">
        <f t="shared" si="191"/>
        <v>BALANGHIG 3</v>
      </c>
      <c r="W3066" s="169" t="s">
        <v>236</v>
      </c>
    </row>
    <row r="3067" spans="2:23" x14ac:dyDescent="0.25">
      <c r="B3067" s="169" t="s">
        <v>96</v>
      </c>
      <c r="C3067" s="169" t="s">
        <v>59</v>
      </c>
      <c r="D3067" s="169" t="s">
        <v>107</v>
      </c>
      <c r="E3067" s="169" t="s">
        <v>60</v>
      </c>
      <c r="F3067" s="245" t="str">
        <f t="shared" si="189"/>
        <v>Dhoz 71</v>
      </c>
      <c r="G3067" s="169" t="s">
        <v>12528</v>
      </c>
      <c r="H3067" s="169" t="s">
        <v>1661</v>
      </c>
      <c r="I3067" s="169" t="str">
        <f t="shared" si="192"/>
        <v>L09_GHVHW_032W_DE</v>
      </c>
      <c r="J3067" s="169" t="s">
        <v>12657</v>
      </c>
      <c r="K3067" s="169">
        <f>IFERROR(MATCH(J3067,'Final List'!$B$4:$B$252,0),0)</f>
        <v>0</v>
      </c>
      <c r="L3067" s="169">
        <f>IFERROR(MATCH(J3067,'Final List'!$D$4:$D$252,0),0)</f>
        <v>0</v>
      </c>
      <c r="M3067" s="169">
        <f>IFERROR(MATCH(J3067,'Final List'!$F$4:$F$251,0),0)</f>
        <v>0</v>
      </c>
      <c r="N3067" s="169">
        <f>IFERROR(MATCH(J3067,'Final List'!$H$4:$H$252,0),0)</f>
        <v>0</v>
      </c>
      <c r="O3067" s="169">
        <f>IFERROR(MATCH(J3067,'Final List'!$J$4:$J$252,0),0)</f>
        <v>0</v>
      </c>
      <c r="P3067" s="169">
        <f>IFERROR(MATCH(J3067,'Final List'!$L$4:$L$252,0),0)</f>
        <v>0</v>
      </c>
      <c r="Q3067" s="169">
        <f>IFERROR(MATCH(J3067,'Final List'!$N$4:$N$252,0),0)</f>
        <v>0</v>
      </c>
      <c r="R3067" s="169">
        <f>IFERROR(MATCH(J3067,'Final List'!$P$4:$P$252,0),0)</f>
        <v>0</v>
      </c>
      <c r="S3067" s="169">
        <f t="shared" si="190"/>
        <v>0</v>
      </c>
      <c r="V3067" s="169" t="str">
        <f t="shared" si="191"/>
        <v>DELOS REYES V2</v>
      </c>
      <c r="W3067" s="169" t="s">
        <v>8896</v>
      </c>
    </row>
    <row r="3068" spans="2:23" x14ac:dyDescent="0.25">
      <c r="B3068" s="169" t="s">
        <v>1167</v>
      </c>
      <c r="C3068" s="169" t="s">
        <v>59</v>
      </c>
      <c r="D3068" s="169" t="s">
        <v>179</v>
      </c>
      <c r="E3068" s="169" t="s">
        <v>19</v>
      </c>
      <c r="F3068" s="245" t="str">
        <f t="shared" si="189"/>
        <v>DVR 72</v>
      </c>
      <c r="G3068" s="169" t="s">
        <v>12236</v>
      </c>
      <c r="I3068" s="169" t="str">
        <f t="shared" si="192"/>
        <v>L12_GHVHW_050E_RAISE</v>
      </c>
      <c r="J3068" s="169" t="s">
        <v>12648</v>
      </c>
      <c r="K3068" s="169">
        <f>IFERROR(MATCH(J3068,'Final List'!$B$4:$B$252,0),0)</f>
        <v>0</v>
      </c>
      <c r="L3068" s="169">
        <f>IFERROR(MATCH(J3068,'Final List'!$D$4:$D$252,0),0)</f>
        <v>0</v>
      </c>
      <c r="M3068" s="169">
        <f>IFERROR(MATCH(J3068,'Final List'!$F$4:$F$251,0),0)</f>
        <v>0</v>
      </c>
      <c r="N3068" s="169">
        <f>IFERROR(MATCH(J3068,'Final List'!$H$4:$H$252,0),0)</f>
        <v>0</v>
      </c>
      <c r="O3068" s="169">
        <f>IFERROR(MATCH(J3068,'Final List'!$J$4:$J$252,0),0)</f>
        <v>0</v>
      </c>
      <c r="P3068" s="169">
        <f>IFERROR(MATCH(J3068,'Final List'!$L$4:$L$252,0),0)</f>
        <v>0</v>
      </c>
      <c r="Q3068" s="169">
        <f>IFERROR(MATCH(J3068,'Final List'!$N$4:$N$252,0),0)</f>
        <v>0</v>
      </c>
      <c r="R3068" s="169">
        <f>IFERROR(MATCH(J3068,'Final List'!$P$4:$P$252,0),0)</f>
        <v>0</v>
      </c>
      <c r="S3068" s="169">
        <f t="shared" si="190"/>
        <v>0</v>
      </c>
      <c r="V3068" s="169" t="str">
        <f t="shared" si="191"/>
        <v>NITRO BA 2</v>
      </c>
      <c r="W3068" s="169" t="s">
        <v>2715</v>
      </c>
    </row>
    <row r="3069" spans="2:23" x14ac:dyDescent="0.25">
      <c r="B3069" s="169" t="s">
        <v>1167</v>
      </c>
      <c r="C3069" s="169" t="s">
        <v>45</v>
      </c>
      <c r="D3069" s="169" t="s">
        <v>160</v>
      </c>
      <c r="E3069" s="169" t="s">
        <v>36</v>
      </c>
      <c r="F3069" s="245" t="str">
        <f t="shared" si="189"/>
        <v>StpS 77</v>
      </c>
      <c r="G3069" s="169" t="s">
        <v>12565</v>
      </c>
      <c r="I3069" s="169" t="str">
        <f t="shared" si="192"/>
        <v>L12_DPVE_042E_STOPE</v>
      </c>
      <c r="J3069" s="169" t="s">
        <v>12803</v>
      </c>
      <c r="K3069" s="169">
        <f>IFERROR(MATCH(J3069,'Final List'!$B$4:$B$252,0),0)</f>
        <v>0</v>
      </c>
      <c r="L3069" s="169">
        <f>IFERROR(MATCH(J3069,'Final List'!$D$4:$D$252,0),0)</f>
        <v>0</v>
      </c>
      <c r="M3069" s="169">
        <f>IFERROR(MATCH(J3069,'Final List'!$F$4:$F$251,0),0)</f>
        <v>0</v>
      </c>
      <c r="N3069" s="169">
        <f>IFERROR(MATCH(J3069,'Final List'!$H$4:$H$252,0),0)</f>
        <v>0</v>
      </c>
      <c r="O3069" s="169">
        <f>IFERROR(MATCH(J3069,'Final List'!$J$4:$J$252,0),0)</f>
        <v>0</v>
      </c>
      <c r="P3069" s="169">
        <f>IFERROR(MATCH(J3069,'Final List'!$L$4:$L$252,0),0)</f>
        <v>0</v>
      </c>
      <c r="Q3069" s="169">
        <f>IFERROR(MATCH(J3069,'Final List'!$N$4:$N$252,0),0)</f>
        <v>0</v>
      </c>
      <c r="R3069" s="169">
        <f>IFERROR(MATCH(J3069,'Final List'!$P$4:$P$252,0),0)</f>
        <v>0</v>
      </c>
      <c r="S3069" s="169">
        <f t="shared" si="190"/>
        <v>0</v>
      </c>
      <c r="T3069" s="169" t="s">
        <v>68</v>
      </c>
      <c r="V3069" s="169" t="str">
        <f t="shared" si="191"/>
        <v>NITRO BO</v>
      </c>
      <c r="W3069" s="169" t="s">
        <v>2713</v>
      </c>
    </row>
    <row r="3070" spans="2:23" x14ac:dyDescent="0.25">
      <c r="B3070" s="169" t="s">
        <v>258</v>
      </c>
      <c r="C3070" s="169" t="s">
        <v>45</v>
      </c>
      <c r="D3070" s="169" t="s">
        <v>12655</v>
      </c>
      <c r="E3070" s="169" t="s">
        <v>61</v>
      </c>
      <c r="F3070" s="245" t="str">
        <f t="shared" si="189"/>
        <v>Dhoz 71</v>
      </c>
      <c r="G3070" s="169" t="s">
        <v>12065</v>
      </c>
      <c r="I3070" s="169" t="str">
        <f t="shared" si="192"/>
        <v>L10_DPVE_106E_DW</v>
      </c>
      <c r="J3070" s="169" t="s">
        <v>12696</v>
      </c>
      <c r="K3070" s="169">
        <f>IFERROR(MATCH(J3070,'Final List'!$B$4:$B$252,0),0)</f>
        <v>0</v>
      </c>
      <c r="L3070" s="169">
        <f>IFERROR(MATCH(J3070,'Final List'!$D$4:$D$252,0),0)</f>
        <v>0</v>
      </c>
      <c r="M3070" s="169">
        <f>IFERROR(MATCH(J3070,'Final List'!$F$4:$F$251,0),0)</f>
        <v>0</v>
      </c>
      <c r="N3070" s="169">
        <f>IFERROR(MATCH(J3070,'Final List'!$H$4:$H$252,0),0)</f>
        <v>0</v>
      </c>
      <c r="O3070" s="169">
        <f>IFERROR(MATCH(J3070,'Final List'!$J$4:$J$252,0),0)</f>
        <v>0</v>
      </c>
      <c r="P3070" s="169">
        <f>IFERROR(MATCH(J3070,'Final List'!$L$4:$L$252,0),0)</f>
        <v>0</v>
      </c>
      <c r="Q3070" s="169">
        <f>IFERROR(MATCH(J3070,'Final List'!$N$4:$N$252,0),0)</f>
        <v>0</v>
      </c>
      <c r="R3070" s="169">
        <f>IFERROR(MATCH(J3070,'Final List'!$P$4:$P$252,0),0)</f>
        <v>0</v>
      </c>
      <c r="S3070" s="169">
        <f t="shared" si="190"/>
        <v>0</v>
      </c>
      <c r="V3070" s="169" t="str">
        <f t="shared" si="191"/>
        <v>NITRO BD 1</v>
      </c>
      <c r="W3070" s="169" t="s">
        <v>8896</v>
      </c>
    </row>
    <row r="3071" spans="2:23" x14ac:dyDescent="0.25">
      <c r="B3071" s="169" t="s">
        <v>1167</v>
      </c>
      <c r="C3071" s="169" t="s">
        <v>39</v>
      </c>
      <c r="D3071" s="169" t="s">
        <v>178</v>
      </c>
      <c r="E3071" s="169" t="s">
        <v>19</v>
      </c>
      <c r="F3071" s="245" t="str">
        <f t="shared" si="189"/>
        <v>DVR 72</v>
      </c>
      <c r="G3071" s="169" t="s">
        <v>337</v>
      </c>
      <c r="I3071" s="169" t="str">
        <f t="shared" si="192"/>
        <v>L12_JVHW_048E_RAISE</v>
      </c>
      <c r="J3071" s="169" t="s">
        <v>12656</v>
      </c>
      <c r="K3071" s="169">
        <f>IFERROR(MATCH(J3071,'Final List'!$B$4:$B$252,0),0)</f>
        <v>0</v>
      </c>
      <c r="L3071" s="169">
        <f>IFERROR(MATCH(J3071,'Final List'!$D$4:$D$252,0),0)</f>
        <v>0</v>
      </c>
      <c r="M3071" s="169">
        <f>IFERROR(MATCH(J3071,'Final List'!$F$4:$F$251,0),0)</f>
        <v>0</v>
      </c>
      <c r="N3071" s="169">
        <f>IFERROR(MATCH(J3071,'Final List'!$H$4:$H$252,0),0)</f>
        <v>0</v>
      </c>
      <c r="O3071" s="169">
        <f>IFERROR(MATCH(J3071,'Final List'!$J$4:$J$252,0),0)</f>
        <v>0</v>
      </c>
      <c r="P3071" s="169">
        <f>IFERROR(MATCH(J3071,'Final List'!$L$4:$L$252,0),0)</f>
        <v>0</v>
      </c>
      <c r="Q3071" s="169">
        <f>IFERROR(MATCH(J3071,'Final List'!$N$4:$N$252,0),0)</f>
        <v>0</v>
      </c>
      <c r="R3071" s="169">
        <f>IFERROR(MATCH(J3071,'Final List'!$P$4:$P$252,0),0)</f>
        <v>0</v>
      </c>
      <c r="S3071" s="169">
        <f t="shared" si="190"/>
        <v>0</v>
      </c>
      <c r="V3071" s="169" t="str">
        <f t="shared" si="191"/>
        <v>BALANGHIG 2</v>
      </c>
      <c r="W3071" s="169" t="s">
        <v>2715</v>
      </c>
    </row>
    <row r="3072" spans="2:23" x14ac:dyDescent="0.25">
      <c r="B3072" s="169" t="s">
        <v>1166</v>
      </c>
      <c r="C3072" s="169" t="s">
        <v>45</v>
      </c>
      <c r="D3072" s="169" t="s">
        <v>179</v>
      </c>
      <c r="E3072" s="169" t="s">
        <v>19</v>
      </c>
      <c r="F3072" s="245" t="str">
        <f t="shared" si="189"/>
        <v>DVR 72</v>
      </c>
      <c r="G3072" s="169" t="s">
        <v>4068</v>
      </c>
      <c r="I3072" s="169" t="str">
        <f t="shared" si="192"/>
        <v>L11_DPVE_050E_RAISE</v>
      </c>
      <c r="J3072" s="169" t="s">
        <v>12660</v>
      </c>
      <c r="K3072" s="169">
        <f>IFERROR(MATCH(J3072,'Final List'!$B$4:$B$252,0),0)</f>
        <v>0</v>
      </c>
      <c r="L3072" s="169">
        <f>IFERROR(MATCH(J3072,'Final List'!$D$4:$D$252,0),0)</f>
        <v>0</v>
      </c>
      <c r="M3072" s="169">
        <f>IFERROR(MATCH(J3072,'Final List'!$F$4:$F$251,0),0)</f>
        <v>0</v>
      </c>
      <c r="N3072" s="169">
        <f>IFERROR(MATCH(J3072,'Final List'!$H$4:$H$252,0),0)</f>
        <v>0</v>
      </c>
      <c r="O3072" s="169">
        <f>IFERROR(MATCH(J3072,'Final List'!$J$4:$J$252,0),0)</f>
        <v>0</v>
      </c>
      <c r="P3072" s="169">
        <f>IFERROR(MATCH(J3072,'Final List'!$L$4:$L$252,0),0)</f>
        <v>0</v>
      </c>
      <c r="Q3072" s="169">
        <f>IFERROR(MATCH(J3072,'Final List'!$N$4:$N$252,0),0)</f>
        <v>0</v>
      </c>
      <c r="R3072" s="169">
        <f>IFERROR(MATCH(J3072,'Final List'!$P$4:$P$252,0),0)</f>
        <v>0</v>
      </c>
      <c r="S3072" s="169">
        <f t="shared" si="190"/>
        <v>0</v>
      </c>
      <c r="V3072" s="169" t="str">
        <f t="shared" si="191"/>
        <v>MAPAYO</v>
      </c>
      <c r="W3072" s="169" t="s">
        <v>2715</v>
      </c>
    </row>
    <row r="3073" spans="2:23" x14ac:dyDescent="0.25">
      <c r="B3073" s="169" t="s">
        <v>1166</v>
      </c>
      <c r="C3073" s="169" t="s">
        <v>45</v>
      </c>
      <c r="D3073" s="169" t="s">
        <v>218</v>
      </c>
      <c r="E3073" s="169" t="s">
        <v>19</v>
      </c>
      <c r="F3073" s="245" t="str">
        <f t="shared" si="189"/>
        <v>DVR 72</v>
      </c>
      <c r="G3073" s="169" t="s">
        <v>5</v>
      </c>
      <c r="I3073" s="169" t="str">
        <f t="shared" si="192"/>
        <v>L11_DPVE_062E_RAISE</v>
      </c>
      <c r="J3073" s="169" t="s">
        <v>12661</v>
      </c>
      <c r="K3073" s="169">
        <f>IFERROR(MATCH(J3073,'Final List'!$B$4:$B$252,0),0)</f>
        <v>0</v>
      </c>
      <c r="L3073" s="169">
        <f>IFERROR(MATCH(J3073,'Final List'!$D$4:$D$252,0),0)</f>
        <v>0</v>
      </c>
      <c r="M3073" s="169">
        <f>IFERROR(MATCH(J3073,'Final List'!$F$4:$F$251,0),0)</f>
        <v>0</v>
      </c>
      <c r="N3073" s="169">
        <f>IFERROR(MATCH(J3073,'Final List'!$H$4:$H$252,0),0)</f>
        <v>0</v>
      </c>
      <c r="O3073" s="169">
        <f>IFERROR(MATCH(J3073,'Final List'!$J$4:$J$252,0),0)</f>
        <v>0</v>
      </c>
      <c r="P3073" s="169">
        <f>IFERROR(MATCH(J3073,'Final List'!$L$4:$L$252,0),0)</f>
        <v>0</v>
      </c>
      <c r="Q3073" s="169">
        <f>IFERROR(MATCH(J3073,'Final List'!$N$4:$N$252,0),0)</f>
        <v>0</v>
      </c>
      <c r="R3073" s="169">
        <f>IFERROR(MATCH(J3073,'Final List'!$P$4:$P$252,0),0)</f>
        <v>0</v>
      </c>
      <c r="S3073" s="169">
        <f t="shared" si="190"/>
        <v>0</v>
      </c>
      <c r="V3073" s="169" t="str">
        <f t="shared" si="191"/>
        <v>BELICAN</v>
      </c>
      <c r="W3073" s="169" t="s">
        <v>2715</v>
      </c>
    </row>
    <row r="3074" spans="2:23" x14ac:dyDescent="0.25">
      <c r="B3074" s="169" t="s">
        <v>258</v>
      </c>
      <c r="C3074" s="169" t="s">
        <v>45</v>
      </c>
      <c r="D3074" s="169" t="s">
        <v>170</v>
      </c>
      <c r="E3074" s="169" t="s">
        <v>221</v>
      </c>
      <c r="F3074" s="245" t="str">
        <f t="shared" si="189"/>
        <v>RobC 80</v>
      </c>
      <c r="G3074" s="169" t="s">
        <v>5700</v>
      </c>
      <c r="I3074" s="169" t="str">
        <f t="shared" si="192"/>
        <v>L10_DPVE_071E_WINZE STOPE</v>
      </c>
      <c r="J3074" s="169" t="s">
        <v>12751</v>
      </c>
      <c r="K3074" s="169">
        <f>IFERROR(MATCH(J3074,'Final List'!$B$4:$B$252,0),0)</f>
        <v>0</v>
      </c>
      <c r="L3074" s="169">
        <f>IFERROR(MATCH(J3074,'Final List'!$D$4:$D$252,0),0)</f>
        <v>0</v>
      </c>
      <c r="M3074" s="169">
        <f>IFERROR(MATCH(J3074,'Final List'!$F$4:$F$251,0),0)</f>
        <v>0</v>
      </c>
      <c r="N3074" s="169">
        <f>IFERROR(MATCH(J3074,'Final List'!$H$4:$H$252,0),0)</f>
        <v>0</v>
      </c>
      <c r="O3074" s="169">
        <f>IFERROR(MATCH(J3074,'Final List'!$J$4:$J$252,0),0)</f>
        <v>0</v>
      </c>
      <c r="P3074" s="169">
        <f>IFERROR(MATCH(J3074,'Final List'!$L$4:$L$252,0),0)</f>
        <v>0</v>
      </c>
      <c r="Q3074" s="169">
        <f>IFERROR(MATCH(J3074,'Final List'!$N$4:$N$252,0),0)</f>
        <v>0</v>
      </c>
      <c r="R3074" s="169">
        <f>IFERROR(MATCH(J3074,'Final List'!$P$4:$P$252,0),0)</f>
        <v>0</v>
      </c>
      <c r="S3074" s="169">
        <f t="shared" si="190"/>
        <v>0</v>
      </c>
      <c r="T3074" s="169" t="s">
        <v>68</v>
      </c>
      <c r="V3074" s="169" t="str">
        <f t="shared" si="191"/>
        <v>LARGO 1</v>
      </c>
      <c r="W3074" s="169" t="s">
        <v>2713</v>
      </c>
    </row>
    <row r="3075" spans="2:23" x14ac:dyDescent="0.25">
      <c r="B3075" s="169" t="s">
        <v>95</v>
      </c>
      <c r="C3075" s="169" t="s">
        <v>87</v>
      </c>
      <c r="D3075" s="169" t="s">
        <v>6114</v>
      </c>
      <c r="E3075" s="169" t="s">
        <v>37</v>
      </c>
      <c r="F3075" s="245" t="str">
        <f t="shared" ref="F3075:F3138" si="193">IF(OR(E3075="XCN",E3075="DE",E3075="DW",E3075="DN",E3075="XCS",E3075="XCE",E3075="XCW",E3075="SUMP",E3075="BYPASS",E3075="CHAMBER",E3075="DRAIN HOLE",E3075="DRILLING CHAMBER",E3075="DE_ISL",E3075="DW_ISL",E3075="REHAB"),"Dhoz 71",IF(OR(E3075="RAISE",E3075="RAISE_ISL"),"DVR 72",IF(E3075="ALIMAK","DVA 73",IF(E3075="WINZE","DVW 74",IF(E3075="SHAFT","DVS 75",IF(AND(E3075="WINZE STOPE",T3075="S"),"RobC 80",IF(AND(E3075="STOPE",T3075="S"),"StpS 77",IF(AND(E3075="WINZE STOPE",T3075="L"),"RobC 80",IF(AND(E3075="STOPE",T3075="L"),"StpL 78",IF(AND(E3075="WINZE STOPE PREP",T3075="S"),"RobC 80",IF(AND(E3075="STOPE PREP",T3075="S"),"StpS 77",IF(AND(E3075="WINZE STOPE PREP",T3075="L"),"RobC 80",IF(AND(E3075="STOPE PREP",T3075="L"),"StpL 78",IF(AND(E3075="ROBBING",T3075="L"),"RobC 80",IF(AND(E3075="ROBBING",T3075="S"),"RobS 79",0)))))))))))))))</f>
        <v>Dhoz 71</v>
      </c>
      <c r="G3075" s="169" t="s">
        <v>2</v>
      </c>
      <c r="I3075" s="169" t="str">
        <f t="shared" si="192"/>
        <v>L08_NONE_078E_XCN</v>
      </c>
      <c r="J3075" s="169" t="s">
        <v>12664</v>
      </c>
      <c r="K3075" s="169">
        <f>IFERROR(MATCH(J3075,'Final List'!$B$4:$B$252,0),0)</f>
        <v>0</v>
      </c>
      <c r="L3075" s="169">
        <f>IFERROR(MATCH(J3075,'Final List'!$D$4:$D$252,0),0)</f>
        <v>0</v>
      </c>
      <c r="M3075" s="169">
        <f>IFERROR(MATCH(J3075,'Final List'!$F$4:$F$251,0),0)</f>
        <v>0</v>
      </c>
      <c r="N3075" s="169">
        <f>IFERROR(MATCH(J3075,'Final List'!$H$4:$H$252,0),0)</f>
        <v>0</v>
      </c>
      <c r="O3075" s="169">
        <f>IFERROR(MATCH(J3075,'Final List'!$J$4:$J$252,0),0)</f>
        <v>0</v>
      </c>
      <c r="P3075" s="169">
        <f>IFERROR(MATCH(J3075,'Final List'!$L$4:$L$252,0),0)</f>
        <v>0</v>
      </c>
      <c r="Q3075" s="169">
        <f>IFERROR(MATCH(J3075,'Final List'!$N$4:$N$252,0),0)</f>
        <v>0</v>
      </c>
      <c r="R3075" s="169">
        <f>IFERROR(MATCH(J3075,'Final List'!$P$4:$P$252,0),0)</f>
        <v>0</v>
      </c>
      <c r="S3075" s="169">
        <f t="shared" ref="S3075:S3138" si="194">SUM(K3075:R3075)</f>
        <v>0</v>
      </c>
      <c r="V3075" s="169" t="str">
        <f t="shared" si="191"/>
        <v>CABONITA</v>
      </c>
      <c r="W3075" s="169" t="s">
        <v>8897</v>
      </c>
    </row>
    <row r="3076" spans="2:23" x14ac:dyDescent="0.25">
      <c r="B3076" s="169" t="s">
        <v>1166</v>
      </c>
      <c r="C3076" s="169" t="s">
        <v>55</v>
      </c>
      <c r="D3076" s="169" t="s">
        <v>5912</v>
      </c>
      <c r="E3076" s="169" t="s">
        <v>61</v>
      </c>
      <c r="F3076" s="245" t="str">
        <f t="shared" si="193"/>
        <v>Dhoz 71</v>
      </c>
      <c r="G3076" s="169" t="s">
        <v>6954</v>
      </c>
      <c r="H3076" s="169" t="s">
        <v>12672</v>
      </c>
      <c r="I3076" s="169" t="str">
        <f t="shared" si="192"/>
        <v>L11_JVFW_019E_DW</v>
      </c>
      <c r="J3076" s="169" t="s">
        <v>12666</v>
      </c>
      <c r="K3076" s="169">
        <f>IFERROR(MATCH(J3076,'Final List'!$B$4:$B$252,0),0)</f>
        <v>0</v>
      </c>
      <c r="L3076" s="169">
        <f>IFERROR(MATCH(J3076,'Final List'!$D$4:$D$252,0),0)</f>
        <v>0</v>
      </c>
      <c r="M3076" s="169">
        <f>IFERROR(MATCH(J3076,'Final List'!$F$4:$F$251,0),0)</f>
        <v>0</v>
      </c>
      <c r="N3076" s="169">
        <f>IFERROR(MATCH(J3076,'Final List'!$H$4:$H$252,0),0)</f>
        <v>0</v>
      </c>
      <c r="O3076" s="169">
        <f>IFERROR(MATCH(J3076,'Final List'!$J$4:$J$252,0),0)</f>
        <v>0</v>
      </c>
      <c r="P3076" s="169">
        <f>IFERROR(MATCH(J3076,'Final List'!$L$4:$L$252,0),0)</f>
        <v>0</v>
      </c>
      <c r="Q3076" s="169">
        <f>IFERROR(MATCH(J3076,'Final List'!$N$4:$N$252,0),0)</f>
        <v>0</v>
      </c>
      <c r="R3076" s="169">
        <f>IFERROR(MATCH(J3076,'Final List'!$P$4:$P$252,0),0)</f>
        <v>0</v>
      </c>
      <c r="S3076" s="169">
        <f t="shared" si="194"/>
        <v>0</v>
      </c>
      <c r="V3076" s="169" t="str">
        <f t="shared" si="191"/>
        <v>NITRO BE</v>
      </c>
      <c r="W3076" s="169" t="s">
        <v>8896</v>
      </c>
    </row>
    <row r="3077" spans="2:23" x14ac:dyDescent="0.25">
      <c r="B3077" s="169" t="s">
        <v>96</v>
      </c>
      <c r="C3077" s="169" t="s">
        <v>43</v>
      </c>
      <c r="D3077" s="169" t="s">
        <v>5888</v>
      </c>
      <c r="E3077" s="169" t="s">
        <v>61</v>
      </c>
      <c r="F3077" s="245" t="str">
        <f t="shared" si="193"/>
        <v>Dhoz 71</v>
      </c>
      <c r="G3077" s="169" t="s">
        <v>1661</v>
      </c>
      <c r="I3077" s="169" t="str">
        <f t="shared" si="192"/>
        <v>L09_GHVSPLIT_024W_DW</v>
      </c>
      <c r="J3077" s="169" t="s">
        <v>12668</v>
      </c>
      <c r="K3077" s="169">
        <f>IFERROR(MATCH(J3077,'Final List'!$B$4:$B$252,0),0)</f>
        <v>0</v>
      </c>
      <c r="L3077" s="169">
        <f>IFERROR(MATCH(J3077,'Final List'!$D$4:$D$252,0),0)</f>
        <v>0</v>
      </c>
      <c r="M3077" s="169">
        <f>IFERROR(MATCH(J3077,'Final List'!$F$4:$F$251,0),0)</f>
        <v>0</v>
      </c>
      <c r="N3077" s="169">
        <f>IFERROR(MATCH(J3077,'Final List'!$H$4:$H$252,0),0)</f>
        <v>0</v>
      </c>
      <c r="O3077" s="169">
        <f>IFERROR(MATCH(J3077,'Final List'!$J$4:$J$252,0),0)</f>
        <v>0</v>
      </c>
      <c r="P3077" s="169">
        <f>IFERROR(MATCH(J3077,'Final List'!$L$4:$L$252,0),0)</f>
        <v>0</v>
      </c>
      <c r="Q3077" s="169">
        <f>IFERROR(MATCH(J3077,'Final List'!$N$4:$N$252,0),0)</f>
        <v>0</v>
      </c>
      <c r="R3077" s="169">
        <f>IFERROR(MATCH(J3077,'Final List'!$P$4:$P$252,0),0)</f>
        <v>0</v>
      </c>
      <c r="S3077" s="169">
        <f t="shared" si="194"/>
        <v>0</v>
      </c>
      <c r="V3077" s="169" t="str">
        <f t="shared" si="191"/>
        <v>DELOS REYES V2</v>
      </c>
      <c r="W3077" s="169" t="s">
        <v>8896</v>
      </c>
    </row>
    <row r="3078" spans="2:23" x14ac:dyDescent="0.25">
      <c r="B3078" s="169" t="s">
        <v>8904</v>
      </c>
      <c r="C3078" s="169" t="s">
        <v>87</v>
      </c>
      <c r="D3078" s="169" t="s">
        <v>134</v>
      </c>
      <c r="E3078" s="169" t="s">
        <v>37</v>
      </c>
      <c r="F3078" s="245" t="str">
        <f t="shared" si="193"/>
        <v>Dhoz 71</v>
      </c>
      <c r="G3078" s="169" t="s">
        <v>11449</v>
      </c>
      <c r="I3078" s="169" t="str">
        <f t="shared" si="192"/>
        <v>L03_NONE_016W_XCN</v>
      </c>
      <c r="J3078" s="169" t="s">
        <v>12670</v>
      </c>
      <c r="K3078" s="169">
        <f>IFERROR(MATCH(J3078,'Final List'!$B$4:$B$252,0),0)</f>
        <v>0</v>
      </c>
      <c r="L3078" s="169">
        <f>IFERROR(MATCH(J3078,'Final List'!$D$4:$D$252,0),0)</f>
        <v>0</v>
      </c>
      <c r="M3078" s="169">
        <f>IFERROR(MATCH(J3078,'Final List'!$F$4:$F$251,0),0)</f>
        <v>0</v>
      </c>
      <c r="N3078" s="169">
        <f>IFERROR(MATCH(J3078,'Final List'!$H$4:$H$252,0),0)</f>
        <v>0</v>
      </c>
      <c r="O3078" s="169">
        <f>IFERROR(MATCH(J3078,'Final List'!$J$4:$J$252,0),0)</f>
        <v>0</v>
      </c>
      <c r="P3078" s="169">
        <f>IFERROR(MATCH(J3078,'Final List'!$L$4:$L$252,0),0)</f>
        <v>0</v>
      </c>
      <c r="Q3078" s="169">
        <f>IFERROR(MATCH(J3078,'Final List'!$N$4:$N$252,0),0)</f>
        <v>0</v>
      </c>
      <c r="R3078" s="169">
        <f>IFERROR(MATCH(J3078,'Final List'!$P$4:$P$252,0),0)</f>
        <v>0</v>
      </c>
      <c r="S3078" s="169">
        <f t="shared" si="194"/>
        <v>0</v>
      </c>
      <c r="V3078" s="169" t="str">
        <f t="shared" si="191"/>
        <v>FERNANDEZ, RM</v>
      </c>
      <c r="W3078" s="169" t="s">
        <v>2714</v>
      </c>
    </row>
    <row r="3079" spans="2:23" x14ac:dyDescent="0.25">
      <c r="B3079" s="169" t="s">
        <v>1166</v>
      </c>
      <c r="C3079" s="169" t="s">
        <v>59</v>
      </c>
      <c r="D3079" s="169" t="s">
        <v>169</v>
      </c>
      <c r="E3079" s="169" t="s">
        <v>62</v>
      </c>
      <c r="F3079" s="245" t="str">
        <f t="shared" si="193"/>
        <v>RobS 79</v>
      </c>
      <c r="G3079" s="169" t="s">
        <v>488</v>
      </c>
      <c r="I3079" s="169" t="str">
        <f t="shared" si="192"/>
        <v>L11_GHVHW_065E_ROBBING</v>
      </c>
      <c r="J3079" s="169" t="s">
        <v>12706</v>
      </c>
      <c r="K3079" s="169">
        <f>IFERROR(MATCH(J3079,'Final List'!$B$4:$B$252,0),0)</f>
        <v>0</v>
      </c>
      <c r="L3079" s="169">
        <f>IFERROR(MATCH(J3079,'Final List'!$D$4:$D$252,0),0)</f>
        <v>0</v>
      </c>
      <c r="M3079" s="169">
        <f>IFERROR(MATCH(J3079,'Final List'!$F$4:$F$251,0),0)</f>
        <v>0</v>
      </c>
      <c r="N3079" s="169">
        <f>IFERROR(MATCH(J3079,'Final List'!$H$4:$H$252,0),0)</f>
        <v>0</v>
      </c>
      <c r="O3079" s="169">
        <f>IFERROR(MATCH(J3079,'Final List'!$J$4:$J$252,0),0)</f>
        <v>0</v>
      </c>
      <c r="P3079" s="169">
        <f>IFERROR(MATCH(J3079,'Final List'!$L$4:$L$252,0),0)</f>
        <v>0</v>
      </c>
      <c r="Q3079" s="169">
        <f>IFERROR(MATCH(J3079,'Final List'!$N$4:$N$252,0),0)</f>
        <v>0</v>
      </c>
      <c r="R3079" s="169">
        <f>IFERROR(MATCH(J3079,'Final List'!$P$4:$P$252,0),0)</f>
        <v>0</v>
      </c>
      <c r="S3079" s="169">
        <f t="shared" si="194"/>
        <v>0</v>
      </c>
      <c r="T3079" s="169" t="s">
        <v>68</v>
      </c>
      <c r="V3079" s="169" t="str">
        <f t="shared" si="191"/>
        <v>BAÑEZ 9</v>
      </c>
      <c r="W3079" s="169" t="s">
        <v>2707</v>
      </c>
    </row>
    <row r="3080" spans="2:23" x14ac:dyDescent="0.25">
      <c r="B3080" s="169" t="s">
        <v>1166</v>
      </c>
      <c r="C3080" s="169" t="s">
        <v>43</v>
      </c>
      <c r="D3080" s="169" t="s">
        <v>289</v>
      </c>
      <c r="E3080" s="169" t="s">
        <v>19</v>
      </c>
      <c r="F3080" s="245" t="str">
        <f t="shared" si="193"/>
        <v>DVR 72</v>
      </c>
      <c r="G3080" s="169" t="s">
        <v>12070</v>
      </c>
      <c r="I3080" s="169" t="str">
        <f t="shared" si="192"/>
        <v>L11_GHVSPLIT_059E_RAISE</v>
      </c>
      <c r="J3080" s="169" t="s">
        <v>12701</v>
      </c>
      <c r="K3080" s="169">
        <f>IFERROR(MATCH(J3080,'Final List'!$B$4:$B$252,0),0)</f>
        <v>0</v>
      </c>
      <c r="L3080" s="169">
        <f>IFERROR(MATCH(J3080,'Final List'!$D$4:$D$252,0),0)</f>
        <v>0</v>
      </c>
      <c r="M3080" s="169">
        <f>IFERROR(MATCH(J3080,'Final List'!$F$4:$F$251,0),0)</f>
        <v>0</v>
      </c>
      <c r="N3080" s="169">
        <f>IFERROR(MATCH(J3080,'Final List'!$H$4:$H$252,0),0)</f>
        <v>0</v>
      </c>
      <c r="O3080" s="169">
        <f>IFERROR(MATCH(J3080,'Final List'!$J$4:$J$252,0),0)</f>
        <v>0</v>
      </c>
      <c r="P3080" s="169">
        <f>IFERROR(MATCH(J3080,'Final List'!$L$4:$L$252,0),0)</f>
        <v>0</v>
      </c>
      <c r="Q3080" s="169">
        <f>IFERROR(MATCH(J3080,'Final List'!$N$4:$N$252,0),0)</f>
        <v>0</v>
      </c>
      <c r="R3080" s="169">
        <f>IFERROR(MATCH(J3080,'Final List'!$P$4:$P$252,0),0)</f>
        <v>0</v>
      </c>
      <c r="S3080" s="169">
        <f t="shared" si="194"/>
        <v>0</v>
      </c>
      <c r="V3080" s="169" t="str">
        <f t="shared" si="191"/>
        <v>NITRO BB</v>
      </c>
      <c r="W3080" s="169" t="s">
        <v>2715</v>
      </c>
    </row>
    <row r="3081" spans="2:23" x14ac:dyDescent="0.25">
      <c r="B3081" s="169" t="s">
        <v>1166</v>
      </c>
      <c r="C3081" s="169" t="s">
        <v>87</v>
      </c>
      <c r="D3081" s="169" t="s">
        <v>6864</v>
      </c>
      <c r="E3081" s="169" t="s">
        <v>72</v>
      </c>
      <c r="F3081" s="245" t="str">
        <f t="shared" si="193"/>
        <v>Dhoz 71</v>
      </c>
      <c r="G3081" s="169" t="s">
        <v>6926</v>
      </c>
      <c r="I3081" s="169" t="str">
        <f t="shared" si="192"/>
        <v>L11_NONE_006E_CHAMBER</v>
      </c>
      <c r="J3081" s="169" t="s">
        <v>12673</v>
      </c>
      <c r="K3081" s="169">
        <f>IFERROR(MATCH(J3081,'Final List'!$B$4:$B$252,0),0)</f>
        <v>0</v>
      </c>
      <c r="L3081" s="169">
        <f>IFERROR(MATCH(J3081,'Final List'!$D$4:$D$252,0),0)</f>
        <v>0</v>
      </c>
      <c r="M3081" s="169">
        <f>IFERROR(MATCH(J3081,'Final List'!$F$4:$F$251,0),0)</f>
        <v>0</v>
      </c>
      <c r="N3081" s="169">
        <f>IFERROR(MATCH(J3081,'Final List'!$H$4:$H$252,0),0)</f>
        <v>0</v>
      </c>
      <c r="O3081" s="169">
        <f>IFERROR(MATCH(J3081,'Final List'!$J$4:$J$252,0),0)</f>
        <v>0</v>
      </c>
      <c r="P3081" s="169">
        <f>IFERROR(MATCH(J3081,'Final List'!$L$4:$L$252,0),0)</f>
        <v>0</v>
      </c>
      <c r="Q3081" s="169">
        <f>IFERROR(MATCH(J3081,'Final List'!$N$4:$N$252,0),0)</f>
        <v>0</v>
      </c>
      <c r="R3081" s="169">
        <f>IFERROR(MATCH(J3081,'Final List'!$P$4:$P$252,0),0)</f>
        <v>0</v>
      </c>
      <c r="S3081" s="169">
        <f t="shared" si="194"/>
        <v>0</v>
      </c>
      <c r="V3081" s="169" t="str">
        <f t="shared" si="191"/>
        <v>DUHIG, R1</v>
      </c>
      <c r="W3081" s="169" t="s">
        <v>2714</v>
      </c>
    </row>
    <row r="3082" spans="2:23" x14ac:dyDescent="0.25">
      <c r="B3082" s="169" t="s">
        <v>1167</v>
      </c>
      <c r="C3082" s="169" t="s">
        <v>87</v>
      </c>
      <c r="D3082" s="169" t="s">
        <v>144</v>
      </c>
      <c r="E3082" s="169" t="s">
        <v>37</v>
      </c>
      <c r="F3082" s="245" t="str">
        <f t="shared" si="193"/>
        <v>Dhoz 71</v>
      </c>
      <c r="G3082" s="169" t="s">
        <v>14047</v>
      </c>
      <c r="I3082" s="169" t="str">
        <f t="shared" si="192"/>
        <v>L12_NONE_043E_XCN</v>
      </c>
      <c r="J3082" s="169" t="s">
        <v>12674</v>
      </c>
      <c r="K3082" s="169">
        <f>IFERROR(MATCH(J3082,'Final List'!$B$4:$B$252,0),0)</f>
        <v>0</v>
      </c>
      <c r="L3082" s="169">
        <f>IFERROR(MATCH(J3082,'Final List'!$D$4:$D$252,0),0)</f>
        <v>0</v>
      </c>
      <c r="M3082" s="169">
        <f>IFERROR(MATCH(J3082,'Final List'!$F$4:$F$251,0),0)</f>
        <v>0</v>
      </c>
      <c r="N3082" s="169">
        <f>IFERROR(MATCH(J3082,'Final List'!$H$4:$H$252,0),0)</f>
        <v>0</v>
      </c>
      <c r="O3082" s="169">
        <f>IFERROR(MATCH(J3082,'Final List'!$J$4:$J$252,0),0)</f>
        <v>0</v>
      </c>
      <c r="P3082" s="169">
        <f>IFERROR(MATCH(J3082,'Final List'!$L$4:$L$252,0),0)</f>
        <v>0</v>
      </c>
      <c r="Q3082" s="169">
        <f>IFERROR(MATCH(J3082,'Final List'!$N$4:$N$252,0),0)</f>
        <v>0</v>
      </c>
      <c r="R3082" s="169">
        <f>IFERROR(MATCH(J3082,'Final List'!$P$4:$P$252,0),0)</f>
        <v>0</v>
      </c>
      <c r="S3082" s="169">
        <f t="shared" si="194"/>
        <v>0</v>
      </c>
      <c r="V3082" s="169" t="str">
        <f t="shared" si="191"/>
        <v>DUHIG, P.</v>
      </c>
      <c r="W3082" s="169" t="s">
        <v>8898</v>
      </c>
    </row>
    <row r="3083" spans="2:23" x14ac:dyDescent="0.25">
      <c r="B3083" s="169" t="s">
        <v>96</v>
      </c>
      <c r="C3083" s="169" t="s">
        <v>45</v>
      </c>
      <c r="D3083" s="169" t="s">
        <v>9640</v>
      </c>
      <c r="E3083" s="169" t="s">
        <v>19</v>
      </c>
      <c r="F3083" s="245" t="str">
        <f t="shared" si="193"/>
        <v>DVR 72</v>
      </c>
      <c r="G3083" s="169" t="s">
        <v>12659</v>
      </c>
      <c r="I3083" s="169" t="str">
        <f t="shared" si="192"/>
        <v>L09_DPVE_094E_RAISE</v>
      </c>
      <c r="J3083" s="169" t="s">
        <v>12721</v>
      </c>
      <c r="K3083" s="169">
        <f>IFERROR(MATCH(J3083,'Final List'!$B$4:$B$252,0),0)</f>
        <v>0</v>
      </c>
      <c r="L3083" s="169">
        <f>IFERROR(MATCH(J3083,'Final List'!$D$4:$D$252,0),0)</f>
        <v>0</v>
      </c>
      <c r="M3083" s="169">
        <f>IFERROR(MATCH(J3083,'Final List'!$F$4:$F$251,0),0)</f>
        <v>0</v>
      </c>
      <c r="N3083" s="169">
        <f>IFERROR(MATCH(J3083,'Final List'!$H$4:$H$252,0),0)</f>
        <v>0</v>
      </c>
      <c r="O3083" s="169">
        <f>IFERROR(MATCH(J3083,'Final List'!$J$4:$J$252,0),0)</f>
        <v>0</v>
      </c>
      <c r="P3083" s="169">
        <f>IFERROR(MATCH(J3083,'Final List'!$L$4:$L$252,0),0)</f>
        <v>0</v>
      </c>
      <c r="Q3083" s="169">
        <f>IFERROR(MATCH(J3083,'Final List'!$N$4:$N$252,0),0)</f>
        <v>0</v>
      </c>
      <c r="R3083" s="169">
        <f>IFERROR(MATCH(J3083,'Final List'!$P$4:$P$252,0),0)</f>
        <v>0</v>
      </c>
      <c r="S3083" s="169">
        <f t="shared" si="194"/>
        <v>0</v>
      </c>
      <c r="V3083" s="169" t="str">
        <f t="shared" si="191"/>
        <v>NITRO BS</v>
      </c>
      <c r="W3083" s="169" t="s">
        <v>2715</v>
      </c>
    </row>
    <row r="3084" spans="2:23" x14ac:dyDescent="0.25">
      <c r="B3084" s="169" t="s">
        <v>1166</v>
      </c>
      <c r="C3084" s="169" t="s">
        <v>55</v>
      </c>
      <c r="D3084" s="169" t="s">
        <v>174</v>
      </c>
      <c r="E3084" s="169" t="s">
        <v>19</v>
      </c>
      <c r="F3084" s="245" t="str">
        <f t="shared" si="193"/>
        <v>DVR 72</v>
      </c>
      <c r="G3084" s="169" t="s">
        <v>10758</v>
      </c>
      <c r="I3084" s="169" t="str">
        <f t="shared" si="192"/>
        <v>L11_JVFW_052E_RAISE</v>
      </c>
      <c r="J3084" s="169" t="s">
        <v>4913</v>
      </c>
      <c r="K3084" s="169">
        <f>IFERROR(MATCH(J3084,'Final List'!$B$4:$B$252,0),0)</f>
        <v>0</v>
      </c>
      <c r="L3084" s="169">
        <f>IFERROR(MATCH(J3084,'Final List'!$D$4:$D$252,0),0)</f>
        <v>0</v>
      </c>
      <c r="M3084" s="169">
        <f>IFERROR(MATCH(J3084,'Final List'!$F$4:$F$251,0),0)</f>
        <v>0</v>
      </c>
      <c r="N3084" s="169">
        <f>IFERROR(MATCH(J3084,'Final List'!$H$4:$H$252,0),0)</f>
        <v>0</v>
      </c>
      <c r="O3084" s="169">
        <f>IFERROR(MATCH(J3084,'Final List'!$J$4:$J$252,0),0)</f>
        <v>0</v>
      </c>
      <c r="P3084" s="169">
        <f>IFERROR(MATCH(J3084,'Final List'!$L$4:$L$252,0),0)</f>
        <v>0</v>
      </c>
      <c r="Q3084" s="169">
        <f>IFERROR(MATCH(J3084,'Final List'!$N$4:$N$252,0),0)</f>
        <v>0</v>
      </c>
      <c r="R3084" s="169">
        <f>IFERROR(MATCH(J3084,'Final List'!$P$4:$P$252,0),0)</f>
        <v>0</v>
      </c>
      <c r="S3084" s="169">
        <f t="shared" si="194"/>
        <v>0</v>
      </c>
      <c r="V3084" s="169" t="str">
        <f t="shared" si="191"/>
        <v>MARTINEZ, DN</v>
      </c>
      <c r="W3084" s="169" t="s">
        <v>2715</v>
      </c>
    </row>
    <row r="3085" spans="2:23" x14ac:dyDescent="0.25">
      <c r="B3085" s="169" t="s">
        <v>258</v>
      </c>
      <c r="C3085" s="169" t="s">
        <v>45</v>
      </c>
      <c r="D3085" s="169" t="s">
        <v>6864</v>
      </c>
      <c r="E3085" s="169" t="s">
        <v>19</v>
      </c>
      <c r="F3085" s="245" t="str">
        <f t="shared" si="193"/>
        <v>DVR 72</v>
      </c>
      <c r="G3085" s="169" t="s">
        <v>5697</v>
      </c>
      <c r="H3085" s="169" t="s">
        <v>12064</v>
      </c>
      <c r="I3085" s="169" t="str">
        <f t="shared" si="192"/>
        <v>L10_DPVE_006E_RAISE</v>
      </c>
      <c r="J3085" s="169" t="s">
        <v>12684</v>
      </c>
      <c r="K3085" s="169">
        <f>IFERROR(MATCH(J3085,'Final List'!$B$4:$B$252,0),0)</f>
        <v>0</v>
      </c>
      <c r="L3085" s="169">
        <f>IFERROR(MATCH(J3085,'Final List'!$D$4:$D$252,0),0)</f>
        <v>0</v>
      </c>
      <c r="M3085" s="169">
        <f>IFERROR(MATCH(J3085,'Final List'!$F$4:$F$251,0),0)</f>
        <v>0</v>
      </c>
      <c r="N3085" s="169">
        <f>IFERROR(MATCH(J3085,'Final List'!$H$4:$H$252,0),0)</f>
        <v>0</v>
      </c>
      <c r="O3085" s="169">
        <f>IFERROR(MATCH(J3085,'Final List'!$J$4:$J$252,0),0)</f>
        <v>0</v>
      </c>
      <c r="P3085" s="169">
        <f>IFERROR(MATCH(J3085,'Final List'!$L$4:$L$252,0),0)</f>
        <v>0</v>
      </c>
      <c r="Q3085" s="169">
        <f>IFERROR(MATCH(J3085,'Final List'!$N$4:$N$252,0),0)</f>
        <v>0</v>
      </c>
      <c r="R3085" s="169">
        <f>IFERROR(MATCH(J3085,'Final List'!$P$4:$P$252,0),0)</f>
        <v>0</v>
      </c>
      <c r="S3085" s="169">
        <f t="shared" si="194"/>
        <v>0</v>
      </c>
      <c r="V3085" s="169" t="str">
        <f t="shared" si="191"/>
        <v>NITRO AX</v>
      </c>
      <c r="W3085" s="169" t="s">
        <v>2715</v>
      </c>
    </row>
    <row r="3086" spans="2:23" x14ac:dyDescent="0.25">
      <c r="B3086" s="169" t="s">
        <v>12320</v>
      </c>
      <c r="C3086" s="169" t="s">
        <v>59</v>
      </c>
      <c r="D3086" s="169" t="s">
        <v>179</v>
      </c>
      <c r="E3086" s="169" t="s">
        <v>19</v>
      </c>
      <c r="F3086" s="245" t="str">
        <f t="shared" si="193"/>
        <v>DVR 72</v>
      </c>
      <c r="G3086" s="169" t="s">
        <v>390</v>
      </c>
      <c r="H3086" s="169" t="s">
        <v>356</v>
      </c>
      <c r="I3086" s="169" t="str">
        <f t="shared" si="192"/>
        <v>L425_GHVHW_050E_RAISE</v>
      </c>
      <c r="J3086" s="169" t="s">
        <v>13231</v>
      </c>
      <c r="K3086" s="169">
        <f>IFERROR(MATCH(J3086,'Final List'!$B$4:$B$252,0),0)</f>
        <v>0</v>
      </c>
      <c r="L3086" s="169">
        <f>IFERROR(MATCH(J3086,'Final List'!$D$4:$D$252,0),0)</f>
        <v>0</v>
      </c>
      <c r="M3086" s="169">
        <f>IFERROR(MATCH(J3086,'Final List'!$F$4:$F$251,0),0)</f>
        <v>0</v>
      </c>
      <c r="N3086" s="169">
        <f>IFERROR(MATCH(J3086,'Final List'!$H$4:$H$252,0),0)</f>
        <v>0</v>
      </c>
      <c r="O3086" s="169">
        <f>IFERROR(MATCH(J3086,'Final List'!$J$4:$J$252,0),0)</f>
        <v>0</v>
      </c>
      <c r="P3086" s="169">
        <f>IFERROR(MATCH(J3086,'Final List'!$L$4:$L$252,0),0)</f>
        <v>0</v>
      </c>
      <c r="Q3086" s="169">
        <f>IFERROR(MATCH(J3086,'Final List'!$N$4:$N$252,0),0)</f>
        <v>0</v>
      </c>
      <c r="R3086" s="169">
        <f>IFERROR(MATCH(J3086,'Final List'!$P$4:$P$252,0),0)</f>
        <v>0</v>
      </c>
      <c r="S3086" s="169">
        <f t="shared" si="194"/>
        <v>0</v>
      </c>
      <c r="V3086" s="169" t="str">
        <f t="shared" si="191"/>
        <v>BAÑEZ 1</v>
      </c>
      <c r="W3086" s="169" t="s">
        <v>2715</v>
      </c>
    </row>
    <row r="3087" spans="2:23" x14ac:dyDescent="0.25">
      <c r="B3087" s="169" t="s">
        <v>12320</v>
      </c>
      <c r="C3087" s="169" t="s">
        <v>42</v>
      </c>
      <c r="D3087" s="169" t="s">
        <v>165</v>
      </c>
      <c r="E3087" s="169" t="s">
        <v>19</v>
      </c>
      <c r="F3087" s="245" t="str">
        <f t="shared" si="193"/>
        <v>DVR 72</v>
      </c>
      <c r="G3087" s="169" t="s">
        <v>5697</v>
      </c>
      <c r="I3087" s="169" t="str">
        <f t="shared" si="192"/>
        <v>L425_JV_056E_RAISE</v>
      </c>
      <c r="J3087" s="169" t="s">
        <v>12685</v>
      </c>
      <c r="K3087" s="169">
        <f>IFERROR(MATCH(J3087,'Final List'!$B$4:$B$252,0),0)</f>
        <v>0</v>
      </c>
      <c r="L3087" s="169">
        <f>IFERROR(MATCH(J3087,'Final List'!$D$4:$D$252,0),0)</f>
        <v>0</v>
      </c>
      <c r="M3087" s="169">
        <f>IFERROR(MATCH(J3087,'Final List'!$F$4:$F$251,0),0)</f>
        <v>0</v>
      </c>
      <c r="N3087" s="169">
        <f>IFERROR(MATCH(J3087,'Final List'!$H$4:$H$252,0),0)</f>
        <v>0</v>
      </c>
      <c r="O3087" s="169">
        <f>IFERROR(MATCH(J3087,'Final List'!$J$4:$J$252,0),0)</f>
        <v>0</v>
      </c>
      <c r="P3087" s="169">
        <f>IFERROR(MATCH(J3087,'Final List'!$L$4:$L$252,0),0)</f>
        <v>0</v>
      </c>
      <c r="Q3087" s="169">
        <f>IFERROR(MATCH(J3087,'Final List'!$N$4:$N$252,0),0)</f>
        <v>0</v>
      </c>
      <c r="R3087" s="169">
        <f>IFERROR(MATCH(J3087,'Final List'!$P$4:$P$252,0),0)</f>
        <v>0</v>
      </c>
      <c r="S3087" s="169">
        <f t="shared" si="194"/>
        <v>0</v>
      </c>
      <c r="V3087" s="169" t="str">
        <f t="shared" si="191"/>
        <v>OLIVEROS 1</v>
      </c>
      <c r="W3087" s="169" t="s">
        <v>2715</v>
      </c>
    </row>
    <row r="3088" spans="2:23" x14ac:dyDescent="0.25">
      <c r="B3088" s="169" t="s">
        <v>1166</v>
      </c>
      <c r="C3088" s="169" t="s">
        <v>45</v>
      </c>
      <c r="D3088" s="169" t="s">
        <v>5742</v>
      </c>
      <c r="E3088" s="169" t="s">
        <v>19</v>
      </c>
      <c r="F3088" s="245" t="str">
        <f t="shared" si="193"/>
        <v>DVR 72</v>
      </c>
      <c r="G3088" s="169" t="s">
        <v>340</v>
      </c>
      <c r="I3088" s="169" t="str">
        <f t="shared" si="192"/>
        <v>L11_DPVE_040E_RAISE</v>
      </c>
      <c r="J3088" s="169" t="s">
        <v>12686</v>
      </c>
      <c r="K3088" s="169">
        <f>IFERROR(MATCH(J3088,'Final List'!$B$4:$B$252,0),0)</f>
        <v>0</v>
      </c>
      <c r="L3088" s="169">
        <f>IFERROR(MATCH(J3088,'Final List'!$D$4:$D$252,0),0)</f>
        <v>0</v>
      </c>
      <c r="M3088" s="169">
        <f>IFERROR(MATCH(J3088,'Final List'!$F$4:$F$251,0),0)</f>
        <v>0</v>
      </c>
      <c r="N3088" s="169">
        <f>IFERROR(MATCH(J3088,'Final List'!$H$4:$H$252,0),0)</f>
        <v>0</v>
      </c>
      <c r="O3088" s="169">
        <f>IFERROR(MATCH(J3088,'Final List'!$J$4:$J$252,0),0)</f>
        <v>0</v>
      </c>
      <c r="P3088" s="169">
        <f>IFERROR(MATCH(J3088,'Final List'!$L$4:$L$252,0),0)</f>
        <v>0</v>
      </c>
      <c r="Q3088" s="169">
        <f>IFERROR(MATCH(J3088,'Final List'!$N$4:$N$252,0),0)</f>
        <v>0</v>
      </c>
      <c r="R3088" s="169">
        <f>IFERROR(MATCH(J3088,'Final List'!$P$4:$P$252,0),0)</f>
        <v>0</v>
      </c>
      <c r="S3088" s="169">
        <f t="shared" si="194"/>
        <v>0</v>
      </c>
      <c r="V3088" s="169" t="str">
        <f t="shared" si="191"/>
        <v>COMAINGKING</v>
      </c>
      <c r="W3088" s="169" t="s">
        <v>2715</v>
      </c>
    </row>
    <row r="3089" spans="2:23" x14ac:dyDescent="0.25">
      <c r="B3089" s="169" t="s">
        <v>1167</v>
      </c>
      <c r="C3089" s="169" t="s">
        <v>87</v>
      </c>
      <c r="D3089" s="169" t="s">
        <v>128</v>
      </c>
      <c r="E3089" s="169" t="s">
        <v>37</v>
      </c>
      <c r="F3089" s="245" t="str">
        <f t="shared" si="193"/>
        <v>Dhoz 71</v>
      </c>
      <c r="G3089" s="169" t="s">
        <v>12547</v>
      </c>
      <c r="I3089" s="169" t="str">
        <f t="shared" si="192"/>
        <v>L12_NONE_027E_XCN</v>
      </c>
      <c r="J3089" s="169" t="s">
        <v>12687</v>
      </c>
      <c r="K3089" s="169">
        <f>IFERROR(MATCH(J3089,'Final List'!$B$4:$B$252,0),0)</f>
        <v>0</v>
      </c>
      <c r="L3089" s="169">
        <f>IFERROR(MATCH(J3089,'Final List'!$D$4:$D$252,0),0)</f>
        <v>0</v>
      </c>
      <c r="M3089" s="169">
        <f>IFERROR(MATCH(J3089,'Final List'!$F$4:$F$251,0),0)</f>
        <v>0</v>
      </c>
      <c r="N3089" s="169">
        <f>IFERROR(MATCH(J3089,'Final List'!$H$4:$H$252,0),0)</f>
        <v>0</v>
      </c>
      <c r="O3089" s="169">
        <f>IFERROR(MATCH(J3089,'Final List'!$J$4:$J$252,0),0)</f>
        <v>0</v>
      </c>
      <c r="P3089" s="169">
        <f>IFERROR(MATCH(J3089,'Final List'!$L$4:$L$252,0),0)</f>
        <v>0</v>
      </c>
      <c r="Q3089" s="169">
        <f>IFERROR(MATCH(J3089,'Final List'!$N$4:$N$252,0),0)</f>
        <v>0</v>
      </c>
      <c r="R3089" s="169">
        <f>IFERROR(MATCH(J3089,'Final List'!$P$4:$P$252,0),0)</f>
        <v>0</v>
      </c>
      <c r="S3089" s="169">
        <f t="shared" si="194"/>
        <v>0</v>
      </c>
      <c r="V3089" s="169" t="str">
        <f t="shared" si="191"/>
        <v>NITRO BN</v>
      </c>
      <c r="W3089" s="169" t="s">
        <v>8898</v>
      </c>
    </row>
    <row r="3090" spans="2:23" x14ac:dyDescent="0.25">
      <c r="B3090" s="169" t="s">
        <v>96</v>
      </c>
      <c r="C3090" s="169" t="s">
        <v>56</v>
      </c>
      <c r="D3090" s="169" t="s">
        <v>106</v>
      </c>
      <c r="E3090" s="169" t="s">
        <v>62</v>
      </c>
      <c r="F3090" s="245" t="str">
        <f t="shared" si="193"/>
        <v>RobS 79</v>
      </c>
      <c r="G3090" s="169" t="s">
        <v>350</v>
      </c>
      <c r="I3090" s="169" t="str">
        <f t="shared" si="192"/>
        <v>L09_GHVFW_033W_ROBBING</v>
      </c>
      <c r="J3090" s="169" t="s">
        <v>12688</v>
      </c>
      <c r="K3090" s="169">
        <f>IFERROR(MATCH(J3090,'Final List'!$B$4:$B$252,0),0)</f>
        <v>0</v>
      </c>
      <c r="L3090" s="169">
        <f>IFERROR(MATCH(J3090,'Final List'!$D$4:$D$252,0),0)</f>
        <v>0</v>
      </c>
      <c r="M3090" s="169">
        <f>IFERROR(MATCH(J3090,'Final List'!$F$4:$F$251,0),0)</f>
        <v>0</v>
      </c>
      <c r="N3090" s="169">
        <f>IFERROR(MATCH(J3090,'Final List'!$H$4:$H$252,0),0)</f>
        <v>0</v>
      </c>
      <c r="O3090" s="169">
        <f>IFERROR(MATCH(J3090,'Final List'!$J$4:$J$252,0),0)</f>
        <v>0</v>
      </c>
      <c r="P3090" s="169">
        <f>IFERROR(MATCH(J3090,'Final List'!$L$4:$L$252,0),0)</f>
        <v>0</v>
      </c>
      <c r="Q3090" s="169">
        <f>IFERROR(MATCH(J3090,'Final List'!$N$4:$N$252,0),0)</f>
        <v>0</v>
      </c>
      <c r="R3090" s="169">
        <f>IFERROR(MATCH(J3090,'Final List'!$P$4:$P$252,0),0)</f>
        <v>0</v>
      </c>
      <c r="S3090" s="169">
        <f t="shared" si="194"/>
        <v>0</v>
      </c>
      <c r="T3090" s="169" t="s">
        <v>68</v>
      </c>
      <c r="V3090" s="169" t="str">
        <f t="shared" si="191"/>
        <v>QUIJANO 1</v>
      </c>
      <c r="W3090" s="169" t="s">
        <v>2707</v>
      </c>
    </row>
    <row r="3091" spans="2:23" x14ac:dyDescent="0.25">
      <c r="B3091" s="169" t="s">
        <v>1166</v>
      </c>
      <c r="C3091" s="169" t="s">
        <v>45</v>
      </c>
      <c r="D3091" s="169" t="s">
        <v>110</v>
      </c>
      <c r="E3091" s="169" t="s">
        <v>61</v>
      </c>
      <c r="F3091" s="245" t="str">
        <f t="shared" si="193"/>
        <v>Dhoz 71</v>
      </c>
      <c r="G3091" s="169" t="s">
        <v>352</v>
      </c>
      <c r="I3091" s="169" t="str">
        <f t="shared" si="192"/>
        <v>L11_DPVE_004E_DW</v>
      </c>
      <c r="J3091" s="169" t="s">
        <v>12692</v>
      </c>
      <c r="K3091" s="169">
        <f>IFERROR(MATCH(J3091,'Final List'!$B$4:$B$252,0),0)</f>
        <v>0</v>
      </c>
      <c r="L3091" s="169">
        <f>IFERROR(MATCH(J3091,'Final List'!$D$4:$D$252,0),0)</f>
        <v>0</v>
      </c>
      <c r="M3091" s="169">
        <f>IFERROR(MATCH(J3091,'Final List'!$F$4:$F$251,0),0)</f>
        <v>0</v>
      </c>
      <c r="N3091" s="169">
        <f>IFERROR(MATCH(J3091,'Final List'!$H$4:$H$252,0),0)</f>
        <v>0</v>
      </c>
      <c r="O3091" s="169">
        <f>IFERROR(MATCH(J3091,'Final List'!$J$4:$J$252,0),0)</f>
        <v>0</v>
      </c>
      <c r="P3091" s="169">
        <f>IFERROR(MATCH(J3091,'Final List'!$L$4:$L$252,0),0)</f>
        <v>0</v>
      </c>
      <c r="Q3091" s="169">
        <f>IFERROR(MATCH(J3091,'Final List'!$N$4:$N$252,0),0)</f>
        <v>0</v>
      </c>
      <c r="R3091" s="169">
        <f>IFERROR(MATCH(J3091,'Final List'!$P$4:$P$252,0),0)</f>
        <v>0</v>
      </c>
      <c r="S3091" s="169">
        <f t="shared" si="194"/>
        <v>0</v>
      </c>
      <c r="V3091" s="169" t="str">
        <f t="shared" si="191"/>
        <v>BAÑEZ 5</v>
      </c>
      <c r="W3091" s="169" t="s">
        <v>8896</v>
      </c>
    </row>
    <row r="3092" spans="2:23" x14ac:dyDescent="0.25">
      <c r="B3092" s="169" t="s">
        <v>1166</v>
      </c>
      <c r="C3092" s="169" t="s">
        <v>45</v>
      </c>
      <c r="D3092" s="169" t="s">
        <v>5689</v>
      </c>
      <c r="E3092" s="169" t="s">
        <v>61</v>
      </c>
      <c r="F3092" s="245" t="str">
        <f t="shared" si="193"/>
        <v>Dhoz 71</v>
      </c>
      <c r="G3092" s="169" t="s">
        <v>452</v>
      </c>
      <c r="I3092" s="169" t="str">
        <f t="shared" si="192"/>
        <v>L11_DPVE_003E_DW</v>
      </c>
      <c r="J3092" s="169" t="s">
        <v>12693</v>
      </c>
      <c r="K3092" s="169">
        <f>IFERROR(MATCH(J3092,'Final List'!$B$4:$B$252,0),0)</f>
        <v>0</v>
      </c>
      <c r="L3092" s="169">
        <f>IFERROR(MATCH(J3092,'Final List'!$D$4:$D$252,0),0)</f>
        <v>0</v>
      </c>
      <c r="M3092" s="169">
        <f>IFERROR(MATCH(J3092,'Final List'!$F$4:$F$251,0),0)</f>
        <v>0</v>
      </c>
      <c r="N3092" s="169">
        <f>IFERROR(MATCH(J3092,'Final List'!$H$4:$H$252,0),0)</f>
        <v>0</v>
      </c>
      <c r="O3092" s="169">
        <f>IFERROR(MATCH(J3092,'Final List'!$J$4:$J$252,0),0)</f>
        <v>0</v>
      </c>
      <c r="P3092" s="169">
        <f>IFERROR(MATCH(J3092,'Final List'!$L$4:$L$252,0),0)</f>
        <v>0</v>
      </c>
      <c r="Q3092" s="169">
        <f>IFERROR(MATCH(J3092,'Final List'!$N$4:$N$252,0),0)</f>
        <v>0</v>
      </c>
      <c r="R3092" s="169">
        <f>IFERROR(MATCH(J3092,'Final List'!$P$4:$P$252,0),0)</f>
        <v>0</v>
      </c>
      <c r="S3092" s="169">
        <f t="shared" si="194"/>
        <v>0</v>
      </c>
      <c r="V3092" s="169" t="str">
        <f t="shared" si="191"/>
        <v>BAÑEZ 6</v>
      </c>
      <c r="W3092" s="169" t="s">
        <v>8896</v>
      </c>
    </row>
    <row r="3093" spans="2:23" x14ac:dyDescent="0.25">
      <c r="B3093" s="169" t="s">
        <v>1166</v>
      </c>
      <c r="C3093" s="169" t="s">
        <v>43</v>
      </c>
      <c r="D3093" s="169" t="s">
        <v>149</v>
      </c>
      <c r="E3093" s="169" t="s">
        <v>61</v>
      </c>
      <c r="F3093" s="245" t="str">
        <f t="shared" si="193"/>
        <v>Dhoz 71</v>
      </c>
      <c r="G3093" s="169" t="s">
        <v>6980</v>
      </c>
      <c r="I3093" s="169" t="str">
        <f t="shared" si="192"/>
        <v>L11_GHVSPLIT_021E_DW</v>
      </c>
      <c r="J3093" s="169" t="s">
        <v>12695</v>
      </c>
      <c r="K3093" s="169">
        <f>IFERROR(MATCH(J3093,'Final List'!$B$4:$B$252,0),0)</f>
        <v>0</v>
      </c>
      <c r="L3093" s="169">
        <f>IFERROR(MATCH(J3093,'Final List'!$D$4:$D$252,0),0)</f>
        <v>0</v>
      </c>
      <c r="M3093" s="169">
        <f>IFERROR(MATCH(J3093,'Final List'!$F$4:$F$251,0),0)</f>
        <v>0</v>
      </c>
      <c r="N3093" s="169">
        <f>IFERROR(MATCH(J3093,'Final List'!$H$4:$H$252,0),0)</f>
        <v>0</v>
      </c>
      <c r="O3093" s="169">
        <f>IFERROR(MATCH(J3093,'Final List'!$J$4:$J$252,0),0)</f>
        <v>0</v>
      </c>
      <c r="P3093" s="169">
        <f>IFERROR(MATCH(J3093,'Final List'!$L$4:$L$252,0),0)</f>
        <v>0</v>
      </c>
      <c r="Q3093" s="169">
        <f>IFERROR(MATCH(J3093,'Final List'!$N$4:$N$252,0),0)</f>
        <v>0</v>
      </c>
      <c r="R3093" s="169">
        <f>IFERROR(MATCH(J3093,'Final List'!$P$4:$P$252,0),0)</f>
        <v>0</v>
      </c>
      <c r="S3093" s="169">
        <f t="shared" si="194"/>
        <v>0</v>
      </c>
      <c r="V3093" s="169" t="str">
        <f t="shared" si="191"/>
        <v>BADBADON 3</v>
      </c>
      <c r="W3093" s="169" t="s">
        <v>8896</v>
      </c>
    </row>
    <row r="3094" spans="2:23" x14ac:dyDescent="0.25">
      <c r="B3094" s="169" t="s">
        <v>95</v>
      </c>
      <c r="C3094" s="169" t="s">
        <v>45</v>
      </c>
      <c r="D3094" s="169" t="s">
        <v>5912</v>
      </c>
      <c r="E3094" s="169" t="s">
        <v>19</v>
      </c>
      <c r="F3094" s="245" t="str">
        <f t="shared" si="193"/>
        <v>DVR 72</v>
      </c>
      <c r="G3094" s="169" t="s">
        <v>577</v>
      </c>
      <c r="I3094" s="169" t="str">
        <f t="shared" si="192"/>
        <v>L08_DPVE_019E_RAISE</v>
      </c>
      <c r="J3094" s="169" t="s">
        <v>12698</v>
      </c>
      <c r="K3094" s="169">
        <f>IFERROR(MATCH(J3094,'Final List'!$B$4:$B$252,0),0)</f>
        <v>0</v>
      </c>
      <c r="L3094" s="169">
        <f>IFERROR(MATCH(J3094,'Final List'!$D$4:$D$252,0),0)</f>
        <v>0</v>
      </c>
      <c r="M3094" s="169">
        <f>IFERROR(MATCH(J3094,'Final List'!$F$4:$F$251,0),0)</f>
        <v>0</v>
      </c>
      <c r="N3094" s="169">
        <f>IFERROR(MATCH(J3094,'Final List'!$H$4:$H$252,0),0)</f>
        <v>0</v>
      </c>
      <c r="O3094" s="169">
        <f>IFERROR(MATCH(J3094,'Final List'!$J$4:$J$252,0),0)</f>
        <v>0</v>
      </c>
      <c r="P3094" s="169">
        <f>IFERROR(MATCH(J3094,'Final List'!$L$4:$L$252,0),0)</f>
        <v>0</v>
      </c>
      <c r="Q3094" s="169">
        <f>IFERROR(MATCH(J3094,'Final List'!$N$4:$N$252,0),0)</f>
        <v>0</v>
      </c>
      <c r="R3094" s="169">
        <f>IFERROR(MATCH(J3094,'Final List'!$P$4:$P$252,0),0)</f>
        <v>0</v>
      </c>
      <c r="S3094" s="169">
        <f t="shared" si="194"/>
        <v>0</v>
      </c>
      <c r="V3094" s="169" t="str">
        <f t="shared" si="191"/>
        <v>CARIKITAN 1</v>
      </c>
      <c r="W3094" s="169" t="s">
        <v>2715</v>
      </c>
    </row>
    <row r="3095" spans="2:23" x14ac:dyDescent="0.25">
      <c r="B3095" s="169" t="s">
        <v>8904</v>
      </c>
      <c r="C3095" s="169" t="s">
        <v>42</v>
      </c>
      <c r="D3095" s="169" t="s">
        <v>7451</v>
      </c>
      <c r="E3095" s="169" t="s">
        <v>13813</v>
      </c>
      <c r="F3095" s="245" t="str">
        <f>IF(OR(E3095="XCN",E3095="DE",E3095="DW",E3095="DN",E3095="XCS",E3095="XCE",E3095="XCW",E3095="SUMP",E3095="BYPASS",E3095="CHAMBER",E3095="DRAIN HOLE",E3095="DRILLING CHAMBER",E3095="DE_ISL",E3095="DW_ISL",E3095="REHAB",E3095="MAINLINE_CLEANING"),"Dhoz 71",IF(OR(E3095="RAISE",E3095="RAISE_ISL"),"DVR 72",IF(E3095="ALIMAK","DVA 73",IF(E3095="WINZE","DVW 74",IF(E3095="SHAFT","DVS 75",IF(AND(E3095="WINZE STOPE",T3095="S"),"RobC 80",IF(AND(E3095="STOPE",T3095="S"),"StpS 77",IF(AND(E3095="WINZE STOPE",T3095="L"),"RobC 80",IF(AND(E3095="STOPE",T3095="L"),"StpL 78",IF(AND(E3095="WINZE STOPE PREP",T3095="S"),"RobC 80",IF(AND(E3095="STOPE PREP",T3095="S"),"StpS 77",IF(AND(E3095="WINZE STOPE PREP",T3095="L"),"RobC 80",IF(AND(E3095="STOPE PREP",T3095="L"),"StpL 78",IF(AND(E3095="ROBBING",T3095="L"),"RobC 80",IF(AND(E3095="ROBBING",T3095="S"),"RobS 79",0)))))))))))))))</f>
        <v>Dhoz 71</v>
      </c>
      <c r="G3095" s="169" t="s">
        <v>11449</v>
      </c>
      <c r="I3095" s="169" t="s">
        <v>12704</v>
      </c>
      <c r="J3095" s="169" t="s">
        <v>12704</v>
      </c>
      <c r="K3095" s="169">
        <f>IFERROR(MATCH(J3095,'Final List'!$B$4:$B$252,0),0)</f>
        <v>0</v>
      </c>
      <c r="L3095" s="169">
        <f>IFERROR(MATCH(J3095,'Final List'!$D$4:$D$252,0),0)</f>
        <v>0</v>
      </c>
      <c r="M3095" s="169">
        <f>IFERROR(MATCH(J3095,'Final List'!$F$4:$F$251,0),0)</f>
        <v>0</v>
      </c>
      <c r="N3095" s="169">
        <f>IFERROR(MATCH(J3095,'Final List'!$H$4:$H$252,0),0)</f>
        <v>0</v>
      </c>
      <c r="O3095" s="169">
        <f>IFERROR(MATCH(J3095,'Final List'!$J$4:$J$252,0),0)</f>
        <v>0</v>
      </c>
      <c r="P3095" s="169">
        <f>IFERROR(MATCH(J3095,'Final List'!$L$4:$L$252,0),0)</f>
        <v>0</v>
      </c>
      <c r="Q3095" s="169">
        <f>IFERROR(MATCH(J3095,'Final List'!$N$4:$N$252,0),0)</f>
        <v>0</v>
      </c>
      <c r="R3095" s="169">
        <f>IFERROR(MATCH(J3095,'Final List'!$P$4:$P$252,0),0)</f>
        <v>0</v>
      </c>
      <c r="S3095" s="169">
        <f t="shared" si="194"/>
        <v>0</v>
      </c>
      <c r="V3095" s="169" t="str">
        <f t="shared" ref="V3095:V3223" si="195">IF(H3095="",G3095,H3095)</f>
        <v>FERNANDEZ, RM</v>
      </c>
      <c r="W3095" s="169" t="s">
        <v>2714</v>
      </c>
    </row>
    <row r="3096" spans="2:23" x14ac:dyDescent="0.25">
      <c r="B3096" s="169" t="s">
        <v>1167</v>
      </c>
      <c r="C3096" s="169" t="s">
        <v>43</v>
      </c>
      <c r="D3096" s="169" t="s">
        <v>201</v>
      </c>
      <c r="E3096" s="169" t="s">
        <v>19</v>
      </c>
      <c r="F3096" s="245" t="str">
        <f t="shared" si="193"/>
        <v>DVR 72</v>
      </c>
      <c r="G3096" s="169" t="s">
        <v>10758</v>
      </c>
      <c r="I3096" s="169" t="str">
        <f t="shared" si="192"/>
        <v>L12_GHVSPLIT_067E_RAISE</v>
      </c>
      <c r="J3096" s="169" t="s">
        <v>12710</v>
      </c>
      <c r="K3096" s="169">
        <f>IFERROR(MATCH(J3096,'Final List'!$B$4:$B$252,0),0)</f>
        <v>0</v>
      </c>
      <c r="L3096" s="169">
        <f>IFERROR(MATCH(J3096,'Final List'!$D$4:$D$252,0),0)</f>
        <v>0</v>
      </c>
      <c r="M3096" s="169">
        <f>IFERROR(MATCH(J3096,'Final List'!$F$4:$F$251,0),0)</f>
        <v>0</v>
      </c>
      <c r="N3096" s="169">
        <f>IFERROR(MATCH(J3096,'Final List'!$H$4:$H$252,0),0)</f>
        <v>0</v>
      </c>
      <c r="O3096" s="169">
        <f>IFERROR(MATCH(J3096,'Final List'!$J$4:$J$252,0),0)</f>
        <v>0</v>
      </c>
      <c r="P3096" s="169">
        <f>IFERROR(MATCH(J3096,'Final List'!$L$4:$L$252,0),0)</f>
        <v>0</v>
      </c>
      <c r="Q3096" s="169">
        <f>IFERROR(MATCH(J3096,'Final List'!$N$4:$N$252,0),0)</f>
        <v>0</v>
      </c>
      <c r="R3096" s="169">
        <f>IFERROR(MATCH(J3096,'Final List'!$P$4:$P$252,0),0)</f>
        <v>0</v>
      </c>
      <c r="S3096" s="169">
        <f t="shared" si="194"/>
        <v>0</v>
      </c>
      <c r="V3096" s="169" t="str">
        <f t="shared" si="195"/>
        <v>MARTINEZ, DN</v>
      </c>
      <c r="W3096" s="169" t="s">
        <v>2715</v>
      </c>
    </row>
    <row r="3097" spans="2:23" x14ac:dyDescent="0.25">
      <c r="B3097" s="169" t="s">
        <v>8904</v>
      </c>
      <c r="C3097" s="169" t="s">
        <v>42</v>
      </c>
      <c r="D3097" s="169" t="s">
        <v>98</v>
      </c>
      <c r="E3097" s="169" t="s">
        <v>19</v>
      </c>
      <c r="F3097" s="245" t="str">
        <f t="shared" si="193"/>
        <v>DVR 72</v>
      </c>
      <c r="G3097" s="169" t="s">
        <v>11449</v>
      </c>
      <c r="I3097" s="169" t="str">
        <f t="shared" si="192"/>
        <v>L03_JV_014W_RAISE</v>
      </c>
      <c r="J3097" s="169" t="s">
        <v>12712</v>
      </c>
      <c r="K3097" s="169">
        <f>IFERROR(MATCH(J3097,'Final List'!$B$4:$B$252,0),0)</f>
        <v>0</v>
      </c>
      <c r="L3097" s="169">
        <f>IFERROR(MATCH(J3097,'Final List'!$D$4:$D$252,0),0)</f>
        <v>0</v>
      </c>
      <c r="M3097" s="169">
        <f>IFERROR(MATCH(J3097,'Final List'!$F$4:$F$251,0),0)</f>
        <v>0</v>
      </c>
      <c r="N3097" s="169">
        <f>IFERROR(MATCH(J3097,'Final List'!$H$4:$H$252,0),0)</f>
        <v>0</v>
      </c>
      <c r="O3097" s="169">
        <f>IFERROR(MATCH(J3097,'Final List'!$J$4:$J$252,0),0)</f>
        <v>0</v>
      </c>
      <c r="P3097" s="169">
        <f>IFERROR(MATCH(J3097,'Final List'!$L$4:$L$252,0),0)</f>
        <v>0</v>
      </c>
      <c r="Q3097" s="169">
        <f>IFERROR(MATCH(J3097,'Final List'!$N$4:$N$252,0),0)</f>
        <v>0</v>
      </c>
      <c r="R3097" s="169">
        <f>IFERROR(MATCH(J3097,'Final List'!$P$4:$P$252,0),0)</f>
        <v>0</v>
      </c>
      <c r="S3097" s="169">
        <f t="shared" si="194"/>
        <v>0</v>
      </c>
      <c r="V3097" s="169" t="str">
        <f t="shared" si="195"/>
        <v>FERNANDEZ, RM</v>
      </c>
      <c r="W3097" s="169" t="s">
        <v>2715</v>
      </c>
    </row>
    <row r="3098" spans="2:23" x14ac:dyDescent="0.25">
      <c r="B3098" s="169" t="s">
        <v>258</v>
      </c>
      <c r="C3098" s="169" t="s">
        <v>45</v>
      </c>
      <c r="D3098" s="169" t="s">
        <v>247</v>
      </c>
      <c r="E3098" s="169" t="s">
        <v>61</v>
      </c>
      <c r="F3098" s="245" t="str">
        <f t="shared" si="193"/>
        <v>Dhoz 71</v>
      </c>
      <c r="G3098" s="169" t="s">
        <v>5697</v>
      </c>
      <c r="I3098" s="169" t="str">
        <f t="shared" si="192"/>
        <v>L10_DPVE_080E_DW</v>
      </c>
      <c r="J3098" s="169" t="s">
        <v>12713</v>
      </c>
      <c r="K3098" s="169">
        <f>IFERROR(MATCH(J3098,'Final List'!$B$4:$B$252,0),0)</f>
        <v>0</v>
      </c>
      <c r="L3098" s="169">
        <f>IFERROR(MATCH(J3098,'Final List'!$D$4:$D$252,0),0)</f>
        <v>0</v>
      </c>
      <c r="M3098" s="169">
        <f>IFERROR(MATCH(J3098,'Final List'!$F$4:$F$251,0),0)</f>
        <v>0</v>
      </c>
      <c r="N3098" s="169">
        <f>IFERROR(MATCH(J3098,'Final List'!$H$4:$H$252,0),0)</f>
        <v>0</v>
      </c>
      <c r="O3098" s="169">
        <f>IFERROR(MATCH(J3098,'Final List'!$J$4:$J$252,0),0)</f>
        <v>0</v>
      </c>
      <c r="P3098" s="169">
        <f>IFERROR(MATCH(J3098,'Final List'!$L$4:$L$252,0),0)</f>
        <v>0</v>
      </c>
      <c r="Q3098" s="169">
        <f>IFERROR(MATCH(J3098,'Final List'!$N$4:$N$252,0),0)</f>
        <v>0</v>
      </c>
      <c r="R3098" s="169">
        <f>IFERROR(MATCH(J3098,'Final List'!$P$4:$P$252,0),0)</f>
        <v>0</v>
      </c>
      <c r="S3098" s="169">
        <f t="shared" si="194"/>
        <v>0</v>
      </c>
      <c r="V3098" s="169" t="str">
        <f t="shared" si="195"/>
        <v>OLIVEROS 1</v>
      </c>
      <c r="W3098" s="169" t="s">
        <v>8896</v>
      </c>
    </row>
    <row r="3099" spans="2:23" x14ac:dyDescent="0.25">
      <c r="B3099" s="169" t="s">
        <v>258</v>
      </c>
      <c r="C3099" s="169" t="s">
        <v>56</v>
      </c>
      <c r="D3099" s="169" t="s">
        <v>176</v>
      </c>
      <c r="E3099" s="169" t="s">
        <v>62</v>
      </c>
      <c r="F3099" s="245" t="str">
        <f t="shared" si="193"/>
        <v>RobS 79</v>
      </c>
      <c r="G3099" s="169" t="s">
        <v>5698</v>
      </c>
      <c r="I3099" s="169" t="str">
        <f t="shared" si="192"/>
        <v>L10_GHVFW_057E_ROBBING</v>
      </c>
      <c r="J3099" s="169" t="s">
        <v>12714</v>
      </c>
      <c r="K3099" s="169">
        <f>IFERROR(MATCH(J3099,'Final List'!$B$4:$B$252,0),0)</f>
        <v>0</v>
      </c>
      <c r="L3099" s="169">
        <f>IFERROR(MATCH(J3099,'Final List'!$D$4:$D$252,0),0)</f>
        <v>0</v>
      </c>
      <c r="M3099" s="169">
        <f>IFERROR(MATCH(J3099,'Final List'!$F$4:$F$251,0),0)</f>
        <v>0</v>
      </c>
      <c r="N3099" s="169">
        <f>IFERROR(MATCH(J3099,'Final List'!$H$4:$H$252,0),0)</f>
        <v>0</v>
      </c>
      <c r="O3099" s="169">
        <f>IFERROR(MATCH(J3099,'Final List'!$J$4:$J$252,0),0)</f>
        <v>0</v>
      </c>
      <c r="P3099" s="169">
        <f>IFERROR(MATCH(J3099,'Final List'!$L$4:$L$252,0),0)</f>
        <v>0</v>
      </c>
      <c r="Q3099" s="169">
        <f>IFERROR(MATCH(J3099,'Final List'!$N$4:$N$252,0),0)</f>
        <v>0</v>
      </c>
      <c r="R3099" s="169">
        <f>IFERROR(MATCH(J3099,'Final List'!$P$4:$P$252,0),0)</f>
        <v>0</v>
      </c>
      <c r="S3099" s="169">
        <f t="shared" si="194"/>
        <v>0</v>
      </c>
      <c r="T3099" s="169" t="s">
        <v>68</v>
      </c>
      <c r="V3099" s="169" t="str">
        <f t="shared" si="195"/>
        <v>PARAN 1</v>
      </c>
      <c r="W3099" s="169" t="s">
        <v>2707</v>
      </c>
    </row>
    <row r="3100" spans="2:23" x14ac:dyDescent="0.25">
      <c r="B3100" s="169" t="s">
        <v>96</v>
      </c>
      <c r="C3100" s="169" t="s">
        <v>45</v>
      </c>
      <c r="D3100" s="169" t="s">
        <v>103</v>
      </c>
      <c r="E3100" s="169" t="s">
        <v>61</v>
      </c>
      <c r="F3100" s="245" t="str">
        <f t="shared" si="193"/>
        <v>Dhoz 71</v>
      </c>
      <c r="G3100" s="169" t="s">
        <v>2972</v>
      </c>
      <c r="I3100" s="169" t="str">
        <f t="shared" si="192"/>
        <v>L09_DPVE_005E_DW</v>
      </c>
      <c r="J3100" s="169" t="s">
        <v>12718</v>
      </c>
      <c r="K3100" s="169">
        <f>IFERROR(MATCH(J3100,'Final List'!$B$4:$B$252,0),0)</f>
        <v>0</v>
      </c>
      <c r="L3100" s="169">
        <f>IFERROR(MATCH(J3100,'Final List'!$D$4:$D$252,0),0)</f>
        <v>0</v>
      </c>
      <c r="M3100" s="169">
        <f>IFERROR(MATCH(J3100,'Final List'!$F$4:$F$251,0),0)</f>
        <v>0</v>
      </c>
      <c r="N3100" s="169">
        <f>IFERROR(MATCH(J3100,'Final List'!$H$4:$H$252,0),0)</f>
        <v>0</v>
      </c>
      <c r="O3100" s="169">
        <f>IFERROR(MATCH(J3100,'Final List'!$J$4:$J$252,0),0)</f>
        <v>0</v>
      </c>
      <c r="P3100" s="169">
        <f>IFERROR(MATCH(J3100,'Final List'!$L$4:$L$252,0),0)</f>
        <v>0</v>
      </c>
      <c r="Q3100" s="169">
        <f>IFERROR(MATCH(J3100,'Final List'!$N$4:$N$252,0),0)</f>
        <v>0</v>
      </c>
      <c r="R3100" s="169">
        <f>IFERROR(MATCH(J3100,'Final List'!$P$4:$P$252,0),0)</f>
        <v>0</v>
      </c>
      <c r="S3100" s="169">
        <f t="shared" si="194"/>
        <v>0</v>
      </c>
      <c r="V3100" s="169" t="str">
        <f t="shared" si="195"/>
        <v>FABROA 1</v>
      </c>
      <c r="W3100" s="169" t="s">
        <v>8896</v>
      </c>
    </row>
    <row r="3101" spans="2:23" x14ac:dyDescent="0.25">
      <c r="B3101" s="169" t="s">
        <v>96</v>
      </c>
      <c r="C3101" s="169" t="s">
        <v>56</v>
      </c>
      <c r="D3101" s="169" t="s">
        <v>6068</v>
      </c>
      <c r="E3101" s="169" t="s">
        <v>6154</v>
      </c>
      <c r="F3101" s="245" t="str">
        <f t="shared" si="193"/>
        <v>Dhoz 71</v>
      </c>
      <c r="G3101" s="169" t="s">
        <v>350</v>
      </c>
      <c r="I3101" s="169" t="str">
        <f t="shared" si="192"/>
        <v>L09_GHVFW_035W_DW_ISL</v>
      </c>
      <c r="J3101" s="169" t="s">
        <v>12845</v>
      </c>
      <c r="K3101" s="169">
        <f>IFERROR(MATCH(J3101,'Final List'!$B$4:$B$252,0),0)</f>
        <v>0</v>
      </c>
      <c r="L3101" s="169">
        <f>IFERROR(MATCH(J3101,'Final List'!$D$4:$D$252,0),0)</f>
        <v>0</v>
      </c>
      <c r="M3101" s="169">
        <f>IFERROR(MATCH(J3101,'Final List'!$F$4:$F$251,0),0)</f>
        <v>0</v>
      </c>
      <c r="N3101" s="169">
        <f>IFERROR(MATCH(J3101,'Final List'!$H$4:$H$252,0),0)</f>
        <v>0</v>
      </c>
      <c r="O3101" s="169">
        <f>IFERROR(MATCH(J3101,'Final List'!$J$4:$J$252,0),0)</f>
        <v>0</v>
      </c>
      <c r="P3101" s="169">
        <f>IFERROR(MATCH(J3101,'Final List'!$L$4:$L$252,0),0)</f>
        <v>0</v>
      </c>
      <c r="Q3101" s="169">
        <f>IFERROR(MATCH(J3101,'Final List'!$N$4:$N$252,0),0)</f>
        <v>0</v>
      </c>
      <c r="R3101" s="169">
        <f>IFERROR(MATCH(J3101,'Final List'!$P$4:$P$252,0),0)</f>
        <v>0</v>
      </c>
      <c r="S3101" s="169">
        <f t="shared" si="194"/>
        <v>0</v>
      </c>
      <c r="V3101" s="169" t="str">
        <f t="shared" si="195"/>
        <v>QUIJANO 1</v>
      </c>
      <c r="W3101" s="169" t="s">
        <v>2708</v>
      </c>
    </row>
    <row r="3102" spans="2:23" x14ac:dyDescent="0.25">
      <c r="B3102" s="169" t="s">
        <v>1166</v>
      </c>
      <c r="C3102" s="169" t="s">
        <v>56</v>
      </c>
      <c r="D3102" s="169" t="s">
        <v>159</v>
      </c>
      <c r="E3102" s="169" t="s">
        <v>60</v>
      </c>
      <c r="F3102" s="245" t="str">
        <f t="shared" si="193"/>
        <v>Dhoz 71</v>
      </c>
      <c r="G3102" s="169" t="s">
        <v>6980</v>
      </c>
      <c r="I3102" s="169" t="str">
        <f t="shared" si="192"/>
        <v>L11_GHVFW_023E_DE</v>
      </c>
      <c r="J3102" s="169" t="s">
        <v>12722</v>
      </c>
      <c r="K3102" s="169">
        <f>IFERROR(MATCH(J3102,'Final List'!$B$4:$B$252,0),0)</f>
        <v>0</v>
      </c>
      <c r="L3102" s="169">
        <f>IFERROR(MATCH(J3102,'Final List'!$D$4:$D$252,0),0)</f>
        <v>0</v>
      </c>
      <c r="M3102" s="169">
        <f>IFERROR(MATCH(J3102,'Final List'!$F$4:$F$251,0),0)</f>
        <v>0</v>
      </c>
      <c r="N3102" s="169">
        <f>IFERROR(MATCH(J3102,'Final List'!$H$4:$H$252,0),0)</f>
        <v>0</v>
      </c>
      <c r="O3102" s="169">
        <f>IFERROR(MATCH(J3102,'Final List'!$J$4:$J$252,0),0)</f>
        <v>0</v>
      </c>
      <c r="P3102" s="169">
        <f>IFERROR(MATCH(J3102,'Final List'!$L$4:$L$252,0),0)</f>
        <v>0</v>
      </c>
      <c r="Q3102" s="169">
        <f>IFERROR(MATCH(J3102,'Final List'!$N$4:$N$252,0),0)</f>
        <v>0</v>
      </c>
      <c r="R3102" s="169">
        <f>IFERROR(MATCH(J3102,'Final List'!$P$4:$P$252,0),0)</f>
        <v>0</v>
      </c>
      <c r="S3102" s="169">
        <f t="shared" si="194"/>
        <v>0</v>
      </c>
      <c r="V3102" s="169" t="str">
        <f t="shared" si="195"/>
        <v>BADBADON 3</v>
      </c>
      <c r="W3102" s="169" t="s">
        <v>8896</v>
      </c>
    </row>
    <row r="3103" spans="2:23" x14ac:dyDescent="0.25">
      <c r="B3103" s="169" t="s">
        <v>258</v>
      </c>
      <c r="C3103" s="169" t="s">
        <v>38</v>
      </c>
      <c r="D3103" s="169" t="s">
        <v>171</v>
      </c>
      <c r="E3103" s="169" t="s">
        <v>61</v>
      </c>
      <c r="F3103" s="245" t="str">
        <f t="shared" si="193"/>
        <v>Dhoz 71</v>
      </c>
      <c r="G3103" s="169" t="s">
        <v>5700</v>
      </c>
      <c r="I3103" s="169" t="str">
        <f t="shared" ref="I3103:I3167" si="196">CONCATENATE(B3103,"_",C3103,"_",D3103,"_",E3103)</f>
        <v>L10_GHV_015W_DW</v>
      </c>
      <c r="J3103" s="169" t="s">
        <v>4228</v>
      </c>
      <c r="K3103" s="169">
        <f>IFERROR(MATCH(J3103,'Final List'!$B$4:$B$252,0),0)</f>
        <v>0</v>
      </c>
      <c r="L3103" s="169">
        <f>IFERROR(MATCH(J3103,'Final List'!$D$4:$D$252,0),0)</f>
        <v>0</v>
      </c>
      <c r="M3103" s="169">
        <f>IFERROR(MATCH(J3103,'Final List'!$F$4:$F$251,0),0)</f>
        <v>0</v>
      </c>
      <c r="N3103" s="169">
        <f>IFERROR(MATCH(J3103,'Final List'!$H$4:$H$252,0),0)</f>
        <v>0</v>
      </c>
      <c r="O3103" s="169">
        <f>IFERROR(MATCH(J3103,'Final List'!$J$4:$J$252,0),0)</f>
        <v>0</v>
      </c>
      <c r="P3103" s="169">
        <f>IFERROR(MATCH(J3103,'Final List'!$L$4:$L$252,0),0)</f>
        <v>0</v>
      </c>
      <c r="Q3103" s="169">
        <f>IFERROR(MATCH(J3103,'Final List'!$N$4:$N$252,0),0)</f>
        <v>0</v>
      </c>
      <c r="R3103" s="169">
        <f>IFERROR(MATCH(J3103,'Final List'!$P$4:$P$252,0),0)</f>
        <v>0</v>
      </c>
      <c r="S3103" s="169">
        <f t="shared" si="194"/>
        <v>0</v>
      </c>
      <c r="V3103" s="169" t="str">
        <f t="shared" si="195"/>
        <v>LARGO 1</v>
      </c>
      <c r="W3103" s="169" t="s">
        <v>8896</v>
      </c>
    </row>
    <row r="3104" spans="2:23" x14ac:dyDescent="0.25">
      <c r="B3104" s="169" t="s">
        <v>258</v>
      </c>
      <c r="C3104" s="169" t="s">
        <v>45</v>
      </c>
      <c r="D3104" s="169" t="s">
        <v>12655</v>
      </c>
      <c r="E3104" s="169" t="s">
        <v>60</v>
      </c>
      <c r="F3104" s="245" t="str">
        <f t="shared" si="193"/>
        <v>Dhoz 71</v>
      </c>
      <c r="G3104" s="169" t="s">
        <v>12065</v>
      </c>
      <c r="I3104" s="169" t="str">
        <f t="shared" si="196"/>
        <v>L10_DPVE_106E_DE</v>
      </c>
      <c r="J3104" s="169" t="s">
        <v>12733</v>
      </c>
      <c r="K3104" s="169">
        <f>IFERROR(MATCH(J3104,'Final List'!$B$4:$B$252,0),0)</f>
        <v>0</v>
      </c>
      <c r="L3104" s="169">
        <f>IFERROR(MATCH(J3104,'Final List'!$D$4:$D$252,0),0)</f>
        <v>0</v>
      </c>
      <c r="M3104" s="169">
        <f>IFERROR(MATCH(J3104,'Final List'!$F$4:$F$251,0),0)</f>
        <v>0</v>
      </c>
      <c r="N3104" s="169">
        <f>IFERROR(MATCH(J3104,'Final List'!$H$4:$H$252,0),0)</f>
        <v>0</v>
      </c>
      <c r="O3104" s="169">
        <f>IFERROR(MATCH(J3104,'Final List'!$J$4:$J$252,0),0)</f>
        <v>0</v>
      </c>
      <c r="P3104" s="169">
        <f>IFERROR(MATCH(J3104,'Final List'!$L$4:$L$252,0),0)</f>
        <v>0</v>
      </c>
      <c r="Q3104" s="169">
        <f>IFERROR(MATCH(J3104,'Final List'!$N$4:$N$252,0),0)</f>
        <v>0</v>
      </c>
      <c r="R3104" s="169">
        <f>IFERROR(MATCH(J3104,'Final List'!$P$4:$P$252,0),0)</f>
        <v>0</v>
      </c>
      <c r="S3104" s="169">
        <f t="shared" si="194"/>
        <v>0</v>
      </c>
      <c r="V3104" s="169" t="str">
        <f t="shared" si="195"/>
        <v>NITRO BD 1</v>
      </c>
      <c r="W3104" s="169" t="s">
        <v>8896</v>
      </c>
    </row>
    <row r="3105" spans="2:23" x14ac:dyDescent="0.25">
      <c r="B3105" s="169" t="s">
        <v>1167</v>
      </c>
      <c r="C3105" s="169" t="s">
        <v>43</v>
      </c>
      <c r="D3105" s="169" t="s">
        <v>177</v>
      </c>
      <c r="E3105" s="169" t="s">
        <v>36</v>
      </c>
      <c r="F3105" s="245" t="str">
        <f t="shared" si="193"/>
        <v>StpS 77</v>
      </c>
      <c r="G3105" s="169" t="s">
        <v>12280</v>
      </c>
      <c r="I3105" s="169" t="str">
        <f t="shared" si="196"/>
        <v>L12_GHVSPLIT_054E_STOPE</v>
      </c>
      <c r="J3105" s="169" t="s">
        <v>12866</v>
      </c>
      <c r="K3105" s="169">
        <f>IFERROR(MATCH(J3105,'Final List'!$B$4:$B$252,0),0)</f>
        <v>0</v>
      </c>
      <c r="L3105" s="169">
        <f>IFERROR(MATCH(J3105,'Final List'!$D$4:$D$252,0),0)</f>
        <v>0</v>
      </c>
      <c r="M3105" s="169">
        <f>IFERROR(MATCH(J3105,'Final List'!$F$4:$F$251,0),0)</f>
        <v>0</v>
      </c>
      <c r="N3105" s="169">
        <f>IFERROR(MATCH(J3105,'Final List'!$H$4:$H$252,0),0)</f>
        <v>0</v>
      </c>
      <c r="O3105" s="169">
        <f>IFERROR(MATCH(J3105,'Final List'!$J$4:$J$252,0),0)</f>
        <v>0</v>
      </c>
      <c r="P3105" s="169">
        <f>IFERROR(MATCH(J3105,'Final List'!$L$4:$L$252,0),0)</f>
        <v>0</v>
      </c>
      <c r="Q3105" s="169">
        <f>IFERROR(MATCH(J3105,'Final List'!$N$4:$N$252,0),0)</f>
        <v>0</v>
      </c>
      <c r="R3105" s="169">
        <f>IFERROR(MATCH(J3105,'Final List'!$P$4:$P$252,0),0)</f>
        <v>0</v>
      </c>
      <c r="S3105" s="169">
        <f t="shared" si="194"/>
        <v>0</v>
      </c>
      <c r="T3105" s="169" t="s">
        <v>68</v>
      </c>
      <c r="V3105" s="169" t="str">
        <f t="shared" si="195"/>
        <v>NITRO BF 6</v>
      </c>
      <c r="W3105" s="169" t="s">
        <v>2713</v>
      </c>
    </row>
    <row r="3106" spans="2:23" x14ac:dyDescent="0.25">
      <c r="B3106" s="169" t="s">
        <v>1167</v>
      </c>
      <c r="C3106" s="169" t="s">
        <v>42</v>
      </c>
      <c r="D3106" s="169" t="s">
        <v>176</v>
      </c>
      <c r="E3106" s="169" t="s">
        <v>36</v>
      </c>
      <c r="F3106" s="245" t="str">
        <f t="shared" si="193"/>
        <v>StpS 77</v>
      </c>
      <c r="G3106" s="169" t="s">
        <v>12067</v>
      </c>
      <c r="I3106" s="169" t="str">
        <f t="shared" si="196"/>
        <v>L12_JV_057E_STOPE</v>
      </c>
      <c r="J3106" s="169" t="s">
        <v>12824</v>
      </c>
      <c r="K3106" s="169">
        <f>IFERROR(MATCH(J3106,'Final List'!$B$4:$B$252,0),0)</f>
        <v>0</v>
      </c>
      <c r="L3106" s="169">
        <f>IFERROR(MATCH(J3106,'Final List'!$D$4:$D$252,0),0)</f>
        <v>0</v>
      </c>
      <c r="M3106" s="169">
        <f>IFERROR(MATCH(J3106,'Final List'!$F$4:$F$251,0),0)</f>
        <v>0</v>
      </c>
      <c r="N3106" s="169">
        <f>IFERROR(MATCH(J3106,'Final List'!$H$4:$H$252,0),0)</f>
        <v>0</v>
      </c>
      <c r="O3106" s="169">
        <f>IFERROR(MATCH(J3106,'Final List'!$J$4:$J$252,0),0)</f>
        <v>0</v>
      </c>
      <c r="P3106" s="169">
        <f>IFERROR(MATCH(J3106,'Final List'!$L$4:$L$252,0),0)</f>
        <v>0</v>
      </c>
      <c r="Q3106" s="169">
        <f>IFERROR(MATCH(J3106,'Final List'!$N$4:$N$252,0),0)</f>
        <v>0</v>
      </c>
      <c r="R3106" s="169">
        <f>IFERROR(MATCH(J3106,'Final List'!$P$4:$P$252,0),0)</f>
        <v>0</v>
      </c>
      <c r="S3106" s="169">
        <f t="shared" si="194"/>
        <v>0</v>
      </c>
      <c r="T3106" s="169" t="s">
        <v>68</v>
      </c>
      <c r="V3106" s="169" t="str">
        <f t="shared" si="195"/>
        <v>NITRO BC 2</v>
      </c>
      <c r="W3106" s="169" t="s">
        <v>2713</v>
      </c>
    </row>
    <row r="3107" spans="2:23" x14ac:dyDescent="0.25">
      <c r="B3107" s="169" t="s">
        <v>1167</v>
      </c>
      <c r="C3107" s="169" t="s">
        <v>43</v>
      </c>
      <c r="D3107" s="169" t="s">
        <v>169</v>
      </c>
      <c r="E3107" s="169" t="s">
        <v>61</v>
      </c>
      <c r="F3107" s="245" t="str">
        <f t="shared" si="193"/>
        <v>Dhoz 71</v>
      </c>
      <c r="G3107" s="169" t="s">
        <v>337</v>
      </c>
      <c r="I3107" s="169" t="str">
        <f t="shared" si="196"/>
        <v>L12_GHVSPLIT_065E_DW</v>
      </c>
      <c r="J3107" s="169" t="s">
        <v>12736</v>
      </c>
      <c r="K3107" s="169">
        <f>IFERROR(MATCH(J3107,'Final List'!$B$4:$B$252,0),0)</f>
        <v>0</v>
      </c>
      <c r="L3107" s="169">
        <f>IFERROR(MATCH(J3107,'Final List'!$D$4:$D$252,0),0)</f>
        <v>0</v>
      </c>
      <c r="M3107" s="169">
        <f>IFERROR(MATCH(J3107,'Final List'!$F$4:$F$251,0),0)</f>
        <v>0</v>
      </c>
      <c r="N3107" s="169">
        <f>IFERROR(MATCH(J3107,'Final List'!$H$4:$H$252,0),0)</f>
        <v>0</v>
      </c>
      <c r="O3107" s="169">
        <f>IFERROR(MATCH(J3107,'Final List'!$J$4:$J$252,0),0)</f>
        <v>0</v>
      </c>
      <c r="P3107" s="169">
        <f>IFERROR(MATCH(J3107,'Final List'!$L$4:$L$252,0),0)</f>
        <v>0</v>
      </c>
      <c r="Q3107" s="169">
        <f>IFERROR(MATCH(J3107,'Final List'!$N$4:$N$252,0),0)</f>
        <v>0</v>
      </c>
      <c r="R3107" s="169">
        <f>IFERROR(MATCH(J3107,'Final List'!$P$4:$P$252,0),0)</f>
        <v>0</v>
      </c>
      <c r="S3107" s="169">
        <f t="shared" si="194"/>
        <v>0</v>
      </c>
      <c r="V3107" s="169" t="str">
        <f t="shared" si="195"/>
        <v>BALANGHIG 2</v>
      </c>
      <c r="W3107" s="169" t="s">
        <v>8896</v>
      </c>
    </row>
    <row r="3108" spans="2:23" x14ac:dyDescent="0.25">
      <c r="B3108" s="169" t="s">
        <v>1167</v>
      </c>
      <c r="C3108" s="169" t="s">
        <v>45</v>
      </c>
      <c r="D3108" s="169" t="s">
        <v>5975</v>
      </c>
      <c r="E3108" s="169" t="s">
        <v>61</v>
      </c>
      <c r="F3108" s="245" t="str">
        <f t="shared" si="193"/>
        <v>Dhoz 71</v>
      </c>
      <c r="G3108" t="s">
        <v>12199</v>
      </c>
      <c r="I3108" s="169" t="str">
        <f t="shared" si="196"/>
        <v>L12_DPVE_028E_DW</v>
      </c>
      <c r="J3108" s="169" t="s">
        <v>12737</v>
      </c>
      <c r="K3108" s="169">
        <f>IFERROR(MATCH(J3108,'Final List'!$B$4:$B$252,0),0)</f>
        <v>0</v>
      </c>
      <c r="L3108" s="169">
        <f>IFERROR(MATCH(J3108,'Final List'!$D$4:$D$252,0),0)</f>
        <v>0</v>
      </c>
      <c r="M3108" s="169">
        <f>IFERROR(MATCH(J3108,'Final List'!$F$4:$F$251,0),0)</f>
        <v>0</v>
      </c>
      <c r="N3108" s="169">
        <f>IFERROR(MATCH(J3108,'Final List'!$H$4:$H$252,0),0)</f>
        <v>0</v>
      </c>
      <c r="O3108" s="169">
        <f>IFERROR(MATCH(J3108,'Final List'!$J$4:$J$252,0),0)</f>
        <v>0</v>
      </c>
      <c r="P3108" s="169">
        <f>IFERROR(MATCH(J3108,'Final List'!$L$4:$L$252,0),0)</f>
        <v>0</v>
      </c>
      <c r="Q3108" s="169">
        <f>IFERROR(MATCH(J3108,'Final List'!$N$4:$N$252,0),0)</f>
        <v>0</v>
      </c>
      <c r="R3108" s="169">
        <f>IFERROR(MATCH(J3108,'Final List'!$P$4:$P$252,0),0)</f>
        <v>0</v>
      </c>
      <c r="S3108" s="169">
        <f t="shared" si="194"/>
        <v>0</v>
      </c>
      <c r="V3108" s="169" t="str">
        <f t="shared" si="195"/>
        <v>NITRO BF 5</v>
      </c>
      <c r="W3108" s="169" t="s">
        <v>8896</v>
      </c>
    </row>
    <row r="3109" spans="2:23" x14ac:dyDescent="0.25">
      <c r="B3109" s="169" t="s">
        <v>1167</v>
      </c>
      <c r="C3109" s="169" t="s">
        <v>87</v>
      </c>
      <c r="D3109" s="169" t="s">
        <v>180</v>
      </c>
      <c r="E3109" s="169" t="s">
        <v>63</v>
      </c>
      <c r="F3109" s="245" t="str">
        <f t="shared" si="193"/>
        <v>Dhoz 71</v>
      </c>
      <c r="G3109" s="169" t="s">
        <v>6930</v>
      </c>
      <c r="I3109" s="169" t="str">
        <f t="shared" si="196"/>
        <v>L12_NONE_041E_XCS</v>
      </c>
      <c r="J3109" s="169" t="s">
        <v>12738</v>
      </c>
      <c r="K3109" s="169">
        <f>IFERROR(MATCH(J3109,'Final List'!$B$4:$B$252,0),0)</f>
        <v>0</v>
      </c>
      <c r="L3109" s="169">
        <f>IFERROR(MATCH(J3109,'Final List'!$D$4:$D$252,0),0)</f>
        <v>0</v>
      </c>
      <c r="M3109" s="169">
        <f>IFERROR(MATCH(J3109,'Final List'!$F$4:$F$251,0),0)</f>
        <v>0</v>
      </c>
      <c r="N3109" s="169">
        <f>IFERROR(MATCH(J3109,'Final List'!$H$4:$H$252,0),0)</f>
        <v>0</v>
      </c>
      <c r="O3109" s="169">
        <f>IFERROR(MATCH(J3109,'Final List'!$J$4:$J$252,0),0)</f>
        <v>0</v>
      </c>
      <c r="P3109" s="169">
        <f>IFERROR(MATCH(J3109,'Final List'!$L$4:$L$252,0),0)</f>
        <v>0</v>
      </c>
      <c r="Q3109" s="169">
        <f>IFERROR(MATCH(J3109,'Final List'!$N$4:$N$252,0),0)</f>
        <v>0</v>
      </c>
      <c r="R3109" s="169">
        <f>IFERROR(MATCH(J3109,'Final List'!$P$4:$P$252,0),0)</f>
        <v>0</v>
      </c>
      <c r="S3109" s="169">
        <f t="shared" si="194"/>
        <v>0</v>
      </c>
      <c r="V3109" s="169" t="str">
        <f t="shared" si="195"/>
        <v>DUHIG, P1</v>
      </c>
      <c r="W3109" s="169" t="s">
        <v>8898</v>
      </c>
    </row>
    <row r="3110" spans="2:23" x14ac:dyDescent="0.25">
      <c r="B3110" s="169" t="s">
        <v>95</v>
      </c>
      <c r="C3110" s="169" t="s">
        <v>38</v>
      </c>
      <c r="D3110" s="169" t="s">
        <v>5689</v>
      </c>
      <c r="E3110" s="169" t="s">
        <v>61</v>
      </c>
      <c r="F3110" s="245" t="str">
        <f t="shared" si="193"/>
        <v>Dhoz 71</v>
      </c>
      <c r="G3110" s="169" t="s">
        <v>6216</v>
      </c>
      <c r="I3110" s="169" t="str">
        <f t="shared" si="196"/>
        <v>L08_GHV_003E_DW</v>
      </c>
      <c r="J3110" s="169" t="s">
        <v>12742</v>
      </c>
      <c r="K3110" s="169">
        <f>IFERROR(MATCH(J3110,'Final List'!$B$4:$B$252,0),0)</f>
        <v>0</v>
      </c>
      <c r="L3110" s="169">
        <f>IFERROR(MATCH(J3110,'Final List'!$D$4:$D$252,0),0)</f>
        <v>0</v>
      </c>
      <c r="M3110" s="169">
        <f>IFERROR(MATCH(J3110,'Final List'!$F$4:$F$251,0),0)</f>
        <v>0</v>
      </c>
      <c r="N3110" s="169">
        <f>IFERROR(MATCH(J3110,'Final List'!$H$4:$H$252,0),0)</f>
        <v>0</v>
      </c>
      <c r="O3110" s="169">
        <f>IFERROR(MATCH(J3110,'Final List'!$J$4:$J$252,0),0)</f>
        <v>0</v>
      </c>
      <c r="P3110" s="169">
        <f>IFERROR(MATCH(J3110,'Final List'!$L$4:$L$252,0),0)</f>
        <v>0</v>
      </c>
      <c r="Q3110" s="169">
        <f>IFERROR(MATCH(J3110,'Final List'!$N$4:$N$252,0),0)</f>
        <v>0</v>
      </c>
      <c r="R3110" s="169">
        <f>IFERROR(MATCH(J3110,'Final List'!$P$4:$P$252,0),0)</f>
        <v>0</v>
      </c>
      <c r="S3110" s="169">
        <f t="shared" si="194"/>
        <v>0</v>
      </c>
      <c r="V3110" s="169" t="str">
        <f t="shared" si="195"/>
        <v>FERNANDEZ</v>
      </c>
      <c r="W3110" s="169" t="s">
        <v>8895</v>
      </c>
    </row>
    <row r="3111" spans="2:23" x14ac:dyDescent="0.25">
      <c r="B3111" s="169" t="s">
        <v>12320</v>
      </c>
      <c r="C3111" s="169" t="s">
        <v>43</v>
      </c>
      <c r="D3111" s="169" t="s">
        <v>168</v>
      </c>
      <c r="E3111" s="169" t="s">
        <v>60</v>
      </c>
      <c r="F3111" s="245" t="str">
        <f t="shared" si="193"/>
        <v>Dhoz 71</v>
      </c>
      <c r="G3111" s="169" t="s">
        <v>12745</v>
      </c>
      <c r="H3111" s="169" t="s">
        <v>389</v>
      </c>
      <c r="I3111" s="169" t="str">
        <f t="shared" si="196"/>
        <v>L425_GHVSPLIT_047E_DE</v>
      </c>
      <c r="J3111" s="169" t="s">
        <v>12744</v>
      </c>
      <c r="K3111" s="169">
        <f>IFERROR(MATCH(J3111,'Final List'!$B$4:$B$252,0),0)</f>
        <v>0</v>
      </c>
      <c r="L3111" s="169">
        <f>IFERROR(MATCH(J3111,'Final List'!$D$4:$D$252,0),0)</f>
        <v>0</v>
      </c>
      <c r="M3111" s="169">
        <f>IFERROR(MATCH(J3111,'Final List'!$F$4:$F$251,0),0)</f>
        <v>0</v>
      </c>
      <c r="N3111" s="169">
        <f>IFERROR(MATCH(J3111,'Final List'!$H$4:$H$252,0),0)</f>
        <v>0</v>
      </c>
      <c r="O3111" s="169">
        <f>IFERROR(MATCH(J3111,'Final List'!$J$4:$J$252,0),0)</f>
        <v>0</v>
      </c>
      <c r="P3111" s="169">
        <f>IFERROR(MATCH(J3111,'Final List'!$L$4:$L$252,0),0)</f>
        <v>0</v>
      </c>
      <c r="Q3111" s="169">
        <f>IFERROR(MATCH(J3111,'Final List'!$N$4:$N$252,0),0)</f>
        <v>0</v>
      </c>
      <c r="R3111" s="169">
        <f>IFERROR(MATCH(J3111,'Final List'!$P$4:$P$252,0),0)</f>
        <v>0</v>
      </c>
      <c r="S3111" s="169">
        <f t="shared" si="194"/>
        <v>0</v>
      </c>
      <c r="V3111" s="169" t="str">
        <f t="shared" si="195"/>
        <v>CAPPUYO 1</v>
      </c>
      <c r="W3111" s="169" t="s">
        <v>8896</v>
      </c>
    </row>
    <row r="3112" spans="2:23" x14ac:dyDescent="0.25">
      <c r="B3112" s="169" t="s">
        <v>1166</v>
      </c>
      <c r="C3112" s="169" t="s">
        <v>87</v>
      </c>
      <c r="D3112" s="169" t="s">
        <v>5604</v>
      </c>
      <c r="E3112" s="169" t="s">
        <v>37</v>
      </c>
      <c r="F3112" s="245" t="str">
        <f t="shared" si="193"/>
        <v>Dhoz 71</v>
      </c>
      <c r="G3112" s="169" t="s">
        <v>5</v>
      </c>
      <c r="I3112" s="169" t="str">
        <f t="shared" si="196"/>
        <v>L11_NONE_063E_XCN</v>
      </c>
      <c r="J3112" s="169" t="s">
        <v>12746</v>
      </c>
      <c r="K3112" s="169">
        <f>IFERROR(MATCH(J3112,'Final List'!$B$4:$B$252,0),0)</f>
        <v>0</v>
      </c>
      <c r="L3112" s="169">
        <f>IFERROR(MATCH(J3112,'Final List'!$D$4:$D$252,0),0)</f>
        <v>0</v>
      </c>
      <c r="M3112" s="169">
        <f>IFERROR(MATCH(J3112,'Final List'!$F$4:$F$251,0),0)</f>
        <v>0</v>
      </c>
      <c r="N3112" s="169">
        <f>IFERROR(MATCH(J3112,'Final List'!$H$4:$H$252,0),0)</f>
        <v>0</v>
      </c>
      <c r="O3112" s="169">
        <f>IFERROR(MATCH(J3112,'Final List'!$J$4:$J$252,0),0)</f>
        <v>0</v>
      </c>
      <c r="P3112" s="169">
        <f>IFERROR(MATCH(J3112,'Final List'!$L$4:$L$252,0),0)</f>
        <v>0</v>
      </c>
      <c r="Q3112" s="169">
        <f>IFERROR(MATCH(J3112,'Final List'!$N$4:$N$252,0),0)</f>
        <v>0</v>
      </c>
      <c r="R3112" s="169">
        <f>IFERROR(MATCH(J3112,'Final List'!$P$4:$P$252,0),0)</f>
        <v>0</v>
      </c>
      <c r="S3112" s="169">
        <f t="shared" si="194"/>
        <v>0</v>
      </c>
      <c r="V3112" s="169" t="str">
        <f t="shared" si="195"/>
        <v>BELICAN</v>
      </c>
      <c r="W3112" s="169" t="s">
        <v>8898</v>
      </c>
    </row>
    <row r="3113" spans="2:23" x14ac:dyDescent="0.25">
      <c r="B3113" s="169" t="s">
        <v>1166</v>
      </c>
      <c r="C3113" s="169" t="s">
        <v>55</v>
      </c>
      <c r="D3113" s="169" t="s">
        <v>112</v>
      </c>
      <c r="E3113" s="169" t="s">
        <v>19</v>
      </c>
      <c r="F3113" s="245" t="str">
        <f t="shared" si="193"/>
        <v>DVR 72</v>
      </c>
      <c r="G3113" s="169" t="s">
        <v>11884</v>
      </c>
      <c r="I3113" s="169" t="str">
        <f t="shared" si="196"/>
        <v>L11_JVFW_018E_RAISE</v>
      </c>
      <c r="J3113" s="169" t="s">
        <v>12749</v>
      </c>
      <c r="K3113" s="169">
        <f>IFERROR(MATCH(J3113,'Final List'!$B$4:$B$252,0),0)</f>
        <v>0</v>
      </c>
      <c r="L3113" s="169">
        <f>IFERROR(MATCH(J3113,'Final List'!$D$4:$D$252,0),0)</f>
        <v>0</v>
      </c>
      <c r="M3113" s="169">
        <f>IFERROR(MATCH(J3113,'Final List'!$F$4:$F$251,0),0)</f>
        <v>0</v>
      </c>
      <c r="N3113" s="169">
        <f>IFERROR(MATCH(J3113,'Final List'!$H$4:$H$252,0),0)</f>
        <v>0</v>
      </c>
      <c r="O3113" s="169">
        <f>IFERROR(MATCH(J3113,'Final List'!$J$4:$J$252,0),0)</f>
        <v>0</v>
      </c>
      <c r="P3113" s="169">
        <f>IFERROR(MATCH(J3113,'Final List'!$L$4:$L$252,0),0)</f>
        <v>0</v>
      </c>
      <c r="Q3113" s="169">
        <f>IFERROR(MATCH(J3113,'Final List'!$N$4:$N$252,0),0)</f>
        <v>0</v>
      </c>
      <c r="R3113" s="169">
        <f>IFERROR(MATCH(J3113,'Final List'!$P$4:$P$252,0),0)</f>
        <v>0</v>
      </c>
      <c r="S3113" s="169">
        <f t="shared" si="194"/>
        <v>0</v>
      </c>
      <c r="V3113" s="169" t="str">
        <f t="shared" si="195"/>
        <v>DUHIG, R</v>
      </c>
      <c r="W3113" s="169" t="s">
        <v>2715</v>
      </c>
    </row>
    <row r="3114" spans="2:23" x14ac:dyDescent="0.25">
      <c r="B3114" s="169" t="s">
        <v>1167</v>
      </c>
      <c r="C3114" s="169" t="s">
        <v>87</v>
      </c>
      <c r="D3114" s="169" t="s">
        <v>178</v>
      </c>
      <c r="E3114" s="169" t="s">
        <v>63</v>
      </c>
      <c r="F3114" s="245" t="str">
        <f t="shared" si="193"/>
        <v>Dhoz 71</v>
      </c>
      <c r="G3114" s="169" t="s">
        <v>14725</v>
      </c>
      <c r="I3114" s="169" t="str">
        <f t="shared" si="196"/>
        <v>L12_NONE_048E_XCS</v>
      </c>
      <c r="J3114" s="169" t="s">
        <v>12750</v>
      </c>
      <c r="K3114" s="169">
        <f>IFERROR(MATCH(J3114,'Final List'!$B$4:$B$252,0),0)</f>
        <v>0</v>
      </c>
      <c r="L3114" s="169">
        <f>IFERROR(MATCH(J3114,'Final List'!$D$4:$D$252,0),0)</f>
        <v>0</v>
      </c>
      <c r="M3114" s="169">
        <f>IFERROR(MATCH(J3114,'Final List'!$F$4:$F$251,0),0)</f>
        <v>0</v>
      </c>
      <c r="N3114" s="169">
        <f>IFERROR(MATCH(J3114,'Final List'!$H$4:$H$252,0),0)</f>
        <v>0</v>
      </c>
      <c r="O3114" s="169">
        <f>IFERROR(MATCH(J3114,'Final List'!$J$4:$J$252,0),0)</f>
        <v>0</v>
      </c>
      <c r="P3114" s="169">
        <f>IFERROR(MATCH(J3114,'Final List'!$L$4:$L$252,0),0)</f>
        <v>0</v>
      </c>
      <c r="Q3114" s="169">
        <f>IFERROR(MATCH(J3114,'Final List'!$N$4:$N$252,0),0)</f>
        <v>0</v>
      </c>
      <c r="R3114" s="169">
        <f>IFERROR(MATCH(J3114,'Final List'!$P$4:$P$252,0),0)</f>
        <v>0</v>
      </c>
      <c r="S3114" s="169">
        <f t="shared" si="194"/>
        <v>0</v>
      </c>
      <c r="V3114" s="169" t="str">
        <f t="shared" si="195"/>
        <v>DURANGO, R</v>
      </c>
      <c r="W3114" s="169" t="s">
        <v>2714</v>
      </c>
    </row>
    <row r="3115" spans="2:23" x14ac:dyDescent="0.25">
      <c r="B3115" s="169" t="s">
        <v>96</v>
      </c>
      <c r="C3115" s="169" t="s">
        <v>87</v>
      </c>
      <c r="D3115" s="169" t="s">
        <v>103</v>
      </c>
      <c r="E3115" s="169" t="s">
        <v>63</v>
      </c>
      <c r="F3115" s="245" t="str">
        <f t="shared" si="193"/>
        <v>Dhoz 71</v>
      </c>
      <c r="G3115" s="169" t="s">
        <v>2972</v>
      </c>
      <c r="I3115" s="169" t="str">
        <f t="shared" si="196"/>
        <v>L09_NONE_005E_XCS</v>
      </c>
      <c r="J3115" s="169" t="s">
        <v>12852</v>
      </c>
      <c r="K3115" s="169">
        <f>IFERROR(MATCH(J3115,'Final List'!$B$4:$B$252,0),0)</f>
        <v>0</v>
      </c>
      <c r="L3115" s="169">
        <f>IFERROR(MATCH(J3115,'Final List'!$D$4:$D$252,0),0)</f>
        <v>0</v>
      </c>
      <c r="M3115" s="169">
        <f>IFERROR(MATCH(J3115,'Final List'!$F$4:$F$251,0),0)</f>
        <v>0</v>
      </c>
      <c r="N3115" s="169">
        <f>IFERROR(MATCH(J3115,'Final List'!$H$4:$H$252,0),0)</f>
        <v>0</v>
      </c>
      <c r="O3115" s="169">
        <f>IFERROR(MATCH(J3115,'Final List'!$J$4:$J$252,0),0)</f>
        <v>0</v>
      </c>
      <c r="P3115" s="169">
        <f>IFERROR(MATCH(J3115,'Final List'!$L$4:$L$252,0),0)</f>
        <v>0</v>
      </c>
      <c r="Q3115" s="169">
        <f>IFERROR(MATCH(J3115,'Final List'!$N$4:$N$252,0),0)</f>
        <v>0</v>
      </c>
      <c r="R3115" s="169">
        <f>IFERROR(MATCH(J3115,'Final List'!$P$4:$P$252,0),0)</f>
        <v>0</v>
      </c>
      <c r="S3115" s="169">
        <f t="shared" si="194"/>
        <v>0</v>
      </c>
      <c r="V3115" s="169" t="str">
        <f t="shared" si="195"/>
        <v>FABROA 1</v>
      </c>
      <c r="W3115" s="169" t="s">
        <v>8898</v>
      </c>
    </row>
    <row r="3116" spans="2:23" x14ac:dyDescent="0.25">
      <c r="B3116" s="169" t="s">
        <v>1166</v>
      </c>
      <c r="C3116" s="169" t="s">
        <v>45</v>
      </c>
      <c r="D3116" s="169" t="s">
        <v>5872</v>
      </c>
      <c r="E3116" s="169" t="s">
        <v>61</v>
      </c>
      <c r="F3116" s="245" t="str">
        <f t="shared" si="193"/>
        <v>Dhoz 71</v>
      </c>
      <c r="G3116" s="169" t="s">
        <v>4155</v>
      </c>
      <c r="H3116" s="169" t="s">
        <v>12513</v>
      </c>
      <c r="I3116" s="169" t="str">
        <f t="shared" si="196"/>
        <v>L11_DPVE_076E_DW</v>
      </c>
      <c r="J3116" s="169" t="s">
        <v>12756</v>
      </c>
      <c r="K3116" s="169">
        <f>IFERROR(MATCH(J3116,'Final List'!$B$4:$B$252,0),0)</f>
        <v>0</v>
      </c>
      <c r="L3116" s="169">
        <f>IFERROR(MATCH(J3116,'Final List'!$D$4:$D$252,0),0)</f>
        <v>0</v>
      </c>
      <c r="M3116" s="169">
        <f>IFERROR(MATCH(J3116,'Final List'!$F$4:$F$251,0),0)</f>
        <v>0</v>
      </c>
      <c r="N3116" s="169">
        <f>IFERROR(MATCH(J3116,'Final List'!$H$4:$H$252,0),0)</f>
        <v>0</v>
      </c>
      <c r="O3116" s="169">
        <f>IFERROR(MATCH(J3116,'Final List'!$J$4:$J$252,0),0)</f>
        <v>0</v>
      </c>
      <c r="P3116" s="169">
        <f>IFERROR(MATCH(J3116,'Final List'!$L$4:$L$252,0),0)</f>
        <v>0</v>
      </c>
      <c r="Q3116" s="169">
        <f>IFERROR(MATCH(J3116,'Final List'!$N$4:$N$252,0),0)</f>
        <v>0</v>
      </c>
      <c r="R3116" s="169">
        <f>IFERROR(MATCH(J3116,'Final List'!$P$4:$P$252,0),0)</f>
        <v>0</v>
      </c>
      <c r="S3116" s="169">
        <f t="shared" si="194"/>
        <v>0</v>
      </c>
      <c r="V3116" s="169" t="str">
        <f t="shared" si="195"/>
        <v>NITRO BK 1</v>
      </c>
      <c r="W3116" s="169" t="s">
        <v>8896</v>
      </c>
    </row>
    <row r="3117" spans="2:23" x14ac:dyDescent="0.25">
      <c r="B3117" s="169" t="s">
        <v>12320</v>
      </c>
      <c r="C3117" s="169" t="s">
        <v>43</v>
      </c>
      <c r="D3117" s="169" t="s">
        <v>197</v>
      </c>
      <c r="E3117" s="169" t="s">
        <v>60</v>
      </c>
      <c r="F3117" s="245" t="str">
        <f t="shared" si="193"/>
        <v>Dhoz 71</v>
      </c>
      <c r="G3117" s="169" t="s">
        <v>747</v>
      </c>
      <c r="I3117" s="169" t="str">
        <f t="shared" si="196"/>
        <v>L425_GHVSPLIT_070E_DE</v>
      </c>
      <c r="J3117" s="169" t="s">
        <v>13619</v>
      </c>
      <c r="K3117" s="169">
        <f>IFERROR(MATCH(J3117,'Final List'!$B$4:$B$252,0),0)</f>
        <v>0</v>
      </c>
      <c r="L3117" s="169">
        <f>IFERROR(MATCH(J3117,'Final List'!$D$4:$D$252,0),0)</f>
        <v>0</v>
      </c>
      <c r="M3117" s="169">
        <f>IFERROR(MATCH(J3117,'Final List'!$F$4:$F$251,0),0)</f>
        <v>0</v>
      </c>
      <c r="N3117" s="169">
        <f>IFERROR(MATCH(J3117,'Final List'!$H$4:$H$252,0),0)</f>
        <v>0</v>
      </c>
      <c r="O3117" s="169">
        <f>IFERROR(MATCH(J3117,'Final List'!$J$4:$J$252,0),0)</f>
        <v>0</v>
      </c>
      <c r="P3117" s="169">
        <f>IFERROR(MATCH(J3117,'Final List'!$L$4:$L$252,0),0)</f>
        <v>0</v>
      </c>
      <c r="Q3117" s="169">
        <f>IFERROR(MATCH(J3117,'Final List'!$N$4:$N$252,0),0)</f>
        <v>0</v>
      </c>
      <c r="R3117" s="169">
        <f>IFERROR(MATCH(J3117,'Final List'!$P$4:$P$252,0),0)</f>
        <v>0</v>
      </c>
      <c r="S3117" s="169">
        <f t="shared" si="194"/>
        <v>0</v>
      </c>
      <c r="V3117" s="169" t="str">
        <f t="shared" si="195"/>
        <v>REBOTE</v>
      </c>
      <c r="W3117" s="169" t="s">
        <v>8896</v>
      </c>
    </row>
    <row r="3118" spans="2:23" x14ac:dyDescent="0.25">
      <c r="B3118" s="169" t="s">
        <v>1166</v>
      </c>
      <c r="C3118" s="169" t="s">
        <v>59</v>
      </c>
      <c r="D3118" s="169" t="s">
        <v>205</v>
      </c>
      <c r="E3118" s="169" t="s">
        <v>62</v>
      </c>
      <c r="F3118" s="245" t="str">
        <f t="shared" si="193"/>
        <v>RobS 79</v>
      </c>
      <c r="G3118" s="169" t="s">
        <v>488</v>
      </c>
      <c r="I3118" s="169" t="str">
        <f t="shared" si="196"/>
        <v>L11_GHVHW_066E_ROBBING</v>
      </c>
      <c r="J3118" s="169" t="s">
        <v>12761</v>
      </c>
      <c r="K3118" s="169">
        <f>IFERROR(MATCH(J3118,'Final List'!$B$4:$B$252,0),0)</f>
        <v>0</v>
      </c>
      <c r="L3118" s="169">
        <f>IFERROR(MATCH(J3118,'Final List'!$D$4:$D$252,0),0)</f>
        <v>0</v>
      </c>
      <c r="M3118" s="169">
        <f>IFERROR(MATCH(J3118,'Final List'!$F$4:$F$251,0),0)</f>
        <v>0</v>
      </c>
      <c r="N3118" s="169">
        <f>IFERROR(MATCH(J3118,'Final List'!$H$4:$H$252,0),0)</f>
        <v>0</v>
      </c>
      <c r="O3118" s="169">
        <f>IFERROR(MATCH(J3118,'Final List'!$J$4:$J$252,0),0)</f>
        <v>0</v>
      </c>
      <c r="P3118" s="169">
        <f>IFERROR(MATCH(J3118,'Final List'!$L$4:$L$252,0),0)</f>
        <v>0</v>
      </c>
      <c r="Q3118" s="169">
        <f>IFERROR(MATCH(J3118,'Final List'!$N$4:$N$252,0),0)</f>
        <v>0</v>
      </c>
      <c r="R3118" s="169">
        <f>IFERROR(MATCH(J3118,'Final List'!$P$4:$P$252,0),0)</f>
        <v>0</v>
      </c>
      <c r="S3118" s="169">
        <f t="shared" si="194"/>
        <v>0</v>
      </c>
      <c r="T3118" s="169" t="s">
        <v>68</v>
      </c>
      <c r="V3118" s="169" t="str">
        <f t="shared" si="195"/>
        <v>BAÑEZ 9</v>
      </c>
      <c r="W3118" s="169" t="s">
        <v>2707</v>
      </c>
    </row>
    <row r="3119" spans="2:23" x14ac:dyDescent="0.25">
      <c r="B3119" s="169" t="s">
        <v>95</v>
      </c>
      <c r="C3119" s="169" t="s">
        <v>45</v>
      </c>
      <c r="D3119" s="169" t="s">
        <v>160</v>
      </c>
      <c r="E3119" s="169" t="s">
        <v>6154</v>
      </c>
      <c r="F3119" s="245" t="str">
        <f t="shared" si="193"/>
        <v>Dhoz 71</v>
      </c>
      <c r="G3119" s="169" t="s">
        <v>583</v>
      </c>
      <c r="I3119" s="169" t="str">
        <f t="shared" si="196"/>
        <v>L08_DPVE_042E_DW_ISL</v>
      </c>
      <c r="J3119" s="169" t="s">
        <v>12764</v>
      </c>
      <c r="K3119" s="169">
        <f>IFERROR(MATCH(J3119,'Final List'!$B$4:$B$252,0),0)</f>
        <v>0</v>
      </c>
      <c r="L3119" s="169">
        <f>IFERROR(MATCH(J3119,'Final List'!$D$4:$D$252,0),0)</f>
        <v>0</v>
      </c>
      <c r="M3119" s="169">
        <f>IFERROR(MATCH(J3119,'Final List'!$F$4:$F$251,0),0)</f>
        <v>0</v>
      </c>
      <c r="N3119" s="169">
        <f>IFERROR(MATCH(J3119,'Final List'!$H$4:$H$252,0),0)</f>
        <v>0</v>
      </c>
      <c r="O3119" s="169">
        <f>IFERROR(MATCH(J3119,'Final List'!$J$4:$J$252,0),0)</f>
        <v>0</v>
      </c>
      <c r="P3119" s="169">
        <f>IFERROR(MATCH(J3119,'Final List'!$L$4:$L$252,0),0)</f>
        <v>0</v>
      </c>
      <c r="Q3119" s="169">
        <f>IFERROR(MATCH(J3119,'Final List'!$N$4:$N$252,0),0)</f>
        <v>0</v>
      </c>
      <c r="R3119" s="169">
        <f>IFERROR(MATCH(J3119,'Final List'!$P$4:$P$252,0),0)</f>
        <v>0</v>
      </c>
      <c r="S3119" s="169">
        <f t="shared" si="194"/>
        <v>0</v>
      </c>
      <c r="V3119" s="169" t="str">
        <f t="shared" si="195"/>
        <v>VILLARANTE 1</v>
      </c>
      <c r="W3119" s="169" t="s">
        <v>2708</v>
      </c>
    </row>
    <row r="3120" spans="2:23" x14ac:dyDescent="0.25">
      <c r="B3120" s="169" t="s">
        <v>96</v>
      </c>
      <c r="C3120" s="169" t="s">
        <v>38</v>
      </c>
      <c r="D3120" s="169" t="s">
        <v>6036</v>
      </c>
      <c r="E3120" s="169" t="s">
        <v>6143</v>
      </c>
      <c r="F3120" s="245" t="str">
        <f t="shared" si="193"/>
        <v>Dhoz 71</v>
      </c>
      <c r="G3120" s="169" t="s">
        <v>1457</v>
      </c>
      <c r="I3120" s="169" t="str">
        <f t="shared" si="196"/>
        <v>L09_GHV_017E_DE_ISL</v>
      </c>
      <c r="J3120" s="169" t="s">
        <v>12768</v>
      </c>
      <c r="K3120" s="169">
        <f>IFERROR(MATCH(J3120,'Final List'!$B$4:$B$252,0),0)</f>
        <v>0</v>
      </c>
      <c r="L3120" s="169">
        <f>IFERROR(MATCH(J3120,'Final List'!$D$4:$D$252,0),0)</f>
        <v>0</v>
      </c>
      <c r="M3120" s="169">
        <f>IFERROR(MATCH(J3120,'Final List'!$F$4:$F$251,0),0)</f>
        <v>0</v>
      </c>
      <c r="N3120" s="169">
        <f>IFERROR(MATCH(J3120,'Final List'!$H$4:$H$252,0),0)</f>
        <v>0</v>
      </c>
      <c r="O3120" s="169">
        <f>IFERROR(MATCH(J3120,'Final List'!$J$4:$J$252,0),0)</f>
        <v>0</v>
      </c>
      <c r="P3120" s="169">
        <f>IFERROR(MATCH(J3120,'Final List'!$L$4:$L$252,0),0)</f>
        <v>0</v>
      </c>
      <c r="Q3120" s="169">
        <f>IFERROR(MATCH(J3120,'Final List'!$N$4:$N$252,0),0)</f>
        <v>0</v>
      </c>
      <c r="R3120" s="169">
        <f>IFERROR(MATCH(J3120,'Final List'!$P$4:$P$252,0),0)</f>
        <v>0</v>
      </c>
      <c r="S3120" s="169">
        <f t="shared" si="194"/>
        <v>0</v>
      </c>
      <c r="V3120" s="169" t="str">
        <f t="shared" si="195"/>
        <v>UDLOS</v>
      </c>
      <c r="W3120" s="169" t="s">
        <v>2708</v>
      </c>
    </row>
    <row r="3121" spans="2:23" x14ac:dyDescent="0.25">
      <c r="B3121" s="169" t="s">
        <v>95</v>
      </c>
      <c r="C3121" s="169" t="s">
        <v>45</v>
      </c>
      <c r="D3121" s="169" t="s">
        <v>116</v>
      </c>
      <c r="E3121" s="169" t="s">
        <v>61</v>
      </c>
      <c r="F3121" s="245" t="str">
        <f t="shared" si="193"/>
        <v>Dhoz 71</v>
      </c>
      <c r="G3121" s="169" t="s">
        <v>526</v>
      </c>
      <c r="I3121" s="169" t="str">
        <f t="shared" si="196"/>
        <v>L08_DPVE_021W_DW</v>
      </c>
      <c r="J3121" s="169" t="s">
        <v>12769</v>
      </c>
      <c r="K3121" s="169">
        <f>IFERROR(MATCH(J3121,'Final List'!$B$4:$B$252,0),0)</f>
        <v>0</v>
      </c>
      <c r="L3121" s="169">
        <f>IFERROR(MATCH(J3121,'Final List'!$D$4:$D$252,0),0)</f>
        <v>0</v>
      </c>
      <c r="M3121" s="169">
        <f>IFERROR(MATCH(J3121,'Final List'!$F$4:$F$251,0),0)</f>
        <v>0</v>
      </c>
      <c r="N3121" s="169">
        <f>IFERROR(MATCH(J3121,'Final List'!$H$4:$H$252,0),0)</f>
        <v>0</v>
      </c>
      <c r="O3121" s="169">
        <f>IFERROR(MATCH(J3121,'Final List'!$J$4:$J$252,0),0)</f>
        <v>0</v>
      </c>
      <c r="P3121" s="169">
        <f>IFERROR(MATCH(J3121,'Final List'!$L$4:$L$252,0),0)</f>
        <v>0</v>
      </c>
      <c r="Q3121" s="169">
        <f>IFERROR(MATCH(J3121,'Final List'!$N$4:$N$252,0),0)</f>
        <v>0</v>
      </c>
      <c r="R3121" s="169">
        <f>IFERROR(MATCH(J3121,'Final List'!$P$4:$P$252,0),0)</f>
        <v>0</v>
      </c>
      <c r="S3121" s="169">
        <f t="shared" si="194"/>
        <v>0</v>
      </c>
      <c r="V3121" s="169" t="str">
        <f t="shared" si="195"/>
        <v>CARIKITAN 2</v>
      </c>
      <c r="W3121" s="169" t="s">
        <v>8895</v>
      </c>
    </row>
    <row r="3122" spans="2:23" x14ac:dyDescent="0.25">
      <c r="B3122" s="169" t="s">
        <v>1167</v>
      </c>
      <c r="C3122" s="169" t="s">
        <v>87</v>
      </c>
      <c r="D3122" s="169" t="s">
        <v>167</v>
      </c>
      <c r="E3122" s="169" t="s">
        <v>63</v>
      </c>
      <c r="F3122" s="245" t="str">
        <f t="shared" si="193"/>
        <v>Dhoz 71</v>
      </c>
      <c r="G3122" s="169" t="s">
        <v>12546</v>
      </c>
      <c r="H3122" t="s">
        <v>9885</v>
      </c>
      <c r="I3122" s="169" t="str">
        <f t="shared" si="196"/>
        <v>L12_NONE_058E_XCS</v>
      </c>
      <c r="J3122" s="169" t="s">
        <v>12771</v>
      </c>
      <c r="K3122" s="169">
        <f>IFERROR(MATCH(J3122,'Final List'!$B$4:$B$252,0),0)</f>
        <v>0</v>
      </c>
      <c r="L3122" s="169">
        <f>IFERROR(MATCH(J3122,'Final List'!$D$4:$D$252,0),0)</f>
        <v>0</v>
      </c>
      <c r="M3122" s="169">
        <f>IFERROR(MATCH(J3122,'Final List'!$F$4:$F$251,0),0)</f>
        <v>0</v>
      </c>
      <c r="N3122" s="169">
        <f>IFERROR(MATCH(J3122,'Final List'!$H$4:$H$252,0),0)</f>
        <v>0</v>
      </c>
      <c r="O3122" s="169">
        <f>IFERROR(MATCH(J3122,'Final List'!$J$4:$J$252,0),0)</f>
        <v>0</v>
      </c>
      <c r="P3122" s="169">
        <f>IFERROR(MATCH(J3122,'Final List'!$L$4:$L$252,0),0)</f>
        <v>0</v>
      </c>
      <c r="Q3122" s="169">
        <f>IFERROR(MATCH(J3122,'Final List'!$N$4:$N$252,0),0)</f>
        <v>0</v>
      </c>
      <c r="R3122" s="169">
        <f>IFERROR(MATCH(J3122,'Final List'!$P$4:$P$252,0),0)</f>
        <v>0</v>
      </c>
      <c r="S3122" s="169">
        <f t="shared" si="194"/>
        <v>0</v>
      </c>
      <c r="V3122" s="169" t="str">
        <f t="shared" si="195"/>
        <v>CAYMAN 2</v>
      </c>
      <c r="W3122" s="169" t="s">
        <v>8898</v>
      </c>
    </row>
    <row r="3123" spans="2:23" x14ac:dyDescent="0.25">
      <c r="B3123" s="169" t="s">
        <v>1166</v>
      </c>
      <c r="C3123" s="169" t="s">
        <v>87</v>
      </c>
      <c r="D3123" s="169" t="s">
        <v>173</v>
      </c>
      <c r="E3123" s="169" t="s">
        <v>12171</v>
      </c>
      <c r="F3123" s="245" t="s">
        <v>14362</v>
      </c>
      <c r="G3123" s="169" t="s">
        <v>12070</v>
      </c>
      <c r="H3123" s="169" t="s">
        <v>356</v>
      </c>
      <c r="I3123" s="169" t="str">
        <f t="shared" si="196"/>
        <v>L11_NONE_049E_WIDENING</v>
      </c>
      <c r="J3123" s="169" t="s">
        <v>12772</v>
      </c>
      <c r="K3123" s="169">
        <f>IFERROR(MATCH(J3123,'Final List'!$B$4:$B$252,0),0)</f>
        <v>0</v>
      </c>
      <c r="L3123" s="169">
        <f>IFERROR(MATCH(J3123,'Final List'!$D$4:$D$252,0),0)</f>
        <v>0</v>
      </c>
      <c r="M3123" s="169">
        <f>IFERROR(MATCH(J3123,'Final List'!$F$4:$F$251,0),0)</f>
        <v>0</v>
      </c>
      <c r="N3123" s="169">
        <f>IFERROR(MATCH(J3123,'Final List'!$H$4:$H$252,0),0)</f>
        <v>0</v>
      </c>
      <c r="O3123" s="169">
        <f>IFERROR(MATCH(J3123,'Final List'!$J$4:$J$252,0),0)</f>
        <v>0</v>
      </c>
      <c r="P3123" s="169">
        <f>IFERROR(MATCH(J3123,'Final List'!$L$4:$L$252,0),0)</f>
        <v>0</v>
      </c>
      <c r="Q3123" s="169">
        <f>IFERROR(MATCH(J3123,'Final List'!$N$4:$N$252,0),0)</f>
        <v>0</v>
      </c>
      <c r="R3123" s="169">
        <f>IFERROR(MATCH(J3123,'Final List'!$P$4:$P$252,0),0)</f>
        <v>0</v>
      </c>
      <c r="S3123" s="169">
        <f t="shared" si="194"/>
        <v>0</v>
      </c>
      <c r="V3123" s="169" t="str">
        <f t="shared" si="195"/>
        <v>BAÑEZ 1</v>
      </c>
      <c r="W3123" s="169" t="s">
        <v>2714</v>
      </c>
    </row>
    <row r="3124" spans="2:23" x14ac:dyDescent="0.25">
      <c r="B3124" s="169" t="s">
        <v>258</v>
      </c>
      <c r="C3124" s="169" t="s">
        <v>87</v>
      </c>
      <c r="D3124" s="169" t="s">
        <v>6114</v>
      </c>
      <c r="E3124" s="169" t="s">
        <v>37</v>
      </c>
      <c r="F3124" s="245" t="str">
        <f t="shared" si="193"/>
        <v>Dhoz 71</v>
      </c>
      <c r="G3124" s="169" t="s">
        <v>5697</v>
      </c>
      <c r="H3124" s="169" t="s">
        <v>12065</v>
      </c>
      <c r="I3124" s="169" t="str">
        <f t="shared" si="196"/>
        <v>L10_NONE_078E_XCN</v>
      </c>
      <c r="J3124" s="169" t="s">
        <v>4707</v>
      </c>
      <c r="K3124" s="169">
        <f>IFERROR(MATCH(J3124,'Final List'!$B$4:$B$252,0),0)</f>
        <v>0</v>
      </c>
      <c r="L3124" s="169">
        <f>IFERROR(MATCH(J3124,'Final List'!$D$4:$D$252,0),0)</f>
        <v>0</v>
      </c>
      <c r="M3124" s="169">
        <f>IFERROR(MATCH(J3124,'Final List'!$F$4:$F$251,0),0)</f>
        <v>0</v>
      </c>
      <c r="N3124" s="169">
        <f>IFERROR(MATCH(J3124,'Final List'!$H$4:$H$252,0),0)</f>
        <v>0</v>
      </c>
      <c r="O3124" s="169">
        <f>IFERROR(MATCH(J3124,'Final List'!$J$4:$J$252,0),0)</f>
        <v>0</v>
      </c>
      <c r="P3124" s="169">
        <f>IFERROR(MATCH(J3124,'Final List'!$L$4:$L$252,0),0)</f>
        <v>0</v>
      </c>
      <c r="Q3124" s="169">
        <f>IFERROR(MATCH(J3124,'Final List'!$N$4:$N$252,0),0)</f>
        <v>0</v>
      </c>
      <c r="R3124" s="169">
        <f>IFERROR(MATCH(J3124,'Final List'!$P$4:$P$252,0),0)</f>
        <v>0</v>
      </c>
      <c r="S3124" s="169">
        <f t="shared" si="194"/>
        <v>0</v>
      </c>
      <c r="V3124" s="169" t="str">
        <f t="shared" si="195"/>
        <v>NITRO BD 1</v>
      </c>
      <c r="W3124" s="169" t="s">
        <v>8898</v>
      </c>
    </row>
    <row r="3125" spans="2:23" x14ac:dyDescent="0.25">
      <c r="B3125" s="169" t="s">
        <v>1167</v>
      </c>
      <c r="C3125" s="169" t="s">
        <v>45</v>
      </c>
      <c r="D3125" s="169" t="s">
        <v>5614</v>
      </c>
      <c r="E3125" s="169" t="s">
        <v>60</v>
      </c>
      <c r="F3125" s="245" t="str">
        <f t="shared" si="193"/>
        <v>Dhoz 71</v>
      </c>
      <c r="G3125" s="169" t="s">
        <v>12786</v>
      </c>
      <c r="I3125" s="169" t="str">
        <f t="shared" si="196"/>
        <v>L12_DPVE_055E_DE</v>
      </c>
      <c r="J3125" s="169" t="s">
        <v>12785</v>
      </c>
      <c r="K3125" s="169">
        <f>IFERROR(MATCH(J3125,'Final List'!$B$4:$B$252,0),0)</f>
        <v>0</v>
      </c>
      <c r="L3125" s="169">
        <f>IFERROR(MATCH(J3125,'Final List'!$D$4:$D$252,0),0)</f>
        <v>0</v>
      </c>
      <c r="M3125" s="169">
        <f>IFERROR(MATCH(J3125,'Final List'!$F$4:$F$251,0),0)</f>
        <v>0</v>
      </c>
      <c r="N3125" s="169">
        <f>IFERROR(MATCH(J3125,'Final List'!$H$4:$H$252,0),0)</f>
        <v>0</v>
      </c>
      <c r="O3125" s="169">
        <f>IFERROR(MATCH(J3125,'Final List'!$J$4:$J$252,0),0)</f>
        <v>0</v>
      </c>
      <c r="P3125" s="169">
        <f>IFERROR(MATCH(J3125,'Final List'!$L$4:$L$252,0),0)</f>
        <v>0</v>
      </c>
      <c r="Q3125" s="169">
        <f>IFERROR(MATCH(J3125,'Final List'!$N$4:$N$252,0),0)</f>
        <v>0</v>
      </c>
      <c r="R3125" s="169">
        <f>IFERROR(MATCH(J3125,'Final List'!$P$4:$P$252,0),0)</f>
        <v>0</v>
      </c>
      <c r="S3125" s="169">
        <f t="shared" si="194"/>
        <v>0</v>
      </c>
      <c r="V3125" s="169" t="str">
        <f t="shared" si="195"/>
        <v>NITRO BC 3</v>
      </c>
      <c r="W3125" s="169" t="s">
        <v>8896</v>
      </c>
    </row>
    <row r="3126" spans="2:23" x14ac:dyDescent="0.25">
      <c r="B3126" s="169" t="s">
        <v>1167</v>
      </c>
      <c r="C3126" s="169" t="s">
        <v>43</v>
      </c>
      <c r="D3126" s="169" t="s">
        <v>122</v>
      </c>
      <c r="E3126" s="169" t="s">
        <v>60</v>
      </c>
      <c r="F3126" s="245" t="str">
        <f t="shared" si="193"/>
        <v>Dhoz 71</v>
      </c>
      <c r="G3126" s="169" t="s">
        <v>9885</v>
      </c>
      <c r="I3126" s="169" t="str">
        <f t="shared" si="196"/>
        <v>L12_GHVSPLIT_025E_DE</v>
      </c>
      <c r="J3126" s="169" t="s">
        <v>12788</v>
      </c>
      <c r="K3126" s="169">
        <f>IFERROR(MATCH(J3126,'Final List'!$B$4:$B$252,0),0)</f>
        <v>0</v>
      </c>
      <c r="L3126" s="169">
        <f>IFERROR(MATCH(J3126,'Final List'!$D$4:$D$252,0),0)</f>
        <v>0</v>
      </c>
      <c r="M3126" s="169">
        <f>IFERROR(MATCH(J3126,'Final List'!$F$4:$F$251,0),0)</f>
        <v>0</v>
      </c>
      <c r="N3126" s="169">
        <f>IFERROR(MATCH(J3126,'Final List'!$H$4:$H$252,0),0)</f>
        <v>0</v>
      </c>
      <c r="O3126" s="169">
        <f>IFERROR(MATCH(J3126,'Final List'!$J$4:$J$252,0),0)</f>
        <v>0</v>
      </c>
      <c r="P3126" s="169">
        <f>IFERROR(MATCH(J3126,'Final List'!$L$4:$L$252,0),0)</f>
        <v>0</v>
      </c>
      <c r="Q3126" s="169">
        <f>IFERROR(MATCH(J3126,'Final List'!$N$4:$N$252,0),0)</f>
        <v>0</v>
      </c>
      <c r="R3126" s="169">
        <f>IFERROR(MATCH(J3126,'Final List'!$P$4:$P$252,0),0)</f>
        <v>0</v>
      </c>
      <c r="S3126" s="169">
        <f t="shared" si="194"/>
        <v>0</v>
      </c>
      <c r="V3126" s="169" t="str">
        <f t="shared" si="195"/>
        <v>CAYMAN 2</v>
      </c>
      <c r="W3126" s="169" t="s">
        <v>8896</v>
      </c>
    </row>
    <row r="3127" spans="2:23" x14ac:dyDescent="0.25">
      <c r="B3127" s="169" t="s">
        <v>8904</v>
      </c>
      <c r="C3127" s="169" t="s">
        <v>41</v>
      </c>
      <c r="D3127" s="169" t="s">
        <v>7451</v>
      </c>
      <c r="E3127" s="169" t="s">
        <v>19</v>
      </c>
      <c r="F3127" s="245" t="str">
        <f t="shared" si="193"/>
        <v>DVR 72</v>
      </c>
      <c r="G3127" s="169" t="s">
        <v>12790</v>
      </c>
      <c r="I3127" s="169" t="str">
        <f t="shared" si="196"/>
        <v>L03_CTV_040W_RAISE</v>
      </c>
      <c r="J3127" s="169" t="s">
        <v>12791</v>
      </c>
      <c r="K3127" s="169">
        <f>IFERROR(MATCH(J3127,'Final List'!$B$4:$B$252,0),0)</f>
        <v>0</v>
      </c>
      <c r="L3127" s="169">
        <f>IFERROR(MATCH(J3127,'Final List'!$D$4:$D$252,0),0)</f>
        <v>0</v>
      </c>
      <c r="M3127" s="169">
        <f>IFERROR(MATCH(J3127,'Final List'!$F$4:$F$251,0),0)</f>
        <v>0</v>
      </c>
      <c r="N3127" s="169">
        <f>IFERROR(MATCH(J3127,'Final List'!$H$4:$H$252,0),0)</f>
        <v>0</v>
      </c>
      <c r="O3127" s="169">
        <f>IFERROR(MATCH(J3127,'Final List'!$J$4:$J$252,0),0)</f>
        <v>0</v>
      </c>
      <c r="P3127" s="169">
        <f>IFERROR(MATCH(J3127,'Final List'!$L$4:$L$252,0),0)</f>
        <v>0</v>
      </c>
      <c r="Q3127" s="169">
        <f>IFERROR(MATCH(J3127,'Final List'!$N$4:$N$252,0),0)</f>
        <v>0</v>
      </c>
      <c r="R3127" s="169">
        <f>IFERROR(MATCH(J3127,'Final List'!$P$4:$P$252,0),0)</f>
        <v>0</v>
      </c>
      <c r="S3127" s="169">
        <f t="shared" si="194"/>
        <v>0</v>
      </c>
      <c r="V3127" s="169" t="str">
        <f t="shared" si="195"/>
        <v>FERNANDEZ,RM</v>
      </c>
      <c r="W3127" s="169" t="s">
        <v>2715</v>
      </c>
    </row>
    <row r="3128" spans="2:23" x14ac:dyDescent="0.25">
      <c r="B3128" s="169" t="s">
        <v>96</v>
      </c>
      <c r="C3128" s="169" t="s">
        <v>45</v>
      </c>
      <c r="D3128" s="169" t="s">
        <v>595</v>
      </c>
      <c r="E3128" s="169" t="s">
        <v>6143</v>
      </c>
      <c r="F3128" s="245" t="str">
        <f t="shared" si="193"/>
        <v>Dhoz 71</v>
      </c>
      <c r="G3128" s="169" t="s">
        <v>1510</v>
      </c>
      <c r="I3128" s="169" t="str">
        <f t="shared" si="196"/>
        <v>L09_DPVE_072E_DE_ISL</v>
      </c>
      <c r="J3128" s="169" t="s">
        <v>12793</v>
      </c>
      <c r="K3128" s="169">
        <f>IFERROR(MATCH(J3128,'Final List'!$B$4:$B$252,0),0)</f>
        <v>0</v>
      </c>
      <c r="L3128" s="169">
        <f>IFERROR(MATCH(J3128,'Final List'!$D$4:$D$252,0),0)</f>
        <v>0</v>
      </c>
      <c r="M3128" s="169">
        <f>IFERROR(MATCH(J3128,'Final List'!$F$4:$F$251,0),0)</f>
        <v>0</v>
      </c>
      <c r="N3128" s="169">
        <f>IFERROR(MATCH(J3128,'Final List'!$H$4:$H$252,0),0)</f>
        <v>0</v>
      </c>
      <c r="O3128" s="169">
        <f>IFERROR(MATCH(J3128,'Final List'!$J$4:$J$252,0),0)</f>
        <v>0</v>
      </c>
      <c r="P3128" s="169">
        <f>IFERROR(MATCH(J3128,'Final List'!$L$4:$L$252,0),0)</f>
        <v>0</v>
      </c>
      <c r="Q3128" s="169">
        <f>IFERROR(MATCH(J3128,'Final List'!$N$4:$N$252,0),0)</f>
        <v>0</v>
      </c>
      <c r="R3128" s="169">
        <f>IFERROR(MATCH(J3128,'Final List'!$P$4:$P$252,0),0)</f>
        <v>0</v>
      </c>
      <c r="S3128" s="169">
        <f t="shared" si="194"/>
        <v>0</v>
      </c>
      <c r="V3128" s="169" t="str">
        <f t="shared" si="195"/>
        <v>DELOS REYES</v>
      </c>
      <c r="W3128" s="169" t="s">
        <v>8896</v>
      </c>
    </row>
    <row r="3129" spans="2:23" x14ac:dyDescent="0.25">
      <c r="B3129" s="169" t="s">
        <v>95</v>
      </c>
      <c r="C3129" s="169" t="s">
        <v>45</v>
      </c>
      <c r="D3129" s="169" t="s">
        <v>6833</v>
      </c>
      <c r="E3129" s="169" t="s">
        <v>60</v>
      </c>
      <c r="F3129" s="245" t="str">
        <f t="shared" si="193"/>
        <v>Dhoz 71</v>
      </c>
      <c r="G3129" s="169" t="s">
        <v>12064</v>
      </c>
      <c r="I3129" s="169" t="str">
        <f t="shared" si="196"/>
        <v>L08_DPVE_017W_DE</v>
      </c>
      <c r="J3129" s="169" t="s">
        <v>12798</v>
      </c>
      <c r="K3129" s="169">
        <f>IFERROR(MATCH(J3129,'Final List'!$B$4:$B$252,0),0)</f>
        <v>0</v>
      </c>
      <c r="L3129" s="169">
        <f>IFERROR(MATCH(J3129,'Final List'!$D$4:$D$252,0),0)</f>
        <v>0</v>
      </c>
      <c r="M3129" s="169">
        <f>IFERROR(MATCH(J3129,'Final List'!$F$4:$F$251,0),0)</f>
        <v>0</v>
      </c>
      <c r="N3129" s="169">
        <f>IFERROR(MATCH(J3129,'Final List'!$H$4:$H$252,0),0)</f>
        <v>0</v>
      </c>
      <c r="O3129" s="169">
        <f>IFERROR(MATCH(J3129,'Final List'!$J$4:$J$252,0),0)</f>
        <v>0</v>
      </c>
      <c r="P3129" s="169">
        <f>IFERROR(MATCH(J3129,'Final List'!$L$4:$L$252,0),0)</f>
        <v>0</v>
      </c>
      <c r="Q3129" s="169">
        <f>IFERROR(MATCH(J3129,'Final List'!$N$4:$N$252,0),0)</f>
        <v>0</v>
      </c>
      <c r="R3129" s="169">
        <f>IFERROR(MATCH(J3129,'Final List'!$P$4:$P$252,0),0)</f>
        <v>0</v>
      </c>
      <c r="S3129" s="169">
        <f t="shared" si="194"/>
        <v>0</v>
      </c>
      <c r="V3129" s="169" t="str">
        <f t="shared" si="195"/>
        <v>NITRO AX</v>
      </c>
      <c r="W3129" s="169" t="s">
        <v>8895</v>
      </c>
    </row>
    <row r="3130" spans="2:23" x14ac:dyDescent="0.25">
      <c r="B3130" s="169" t="s">
        <v>1166</v>
      </c>
      <c r="C3130" s="169" t="s">
        <v>87</v>
      </c>
      <c r="D3130" s="169" t="s">
        <v>128</v>
      </c>
      <c r="E3130" s="169" t="s">
        <v>63</v>
      </c>
      <c r="F3130" s="245" t="str">
        <f t="shared" si="193"/>
        <v>Dhoz 71</v>
      </c>
      <c r="G3130" s="169" t="s">
        <v>6980</v>
      </c>
      <c r="I3130" s="169" t="str">
        <f t="shared" si="196"/>
        <v>L11_NONE_027E_XCS</v>
      </c>
      <c r="J3130" s="169" t="s">
        <v>12799</v>
      </c>
      <c r="K3130" s="169">
        <f>IFERROR(MATCH(J3130,'Final List'!$B$4:$B$252,0),0)</f>
        <v>0</v>
      </c>
      <c r="L3130" s="169">
        <f>IFERROR(MATCH(J3130,'Final List'!$D$4:$D$252,0),0)</f>
        <v>0</v>
      </c>
      <c r="M3130" s="169">
        <f>IFERROR(MATCH(J3130,'Final List'!$F$4:$F$251,0),0)</f>
        <v>0</v>
      </c>
      <c r="N3130" s="169">
        <f>IFERROR(MATCH(J3130,'Final List'!$H$4:$H$252,0),0)</f>
        <v>0</v>
      </c>
      <c r="O3130" s="169">
        <f>IFERROR(MATCH(J3130,'Final List'!$J$4:$J$252,0),0)</f>
        <v>0</v>
      </c>
      <c r="P3130" s="169">
        <f>IFERROR(MATCH(J3130,'Final List'!$L$4:$L$252,0),0)</f>
        <v>0</v>
      </c>
      <c r="Q3130" s="169">
        <f>IFERROR(MATCH(J3130,'Final List'!$N$4:$N$252,0),0)</f>
        <v>0</v>
      </c>
      <c r="R3130" s="169">
        <f>IFERROR(MATCH(J3130,'Final List'!$P$4:$P$252,0),0)</f>
        <v>0</v>
      </c>
      <c r="S3130" s="169">
        <f t="shared" si="194"/>
        <v>0</v>
      </c>
      <c r="V3130" s="169" t="str">
        <f t="shared" si="195"/>
        <v>BADBADON 3</v>
      </c>
      <c r="W3130" s="169" t="s">
        <v>2714</v>
      </c>
    </row>
    <row r="3131" spans="2:23" x14ac:dyDescent="0.25">
      <c r="B3131" s="169" t="s">
        <v>1166</v>
      </c>
      <c r="C3131" s="169" t="s">
        <v>55</v>
      </c>
      <c r="D3131" s="169" t="s">
        <v>174</v>
      </c>
      <c r="E3131" s="169" t="s">
        <v>36</v>
      </c>
      <c r="F3131" s="245" t="str">
        <f t="shared" si="193"/>
        <v>StpS 77</v>
      </c>
      <c r="G3131" s="169" t="s">
        <v>10758</v>
      </c>
      <c r="I3131" s="169" t="str">
        <f t="shared" si="196"/>
        <v>L11_JVFW_052E_STOPE</v>
      </c>
      <c r="J3131" s="169" t="s">
        <v>12915</v>
      </c>
      <c r="K3131" s="169">
        <f>IFERROR(MATCH(J3131,'Final List'!$B$4:$B$252,0),0)</f>
        <v>0</v>
      </c>
      <c r="L3131" s="169">
        <f>IFERROR(MATCH(J3131,'Final List'!$D$4:$D$252,0),0)</f>
        <v>0</v>
      </c>
      <c r="M3131" s="169">
        <f>IFERROR(MATCH(J3131,'Final List'!$F$4:$F$251,0),0)</f>
        <v>0</v>
      </c>
      <c r="N3131" s="169">
        <f>IFERROR(MATCH(J3131,'Final List'!$H$4:$H$252,0),0)</f>
        <v>0</v>
      </c>
      <c r="O3131" s="169">
        <f>IFERROR(MATCH(J3131,'Final List'!$J$4:$J$252,0),0)</f>
        <v>0</v>
      </c>
      <c r="P3131" s="169">
        <f>IFERROR(MATCH(J3131,'Final List'!$L$4:$L$252,0),0)</f>
        <v>0</v>
      </c>
      <c r="Q3131" s="169">
        <f>IFERROR(MATCH(J3131,'Final List'!$N$4:$N$252,0),0)</f>
        <v>0</v>
      </c>
      <c r="R3131" s="169">
        <f>IFERROR(MATCH(J3131,'Final List'!$P$4:$P$252,0),0)</f>
        <v>0</v>
      </c>
      <c r="S3131" s="169">
        <f t="shared" si="194"/>
        <v>0</v>
      </c>
      <c r="T3131" s="169" t="s">
        <v>68</v>
      </c>
      <c r="V3131" s="169" t="str">
        <f t="shared" si="195"/>
        <v>MARTINEZ, DN</v>
      </c>
      <c r="W3131" s="169" t="s">
        <v>2713</v>
      </c>
    </row>
    <row r="3132" spans="2:23" x14ac:dyDescent="0.25">
      <c r="B3132" s="169" t="s">
        <v>1166</v>
      </c>
      <c r="C3132" s="169" t="s">
        <v>38</v>
      </c>
      <c r="D3132" s="169" t="s">
        <v>5723</v>
      </c>
      <c r="E3132" s="169" t="s">
        <v>19</v>
      </c>
      <c r="F3132" s="245" t="str">
        <f t="shared" si="193"/>
        <v>DVR 72</v>
      </c>
      <c r="G3132" s="169" t="s">
        <v>12513</v>
      </c>
      <c r="H3132" s="169" t="s">
        <v>356</v>
      </c>
      <c r="I3132" s="169" t="str">
        <f t="shared" si="196"/>
        <v>L11_GHV_046E_RAISE</v>
      </c>
      <c r="J3132" s="169" t="s">
        <v>12808</v>
      </c>
      <c r="K3132" s="169">
        <f>IFERROR(MATCH(J3132,'Final List'!$B$4:$B$252,0),0)</f>
        <v>0</v>
      </c>
      <c r="L3132" s="169">
        <f>IFERROR(MATCH(J3132,'Final List'!$D$4:$D$252,0),0)</f>
        <v>0</v>
      </c>
      <c r="M3132" s="169">
        <f>IFERROR(MATCH(J3132,'Final List'!$F$4:$F$251,0),0)</f>
        <v>0</v>
      </c>
      <c r="N3132" s="169">
        <f>IFERROR(MATCH(J3132,'Final List'!$H$4:$H$252,0),0)</f>
        <v>0</v>
      </c>
      <c r="O3132" s="169">
        <f>IFERROR(MATCH(J3132,'Final List'!$J$4:$J$252,0),0)</f>
        <v>0</v>
      </c>
      <c r="P3132" s="169">
        <f>IFERROR(MATCH(J3132,'Final List'!$L$4:$L$252,0),0)</f>
        <v>0</v>
      </c>
      <c r="Q3132" s="169">
        <f>IFERROR(MATCH(J3132,'Final List'!$N$4:$N$252,0),0)</f>
        <v>0</v>
      </c>
      <c r="R3132" s="169">
        <f>IFERROR(MATCH(J3132,'Final List'!$P$4:$P$252,0),0)</f>
        <v>0</v>
      </c>
      <c r="S3132" s="169">
        <f t="shared" si="194"/>
        <v>0</v>
      </c>
      <c r="V3132" s="169" t="str">
        <f t="shared" si="195"/>
        <v>BAÑEZ 1</v>
      </c>
      <c r="W3132" s="169" t="s">
        <v>2715</v>
      </c>
    </row>
    <row r="3133" spans="2:23" x14ac:dyDescent="0.25">
      <c r="B3133" s="169" t="s">
        <v>95</v>
      </c>
      <c r="C3133" s="169" t="s">
        <v>42</v>
      </c>
      <c r="D3133" s="169" t="s">
        <v>6114</v>
      </c>
      <c r="E3133" s="169" t="s">
        <v>60</v>
      </c>
      <c r="F3133" s="245" t="str">
        <f t="shared" si="193"/>
        <v>Dhoz 71</v>
      </c>
      <c r="G3133" s="169" t="s">
        <v>2</v>
      </c>
      <c r="I3133" s="169" t="str">
        <f t="shared" si="196"/>
        <v>L08_JV_078E_DE</v>
      </c>
      <c r="J3133" s="169" t="s">
        <v>12812</v>
      </c>
      <c r="K3133" s="169">
        <f>IFERROR(MATCH(J3133,'Final List'!$B$4:$B$252,0),0)</f>
        <v>0</v>
      </c>
      <c r="L3133" s="169">
        <f>IFERROR(MATCH(J3133,'Final List'!$D$4:$D$252,0),0)</f>
        <v>0</v>
      </c>
      <c r="M3133" s="169">
        <f>IFERROR(MATCH(J3133,'Final List'!$F$4:$F$251,0),0)</f>
        <v>0</v>
      </c>
      <c r="N3133" s="169">
        <f>IFERROR(MATCH(J3133,'Final List'!$H$4:$H$252,0),0)</f>
        <v>0</v>
      </c>
      <c r="O3133" s="169">
        <f>IFERROR(MATCH(J3133,'Final List'!$J$4:$J$252,0),0)</f>
        <v>0</v>
      </c>
      <c r="P3133" s="169">
        <f>IFERROR(MATCH(J3133,'Final List'!$L$4:$L$252,0),0)</f>
        <v>0</v>
      </c>
      <c r="Q3133" s="169">
        <f>IFERROR(MATCH(J3133,'Final List'!$N$4:$N$252,0),0)</f>
        <v>0</v>
      </c>
      <c r="R3133" s="169">
        <f>IFERROR(MATCH(J3133,'Final List'!$P$4:$P$252,0),0)</f>
        <v>0</v>
      </c>
      <c r="S3133" s="169">
        <f t="shared" si="194"/>
        <v>0</v>
      </c>
      <c r="V3133" s="169" t="str">
        <f t="shared" si="195"/>
        <v>CABONITA</v>
      </c>
      <c r="W3133" s="169" t="s">
        <v>8895</v>
      </c>
    </row>
    <row r="3134" spans="2:23" x14ac:dyDescent="0.25">
      <c r="B3134" s="169" t="s">
        <v>8904</v>
      </c>
      <c r="C3134" s="169" t="s">
        <v>42</v>
      </c>
      <c r="D3134" s="169" t="s">
        <v>5886</v>
      </c>
      <c r="E3134" s="169" t="s">
        <v>61</v>
      </c>
      <c r="F3134" s="245" t="str">
        <f t="shared" si="193"/>
        <v>Dhoz 71</v>
      </c>
      <c r="G3134" s="169" t="s">
        <v>11449</v>
      </c>
      <c r="I3134" s="169" t="str">
        <f t="shared" si="196"/>
        <v>L03_JV_043W_DW</v>
      </c>
      <c r="J3134" s="169" t="s">
        <v>12810</v>
      </c>
      <c r="K3134" s="169">
        <f>IFERROR(MATCH(J3134,'Final List'!$B$4:$B$252,0),0)</f>
        <v>0</v>
      </c>
      <c r="L3134" s="169">
        <f>IFERROR(MATCH(J3134,'Final List'!$D$4:$D$252,0),0)</f>
        <v>0</v>
      </c>
      <c r="M3134" s="169">
        <f>IFERROR(MATCH(J3134,'Final List'!$F$4:$F$251,0),0)</f>
        <v>0</v>
      </c>
      <c r="N3134" s="169">
        <f>IFERROR(MATCH(J3134,'Final List'!$H$4:$H$252,0),0)</f>
        <v>0</v>
      </c>
      <c r="O3134" s="169">
        <f>IFERROR(MATCH(J3134,'Final List'!$J$4:$J$252,0),0)</f>
        <v>0</v>
      </c>
      <c r="P3134" s="169">
        <f>IFERROR(MATCH(J3134,'Final List'!$L$4:$L$252,0),0)</f>
        <v>0</v>
      </c>
      <c r="Q3134" s="169">
        <f>IFERROR(MATCH(J3134,'Final List'!$N$4:$N$252,0),0)</f>
        <v>0</v>
      </c>
      <c r="R3134" s="169">
        <f>IFERROR(MATCH(J3134,'Final List'!$P$4:$P$252,0),0)</f>
        <v>0</v>
      </c>
      <c r="S3134" s="169">
        <f t="shared" si="194"/>
        <v>0</v>
      </c>
      <c r="V3134" s="169" t="str">
        <f t="shared" si="195"/>
        <v>FERNANDEZ, RM</v>
      </c>
      <c r="W3134" s="169" t="s">
        <v>8895</v>
      </c>
    </row>
    <row r="3135" spans="2:23" x14ac:dyDescent="0.25">
      <c r="B3135" s="169" t="s">
        <v>258</v>
      </c>
      <c r="C3135" s="169" t="s">
        <v>38</v>
      </c>
      <c r="D3135" s="169" t="s">
        <v>169</v>
      </c>
      <c r="E3135" s="169" t="s">
        <v>62</v>
      </c>
      <c r="F3135" s="245" t="str">
        <f t="shared" si="193"/>
        <v>RobS 79</v>
      </c>
      <c r="G3135" s="169" t="s">
        <v>6216</v>
      </c>
      <c r="I3135" s="169" t="str">
        <f t="shared" si="196"/>
        <v>L10_GHV_065E_ROBBING</v>
      </c>
      <c r="J3135" s="169" t="s">
        <v>12814</v>
      </c>
      <c r="K3135" s="169">
        <f>IFERROR(MATCH(J3135,'Final List'!$B$4:$B$252,0),0)</f>
        <v>0</v>
      </c>
      <c r="L3135" s="169">
        <f>IFERROR(MATCH(J3135,'Final List'!$D$4:$D$252,0),0)</f>
        <v>0</v>
      </c>
      <c r="M3135" s="169">
        <f>IFERROR(MATCH(J3135,'Final List'!$F$4:$F$251,0),0)</f>
        <v>0</v>
      </c>
      <c r="N3135" s="169">
        <f>IFERROR(MATCH(J3135,'Final List'!$H$4:$H$252,0),0)</f>
        <v>0</v>
      </c>
      <c r="O3135" s="169">
        <f>IFERROR(MATCH(J3135,'Final List'!$J$4:$J$252,0),0)</f>
        <v>0</v>
      </c>
      <c r="P3135" s="169">
        <f>IFERROR(MATCH(J3135,'Final List'!$L$4:$L$252,0),0)</f>
        <v>0</v>
      </c>
      <c r="Q3135" s="169">
        <f>IFERROR(MATCH(J3135,'Final List'!$N$4:$N$252,0),0)</f>
        <v>0</v>
      </c>
      <c r="R3135" s="169">
        <f>IFERROR(MATCH(J3135,'Final List'!$P$4:$P$252,0),0)</f>
        <v>135</v>
      </c>
      <c r="S3135" s="169">
        <f t="shared" si="194"/>
        <v>135</v>
      </c>
      <c r="T3135" s="169" t="s">
        <v>68</v>
      </c>
      <c r="V3135" s="169" t="str">
        <f t="shared" si="195"/>
        <v>FERNANDEZ</v>
      </c>
      <c r="W3135" s="169" t="s">
        <v>2707</v>
      </c>
    </row>
    <row r="3136" spans="2:23" x14ac:dyDescent="0.25">
      <c r="B3136" s="169" t="s">
        <v>96</v>
      </c>
      <c r="C3136" s="169" t="s">
        <v>38</v>
      </c>
      <c r="D3136" s="169" t="s">
        <v>112</v>
      </c>
      <c r="E3136" s="169" t="s">
        <v>6154</v>
      </c>
      <c r="F3136" s="245" t="str">
        <f t="shared" si="193"/>
        <v>Dhoz 71</v>
      </c>
      <c r="G3136" s="169" t="s">
        <v>1457</v>
      </c>
      <c r="I3136" s="169" t="str">
        <f t="shared" si="196"/>
        <v>L09_GHV_018E_DW_ISL</v>
      </c>
      <c r="J3136" s="169" t="s">
        <v>12816</v>
      </c>
      <c r="K3136" s="169">
        <f>IFERROR(MATCH(J3136,'Final List'!$B$4:$B$252,0),0)</f>
        <v>0</v>
      </c>
      <c r="L3136" s="169">
        <f>IFERROR(MATCH(J3136,'Final List'!$D$4:$D$252,0),0)</f>
        <v>0</v>
      </c>
      <c r="M3136" s="169">
        <f>IFERROR(MATCH(J3136,'Final List'!$F$4:$F$251,0),0)</f>
        <v>0</v>
      </c>
      <c r="N3136" s="169">
        <f>IFERROR(MATCH(J3136,'Final List'!$H$4:$H$252,0),0)</f>
        <v>0</v>
      </c>
      <c r="O3136" s="169">
        <f>IFERROR(MATCH(J3136,'Final List'!$J$4:$J$252,0),0)</f>
        <v>0</v>
      </c>
      <c r="P3136" s="169">
        <f>IFERROR(MATCH(J3136,'Final List'!$L$4:$L$252,0),0)</f>
        <v>0</v>
      </c>
      <c r="Q3136" s="169">
        <f>IFERROR(MATCH(J3136,'Final List'!$N$4:$N$252,0),0)</f>
        <v>0</v>
      </c>
      <c r="R3136" s="169">
        <f>IFERROR(MATCH(J3136,'Final List'!$P$4:$P$252,0),0)</f>
        <v>0</v>
      </c>
      <c r="S3136" s="169">
        <f t="shared" si="194"/>
        <v>0</v>
      </c>
      <c r="V3136" s="169" t="str">
        <f t="shared" si="195"/>
        <v>UDLOS</v>
      </c>
      <c r="W3136" s="169" t="s">
        <v>2708</v>
      </c>
    </row>
    <row r="3137" spans="2:23" x14ac:dyDescent="0.25">
      <c r="B3137" s="169" t="s">
        <v>95</v>
      </c>
      <c r="C3137" s="169" t="s">
        <v>38</v>
      </c>
      <c r="D3137" s="169" t="s">
        <v>5689</v>
      </c>
      <c r="E3137" s="169" t="s">
        <v>62</v>
      </c>
      <c r="F3137" s="245" t="str">
        <f t="shared" si="193"/>
        <v>RobS 79</v>
      </c>
      <c r="G3137" s="169" t="s">
        <v>6216</v>
      </c>
      <c r="I3137" s="169" t="str">
        <f t="shared" si="196"/>
        <v>L08_GHV_003E_ROBBING</v>
      </c>
      <c r="J3137" s="169" t="s">
        <v>215</v>
      </c>
      <c r="K3137" s="169">
        <f>IFERROR(MATCH(J3137,'Final List'!$B$4:$B$252,0),0)</f>
        <v>0</v>
      </c>
      <c r="L3137" s="169">
        <f>IFERROR(MATCH(J3137,'Final List'!$D$4:$D$252,0),0)</f>
        <v>0</v>
      </c>
      <c r="M3137" s="169">
        <f>IFERROR(MATCH(J3137,'Final List'!$F$4:$F$251,0),0)</f>
        <v>0</v>
      </c>
      <c r="N3137" s="169">
        <f>IFERROR(MATCH(J3137,'Final List'!$H$4:$H$252,0),0)</f>
        <v>0</v>
      </c>
      <c r="O3137" s="169">
        <f>IFERROR(MATCH(J3137,'Final List'!$J$4:$J$252,0),0)</f>
        <v>0</v>
      </c>
      <c r="P3137" s="169">
        <f>IFERROR(MATCH(J3137,'Final List'!$L$4:$L$252,0),0)</f>
        <v>0</v>
      </c>
      <c r="Q3137" s="169">
        <f>IFERROR(MATCH(J3137,'Final List'!$N$4:$N$252,0),0)</f>
        <v>0</v>
      </c>
      <c r="R3137" s="169">
        <f>IFERROR(MATCH(J3137,'Final List'!$P$4:$P$252,0),0)</f>
        <v>0</v>
      </c>
      <c r="S3137" s="169">
        <f t="shared" si="194"/>
        <v>0</v>
      </c>
      <c r="T3137" s="169" t="s">
        <v>68</v>
      </c>
      <c r="V3137" s="169" t="str">
        <f t="shared" si="195"/>
        <v>FERNANDEZ</v>
      </c>
      <c r="W3137" s="169" t="s">
        <v>2707</v>
      </c>
    </row>
    <row r="3138" spans="2:23" x14ac:dyDescent="0.25">
      <c r="B3138" s="169" t="s">
        <v>95</v>
      </c>
      <c r="C3138" s="169" t="s">
        <v>87</v>
      </c>
      <c r="D3138" s="169" t="s">
        <v>98</v>
      </c>
      <c r="E3138" s="169" t="s">
        <v>63</v>
      </c>
      <c r="F3138" s="245" t="str">
        <f t="shared" si="193"/>
        <v>Dhoz 71</v>
      </c>
      <c r="G3138" s="169" t="s">
        <v>12064</v>
      </c>
      <c r="I3138" s="169" t="str">
        <f t="shared" si="196"/>
        <v>L08_NONE_014W_XCS</v>
      </c>
      <c r="J3138" s="169" t="s">
        <v>12822</v>
      </c>
      <c r="K3138" s="169">
        <f>IFERROR(MATCH(J3138,'Final List'!$B$4:$B$252,0),0)</f>
        <v>0</v>
      </c>
      <c r="L3138" s="169">
        <f>IFERROR(MATCH(J3138,'Final List'!$D$4:$D$252,0),0)</f>
        <v>0</v>
      </c>
      <c r="M3138" s="169">
        <f>IFERROR(MATCH(J3138,'Final List'!$F$4:$F$251,0),0)</f>
        <v>0</v>
      </c>
      <c r="N3138" s="169">
        <f>IFERROR(MATCH(J3138,'Final List'!$H$4:$H$252,0),0)</f>
        <v>0</v>
      </c>
      <c r="O3138" s="169">
        <f>IFERROR(MATCH(J3138,'Final List'!$J$4:$J$252,0),0)</f>
        <v>0</v>
      </c>
      <c r="P3138" s="169">
        <f>IFERROR(MATCH(J3138,'Final List'!$L$4:$L$252,0),0)</f>
        <v>0</v>
      </c>
      <c r="Q3138" s="169">
        <f>IFERROR(MATCH(J3138,'Final List'!$N$4:$N$252,0),0)</f>
        <v>0</v>
      </c>
      <c r="R3138" s="169">
        <f>IFERROR(MATCH(J3138,'Final List'!$P$4:$P$252,0),0)</f>
        <v>0</v>
      </c>
      <c r="S3138" s="169">
        <f t="shared" si="194"/>
        <v>0</v>
      </c>
      <c r="V3138" s="169" t="str">
        <f t="shared" si="195"/>
        <v>NITRO AX</v>
      </c>
      <c r="W3138" s="169" t="s">
        <v>2714</v>
      </c>
    </row>
    <row r="3139" spans="2:23" x14ac:dyDescent="0.25">
      <c r="B3139" s="169" t="s">
        <v>258</v>
      </c>
      <c r="C3139" s="169" t="s">
        <v>87</v>
      </c>
      <c r="D3139" s="169" t="s">
        <v>12821</v>
      </c>
      <c r="E3139" s="169" t="s">
        <v>37</v>
      </c>
      <c r="F3139" s="245" t="str">
        <f t="shared" ref="F3139:F3202" si="197">IF(OR(E3139="XCN",E3139="DE",E3139="DW",E3139="DN",E3139="XCS",E3139="XCE",E3139="XCW",E3139="SUMP",E3139="BYPASS",E3139="CHAMBER",E3139="DRAIN HOLE",E3139="DRILLING CHAMBER",E3139="DE_ISL",E3139="DW_ISL",E3139="REHAB"),"Dhoz 71",IF(OR(E3139="RAISE",E3139="RAISE_ISL"),"DVR 72",IF(E3139="ALIMAK","DVA 73",IF(E3139="WINZE","DVW 74",IF(E3139="SHAFT","DVS 75",IF(AND(E3139="WINZE STOPE",T3139="S"),"RobC 80",IF(AND(E3139="STOPE",T3139="S"),"StpS 77",IF(AND(E3139="WINZE STOPE",T3139="L"),"RobC 80",IF(AND(E3139="STOPE",T3139="L"),"StpL 78",IF(AND(E3139="WINZE STOPE PREP",T3139="S"),"RobC 80",IF(AND(E3139="STOPE PREP",T3139="S"),"StpS 77",IF(AND(E3139="WINZE STOPE PREP",T3139="L"),"RobC 80",IF(AND(E3139="STOPE PREP",T3139="L"),"StpL 78",IF(AND(E3139="ROBBING",T3139="L"),"RobC 80",IF(AND(E3139="ROBBING",T3139="S"),"RobS 79",0)))))))))))))))</f>
        <v>Dhoz 71</v>
      </c>
      <c r="G3139" s="169" t="s">
        <v>12065</v>
      </c>
      <c r="H3139" s="169" t="s">
        <v>12244</v>
      </c>
      <c r="I3139" s="169" t="str">
        <f t="shared" si="196"/>
        <v>L10_NONE_107E_XCN</v>
      </c>
      <c r="J3139" s="169" t="s">
        <v>12820</v>
      </c>
      <c r="K3139" s="169">
        <f>IFERROR(MATCH(J3139,'Final List'!$B$4:$B$252,0),0)</f>
        <v>0</v>
      </c>
      <c r="L3139" s="169">
        <f>IFERROR(MATCH(J3139,'Final List'!$D$4:$D$252,0),0)</f>
        <v>0</v>
      </c>
      <c r="M3139" s="169">
        <f>IFERROR(MATCH(J3139,'Final List'!$F$4:$F$251,0),0)</f>
        <v>0</v>
      </c>
      <c r="N3139" s="169">
        <f>IFERROR(MATCH(J3139,'Final List'!$H$4:$H$252,0),0)</f>
        <v>0</v>
      </c>
      <c r="O3139" s="169">
        <f>IFERROR(MATCH(J3139,'Final List'!$J$4:$J$252,0),0)</f>
        <v>0</v>
      </c>
      <c r="P3139" s="169">
        <f>IFERROR(MATCH(J3139,'Final List'!$L$4:$L$252,0),0)</f>
        <v>0</v>
      </c>
      <c r="Q3139" s="169">
        <f>IFERROR(MATCH(J3139,'Final List'!$N$4:$N$252,0),0)</f>
        <v>0</v>
      </c>
      <c r="R3139" s="169">
        <f>IFERROR(MATCH(J3139,'Final List'!$P$4:$P$252,0),0)</f>
        <v>0</v>
      </c>
      <c r="S3139" s="169">
        <f t="shared" ref="S3139:S3202" si="198">SUM(K3139:R3139)</f>
        <v>0</v>
      </c>
      <c r="V3139" s="169" t="str">
        <f t="shared" si="195"/>
        <v>NITRO AY</v>
      </c>
      <c r="W3139" s="169" t="s">
        <v>8898</v>
      </c>
    </row>
    <row r="3140" spans="2:23" x14ac:dyDescent="0.25">
      <c r="B3140" s="169" t="s">
        <v>1167</v>
      </c>
      <c r="C3140" s="169" t="s">
        <v>43</v>
      </c>
      <c r="D3140" s="169" t="s">
        <v>166</v>
      </c>
      <c r="E3140" s="169" t="s">
        <v>19</v>
      </c>
      <c r="F3140" s="245" t="str">
        <f t="shared" si="197"/>
        <v>DVR 72</v>
      </c>
      <c r="G3140" s="169" t="s">
        <v>12548</v>
      </c>
      <c r="I3140" s="169" t="str">
        <f t="shared" si="196"/>
        <v>L12_GHVSPLIT_068E_RAISE</v>
      </c>
      <c r="J3140" s="169" t="s">
        <v>12823</v>
      </c>
      <c r="K3140" s="169">
        <f>IFERROR(MATCH(J3140,'Final List'!$B$4:$B$252,0),0)</f>
        <v>0</v>
      </c>
      <c r="L3140" s="169">
        <f>IFERROR(MATCH(J3140,'Final List'!$D$4:$D$252,0),0)</f>
        <v>0</v>
      </c>
      <c r="M3140" s="169">
        <f>IFERROR(MATCH(J3140,'Final List'!$F$4:$F$251,0),0)</f>
        <v>0</v>
      </c>
      <c r="N3140" s="169">
        <f>IFERROR(MATCH(J3140,'Final List'!$H$4:$H$252,0),0)</f>
        <v>0</v>
      </c>
      <c r="O3140" s="169">
        <f>IFERROR(MATCH(J3140,'Final List'!$J$4:$J$252,0),0)</f>
        <v>0</v>
      </c>
      <c r="P3140" s="169">
        <f>IFERROR(MATCH(J3140,'Final List'!$L$4:$L$252,0),0)</f>
        <v>0</v>
      </c>
      <c r="Q3140" s="169">
        <f>IFERROR(MATCH(J3140,'Final List'!$N$4:$N$252,0),0)</f>
        <v>0</v>
      </c>
      <c r="R3140" s="169">
        <f>IFERROR(MATCH(J3140,'Final List'!$P$4:$P$252,0),0)</f>
        <v>0</v>
      </c>
      <c r="S3140" s="169">
        <f t="shared" si="198"/>
        <v>0</v>
      </c>
      <c r="V3140" s="169" t="str">
        <f t="shared" si="195"/>
        <v>NITRO BM</v>
      </c>
      <c r="W3140" s="169" t="s">
        <v>2715</v>
      </c>
    </row>
    <row r="3141" spans="2:23" x14ac:dyDescent="0.25">
      <c r="B3141" s="169" t="s">
        <v>1167</v>
      </c>
      <c r="C3141" s="169" t="s">
        <v>39</v>
      </c>
      <c r="D3141" s="169" t="s">
        <v>161</v>
      </c>
      <c r="E3141" s="169" t="s">
        <v>19</v>
      </c>
      <c r="F3141" s="245" t="str">
        <f t="shared" si="197"/>
        <v>DVR 72</v>
      </c>
      <c r="G3141" s="169" t="s">
        <v>12549</v>
      </c>
      <c r="I3141" s="169" t="str">
        <f t="shared" si="196"/>
        <v>L12_JVHW_044E_RAISE</v>
      </c>
      <c r="J3141" s="169" t="s">
        <v>12834</v>
      </c>
      <c r="K3141" s="169">
        <f>IFERROR(MATCH(J3141,'Final List'!$B$4:$B$252,0),0)</f>
        <v>0</v>
      </c>
      <c r="L3141" s="169">
        <f>IFERROR(MATCH(J3141,'Final List'!$D$4:$D$252,0),0)</f>
        <v>0</v>
      </c>
      <c r="M3141" s="169">
        <f>IFERROR(MATCH(J3141,'Final List'!$F$4:$F$251,0),0)</f>
        <v>0</v>
      </c>
      <c r="N3141" s="169">
        <f>IFERROR(MATCH(J3141,'Final List'!$H$4:$H$252,0),0)</f>
        <v>0</v>
      </c>
      <c r="O3141" s="169">
        <f>IFERROR(MATCH(J3141,'Final List'!$J$4:$J$252,0),0)</f>
        <v>0</v>
      </c>
      <c r="P3141" s="169">
        <f>IFERROR(MATCH(J3141,'Final List'!$L$4:$L$252,0),0)</f>
        <v>0</v>
      </c>
      <c r="Q3141" s="169">
        <f>IFERROR(MATCH(J3141,'Final List'!$N$4:$N$252,0),0)</f>
        <v>0</v>
      </c>
      <c r="R3141" s="169">
        <f>IFERROR(MATCH(J3141,'Final List'!$P$4:$P$252,0),0)</f>
        <v>0</v>
      </c>
      <c r="S3141" s="169">
        <f t="shared" si="198"/>
        <v>0</v>
      </c>
      <c r="V3141" s="169" t="str">
        <f t="shared" si="195"/>
        <v>NITRO BR</v>
      </c>
      <c r="W3141" s="169" t="s">
        <v>2715</v>
      </c>
    </row>
    <row r="3142" spans="2:23" x14ac:dyDescent="0.25">
      <c r="B3142" s="169" t="s">
        <v>258</v>
      </c>
      <c r="C3142" s="169" t="s">
        <v>56</v>
      </c>
      <c r="D3142" s="169" t="s">
        <v>177</v>
      </c>
      <c r="E3142" s="169" t="s">
        <v>62</v>
      </c>
      <c r="F3142" s="245" t="str">
        <f t="shared" si="197"/>
        <v>RobS 79</v>
      </c>
      <c r="G3142" s="169" t="s">
        <v>5698</v>
      </c>
      <c r="I3142" s="169" t="str">
        <f t="shared" si="196"/>
        <v>L10_GHVFW_054E_ROBBING</v>
      </c>
      <c r="J3142" s="169" t="s">
        <v>12833</v>
      </c>
      <c r="K3142" s="169">
        <f>IFERROR(MATCH(J3142,'Final List'!$B$4:$B$252,0),0)</f>
        <v>0</v>
      </c>
      <c r="L3142" s="169">
        <f>IFERROR(MATCH(J3142,'Final List'!$D$4:$D$252,0),0)</f>
        <v>0</v>
      </c>
      <c r="M3142" s="169">
        <f>IFERROR(MATCH(J3142,'Final List'!$F$4:$F$251,0),0)</f>
        <v>0</v>
      </c>
      <c r="N3142" s="169">
        <f>IFERROR(MATCH(J3142,'Final List'!$H$4:$H$252,0),0)</f>
        <v>0</v>
      </c>
      <c r="O3142" s="169">
        <f>IFERROR(MATCH(J3142,'Final List'!$J$4:$J$252,0),0)</f>
        <v>0</v>
      </c>
      <c r="P3142" s="169">
        <f>IFERROR(MATCH(J3142,'Final List'!$L$4:$L$252,0),0)</f>
        <v>0</v>
      </c>
      <c r="Q3142" s="169">
        <f>IFERROR(MATCH(J3142,'Final List'!$N$4:$N$252,0),0)</f>
        <v>0</v>
      </c>
      <c r="R3142" s="169">
        <f>IFERROR(MATCH(J3142,'Final List'!$P$4:$P$252,0),0)</f>
        <v>0</v>
      </c>
      <c r="S3142" s="169">
        <f t="shared" si="198"/>
        <v>0</v>
      </c>
      <c r="T3142" s="169" t="s">
        <v>68</v>
      </c>
      <c r="V3142" s="169" t="str">
        <f t="shared" si="195"/>
        <v>PARAN 1</v>
      </c>
      <c r="W3142" s="169" t="s">
        <v>2707</v>
      </c>
    </row>
    <row r="3143" spans="2:23" x14ac:dyDescent="0.25">
      <c r="B3143" s="169" t="s">
        <v>96</v>
      </c>
      <c r="C3143" s="169" t="s">
        <v>45</v>
      </c>
      <c r="D3143" s="169" t="s">
        <v>289</v>
      </c>
      <c r="E3143" s="169" t="s">
        <v>20</v>
      </c>
      <c r="F3143" s="245" t="str">
        <f t="shared" si="197"/>
        <v>DVW 74</v>
      </c>
      <c r="G3143" s="169" t="s">
        <v>485</v>
      </c>
      <c r="I3143" s="169" t="str">
        <f t="shared" si="196"/>
        <v>L09_DPVE_059E_WINZE</v>
      </c>
      <c r="J3143" s="169" t="s">
        <v>12837</v>
      </c>
      <c r="K3143" s="169">
        <f>IFERROR(MATCH(J3143,'Final List'!$B$4:$B$252,0),0)</f>
        <v>0</v>
      </c>
      <c r="L3143" s="169">
        <f>IFERROR(MATCH(J3143,'Final List'!$D$4:$D$252,0),0)</f>
        <v>0</v>
      </c>
      <c r="M3143" s="169">
        <f>IFERROR(MATCH(J3143,'Final List'!$F$4:$F$251,0),0)</f>
        <v>0</v>
      </c>
      <c r="N3143" s="169">
        <f>IFERROR(MATCH(J3143,'Final List'!$H$4:$H$252,0),0)</f>
        <v>0</v>
      </c>
      <c r="O3143" s="169">
        <f>IFERROR(MATCH(J3143,'Final List'!$J$4:$J$252,0),0)</f>
        <v>0</v>
      </c>
      <c r="P3143" s="169">
        <f>IFERROR(MATCH(J3143,'Final List'!$L$4:$L$252,0),0)</f>
        <v>0</v>
      </c>
      <c r="Q3143" s="169">
        <f>IFERROR(MATCH(J3143,'Final List'!$N$4:$N$252,0),0)</f>
        <v>0</v>
      </c>
      <c r="R3143" s="169">
        <f>IFERROR(MATCH(J3143,'Final List'!$P$4:$P$252,0),0)</f>
        <v>0</v>
      </c>
      <c r="S3143" s="169">
        <f t="shared" si="198"/>
        <v>0</v>
      </c>
      <c r="V3143" s="169" t="str">
        <f t="shared" si="195"/>
        <v>BALANGHIG 3</v>
      </c>
      <c r="W3143" s="169" t="s">
        <v>2706</v>
      </c>
    </row>
    <row r="3144" spans="2:23" x14ac:dyDescent="0.25">
      <c r="B3144" s="169" t="s">
        <v>1167</v>
      </c>
      <c r="C3144" s="169" t="s">
        <v>59</v>
      </c>
      <c r="D3144" s="169" t="s">
        <v>170</v>
      </c>
      <c r="E3144" s="169" t="s">
        <v>20</v>
      </c>
      <c r="F3144" s="245" t="str">
        <f t="shared" si="197"/>
        <v>DVW 74</v>
      </c>
      <c r="G3144" s="169" t="s">
        <v>12797</v>
      </c>
      <c r="I3144" s="169" t="str">
        <f t="shared" si="196"/>
        <v>L12_GHVHW_071E_WINZE</v>
      </c>
      <c r="J3144" s="169" t="s">
        <v>12796</v>
      </c>
      <c r="K3144" s="169">
        <f>IFERROR(MATCH(J3144,'Final List'!$B$4:$B$252,0),0)</f>
        <v>0</v>
      </c>
      <c r="L3144" s="169">
        <f>IFERROR(MATCH(J3144,'Final List'!$D$4:$D$252,0),0)</f>
        <v>0</v>
      </c>
      <c r="M3144" s="169">
        <f>IFERROR(MATCH(J3144,'Final List'!$F$4:$F$251,0),0)</f>
        <v>0</v>
      </c>
      <c r="N3144" s="169">
        <f>IFERROR(MATCH(J3144,'Final List'!$H$4:$H$252,0),0)</f>
        <v>0</v>
      </c>
      <c r="O3144" s="169">
        <f>IFERROR(MATCH(J3144,'Final List'!$J$4:$J$252,0),0)</f>
        <v>0</v>
      </c>
      <c r="P3144" s="169">
        <f>IFERROR(MATCH(J3144,'Final List'!$L$4:$L$252,0),0)</f>
        <v>0</v>
      </c>
      <c r="Q3144" s="169">
        <f>IFERROR(MATCH(J3144,'Final List'!$N$4:$N$252,0),0)</f>
        <v>0</v>
      </c>
      <c r="R3144" s="169">
        <f>IFERROR(MATCH(J3144,'Final List'!$P$4:$P$252,0),0)</f>
        <v>0</v>
      </c>
      <c r="S3144" s="169">
        <f t="shared" si="198"/>
        <v>0</v>
      </c>
      <c r="V3144" s="169" t="str">
        <f t="shared" si="195"/>
        <v>NITRO BF</v>
      </c>
      <c r="W3144" s="169" t="s">
        <v>2706</v>
      </c>
    </row>
    <row r="3145" spans="2:23" x14ac:dyDescent="0.25">
      <c r="B3145" s="169" t="s">
        <v>1166</v>
      </c>
      <c r="C3145" s="169" t="s">
        <v>59</v>
      </c>
      <c r="D3145" s="169" t="s">
        <v>198</v>
      </c>
      <c r="E3145" s="169" t="s">
        <v>60</v>
      </c>
      <c r="F3145" s="245" t="str">
        <f t="shared" si="197"/>
        <v>Dhoz 71</v>
      </c>
      <c r="G3145" s="169" t="s">
        <v>4068</v>
      </c>
      <c r="I3145" s="169" t="str">
        <f t="shared" si="196"/>
        <v>L11_GHVHW_069E_DE</v>
      </c>
      <c r="J3145" s="169" t="s">
        <v>12840</v>
      </c>
      <c r="K3145" s="169">
        <f>IFERROR(MATCH(J3145,'Final List'!$B$4:$B$252,0),0)</f>
        <v>0</v>
      </c>
      <c r="L3145" s="169">
        <f>IFERROR(MATCH(J3145,'Final List'!$D$4:$D$252,0),0)</f>
        <v>0</v>
      </c>
      <c r="M3145" s="169">
        <f>IFERROR(MATCH(J3145,'Final List'!$F$4:$F$251,0),0)</f>
        <v>0</v>
      </c>
      <c r="N3145" s="169">
        <f>IFERROR(MATCH(J3145,'Final List'!$H$4:$H$252,0),0)</f>
        <v>0</v>
      </c>
      <c r="O3145" s="169">
        <f>IFERROR(MATCH(J3145,'Final List'!$J$4:$J$252,0),0)</f>
        <v>0</v>
      </c>
      <c r="P3145" s="169">
        <f>IFERROR(MATCH(J3145,'Final List'!$L$4:$L$252,0),0)</f>
        <v>0</v>
      </c>
      <c r="Q3145" s="169">
        <f>IFERROR(MATCH(J3145,'Final List'!$N$4:$N$252,0),0)</f>
        <v>0</v>
      </c>
      <c r="R3145" s="169">
        <f>IFERROR(MATCH(J3145,'Final List'!$P$4:$P$252,0),0)</f>
        <v>0</v>
      </c>
      <c r="S3145" s="169">
        <f t="shared" si="198"/>
        <v>0</v>
      </c>
      <c r="V3145" s="169" t="str">
        <f t="shared" si="195"/>
        <v>MAPAYO</v>
      </c>
      <c r="W3145" s="169" t="s">
        <v>8896</v>
      </c>
    </row>
    <row r="3146" spans="2:23" x14ac:dyDescent="0.25">
      <c r="B3146" s="169" t="s">
        <v>96</v>
      </c>
      <c r="C3146" s="169" t="s">
        <v>59</v>
      </c>
      <c r="D3146" s="169" t="s">
        <v>107</v>
      </c>
      <c r="E3146" s="169" t="s">
        <v>19</v>
      </c>
      <c r="F3146" s="245" t="str">
        <f t="shared" si="197"/>
        <v>DVR 72</v>
      </c>
      <c r="G3146" s="169" t="s">
        <v>12528</v>
      </c>
      <c r="I3146" s="169" t="str">
        <f t="shared" si="196"/>
        <v>L09_GHVHW_032W_RAISE</v>
      </c>
      <c r="J3146" s="169" t="s">
        <v>12841</v>
      </c>
      <c r="K3146" s="169">
        <f>IFERROR(MATCH(J3146,'Final List'!$B$4:$B$252,0),0)</f>
        <v>0</v>
      </c>
      <c r="L3146" s="169">
        <f>IFERROR(MATCH(J3146,'Final List'!$D$4:$D$252,0),0)</f>
        <v>0</v>
      </c>
      <c r="M3146" s="169">
        <f>IFERROR(MATCH(J3146,'Final List'!$F$4:$F$251,0),0)</f>
        <v>0</v>
      </c>
      <c r="N3146" s="169">
        <f>IFERROR(MATCH(J3146,'Final List'!$H$4:$H$252,0),0)</f>
        <v>0</v>
      </c>
      <c r="O3146" s="169">
        <f>IFERROR(MATCH(J3146,'Final List'!$J$4:$J$252,0),0)</f>
        <v>0</v>
      </c>
      <c r="P3146" s="169">
        <f>IFERROR(MATCH(J3146,'Final List'!$L$4:$L$252,0),0)</f>
        <v>0</v>
      </c>
      <c r="Q3146" s="169">
        <f>IFERROR(MATCH(J3146,'Final List'!$N$4:$N$252,0),0)</f>
        <v>0</v>
      </c>
      <c r="R3146" s="169">
        <f>IFERROR(MATCH(J3146,'Final List'!$P$4:$P$252,0),0)</f>
        <v>0</v>
      </c>
      <c r="S3146" s="169">
        <f t="shared" si="198"/>
        <v>0</v>
      </c>
      <c r="V3146" s="169" t="str">
        <f t="shared" si="195"/>
        <v>NITRO AA</v>
      </c>
      <c r="W3146" s="169" t="s">
        <v>2715</v>
      </c>
    </row>
    <row r="3147" spans="2:23" x14ac:dyDescent="0.25">
      <c r="B3147" s="169" t="s">
        <v>1166</v>
      </c>
      <c r="C3147" s="169" t="s">
        <v>87</v>
      </c>
      <c r="D3147" s="169" t="s">
        <v>5781</v>
      </c>
      <c r="E3147" s="169" t="s">
        <v>12171</v>
      </c>
      <c r="F3147" s="245" t="s">
        <v>14362</v>
      </c>
      <c r="G3147" s="169" t="s">
        <v>356</v>
      </c>
      <c r="I3147" s="169" t="str">
        <f t="shared" si="196"/>
        <v>L11_NONE_051E_WIDENING</v>
      </c>
      <c r="J3147" s="169" t="s">
        <v>12842</v>
      </c>
      <c r="K3147" s="169">
        <f>IFERROR(MATCH(J3147,'Final List'!$B$4:$B$252,0),0)</f>
        <v>0</v>
      </c>
      <c r="L3147" s="169">
        <f>IFERROR(MATCH(J3147,'Final List'!$D$4:$D$252,0),0)</f>
        <v>0</v>
      </c>
      <c r="M3147" s="169">
        <f>IFERROR(MATCH(J3147,'Final List'!$F$4:$F$251,0),0)</f>
        <v>0</v>
      </c>
      <c r="N3147" s="169">
        <f>IFERROR(MATCH(J3147,'Final List'!$H$4:$H$252,0),0)</f>
        <v>0</v>
      </c>
      <c r="O3147" s="169">
        <f>IFERROR(MATCH(J3147,'Final List'!$J$4:$J$252,0),0)</f>
        <v>0</v>
      </c>
      <c r="P3147" s="169">
        <f>IFERROR(MATCH(J3147,'Final List'!$L$4:$L$252,0),0)</f>
        <v>0</v>
      </c>
      <c r="Q3147" s="169">
        <f>IFERROR(MATCH(J3147,'Final List'!$N$4:$N$252,0),0)</f>
        <v>0</v>
      </c>
      <c r="R3147" s="169">
        <f>IFERROR(MATCH(J3147,'Final List'!$P$4:$P$252,0),0)</f>
        <v>0</v>
      </c>
      <c r="S3147" s="169">
        <f t="shared" si="198"/>
        <v>0</v>
      </c>
      <c r="V3147" s="169" t="str">
        <f t="shared" si="195"/>
        <v>BAÑEZ 1</v>
      </c>
      <c r="W3147" s="169" t="s">
        <v>2714</v>
      </c>
    </row>
    <row r="3148" spans="2:23" x14ac:dyDescent="0.25">
      <c r="B3148" s="169" t="s">
        <v>12320</v>
      </c>
      <c r="C3148" s="169" t="s">
        <v>43</v>
      </c>
      <c r="D3148" s="169" t="s">
        <v>160</v>
      </c>
      <c r="E3148" s="169" t="s">
        <v>61</v>
      </c>
      <c r="F3148" s="245" t="str">
        <f t="shared" si="197"/>
        <v>Dhoz 71</v>
      </c>
      <c r="G3148" s="169" t="s">
        <v>742</v>
      </c>
      <c r="H3148" s="169" t="s">
        <v>862</v>
      </c>
      <c r="I3148" s="169" t="str">
        <f t="shared" si="196"/>
        <v>L425_GHVSPLIT_042E_DW</v>
      </c>
      <c r="J3148" s="169" t="s">
        <v>12843</v>
      </c>
      <c r="K3148" s="169">
        <f>IFERROR(MATCH(J3148,'Final List'!$B$4:$B$252,0),0)</f>
        <v>0</v>
      </c>
      <c r="L3148" s="169">
        <f>IFERROR(MATCH(J3148,'Final List'!$D$4:$D$252,0),0)</f>
        <v>0</v>
      </c>
      <c r="M3148" s="169">
        <f>IFERROR(MATCH(J3148,'Final List'!$F$4:$F$251,0),0)</f>
        <v>0</v>
      </c>
      <c r="N3148" s="169">
        <f>IFERROR(MATCH(J3148,'Final List'!$H$4:$H$252,0),0)</f>
        <v>0</v>
      </c>
      <c r="O3148" s="169">
        <f>IFERROR(MATCH(J3148,'Final List'!$J$4:$J$252,0),0)</f>
        <v>0</v>
      </c>
      <c r="P3148" s="169">
        <f>IFERROR(MATCH(J3148,'Final List'!$L$4:$L$252,0),0)</f>
        <v>0</v>
      </c>
      <c r="Q3148" s="169">
        <f>IFERROR(MATCH(J3148,'Final List'!$N$4:$N$252,0),0)</f>
        <v>0</v>
      </c>
      <c r="R3148" s="169">
        <f>IFERROR(MATCH(J3148,'Final List'!$P$4:$P$252,0),0)</f>
        <v>0</v>
      </c>
      <c r="S3148" s="169">
        <f t="shared" si="198"/>
        <v>0</v>
      </c>
      <c r="V3148" s="169" t="str">
        <f t="shared" si="195"/>
        <v>REBOTE 1</v>
      </c>
      <c r="W3148" s="169" t="s">
        <v>8896</v>
      </c>
    </row>
    <row r="3149" spans="2:23" x14ac:dyDescent="0.25">
      <c r="B3149" s="169" t="s">
        <v>96</v>
      </c>
      <c r="C3149" s="169" t="s">
        <v>56</v>
      </c>
      <c r="D3149" s="169" t="s">
        <v>6068</v>
      </c>
      <c r="E3149" s="169" t="s">
        <v>6143</v>
      </c>
      <c r="F3149" s="245" t="str">
        <f t="shared" si="197"/>
        <v>Dhoz 71</v>
      </c>
      <c r="G3149" s="169" t="s">
        <v>350</v>
      </c>
      <c r="I3149" s="169" t="str">
        <f t="shared" si="196"/>
        <v>L09_GHVFW_035W_DE_ISL</v>
      </c>
      <c r="J3149" s="169" t="s">
        <v>12720</v>
      </c>
      <c r="K3149" s="169">
        <f>IFERROR(MATCH(J3149,'Final List'!$B$4:$B$252,0),0)</f>
        <v>0</v>
      </c>
      <c r="L3149" s="169">
        <f>IFERROR(MATCH(J3149,'Final List'!$D$4:$D$252,0),0)</f>
        <v>0</v>
      </c>
      <c r="M3149" s="169">
        <f>IFERROR(MATCH(J3149,'Final List'!$F$4:$F$251,0),0)</f>
        <v>0</v>
      </c>
      <c r="N3149" s="169">
        <f>IFERROR(MATCH(J3149,'Final List'!$H$4:$H$252,0),0)</f>
        <v>0</v>
      </c>
      <c r="O3149" s="169">
        <f>IFERROR(MATCH(J3149,'Final List'!$J$4:$J$252,0),0)</f>
        <v>0</v>
      </c>
      <c r="P3149" s="169">
        <f>IFERROR(MATCH(J3149,'Final List'!$L$4:$L$252,0),0)</f>
        <v>0</v>
      </c>
      <c r="Q3149" s="169">
        <f>IFERROR(MATCH(J3149,'Final List'!$N$4:$N$252,0),0)</f>
        <v>0</v>
      </c>
      <c r="R3149" s="169">
        <f>IFERROR(MATCH(J3149,'Final List'!$P$4:$P$252,0),0)</f>
        <v>0</v>
      </c>
      <c r="S3149" s="169">
        <f t="shared" si="198"/>
        <v>0</v>
      </c>
      <c r="V3149" s="169" t="str">
        <f t="shared" si="195"/>
        <v>QUIJANO 1</v>
      </c>
      <c r="W3149" s="169" t="s">
        <v>2708</v>
      </c>
    </row>
    <row r="3150" spans="2:23" x14ac:dyDescent="0.25">
      <c r="B3150" s="169" t="s">
        <v>1166</v>
      </c>
      <c r="C3150" s="169" t="s">
        <v>45</v>
      </c>
      <c r="D3150" s="169" t="s">
        <v>5602</v>
      </c>
      <c r="E3150" s="169" t="s">
        <v>19</v>
      </c>
      <c r="F3150" s="245" t="str">
        <f t="shared" si="197"/>
        <v>DVR 72</v>
      </c>
      <c r="G3150" s="169" t="s">
        <v>474</v>
      </c>
      <c r="H3150" s="169" t="s">
        <v>11884</v>
      </c>
      <c r="I3150" s="169" t="str">
        <f t="shared" si="196"/>
        <v>L11_DPVE_053E_RAISE</v>
      </c>
      <c r="J3150" s="169" t="s">
        <v>12847</v>
      </c>
      <c r="K3150" s="169">
        <f>IFERROR(MATCH(J3150,'Final List'!$B$4:$B$252,0),0)</f>
        <v>0</v>
      </c>
      <c r="L3150" s="169">
        <f>IFERROR(MATCH(J3150,'Final List'!$D$4:$D$252,0),0)</f>
        <v>0</v>
      </c>
      <c r="M3150" s="169">
        <f>IFERROR(MATCH(J3150,'Final List'!$F$4:$F$251,0),0)</f>
        <v>0</v>
      </c>
      <c r="N3150" s="169">
        <f>IFERROR(MATCH(J3150,'Final List'!$H$4:$H$252,0),0)</f>
        <v>0</v>
      </c>
      <c r="O3150" s="169">
        <f>IFERROR(MATCH(J3150,'Final List'!$J$4:$J$252,0),0)</f>
        <v>0</v>
      </c>
      <c r="P3150" s="169">
        <f>IFERROR(MATCH(J3150,'Final List'!$L$4:$L$252,0),0)</f>
        <v>0</v>
      </c>
      <c r="Q3150" s="169">
        <f>IFERROR(MATCH(J3150,'Final List'!$N$4:$N$252,0),0)</f>
        <v>0</v>
      </c>
      <c r="R3150" s="169">
        <f>IFERROR(MATCH(J3150,'Final List'!$P$4:$P$252,0),0)</f>
        <v>0</v>
      </c>
      <c r="S3150" s="169">
        <f t="shared" si="198"/>
        <v>0</v>
      </c>
      <c r="V3150" s="169" t="str">
        <f t="shared" si="195"/>
        <v>DUHIG, R</v>
      </c>
      <c r="W3150" s="169" t="s">
        <v>2715</v>
      </c>
    </row>
    <row r="3151" spans="2:23" x14ac:dyDescent="0.25">
      <c r="B3151" s="169" t="s">
        <v>1167</v>
      </c>
      <c r="C3151" s="169" t="s">
        <v>43</v>
      </c>
      <c r="D3151" s="169" t="s">
        <v>5601</v>
      </c>
      <c r="E3151" s="169" t="s">
        <v>60</v>
      </c>
      <c r="F3151" s="245" t="str">
        <f t="shared" si="197"/>
        <v>Dhoz 71</v>
      </c>
      <c r="G3151" s="169" t="s">
        <v>9885</v>
      </c>
      <c r="I3151" s="169" t="str">
        <f t="shared" si="196"/>
        <v>L12_GHVSPLIT_026E_DE</v>
      </c>
      <c r="J3151" s="169" t="s">
        <v>12849</v>
      </c>
      <c r="K3151" s="169">
        <f>IFERROR(MATCH(J3151,'Final List'!$B$4:$B$252,0),0)</f>
        <v>0</v>
      </c>
      <c r="L3151" s="169">
        <f>IFERROR(MATCH(J3151,'Final List'!$D$4:$D$252,0),0)</f>
        <v>0</v>
      </c>
      <c r="M3151" s="169">
        <f>IFERROR(MATCH(J3151,'Final List'!$F$4:$F$251,0),0)</f>
        <v>0</v>
      </c>
      <c r="N3151" s="169">
        <f>IFERROR(MATCH(J3151,'Final List'!$H$4:$H$252,0),0)</f>
        <v>0</v>
      </c>
      <c r="O3151" s="169">
        <f>IFERROR(MATCH(J3151,'Final List'!$J$4:$J$252,0),0)</f>
        <v>0</v>
      </c>
      <c r="P3151" s="169">
        <f>IFERROR(MATCH(J3151,'Final List'!$L$4:$L$252,0),0)</f>
        <v>0</v>
      </c>
      <c r="Q3151" s="169">
        <f>IFERROR(MATCH(J3151,'Final List'!$N$4:$N$252,0),0)</f>
        <v>0</v>
      </c>
      <c r="R3151" s="169">
        <f>IFERROR(MATCH(J3151,'Final List'!$P$4:$P$252,0),0)</f>
        <v>0</v>
      </c>
      <c r="S3151" s="169">
        <f t="shared" si="198"/>
        <v>0</v>
      </c>
      <c r="V3151" s="169" t="str">
        <f t="shared" si="195"/>
        <v>CAYMAN 2</v>
      </c>
      <c r="W3151" s="169" t="s">
        <v>8896</v>
      </c>
    </row>
    <row r="3152" spans="2:23" x14ac:dyDescent="0.25">
      <c r="B3152" s="169" t="s">
        <v>95</v>
      </c>
      <c r="C3152" s="169" t="s">
        <v>45</v>
      </c>
      <c r="D3152" s="169" t="s">
        <v>144</v>
      </c>
      <c r="E3152" s="169" t="s">
        <v>221</v>
      </c>
      <c r="F3152" s="245" t="str">
        <f t="shared" si="197"/>
        <v>RobC 80</v>
      </c>
      <c r="G3152" s="169" t="s">
        <v>583</v>
      </c>
      <c r="I3152" s="169" t="str">
        <f t="shared" si="196"/>
        <v>L08_DPVE_043E_WINZE STOPE</v>
      </c>
      <c r="J3152" s="169" t="s">
        <v>12923</v>
      </c>
      <c r="K3152" s="169">
        <f>IFERROR(MATCH(J3152,'Final List'!$B$4:$B$252,0),0)</f>
        <v>0</v>
      </c>
      <c r="L3152" s="169">
        <f>IFERROR(MATCH(J3152,'Final List'!$D$4:$D$252,0),0)</f>
        <v>0</v>
      </c>
      <c r="M3152" s="169">
        <f>IFERROR(MATCH(J3152,'Final List'!$F$4:$F$251,0),0)</f>
        <v>0</v>
      </c>
      <c r="N3152" s="169">
        <f>IFERROR(MATCH(J3152,'Final List'!$H$4:$H$252,0),0)</f>
        <v>0</v>
      </c>
      <c r="O3152" s="169">
        <f>IFERROR(MATCH(J3152,'Final List'!$J$4:$J$252,0),0)</f>
        <v>0</v>
      </c>
      <c r="P3152" s="169">
        <f>IFERROR(MATCH(J3152,'Final List'!$L$4:$L$252,0),0)</f>
        <v>0</v>
      </c>
      <c r="Q3152" s="169">
        <f>IFERROR(MATCH(J3152,'Final List'!$N$4:$N$252,0),0)</f>
        <v>0</v>
      </c>
      <c r="R3152" s="169">
        <f>IFERROR(MATCH(J3152,'Final List'!$P$4:$P$252,0),0)</f>
        <v>0</v>
      </c>
      <c r="S3152" s="169">
        <f t="shared" si="198"/>
        <v>0</v>
      </c>
      <c r="T3152" s="169" t="s">
        <v>68</v>
      </c>
      <c r="V3152" s="169" t="str">
        <f t="shared" si="195"/>
        <v>VILLARANTE 1</v>
      </c>
      <c r="W3152" s="169" t="s">
        <v>2713</v>
      </c>
    </row>
    <row r="3153" spans="2:23" x14ac:dyDescent="0.25">
      <c r="B3153" s="169" t="s">
        <v>1166</v>
      </c>
      <c r="C3153" s="169" t="s">
        <v>59</v>
      </c>
      <c r="D3153" s="169" t="s">
        <v>284</v>
      </c>
      <c r="E3153" s="169" t="s">
        <v>20</v>
      </c>
      <c r="F3153" s="245" t="str">
        <f t="shared" si="197"/>
        <v>DVW 74</v>
      </c>
      <c r="G3153" s="169" t="s">
        <v>359</v>
      </c>
      <c r="I3153" s="169" t="str">
        <f t="shared" si="196"/>
        <v>L11_GHVHW_061E_WINZE</v>
      </c>
      <c r="J3153" s="169" t="s">
        <v>12858</v>
      </c>
      <c r="K3153" s="169">
        <f>IFERROR(MATCH(J3153,'Final List'!$B$4:$B$252,0),0)</f>
        <v>0</v>
      </c>
      <c r="L3153" s="169">
        <f>IFERROR(MATCH(J3153,'Final List'!$D$4:$D$252,0),0)</f>
        <v>0</v>
      </c>
      <c r="M3153" s="169">
        <f>IFERROR(MATCH(J3153,'Final List'!$F$4:$F$251,0),0)</f>
        <v>0</v>
      </c>
      <c r="N3153" s="169">
        <f>IFERROR(MATCH(J3153,'Final List'!$H$4:$H$252,0),0)</f>
        <v>0</v>
      </c>
      <c r="O3153" s="169">
        <f>IFERROR(MATCH(J3153,'Final List'!$J$4:$J$252,0),0)</f>
        <v>0</v>
      </c>
      <c r="P3153" s="169">
        <f>IFERROR(MATCH(J3153,'Final List'!$L$4:$L$252,0),0)</f>
        <v>0</v>
      </c>
      <c r="Q3153" s="169">
        <f>IFERROR(MATCH(J3153,'Final List'!$N$4:$N$252,0),0)</f>
        <v>0</v>
      </c>
      <c r="R3153" s="169">
        <f>IFERROR(MATCH(J3153,'Final List'!$P$4:$P$252,0),0)</f>
        <v>0</v>
      </c>
      <c r="S3153" s="169">
        <f t="shared" si="198"/>
        <v>0</v>
      </c>
      <c r="V3153" s="169" t="str">
        <f t="shared" si="195"/>
        <v>ALEÑAR 2</v>
      </c>
      <c r="W3153" s="169" t="s">
        <v>2706</v>
      </c>
    </row>
    <row r="3154" spans="2:23" x14ac:dyDescent="0.25">
      <c r="B3154" s="169" t="s">
        <v>1166</v>
      </c>
      <c r="C3154" s="169" t="s">
        <v>87</v>
      </c>
      <c r="D3154" s="169" t="s">
        <v>180</v>
      </c>
      <c r="E3154" s="169" t="s">
        <v>63</v>
      </c>
      <c r="F3154" s="245" t="str">
        <f t="shared" si="197"/>
        <v>Dhoz 71</v>
      </c>
      <c r="G3154" s="169" t="s">
        <v>4155</v>
      </c>
      <c r="I3154" s="169" t="str">
        <f t="shared" si="196"/>
        <v>L11_NONE_041E_XCS</v>
      </c>
      <c r="J3154" s="169" t="s">
        <v>12860</v>
      </c>
      <c r="K3154" s="169">
        <f>IFERROR(MATCH(J3154,'Final List'!$B$4:$B$252,0),0)</f>
        <v>0</v>
      </c>
      <c r="L3154" s="169">
        <f>IFERROR(MATCH(J3154,'Final List'!$D$4:$D$252,0),0)</f>
        <v>0</v>
      </c>
      <c r="M3154" s="169">
        <f>IFERROR(MATCH(J3154,'Final List'!$F$4:$F$251,0),0)</f>
        <v>0</v>
      </c>
      <c r="N3154" s="169">
        <f>IFERROR(MATCH(J3154,'Final List'!$H$4:$H$252,0),0)</f>
        <v>0</v>
      </c>
      <c r="O3154" s="169">
        <f>IFERROR(MATCH(J3154,'Final List'!$J$4:$J$252,0),0)</f>
        <v>0</v>
      </c>
      <c r="P3154" s="169">
        <f>IFERROR(MATCH(J3154,'Final List'!$L$4:$L$252,0),0)</f>
        <v>0</v>
      </c>
      <c r="Q3154" s="169">
        <f>IFERROR(MATCH(J3154,'Final List'!$N$4:$N$252,0),0)</f>
        <v>0</v>
      </c>
      <c r="R3154" s="169">
        <f>IFERROR(MATCH(J3154,'Final List'!$P$4:$P$252,0),0)</f>
        <v>0</v>
      </c>
      <c r="S3154" s="169">
        <f t="shared" si="198"/>
        <v>0</v>
      </c>
      <c r="V3154" s="169" t="str">
        <f t="shared" si="195"/>
        <v>BAÑEZ</v>
      </c>
      <c r="W3154" s="169" t="s">
        <v>2714</v>
      </c>
    </row>
    <row r="3155" spans="2:23" x14ac:dyDescent="0.25">
      <c r="B3155" s="169" t="s">
        <v>96</v>
      </c>
      <c r="C3155" s="169" t="s">
        <v>45</v>
      </c>
      <c r="D3155" s="169" t="s">
        <v>159</v>
      </c>
      <c r="E3155" s="169" t="s">
        <v>62</v>
      </c>
      <c r="F3155" s="245" t="str">
        <f t="shared" si="197"/>
        <v>RobS 79</v>
      </c>
      <c r="G3155" s="169" t="s">
        <v>6216</v>
      </c>
      <c r="I3155" s="169" t="str">
        <f t="shared" si="196"/>
        <v>L09_DPVE_023E_ROBBING</v>
      </c>
      <c r="J3155" s="169" t="s">
        <v>12864</v>
      </c>
      <c r="K3155" s="169">
        <f>IFERROR(MATCH(J3155,'Final List'!$B$4:$B$252,0),0)</f>
        <v>0</v>
      </c>
      <c r="L3155" s="169">
        <f>IFERROR(MATCH(J3155,'Final List'!$D$4:$D$252,0),0)</f>
        <v>0</v>
      </c>
      <c r="M3155" s="169">
        <f>IFERROR(MATCH(J3155,'Final List'!$F$4:$F$251,0),0)</f>
        <v>0</v>
      </c>
      <c r="N3155" s="169">
        <f>IFERROR(MATCH(J3155,'Final List'!$H$4:$H$252,0),0)</f>
        <v>0</v>
      </c>
      <c r="O3155" s="169">
        <f>IFERROR(MATCH(J3155,'Final List'!$J$4:$J$252,0),0)</f>
        <v>0</v>
      </c>
      <c r="P3155" s="169">
        <f>IFERROR(MATCH(J3155,'Final List'!$L$4:$L$252,0),0)</f>
        <v>0</v>
      </c>
      <c r="Q3155" s="169">
        <f>IFERROR(MATCH(J3155,'Final List'!$N$4:$N$252,0),0)</f>
        <v>0</v>
      </c>
      <c r="R3155" s="169">
        <f>IFERROR(MATCH(J3155,'Final List'!$P$4:$P$252,0),0)</f>
        <v>0</v>
      </c>
      <c r="S3155" s="169">
        <f t="shared" si="198"/>
        <v>0</v>
      </c>
      <c r="T3155" s="169" t="s">
        <v>68</v>
      </c>
      <c r="V3155" s="169" t="str">
        <f t="shared" si="195"/>
        <v>FERNANDEZ</v>
      </c>
      <c r="W3155" s="169" t="s">
        <v>2707</v>
      </c>
    </row>
    <row r="3156" spans="2:23" x14ac:dyDescent="0.25">
      <c r="B3156" s="169" t="s">
        <v>1167</v>
      </c>
      <c r="C3156" s="169" t="s">
        <v>56</v>
      </c>
      <c r="D3156" s="169" t="s">
        <v>133</v>
      </c>
      <c r="E3156" s="169" t="s">
        <v>61</v>
      </c>
      <c r="F3156" s="245" t="str">
        <f t="shared" si="197"/>
        <v>Dhoz 71</v>
      </c>
      <c r="G3156" s="169" t="s">
        <v>6930</v>
      </c>
      <c r="I3156" s="169" t="str">
        <f t="shared" si="196"/>
        <v>L12_GHVFW_037E_DW</v>
      </c>
      <c r="J3156" s="169" t="s">
        <v>12867</v>
      </c>
      <c r="K3156" s="169">
        <f>IFERROR(MATCH(J3156,'Final List'!$B$4:$B$252,0),0)</f>
        <v>0</v>
      </c>
      <c r="L3156" s="169">
        <f>IFERROR(MATCH(J3156,'Final List'!$D$4:$D$252,0),0)</f>
        <v>0</v>
      </c>
      <c r="M3156" s="169">
        <f>IFERROR(MATCH(J3156,'Final List'!$F$4:$F$251,0),0)</f>
        <v>0</v>
      </c>
      <c r="N3156" s="169">
        <f>IFERROR(MATCH(J3156,'Final List'!$H$4:$H$252,0),0)</f>
        <v>0</v>
      </c>
      <c r="O3156" s="169">
        <f>IFERROR(MATCH(J3156,'Final List'!$J$4:$J$252,0),0)</f>
        <v>0</v>
      </c>
      <c r="P3156" s="169">
        <f>IFERROR(MATCH(J3156,'Final List'!$L$4:$L$252,0),0)</f>
        <v>0</v>
      </c>
      <c r="Q3156" s="169">
        <f>IFERROR(MATCH(J3156,'Final List'!$N$4:$N$252,0),0)</f>
        <v>0</v>
      </c>
      <c r="R3156" s="169">
        <f>IFERROR(MATCH(J3156,'Final List'!$P$4:$P$252,0),0)</f>
        <v>0</v>
      </c>
      <c r="S3156" s="169">
        <f t="shared" si="198"/>
        <v>0</v>
      </c>
      <c r="V3156" s="169" t="str">
        <f t="shared" si="195"/>
        <v>DUHIG, P1</v>
      </c>
      <c r="W3156" s="169" t="s">
        <v>8896</v>
      </c>
    </row>
    <row r="3157" spans="2:23" x14ac:dyDescent="0.25">
      <c r="B3157" s="169" t="s">
        <v>12320</v>
      </c>
      <c r="C3157" s="169" t="s">
        <v>59</v>
      </c>
      <c r="D3157" s="169" t="s">
        <v>5602</v>
      </c>
      <c r="E3157" s="169" t="s">
        <v>61</v>
      </c>
      <c r="F3157" s="245" t="str">
        <f t="shared" si="197"/>
        <v>Dhoz 71</v>
      </c>
      <c r="G3157" s="169" t="s">
        <v>747</v>
      </c>
      <c r="I3157" s="169" t="str">
        <f t="shared" si="196"/>
        <v>L425_GHVHW_053E_DW</v>
      </c>
      <c r="J3157" s="169" t="s">
        <v>12870</v>
      </c>
      <c r="K3157" s="169">
        <f>IFERROR(MATCH(J3157,'Final List'!$B$4:$B$252,0),0)</f>
        <v>0</v>
      </c>
      <c r="L3157" s="169">
        <f>IFERROR(MATCH(J3157,'Final List'!$D$4:$D$252,0),0)</f>
        <v>0</v>
      </c>
      <c r="M3157" s="169">
        <f>IFERROR(MATCH(J3157,'Final List'!$F$4:$F$251,0),0)</f>
        <v>0</v>
      </c>
      <c r="N3157" s="169">
        <f>IFERROR(MATCH(J3157,'Final List'!$H$4:$H$252,0),0)</f>
        <v>0</v>
      </c>
      <c r="O3157" s="169">
        <f>IFERROR(MATCH(J3157,'Final List'!$J$4:$J$252,0),0)</f>
        <v>0</v>
      </c>
      <c r="P3157" s="169">
        <f>IFERROR(MATCH(J3157,'Final List'!$L$4:$L$252,0),0)</f>
        <v>0</v>
      </c>
      <c r="Q3157" s="169">
        <f>IFERROR(MATCH(J3157,'Final List'!$N$4:$N$252,0),0)</f>
        <v>0</v>
      </c>
      <c r="R3157" s="169">
        <f>IFERROR(MATCH(J3157,'Final List'!$P$4:$P$252,0),0)</f>
        <v>0</v>
      </c>
      <c r="S3157" s="169">
        <f t="shared" si="198"/>
        <v>0</v>
      </c>
      <c r="V3157" s="169" t="str">
        <f t="shared" si="195"/>
        <v>REBOTE</v>
      </c>
      <c r="W3157" s="169" t="s">
        <v>8896</v>
      </c>
    </row>
    <row r="3158" spans="2:23" x14ac:dyDescent="0.25">
      <c r="B3158" s="169" t="s">
        <v>95</v>
      </c>
      <c r="C3158" s="169" t="s">
        <v>45</v>
      </c>
      <c r="D3158" s="169" t="s">
        <v>132</v>
      </c>
      <c r="E3158" s="169" t="s">
        <v>62</v>
      </c>
      <c r="F3158" s="245" t="str">
        <f t="shared" si="197"/>
        <v>RobS 79</v>
      </c>
      <c r="G3158" s="169" t="s">
        <v>305</v>
      </c>
      <c r="I3158" s="169" t="str">
        <f t="shared" si="196"/>
        <v>L08_DPVE_033E_ROBBING</v>
      </c>
      <c r="J3158" s="169" t="s">
        <v>12873</v>
      </c>
      <c r="K3158" s="169">
        <f>IFERROR(MATCH(J3158,'Final List'!$B$4:$B$252,0),0)</f>
        <v>0</v>
      </c>
      <c r="L3158" s="169">
        <f>IFERROR(MATCH(J3158,'Final List'!$D$4:$D$252,0),0)</f>
        <v>0</v>
      </c>
      <c r="M3158" s="169">
        <f>IFERROR(MATCH(J3158,'Final List'!$F$4:$F$251,0),0)</f>
        <v>0</v>
      </c>
      <c r="N3158" s="169">
        <f>IFERROR(MATCH(J3158,'Final List'!$H$4:$H$252,0),0)</f>
        <v>0</v>
      </c>
      <c r="O3158" s="169">
        <f>IFERROR(MATCH(J3158,'Final List'!$J$4:$J$252,0),0)</f>
        <v>0</v>
      </c>
      <c r="P3158" s="169">
        <f>IFERROR(MATCH(J3158,'Final List'!$L$4:$L$252,0),0)</f>
        <v>0</v>
      </c>
      <c r="Q3158" s="169">
        <f>IFERROR(MATCH(J3158,'Final List'!$N$4:$N$252,0),0)</f>
        <v>0</v>
      </c>
      <c r="R3158" s="169">
        <f>IFERROR(MATCH(J3158,'Final List'!$P$4:$P$252,0),0)</f>
        <v>0</v>
      </c>
      <c r="S3158" s="169">
        <f t="shared" si="198"/>
        <v>0</v>
      </c>
      <c r="T3158" s="169" t="s">
        <v>68</v>
      </c>
      <c r="V3158" s="169" t="str">
        <f t="shared" si="195"/>
        <v>CABONITA 1</v>
      </c>
      <c r="W3158" s="169" t="s">
        <v>2707</v>
      </c>
    </row>
    <row r="3159" spans="2:23" x14ac:dyDescent="0.25">
      <c r="B3159" s="169" t="s">
        <v>95</v>
      </c>
      <c r="C3159" s="169" t="s">
        <v>87</v>
      </c>
      <c r="D3159" s="169" t="s">
        <v>7223</v>
      </c>
      <c r="E3159" s="169" t="s">
        <v>37</v>
      </c>
      <c r="F3159" s="245" t="str">
        <f t="shared" si="197"/>
        <v>Dhoz 71</v>
      </c>
      <c r="G3159" s="169" t="s">
        <v>6216</v>
      </c>
      <c r="H3159" s="169" t="s">
        <v>13199</v>
      </c>
      <c r="I3159" s="169" t="str">
        <f t="shared" si="196"/>
        <v>L08_NONE_002E_XCN</v>
      </c>
      <c r="J3159" s="169" t="s">
        <v>12874</v>
      </c>
      <c r="K3159" s="169">
        <f>IFERROR(MATCH(J3159,'Final List'!$B$4:$B$252,0),0)</f>
        <v>0</v>
      </c>
      <c r="L3159" s="169">
        <f>IFERROR(MATCH(J3159,'Final List'!$D$4:$D$252,0),0)</f>
        <v>0</v>
      </c>
      <c r="M3159" s="169">
        <f>IFERROR(MATCH(J3159,'Final List'!$F$4:$F$251,0),0)</f>
        <v>0</v>
      </c>
      <c r="N3159" s="169">
        <f>IFERROR(MATCH(J3159,'Final List'!$H$4:$H$252,0),0)</f>
        <v>0</v>
      </c>
      <c r="O3159" s="169">
        <f>IFERROR(MATCH(J3159,'Final List'!$J$4:$J$252,0),0)</f>
        <v>0</v>
      </c>
      <c r="P3159" s="169">
        <f>IFERROR(MATCH(J3159,'Final List'!$L$4:$L$252,0),0)</f>
        <v>0</v>
      </c>
      <c r="Q3159" s="169">
        <f>IFERROR(MATCH(J3159,'Final List'!$N$4:$N$252,0),0)</f>
        <v>0</v>
      </c>
      <c r="R3159" s="169">
        <f>IFERROR(MATCH(J3159,'Final List'!$P$4:$P$252,0),0)</f>
        <v>0</v>
      </c>
      <c r="S3159" s="169">
        <f t="shared" si="198"/>
        <v>0</v>
      </c>
      <c r="V3159" s="169" t="str">
        <f t="shared" si="195"/>
        <v>NITRO CA</v>
      </c>
      <c r="W3159" s="169" t="s">
        <v>8897</v>
      </c>
    </row>
    <row r="3160" spans="2:23" x14ac:dyDescent="0.25">
      <c r="B3160" s="169" t="s">
        <v>96</v>
      </c>
      <c r="C3160" s="169" t="s">
        <v>45</v>
      </c>
      <c r="D3160" s="169" t="s">
        <v>6946</v>
      </c>
      <c r="E3160" s="169" t="s">
        <v>62</v>
      </c>
      <c r="F3160" s="245" t="str">
        <f t="shared" si="197"/>
        <v>RobC 80</v>
      </c>
      <c r="G3160" s="169" t="s">
        <v>1510</v>
      </c>
      <c r="I3160" s="169" t="str">
        <f t="shared" si="196"/>
        <v>L09_DPVE_081E_ROBBING</v>
      </c>
      <c r="J3160" s="169" t="s">
        <v>12877</v>
      </c>
      <c r="K3160" s="169">
        <f>IFERROR(MATCH(J3160,'Final List'!$B$4:$B$252,0),0)</f>
        <v>0</v>
      </c>
      <c r="L3160" s="169">
        <f>IFERROR(MATCH(J3160,'Final List'!$D$4:$D$252,0),0)</f>
        <v>0</v>
      </c>
      <c r="M3160" s="169">
        <f>IFERROR(MATCH(J3160,'Final List'!$F$4:$F$251,0),0)</f>
        <v>0</v>
      </c>
      <c r="N3160" s="169">
        <f>IFERROR(MATCH(J3160,'Final List'!$H$4:$H$252,0),0)</f>
        <v>0</v>
      </c>
      <c r="O3160" s="169">
        <f>IFERROR(MATCH(J3160,'Final List'!$J$4:$J$252,0),0)</f>
        <v>0</v>
      </c>
      <c r="P3160" s="169">
        <f>IFERROR(MATCH(J3160,'Final List'!$L$4:$L$252,0),0)</f>
        <v>0</v>
      </c>
      <c r="Q3160" s="169">
        <f>IFERROR(MATCH(J3160,'Final List'!$N$4:$N$252,0),0)</f>
        <v>0</v>
      </c>
      <c r="R3160" s="169">
        <f>IFERROR(MATCH(J3160,'Final List'!$P$4:$P$252,0),0)</f>
        <v>0</v>
      </c>
      <c r="S3160" s="169">
        <f t="shared" si="198"/>
        <v>0</v>
      </c>
      <c r="T3160" s="169" t="s">
        <v>48</v>
      </c>
      <c r="V3160" s="169" t="str">
        <f t="shared" si="195"/>
        <v>DELOS REYES</v>
      </c>
      <c r="W3160" s="169" t="s">
        <v>236</v>
      </c>
    </row>
    <row r="3161" spans="2:23" x14ac:dyDescent="0.25">
      <c r="B3161" s="169" t="s">
        <v>96</v>
      </c>
      <c r="C3161" s="169" t="s">
        <v>45</v>
      </c>
      <c r="D3161" s="169" t="s">
        <v>110</v>
      </c>
      <c r="E3161" s="169" t="s">
        <v>61</v>
      </c>
      <c r="F3161" s="245" t="str">
        <f t="shared" si="197"/>
        <v>Dhoz 71</v>
      </c>
      <c r="G3161" s="169" t="s">
        <v>2972</v>
      </c>
      <c r="I3161" s="169" t="str">
        <f t="shared" si="196"/>
        <v>L09_DPVE_004E_DW</v>
      </c>
      <c r="J3161" s="169" t="s">
        <v>12882</v>
      </c>
      <c r="K3161" s="169">
        <f>IFERROR(MATCH(J3161,'Final List'!$B$4:$B$252,0),0)</f>
        <v>0</v>
      </c>
      <c r="L3161" s="169">
        <f>IFERROR(MATCH(J3161,'Final List'!$D$4:$D$252,0),0)</f>
        <v>0</v>
      </c>
      <c r="M3161" s="169">
        <f>IFERROR(MATCH(J3161,'Final List'!$F$4:$F$251,0),0)</f>
        <v>0</v>
      </c>
      <c r="N3161" s="169">
        <f>IFERROR(MATCH(J3161,'Final List'!$H$4:$H$252,0),0)</f>
        <v>0</v>
      </c>
      <c r="O3161" s="169">
        <f>IFERROR(MATCH(J3161,'Final List'!$J$4:$J$252,0),0)</f>
        <v>0</v>
      </c>
      <c r="P3161" s="169">
        <f>IFERROR(MATCH(J3161,'Final List'!$L$4:$L$252,0),0)</f>
        <v>0</v>
      </c>
      <c r="Q3161" s="169">
        <f>IFERROR(MATCH(J3161,'Final List'!$N$4:$N$252,0),0)</f>
        <v>0</v>
      </c>
      <c r="R3161" s="169">
        <f>IFERROR(MATCH(J3161,'Final List'!$P$4:$P$252,0),0)</f>
        <v>0</v>
      </c>
      <c r="S3161" s="169">
        <f t="shared" si="198"/>
        <v>0</v>
      </c>
      <c r="V3161" s="169" t="str">
        <f t="shared" si="195"/>
        <v>FABROA 1</v>
      </c>
      <c r="W3161" s="169" t="s">
        <v>8896</v>
      </c>
    </row>
    <row r="3162" spans="2:23" x14ac:dyDescent="0.25">
      <c r="B3162" s="169" t="s">
        <v>96</v>
      </c>
      <c r="C3162" s="169" t="s">
        <v>38</v>
      </c>
      <c r="D3162" s="169" t="s">
        <v>6710</v>
      </c>
      <c r="E3162" s="169" t="s">
        <v>6143</v>
      </c>
      <c r="F3162" s="245" t="str">
        <f t="shared" si="197"/>
        <v>Dhoz 71</v>
      </c>
      <c r="G3162" s="169" t="s">
        <v>1457</v>
      </c>
      <c r="I3162" s="169" t="str">
        <f t="shared" si="196"/>
        <v>L09_GHV_018W_DE_ISL</v>
      </c>
      <c r="J3162" s="169" t="s">
        <v>12896</v>
      </c>
      <c r="K3162" s="169">
        <f>IFERROR(MATCH(J3162,'Final List'!$B$4:$B$252,0),0)</f>
        <v>0</v>
      </c>
      <c r="L3162" s="169">
        <f>IFERROR(MATCH(J3162,'Final List'!$D$4:$D$252,0),0)</f>
        <v>0</v>
      </c>
      <c r="M3162" s="169">
        <f>IFERROR(MATCH(J3162,'Final List'!$F$4:$F$251,0),0)</f>
        <v>0</v>
      </c>
      <c r="N3162" s="169">
        <f>IFERROR(MATCH(J3162,'Final List'!$H$4:$H$252,0),0)</f>
        <v>0</v>
      </c>
      <c r="O3162" s="169">
        <f>IFERROR(MATCH(J3162,'Final List'!$J$4:$J$252,0),0)</f>
        <v>0</v>
      </c>
      <c r="P3162" s="169">
        <f>IFERROR(MATCH(J3162,'Final List'!$L$4:$L$252,0),0)</f>
        <v>0</v>
      </c>
      <c r="Q3162" s="169">
        <f>IFERROR(MATCH(J3162,'Final List'!$N$4:$N$252,0),0)</f>
        <v>0</v>
      </c>
      <c r="R3162" s="169">
        <f>IFERROR(MATCH(J3162,'Final List'!$P$4:$P$252,0),0)</f>
        <v>0</v>
      </c>
      <c r="S3162" s="169">
        <f t="shared" si="198"/>
        <v>0</v>
      </c>
      <c r="V3162" s="169" t="str">
        <f t="shared" si="195"/>
        <v>UDLOS</v>
      </c>
      <c r="W3162" s="169" t="s">
        <v>8896</v>
      </c>
    </row>
    <row r="3163" spans="2:23" x14ac:dyDescent="0.25">
      <c r="B3163" s="169" t="s">
        <v>96</v>
      </c>
      <c r="C3163" s="169" t="s">
        <v>45</v>
      </c>
      <c r="D3163" s="169" t="s">
        <v>9847</v>
      </c>
      <c r="E3163" s="169" t="s">
        <v>19</v>
      </c>
      <c r="F3163" s="245" t="str">
        <f t="shared" si="197"/>
        <v>DVR 72</v>
      </c>
      <c r="G3163" s="169" t="s">
        <v>12885</v>
      </c>
      <c r="I3163" s="169" t="str">
        <f t="shared" si="196"/>
        <v>L09_DPVE_095E_RAISE</v>
      </c>
      <c r="J3163" s="169" t="s">
        <v>12884</v>
      </c>
      <c r="K3163" s="169">
        <f>IFERROR(MATCH(J3163,'Final List'!$B$4:$B$252,0),0)</f>
        <v>0</v>
      </c>
      <c r="L3163" s="169">
        <f>IFERROR(MATCH(J3163,'Final List'!$D$4:$D$252,0),0)</f>
        <v>0</v>
      </c>
      <c r="M3163" s="169">
        <f>IFERROR(MATCH(J3163,'Final List'!$F$4:$F$251,0),0)</f>
        <v>0</v>
      </c>
      <c r="N3163" s="169">
        <f>IFERROR(MATCH(J3163,'Final List'!$H$4:$H$252,0),0)</f>
        <v>0</v>
      </c>
      <c r="O3163" s="169">
        <f>IFERROR(MATCH(J3163,'Final List'!$J$4:$J$252,0),0)</f>
        <v>0</v>
      </c>
      <c r="P3163" s="169">
        <f>IFERROR(MATCH(J3163,'Final List'!$L$4:$L$252,0),0)</f>
        <v>0</v>
      </c>
      <c r="Q3163" s="169">
        <f>IFERROR(MATCH(J3163,'Final List'!$N$4:$N$252,0),0)</f>
        <v>0</v>
      </c>
      <c r="R3163" s="169">
        <f>IFERROR(MATCH(J3163,'Final List'!$P$4:$P$252,0),0)</f>
        <v>0</v>
      </c>
      <c r="S3163" s="169">
        <f t="shared" si="198"/>
        <v>0</v>
      </c>
      <c r="V3163" s="169" t="str">
        <f t="shared" si="195"/>
        <v>DELOS REYES V4</v>
      </c>
      <c r="W3163" s="169" t="s">
        <v>2715</v>
      </c>
    </row>
    <row r="3164" spans="2:23" x14ac:dyDescent="0.25">
      <c r="B3164" s="169" t="s">
        <v>1167</v>
      </c>
      <c r="C3164" s="169" t="s">
        <v>45</v>
      </c>
      <c r="D3164" s="169" t="s">
        <v>128</v>
      </c>
      <c r="E3164" s="169" t="s">
        <v>19</v>
      </c>
      <c r="F3164" s="245" t="str">
        <f t="shared" si="197"/>
        <v>DVR 72</v>
      </c>
      <c r="G3164" s="169" t="s">
        <v>12547</v>
      </c>
      <c r="I3164" s="169" t="str">
        <f t="shared" si="196"/>
        <v>L12_DPVE_027E_RAISE</v>
      </c>
      <c r="J3164" s="169" t="s">
        <v>12886</v>
      </c>
      <c r="K3164" s="169">
        <f>IFERROR(MATCH(J3164,'Final List'!$B$4:$B$252,0),0)</f>
        <v>0</v>
      </c>
      <c r="L3164" s="169">
        <f>IFERROR(MATCH(J3164,'Final List'!$D$4:$D$252,0),0)</f>
        <v>0</v>
      </c>
      <c r="M3164" s="169">
        <f>IFERROR(MATCH(J3164,'Final List'!$F$4:$F$251,0),0)</f>
        <v>0</v>
      </c>
      <c r="N3164" s="169">
        <f>IFERROR(MATCH(J3164,'Final List'!$H$4:$H$252,0),0)</f>
        <v>0</v>
      </c>
      <c r="O3164" s="169">
        <f>IFERROR(MATCH(J3164,'Final List'!$J$4:$J$252,0),0)</f>
        <v>0</v>
      </c>
      <c r="P3164" s="169">
        <f>IFERROR(MATCH(J3164,'Final List'!$L$4:$L$252,0),0)</f>
        <v>0</v>
      </c>
      <c r="Q3164" s="169">
        <f>IFERROR(MATCH(J3164,'Final List'!$N$4:$N$252,0),0)</f>
        <v>0</v>
      </c>
      <c r="R3164" s="169">
        <f>IFERROR(MATCH(J3164,'Final List'!$P$4:$P$252,0),0)</f>
        <v>0</v>
      </c>
      <c r="S3164" s="169">
        <f t="shared" si="198"/>
        <v>0</v>
      </c>
      <c r="V3164" s="169" t="str">
        <f t="shared" si="195"/>
        <v>NITRO BN</v>
      </c>
      <c r="W3164" s="169" t="s">
        <v>2715</v>
      </c>
    </row>
    <row r="3165" spans="2:23" x14ac:dyDescent="0.25">
      <c r="B3165" s="169" t="s">
        <v>96</v>
      </c>
      <c r="C3165" s="169" t="s">
        <v>59</v>
      </c>
      <c r="D3165" s="169" t="s">
        <v>108</v>
      </c>
      <c r="E3165" s="169" t="s">
        <v>61</v>
      </c>
      <c r="F3165" s="245" t="str">
        <f t="shared" si="197"/>
        <v>Dhoz 71</v>
      </c>
      <c r="G3165" s="169" t="s">
        <v>12888</v>
      </c>
      <c r="I3165" s="169" t="str">
        <f t="shared" si="196"/>
        <v>L09_GHVHW_007W_DW</v>
      </c>
      <c r="J3165" s="169" t="s">
        <v>12887</v>
      </c>
      <c r="K3165" s="169">
        <f>IFERROR(MATCH(J3165,'Final List'!$B$4:$B$252,0),0)</f>
        <v>0</v>
      </c>
      <c r="L3165" s="169">
        <f>IFERROR(MATCH(J3165,'Final List'!$D$4:$D$252,0),0)</f>
        <v>0</v>
      </c>
      <c r="M3165" s="169">
        <f>IFERROR(MATCH(J3165,'Final List'!$F$4:$F$251,0),0)</f>
        <v>0</v>
      </c>
      <c r="N3165" s="169">
        <f>IFERROR(MATCH(J3165,'Final List'!$H$4:$H$252,0),0)</f>
        <v>0</v>
      </c>
      <c r="O3165" s="169">
        <f>IFERROR(MATCH(J3165,'Final List'!$J$4:$J$252,0),0)</f>
        <v>0</v>
      </c>
      <c r="P3165" s="169">
        <f>IFERROR(MATCH(J3165,'Final List'!$L$4:$L$252,0),0)</f>
        <v>0</v>
      </c>
      <c r="Q3165" s="169">
        <f>IFERROR(MATCH(J3165,'Final List'!$N$4:$N$252,0),0)</f>
        <v>0</v>
      </c>
      <c r="R3165" s="169">
        <f>IFERROR(MATCH(J3165,'Final List'!$P$4:$P$252,0),0)</f>
        <v>0</v>
      </c>
      <c r="S3165" s="169">
        <f t="shared" si="198"/>
        <v>0</v>
      </c>
      <c r="V3165" s="169" t="str">
        <f t="shared" si="195"/>
        <v>NITRO BD</v>
      </c>
      <c r="W3165" s="169" t="s">
        <v>8896</v>
      </c>
    </row>
    <row r="3166" spans="2:23" x14ac:dyDescent="0.25">
      <c r="B3166" s="169" t="s">
        <v>1167</v>
      </c>
      <c r="C3166" s="169" t="s">
        <v>42</v>
      </c>
      <c r="D3166" s="169" t="s">
        <v>180</v>
      </c>
      <c r="E3166" s="169" t="s">
        <v>19</v>
      </c>
      <c r="F3166" s="245" t="str">
        <f t="shared" si="197"/>
        <v>DVR 72</v>
      </c>
      <c r="G3166" s="169" t="s">
        <v>9885</v>
      </c>
      <c r="I3166" s="169" t="str">
        <f t="shared" si="196"/>
        <v>L12_JV_041E_RAISE</v>
      </c>
      <c r="J3166" s="169" t="s">
        <v>12997</v>
      </c>
      <c r="K3166" s="169">
        <f>IFERROR(MATCH(J3166,'Final List'!$B$4:$B$252,0),0)</f>
        <v>0</v>
      </c>
      <c r="L3166" s="169">
        <f>IFERROR(MATCH(J3166,'Final List'!$D$4:$D$252,0),0)</f>
        <v>0</v>
      </c>
      <c r="M3166" s="169">
        <f>IFERROR(MATCH(J3166,'Final List'!$F$4:$F$251,0),0)</f>
        <v>0</v>
      </c>
      <c r="N3166" s="169">
        <f>IFERROR(MATCH(J3166,'Final List'!$H$4:$H$252,0),0)</f>
        <v>0</v>
      </c>
      <c r="O3166" s="169">
        <f>IFERROR(MATCH(J3166,'Final List'!$J$4:$J$252,0),0)</f>
        <v>0</v>
      </c>
      <c r="P3166" s="169">
        <f>IFERROR(MATCH(J3166,'Final List'!$L$4:$L$252,0),0)</f>
        <v>0</v>
      </c>
      <c r="Q3166" s="169">
        <f>IFERROR(MATCH(J3166,'Final List'!$N$4:$N$252,0),0)</f>
        <v>0</v>
      </c>
      <c r="R3166" s="169">
        <f>IFERROR(MATCH(J3166,'Final List'!$P$4:$P$252,0),0)</f>
        <v>0</v>
      </c>
      <c r="S3166" s="169">
        <f t="shared" si="198"/>
        <v>0</v>
      </c>
      <c r="V3166" s="169" t="str">
        <f t="shared" si="195"/>
        <v>CAYMAN 2</v>
      </c>
      <c r="W3166" s="169" t="s">
        <v>2715</v>
      </c>
    </row>
    <row r="3167" spans="2:23" x14ac:dyDescent="0.25">
      <c r="B3167" s="169" t="s">
        <v>258</v>
      </c>
      <c r="C3167" s="169" t="s">
        <v>57</v>
      </c>
      <c r="D3167" s="169" t="s">
        <v>201</v>
      </c>
      <c r="E3167" s="169" t="s">
        <v>6154</v>
      </c>
      <c r="F3167" s="245" t="str">
        <f t="shared" si="197"/>
        <v>Dhoz 71</v>
      </c>
      <c r="G3167" s="169" t="s">
        <v>12409</v>
      </c>
      <c r="I3167" s="169" t="str">
        <f t="shared" si="196"/>
        <v>L10_JVSPLIT_067E_DW_ISL</v>
      </c>
      <c r="J3167" s="169" t="s">
        <v>12894</v>
      </c>
      <c r="K3167" s="169">
        <f>IFERROR(MATCH(J3167,'Final List'!$B$4:$B$252,0),0)</f>
        <v>0</v>
      </c>
      <c r="L3167" s="169">
        <f>IFERROR(MATCH(J3167,'Final List'!$D$4:$D$252,0),0)</f>
        <v>0</v>
      </c>
      <c r="M3167" s="169">
        <f>IFERROR(MATCH(J3167,'Final List'!$F$4:$F$251,0),0)</f>
        <v>0</v>
      </c>
      <c r="N3167" s="169">
        <f>IFERROR(MATCH(J3167,'Final List'!$H$4:$H$252,0),0)</f>
        <v>0</v>
      </c>
      <c r="O3167" s="169">
        <f>IFERROR(MATCH(J3167,'Final List'!$J$4:$J$252,0),0)</f>
        <v>0</v>
      </c>
      <c r="P3167" s="169">
        <f>IFERROR(MATCH(J3167,'Final List'!$L$4:$L$252,0),0)</f>
        <v>0</v>
      </c>
      <c r="Q3167" s="169">
        <f>IFERROR(MATCH(J3167,'Final List'!$N$4:$N$252,0),0)</f>
        <v>0</v>
      </c>
      <c r="R3167" s="169">
        <f>IFERROR(MATCH(J3167,'Final List'!$P$4:$P$252,0),0)</f>
        <v>0</v>
      </c>
      <c r="S3167" s="169">
        <f t="shared" si="198"/>
        <v>0</v>
      </c>
      <c r="V3167" s="169" t="str">
        <f t="shared" si="195"/>
        <v>LARGO</v>
      </c>
      <c r="W3167" s="169" t="s">
        <v>2708</v>
      </c>
    </row>
    <row r="3168" spans="2:23" x14ac:dyDescent="0.25">
      <c r="B3168" s="169" t="s">
        <v>258</v>
      </c>
      <c r="C3168" s="169" t="s">
        <v>59</v>
      </c>
      <c r="D3168" s="169" t="s">
        <v>108</v>
      </c>
      <c r="E3168" s="169" t="s">
        <v>61</v>
      </c>
      <c r="F3168" s="245" t="str">
        <f t="shared" si="197"/>
        <v>Dhoz 71</v>
      </c>
      <c r="G3168" s="169" t="s">
        <v>12888</v>
      </c>
      <c r="I3168" s="169" t="str">
        <f t="shared" ref="I3168:I3226" si="199">CONCATENATE(B3168,"_",C3168,"_",D3168,"_",E3168)</f>
        <v>L10_GHVHW_007W_DW</v>
      </c>
      <c r="J3168" s="169" t="s">
        <v>12895</v>
      </c>
      <c r="K3168" s="169">
        <f>IFERROR(MATCH(J3168,'Final List'!$B$4:$B$252,0),0)</f>
        <v>0</v>
      </c>
      <c r="L3168" s="169">
        <f>IFERROR(MATCH(J3168,'Final List'!$D$4:$D$252,0),0)</f>
        <v>0</v>
      </c>
      <c r="M3168" s="169">
        <f>IFERROR(MATCH(J3168,'Final List'!$F$4:$F$251,0),0)</f>
        <v>0</v>
      </c>
      <c r="N3168" s="169">
        <f>IFERROR(MATCH(J3168,'Final List'!$H$4:$H$252,0),0)</f>
        <v>0</v>
      </c>
      <c r="O3168" s="169">
        <f>IFERROR(MATCH(J3168,'Final List'!$J$4:$J$252,0),0)</f>
        <v>0</v>
      </c>
      <c r="P3168" s="169">
        <f>IFERROR(MATCH(J3168,'Final List'!$L$4:$L$252,0),0)</f>
        <v>0</v>
      </c>
      <c r="Q3168" s="169">
        <f>IFERROR(MATCH(J3168,'Final List'!$N$4:$N$252,0),0)</f>
        <v>0</v>
      </c>
      <c r="R3168" s="169">
        <f>IFERROR(MATCH(J3168,'Final List'!$P$4:$P$252,0),0)</f>
        <v>0</v>
      </c>
      <c r="S3168" s="169">
        <f t="shared" si="198"/>
        <v>0</v>
      </c>
      <c r="V3168" s="169" t="str">
        <f t="shared" si="195"/>
        <v>NITRO BD</v>
      </c>
      <c r="W3168" s="169" t="s">
        <v>8896</v>
      </c>
    </row>
    <row r="3169" spans="2:23" x14ac:dyDescent="0.25">
      <c r="B3169" s="169" t="s">
        <v>12320</v>
      </c>
      <c r="C3169" s="169" t="s">
        <v>87</v>
      </c>
      <c r="D3169" s="169" t="s">
        <v>179</v>
      </c>
      <c r="E3169" s="169" t="s">
        <v>63</v>
      </c>
      <c r="F3169" s="245" t="str">
        <f t="shared" si="197"/>
        <v>Dhoz 71</v>
      </c>
      <c r="G3169" s="169" t="s">
        <v>5703</v>
      </c>
      <c r="I3169" s="169" t="str">
        <f t="shared" si="199"/>
        <v>L425_NONE_050E_XCS</v>
      </c>
      <c r="J3169" s="169" t="s">
        <v>13065</v>
      </c>
      <c r="K3169" s="169">
        <f>IFERROR(MATCH(J3169,'Final List'!$B$4:$B$252,0),0)</f>
        <v>0</v>
      </c>
      <c r="L3169" s="169">
        <f>IFERROR(MATCH(J3169,'Final List'!$D$4:$D$252,0),0)</f>
        <v>0</v>
      </c>
      <c r="M3169" s="169">
        <f>IFERROR(MATCH(J3169,'Final List'!$F$4:$F$251,0),0)</f>
        <v>0</v>
      </c>
      <c r="N3169" s="169">
        <f>IFERROR(MATCH(J3169,'Final List'!$H$4:$H$252,0),0)</f>
        <v>0</v>
      </c>
      <c r="O3169" s="169">
        <f>IFERROR(MATCH(J3169,'Final List'!$J$4:$J$252,0),0)</f>
        <v>0</v>
      </c>
      <c r="P3169" s="169">
        <f>IFERROR(MATCH(J3169,'Final List'!$L$4:$L$252,0),0)</f>
        <v>0</v>
      </c>
      <c r="Q3169" s="169">
        <f>IFERROR(MATCH(J3169,'Final List'!$N$4:$N$252,0),0)</f>
        <v>0</v>
      </c>
      <c r="R3169" s="169">
        <f>IFERROR(MATCH(J3169,'Final List'!$P$4:$P$252,0),0)</f>
        <v>0</v>
      </c>
      <c r="S3169" s="169">
        <f>SUM(K3169:R3169)</f>
        <v>0</v>
      </c>
      <c r="V3169" s="169" t="str">
        <f t="shared" si="195"/>
        <v>OLIVEROS 2</v>
      </c>
      <c r="W3169" s="169" t="s">
        <v>2714</v>
      </c>
    </row>
    <row r="3170" spans="2:23" x14ac:dyDescent="0.25">
      <c r="B3170" s="169" t="s">
        <v>96</v>
      </c>
      <c r="C3170" s="169" t="s">
        <v>87</v>
      </c>
      <c r="D3170" s="169" t="s">
        <v>5614</v>
      </c>
      <c r="E3170" s="169" t="s">
        <v>37</v>
      </c>
      <c r="F3170" s="245" t="str">
        <f t="shared" si="197"/>
        <v>Dhoz 71</v>
      </c>
      <c r="G3170" s="169" t="s">
        <v>6216</v>
      </c>
      <c r="I3170" s="169" t="str">
        <f t="shared" si="199"/>
        <v>L09_NONE_055E_XCN</v>
      </c>
      <c r="J3170" s="169" t="s">
        <v>12902</v>
      </c>
      <c r="K3170" s="169">
        <f>IFERROR(MATCH(J3170,'Final List'!$B$4:$B$252,0),0)</f>
        <v>0</v>
      </c>
      <c r="L3170" s="169">
        <f>IFERROR(MATCH(J3170,'Final List'!$D$4:$D$252,0),0)</f>
        <v>0</v>
      </c>
      <c r="M3170" s="169">
        <f>IFERROR(MATCH(J3170,'Final List'!$F$4:$F$251,0),0)</f>
        <v>0</v>
      </c>
      <c r="N3170" s="169">
        <f>IFERROR(MATCH(J3170,'Final List'!$H$4:$H$252,0),0)</f>
        <v>0</v>
      </c>
      <c r="O3170" s="169">
        <f>IFERROR(MATCH(J3170,'Final List'!$J$4:$J$252,0),0)</f>
        <v>0</v>
      </c>
      <c r="P3170" s="169">
        <f>IFERROR(MATCH(J3170,'Final List'!$L$4:$L$252,0),0)</f>
        <v>0</v>
      </c>
      <c r="Q3170" s="169">
        <f>IFERROR(MATCH(J3170,'Final List'!$N$4:$N$252,0),0)</f>
        <v>0</v>
      </c>
      <c r="R3170" s="169">
        <f>IFERROR(MATCH(J3170,'Final List'!$P$4:$P$252,0),0)</f>
        <v>0</v>
      </c>
      <c r="S3170" s="169">
        <f t="shared" si="198"/>
        <v>0</v>
      </c>
      <c r="V3170" s="169" t="str">
        <f t="shared" si="195"/>
        <v>FERNANDEZ</v>
      </c>
      <c r="W3170" s="169" t="s">
        <v>8898</v>
      </c>
    </row>
    <row r="3171" spans="2:23" x14ac:dyDescent="0.25">
      <c r="B3171" s="169" t="s">
        <v>95</v>
      </c>
      <c r="C3171" s="169" t="s">
        <v>45</v>
      </c>
      <c r="D3171" s="169" t="s">
        <v>100</v>
      </c>
      <c r="E3171" s="169" t="s">
        <v>19</v>
      </c>
      <c r="F3171" s="245" t="str">
        <f t="shared" si="197"/>
        <v>DVR 72</v>
      </c>
      <c r="G3171" s="169" t="s">
        <v>6925</v>
      </c>
      <c r="I3171" s="169" t="str">
        <f t="shared" si="199"/>
        <v>L08_DPVE_020W_RAISE</v>
      </c>
      <c r="J3171" s="169" t="s">
        <v>12906</v>
      </c>
      <c r="K3171" s="169">
        <f>IFERROR(MATCH(J3171,'Final List'!$B$4:$B$252,0),0)</f>
        <v>0</v>
      </c>
      <c r="L3171" s="169">
        <f>IFERROR(MATCH(J3171,'Final List'!$D$4:$D$252,0),0)</f>
        <v>0</v>
      </c>
      <c r="M3171" s="169">
        <f>IFERROR(MATCH(J3171,'Final List'!$F$4:$F$251,0),0)</f>
        <v>0</v>
      </c>
      <c r="N3171" s="169">
        <f>IFERROR(MATCH(J3171,'Final List'!$H$4:$H$252,0),0)</f>
        <v>0</v>
      </c>
      <c r="O3171" s="169">
        <f>IFERROR(MATCH(J3171,'Final List'!$J$4:$J$252,0),0)</f>
        <v>0</v>
      </c>
      <c r="P3171" s="169">
        <f>IFERROR(MATCH(J3171,'Final List'!$L$4:$L$252,0),0)</f>
        <v>0</v>
      </c>
      <c r="Q3171" s="169">
        <f>IFERROR(MATCH(J3171,'Final List'!$N$4:$N$252,0),0)</f>
        <v>0</v>
      </c>
      <c r="R3171" s="169">
        <f>IFERROR(MATCH(J3171,'Final List'!$P$4:$P$252,0),0)</f>
        <v>0</v>
      </c>
      <c r="S3171" s="169">
        <f t="shared" si="198"/>
        <v>0</v>
      </c>
      <c r="V3171" s="169" t="str">
        <f t="shared" si="195"/>
        <v>CAPUYAN 1</v>
      </c>
      <c r="W3171" s="169" t="s">
        <v>2715</v>
      </c>
    </row>
    <row r="3172" spans="2:23" x14ac:dyDescent="0.25">
      <c r="B3172" s="169" t="s">
        <v>95</v>
      </c>
      <c r="C3172" s="169" t="s">
        <v>45</v>
      </c>
      <c r="D3172" s="169" t="s">
        <v>5602</v>
      </c>
      <c r="E3172" s="169" t="s">
        <v>62</v>
      </c>
      <c r="F3172" s="245" t="str">
        <f t="shared" si="197"/>
        <v>RobC 80</v>
      </c>
      <c r="G3172" s="169" t="s">
        <v>9753</v>
      </c>
      <c r="I3172" s="169" t="str">
        <f t="shared" si="199"/>
        <v>L08_DPVE_053E_ROBBING</v>
      </c>
      <c r="J3172" s="169" t="s">
        <v>12908</v>
      </c>
      <c r="K3172" s="169">
        <f>IFERROR(MATCH(J3172,'Final List'!$B$4:$B$252,0),0)</f>
        <v>0</v>
      </c>
      <c r="L3172" s="169">
        <f>IFERROR(MATCH(J3172,'Final List'!$D$4:$D$252,0),0)</f>
        <v>0</v>
      </c>
      <c r="M3172" s="169">
        <f>IFERROR(MATCH(J3172,'Final List'!$F$4:$F$251,0),0)</f>
        <v>0</v>
      </c>
      <c r="N3172" s="169">
        <f>IFERROR(MATCH(J3172,'Final List'!$H$4:$H$252,0),0)</f>
        <v>0</v>
      </c>
      <c r="O3172" s="169">
        <f>IFERROR(MATCH(J3172,'Final List'!$J$4:$J$252,0),0)</f>
        <v>0</v>
      </c>
      <c r="P3172" s="169">
        <f>IFERROR(MATCH(J3172,'Final List'!$L$4:$L$252,0),0)</f>
        <v>0</v>
      </c>
      <c r="Q3172" s="169">
        <f>IFERROR(MATCH(J3172,'Final List'!$N$4:$N$252,0),0)</f>
        <v>0</v>
      </c>
      <c r="R3172" s="169">
        <f>IFERROR(MATCH(J3172,'Final List'!$P$4:$P$252,0),0)</f>
        <v>0</v>
      </c>
      <c r="S3172" s="169">
        <f t="shared" si="198"/>
        <v>0</v>
      </c>
      <c r="T3172" s="169" t="s">
        <v>48</v>
      </c>
      <c r="V3172" s="169" t="str">
        <f t="shared" si="195"/>
        <v>CAPUYAN 2</v>
      </c>
      <c r="W3172" s="169" t="s">
        <v>236</v>
      </c>
    </row>
    <row r="3173" spans="2:23" x14ac:dyDescent="0.25">
      <c r="B3173" s="169" t="s">
        <v>258</v>
      </c>
      <c r="C3173" s="169" t="s">
        <v>87</v>
      </c>
      <c r="D3173" s="169" t="s">
        <v>870</v>
      </c>
      <c r="E3173" s="169" t="s">
        <v>63</v>
      </c>
      <c r="F3173" s="245" t="str">
        <f t="shared" si="197"/>
        <v>Dhoz 71</v>
      </c>
      <c r="G3173" s="169" t="s">
        <v>12901</v>
      </c>
      <c r="I3173" s="169" t="str">
        <f t="shared" si="199"/>
        <v>L10_NONE_073E_XCS</v>
      </c>
      <c r="J3173" s="169" t="s">
        <v>12910</v>
      </c>
      <c r="K3173" s="169">
        <f>IFERROR(MATCH(J3173,'Final List'!$B$4:$B$252,0),0)</f>
        <v>0</v>
      </c>
      <c r="L3173" s="169">
        <f>IFERROR(MATCH(J3173,'Final List'!$D$4:$D$252,0),0)</f>
        <v>0</v>
      </c>
      <c r="M3173" s="169">
        <f>IFERROR(MATCH(J3173,'Final List'!$F$4:$F$251,0),0)</f>
        <v>0</v>
      </c>
      <c r="N3173" s="169">
        <f>IFERROR(MATCH(J3173,'Final List'!$H$4:$H$252,0),0)</f>
        <v>0</v>
      </c>
      <c r="O3173" s="169">
        <f>IFERROR(MATCH(J3173,'Final List'!$J$4:$J$252,0),0)</f>
        <v>0</v>
      </c>
      <c r="P3173" s="169">
        <f>IFERROR(MATCH(J3173,'Final List'!$L$4:$L$252,0),0)</f>
        <v>0</v>
      </c>
      <c r="Q3173" s="169">
        <f>IFERROR(MATCH(J3173,'Final List'!$N$4:$N$252,0),0)</f>
        <v>0</v>
      </c>
      <c r="R3173" s="169">
        <f>IFERROR(MATCH(J3173,'Final List'!$P$4:$P$252,0),0)</f>
        <v>0</v>
      </c>
      <c r="S3173" s="169">
        <f t="shared" si="198"/>
        <v>0</v>
      </c>
      <c r="V3173" s="169" t="str">
        <f t="shared" si="195"/>
        <v>NITRO BW</v>
      </c>
      <c r="W3173" s="169" t="s">
        <v>8898</v>
      </c>
    </row>
    <row r="3174" spans="2:23" x14ac:dyDescent="0.25">
      <c r="B3174" s="169" t="s">
        <v>1166</v>
      </c>
      <c r="C3174" s="169" t="s">
        <v>45</v>
      </c>
      <c r="D3174" s="169" t="s">
        <v>5742</v>
      </c>
      <c r="E3174" s="169" t="s">
        <v>6143</v>
      </c>
      <c r="F3174" s="245" t="str">
        <f t="shared" si="197"/>
        <v>Dhoz 71</v>
      </c>
      <c r="G3174" s="169" t="s">
        <v>340</v>
      </c>
      <c r="I3174" s="169" t="str">
        <f t="shared" si="199"/>
        <v>L11_DPVE_040E_DE_ISL</v>
      </c>
      <c r="J3174" s="169" t="s">
        <v>12912</v>
      </c>
      <c r="K3174" s="169">
        <f>IFERROR(MATCH(J3174,'Final List'!$B$4:$B$252,0),0)</f>
        <v>0</v>
      </c>
      <c r="L3174" s="169">
        <f>IFERROR(MATCH(J3174,'Final List'!$D$4:$D$252,0),0)</f>
        <v>0</v>
      </c>
      <c r="M3174" s="169">
        <f>IFERROR(MATCH(J3174,'Final List'!$F$4:$F$251,0),0)</f>
        <v>0</v>
      </c>
      <c r="N3174" s="169">
        <f>IFERROR(MATCH(J3174,'Final List'!$H$4:$H$252,0),0)</f>
        <v>0</v>
      </c>
      <c r="O3174" s="169">
        <f>IFERROR(MATCH(J3174,'Final List'!$J$4:$J$252,0),0)</f>
        <v>0</v>
      </c>
      <c r="P3174" s="169">
        <f>IFERROR(MATCH(J3174,'Final List'!$L$4:$L$252,0),0)</f>
        <v>0</v>
      </c>
      <c r="Q3174" s="169">
        <f>IFERROR(MATCH(J3174,'Final List'!$N$4:$N$252,0),0)</f>
        <v>0</v>
      </c>
      <c r="R3174" s="169">
        <f>IFERROR(MATCH(J3174,'Final List'!$P$4:$P$252,0),0)</f>
        <v>0</v>
      </c>
      <c r="S3174" s="169">
        <f t="shared" si="198"/>
        <v>0</v>
      </c>
      <c r="V3174" s="169" t="str">
        <f t="shared" si="195"/>
        <v>COMAINGKING</v>
      </c>
      <c r="W3174" s="169" t="s">
        <v>2708</v>
      </c>
    </row>
    <row r="3175" spans="2:23" x14ac:dyDescent="0.25">
      <c r="B3175" s="169" t="s">
        <v>1166</v>
      </c>
      <c r="C3175" s="169" t="s">
        <v>39</v>
      </c>
      <c r="D3175" s="169" t="s">
        <v>197</v>
      </c>
      <c r="E3175" s="169" t="s">
        <v>19</v>
      </c>
      <c r="F3175" s="245" t="str">
        <f t="shared" si="197"/>
        <v>DVR 72</v>
      </c>
      <c r="G3175" s="169" t="s">
        <v>4068</v>
      </c>
      <c r="H3175" s="169" t="s">
        <v>5</v>
      </c>
      <c r="I3175" s="169" t="str">
        <f t="shared" si="199"/>
        <v>L11_JVHW_070E_RAISE</v>
      </c>
      <c r="J3175" s="169" t="s">
        <v>12917</v>
      </c>
      <c r="K3175" s="169">
        <f>IFERROR(MATCH(J3175,'Final List'!$B$4:$B$252,0),0)</f>
        <v>0</v>
      </c>
      <c r="L3175" s="169">
        <f>IFERROR(MATCH(J3175,'Final List'!$D$4:$D$252,0),0)</f>
        <v>0</v>
      </c>
      <c r="M3175" s="169">
        <f>IFERROR(MATCH(J3175,'Final List'!$F$4:$F$251,0),0)</f>
        <v>0</v>
      </c>
      <c r="N3175" s="169">
        <f>IFERROR(MATCH(J3175,'Final List'!$H$4:$H$252,0),0)</f>
        <v>0</v>
      </c>
      <c r="O3175" s="169">
        <f>IFERROR(MATCH(J3175,'Final List'!$J$4:$J$252,0),0)</f>
        <v>0</v>
      </c>
      <c r="P3175" s="169">
        <f>IFERROR(MATCH(J3175,'Final List'!$L$4:$L$252,0),0)</f>
        <v>0</v>
      </c>
      <c r="Q3175" s="169">
        <f>IFERROR(MATCH(J3175,'Final List'!$N$4:$N$252,0),0)</f>
        <v>0</v>
      </c>
      <c r="R3175" s="169">
        <f>IFERROR(MATCH(J3175,'Final List'!$P$4:$P$252,0),0)</f>
        <v>0</v>
      </c>
      <c r="S3175" s="169">
        <f t="shared" si="198"/>
        <v>0</v>
      </c>
      <c r="V3175" s="169" t="str">
        <f t="shared" si="195"/>
        <v>BELICAN</v>
      </c>
      <c r="W3175" s="169" t="s">
        <v>2715</v>
      </c>
    </row>
    <row r="3176" spans="2:23" x14ac:dyDescent="0.25">
      <c r="B3176" s="169" t="s">
        <v>1166</v>
      </c>
      <c r="C3176" s="169" t="s">
        <v>45</v>
      </c>
      <c r="D3176" s="169" t="s">
        <v>218</v>
      </c>
      <c r="E3176" s="169" t="s">
        <v>60</v>
      </c>
      <c r="F3176" s="245" t="str">
        <f t="shared" si="197"/>
        <v>Dhoz 71</v>
      </c>
      <c r="G3176" s="169" t="s">
        <v>5</v>
      </c>
      <c r="I3176" s="169" t="str">
        <f t="shared" si="199"/>
        <v>L11_DPVE_062E_DE</v>
      </c>
      <c r="J3176" s="169" t="s">
        <v>12919</v>
      </c>
      <c r="K3176" s="169">
        <f>IFERROR(MATCH(J3176,'Final List'!$B$4:$B$252,0),0)</f>
        <v>0</v>
      </c>
      <c r="L3176" s="169">
        <f>IFERROR(MATCH(J3176,'Final List'!$D$4:$D$252,0),0)</f>
        <v>0</v>
      </c>
      <c r="M3176" s="169">
        <f>IFERROR(MATCH(J3176,'Final List'!$F$4:$F$251,0),0)</f>
        <v>0</v>
      </c>
      <c r="N3176" s="169">
        <f>IFERROR(MATCH(J3176,'Final List'!$H$4:$H$252,0),0)</f>
        <v>0</v>
      </c>
      <c r="O3176" s="169">
        <f>IFERROR(MATCH(J3176,'Final List'!$J$4:$J$252,0),0)</f>
        <v>0</v>
      </c>
      <c r="P3176" s="169">
        <f>IFERROR(MATCH(J3176,'Final List'!$L$4:$L$252,0),0)</f>
        <v>0</v>
      </c>
      <c r="Q3176" s="169">
        <f>IFERROR(MATCH(J3176,'Final List'!$N$4:$N$252,0),0)</f>
        <v>0</v>
      </c>
      <c r="R3176" s="169">
        <f>IFERROR(MATCH(J3176,'Final List'!$P$4:$P$252,0),0)</f>
        <v>0</v>
      </c>
      <c r="S3176" s="169">
        <f t="shared" si="198"/>
        <v>0</v>
      </c>
      <c r="V3176" s="169" t="str">
        <f t="shared" si="195"/>
        <v>BELICAN</v>
      </c>
      <c r="W3176" s="169" t="s">
        <v>8896</v>
      </c>
    </row>
    <row r="3177" spans="2:23" x14ac:dyDescent="0.25">
      <c r="B3177" s="169" t="s">
        <v>8904</v>
      </c>
      <c r="C3177" s="169" t="s">
        <v>42</v>
      </c>
      <c r="D3177" s="169" t="s">
        <v>98</v>
      </c>
      <c r="E3177" s="169" t="s">
        <v>221</v>
      </c>
      <c r="F3177" s="245" t="str">
        <f t="shared" si="197"/>
        <v>RobC 80</v>
      </c>
      <c r="G3177" s="169" t="s">
        <v>11449</v>
      </c>
      <c r="I3177" s="169" t="str">
        <f t="shared" si="199"/>
        <v>L03_JV_014W_WINZE STOPE</v>
      </c>
      <c r="J3177" s="169" t="s">
        <v>13274</v>
      </c>
      <c r="K3177" s="169">
        <f>IFERROR(MATCH(J3177,'Final List'!$B$4:$B$252,0),0)</f>
        <v>0</v>
      </c>
      <c r="L3177" s="169">
        <f>IFERROR(MATCH(J3177,'Final List'!$D$4:$D$252,0),0)</f>
        <v>0</v>
      </c>
      <c r="M3177" s="169">
        <f>IFERROR(MATCH(J3177,'Final List'!$F$4:$F$251,0),0)</f>
        <v>0</v>
      </c>
      <c r="N3177" s="169">
        <f>IFERROR(MATCH(J3177,'Final List'!$H$4:$H$252,0),0)</f>
        <v>0</v>
      </c>
      <c r="O3177" s="169">
        <f>IFERROR(MATCH(J3177,'Final List'!$J$4:$J$252,0),0)</f>
        <v>0</v>
      </c>
      <c r="P3177" s="169">
        <f>IFERROR(MATCH(J3177,'Final List'!$L$4:$L$252,0),0)</f>
        <v>0</v>
      </c>
      <c r="Q3177" s="169">
        <f>IFERROR(MATCH(J3177,'Final List'!$N$4:$N$252,0),0)</f>
        <v>0</v>
      </c>
      <c r="R3177" s="169">
        <f>IFERROR(MATCH(J3177,'Final List'!$P$4:$P$252,0),0)</f>
        <v>0</v>
      </c>
      <c r="S3177" s="169">
        <f t="shared" si="198"/>
        <v>0</v>
      </c>
      <c r="T3177" s="169" t="s">
        <v>68</v>
      </c>
      <c r="V3177" s="169" t="str">
        <f t="shared" si="195"/>
        <v>FERNANDEZ, RM</v>
      </c>
      <c r="W3177" s="169" t="s">
        <v>2713</v>
      </c>
    </row>
    <row r="3178" spans="2:23" x14ac:dyDescent="0.25">
      <c r="B3178" s="169" t="s">
        <v>96</v>
      </c>
      <c r="C3178" s="169" t="s">
        <v>59</v>
      </c>
      <c r="D3178" s="169" t="s">
        <v>104</v>
      </c>
      <c r="E3178" s="169" t="s">
        <v>61</v>
      </c>
      <c r="F3178" s="245" t="str">
        <f t="shared" si="197"/>
        <v>Dhoz 71</v>
      </c>
      <c r="G3178" s="169" t="s">
        <v>1661</v>
      </c>
      <c r="I3178" s="169" t="str">
        <f t="shared" si="199"/>
        <v>L09_GHVHW_029W_DW</v>
      </c>
      <c r="J3178" s="169" t="s">
        <v>13153</v>
      </c>
      <c r="K3178" s="169">
        <f>IFERROR(MATCH(J3178,'Final List'!$B$4:$B$252,0),0)</f>
        <v>0</v>
      </c>
      <c r="L3178" s="169">
        <f>IFERROR(MATCH(J3178,'Final List'!$D$4:$D$252,0),0)</f>
        <v>0</v>
      </c>
      <c r="M3178" s="169">
        <f>IFERROR(MATCH(J3178,'Final List'!$F$4:$F$251,0),0)</f>
        <v>0</v>
      </c>
      <c r="N3178" s="169">
        <f>IFERROR(MATCH(J3178,'Final List'!$H$4:$H$252,0),0)</f>
        <v>0</v>
      </c>
      <c r="O3178" s="169">
        <f>IFERROR(MATCH(J3178,'Final List'!$J$4:$J$252,0),0)</f>
        <v>0</v>
      </c>
      <c r="P3178" s="169">
        <f>IFERROR(MATCH(J3178,'Final List'!$L$4:$L$252,0),0)</f>
        <v>0</v>
      </c>
      <c r="Q3178" s="169">
        <f>IFERROR(MATCH(J3178,'Final List'!$N$4:$N$252,0),0)</f>
        <v>0</v>
      </c>
      <c r="R3178" s="169">
        <f>IFERROR(MATCH(J3178,'Final List'!$P$4:$P$252,0),0)</f>
        <v>0</v>
      </c>
      <c r="S3178" s="169">
        <f t="shared" si="198"/>
        <v>0</v>
      </c>
      <c r="V3178" s="169" t="str">
        <f t="shared" si="195"/>
        <v>DELOS REYES V2</v>
      </c>
      <c r="W3178" s="169" t="s">
        <v>8896</v>
      </c>
    </row>
    <row r="3179" spans="2:23" x14ac:dyDescent="0.25">
      <c r="B3179" s="169" t="s">
        <v>96</v>
      </c>
      <c r="C3179" s="169" t="s">
        <v>56</v>
      </c>
      <c r="D3179" s="169" t="s">
        <v>6068</v>
      </c>
      <c r="E3179" s="169" t="s">
        <v>62</v>
      </c>
      <c r="F3179" s="245" t="str">
        <f t="shared" si="197"/>
        <v>RobS 79</v>
      </c>
      <c r="G3179" s="169" t="s">
        <v>350</v>
      </c>
      <c r="I3179" s="169" t="str">
        <f t="shared" si="199"/>
        <v>L09_GHVFW_035W_ROBBING</v>
      </c>
      <c r="J3179" s="169" t="s">
        <v>12928</v>
      </c>
      <c r="K3179" s="169">
        <f>IFERROR(MATCH(J3179,'Final List'!$B$4:$B$252,0),0)</f>
        <v>0</v>
      </c>
      <c r="L3179" s="169">
        <f>IFERROR(MATCH(J3179,'Final List'!$D$4:$D$252,0),0)</f>
        <v>0</v>
      </c>
      <c r="M3179" s="169">
        <f>IFERROR(MATCH(J3179,'Final List'!$F$4:$F$251,0),0)</f>
        <v>0</v>
      </c>
      <c r="N3179" s="169">
        <f>IFERROR(MATCH(J3179,'Final List'!$H$4:$H$252,0),0)</f>
        <v>0</v>
      </c>
      <c r="O3179" s="169">
        <f>IFERROR(MATCH(J3179,'Final List'!$J$4:$J$252,0),0)</f>
        <v>0</v>
      </c>
      <c r="P3179" s="169">
        <f>IFERROR(MATCH(J3179,'Final List'!$L$4:$L$252,0),0)</f>
        <v>0</v>
      </c>
      <c r="Q3179" s="169">
        <f>IFERROR(MATCH(J3179,'Final List'!$N$4:$N$252,0),0)</f>
        <v>0</v>
      </c>
      <c r="R3179" s="169">
        <f>IFERROR(MATCH(J3179,'Final List'!$P$4:$P$252,0),0)</f>
        <v>0</v>
      </c>
      <c r="S3179" s="169">
        <f t="shared" si="198"/>
        <v>0</v>
      </c>
      <c r="T3179" s="169" t="s">
        <v>68</v>
      </c>
      <c r="V3179" s="169" t="str">
        <f t="shared" si="195"/>
        <v>QUIJANO 1</v>
      </c>
      <c r="W3179" s="169" t="s">
        <v>2707</v>
      </c>
    </row>
    <row r="3180" spans="2:23" x14ac:dyDescent="0.25">
      <c r="B3180" s="169" t="s">
        <v>96</v>
      </c>
      <c r="C3180" s="169" t="s">
        <v>45</v>
      </c>
      <c r="D3180" s="169" t="s">
        <v>5689</v>
      </c>
      <c r="E3180" s="169" t="s">
        <v>61</v>
      </c>
      <c r="F3180" s="245" t="str">
        <f t="shared" si="197"/>
        <v>Dhoz 71</v>
      </c>
      <c r="G3180" s="169" t="s">
        <v>2972</v>
      </c>
      <c r="H3180" s="169" t="s">
        <v>12885</v>
      </c>
      <c r="I3180" s="169" t="str">
        <f t="shared" si="199"/>
        <v>L09_DPVE_003E_DW</v>
      </c>
      <c r="J3180" s="169" t="s">
        <v>12929</v>
      </c>
      <c r="K3180" s="169">
        <f>IFERROR(MATCH(J3180,'Final List'!$B$4:$B$252,0),0)</f>
        <v>0</v>
      </c>
      <c r="L3180" s="169">
        <f>IFERROR(MATCH(J3180,'Final List'!$D$4:$D$252,0),0)</f>
        <v>0</v>
      </c>
      <c r="M3180" s="169">
        <f>IFERROR(MATCH(J3180,'Final List'!$F$4:$F$251,0),0)</f>
        <v>0</v>
      </c>
      <c r="N3180" s="169">
        <f>IFERROR(MATCH(J3180,'Final List'!$H$4:$H$252,0),0)</f>
        <v>0</v>
      </c>
      <c r="O3180" s="169">
        <f>IFERROR(MATCH(J3180,'Final List'!$J$4:$J$252,0),0)</f>
        <v>0</v>
      </c>
      <c r="P3180" s="169">
        <f>IFERROR(MATCH(J3180,'Final List'!$L$4:$L$252,0),0)</f>
        <v>0</v>
      </c>
      <c r="Q3180" s="169">
        <f>IFERROR(MATCH(J3180,'Final List'!$N$4:$N$252,0),0)</f>
        <v>0</v>
      </c>
      <c r="R3180" s="169">
        <f>IFERROR(MATCH(J3180,'Final List'!$P$4:$P$252,0),0)</f>
        <v>0</v>
      </c>
      <c r="S3180" s="169">
        <f t="shared" si="198"/>
        <v>0</v>
      </c>
      <c r="V3180" s="169" t="str">
        <f t="shared" si="195"/>
        <v>DELOS REYES V4</v>
      </c>
      <c r="W3180" s="169" t="s">
        <v>8896</v>
      </c>
    </row>
    <row r="3181" spans="2:23" x14ac:dyDescent="0.25">
      <c r="B3181" s="169" t="s">
        <v>258</v>
      </c>
      <c r="C3181" s="169" t="s">
        <v>43</v>
      </c>
      <c r="D3181" s="169" t="s">
        <v>166</v>
      </c>
      <c r="E3181" s="169" t="s">
        <v>20</v>
      </c>
      <c r="F3181" s="245" t="str">
        <f t="shared" si="197"/>
        <v>DVW 74</v>
      </c>
      <c r="G3181" s="169" t="s">
        <v>3492</v>
      </c>
      <c r="I3181" s="169" t="str">
        <f t="shared" si="199"/>
        <v>L10_GHVSPLIT_068E_WINZE</v>
      </c>
      <c r="J3181" s="169" t="s">
        <v>12930</v>
      </c>
      <c r="K3181" s="169">
        <f>IFERROR(MATCH(J3181,'Final List'!$B$4:$B$252,0),0)</f>
        <v>0</v>
      </c>
      <c r="L3181" s="169">
        <f>IFERROR(MATCH(J3181,'Final List'!$D$4:$D$252,0),0)</f>
        <v>0</v>
      </c>
      <c r="M3181" s="169">
        <f>IFERROR(MATCH(J3181,'Final List'!$F$4:$F$251,0),0)</f>
        <v>0</v>
      </c>
      <c r="N3181" s="169">
        <f>IFERROR(MATCH(J3181,'Final List'!$H$4:$H$252,0),0)</f>
        <v>0</v>
      </c>
      <c r="O3181" s="169">
        <f>IFERROR(MATCH(J3181,'Final List'!$J$4:$J$252,0),0)</f>
        <v>0</v>
      </c>
      <c r="P3181" s="169">
        <f>IFERROR(MATCH(J3181,'Final List'!$L$4:$L$252,0),0)</f>
        <v>0</v>
      </c>
      <c r="Q3181" s="169">
        <f>IFERROR(MATCH(J3181,'Final List'!$N$4:$N$252,0),0)</f>
        <v>0</v>
      </c>
      <c r="R3181" s="169">
        <f>IFERROR(MATCH(J3181,'Final List'!$P$4:$P$252,0),0)</f>
        <v>0</v>
      </c>
      <c r="S3181" s="169">
        <f t="shared" si="198"/>
        <v>0</v>
      </c>
      <c r="V3181" s="169" t="str">
        <f t="shared" si="195"/>
        <v>PMC MINER</v>
      </c>
      <c r="W3181" s="169" t="s">
        <v>2706</v>
      </c>
    </row>
    <row r="3182" spans="2:23" x14ac:dyDescent="0.25">
      <c r="B3182" s="169" t="s">
        <v>96</v>
      </c>
      <c r="C3182" s="169" t="s">
        <v>59</v>
      </c>
      <c r="D3182" s="169" t="s">
        <v>102</v>
      </c>
      <c r="E3182" s="169" t="s">
        <v>19</v>
      </c>
      <c r="F3182" s="245" t="str">
        <f t="shared" si="197"/>
        <v>DVR 72</v>
      </c>
      <c r="G3182" s="169" t="s">
        <v>12528</v>
      </c>
      <c r="I3182" s="169" t="str">
        <f t="shared" si="199"/>
        <v>L09_GHVHW_034W_RAISE</v>
      </c>
      <c r="J3182" s="169" t="s">
        <v>12932</v>
      </c>
      <c r="K3182" s="169">
        <f>IFERROR(MATCH(J3182,'Final List'!$B$4:$B$252,0),0)</f>
        <v>0</v>
      </c>
      <c r="L3182" s="169">
        <f>IFERROR(MATCH(J3182,'Final List'!$D$4:$D$252,0),0)</f>
        <v>0</v>
      </c>
      <c r="M3182" s="169">
        <f>IFERROR(MATCH(J3182,'Final List'!$F$4:$F$251,0),0)</f>
        <v>0</v>
      </c>
      <c r="N3182" s="169">
        <f>IFERROR(MATCH(J3182,'Final List'!$H$4:$H$252,0),0)</f>
        <v>0</v>
      </c>
      <c r="O3182" s="169">
        <f>IFERROR(MATCH(J3182,'Final List'!$J$4:$J$252,0),0)</f>
        <v>0</v>
      </c>
      <c r="P3182" s="169">
        <f>IFERROR(MATCH(J3182,'Final List'!$L$4:$L$252,0),0)</f>
        <v>0</v>
      </c>
      <c r="Q3182" s="169">
        <f>IFERROR(MATCH(J3182,'Final List'!$N$4:$N$252,0),0)</f>
        <v>0</v>
      </c>
      <c r="R3182" s="169">
        <f>IFERROR(MATCH(J3182,'Final List'!$P$4:$P$252,0),0)</f>
        <v>0</v>
      </c>
      <c r="S3182" s="169">
        <f t="shared" si="198"/>
        <v>0</v>
      </c>
      <c r="V3182" s="169" t="str">
        <f t="shared" si="195"/>
        <v>NITRO AA</v>
      </c>
      <c r="W3182" s="169" t="s">
        <v>2715</v>
      </c>
    </row>
    <row r="3183" spans="2:23" x14ac:dyDescent="0.25">
      <c r="B3183" s="169" t="s">
        <v>12320</v>
      </c>
      <c r="C3183" s="169" t="s">
        <v>43</v>
      </c>
      <c r="D3183" s="169" t="s">
        <v>175</v>
      </c>
      <c r="E3183" s="169" t="s">
        <v>60</v>
      </c>
      <c r="F3183" s="245" t="str">
        <f t="shared" si="197"/>
        <v>Dhoz 71</v>
      </c>
      <c r="G3183" s="169" t="s">
        <v>5703</v>
      </c>
      <c r="H3183" s="169" t="s">
        <v>742</v>
      </c>
      <c r="I3183" s="169" t="str">
        <f t="shared" si="199"/>
        <v>L425_GHVSPLIT_060E_DE</v>
      </c>
      <c r="J3183" s="169" t="s">
        <v>12934</v>
      </c>
      <c r="K3183" s="169">
        <f>IFERROR(MATCH(J3183,'Final List'!$B$4:$B$252,0),0)</f>
        <v>0</v>
      </c>
      <c r="L3183" s="169">
        <f>IFERROR(MATCH(J3183,'Final List'!$D$4:$D$252,0),0)</f>
        <v>0</v>
      </c>
      <c r="M3183" s="169">
        <f>IFERROR(MATCH(J3183,'Final List'!$F$4:$F$251,0),0)</f>
        <v>0</v>
      </c>
      <c r="N3183" s="169">
        <f>IFERROR(MATCH(J3183,'Final List'!$H$4:$H$252,0),0)</f>
        <v>0</v>
      </c>
      <c r="O3183" s="169">
        <f>IFERROR(MATCH(J3183,'Final List'!$J$4:$J$252,0),0)</f>
        <v>0</v>
      </c>
      <c r="P3183" s="169">
        <f>IFERROR(MATCH(J3183,'Final List'!$L$4:$L$252,0),0)</f>
        <v>0</v>
      </c>
      <c r="Q3183" s="169">
        <f>IFERROR(MATCH(J3183,'Final List'!$N$4:$N$252,0),0)</f>
        <v>0</v>
      </c>
      <c r="R3183" s="169">
        <f>IFERROR(MATCH(J3183,'Final List'!$P$4:$P$252,0),0)</f>
        <v>0</v>
      </c>
      <c r="S3183" s="169">
        <f t="shared" si="198"/>
        <v>0</v>
      </c>
      <c r="V3183" s="169" t="str">
        <f t="shared" si="195"/>
        <v>REBOTE 2</v>
      </c>
      <c r="W3183" s="169" t="s">
        <v>8896</v>
      </c>
    </row>
    <row r="3184" spans="2:23" x14ac:dyDescent="0.25">
      <c r="B3184" s="169" t="s">
        <v>12320</v>
      </c>
      <c r="C3184" s="169" t="s">
        <v>87</v>
      </c>
      <c r="D3184" s="169" t="s">
        <v>176</v>
      </c>
      <c r="E3184" s="169" t="s">
        <v>37</v>
      </c>
      <c r="F3184" s="245" t="str">
        <f t="shared" si="197"/>
        <v>Dhoz 71</v>
      </c>
      <c r="G3184" s="169" t="s">
        <v>5697</v>
      </c>
      <c r="H3184" s="169" t="s">
        <v>5704</v>
      </c>
      <c r="I3184" s="169" t="str">
        <f t="shared" si="199"/>
        <v>L425_NONE_057E_XCN</v>
      </c>
      <c r="J3184" s="169" t="s">
        <v>12935</v>
      </c>
      <c r="K3184" s="169">
        <f>IFERROR(MATCH(J3184,'Final List'!$B$4:$B$252,0),0)</f>
        <v>0</v>
      </c>
      <c r="L3184" s="169">
        <f>IFERROR(MATCH(J3184,'Final List'!$D$4:$D$252,0),0)</f>
        <v>0</v>
      </c>
      <c r="M3184" s="169">
        <f>IFERROR(MATCH(J3184,'Final List'!$F$4:$F$251,0),0)</f>
        <v>0</v>
      </c>
      <c r="N3184" s="169">
        <f>IFERROR(MATCH(J3184,'Final List'!$H$4:$H$252,0),0)</f>
        <v>0</v>
      </c>
      <c r="O3184" s="169">
        <f>IFERROR(MATCH(J3184,'Final List'!$J$4:$J$252,0),0)</f>
        <v>0</v>
      </c>
      <c r="P3184" s="169">
        <f>IFERROR(MATCH(J3184,'Final List'!$L$4:$L$252,0),0)</f>
        <v>0</v>
      </c>
      <c r="Q3184" s="169">
        <f>IFERROR(MATCH(J3184,'Final List'!$N$4:$N$252,0),0)</f>
        <v>0</v>
      </c>
      <c r="R3184" s="169">
        <f>IFERROR(MATCH(J3184,'Final List'!$P$4:$P$252,0),0)</f>
        <v>0</v>
      </c>
      <c r="S3184" s="169">
        <f t="shared" si="198"/>
        <v>0</v>
      </c>
      <c r="V3184" s="169" t="str">
        <f t="shared" si="195"/>
        <v>OLIVEROS 3</v>
      </c>
      <c r="W3184" s="169" t="s">
        <v>8898</v>
      </c>
    </row>
    <row r="3185" spans="1:23" x14ac:dyDescent="0.25">
      <c r="B3185" s="169" t="s">
        <v>96</v>
      </c>
      <c r="C3185" s="169" t="s">
        <v>45</v>
      </c>
      <c r="D3185" s="169" t="s">
        <v>9537</v>
      </c>
      <c r="E3185" s="169" t="s">
        <v>61</v>
      </c>
      <c r="F3185" s="245" t="str">
        <f t="shared" si="197"/>
        <v>Dhoz 71</v>
      </c>
      <c r="G3185" s="169" t="s">
        <v>6621</v>
      </c>
      <c r="I3185" s="169" t="str">
        <f t="shared" si="199"/>
        <v>L09_DPVE_093E_DW</v>
      </c>
      <c r="J3185" s="169" t="s">
        <v>12939</v>
      </c>
      <c r="K3185" s="169">
        <f>IFERROR(MATCH(J3185,'Final List'!$B$4:$B$252,0),0)</f>
        <v>0</v>
      </c>
      <c r="L3185" s="169">
        <f>IFERROR(MATCH(J3185,'Final List'!$D$4:$D$252,0),0)</f>
        <v>0</v>
      </c>
      <c r="M3185" s="169">
        <f>IFERROR(MATCH(J3185,'Final List'!$F$4:$F$251,0),0)</f>
        <v>0</v>
      </c>
      <c r="N3185" s="169">
        <f>IFERROR(MATCH(J3185,'Final List'!$H$4:$H$252,0),0)</f>
        <v>0</v>
      </c>
      <c r="O3185" s="169">
        <f>IFERROR(MATCH(J3185,'Final List'!$J$4:$J$252,0),0)</f>
        <v>0</v>
      </c>
      <c r="P3185" s="169">
        <f>IFERROR(MATCH(J3185,'Final List'!$L$4:$L$252,0),0)</f>
        <v>0</v>
      </c>
      <c r="Q3185" s="169">
        <f>IFERROR(MATCH(J3185,'Final List'!$N$4:$N$252,0),0)</f>
        <v>0</v>
      </c>
      <c r="R3185" s="169">
        <f>IFERROR(MATCH(J3185,'Final List'!$P$4:$P$252,0),0)</f>
        <v>0</v>
      </c>
      <c r="S3185" s="169">
        <f t="shared" si="198"/>
        <v>0</v>
      </c>
      <c r="V3185" s="169" t="str">
        <f t="shared" si="195"/>
        <v>DELOS REYES V1</v>
      </c>
      <c r="W3185" s="169" t="s">
        <v>8896</v>
      </c>
    </row>
    <row r="3186" spans="1:23" x14ac:dyDescent="0.25">
      <c r="B3186" s="169" t="s">
        <v>1167</v>
      </c>
      <c r="C3186" s="169" t="s">
        <v>45</v>
      </c>
      <c r="D3186" s="169" t="s">
        <v>5741</v>
      </c>
      <c r="E3186" s="169" t="s">
        <v>19</v>
      </c>
      <c r="F3186" s="245" t="str">
        <f t="shared" si="197"/>
        <v>DVR 72</v>
      </c>
      <c r="G3186" s="169" t="s">
        <v>6931</v>
      </c>
      <c r="H3186" s="169" t="s">
        <v>12280</v>
      </c>
      <c r="I3186" s="169" t="str">
        <f t="shared" si="199"/>
        <v>L12_DPVE_035E_RAISE</v>
      </c>
      <c r="J3186" s="169" t="s">
        <v>12943</v>
      </c>
      <c r="K3186" s="169">
        <f>IFERROR(MATCH(J3186,'Final List'!$B$4:$B$252,0),0)</f>
        <v>0</v>
      </c>
      <c r="L3186" s="169">
        <f>IFERROR(MATCH(J3186,'Final List'!$D$4:$D$252,0),0)</f>
        <v>0</v>
      </c>
      <c r="M3186" s="169">
        <f>IFERROR(MATCH(J3186,'Final List'!$F$4:$F$251,0),0)</f>
        <v>0</v>
      </c>
      <c r="N3186" s="169">
        <f>IFERROR(MATCH(J3186,'Final List'!$H$4:$H$252,0),0)</f>
        <v>0</v>
      </c>
      <c r="O3186" s="169">
        <f>IFERROR(MATCH(J3186,'Final List'!$J$4:$J$252,0),0)</f>
        <v>0</v>
      </c>
      <c r="P3186" s="169">
        <f>IFERROR(MATCH(J3186,'Final List'!$L$4:$L$252,0),0)</f>
        <v>0</v>
      </c>
      <c r="Q3186" s="169">
        <f>IFERROR(MATCH(J3186,'Final List'!$N$4:$N$252,0),0)</f>
        <v>0</v>
      </c>
      <c r="R3186" s="169">
        <f>IFERROR(MATCH(J3186,'Final List'!$P$4:$P$252,0),0)</f>
        <v>0</v>
      </c>
      <c r="S3186" s="169">
        <f t="shared" si="198"/>
        <v>0</v>
      </c>
      <c r="V3186" s="169" t="str">
        <f t="shared" si="195"/>
        <v>NITRO BF 6</v>
      </c>
      <c r="W3186" s="169" t="s">
        <v>2715</v>
      </c>
    </row>
    <row r="3187" spans="1:23" x14ac:dyDescent="0.25">
      <c r="B3187" s="169" t="s">
        <v>1166</v>
      </c>
      <c r="C3187" s="169" t="s">
        <v>45</v>
      </c>
      <c r="D3187" s="169" t="s">
        <v>169</v>
      </c>
      <c r="E3187" s="169" t="s">
        <v>19</v>
      </c>
      <c r="F3187" s="245" t="str">
        <f t="shared" si="197"/>
        <v>DVR 72</v>
      </c>
      <c r="G3187" s="169" t="s">
        <v>12513</v>
      </c>
      <c r="H3187" s="169" t="s">
        <v>11884</v>
      </c>
      <c r="I3187" s="169" t="str">
        <f t="shared" si="199"/>
        <v>L11_DPVE_065E_RAISE</v>
      </c>
      <c r="J3187" s="169" t="s">
        <v>12942</v>
      </c>
      <c r="K3187" s="169">
        <f>IFERROR(MATCH(J3187,'Final List'!$B$4:$B$252,0),0)</f>
        <v>0</v>
      </c>
      <c r="L3187" s="169">
        <f>IFERROR(MATCH(J3187,'Final List'!$D$4:$D$252,0),0)</f>
        <v>0</v>
      </c>
      <c r="M3187" s="169">
        <f>IFERROR(MATCH(J3187,'Final List'!$F$4:$F$251,0),0)</f>
        <v>0</v>
      </c>
      <c r="N3187" s="169">
        <f>IFERROR(MATCH(J3187,'Final List'!$H$4:$H$252,0),0)</f>
        <v>0</v>
      </c>
      <c r="O3187" s="169">
        <f>IFERROR(MATCH(J3187,'Final List'!$J$4:$J$252,0),0)</f>
        <v>0</v>
      </c>
      <c r="P3187" s="169">
        <f>IFERROR(MATCH(J3187,'Final List'!$L$4:$L$252,0),0)</f>
        <v>0</v>
      </c>
      <c r="Q3187" s="169">
        <f>IFERROR(MATCH(J3187,'Final List'!$N$4:$N$252,0),0)</f>
        <v>0</v>
      </c>
      <c r="R3187" s="169">
        <f>IFERROR(MATCH(J3187,'Final List'!$P$4:$P$252,0),0)</f>
        <v>0</v>
      </c>
      <c r="S3187" s="169">
        <f t="shared" si="198"/>
        <v>0</v>
      </c>
      <c r="V3187" s="169" t="str">
        <f t="shared" si="195"/>
        <v>DUHIG, R</v>
      </c>
      <c r="W3187" s="169" t="s">
        <v>2715</v>
      </c>
    </row>
    <row r="3188" spans="1:23" x14ac:dyDescent="0.25">
      <c r="B3188" s="169" t="s">
        <v>1166</v>
      </c>
      <c r="C3188" s="169" t="s">
        <v>43</v>
      </c>
      <c r="D3188" s="169" t="s">
        <v>6036</v>
      </c>
      <c r="E3188" s="169" t="s">
        <v>61</v>
      </c>
      <c r="F3188" s="245" t="str">
        <f t="shared" si="197"/>
        <v>Dhoz 71</v>
      </c>
      <c r="G3188" s="169" t="s">
        <v>6954</v>
      </c>
      <c r="I3188" s="169" t="str">
        <f t="shared" si="199"/>
        <v>L11_GHVSPLIT_017E_DW</v>
      </c>
      <c r="J3188" s="169" t="s">
        <v>12944</v>
      </c>
      <c r="K3188" s="169">
        <f>IFERROR(MATCH(J3188,'Final List'!$B$4:$B$252,0),0)</f>
        <v>0</v>
      </c>
      <c r="L3188" s="169">
        <f>IFERROR(MATCH(J3188,'Final List'!$D$4:$D$252,0),0)</f>
        <v>0</v>
      </c>
      <c r="M3188" s="169">
        <f>IFERROR(MATCH(J3188,'Final List'!$F$4:$F$251,0),0)</f>
        <v>0</v>
      </c>
      <c r="N3188" s="169">
        <f>IFERROR(MATCH(J3188,'Final List'!$H$4:$H$252,0),0)</f>
        <v>0</v>
      </c>
      <c r="O3188" s="169">
        <f>IFERROR(MATCH(J3188,'Final List'!$J$4:$J$252,0),0)</f>
        <v>0</v>
      </c>
      <c r="P3188" s="169">
        <f>IFERROR(MATCH(J3188,'Final List'!$L$4:$L$252,0),0)</f>
        <v>0</v>
      </c>
      <c r="Q3188" s="169">
        <f>IFERROR(MATCH(J3188,'Final List'!$N$4:$N$252,0),0)</f>
        <v>0</v>
      </c>
      <c r="R3188" s="169">
        <f>IFERROR(MATCH(J3188,'Final List'!$P$4:$P$252,0),0)</f>
        <v>0</v>
      </c>
      <c r="S3188" s="169">
        <f t="shared" si="198"/>
        <v>0</v>
      </c>
      <c r="V3188" s="169" t="str">
        <f t="shared" si="195"/>
        <v>BADBADON</v>
      </c>
      <c r="W3188" s="169" t="s">
        <v>8896</v>
      </c>
    </row>
    <row r="3189" spans="1:23" x14ac:dyDescent="0.25">
      <c r="B3189" s="169" t="s">
        <v>1167</v>
      </c>
      <c r="C3189" s="169" t="s">
        <v>38</v>
      </c>
      <c r="D3189" s="169" t="s">
        <v>177</v>
      </c>
      <c r="E3189" s="169" t="s">
        <v>19</v>
      </c>
      <c r="F3189" s="245" t="str">
        <f t="shared" si="197"/>
        <v>DVR 72</v>
      </c>
      <c r="G3189" s="169" t="s">
        <v>12945</v>
      </c>
      <c r="H3189" s="169" t="s">
        <v>13434</v>
      </c>
      <c r="I3189" s="169" t="str">
        <f t="shared" si="199"/>
        <v>L12_GHV_054E_RAISE</v>
      </c>
      <c r="J3189" s="169" t="s">
        <v>13435</v>
      </c>
      <c r="K3189" s="169">
        <f>IFERROR(MATCH(J3189,'Final List'!$B$4:$B$252,0),0)</f>
        <v>0</v>
      </c>
      <c r="L3189" s="169">
        <f>IFERROR(MATCH(J3189,'Final List'!$D$4:$D$252,0),0)</f>
        <v>0</v>
      </c>
      <c r="M3189" s="169">
        <f>IFERROR(MATCH(J3189,'Final List'!$F$4:$F$251,0),0)</f>
        <v>0</v>
      </c>
      <c r="N3189" s="169">
        <f>IFERROR(MATCH(J3189,'Final List'!$H$4:$H$252,0),0)</f>
        <v>0</v>
      </c>
      <c r="O3189" s="169">
        <f>IFERROR(MATCH(J3189,'Final List'!$J$4:$J$252,0),0)</f>
        <v>0</v>
      </c>
      <c r="P3189" s="169">
        <f>IFERROR(MATCH(J3189,'Final List'!$L$4:$L$252,0),0)</f>
        <v>0</v>
      </c>
      <c r="Q3189" s="169">
        <f>IFERROR(MATCH(J3189,'Final List'!$N$4:$N$252,0),0)</f>
        <v>0</v>
      </c>
      <c r="R3189" s="169">
        <f>IFERROR(MATCH(J3189,'Final List'!$P$4:$P$252,0),0)</f>
        <v>0</v>
      </c>
      <c r="S3189" s="169">
        <f t="shared" si="198"/>
        <v>0</v>
      </c>
      <c r="V3189" s="169" t="str">
        <f t="shared" si="195"/>
        <v>NITRO BO 2</v>
      </c>
      <c r="W3189" s="169" t="s">
        <v>2715</v>
      </c>
    </row>
    <row r="3190" spans="1:23" x14ac:dyDescent="0.25">
      <c r="B3190" s="169" t="s">
        <v>1166</v>
      </c>
      <c r="C3190" s="169" t="s">
        <v>87</v>
      </c>
      <c r="D3190" s="169" t="s">
        <v>147</v>
      </c>
      <c r="E3190" s="169" t="s">
        <v>37</v>
      </c>
      <c r="F3190" s="245" t="str">
        <f t="shared" si="197"/>
        <v>Dhoz 71</v>
      </c>
      <c r="G3190" s="169" t="s">
        <v>6954</v>
      </c>
      <c r="I3190" s="169" t="str">
        <f t="shared" si="199"/>
        <v>L11_NONE_024E_XCN</v>
      </c>
      <c r="J3190" s="169" t="s">
        <v>12946</v>
      </c>
      <c r="K3190" s="169">
        <f>IFERROR(MATCH(J3190,'Final List'!$B$4:$B$252,0),0)</f>
        <v>0</v>
      </c>
      <c r="L3190" s="169">
        <f>IFERROR(MATCH(J3190,'Final List'!$D$4:$D$252,0),0)</f>
        <v>0</v>
      </c>
      <c r="M3190" s="169">
        <f>IFERROR(MATCH(J3190,'Final List'!$F$4:$F$251,0),0)</f>
        <v>0</v>
      </c>
      <c r="N3190" s="169">
        <f>IFERROR(MATCH(J3190,'Final List'!$H$4:$H$252,0),0)</f>
        <v>0</v>
      </c>
      <c r="O3190" s="169">
        <f>IFERROR(MATCH(J3190,'Final List'!$J$4:$J$252,0),0)</f>
        <v>0</v>
      </c>
      <c r="P3190" s="169">
        <f>IFERROR(MATCH(J3190,'Final List'!$L$4:$L$252,0),0)</f>
        <v>0</v>
      </c>
      <c r="Q3190" s="169">
        <f>IFERROR(MATCH(J3190,'Final List'!$N$4:$N$252,0),0)</f>
        <v>0</v>
      </c>
      <c r="R3190" s="169">
        <f>IFERROR(MATCH(J3190,'Final List'!$P$4:$P$252,0),0)</f>
        <v>0</v>
      </c>
      <c r="S3190" s="169">
        <f t="shared" si="198"/>
        <v>0</v>
      </c>
      <c r="V3190" s="169" t="str">
        <f t="shared" si="195"/>
        <v>BADBADON</v>
      </c>
      <c r="W3190" s="169" t="s">
        <v>2714</v>
      </c>
    </row>
    <row r="3191" spans="1:23" x14ac:dyDescent="0.25">
      <c r="B3191" s="169" t="s">
        <v>1167</v>
      </c>
      <c r="C3191" s="169" t="s">
        <v>55</v>
      </c>
      <c r="D3191" s="169" t="s">
        <v>5742</v>
      </c>
      <c r="E3191" s="169" t="s">
        <v>61</v>
      </c>
      <c r="F3191" s="245" t="str">
        <f t="shared" si="197"/>
        <v>Dhoz 71</v>
      </c>
      <c r="G3191" s="169" t="s">
        <v>12548</v>
      </c>
      <c r="I3191" s="169" t="str">
        <f t="shared" si="199"/>
        <v>L12_JVFW_040E_DW</v>
      </c>
      <c r="J3191" s="169" t="s">
        <v>12950</v>
      </c>
      <c r="K3191" s="169">
        <f>IFERROR(MATCH(J3191,'Final List'!$B$4:$B$252,0),0)</f>
        <v>0</v>
      </c>
      <c r="L3191" s="169">
        <f>IFERROR(MATCH(J3191,'Final List'!$D$4:$D$252,0),0)</f>
        <v>0</v>
      </c>
      <c r="M3191" s="169">
        <f>IFERROR(MATCH(J3191,'Final List'!$F$4:$F$251,0),0)</f>
        <v>0</v>
      </c>
      <c r="N3191" s="169">
        <f>IFERROR(MATCH(J3191,'Final List'!$H$4:$H$252,0),0)</f>
        <v>0</v>
      </c>
      <c r="O3191" s="169">
        <f>IFERROR(MATCH(J3191,'Final List'!$J$4:$J$252,0),0)</f>
        <v>0</v>
      </c>
      <c r="P3191" s="169">
        <f>IFERROR(MATCH(J3191,'Final List'!$L$4:$L$252,0),0)</f>
        <v>0</v>
      </c>
      <c r="Q3191" s="169">
        <f>IFERROR(MATCH(J3191,'Final List'!$N$4:$N$252,0),0)</f>
        <v>0</v>
      </c>
      <c r="R3191" s="169">
        <f>IFERROR(MATCH(J3191,'Final List'!$P$4:$P$252,0),0)</f>
        <v>0</v>
      </c>
      <c r="S3191" s="169">
        <f t="shared" si="198"/>
        <v>0</v>
      </c>
      <c r="V3191" s="169" t="str">
        <f t="shared" si="195"/>
        <v>NITRO BM</v>
      </c>
      <c r="W3191" s="169" t="s">
        <v>8896</v>
      </c>
    </row>
    <row r="3192" spans="1:23" x14ac:dyDescent="0.25">
      <c r="B3192" s="169" t="s">
        <v>95</v>
      </c>
      <c r="C3192" s="169" t="s">
        <v>45</v>
      </c>
      <c r="D3192" s="169" t="s">
        <v>98</v>
      </c>
      <c r="E3192" s="169" t="s">
        <v>19</v>
      </c>
      <c r="F3192" s="245" t="str">
        <f t="shared" si="197"/>
        <v>DVR 72</v>
      </c>
      <c r="G3192" s="169" t="s">
        <v>577</v>
      </c>
      <c r="I3192" s="169" t="str">
        <f t="shared" si="199"/>
        <v>L08_DPVE_014W_RAISE</v>
      </c>
      <c r="J3192" s="169" t="s">
        <v>12952</v>
      </c>
      <c r="K3192" s="169">
        <f>IFERROR(MATCH(J3192,'Final List'!$B$4:$B$252,0),0)</f>
        <v>0</v>
      </c>
      <c r="L3192" s="169">
        <f>IFERROR(MATCH(J3192,'Final List'!$D$4:$D$252,0),0)</f>
        <v>0</v>
      </c>
      <c r="M3192" s="169">
        <f>IFERROR(MATCH(J3192,'Final List'!$F$4:$F$251,0),0)</f>
        <v>0</v>
      </c>
      <c r="N3192" s="169">
        <f>IFERROR(MATCH(J3192,'Final List'!$H$4:$H$252,0),0)</f>
        <v>0</v>
      </c>
      <c r="O3192" s="169">
        <f>IFERROR(MATCH(J3192,'Final List'!$J$4:$J$252,0),0)</f>
        <v>0</v>
      </c>
      <c r="P3192" s="169">
        <f>IFERROR(MATCH(J3192,'Final List'!$L$4:$L$252,0),0)</f>
        <v>0</v>
      </c>
      <c r="Q3192" s="169">
        <f>IFERROR(MATCH(J3192,'Final List'!$N$4:$N$252,0),0)</f>
        <v>0</v>
      </c>
      <c r="R3192" s="169">
        <f>IFERROR(MATCH(J3192,'Final List'!$P$4:$P$252,0),0)</f>
        <v>0</v>
      </c>
      <c r="S3192" s="169">
        <f t="shared" si="198"/>
        <v>0</v>
      </c>
      <c r="V3192" s="169" t="str">
        <f t="shared" si="195"/>
        <v>CARIKITAN 1</v>
      </c>
      <c r="W3192" s="169" t="s">
        <v>2715</v>
      </c>
    </row>
    <row r="3193" spans="1:23" x14ac:dyDescent="0.25">
      <c r="B3193" s="169" t="s">
        <v>1167</v>
      </c>
      <c r="C3193" s="169" t="s">
        <v>45</v>
      </c>
      <c r="D3193" s="169" t="s">
        <v>173</v>
      </c>
      <c r="E3193" s="169" t="s">
        <v>61</v>
      </c>
      <c r="F3193" s="245" t="str">
        <f t="shared" si="197"/>
        <v>Dhoz 71</v>
      </c>
      <c r="G3193" s="169" t="s">
        <v>14127</v>
      </c>
      <c r="H3193" s="169" t="s">
        <v>14130</v>
      </c>
      <c r="I3193" s="169" t="str">
        <f t="shared" si="199"/>
        <v>L12_DPVE_049E_DW</v>
      </c>
      <c r="J3193" s="169" t="s">
        <v>12953</v>
      </c>
      <c r="K3193" s="169">
        <f>IFERROR(MATCH(J3193,'Final List'!$B$4:$B$252,0),0)</f>
        <v>0</v>
      </c>
      <c r="L3193" s="169">
        <f>IFERROR(MATCH(J3193,'Final List'!$D$4:$D$252,0),0)</f>
        <v>0</v>
      </c>
      <c r="M3193" s="169">
        <f>IFERROR(MATCH(J3193,'Final List'!$F$4:$F$251,0),0)</f>
        <v>0</v>
      </c>
      <c r="N3193" s="169">
        <f>IFERROR(MATCH(J3193,'Final List'!$H$4:$H$252,0),0)</f>
        <v>0</v>
      </c>
      <c r="O3193" s="169">
        <f>IFERROR(MATCH(J3193,'Final List'!$J$4:$J$252,0),0)</f>
        <v>0</v>
      </c>
      <c r="P3193" s="169">
        <f>IFERROR(MATCH(J3193,'Final List'!$L$4:$L$252,0),0)</f>
        <v>0</v>
      </c>
      <c r="Q3193" s="169">
        <f>IFERROR(MATCH(J3193,'Final List'!$N$4:$N$252,0),0)</f>
        <v>0</v>
      </c>
      <c r="R3193" s="169">
        <f>IFERROR(MATCH(J3193,'Final List'!$P$4:$P$252,0),0)</f>
        <v>0</v>
      </c>
      <c r="S3193" s="169">
        <f t="shared" si="198"/>
        <v>0</v>
      </c>
      <c r="V3193" s="169" t="str">
        <f t="shared" si="195"/>
        <v>DURANGO</v>
      </c>
      <c r="W3193" s="169" t="s">
        <v>8896</v>
      </c>
    </row>
    <row r="3194" spans="1:23" x14ac:dyDescent="0.25">
      <c r="B3194" s="169" t="s">
        <v>96</v>
      </c>
      <c r="C3194" s="169" t="s">
        <v>59</v>
      </c>
      <c r="D3194" s="169" t="s">
        <v>6139</v>
      </c>
      <c r="E3194" s="169" t="s">
        <v>60</v>
      </c>
      <c r="F3194" s="245" t="str">
        <f t="shared" si="197"/>
        <v>Dhoz 71</v>
      </c>
      <c r="G3194" s="169" t="s">
        <v>1510</v>
      </c>
      <c r="I3194" s="169" t="str">
        <f t="shared" si="199"/>
        <v>L09_GHVHW_030W_DE</v>
      </c>
      <c r="J3194" s="169" t="s">
        <v>12955</v>
      </c>
      <c r="K3194" s="169">
        <f>IFERROR(MATCH(J3194,'Final List'!$B$4:$B$252,0),0)</f>
        <v>0</v>
      </c>
      <c r="L3194" s="169">
        <f>IFERROR(MATCH(J3194,'Final List'!$D$4:$D$252,0),0)</f>
        <v>0</v>
      </c>
      <c r="M3194" s="169">
        <f>IFERROR(MATCH(J3194,'Final List'!$F$4:$F$251,0),0)</f>
        <v>0</v>
      </c>
      <c r="N3194" s="169">
        <f>IFERROR(MATCH(J3194,'Final List'!$H$4:$H$252,0),0)</f>
        <v>0</v>
      </c>
      <c r="O3194" s="169">
        <f>IFERROR(MATCH(J3194,'Final List'!$J$4:$J$252,0),0)</f>
        <v>0</v>
      </c>
      <c r="P3194" s="169">
        <f>IFERROR(MATCH(J3194,'Final List'!$L$4:$L$252,0),0)</f>
        <v>0</v>
      </c>
      <c r="Q3194" s="169">
        <f>IFERROR(MATCH(J3194,'Final List'!$N$4:$N$252,0),0)</f>
        <v>0</v>
      </c>
      <c r="R3194" s="169">
        <f>IFERROR(MATCH(J3194,'Final List'!$P$4:$P$252,0),0)</f>
        <v>0</v>
      </c>
      <c r="S3194" s="169">
        <f t="shared" si="198"/>
        <v>0</v>
      </c>
      <c r="V3194" s="169" t="str">
        <f t="shared" si="195"/>
        <v>DELOS REYES</v>
      </c>
      <c r="W3194" s="169" t="s">
        <v>8896</v>
      </c>
    </row>
    <row r="3195" spans="1:23" x14ac:dyDescent="0.25">
      <c r="B3195" s="169" t="s">
        <v>1167</v>
      </c>
      <c r="C3195" s="169" t="s">
        <v>43</v>
      </c>
      <c r="D3195" s="169" t="s">
        <v>198</v>
      </c>
      <c r="E3195" s="169" t="s">
        <v>61</v>
      </c>
      <c r="F3195" s="245" t="str">
        <f t="shared" si="197"/>
        <v>Dhoz 71</v>
      </c>
      <c r="G3195" s="169" t="s">
        <v>13633</v>
      </c>
      <c r="I3195" s="169" t="str">
        <f t="shared" si="199"/>
        <v>L12_GHVSPLIT_069E_DW</v>
      </c>
      <c r="J3195" s="169" t="s">
        <v>14209</v>
      </c>
      <c r="K3195" s="169">
        <f>IFERROR(MATCH(J3195,'Final List'!$B$4:$B$252,0),0)</f>
        <v>0</v>
      </c>
      <c r="L3195" s="169">
        <f>IFERROR(MATCH(J3195,'Final List'!$D$4:$D$252,0),0)</f>
        <v>0</v>
      </c>
      <c r="M3195" s="169">
        <f>IFERROR(MATCH(J3195,'Final List'!$F$4:$F$251,0),0)</f>
        <v>0</v>
      </c>
      <c r="N3195" s="169">
        <f>IFERROR(MATCH(J3195,'Final List'!$H$4:$H$252,0),0)</f>
        <v>0</v>
      </c>
      <c r="O3195" s="169">
        <f>IFERROR(MATCH(J3195,'Final List'!$J$4:$J$252,0),0)</f>
        <v>0</v>
      </c>
      <c r="P3195" s="169">
        <f>IFERROR(MATCH(J3195,'Final List'!$L$4:$L$252,0),0)</f>
        <v>0</v>
      </c>
      <c r="Q3195" s="169">
        <f>IFERROR(MATCH(J3195,'Final List'!$N$4:$N$252,0),0)</f>
        <v>0</v>
      </c>
      <c r="R3195" s="169">
        <f>IFERROR(MATCH(J3195,'Final List'!$P$4:$P$252,0),0)</f>
        <v>0</v>
      </c>
      <c r="S3195" s="169">
        <f t="shared" si="198"/>
        <v>0</v>
      </c>
      <c r="V3195" s="169" t="str">
        <f t="shared" si="195"/>
        <v>CAYMAN</v>
      </c>
      <c r="W3195" s="169" t="s">
        <v>8896</v>
      </c>
    </row>
    <row r="3196" spans="1:23" x14ac:dyDescent="0.25">
      <c r="A3196" t="s">
        <v>47</v>
      </c>
      <c r="B3196" s="169" t="s">
        <v>12320</v>
      </c>
      <c r="C3196" s="169" t="s">
        <v>43</v>
      </c>
      <c r="D3196" s="169" t="s">
        <v>165</v>
      </c>
      <c r="E3196" s="169" t="s">
        <v>36</v>
      </c>
      <c r="F3196" s="245" t="str">
        <f t="shared" si="197"/>
        <v>StpS 77</v>
      </c>
      <c r="G3196" s="169" t="s">
        <v>75</v>
      </c>
      <c r="I3196" s="169" t="str">
        <f t="shared" si="199"/>
        <v>L425_GHVSPLIT_056E_STOPE</v>
      </c>
      <c r="J3196" s="169" t="s">
        <v>13083</v>
      </c>
      <c r="K3196" s="169">
        <f>IFERROR(MATCH(J3196,'Final List'!$B$4:$B$252,0),0)</f>
        <v>0</v>
      </c>
      <c r="L3196" s="169">
        <f>IFERROR(MATCH(J3196,'Final List'!$D$4:$D$252,0),0)</f>
        <v>0</v>
      </c>
      <c r="M3196" s="169">
        <f>IFERROR(MATCH(J3196,'Final List'!$F$4:$F$251,0),0)</f>
        <v>0</v>
      </c>
      <c r="N3196" s="169">
        <f>IFERROR(MATCH(J3196,'Final List'!$H$4:$H$252,0),0)</f>
        <v>0</v>
      </c>
      <c r="O3196" s="169">
        <f>IFERROR(MATCH(J3196,'Final List'!$J$4:$J$252,0),0)</f>
        <v>0</v>
      </c>
      <c r="P3196" s="169">
        <f>IFERROR(MATCH(J3196,'Final List'!$L$4:$L$252,0),0)</f>
        <v>0</v>
      </c>
      <c r="Q3196" s="169">
        <f>IFERROR(MATCH(J3196,'Final List'!$N$4:$N$252,0),0)</f>
        <v>0</v>
      </c>
      <c r="R3196" s="169">
        <f>IFERROR(MATCH(J3196,'Final List'!$P$4:$P$252,0),0)</f>
        <v>0</v>
      </c>
      <c r="S3196" s="169">
        <f t="shared" si="198"/>
        <v>0</v>
      </c>
      <c r="T3196" s="169" t="s">
        <v>68</v>
      </c>
      <c r="V3196" s="169" t="str">
        <f t="shared" si="195"/>
        <v>BABOR</v>
      </c>
      <c r="W3196" s="169" t="s">
        <v>2713</v>
      </c>
    </row>
    <row r="3197" spans="1:23" x14ac:dyDescent="0.25">
      <c r="B3197" s="169" t="s">
        <v>12320</v>
      </c>
      <c r="C3197" s="169" t="s">
        <v>43</v>
      </c>
      <c r="D3197" s="169" t="s">
        <v>167</v>
      </c>
      <c r="E3197" s="169" t="s">
        <v>19</v>
      </c>
      <c r="F3197" s="245" t="str">
        <f t="shared" si="197"/>
        <v>DVR 72</v>
      </c>
      <c r="G3197" s="169" t="s">
        <v>390</v>
      </c>
      <c r="H3197" s="169" t="s">
        <v>364</v>
      </c>
      <c r="I3197" s="169" t="str">
        <f t="shared" si="199"/>
        <v>L425_GHVSPLIT_058E_RAISE</v>
      </c>
      <c r="J3197" s="169" t="s">
        <v>12964</v>
      </c>
      <c r="K3197" s="169">
        <f>IFERROR(MATCH(J3197,'Final List'!$B$4:$B$252,0),0)</f>
        <v>0</v>
      </c>
      <c r="L3197" s="169">
        <f>IFERROR(MATCH(J3197,'Final List'!$D$4:$D$252,0),0)</f>
        <v>0</v>
      </c>
      <c r="M3197" s="169">
        <f>IFERROR(MATCH(J3197,'Final List'!$F$4:$F$251,0),0)</f>
        <v>0</v>
      </c>
      <c r="N3197" s="169">
        <f>IFERROR(MATCH(J3197,'Final List'!$H$4:$H$252,0),0)</f>
        <v>0</v>
      </c>
      <c r="O3197" s="169">
        <f>IFERROR(MATCH(J3197,'Final List'!$J$4:$J$252,0),0)</f>
        <v>0</v>
      </c>
      <c r="P3197" s="169">
        <f>IFERROR(MATCH(J3197,'Final List'!$L$4:$L$252,0),0)</f>
        <v>0</v>
      </c>
      <c r="Q3197" s="169">
        <f>IFERROR(MATCH(J3197,'Final List'!$N$4:$N$252,0),0)</f>
        <v>0</v>
      </c>
      <c r="R3197" s="169">
        <f>IFERROR(MATCH(J3197,'Final List'!$P$4:$P$252,0),0)</f>
        <v>0</v>
      </c>
      <c r="S3197" s="169">
        <f t="shared" si="198"/>
        <v>0</v>
      </c>
      <c r="V3197" s="169" t="str">
        <f t="shared" si="195"/>
        <v>BABOR 3</v>
      </c>
      <c r="W3197" s="169" t="s">
        <v>2715</v>
      </c>
    </row>
    <row r="3198" spans="1:23" x14ac:dyDescent="0.25">
      <c r="B3198" s="169" t="s">
        <v>12320</v>
      </c>
      <c r="C3198" s="169" t="s">
        <v>43</v>
      </c>
      <c r="D3198" s="169" t="s">
        <v>174</v>
      </c>
      <c r="E3198" s="169" t="s">
        <v>19</v>
      </c>
      <c r="F3198" s="245" t="str">
        <f t="shared" si="197"/>
        <v>DVR 72</v>
      </c>
      <c r="G3198" s="169" t="s">
        <v>522</v>
      </c>
      <c r="H3198" s="169" t="s">
        <v>356</v>
      </c>
      <c r="I3198" s="169" t="str">
        <f t="shared" si="199"/>
        <v>L425_GHVSPLIT_052E_RAISE</v>
      </c>
      <c r="J3198" s="169" t="s">
        <v>12965</v>
      </c>
      <c r="K3198" s="169">
        <f>IFERROR(MATCH(J3198,'Final List'!$B$4:$B$252,0),0)</f>
        <v>0</v>
      </c>
      <c r="L3198" s="169">
        <f>IFERROR(MATCH(J3198,'Final List'!$D$4:$D$252,0),0)</f>
        <v>0</v>
      </c>
      <c r="M3198" s="169">
        <f>IFERROR(MATCH(J3198,'Final List'!$F$4:$F$251,0),0)</f>
        <v>0</v>
      </c>
      <c r="N3198" s="169">
        <f>IFERROR(MATCH(J3198,'Final List'!$H$4:$H$252,0),0)</f>
        <v>0</v>
      </c>
      <c r="O3198" s="169">
        <f>IFERROR(MATCH(J3198,'Final List'!$J$4:$J$252,0),0)</f>
        <v>0</v>
      </c>
      <c r="P3198" s="169">
        <f>IFERROR(MATCH(J3198,'Final List'!$L$4:$L$252,0),0)</f>
        <v>0</v>
      </c>
      <c r="Q3198" s="169">
        <f>IFERROR(MATCH(J3198,'Final List'!$N$4:$N$252,0),0)</f>
        <v>0</v>
      </c>
      <c r="R3198" s="169">
        <f>IFERROR(MATCH(J3198,'Final List'!$P$4:$P$252,0),0)</f>
        <v>0</v>
      </c>
      <c r="S3198" s="169">
        <f t="shared" si="198"/>
        <v>0</v>
      </c>
      <c r="V3198" s="169" t="str">
        <f t="shared" si="195"/>
        <v>BAÑEZ 1</v>
      </c>
      <c r="W3198" s="169" t="s">
        <v>2715</v>
      </c>
    </row>
    <row r="3199" spans="1:23" x14ac:dyDescent="0.25">
      <c r="B3199" s="169" t="s">
        <v>12320</v>
      </c>
      <c r="C3199" s="169" t="s">
        <v>59</v>
      </c>
      <c r="D3199" s="169" t="s">
        <v>218</v>
      </c>
      <c r="E3199" s="169" t="s">
        <v>19</v>
      </c>
      <c r="F3199" s="245" t="str">
        <f t="shared" si="197"/>
        <v>DVR 72</v>
      </c>
      <c r="G3199" s="169" t="s">
        <v>12963</v>
      </c>
      <c r="H3199" s="169" t="s">
        <v>12580</v>
      </c>
      <c r="I3199" s="169" t="str">
        <f t="shared" si="199"/>
        <v>L425_GHVHW_062E_RAISE</v>
      </c>
      <c r="J3199" s="169" t="s">
        <v>12993</v>
      </c>
      <c r="K3199" s="169">
        <f>IFERROR(MATCH(J3199,'Final List'!$B$4:$B$252,0),0)</f>
        <v>0</v>
      </c>
      <c r="L3199" s="169">
        <f>IFERROR(MATCH(J3199,'Final List'!$D$4:$D$252,0),0)</f>
        <v>0</v>
      </c>
      <c r="M3199" s="169">
        <f>IFERROR(MATCH(J3199,'Final List'!$F$4:$F$251,0),0)</f>
        <v>0</v>
      </c>
      <c r="N3199" s="169">
        <f>IFERROR(MATCH(J3199,'Final List'!$H$4:$H$252,0),0)</f>
        <v>0</v>
      </c>
      <c r="O3199" s="169">
        <f>IFERROR(MATCH(J3199,'Final List'!$J$4:$J$252,0),0)</f>
        <v>0</v>
      </c>
      <c r="P3199" s="169">
        <f>IFERROR(MATCH(J3199,'Final List'!$L$4:$L$252,0),0)</f>
        <v>0</v>
      </c>
      <c r="Q3199" s="169">
        <f>IFERROR(MATCH(J3199,'Final List'!$N$4:$N$252,0),0)</f>
        <v>0</v>
      </c>
      <c r="R3199" s="169">
        <f>IFERROR(MATCH(J3199,'Final List'!$P$4:$P$252,0),0)</f>
        <v>0</v>
      </c>
      <c r="S3199" s="169">
        <f t="shared" si="198"/>
        <v>0</v>
      </c>
      <c r="V3199" s="169" t="str">
        <f t="shared" si="195"/>
        <v>NITRO BK</v>
      </c>
      <c r="W3199" s="169" t="s">
        <v>2715</v>
      </c>
    </row>
    <row r="3200" spans="1:23" x14ac:dyDescent="0.25">
      <c r="B3200" s="169" t="s">
        <v>12320</v>
      </c>
      <c r="C3200" s="169" t="s">
        <v>59</v>
      </c>
      <c r="D3200" s="169" t="s">
        <v>172</v>
      </c>
      <c r="E3200" s="169" t="s">
        <v>19</v>
      </c>
      <c r="F3200" s="245" t="str">
        <f t="shared" si="197"/>
        <v>DVR 72</v>
      </c>
      <c r="G3200" s="169" t="s">
        <v>742</v>
      </c>
      <c r="H3200" s="169" t="s">
        <v>1510</v>
      </c>
      <c r="I3200" s="169" t="str">
        <f t="shared" si="199"/>
        <v>L425_GHVHW_045E_RAISE</v>
      </c>
      <c r="J3200" s="169" t="s">
        <v>12977</v>
      </c>
      <c r="K3200" s="169">
        <f>IFERROR(MATCH(J3200,'Final List'!$B$4:$B$252,0),0)</f>
        <v>0</v>
      </c>
      <c r="L3200" s="169">
        <f>IFERROR(MATCH(J3200,'Final List'!$D$4:$D$252,0),0)</f>
        <v>0</v>
      </c>
      <c r="M3200" s="169">
        <f>IFERROR(MATCH(J3200,'Final List'!$F$4:$F$251,0),0)</f>
        <v>0</v>
      </c>
      <c r="N3200" s="169">
        <f>IFERROR(MATCH(J3200,'Final List'!$H$4:$H$252,0),0)</f>
        <v>0</v>
      </c>
      <c r="O3200" s="169">
        <f>IFERROR(MATCH(J3200,'Final List'!$J$4:$J$252,0),0)</f>
        <v>0</v>
      </c>
      <c r="P3200" s="169">
        <f>IFERROR(MATCH(J3200,'Final List'!$L$4:$L$252,0),0)</f>
        <v>0</v>
      </c>
      <c r="Q3200" s="169">
        <f>IFERROR(MATCH(J3200,'Final List'!$N$4:$N$252,0),0)</f>
        <v>0</v>
      </c>
      <c r="R3200" s="169">
        <f>IFERROR(MATCH(J3200,'Final List'!$P$4:$P$252,0),0)</f>
        <v>0</v>
      </c>
      <c r="S3200" s="169">
        <f t="shared" si="198"/>
        <v>0</v>
      </c>
      <c r="V3200" s="169" t="str">
        <f t="shared" si="195"/>
        <v>DELOS REYES</v>
      </c>
      <c r="W3200" s="169" t="s">
        <v>2715</v>
      </c>
    </row>
    <row r="3201" spans="2:23" x14ac:dyDescent="0.25">
      <c r="B3201" s="169" t="s">
        <v>1167</v>
      </c>
      <c r="C3201" s="169" t="s">
        <v>42</v>
      </c>
      <c r="D3201" s="169" t="s">
        <v>123</v>
      </c>
      <c r="E3201" s="169" t="s">
        <v>36</v>
      </c>
      <c r="F3201" s="245" t="str">
        <f t="shared" si="197"/>
        <v>StpS 77</v>
      </c>
      <c r="G3201" s="169" t="s">
        <v>9885</v>
      </c>
      <c r="I3201" s="169" t="str">
        <f t="shared" si="199"/>
        <v>L12_JV_031E_STOPE</v>
      </c>
      <c r="J3201" s="169" t="s">
        <v>13023</v>
      </c>
      <c r="K3201" s="169">
        <f>IFERROR(MATCH(J3201,'Final List'!$B$4:$B$252,0),0)</f>
        <v>0</v>
      </c>
      <c r="L3201" s="169">
        <f>IFERROR(MATCH(J3201,'Final List'!$D$4:$D$252,0),0)</f>
        <v>0</v>
      </c>
      <c r="M3201" s="169">
        <f>IFERROR(MATCH(J3201,'Final List'!$F$4:$F$251,0),0)</f>
        <v>0</v>
      </c>
      <c r="N3201" s="169">
        <f>IFERROR(MATCH(J3201,'Final List'!$H$4:$H$252,0),0)</f>
        <v>0</v>
      </c>
      <c r="O3201" s="169">
        <f>IFERROR(MATCH(J3201,'Final List'!$J$4:$J$252,0),0)</f>
        <v>0</v>
      </c>
      <c r="P3201" s="169">
        <f>IFERROR(MATCH(J3201,'Final List'!$L$4:$L$252,0),0)</f>
        <v>0</v>
      </c>
      <c r="Q3201" s="169">
        <f>IFERROR(MATCH(J3201,'Final List'!$N$4:$N$252,0),0)</f>
        <v>0</v>
      </c>
      <c r="R3201" s="169">
        <f>IFERROR(MATCH(J3201,'Final List'!$P$4:$P$252,0),0)</f>
        <v>0</v>
      </c>
      <c r="S3201" s="169">
        <f t="shared" si="198"/>
        <v>0</v>
      </c>
      <c r="T3201" s="169" t="s">
        <v>68</v>
      </c>
      <c r="V3201" s="169" t="str">
        <f t="shared" si="195"/>
        <v>CAYMAN 2</v>
      </c>
      <c r="W3201" s="169" t="s">
        <v>2713</v>
      </c>
    </row>
    <row r="3202" spans="2:23" x14ac:dyDescent="0.25">
      <c r="B3202" s="169" t="s">
        <v>1167</v>
      </c>
      <c r="C3202" s="169" t="s">
        <v>45</v>
      </c>
      <c r="D3202" s="169" t="s">
        <v>5723</v>
      </c>
      <c r="E3202" s="169" t="s">
        <v>36</v>
      </c>
      <c r="F3202" s="245" t="str">
        <f t="shared" si="197"/>
        <v>StpS 77</v>
      </c>
      <c r="G3202" s="169" t="s">
        <v>6930</v>
      </c>
      <c r="I3202" s="169" t="str">
        <f t="shared" si="199"/>
        <v>L12_DPVE_046E_STOPE</v>
      </c>
      <c r="J3202" s="169" t="s">
        <v>13017</v>
      </c>
      <c r="K3202" s="169">
        <f>IFERROR(MATCH(J3202,'Final List'!$B$4:$B$252,0),0)</f>
        <v>0</v>
      </c>
      <c r="L3202" s="169">
        <f>IFERROR(MATCH(J3202,'Final List'!$D$4:$D$252,0),0)</f>
        <v>0</v>
      </c>
      <c r="M3202" s="169">
        <f>IFERROR(MATCH(J3202,'Final List'!$F$4:$F$251,0),0)</f>
        <v>0</v>
      </c>
      <c r="N3202" s="169">
        <f>IFERROR(MATCH(J3202,'Final List'!$H$4:$H$252,0),0)</f>
        <v>0</v>
      </c>
      <c r="O3202" s="169">
        <f>IFERROR(MATCH(J3202,'Final List'!$J$4:$J$252,0),0)</f>
        <v>0</v>
      </c>
      <c r="P3202" s="169">
        <f>IFERROR(MATCH(J3202,'Final List'!$L$4:$L$252,0),0)</f>
        <v>0</v>
      </c>
      <c r="Q3202" s="169">
        <f>IFERROR(MATCH(J3202,'Final List'!$N$4:$N$252,0),0)</f>
        <v>0</v>
      </c>
      <c r="R3202" s="169">
        <f>IFERROR(MATCH(J3202,'Final List'!$P$4:$P$252,0),0)</f>
        <v>0</v>
      </c>
      <c r="S3202" s="169">
        <f t="shared" si="198"/>
        <v>0</v>
      </c>
      <c r="T3202" s="169" t="s">
        <v>68</v>
      </c>
      <c r="V3202" s="169" t="str">
        <f t="shared" si="195"/>
        <v>DUHIG, P1</v>
      </c>
      <c r="W3202" s="169" t="s">
        <v>2713</v>
      </c>
    </row>
    <row r="3203" spans="2:23" x14ac:dyDescent="0.25">
      <c r="B3203" s="169" t="s">
        <v>1167</v>
      </c>
      <c r="C3203" s="169" t="s">
        <v>39</v>
      </c>
      <c r="D3203" s="169" t="s">
        <v>144</v>
      </c>
      <c r="E3203" s="169" t="s">
        <v>36</v>
      </c>
      <c r="F3203" s="245" t="str">
        <f t="shared" ref="F3203:F3266" si="200">IF(OR(E3203="XCN",E3203="DE",E3203="DW",E3203="DN",E3203="XCS",E3203="XCE",E3203="XCW",E3203="SUMP",E3203="BYPASS",E3203="CHAMBER",E3203="DRAIN HOLE",E3203="DRILLING CHAMBER",E3203="DE_ISL",E3203="DW_ISL",E3203="REHAB"),"Dhoz 71",IF(OR(E3203="RAISE",E3203="RAISE_ISL"),"DVR 72",IF(E3203="ALIMAK","DVA 73",IF(E3203="WINZE","DVW 74",IF(E3203="SHAFT","DVS 75",IF(AND(E3203="WINZE STOPE",T3203="S"),"RobC 80",IF(AND(E3203="STOPE",T3203="S"),"StpS 77",IF(AND(E3203="WINZE STOPE",T3203="L"),"RobC 80",IF(AND(E3203="STOPE",T3203="L"),"StpL 78",IF(AND(E3203="WINZE STOPE PREP",T3203="S"),"RobC 80",IF(AND(E3203="STOPE PREP",T3203="S"),"StpS 77",IF(AND(E3203="WINZE STOPE PREP",T3203="L"),"RobC 80",IF(AND(E3203="STOPE PREP",T3203="L"),"StpL 78",IF(AND(E3203="ROBBING",T3203="L"),"RobC 80",IF(AND(E3203="ROBBING",T3203="S"),"RobS 79",0)))))))))))))))</f>
        <v>StpS 77</v>
      </c>
      <c r="G3203" s="169" t="s">
        <v>12549</v>
      </c>
      <c r="I3203" s="169" t="str">
        <f t="shared" si="199"/>
        <v>L12_JVHW_043E_STOPE</v>
      </c>
      <c r="J3203" s="169" t="s">
        <v>13015</v>
      </c>
      <c r="K3203" s="169">
        <f>IFERROR(MATCH(J3203,'Final List'!$B$4:$B$252,0),0)</f>
        <v>0</v>
      </c>
      <c r="L3203" s="169">
        <f>IFERROR(MATCH(J3203,'Final List'!$D$4:$D$252,0),0)</f>
        <v>0</v>
      </c>
      <c r="M3203" s="169">
        <f>IFERROR(MATCH(J3203,'Final List'!$F$4:$F$251,0),0)</f>
        <v>0</v>
      </c>
      <c r="N3203" s="169">
        <f>IFERROR(MATCH(J3203,'Final List'!$H$4:$H$252,0),0)</f>
        <v>0</v>
      </c>
      <c r="O3203" s="169">
        <f>IFERROR(MATCH(J3203,'Final List'!$J$4:$J$252,0),0)</f>
        <v>0</v>
      </c>
      <c r="P3203" s="169">
        <f>IFERROR(MATCH(J3203,'Final List'!$L$4:$L$252,0),0)</f>
        <v>0</v>
      </c>
      <c r="Q3203" s="169">
        <f>IFERROR(MATCH(J3203,'Final List'!$N$4:$N$252,0),0)</f>
        <v>0</v>
      </c>
      <c r="R3203" s="169">
        <f>IFERROR(MATCH(J3203,'Final List'!$P$4:$P$252,0),0)</f>
        <v>0</v>
      </c>
      <c r="S3203" s="169">
        <f t="shared" ref="S3203:S3232" si="201">SUM(K3203:R3203)</f>
        <v>0</v>
      </c>
      <c r="T3203" s="169" t="s">
        <v>68</v>
      </c>
      <c r="V3203" s="169" t="str">
        <f t="shared" si="195"/>
        <v>NITRO BR</v>
      </c>
      <c r="W3203" s="169" t="s">
        <v>2713</v>
      </c>
    </row>
    <row r="3204" spans="2:23" x14ac:dyDescent="0.25">
      <c r="B3204" s="169" t="s">
        <v>96</v>
      </c>
      <c r="C3204" s="169" t="s">
        <v>59</v>
      </c>
      <c r="D3204" s="169" t="s">
        <v>6518</v>
      </c>
      <c r="E3204" s="169" t="s">
        <v>20</v>
      </c>
      <c r="F3204" s="245" t="str">
        <f t="shared" si="200"/>
        <v>DVW 74</v>
      </c>
      <c r="G3204" s="169" t="s">
        <v>1457</v>
      </c>
      <c r="H3204" s="169" t="s">
        <v>13105</v>
      </c>
      <c r="I3204" s="169" t="str">
        <f t="shared" si="199"/>
        <v>L09_GHVHW_007E_WINZE</v>
      </c>
      <c r="J3204" s="169" t="s">
        <v>12970</v>
      </c>
      <c r="K3204" s="169">
        <f>IFERROR(MATCH(J3204,'Final List'!$B$4:$B$252,0),0)</f>
        <v>0</v>
      </c>
      <c r="L3204" s="169">
        <f>IFERROR(MATCH(J3204,'Final List'!$D$4:$D$252,0),0)</f>
        <v>0</v>
      </c>
      <c r="M3204" s="169">
        <f>IFERROR(MATCH(J3204,'Final List'!$F$4:$F$251,0),0)</f>
        <v>0</v>
      </c>
      <c r="N3204" s="169">
        <f>IFERROR(MATCH(J3204,'Final List'!$H$4:$H$252,0),0)</f>
        <v>0</v>
      </c>
      <c r="O3204" s="169">
        <f>IFERROR(MATCH(J3204,'Final List'!$J$4:$J$252,0),0)</f>
        <v>0</v>
      </c>
      <c r="P3204" s="169">
        <f>IFERROR(MATCH(J3204,'Final List'!$L$4:$L$252,0),0)</f>
        <v>0</v>
      </c>
      <c r="Q3204" s="169">
        <f>IFERROR(MATCH(J3204,'Final List'!$N$4:$N$252,0),0)</f>
        <v>0</v>
      </c>
      <c r="R3204" s="169">
        <f>IFERROR(MATCH(J3204,'Final List'!$P$4:$P$252,0),0)</f>
        <v>0</v>
      </c>
      <c r="S3204" s="169">
        <f t="shared" si="201"/>
        <v>0</v>
      </c>
      <c r="V3204" s="169" t="str">
        <f t="shared" si="195"/>
        <v>NITRO BY</v>
      </c>
      <c r="W3204" s="169" t="s">
        <v>2706</v>
      </c>
    </row>
    <row r="3205" spans="2:23" ht="15.75" x14ac:dyDescent="0.25">
      <c r="B3205" s="169" t="s">
        <v>1166</v>
      </c>
      <c r="C3205" s="169" t="s">
        <v>45</v>
      </c>
      <c r="D3205" s="169" t="s">
        <v>5631</v>
      </c>
      <c r="E3205" s="169" t="s">
        <v>60</v>
      </c>
      <c r="F3205" s="245" t="str">
        <f t="shared" si="200"/>
        <v>Dhoz 71</v>
      </c>
      <c r="G3205" s="107" t="s">
        <v>12070</v>
      </c>
      <c r="I3205" s="169" t="str">
        <f t="shared" si="199"/>
        <v>L11_DPVE_020E_DE</v>
      </c>
      <c r="J3205" s="169" t="s">
        <v>12972</v>
      </c>
      <c r="K3205" s="169">
        <f>IFERROR(MATCH(J3205,'Final List'!$B$4:$B$252,0),0)</f>
        <v>0</v>
      </c>
      <c r="L3205" s="169">
        <f>IFERROR(MATCH(J3205,'Final List'!$D$4:$D$252,0),0)</f>
        <v>0</v>
      </c>
      <c r="M3205" s="169">
        <f>IFERROR(MATCH(J3205,'Final List'!$F$4:$F$251,0),0)</f>
        <v>0</v>
      </c>
      <c r="N3205" s="169">
        <f>IFERROR(MATCH(J3205,'Final List'!$H$4:$H$252,0),0)</f>
        <v>0</v>
      </c>
      <c r="O3205" s="169">
        <f>IFERROR(MATCH(J3205,'Final List'!$J$4:$J$252,0),0)</f>
        <v>0</v>
      </c>
      <c r="P3205" s="169">
        <f>IFERROR(MATCH(J3205,'Final List'!$L$4:$L$252,0),0)</f>
        <v>0</v>
      </c>
      <c r="Q3205" s="169">
        <f>IFERROR(MATCH(J3205,'Final List'!$N$4:$N$252,0),0)</f>
        <v>0</v>
      </c>
      <c r="R3205" s="169">
        <f>IFERROR(MATCH(J3205,'Final List'!$P$4:$P$252,0),0)</f>
        <v>0</v>
      </c>
      <c r="S3205" s="169">
        <f t="shared" si="201"/>
        <v>0</v>
      </c>
      <c r="V3205" s="169" t="str">
        <f>IF(H3205="",G3205,H3205)</f>
        <v>NITRO BB</v>
      </c>
      <c r="W3205" s="169" t="s">
        <v>8896</v>
      </c>
    </row>
    <row r="3206" spans="2:23" x14ac:dyDescent="0.25">
      <c r="B3206" s="169" t="s">
        <v>1166</v>
      </c>
      <c r="C3206" s="169" t="s">
        <v>38</v>
      </c>
      <c r="D3206" s="169" t="s">
        <v>160</v>
      </c>
      <c r="E3206" s="169" t="s">
        <v>19</v>
      </c>
      <c r="F3206" s="245" t="str">
        <f t="shared" si="200"/>
        <v>DVR 72</v>
      </c>
      <c r="G3206" s="169" t="s">
        <v>352</v>
      </c>
      <c r="H3206" s="169" t="s">
        <v>12672</v>
      </c>
      <c r="I3206" s="169" t="str">
        <f t="shared" si="199"/>
        <v>L11_GHV_042E_RAISE</v>
      </c>
      <c r="J3206" s="169" t="s">
        <v>12971</v>
      </c>
      <c r="K3206" s="169">
        <f>IFERROR(MATCH(J3206,'Final List'!$B$4:$B$252,0),0)</f>
        <v>0</v>
      </c>
      <c r="L3206" s="169">
        <f>IFERROR(MATCH(J3206,'Final List'!$D$4:$D$252,0),0)</f>
        <v>0</v>
      </c>
      <c r="M3206" s="169">
        <f>IFERROR(MATCH(J3206,'Final List'!$F$4:$F$251,0),0)</f>
        <v>0</v>
      </c>
      <c r="N3206" s="169">
        <f>IFERROR(MATCH(J3206,'Final List'!$H$4:$H$252,0),0)</f>
        <v>0</v>
      </c>
      <c r="O3206" s="169">
        <f>IFERROR(MATCH(J3206,'Final List'!$J$4:$J$252,0),0)</f>
        <v>0</v>
      </c>
      <c r="P3206" s="169">
        <f>IFERROR(MATCH(J3206,'Final List'!$L$4:$L$252,0),0)</f>
        <v>0</v>
      </c>
      <c r="Q3206" s="169">
        <f>IFERROR(MATCH(J3206,'Final List'!$N$4:$N$252,0),0)</f>
        <v>0</v>
      </c>
      <c r="R3206" s="169">
        <f>IFERROR(MATCH(J3206,'Final List'!$P$4:$P$252,0),0)</f>
        <v>0</v>
      </c>
      <c r="S3206" s="169">
        <f t="shared" si="201"/>
        <v>0</v>
      </c>
      <c r="V3206" s="169" t="str">
        <f t="shared" si="195"/>
        <v>NITRO BE</v>
      </c>
      <c r="W3206" s="169" t="s">
        <v>2715</v>
      </c>
    </row>
    <row r="3207" spans="2:23" x14ac:dyDescent="0.25">
      <c r="B3207" s="169" t="s">
        <v>12320</v>
      </c>
      <c r="C3207" s="169" t="s">
        <v>87</v>
      </c>
      <c r="D3207" s="169" t="s">
        <v>5741</v>
      </c>
      <c r="E3207" s="169" t="s">
        <v>12171</v>
      </c>
      <c r="F3207" s="245" t="s">
        <v>14362</v>
      </c>
      <c r="G3207" s="169" t="s">
        <v>75</v>
      </c>
      <c r="I3207" s="169" t="str">
        <f t="shared" si="199"/>
        <v>L425_NONE_035E_WIDENING</v>
      </c>
      <c r="J3207" s="169" t="s">
        <v>12978</v>
      </c>
      <c r="K3207" s="169">
        <f>IFERROR(MATCH(J3207,'Final List'!$B$4:$B$252,0),0)</f>
        <v>0</v>
      </c>
      <c r="L3207" s="169">
        <f>IFERROR(MATCH(J3207,'Final List'!$D$4:$D$252,0),0)</f>
        <v>0</v>
      </c>
      <c r="M3207" s="169">
        <f>IFERROR(MATCH(J3207,'Final List'!$F$4:$F$251,0),0)</f>
        <v>0</v>
      </c>
      <c r="N3207" s="169">
        <f>IFERROR(MATCH(J3207,'Final List'!$H$4:$H$252,0),0)</f>
        <v>0</v>
      </c>
      <c r="O3207" s="169">
        <f>IFERROR(MATCH(J3207,'Final List'!$J$4:$J$252,0),0)</f>
        <v>0</v>
      </c>
      <c r="P3207" s="169">
        <f>IFERROR(MATCH(J3207,'Final List'!$L$4:$L$252,0),0)</f>
        <v>0</v>
      </c>
      <c r="Q3207" s="169">
        <f>IFERROR(MATCH(J3207,'Final List'!$N$4:$N$252,0),0)</f>
        <v>0</v>
      </c>
      <c r="R3207" s="169">
        <f>IFERROR(MATCH(J3207,'Final List'!$P$4:$P$252,0),0)</f>
        <v>0</v>
      </c>
      <c r="S3207" s="169">
        <f t="shared" si="201"/>
        <v>0</v>
      </c>
      <c r="V3207" s="169" t="str">
        <f t="shared" si="195"/>
        <v>BABOR</v>
      </c>
      <c r="W3207" s="169" t="s">
        <v>2714</v>
      </c>
    </row>
    <row r="3208" spans="2:23" x14ac:dyDescent="0.25">
      <c r="B3208" s="169" t="s">
        <v>96</v>
      </c>
      <c r="C3208" s="169" t="s">
        <v>42</v>
      </c>
      <c r="D3208" s="169" t="s">
        <v>5614</v>
      </c>
      <c r="E3208" s="169" t="s">
        <v>62</v>
      </c>
      <c r="F3208" s="245" t="str">
        <f>IF(OR(E3208="XCN",E3208="DE",E3208="DW",E3208="DN",E3208="XCS",E3208="XCE",E3208="XCW",E3208="SUMP",E3208="BYPASS",E3208="CHAMBER",E3208="DRAIN HOLE",E3208="DRILLING CHAMBER",E3208="DE_ISL",E3208="DW_ISL",E3208="REHAB"),"Dhoz 71",IF(OR(E3208="RAISE",E3208="RAISE_ISL"),"DVR 72",IF(E3208="ALIMAK","DVA 73",IF(E3208="ALIMAK_RAISE","DVA 73",IF(E3208="WINZE","DVW 74",IF(E3208="SHAFT","DVS 75",IF(AND(E3208="WINZE STOPE",T3208="S"),"RobC 80",IF(AND(E3208="STOPE",T3208="S"),"StpS 77",IF(AND(E3208="WINZE STOPE",T3208="L"),"RobC 80",IF(AND(E3208="STOPE",T3208="L"),"StpL 78",IF(AND(E3208="WINZE STOPE PREP",T3208="S"),"RobC 80",IF(AND(E3208="STOPE PREP",T3208="S"),"StpS 77",IF(AND(E3208="WINZE STOPE PREP",T3208="L"),"RobC 80",IF(AND(E3208="STOPE PREP",T3208="L"),"StpL 78",IF(AND(E3208="ROBBING",T3208="L"),"RobC 80",IF(AND(E3208="ROBBING",T3208="S"),"RobS 79",0))))))))))))))))</f>
        <v>RobS 79</v>
      </c>
      <c r="G3208" s="169" t="s">
        <v>6216</v>
      </c>
      <c r="I3208" s="169" t="str">
        <f t="shared" si="199"/>
        <v>L09_JV_055E_ROBBING</v>
      </c>
      <c r="J3208" s="169" t="s">
        <v>12983</v>
      </c>
      <c r="K3208" s="169">
        <f>IFERROR(MATCH(J3208,'Final List'!$B$4:$B$252,0),0)</f>
        <v>0</v>
      </c>
      <c r="L3208" s="169">
        <f>IFERROR(MATCH(J3208,'Final List'!$D$4:$D$252,0),0)</f>
        <v>0</v>
      </c>
      <c r="M3208" s="169">
        <f>IFERROR(MATCH(J3208,'Final List'!$F$4:$F$251,0),0)</f>
        <v>0</v>
      </c>
      <c r="N3208" s="169">
        <f>IFERROR(MATCH(J3208,'Final List'!$H$4:$H$252,0),0)</f>
        <v>0</v>
      </c>
      <c r="O3208" s="169">
        <f>IFERROR(MATCH(J3208,'Final List'!$J$4:$J$252,0),0)</f>
        <v>0</v>
      </c>
      <c r="P3208" s="169">
        <f>IFERROR(MATCH(J3208,'Final List'!$L$4:$L$252,0),0)</f>
        <v>0</v>
      </c>
      <c r="Q3208" s="169">
        <f>IFERROR(MATCH(J3208,'Final List'!$N$4:$N$252,0),0)</f>
        <v>0</v>
      </c>
      <c r="R3208" s="169">
        <f>IFERROR(MATCH(J3208,'Final List'!$P$4:$P$252,0),0)</f>
        <v>0</v>
      </c>
      <c r="S3208" s="169">
        <f t="shared" si="201"/>
        <v>0</v>
      </c>
      <c r="T3208" s="169" t="s">
        <v>68</v>
      </c>
      <c r="V3208" s="169" t="str">
        <f t="shared" si="195"/>
        <v>FERNANDEZ</v>
      </c>
      <c r="W3208" s="169" t="s">
        <v>2707</v>
      </c>
    </row>
    <row r="3209" spans="2:23" x14ac:dyDescent="0.25">
      <c r="B3209" s="169" t="s">
        <v>94</v>
      </c>
      <c r="C3209" s="169" t="s">
        <v>87</v>
      </c>
      <c r="D3209" s="169" t="s">
        <v>5741</v>
      </c>
      <c r="E3209" s="169" t="s">
        <v>13390</v>
      </c>
      <c r="F3209" s="245" t="str">
        <f>IF(OR(E3209="XCN",E3209="DE",E3209="DW",E3209="DN",E3209="XCS",E3209="XCE",E3209="XCW",E3209="SUMP",E3209="BYPASS",E3209="CHAMBER",E3209="DRAIN HOLE",E3209="DRILLING CHAMBER",E3209="DE_ISL",E3209="DW_ISL",E3209="REHAB"),"Dhoz 71",IF(OR(E3209="RAISE",E3209="RAISE_ISL"),"DVR 72",IF(E3209="ALIMAK","DVA 73",IF(E3209="ALIMAK_RAISE","DVA 73",IF(E3209="WINZE","DVW 74",IF(E3209="SHAFT","DVS 75",IF(AND(E3209="WINZE STOPE",T3209="S"),"RobC 80",IF(AND(E3209="STOPE",T3209="S"),"StpS 77",IF(AND(E3209="WINZE STOPE",T3209="L"),"RobC 80",IF(AND(E3209="STOPE",T3209="L"),"StpL 78",IF(AND(E3209="WINZE STOPE PREP",T3209="S"),"RobC 80",IF(AND(E3209="STOPE PREP",T3209="S"),"StpS 77",IF(AND(E3209="WINZE STOPE PREP",T3209="L"),"RobC 80",IF(AND(E3209="STOPE PREP",T3209="L"),"StpL 78",IF(AND(E3209="ROBBING",T3209="L"),"RobC 80",IF(AND(E3209="ROBBING",T3209="S"),"RobS 79",0))))))))))))))))</f>
        <v>DVA 73</v>
      </c>
      <c r="G3209" s="169" t="s">
        <v>1606</v>
      </c>
      <c r="I3209" s="169" t="str">
        <f t="shared" si="199"/>
        <v>L07_NONE_035E_ALIMAK_RAISE</v>
      </c>
      <c r="J3209" s="169" t="s">
        <v>14169</v>
      </c>
      <c r="K3209" s="169">
        <f>IFERROR(MATCH(J3209,'Final List'!$B$4:$B$252,0),0)</f>
        <v>0</v>
      </c>
      <c r="L3209" s="169">
        <f>IFERROR(MATCH(J3209,'Final List'!$D$4:$D$252,0),0)</f>
        <v>0</v>
      </c>
      <c r="M3209" s="169">
        <f>IFERROR(MATCH(J3209,'Final List'!$F$4:$F$251,0),0)</f>
        <v>0</v>
      </c>
      <c r="N3209" s="169">
        <f>IFERROR(MATCH(J3209,'Final List'!$H$4:$H$252,0),0)</f>
        <v>0</v>
      </c>
      <c r="O3209" s="169">
        <f>IFERROR(MATCH(J3209,'Final List'!$J$4:$J$252,0),0)</f>
        <v>0</v>
      </c>
      <c r="P3209" s="169">
        <f>IFERROR(MATCH(J3209,'Final List'!$L$4:$L$252,0),0)</f>
        <v>0</v>
      </c>
      <c r="Q3209" s="169">
        <f>IFERROR(MATCH(J3209,'Final List'!$N$4:$N$252,0),0)</f>
        <v>0</v>
      </c>
      <c r="R3209" s="169">
        <f>IFERROR(MATCH(J3209,'Final List'!$P$4:$P$252,0),0)</f>
        <v>0</v>
      </c>
      <c r="S3209" s="169">
        <f t="shared" si="201"/>
        <v>0</v>
      </c>
      <c r="V3209" s="169" t="str">
        <f t="shared" si="195"/>
        <v>PMC MINERS</v>
      </c>
      <c r="W3209" s="169" t="s">
        <v>2714</v>
      </c>
    </row>
    <row r="3210" spans="2:23" x14ac:dyDescent="0.25">
      <c r="B3210" s="169" t="s">
        <v>1167</v>
      </c>
      <c r="C3210" s="169" t="s">
        <v>43</v>
      </c>
      <c r="D3210" s="169" t="s">
        <v>205</v>
      </c>
      <c r="E3210" s="169" t="s">
        <v>61</v>
      </c>
      <c r="F3210" s="245" t="str">
        <f t="shared" si="200"/>
        <v>Dhoz 71</v>
      </c>
      <c r="G3210" s="169" t="s">
        <v>337</v>
      </c>
      <c r="I3210" s="169" t="str">
        <f t="shared" si="199"/>
        <v>L12_GHVSPLIT_066E_DW</v>
      </c>
      <c r="J3210" s="169" t="s">
        <v>12991</v>
      </c>
      <c r="K3210" s="169">
        <f>IFERROR(MATCH(J3210,'Final List'!$B$4:$B$252,0),0)</f>
        <v>0</v>
      </c>
      <c r="L3210" s="169">
        <f>IFERROR(MATCH(J3210,'Final List'!$D$4:$D$252,0),0)</f>
        <v>0</v>
      </c>
      <c r="M3210" s="169">
        <f>IFERROR(MATCH(J3210,'Final List'!$F$4:$F$251,0),0)</f>
        <v>0</v>
      </c>
      <c r="N3210" s="169">
        <f>IFERROR(MATCH(J3210,'Final List'!$H$4:$H$252,0),0)</f>
        <v>0</v>
      </c>
      <c r="O3210" s="169">
        <f>IFERROR(MATCH(J3210,'Final List'!$J$4:$J$252,0),0)</f>
        <v>0</v>
      </c>
      <c r="P3210" s="169">
        <f>IFERROR(MATCH(J3210,'Final List'!$L$4:$L$252,0),0)</f>
        <v>0</v>
      </c>
      <c r="Q3210" s="169">
        <f>IFERROR(MATCH(J3210,'Final List'!$N$4:$N$252,0),0)</f>
        <v>0</v>
      </c>
      <c r="R3210" s="169">
        <f>IFERROR(MATCH(J3210,'Final List'!$P$4:$P$252,0),0)</f>
        <v>0</v>
      </c>
      <c r="S3210" s="169">
        <f t="shared" si="201"/>
        <v>0</v>
      </c>
      <c r="V3210" s="169" t="str">
        <f t="shared" si="195"/>
        <v>BALANGHIG 2</v>
      </c>
      <c r="W3210" s="169" t="s">
        <v>8896</v>
      </c>
    </row>
    <row r="3211" spans="2:23" x14ac:dyDescent="0.25">
      <c r="B3211" s="169" t="s">
        <v>1167</v>
      </c>
      <c r="C3211" s="169" t="s">
        <v>87</v>
      </c>
      <c r="D3211" s="169" t="s">
        <v>179</v>
      </c>
      <c r="E3211" s="169" t="s">
        <v>37</v>
      </c>
      <c r="F3211" s="245" t="str">
        <f t="shared" si="200"/>
        <v>Dhoz 71</v>
      </c>
      <c r="G3211" s="169" t="s">
        <v>12236</v>
      </c>
      <c r="I3211" s="169" t="str">
        <f t="shared" si="199"/>
        <v>L12_NONE_050E_XCN</v>
      </c>
      <c r="J3211" s="169" t="s">
        <v>12914</v>
      </c>
      <c r="K3211" s="169">
        <f>IFERROR(MATCH(J3211,'Final List'!$B$4:$B$252,0),0)</f>
        <v>0</v>
      </c>
      <c r="L3211" s="169">
        <f>IFERROR(MATCH(J3211,'Final List'!$D$4:$D$252,0),0)</f>
        <v>0</v>
      </c>
      <c r="M3211" s="169">
        <f>IFERROR(MATCH(J3211,'Final List'!$F$4:$F$251,0),0)</f>
        <v>0</v>
      </c>
      <c r="N3211" s="169">
        <f>IFERROR(MATCH(J3211,'Final List'!$H$4:$H$252,0),0)</f>
        <v>0</v>
      </c>
      <c r="O3211" s="169">
        <f>IFERROR(MATCH(J3211,'Final List'!$J$4:$J$252,0),0)</f>
        <v>0</v>
      </c>
      <c r="P3211" s="169">
        <f>IFERROR(MATCH(J3211,'Final List'!$L$4:$L$252,0),0)</f>
        <v>0</v>
      </c>
      <c r="Q3211" s="169">
        <f>IFERROR(MATCH(J3211,'Final List'!$N$4:$N$252,0),0)</f>
        <v>0</v>
      </c>
      <c r="R3211" s="169">
        <f>IFERROR(MATCH(J3211,'Final List'!$P$4:$P$252,0),0)</f>
        <v>0</v>
      </c>
      <c r="S3211" s="169">
        <f t="shared" si="201"/>
        <v>0</v>
      </c>
      <c r="V3211" s="169" t="str">
        <f t="shared" si="195"/>
        <v>NITRO BA 2</v>
      </c>
      <c r="W3211" s="169" t="s">
        <v>2714</v>
      </c>
    </row>
    <row r="3212" spans="2:23" x14ac:dyDescent="0.25">
      <c r="B3212" s="169" t="s">
        <v>95</v>
      </c>
      <c r="C3212" s="169" t="s">
        <v>87</v>
      </c>
      <c r="E3212" s="169" t="s">
        <v>12994</v>
      </c>
      <c r="G3212" s="169" t="s">
        <v>12064</v>
      </c>
      <c r="I3212" s="169" t="str">
        <f t="shared" si="199"/>
        <v>L08_NONE__MAGAZINE</v>
      </c>
      <c r="J3212" s="169" t="s">
        <v>12995</v>
      </c>
      <c r="K3212" s="169">
        <f>IFERROR(MATCH(J3212,'Final List'!$B$4:$B$252,0),0)</f>
        <v>0</v>
      </c>
      <c r="L3212" s="169">
        <f>IFERROR(MATCH(J3212,'Final List'!$D$4:$D$252,0),0)</f>
        <v>0</v>
      </c>
      <c r="M3212" s="169">
        <f>IFERROR(MATCH(J3212,'Final List'!$F$4:$F$251,0),0)</f>
        <v>0</v>
      </c>
      <c r="N3212" s="169">
        <f>IFERROR(MATCH(J3212,'Final List'!$H$4:$H$252,0),0)</f>
        <v>0</v>
      </c>
      <c r="O3212" s="169">
        <f>IFERROR(MATCH(J3212,'Final List'!$J$4:$J$252,0),0)</f>
        <v>0</v>
      </c>
      <c r="P3212" s="169">
        <f>IFERROR(MATCH(J3212,'Final List'!$L$4:$L$252,0),0)</f>
        <v>0</v>
      </c>
      <c r="Q3212" s="169">
        <f>IFERROR(MATCH(J3212,'Final List'!$N$4:$N$252,0),0)</f>
        <v>0</v>
      </c>
      <c r="R3212" s="169">
        <f>IFERROR(MATCH(J3212,'Final List'!$P$4:$P$252,0),0)</f>
        <v>0</v>
      </c>
      <c r="S3212" s="169">
        <f t="shared" si="201"/>
        <v>0</v>
      </c>
      <c r="V3212" s="169" t="str">
        <f t="shared" si="195"/>
        <v>NITRO AX</v>
      </c>
      <c r="W3212" s="169" t="s">
        <v>2714</v>
      </c>
    </row>
    <row r="3213" spans="2:23" x14ac:dyDescent="0.25">
      <c r="B3213" s="169" t="s">
        <v>96</v>
      </c>
      <c r="C3213" s="169" t="s">
        <v>45</v>
      </c>
      <c r="D3213" s="169" t="s">
        <v>103</v>
      </c>
      <c r="E3213" s="169" t="s">
        <v>60</v>
      </c>
      <c r="F3213" s="245" t="str">
        <f t="shared" si="200"/>
        <v>Dhoz 71</v>
      </c>
      <c r="G3213" s="169" t="s">
        <v>12885</v>
      </c>
      <c r="I3213" s="169" t="str">
        <f t="shared" si="199"/>
        <v>L09_DPVE_005E_DE</v>
      </c>
      <c r="J3213" s="169" t="s">
        <v>13000</v>
      </c>
      <c r="K3213" s="169">
        <f>IFERROR(MATCH(J3213,'Final List'!$B$4:$B$252,0),0)</f>
        <v>0</v>
      </c>
      <c r="L3213" s="169">
        <f>IFERROR(MATCH(J3213,'Final List'!$D$4:$D$252,0),0)</f>
        <v>0</v>
      </c>
      <c r="M3213" s="169">
        <f>IFERROR(MATCH(J3213,'Final List'!$F$4:$F$251,0),0)</f>
        <v>0</v>
      </c>
      <c r="N3213" s="169">
        <f>IFERROR(MATCH(J3213,'Final List'!$H$4:$H$252,0),0)</f>
        <v>0</v>
      </c>
      <c r="O3213" s="169">
        <f>IFERROR(MATCH(J3213,'Final List'!$J$4:$J$252,0),0)</f>
        <v>0</v>
      </c>
      <c r="P3213" s="169">
        <f>IFERROR(MATCH(J3213,'Final List'!$L$4:$L$252,0),0)</f>
        <v>0</v>
      </c>
      <c r="Q3213" s="169">
        <f>IFERROR(MATCH(J3213,'Final List'!$N$4:$N$252,0),0)</f>
        <v>0</v>
      </c>
      <c r="R3213" s="169">
        <f>IFERROR(MATCH(J3213,'Final List'!$P$4:$P$252,0),0)</f>
        <v>0</v>
      </c>
      <c r="S3213" s="169">
        <f t="shared" si="201"/>
        <v>0</v>
      </c>
      <c r="V3213" s="169" t="str">
        <f t="shared" si="195"/>
        <v>DELOS REYES V4</v>
      </c>
      <c r="W3213" s="169" t="s">
        <v>8896</v>
      </c>
    </row>
    <row r="3214" spans="2:23" x14ac:dyDescent="0.25">
      <c r="B3214" s="169" t="s">
        <v>95</v>
      </c>
      <c r="C3214" s="169" t="s">
        <v>45</v>
      </c>
      <c r="D3214" s="169" t="s">
        <v>144</v>
      </c>
      <c r="E3214" s="169" t="s">
        <v>62</v>
      </c>
      <c r="F3214" s="245" t="str">
        <f t="shared" si="200"/>
        <v>RobC 80</v>
      </c>
      <c r="G3214" s="169" t="s">
        <v>583</v>
      </c>
      <c r="I3214" s="169" t="str">
        <f t="shared" si="199"/>
        <v>L08_DPVE_043E_ROBBING</v>
      </c>
      <c r="J3214" s="169" t="s">
        <v>13001</v>
      </c>
      <c r="K3214" s="169">
        <f>IFERROR(MATCH(J3214,'Final List'!$B$4:$B$252,0),0)</f>
        <v>0</v>
      </c>
      <c r="L3214" s="169">
        <f>IFERROR(MATCH(J3214,'Final List'!$D$4:$D$252,0),0)</f>
        <v>0</v>
      </c>
      <c r="M3214" s="169">
        <f>IFERROR(MATCH(J3214,'Final List'!$F$4:$F$251,0),0)</f>
        <v>0</v>
      </c>
      <c r="N3214" s="169">
        <f>IFERROR(MATCH(J3214,'Final List'!$H$4:$H$252,0),0)</f>
        <v>0</v>
      </c>
      <c r="O3214" s="169">
        <f>IFERROR(MATCH(J3214,'Final List'!$J$4:$J$252,0),0)</f>
        <v>0</v>
      </c>
      <c r="P3214" s="169">
        <f>IFERROR(MATCH(J3214,'Final List'!$L$4:$L$252,0),0)</f>
        <v>0</v>
      </c>
      <c r="Q3214" s="169">
        <f>IFERROR(MATCH(J3214,'Final List'!$N$4:$N$252,0),0)</f>
        <v>0</v>
      </c>
      <c r="R3214" s="169">
        <f>IFERROR(MATCH(J3214,'Final List'!$P$4:$P$252,0),0)</f>
        <v>0</v>
      </c>
      <c r="S3214" s="169">
        <f t="shared" si="201"/>
        <v>0</v>
      </c>
      <c r="T3214" s="169" t="s">
        <v>48</v>
      </c>
      <c r="V3214" s="169" t="str">
        <f t="shared" si="195"/>
        <v>VILLARANTE 1</v>
      </c>
      <c r="W3214" s="169" t="s">
        <v>236</v>
      </c>
    </row>
    <row r="3215" spans="2:23" x14ac:dyDescent="0.25">
      <c r="B3215" s="169" t="s">
        <v>1167</v>
      </c>
      <c r="C3215" s="169" t="s">
        <v>55</v>
      </c>
      <c r="D3215" s="169" t="s">
        <v>161</v>
      </c>
      <c r="E3215" s="169" t="s">
        <v>61</v>
      </c>
      <c r="F3215" s="245" t="str">
        <f t="shared" si="200"/>
        <v>Dhoz 71</v>
      </c>
      <c r="G3215" s="169" t="s">
        <v>12945</v>
      </c>
      <c r="I3215" s="169" t="str">
        <f t="shared" si="199"/>
        <v>L12_JVFW_044E_DW</v>
      </c>
      <c r="J3215" s="169" t="s">
        <v>13005</v>
      </c>
      <c r="K3215" s="169">
        <f>IFERROR(MATCH(J3215,'Final List'!$B$4:$B$252,0),0)</f>
        <v>0</v>
      </c>
      <c r="L3215" s="169">
        <f>IFERROR(MATCH(J3215,'Final List'!$D$4:$D$252,0),0)</f>
        <v>0</v>
      </c>
      <c r="M3215" s="169">
        <f>IFERROR(MATCH(J3215,'Final List'!$F$4:$F$251,0),0)</f>
        <v>0</v>
      </c>
      <c r="N3215" s="169">
        <f>IFERROR(MATCH(J3215,'Final List'!$H$4:$H$252,0),0)</f>
        <v>0</v>
      </c>
      <c r="O3215" s="169">
        <f>IFERROR(MATCH(J3215,'Final List'!$J$4:$J$252,0),0)</f>
        <v>0</v>
      </c>
      <c r="P3215" s="169">
        <f>IFERROR(MATCH(J3215,'Final List'!$L$4:$L$252,0),0)</f>
        <v>0</v>
      </c>
      <c r="Q3215" s="169">
        <f>IFERROR(MATCH(J3215,'Final List'!$N$4:$N$252,0),0)</f>
        <v>0</v>
      </c>
      <c r="R3215" s="169">
        <f>IFERROR(MATCH(J3215,'Final List'!$P$4:$P$252,0),0)</f>
        <v>0</v>
      </c>
      <c r="S3215" s="169">
        <f t="shared" si="201"/>
        <v>0</v>
      </c>
      <c r="V3215" s="169" t="str">
        <f t="shared" si="195"/>
        <v>NITRO BM 2</v>
      </c>
      <c r="W3215" s="169" t="s">
        <v>8896</v>
      </c>
    </row>
    <row r="3216" spans="2:23" x14ac:dyDescent="0.25">
      <c r="B3216" s="169" t="s">
        <v>96</v>
      </c>
      <c r="C3216" s="169" t="s">
        <v>42</v>
      </c>
      <c r="D3216" s="169" t="s">
        <v>165</v>
      </c>
      <c r="E3216" s="169" t="s">
        <v>60</v>
      </c>
      <c r="F3216" s="245" t="str">
        <f t="shared" si="200"/>
        <v>Dhoz 71</v>
      </c>
      <c r="G3216" s="169" t="s">
        <v>6216</v>
      </c>
      <c r="I3216" s="169" t="str">
        <f t="shared" si="199"/>
        <v>L09_JV_056E_DE</v>
      </c>
      <c r="J3216" s="169" t="s">
        <v>13006</v>
      </c>
      <c r="K3216" s="169">
        <f>IFERROR(MATCH(J3216,'Final List'!$B$4:$B$252,0),0)</f>
        <v>0</v>
      </c>
      <c r="L3216" s="169">
        <f>IFERROR(MATCH(J3216,'Final List'!$D$4:$D$252,0),0)</f>
        <v>0</v>
      </c>
      <c r="M3216" s="169">
        <f>IFERROR(MATCH(J3216,'Final List'!$F$4:$F$251,0),0)</f>
        <v>0</v>
      </c>
      <c r="N3216" s="169">
        <f>IFERROR(MATCH(J3216,'Final List'!$H$4:$H$252,0),0)</f>
        <v>0</v>
      </c>
      <c r="O3216" s="169">
        <f>IFERROR(MATCH(J3216,'Final List'!$J$4:$J$252,0),0)</f>
        <v>0</v>
      </c>
      <c r="P3216" s="169">
        <f>IFERROR(MATCH(J3216,'Final List'!$L$4:$L$252,0),0)</f>
        <v>0</v>
      </c>
      <c r="Q3216" s="169">
        <f>IFERROR(MATCH(J3216,'Final List'!$N$4:$N$252,0),0)</f>
        <v>0</v>
      </c>
      <c r="R3216" s="169">
        <f>IFERROR(MATCH(J3216,'Final List'!$P$4:$P$252,0),0)</f>
        <v>0</v>
      </c>
      <c r="S3216" s="169">
        <f t="shared" si="201"/>
        <v>0</v>
      </c>
      <c r="V3216" s="169" t="str">
        <f t="shared" si="195"/>
        <v>FERNANDEZ</v>
      </c>
      <c r="W3216" s="169" t="s">
        <v>8896</v>
      </c>
    </row>
    <row r="3217" spans="2:23" x14ac:dyDescent="0.25">
      <c r="B3217" s="169" t="s">
        <v>96</v>
      </c>
      <c r="C3217" s="169" t="s">
        <v>55</v>
      </c>
      <c r="D3217" s="169" t="s">
        <v>179</v>
      </c>
      <c r="E3217" s="169" t="s">
        <v>62</v>
      </c>
      <c r="F3217" s="245" t="str">
        <f t="shared" si="200"/>
        <v>RobS 79</v>
      </c>
      <c r="G3217" s="169" t="s">
        <v>12659</v>
      </c>
      <c r="I3217" s="169" t="str">
        <f t="shared" si="199"/>
        <v>L09_JVFW_050E_ROBBING</v>
      </c>
      <c r="J3217" s="169" t="s">
        <v>13007</v>
      </c>
      <c r="K3217" s="169">
        <f>IFERROR(MATCH(J3217,'Final List'!$B$4:$B$252,0),0)</f>
        <v>0</v>
      </c>
      <c r="L3217" s="169">
        <f>IFERROR(MATCH(J3217,'Final List'!$D$4:$D$252,0),0)</f>
        <v>0</v>
      </c>
      <c r="M3217" s="169">
        <f>IFERROR(MATCH(J3217,'Final List'!$F$4:$F$251,0),0)</f>
        <v>0</v>
      </c>
      <c r="N3217" s="169">
        <f>IFERROR(MATCH(J3217,'Final List'!$H$4:$H$252,0),0)</f>
        <v>0</v>
      </c>
      <c r="O3217" s="169">
        <f>IFERROR(MATCH(J3217,'Final List'!$J$4:$J$252,0),0)</f>
        <v>0</v>
      </c>
      <c r="P3217" s="169">
        <f>IFERROR(MATCH(J3217,'Final List'!$L$4:$L$252,0),0)</f>
        <v>0</v>
      </c>
      <c r="Q3217" s="169">
        <f>IFERROR(MATCH(J3217,'Final List'!$N$4:$N$252,0),0)</f>
        <v>0</v>
      </c>
      <c r="R3217" s="169">
        <f>IFERROR(MATCH(J3217,'Final List'!$P$4:$P$252,0),0)</f>
        <v>0</v>
      </c>
      <c r="S3217" s="169">
        <f t="shared" si="201"/>
        <v>0</v>
      </c>
      <c r="T3217" s="169" t="s">
        <v>68</v>
      </c>
      <c r="V3217" s="169" t="str">
        <f t="shared" si="195"/>
        <v>NITRO BS</v>
      </c>
      <c r="W3217" s="169" t="s">
        <v>2707</v>
      </c>
    </row>
    <row r="3218" spans="2:23" x14ac:dyDescent="0.25">
      <c r="B3218" s="169" t="s">
        <v>1166</v>
      </c>
      <c r="C3218" s="169" t="s">
        <v>87</v>
      </c>
      <c r="D3218" s="169" t="s">
        <v>8279</v>
      </c>
      <c r="E3218" s="169" t="s">
        <v>72</v>
      </c>
      <c r="F3218" s="245" t="str">
        <f t="shared" si="200"/>
        <v>Dhoz 71</v>
      </c>
      <c r="G3218" s="169" t="s">
        <v>12672</v>
      </c>
      <c r="I3218" s="169" t="str">
        <f t="shared" si="199"/>
        <v>L11_NONE_090E_CHAMBER</v>
      </c>
      <c r="J3218" s="169" t="s">
        <v>13019</v>
      </c>
      <c r="K3218" s="169">
        <f>IFERROR(MATCH(J3218,'Final List'!$B$4:$B$252,0),0)</f>
        <v>0</v>
      </c>
      <c r="L3218" s="169">
        <f>IFERROR(MATCH(J3218,'Final List'!$D$4:$D$252,0),0)</f>
        <v>0</v>
      </c>
      <c r="M3218" s="169">
        <f>IFERROR(MATCH(J3218,'Final List'!$F$4:$F$251,0),0)</f>
        <v>0</v>
      </c>
      <c r="N3218" s="169">
        <f>IFERROR(MATCH(J3218,'Final List'!$H$4:$H$252,0),0)</f>
        <v>0</v>
      </c>
      <c r="O3218" s="169">
        <f>IFERROR(MATCH(J3218,'Final List'!$J$4:$J$252,0),0)</f>
        <v>0</v>
      </c>
      <c r="P3218" s="169">
        <f>IFERROR(MATCH(J3218,'Final List'!$L$4:$L$252,0),0)</f>
        <v>0</v>
      </c>
      <c r="Q3218" s="169">
        <f>IFERROR(MATCH(J3218,'Final List'!$N$4:$N$252,0),0)</f>
        <v>0</v>
      </c>
      <c r="R3218" s="169">
        <f>IFERROR(MATCH(J3218,'Final List'!$P$4:$P$252,0),0)</f>
        <v>0</v>
      </c>
      <c r="S3218" s="169">
        <f t="shared" si="201"/>
        <v>0</v>
      </c>
      <c r="V3218" s="169" t="str">
        <f t="shared" si="195"/>
        <v>NITRO BE</v>
      </c>
      <c r="W3218" s="169" t="s">
        <v>2714</v>
      </c>
    </row>
    <row r="3219" spans="2:23" x14ac:dyDescent="0.25">
      <c r="B3219" s="169" t="s">
        <v>1166</v>
      </c>
      <c r="C3219" s="169" t="s">
        <v>87</v>
      </c>
      <c r="D3219" s="169" t="s">
        <v>180</v>
      </c>
      <c r="E3219" s="169" t="s">
        <v>19</v>
      </c>
      <c r="F3219" s="245" t="str">
        <f t="shared" si="200"/>
        <v>DVR 72</v>
      </c>
      <c r="G3219" s="169" t="s">
        <v>1606</v>
      </c>
      <c r="I3219" s="169" t="str">
        <f t="shared" si="199"/>
        <v>L11_NONE_041E_RAISE</v>
      </c>
      <c r="J3219" s="169" t="s">
        <v>13020</v>
      </c>
      <c r="K3219" s="169">
        <f>IFERROR(MATCH(J3219,'Final List'!$B$4:$B$252,0),0)</f>
        <v>0</v>
      </c>
      <c r="L3219" s="169">
        <f>IFERROR(MATCH(J3219,'Final List'!$D$4:$D$252,0),0)</f>
        <v>0</v>
      </c>
      <c r="M3219" s="169">
        <f>IFERROR(MATCH(J3219,'Final List'!$F$4:$F$251,0),0)</f>
        <v>0</v>
      </c>
      <c r="N3219" s="169">
        <f>IFERROR(MATCH(J3219,'Final List'!$H$4:$H$252,0),0)</f>
        <v>0</v>
      </c>
      <c r="O3219" s="169">
        <f>IFERROR(MATCH(J3219,'Final List'!$J$4:$J$252,0),0)</f>
        <v>0</v>
      </c>
      <c r="P3219" s="169">
        <f>IFERROR(MATCH(J3219,'Final List'!$L$4:$L$252,0),0)</f>
        <v>0</v>
      </c>
      <c r="Q3219" s="169">
        <f>IFERROR(MATCH(J3219,'Final List'!$N$4:$N$252,0),0)</f>
        <v>0</v>
      </c>
      <c r="R3219" s="169">
        <f>IFERROR(MATCH(J3219,'Final List'!$P$4:$P$252,0),0)</f>
        <v>0</v>
      </c>
      <c r="S3219" s="169">
        <f t="shared" si="201"/>
        <v>0</v>
      </c>
      <c r="V3219" s="169" t="str">
        <f t="shared" si="195"/>
        <v>PMC MINERS</v>
      </c>
      <c r="W3219" s="169" t="s">
        <v>2714</v>
      </c>
    </row>
    <row r="3220" spans="2:23" x14ac:dyDescent="0.25">
      <c r="B3220" s="169" t="s">
        <v>1166</v>
      </c>
      <c r="C3220" s="169" t="s">
        <v>45</v>
      </c>
      <c r="D3220" s="169" t="s">
        <v>175</v>
      </c>
      <c r="E3220" s="169" t="s">
        <v>61</v>
      </c>
      <c r="F3220" s="245" t="str">
        <f t="shared" si="200"/>
        <v>Dhoz 71</v>
      </c>
      <c r="G3220" s="169" t="s">
        <v>5</v>
      </c>
      <c r="I3220" s="169" t="str">
        <f t="shared" si="199"/>
        <v>L11_DPVE_060E_DW</v>
      </c>
      <c r="J3220" s="169" t="s">
        <v>13021</v>
      </c>
      <c r="K3220" s="169">
        <f>IFERROR(MATCH(J3220,'Final List'!$B$4:$B$252,0),0)</f>
        <v>0</v>
      </c>
      <c r="L3220" s="169">
        <f>IFERROR(MATCH(J3220,'Final List'!$D$4:$D$252,0),0)</f>
        <v>0</v>
      </c>
      <c r="M3220" s="169">
        <f>IFERROR(MATCH(J3220,'Final List'!$F$4:$F$251,0),0)</f>
        <v>0</v>
      </c>
      <c r="N3220" s="169">
        <f>IFERROR(MATCH(J3220,'Final List'!$H$4:$H$252,0),0)</f>
        <v>0</v>
      </c>
      <c r="O3220" s="169">
        <f>IFERROR(MATCH(J3220,'Final List'!$J$4:$J$252,0),0)</f>
        <v>0</v>
      </c>
      <c r="P3220" s="169">
        <f>IFERROR(MATCH(J3220,'Final List'!$L$4:$L$252,0),0)</f>
        <v>0</v>
      </c>
      <c r="Q3220" s="169">
        <f>IFERROR(MATCH(J3220,'Final List'!$N$4:$N$252,0),0)</f>
        <v>0</v>
      </c>
      <c r="R3220" s="169">
        <f>IFERROR(MATCH(J3220,'Final List'!$P$4:$P$252,0),0)</f>
        <v>0</v>
      </c>
      <c r="S3220" s="169">
        <f t="shared" si="201"/>
        <v>0</v>
      </c>
      <c r="V3220" s="169" t="str">
        <f t="shared" si="195"/>
        <v>BELICAN</v>
      </c>
      <c r="W3220" s="169" t="s">
        <v>8896</v>
      </c>
    </row>
    <row r="3221" spans="2:23" x14ac:dyDescent="0.25">
      <c r="B3221" s="169" t="s">
        <v>1167</v>
      </c>
      <c r="C3221" s="169" t="s">
        <v>87</v>
      </c>
      <c r="D3221" s="169" t="s">
        <v>143</v>
      </c>
      <c r="E3221" s="169" t="s">
        <v>63</v>
      </c>
      <c r="F3221" s="245" t="str">
        <f t="shared" si="200"/>
        <v>Dhoz 71</v>
      </c>
      <c r="G3221" s="169" t="s">
        <v>10758</v>
      </c>
      <c r="H3221" s="169" t="s">
        <v>13074</v>
      </c>
      <c r="I3221" s="169" t="str">
        <f>CONCATENATE(B3221,"_",C3221,"_",D3221,"_",E3221)</f>
        <v>L12_NONE_032E_XCS</v>
      </c>
      <c r="J3221" s="169" t="s">
        <v>13026</v>
      </c>
      <c r="K3221" s="169">
        <f>IFERROR(MATCH(J3221,'Final List'!$B$4:$B$252,0),0)</f>
        <v>0</v>
      </c>
      <c r="L3221" s="169">
        <f>IFERROR(MATCH(J3221,'Final List'!$D$4:$D$252,0),0)</f>
        <v>0</v>
      </c>
      <c r="M3221" s="169">
        <f>IFERROR(MATCH(J3221,'Final List'!$F$4:$F$251,0),0)</f>
        <v>0</v>
      </c>
      <c r="N3221" s="169">
        <f>IFERROR(MATCH(J3221,'Final List'!$H$4:$H$252,0),0)</f>
        <v>0</v>
      </c>
      <c r="O3221" s="169">
        <f>IFERROR(MATCH(J3221,'Final List'!$J$4:$J$252,0),0)</f>
        <v>0</v>
      </c>
      <c r="P3221" s="169">
        <f>IFERROR(MATCH(J3221,'Final List'!$L$4:$L$252,0),0)</f>
        <v>0</v>
      </c>
      <c r="Q3221" s="169">
        <f>IFERROR(MATCH(J3221,'Final List'!$N$4:$N$252,0),0)</f>
        <v>0</v>
      </c>
      <c r="R3221" s="169">
        <f>IFERROR(MATCH(J3221,'Final List'!$P$4:$P$252,0),0)</f>
        <v>0</v>
      </c>
      <c r="S3221" s="169">
        <f t="shared" si="201"/>
        <v>0</v>
      </c>
      <c r="V3221" s="169" t="str">
        <f t="shared" si="195"/>
        <v>NITRO BA</v>
      </c>
      <c r="W3221" s="169" t="s">
        <v>8898</v>
      </c>
    </row>
    <row r="3222" spans="2:23" x14ac:dyDescent="0.25">
      <c r="B3222" s="169" t="s">
        <v>95</v>
      </c>
      <c r="C3222" s="169" t="s">
        <v>45</v>
      </c>
      <c r="D3222" s="169" t="s">
        <v>175</v>
      </c>
      <c r="E3222" s="169" t="s">
        <v>6143</v>
      </c>
      <c r="F3222" s="245" t="str">
        <f t="shared" si="200"/>
        <v>Dhoz 71</v>
      </c>
      <c r="G3222" s="169" t="s">
        <v>9753</v>
      </c>
      <c r="I3222" s="169" t="str">
        <f>CONCATENATE(B3222,"_",C3222,"_",D3222,"_",E3222)</f>
        <v>L08_DPVE_060E_DE_ISL</v>
      </c>
      <c r="J3222" s="169" t="s">
        <v>13028</v>
      </c>
      <c r="K3222" s="169">
        <f>IFERROR(MATCH(J3222,'Final List'!$B$4:$B$252,0),0)</f>
        <v>0</v>
      </c>
      <c r="L3222" s="169">
        <f>IFERROR(MATCH(J3222,'Final List'!$D$4:$D$252,0),0)</f>
        <v>0</v>
      </c>
      <c r="M3222" s="169">
        <f>IFERROR(MATCH(J3222,'Final List'!$F$4:$F$251,0),0)</f>
        <v>0</v>
      </c>
      <c r="N3222" s="169">
        <f>IFERROR(MATCH(J3222,'Final List'!$H$4:$H$252,0),0)</f>
        <v>0</v>
      </c>
      <c r="O3222" s="169">
        <f>IFERROR(MATCH(J3222,'Final List'!$J$4:$J$252,0),0)</f>
        <v>0</v>
      </c>
      <c r="P3222" s="169">
        <f>IFERROR(MATCH(J3222,'Final List'!$L$4:$L$252,0),0)</f>
        <v>0</v>
      </c>
      <c r="Q3222" s="169">
        <f>IFERROR(MATCH(J3222,'Final List'!$N$4:$N$252,0),0)</f>
        <v>0</v>
      </c>
      <c r="R3222" s="169">
        <f>IFERROR(MATCH(J3222,'Final List'!$P$4:$P$252,0),0)</f>
        <v>0</v>
      </c>
      <c r="S3222" s="169">
        <f t="shared" si="201"/>
        <v>0</v>
      </c>
      <c r="V3222" s="169" t="str">
        <f t="shared" si="195"/>
        <v>CAPUYAN 2</v>
      </c>
      <c r="W3222" s="169" t="s">
        <v>8895</v>
      </c>
    </row>
    <row r="3223" spans="2:23" x14ac:dyDescent="0.25">
      <c r="B3223" s="169" t="s">
        <v>1166</v>
      </c>
      <c r="C3223" s="169" t="s">
        <v>42</v>
      </c>
      <c r="D3223" s="169" t="s">
        <v>120</v>
      </c>
      <c r="E3223" s="169" t="s">
        <v>60</v>
      </c>
      <c r="F3223" s="245" t="str">
        <f t="shared" si="200"/>
        <v>Dhoz 71</v>
      </c>
      <c r="G3223" s="169" t="s">
        <v>6954</v>
      </c>
      <c r="I3223" s="169" t="str">
        <f t="shared" si="199"/>
        <v>L11_JV_015E_DE</v>
      </c>
      <c r="J3223" s="169" t="s">
        <v>13029</v>
      </c>
      <c r="K3223" s="169">
        <f>IFERROR(MATCH(J3223,'Final List'!$B$4:$B$252,0),0)</f>
        <v>0</v>
      </c>
      <c r="L3223" s="169">
        <f>IFERROR(MATCH(J3223,'Final List'!$D$4:$D$252,0),0)</f>
        <v>0</v>
      </c>
      <c r="M3223" s="169">
        <f>IFERROR(MATCH(J3223,'Final List'!$F$4:$F$251,0),0)</f>
        <v>0</v>
      </c>
      <c r="N3223" s="169">
        <f>IFERROR(MATCH(J3223,'Final List'!$H$4:$H$252,0),0)</f>
        <v>0</v>
      </c>
      <c r="O3223" s="169">
        <f>IFERROR(MATCH(J3223,'Final List'!$J$4:$J$252,0),0)</f>
        <v>0</v>
      </c>
      <c r="P3223" s="169">
        <f>IFERROR(MATCH(J3223,'Final List'!$L$4:$L$252,0),0)</f>
        <v>0</v>
      </c>
      <c r="Q3223" s="169">
        <f>IFERROR(MATCH(J3223,'Final List'!$N$4:$N$252,0),0)</f>
        <v>0</v>
      </c>
      <c r="R3223" s="169">
        <f>IFERROR(MATCH(J3223,'Final List'!$P$4:$P$252,0),0)</f>
        <v>0</v>
      </c>
      <c r="S3223" s="169">
        <f t="shared" si="201"/>
        <v>0</v>
      </c>
      <c r="V3223" s="169" t="str">
        <f t="shared" si="195"/>
        <v>BADBADON</v>
      </c>
      <c r="W3223" s="169" t="s">
        <v>8896</v>
      </c>
    </row>
    <row r="3224" spans="2:23" x14ac:dyDescent="0.25">
      <c r="B3224" s="169" t="s">
        <v>1166</v>
      </c>
      <c r="C3224" s="169" t="s">
        <v>42</v>
      </c>
      <c r="D3224" s="169" t="s">
        <v>129</v>
      </c>
      <c r="E3224" s="169" t="s">
        <v>61</v>
      </c>
      <c r="F3224" s="245" t="str">
        <f t="shared" si="200"/>
        <v>Dhoz 71</v>
      </c>
      <c r="G3224" s="169" t="s">
        <v>6954</v>
      </c>
      <c r="I3224" s="169" t="str">
        <f t="shared" si="199"/>
        <v>L11_JV_010E_DW</v>
      </c>
      <c r="J3224" s="169" t="s">
        <v>13030</v>
      </c>
      <c r="K3224" s="169">
        <f>IFERROR(MATCH(J3224,'Final List'!$B$4:$B$252,0),0)</f>
        <v>0</v>
      </c>
      <c r="L3224" s="169">
        <f>IFERROR(MATCH(J3224,'Final List'!$D$4:$D$252,0),0)</f>
        <v>0</v>
      </c>
      <c r="M3224" s="169">
        <f>IFERROR(MATCH(J3224,'Final List'!$F$4:$F$251,0),0)</f>
        <v>0</v>
      </c>
      <c r="N3224" s="169">
        <f>IFERROR(MATCH(J3224,'Final List'!$H$4:$H$252,0),0)</f>
        <v>0</v>
      </c>
      <c r="O3224" s="169">
        <f>IFERROR(MATCH(J3224,'Final List'!$J$4:$J$252,0),0)</f>
        <v>0</v>
      </c>
      <c r="P3224" s="169">
        <f>IFERROR(MATCH(J3224,'Final List'!$L$4:$L$252,0),0)</f>
        <v>0</v>
      </c>
      <c r="Q3224" s="169">
        <f>IFERROR(MATCH(J3224,'Final List'!$N$4:$N$252,0),0)</f>
        <v>0</v>
      </c>
      <c r="R3224" s="169">
        <f>IFERROR(MATCH(J3224,'Final List'!$P$4:$P$252,0),0)</f>
        <v>0</v>
      </c>
      <c r="S3224" s="169">
        <f t="shared" si="201"/>
        <v>0</v>
      </c>
      <c r="V3224" s="169" t="str">
        <f>IF(H3224="",G3224,H3224)</f>
        <v>BADBADON</v>
      </c>
      <c r="W3224" s="169" t="s">
        <v>8896</v>
      </c>
    </row>
    <row r="3225" spans="2:23" x14ac:dyDescent="0.25">
      <c r="B3225" s="169" t="s">
        <v>258</v>
      </c>
      <c r="C3225" s="169" t="s">
        <v>45</v>
      </c>
      <c r="D3225" s="169" t="s">
        <v>12821</v>
      </c>
      <c r="E3225" s="169" t="s">
        <v>60</v>
      </c>
      <c r="F3225" s="245" t="str">
        <f t="shared" si="200"/>
        <v>Dhoz 71</v>
      </c>
      <c r="G3225" s="169" t="s">
        <v>12244</v>
      </c>
      <c r="I3225" s="169" t="str">
        <f>CONCATENATE(B3225,"_",C3225,"_",D3225,"_",E3225)</f>
        <v>L10_DPVE_107E_DE</v>
      </c>
      <c r="J3225" s="169" t="s">
        <v>13042</v>
      </c>
      <c r="K3225" s="169">
        <f>IFERROR(MATCH(J3225,'Final List'!$B$4:$B$252,0),0)</f>
        <v>0</v>
      </c>
      <c r="L3225" s="169">
        <f>IFERROR(MATCH(J3225,'Final List'!$D$4:$D$252,0),0)</f>
        <v>0</v>
      </c>
      <c r="M3225" s="169">
        <f>IFERROR(MATCH(J3225,'Final List'!$F$4:$F$251,0),0)</f>
        <v>0</v>
      </c>
      <c r="N3225" s="169">
        <f>IFERROR(MATCH(J3225,'Final List'!$H$4:$H$252,0),0)</f>
        <v>0</v>
      </c>
      <c r="O3225" s="169">
        <f>IFERROR(MATCH(J3225,'Final List'!$J$4:$J$252,0),0)</f>
        <v>0</v>
      </c>
      <c r="P3225" s="169">
        <f>IFERROR(MATCH(J3225,'Final List'!$L$4:$L$252,0),0)</f>
        <v>0</v>
      </c>
      <c r="Q3225" s="169">
        <f>IFERROR(MATCH(J3225,'Final List'!$N$4:$N$252,0),0)</f>
        <v>0</v>
      </c>
      <c r="R3225" s="169">
        <f>IFERROR(MATCH(J3225,'Final List'!$P$4:$P$252,0),0)</f>
        <v>0</v>
      </c>
      <c r="S3225" s="169">
        <f t="shared" si="201"/>
        <v>0</v>
      </c>
      <c r="V3225" s="169" t="str">
        <f t="shared" ref="V3225:V3295" si="202">IF(H3225="",G3225,H3225)</f>
        <v>NITRO AY</v>
      </c>
      <c r="W3225" s="169" t="s">
        <v>8896</v>
      </c>
    </row>
    <row r="3226" spans="2:23" x14ac:dyDescent="0.25">
      <c r="B3226" s="169" t="s">
        <v>96</v>
      </c>
      <c r="C3226" s="169" t="s">
        <v>87</v>
      </c>
      <c r="D3226" s="169" t="s">
        <v>5887</v>
      </c>
      <c r="E3226" s="169" t="s">
        <v>13044</v>
      </c>
      <c r="F3226" s="245" t="s">
        <v>14362</v>
      </c>
      <c r="G3226" s="169" t="s">
        <v>350</v>
      </c>
      <c r="I3226" s="169" t="str">
        <f t="shared" si="199"/>
        <v>L09_NONE_085E_RAISE REHAB</v>
      </c>
      <c r="J3226" s="169" t="s">
        <v>13043</v>
      </c>
      <c r="K3226" s="169">
        <f>IFERROR(MATCH(J3226,'Final List'!$B$4:$B$252,0),0)</f>
        <v>0</v>
      </c>
      <c r="L3226" s="169">
        <f>IFERROR(MATCH(J3226,'Final List'!$D$4:$D$252,0),0)</f>
        <v>0</v>
      </c>
      <c r="M3226" s="169">
        <f>IFERROR(MATCH(J3226,'Final List'!$F$4:$F$251,0),0)</f>
        <v>0</v>
      </c>
      <c r="N3226" s="169">
        <f>IFERROR(MATCH(J3226,'Final List'!$H$4:$H$252,0),0)</f>
        <v>0</v>
      </c>
      <c r="O3226" s="169">
        <f>IFERROR(MATCH(J3226,'Final List'!$J$4:$J$252,0),0)</f>
        <v>0</v>
      </c>
      <c r="P3226" s="169">
        <f>IFERROR(MATCH(J3226,'Final List'!$L$4:$L$252,0),0)</f>
        <v>0</v>
      </c>
      <c r="Q3226" s="169">
        <f>IFERROR(MATCH(J3226,'Final List'!$N$4:$N$252,0),0)</f>
        <v>0</v>
      </c>
      <c r="R3226" s="169">
        <f>IFERROR(MATCH(J3226,'Final List'!$P$4:$P$252,0),0)</f>
        <v>0</v>
      </c>
      <c r="S3226" s="169">
        <f t="shared" si="201"/>
        <v>0</v>
      </c>
      <c r="V3226" s="169" t="str">
        <f t="shared" si="202"/>
        <v>QUIJANO 1</v>
      </c>
      <c r="W3226" s="169" t="s">
        <v>2714</v>
      </c>
    </row>
    <row r="3227" spans="2:23" x14ac:dyDescent="0.25">
      <c r="B3227" s="169" t="s">
        <v>95</v>
      </c>
      <c r="C3227" s="169" t="s">
        <v>45</v>
      </c>
      <c r="D3227" s="169" t="s">
        <v>100</v>
      </c>
      <c r="E3227" s="169" t="s">
        <v>36</v>
      </c>
      <c r="F3227" s="245" t="str">
        <f t="shared" si="200"/>
        <v>StpS 77</v>
      </c>
      <c r="G3227" s="169" t="s">
        <v>526</v>
      </c>
      <c r="I3227" s="169" t="str">
        <f t="shared" ref="I3227:I3290" si="203">CONCATENATE(B3227,"_",C3227,"_",D3227,"_",E3227)</f>
        <v>L08_DPVE_020W_STOPE</v>
      </c>
      <c r="J3227" s="169" t="s">
        <v>13143</v>
      </c>
      <c r="K3227" s="169">
        <f>IFERROR(MATCH(J3227,'Final List'!$B$4:$B$252,0),0)</f>
        <v>0</v>
      </c>
      <c r="L3227" s="169">
        <f>IFERROR(MATCH(J3227,'Final List'!$D$4:$D$252,0),0)</f>
        <v>0</v>
      </c>
      <c r="M3227" s="169">
        <f>IFERROR(MATCH(J3227,'Final List'!$F$4:$F$251,0),0)</f>
        <v>0</v>
      </c>
      <c r="N3227" s="169">
        <f>IFERROR(MATCH(J3227,'Final List'!$H$4:$H$252,0),0)</f>
        <v>0</v>
      </c>
      <c r="O3227" s="169">
        <f>IFERROR(MATCH(J3227,'Final List'!$J$4:$J$252,0),0)</f>
        <v>0</v>
      </c>
      <c r="P3227" s="169">
        <f>IFERROR(MATCH(J3227,'Final List'!$L$4:$L$252,0),0)</f>
        <v>0</v>
      </c>
      <c r="Q3227" s="169">
        <f>IFERROR(MATCH(J3227,'Final List'!$N$4:$N$252,0),0)</f>
        <v>0</v>
      </c>
      <c r="R3227" s="169">
        <f>IFERROR(MATCH(J3227,'Final List'!$P$4:$P$252,0),0)</f>
        <v>0</v>
      </c>
      <c r="S3227" s="169">
        <f t="shared" si="201"/>
        <v>0</v>
      </c>
      <c r="T3227" s="169" t="s">
        <v>68</v>
      </c>
      <c r="V3227" s="169" t="str">
        <f t="shared" si="202"/>
        <v>CARIKITAN 2</v>
      </c>
      <c r="W3227" s="169" t="s">
        <v>2713</v>
      </c>
    </row>
    <row r="3228" spans="2:23" x14ac:dyDescent="0.25">
      <c r="B3228" s="169" t="s">
        <v>12320</v>
      </c>
      <c r="C3228" s="169" t="s">
        <v>43</v>
      </c>
      <c r="D3228" s="169" t="s">
        <v>180</v>
      </c>
      <c r="E3228" s="169" t="s">
        <v>61</v>
      </c>
      <c r="F3228" s="245" t="str">
        <f t="shared" si="200"/>
        <v>Dhoz 71</v>
      </c>
      <c r="G3228" s="169" t="s">
        <v>742</v>
      </c>
      <c r="I3228" s="169" t="str">
        <f t="shared" si="203"/>
        <v>L425_GHVSPLIT_041E_DW</v>
      </c>
      <c r="J3228" s="169" t="s">
        <v>13062</v>
      </c>
      <c r="K3228" s="169">
        <f>IFERROR(MATCH(J3228,'Final List'!$B$4:$B$252,0),0)</f>
        <v>0</v>
      </c>
      <c r="L3228" s="169">
        <f>IFERROR(MATCH(J3228,'Final List'!$D$4:$D$252,0),0)</f>
        <v>0</v>
      </c>
      <c r="M3228" s="169">
        <f>IFERROR(MATCH(J3228,'Final List'!$F$4:$F$251,0),0)</f>
        <v>0</v>
      </c>
      <c r="N3228" s="169">
        <f>IFERROR(MATCH(J3228,'Final List'!$H$4:$H$252,0),0)</f>
        <v>0</v>
      </c>
      <c r="O3228" s="169">
        <f>IFERROR(MATCH(J3228,'Final List'!$J$4:$J$252,0),0)</f>
        <v>0</v>
      </c>
      <c r="P3228" s="169">
        <f>IFERROR(MATCH(J3228,'Final List'!$L$4:$L$252,0),0)</f>
        <v>0</v>
      </c>
      <c r="Q3228" s="169">
        <f>IFERROR(MATCH(J3228,'Final List'!$N$4:$N$252,0),0)</f>
        <v>0</v>
      </c>
      <c r="R3228" s="169">
        <f>IFERROR(MATCH(J3228,'Final List'!$P$4:$P$252,0),0)</f>
        <v>0</v>
      </c>
      <c r="S3228" s="169">
        <f t="shared" si="201"/>
        <v>0</v>
      </c>
      <c r="V3228" s="169" t="str">
        <f t="shared" si="202"/>
        <v>REBOTE 2</v>
      </c>
      <c r="W3228" s="169" t="s">
        <v>8896</v>
      </c>
    </row>
    <row r="3229" spans="2:23" x14ac:dyDescent="0.25">
      <c r="B3229" s="169" t="s">
        <v>95</v>
      </c>
      <c r="C3229" s="169" t="s">
        <v>42</v>
      </c>
      <c r="D3229" s="169" t="s">
        <v>595</v>
      </c>
      <c r="E3229" s="169" t="s">
        <v>20</v>
      </c>
      <c r="F3229" s="245" t="str">
        <f t="shared" si="200"/>
        <v>DVW 74</v>
      </c>
      <c r="G3229" s="169" t="s">
        <v>583</v>
      </c>
      <c r="H3229" s="169" t="s">
        <v>13066</v>
      </c>
      <c r="I3229" s="169" t="str">
        <f t="shared" si="203"/>
        <v>L08_JV_072E_WINZE</v>
      </c>
      <c r="J3229" s="169" t="s">
        <v>13076</v>
      </c>
      <c r="K3229" s="169">
        <f>IFERROR(MATCH(J3229,'Final List'!$B$4:$B$252,0),0)</f>
        <v>0</v>
      </c>
      <c r="L3229" s="169">
        <f>IFERROR(MATCH(J3229,'Final List'!$D$4:$D$252,0),0)</f>
        <v>0</v>
      </c>
      <c r="M3229" s="169">
        <f>IFERROR(MATCH(J3229,'Final List'!$F$4:$F$251,0),0)</f>
        <v>0</v>
      </c>
      <c r="N3229" s="169">
        <f>IFERROR(MATCH(J3229,'Final List'!$H$4:$H$252,0),0)</f>
        <v>0</v>
      </c>
      <c r="O3229" s="169">
        <f>IFERROR(MATCH(J3229,'Final List'!$J$4:$J$252,0),0)</f>
        <v>0</v>
      </c>
      <c r="P3229" s="169">
        <f>IFERROR(MATCH(J3229,'Final List'!$L$4:$L$252,0),0)</f>
        <v>0</v>
      </c>
      <c r="Q3229" s="169">
        <f>IFERROR(MATCH(J3229,'Final List'!$N$4:$N$252,0),0)</f>
        <v>0</v>
      </c>
      <c r="R3229" s="169">
        <f>IFERROR(MATCH(J3229,'Final List'!$P$4:$P$252,0),0)</f>
        <v>0</v>
      </c>
      <c r="S3229" s="169">
        <f t="shared" si="201"/>
        <v>0</v>
      </c>
      <c r="V3229" s="169" t="str">
        <f t="shared" si="202"/>
        <v>NITRO BZ</v>
      </c>
      <c r="W3229" s="169" t="s">
        <v>2706</v>
      </c>
    </row>
    <row r="3230" spans="2:23" x14ac:dyDescent="0.25">
      <c r="B3230" s="169" t="s">
        <v>1166</v>
      </c>
      <c r="C3230" s="169" t="s">
        <v>45</v>
      </c>
      <c r="D3230" s="169" t="s">
        <v>5742</v>
      </c>
      <c r="E3230" s="169" t="s">
        <v>211</v>
      </c>
      <c r="F3230" s="245" t="str">
        <f t="shared" si="200"/>
        <v>StpS 77</v>
      </c>
      <c r="G3230" s="169" t="s">
        <v>340</v>
      </c>
      <c r="I3230" s="169" t="str">
        <f t="shared" si="203"/>
        <v>L11_DPVE_040E_STOPE PREP</v>
      </c>
      <c r="J3230" s="169" t="s">
        <v>13060</v>
      </c>
      <c r="K3230" s="169">
        <f>IFERROR(MATCH(J3230,'Final List'!$B$4:$B$252,0),0)</f>
        <v>0</v>
      </c>
      <c r="L3230" s="169">
        <f>IFERROR(MATCH(J3230,'Final List'!$D$4:$D$252,0),0)</f>
        <v>0</v>
      </c>
      <c r="M3230" s="169">
        <f>IFERROR(MATCH(J3230,'Final List'!$F$4:$F$251,0),0)</f>
        <v>0</v>
      </c>
      <c r="N3230" s="169">
        <f>IFERROR(MATCH(J3230,'Final List'!$H$4:$H$252,0),0)</f>
        <v>0</v>
      </c>
      <c r="O3230" s="169">
        <f>IFERROR(MATCH(J3230,'Final List'!$J$4:$J$252,0),0)</f>
        <v>0</v>
      </c>
      <c r="P3230" s="169">
        <f>IFERROR(MATCH(J3230,'Final List'!$L$4:$L$252,0),0)</f>
        <v>0</v>
      </c>
      <c r="Q3230" s="169">
        <f>IFERROR(MATCH(J3230,'Final List'!$N$4:$N$252,0),0)</f>
        <v>0</v>
      </c>
      <c r="R3230" s="169">
        <f>IFERROR(MATCH(J3230,'Final List'!$P$4:$P$252,0),0)</f>
        <v>0</v>
      </c>
      <c r="S3230" s="169">
        <f t="shared" si="201"/>
        <v>0</v>
      </c>
      <c r="T3230" s="169" t="s">
        <v>68</v>
      </c>
      <c r="V3230" s="169" t="str">
        <f t="shared" si="202"/>
        <v>COMAINGKING</v>
      </c>
      <c r="W3230" s="169" t="s">
        <v>2712</v>
      </c>
    </row>
    <row r="3231" spans="2:23" x14ac:dyDescent="0.25">
      <c r="B3231" s="169" t="s">
        <v>1166</v>
      </c>
      <c r="C3231" s="169" t="s">
        <v>59</v>
      </c>
      <c r="D3231" s="169" t="s">
        <v>166</v>
      </c>
      <c r="E3231" s="169" t="s">
        <v>61</v>
      </c>
      <c r="F3231" s="245" t="str">
        <f t="shared" si="200"/>
        <v>Dhoz 71</v>
      </c>
      <c r="G3231" s="169" t="s">
        <v>4068</v>
      </c>
      <c r="I3231" s="169" t="str">
        <f t="shared" si="203"/>
        <v>L11_GHVHW_068E_DW</v>
      </c>
      <c r="J3231" s="169" t="s">
        <v>13059</v>
      </c>
      <c r="K3231" s="169">
        <f>IFERROR(MATCH(J3231,'Final List'!$B$4:$B$252,0),0)</f>
        <v>0</v>
      </c>
      <c r="L3231" s="169">
        <f>IFERROR(MATCH(J3231,'Final List'!$D$4:$D$252,0),0)</f>
        <v>0</v>
      </c>
      <c r="M3231" s="169">
        <f>IFERROR(MATCH(J3231,'Final List'!$F$4:$F$251,0),0)</f>
        <v>0</v>
      </c>
      <c r="N3231" s="169">
        <f>IFERROR(MATCH(J3231,'Final List'!$H$4:$H$252,0),0)</f>
        <v>0</v>
      </c>
      <c r="O3231" s="169">
        <f>IFERROR(MATCH(J3231,'Final List'!$J$4:$J$252,0),0)</f>
        <v>0</v>
      </c>
      <c r="P3231" s="169">
        <f>IFERROR(MATCH(J3231,'Final List'!$L$4:$L$252,0),0)</f>
        <v>0</v>
      </c>
      <c r="Q3231" s="169">
        <f>IFERROR(MATCH(J3231,'Final List'!$N$4:$N$252,0),0)</f>
        <v>0</v>
      </c>
      <c r="R3231" s="169">
        <f>IFERROR(MATCH(J3231,'Final List'!$P$4:$P$252,0),0)</f>
        <v>0</v>
      </c>
      <c r="S3231" s="169">
        <f t="shared" si="201"/>
        <v>0</v>
      </c>
      <c r="V3231" s="169" t="str">
        <f t="shared" si="202"/>
        <v>MAPAYO</v>
      </c>
      <c r="W3231" s="169" t="s">
        <v>8896</v>
      </c>
    </row>
    <row r="3232" spans="2:23" x14ac:dyDescent="0.25">
      <c r="B3232" s="169" t="s">
        <v>1166</v>
      </c>
      <c r="C3232" s="169" t="s">
        <v>45</v>
      </c>
      <c r="D3232" s="169" t="s">
        <v>117</v>
      </c>
      <c r="E3232" s="169" t="s">
        <v>19</v>
      </c>
      <c r="F3232" s="245" t="str">
        <f t="shared" si="200"/>
        <v>DVR 72</v>
      </c>
      <c r="G3232" s="169" t="s">
        <v>452</v>
      </c>
      <c r="I3232" s="169" t="str">
        <f>CONCATENATE(B3232,"_",C3232,"_",D3232,"_",E3232)</f>
        <v>L11_DPVE_006W_RAISE</v>
      </c>
      <c r="J3232" s="169" t="s">
        <v>13081</v>
      </c>
      <c r="K3232" s="169">
        <f>IFERROR(MATCH(J3232,'Final List'!$B$4:$B$252,0),0)</f>
        <v>0</v>
      </c>
      <c r="L3232" s="169">
        <f>IFERROR(MATCH(J3232,'Final List'!$D$4:$D$252,0),0)</f>
        <v>0</v>
      </c>
      <c r="M3232" s="169">
        <f>IFERROR(MATCH(J3232,'Final List'!$F$4:$F$251,0),0)</f>
        <v>0</v>
      </c>
      <c r="N3232" s="169">
        <f>IFERROR(MATCH(J3232,'Final List'!$H$4:$H$252,0),0)</f>
        <v>0</v>
      </c>
      <c r="O3232" s="169">
        <f>IFERROR(MATCH(J3232,'Final List'!$J$4:$J$252,0),0)</f>
        <v>0</v>
      </c>
      <c r="P3232" s="169">
        <f>IFERROR(MATCH(J3232,'Final List'!$L$4:$L$252,0),0)</f>
        <v>0</v>
      </c>
      <c r="Q3232" s="169">
        <f>IFERROR(MATCH(J3232,'Final List'!$N$4:$N$252,0),0)</f>
        <v>0</v>
      </c>
      <c r="R3232" s="169">
        <f>IFERROR(MATCH(J3232,'Final List'!$P$4:$P$252,0),0)</f>
        <v>0</v>
      </c>
      <c r="S3232" s="169">
        <f t="shared" si="201"/>
        <v>0</v>
      </c>
      <c r="V3232" s="169" t="str">
        <f>IF(H3232="",G3232,H3232)</f>
        <v>BAÑEZ 6</v>
      </c>
      <c r="W3232" s="169" t="s">
        <v>2715</v>
      </c>
    </row>
    <row r="3233" spans="2:23" x14ac:dyDescent="0.25">
      <c r="B3233" s="169" t="s">
        <v>1166</v>
      </c>
      <c r="C3233" s="169" t="s">
        <v>45</v>
      </c>
      <c r="D3233" s="169" t="s">
        <v>870</v>
      </c>
      <c r="E3233" s="169" t="s">
        <v>61</v>
      </c>
      <c r="F3233" s="245" t="str">
        <f t="shared" si="200"/>
        <v>Dhoz 71</v>
      </c>
      <c r="G3233" s="169" t="s">
        <v>11884</v>
      </c>
      <c r="I3233" s="169" t="str">
        <f>CONCATENATE(B3233,"_",C3233,"_",D3233,"_",E3233)</f>
        <v>L11_DPVE_073E_DW</v>
      </c>
      <c r="J3233" s="169" t="s">
        <v>13080</v>
      </c>
      <c r="K3233" s="169">
        <f>IFERROR(MATCH(J3233,'Final List'!$B$4:$B$252,0),0)</f>
        <v>0</v>
      </c>
      <c r="L3233" s="169">
        <f>IFERROR(MATCH(J3233,'Final List'!$D$4:$D$252,0),0)</f>
        <v>0</v>
      </c>
      <c r="M3233" s="169">
        <f>IFERROR(MATCH(J3233,'Final List'!$F$4:$F$251,0),0)</f>
        <v>0</v>
      </c>
      <c r="N3233" s="169">
        <f>IFERROR(MATCH(J3233,'Final List'!$H$4:$H$252,0),0)</f>
        <v>0</v>
      </c>
      <c r="O3233" s="169">
        <f>IFERROR(MATCH(J3233,'Final List'!$J$4:$J$252,0),0)</f>
        <v>0</v>
      </c>
      <c r="P3233" s="169">
        <f>IFERROR(MATCH(J3233,'Final List'!$L$4:$L$252,0),0)</f>
        <v>0</v>
      </c>
      <c r="Q3233" s="169">
        <f>IFERROR(MATCH(J3233,'Final List'!$N$4:$N$252,0),0)</f>
        <v>0</v>
      </c>
      <c r="R3233" s="169">
        <f>IFERROR(MATCH(J3233,'Final List'!$P$4:$P$252,0),0)</f>
        <v>0</v>
      </c>
      <c r="S3233" s="169">
        <f t="shared" ref="S3233:S3296" si="204">SUM(K3233:R3233)</f>
        <v>0</v>
      </c>
      <c r="V3233" s="169" t="str">
        <f>IF(H3233="",G3233,H3233)</f>
        <v>DUHIG, R</v>
      </c>
      <c r="W3233" s="169" t="s">
        <v>8896</v>
      </c>
    </row>
    <row r="3234" spans="2:23" x14ac:dyDescent="0.25">
      <c r="B3234" s="169" t="s">
        <v>95</v>
      </c>
      <c r="C3234" s="169" t="s">
        <v>45</v>
      </c>
      <c r="D3234" s="169" t="s">
        <v>143</v>
      </c>
      <c r="E3234" s="169" t="s">
        <v>19</v>
      </c>
      <c r="F3234" s="245" t="str">
        <f t="shared" si="200"/>
        <v>DVR 72</v>
      </c>
      <c r="G3234" s="169" t="s">
        <v>305</v>
      </c>
      <c r="I3234" s="169" t="str">
        <f>CONCATENATE(B3234,"_",C3234,"_",D3234,"_",E3234)</f>
        <v>L08_DPVE_032E_RAISE</v>
      </c>
      <c r="J3234" s="169" t="s">
        <v>415</v>
      </c>
      <c r="K3234" s="169">
        <f>IFERROR(MATCH(J3234,'Final List'!$B$4:$B$252,0),0)</f>
        <v>0</v>
      </c>
      <c r="L3234" s="169">
        <f>IFERROR(MATCH(J3234,'Final List'!$D$4:$D$252,0),0)</f>
        <v>0</v>
      </c>
      <c r="M3234" s="169">
        <f>IFERROR(MATCH(J3234,'Final List'!$F$4:$F$251,0),0)</f>
        <v>0</v>
      </c>
      <c r="N3234" s="169">
        <f>IFERROR(MATCH(J3234,'Final List'!$H$4:$H$252,0),0)</f>
        <v>0</v>
      </c>
      <c r="O3234" s="169">
        <f>IFERROR(MATCH(J3234,'Final List'!$J$4:$J$252,0),0)</f>
        <v>0</v>
      </c>
      <c r="P3234" s="169">
        <f>IFERROR(MATCH(J3234,'Final List'!$L$4:$L$252,0),0)</f>
        <v>0</v>
      </c>
      <c r="Q3234" s="169">
        <f>IFERROR(MATCH(J3234,'Final List'!$N$4:$N$252,0),0)</f>
        <v>0</v>
      </c>
      <c r="R3234" s="169">
        <f>IFERROR(MATCH(J3234,'Final List'!$P$4:$P$252,0),0)</f>
        <v>0</v>
      </c>
      <c r="S3234" s="169">
        <f t="shared" si="204"/>
        <v>0</v>
      </c>
      <c r="V3234" s="169" t="str">
        <f>IF(H3234="",G3234,H3234)</f>
        <v>CABONITA 1</v>
      </c>
      <c r="W3234" s="169" t="s">
        <v>2715</v>
      </c>
    </row>
    <row r="3235" spans="2:23" x14ac:dyDescent="0.25">
      <c r="B3235" s="169" t="s">
        <v>258</v>
      </c>
      <c r="C3235" s="169" t="s">
        <v>38</v>
      </c>
      <c r="D3235" s="169" t="s">
        <v>98</v>
      </c>
      <c r="E3235" s="169" t="s">
        <v>19</v>
      </c>
      <c r="F3235" s="245" t="str">
        <f t="shared" si="200"/>
        <v>DVR 72</v>
      </c>
      <c r="G3235" s="169" t="s">
        <v>5700</v>
      </c>
      <c r="I3235" s="169" t="str">
        <f>CONCATENATE(B3235,"_",C3235,"_",D3235,"_",E3235)</f>
        <v>L10_GHV_014W_RAISE</v>
      </c>
      <c r="J3235" s="169" t="s">
        <v>4113</v>
      </c>
      <c r="K3235" s="169">
        <f>IFERROR(MATCH(J3235,'Final List'!$B$4:$B$252,0),0)</f>
        <v>0</v>
      </c>
      <c r="L3235" s="169">
        <f>IFERROR(MATCH(J3235,'Final List'!$D$4:$D$252,0),0)</f>
        <v>0</v>
      </c>
      <c r="M3235" s="169">
        <f>IFERROR(MATCH(J3235,'Final List'!$F$4:$F$251,0),0)</f>
        <v>0</v>
      </c>
      <c r="N3235" s="169">
        <f>IFERROR(MATCH(J3235,'Final List'!$H$4:$H$252,0),0)</f>
        <v>0</v>
      </c>
      <c r="O3235" s="169">
        <f>IFERROR(MATCH(J3235,'Final List'!$J$4:$J$252,0),0)</f>
        <v>0</v>
      </c>
      <c r="P3235" s="169">
        <f>IFERROR(MATCH(J3235,'Final List'!$L$4:$L$252,0),0)</f>
        <v>0</v>
      </c>
      <c r="Q3235" s="169">
        <f>IFERROR(MATCH(J3235,'Final List'!$N$4:$N$252,0),0)</f>
        <v>0</v>
      </c>
      <c r="R3235" s="169">
        <f>IFERROR(MATCH(J3235,'Final List'!$P$4:$P$252,0),0)</f>
        <v>0</v>
      </c>
      <c r="S3235" s="169">
        <f t="shared" si="204"/>
        <v>0</v>
      </c>
      <c r="V3235" s="169" t="str">
        <f>IF(H3235="",G3235,H3235)</f>
        <v>LARGO 1</v>
      </c>
      <c r="W3235" s="169" t="s">
        <v>2715</v>
      </c>
    </row>
    <row r="3236" spans="2:23" x14ac:dyDescent="0.25">
      <c r="B3236" s="169" t="s">
        <v>258</v>
      </c>
      <c r="C3236" s="169" t="s">
        <v>57</v>
      </c>
      <c r="D3236" s="169" t="s">
        <v>201</v>
      </c>
      <c r="E3236" s="169" t="s">
        <v>221</v>
      </c>
      <c r="F3236" s="245" t="str">
        <f t="shared" si="200"/>
        <v>RobC 80</v>
      </c>
      <c r="G3236" s="169" t="s">
        <v>5701</v>
      </c>
      <c r="H3236" s="169" t="s">
        <v>12409</v>
      </c>
      <c r="I3236" s="169" t="str">
        <f t="shared" si="203"/>
        <v>L10_JVSPLIT_067E_WINZE STOPE</v>
      </c>
      <c r="J3236" s="169" t="s">
        <v>13204</v>
      </c>
      <c r="K3236" s="169">
        <f>IFERROR(MATCH(J3236,'Final List'!$B$4:$B$252,0),0)</f>
        <v>0</v>
      </c>
      <c r="L3236" s="169">
        <f>IFERROR(MATCH(J3236,'Final List'!$D$4:$D$252,0),0)</f>
        <v>0</v>
      </c>
      <c r="M3236" s="169">
        <f>IFERROR(MATCH(J3236,'Final List'!$F$4:$F$251,0),0)</f>
        <v>0</v>
      </c>
      <c r="N3236" s="169">
        <f>IFERROR(MATCH(J3236,'Final List'!$H$4:$H$252,0),0)</f>
        <v>0</v>
      </c>
      <c r="O3236" s="169">
        <f>IFERROR(MATCH(J3236,'Final List'!$J$4:$J$252,0),0)</f>
        <v>0</v>
      </c>
      <c r="P3236" s="169">
        <f>IFERROR(MATCH(J3236,'Final List'!$L$4:$L$252,0),0)</f>
        <v>0</v>
      </c>
      <c r="Q3236" s="169">
        <f>IFERROR(MATCH(J3236,'Final List'!$N$4:$N$252,0),0)</f>
        <v>0</v>
      </c>
      <c r="R3236" s="169">
        <f>IFERROR(MATCH(J3236,'Final List'!$P$4:$P$252,0),0)</f>
        <v>0</v>
      </c>
      <c r="S3236" s="169">
        <f t="shared" si="204"/>
        <v>0</v>
      </c>
      <c r="T3236" s="169" t="s">
        <v>68</v>
      </c>
      <c r="V3236" s="169" t="str">
        <f t="shared" si="202"/>
        <v>LARGO</v>
      </c>
      <c r="W3236" s="169" t="s">
        <v>2719</v>
      </c>
    </row>
    <row r="3237" spans="2:23" x14ac:dyDescent="0.25">
      <c r="B3237" s="169" t="s">
        <v>95</v>
      </c>
      <c r="C3237" s="169" t="s">
        <v>45</v>
      </c>
      <c r="D3237" s="169" t="s">
        <v>114</v>
      </c>
      <c r="E3237" s="169" t="s">
        <v>61</v>
      </c>
      <c r="F3237" s="245" t="str">
        <f t="shared" si="200"/>
        <v>Dhoz 71</v>
      </c>
      <c r="G3237" s="169" t="s">
        <v>2</v>
      </c>
      <c r="I3237" s="169" t="str">
        <f t="shared" si="203"/>
        <v>L08_DPVE_025W_DW</v>
      </c>
      <c r="J3237" s="169" t="s">
        <v>13079</v>
      </c>
      <c r="K3237" s="169">
        <f>IFERROR(MATCH(J3237,'Final List'!$B$4:$B$252,0),0)</f>
        <v>0</v>
      </c>
      <c r="L3237" s="169">
        <f>IFERROR(MATCH(J3237,'Final List'!$D$4:$D$252,0),0)</f>
        <v>0</v>
      </c>
      <c r="M3237" s="169">
        <f>IFERROR(MATCH(J3237,'Final List'!$F$4:$F$251,0),0)</f>
        <v>0</v>
      </c>
      <c r="N3237" s="169">
        <f>IFERROR(MATCH(J3237,'Final List'!$H$4:$H$252,0),0)</f>
        <v>0</v>
      </c>
      <c r="O3237" s="169">
        <f>IFERROR(MATCH(J3237,'Final List'!$J$4:$J$252,0),0)</f>
        <v>0</v>
      </c>
      <c r="P3237" s="169">
        <f>IFERROR(MATCH(J3237,'Final List'!$L$4:$L$252,0),0)</f>
        <v>0</v>
      </c>
      <c r="Q3237" s="169">
        <f>IFERROR(MATCH(J3237,'Final List'!$N$4:$N$252,0),0)</f>
        <v>0</v>
      </c>
      <c r="R3237" s="169">
        <f>IFERROR(MATCH(J3237,'Final List'!$P$4:$P$252,0),0)</f>
        <v>0</v>
      </c>
      <c r="S3237" s="169">
        <f t="shared" si="204"/>
        <v>0</v>
      </c>
      <c r="V3237" s="169" t="str">
        <f t="shared" si="202"/>
        <v>CABONITA</v>
      </c>
      <c r="W3237" s="169" t="s">
        <v>8895</v>
      </c>
    </row>
    <row r="3238" spans="2:23" x14ac:dyDescent="0.25">
      <c r="B3238" s="169" t="s">
        <v>1167</v>
      </c>
      <c r="C3238" s="169" t="s">
        <v>45</v>
      </c>
      <c r="D3238" s="169" t="s">
        <v>5781</v>
      </c>
      <c r="E3238" s="169" t="s">
        <v>6143</v>
      </c>
      <c r="F3238" s="245" t="str">
        <f t="shared" si="200"/>
        <v>Dhoz 71</v>
      </c>
      <c r="G3238" s="169" t="s">
        <v>75</v>
      </c>
      <c r="I3238" s="169" t="str">
        <f t="shared" si="203"/>
        <v>L12_DPVE_051E_DE_ISL</v>
      </c>
      <c r="J3238" s="169" t="s">
        <v>13085</v>
      </c>
      <c r="K3238" s="169">
        <f>IFERROR(MATCH(J3238,'Final List'!$B$4:$B$252,0),0)</f>
        <v>0</v>
      </c>
      <c r="L3238" s="169">
        <f>IFERROR(MATCH(J3238,'Final List'!$D$4:$D$252,0),0)</f>
        <v>0</v>
      </c>
      <c r="M3238" s="169">
        <f>IFERROR(MATCH(J3238,'Final List'!$F$4:$F$251,0),0)</f>
        <v>0</v>
      </c>
      <c r="N3238" s="169">
        <f>IFERROR(MATCH(J3238,'Final List'!$H$4:$H$252,0),0)</f>
        <v>0</v>
      </c>
      <c r="O3238" s="169">
        <f>IFERROR(MATCH(J3238,'Final List'!$J$4:$J$252,0),0)</f>
        <v>0</v>
      </c>
      <c r="P3238" s="169">
        <f>IFERROR(MATCH(J3238,'Final List'!$L$4:$L$252,0),0)</f>
        <v>0</v>
      </c>
      <c r="Q3238" s="169">
        <f>IFERROR(MATCH(J3238,'Final List'!$N$4:$N$252,0),0)</f>
        <v>0</v>
      </c>
      <c r="R3238" s="169">
        <f>IFERROR(MATCH(J3238,'Final List'!$P$4:$P$252,0),0)</f>
        <v>0</v>
      </c>
      <c r="S3238" s="169">
        <f t="shared" si="204"/>
        <v>0</v>
      </c>
      <c r="V3238" s="169" t="str">
        <f t="shared" si="202"/>
        <v>BABOR</v>
      </c>
      <c r="W3238" s="169" t="s">
        <v>2708</v>
      </c>
    </row>
    <row r="3239" spans="2:23" x14ac:dyDescent="0.25">
      <c r="B3239" s="169" t="s">
        <v>1166</v>
      </c>
      <c r="C3239" s="169" t="s">
        <v>43</v>
      </c>
      <c r="D3239" s="169" t="s">
        <v>167</v>
      </c>
      <c r="E3239" s="169" t="s">
        <v>20</v>
      </c>
      <c r="F3239" s="245" t="str">
        <f t="shared" si="200"/>
        <v>DVW 74</v>
      </c>
      <c r="G3239" s="169" t="s">
        <v>4068</v>
      </c>
      <c r="I3239" s="169" t="str">
        <f t="shared" si="203"/>
        <v>L11_GHVSPLIT_058E_WINZE</v>
      </c>
      <c r="J3239" s="169" t="s">
        <v>13118</v>
      </c>
      <c r="K3239" s="169">
        <f>IFERROR(MATCH(J3239,'Final List'!$B$4:$B$252,0),0)</f>
        <v>0</v>
      </c>
      <c r="L3239" s="169">
        <f>IFERROR(MATCH(J3239,'Final List'!$D$4:$D$252,0),0)</f>
        <v>0</v>
      </c>
      <c r="M3239" s="169">
        <f>IFERROR(MATCH(J3239,'Final List'!$F$4:$F$251,0),0)</f>
        <v>0</v>
      </c>
      <c r="N3239" s="169">
        <f>IFERROR(MATCH(J3239,'Final List'!$H$4:$H$252,0),0)</f>
        <v>0</v>
      </c>
      <c r="O3239" s="169">
        <f>IFERROR(MATCH(J3239,'Final List'!$J$4:$J$252,0),0)</f>
        <v>0</v>
      </c>
      <c r="P3239" s="169">
        <f>IFERROR(MATCH(J3239,'Final List'!$L$4:$L$252,0),0)</f>
        <v>0</v>
      </c>
      <c r="Q3239" s="169">
        <f>IFERROR(MATCH(J3239,'Final List'!$N$4:$N$252,0),0)</f>
        <v>0</v>
      </c>
      <c r="R3239" s="169">
        <f>IFERROR(MATCH(J3239,'Final List'!$P$4:$P$252,0),0)</f>
        <v>0</v>
      </c>
      <c r="S3239" s="169">
        <f t="shared" si="204"/>
        <v>0</v>
      </c>
      <c r="V3239" s="169" t="str">
        <f t="shared" si="202"/>
        <v>MAPAYO</v>
      </c>
      <c r="W3239" s="169" t="s">
        <v>2706</v>
      </c>
    </row>
    <row r="3240" spans="2:23" x14ac:dyDescent="0.25">
      <c r="B3240" s="169" t="s">
        <v>1167</v>
      </c>
      <c r="C3240" s="169" t="s">
        <v>55</v>
      </c>
      <c r="D3240" s="169" t="s">
        <v>172</v>
      </c>
      <c r="E3240" s="169" t="s">
        <v>60</v>
      </c>
      <c r="F3240" s="245" t="str">
        <f t="shared" si="200"/>
        <v>Dhoz 71</v>
      </c>
      <c r="G3240" s="169" t="s">
        <v>337</v>
      </c>
      <c r="I3240" s="169" t="str">
        <f t="shared" si="203"/>
        <v>L12_JVFW_045E_DE</v>
      </c>
      <c r="J3240" s="169" t="s">
        <v>13090</v>
      </c>
      <c r="K3240" s="169">
        <f>IFERROR(MATCH(J3240,'Final List'!$B$4:$B$252,0),0)</f>
        <v>0</v>
      </c>
      <c r="L3240" s="169">
        <f>IFERROR(MATCH(J3240,'Final List'!$D$4:$D$252,0),0)</f>
        <v>0</v>
      </c>
      <c r="M3240" s="169">
        <f>IFERROR(MATCH(J3240,'Final List'!$F$4:$F$251,0),0)</f>
        <v>0</v>
      </c>
      <c r="N3240" s="169">
        <f>IFERROR(MATCH(J3240,'Final List'!$H$4:$H$252,0),0)</f>
        <v>0</v>
      </c>
      <c r="O3240" s="169">
        <f>IFERROR(MATCH(J3240,'Final List'!$J$4:$J$252,0),0)</f>
        <v>0</v>
      </c>
      <c r="P3240" s="169">
        <f>IFERROR(MATCH(J3240,'Final List'!$L$4:$L$252,0),0)</f>
        <v>0</v>
      </c>
      <c r="Q3240" s="169">
        <f>IFERROR(MATCH(J3240,'Final List'!$N$4:$N$252,0),0)</f>
        <v>0</v>
      </c>
      <c r="R3240" s="169">
        <f>IFERROR(MATCH(J3240,'Final List'!$P$4:$P$252,0),0)</f>
        <v>0</v>
      </c>
      <c r="S3240" s="169">
        <f t="shared" si="204"/>
        <v>0</v>
      </c>
      <c r="V3240" s="169" t="str">
        <f t="shared" si="202"/>
        <v>BALANGHIG 2</v>
      </c>
      <c r="W3240" s="169" t="s">
        <v>8896</v>
      </c>
    </row>
    <row r="3241" spans="2:23" x14ac:dyDescent="0.25">
      <c r="B3241" s="169" t="s">
        <v>1167</v>
      </c>
      <c r="C3241" s="169" t="s">
        <v>45</v>
      </c>
      <c r="D3241" s="169" t="s">
        <v>178</v>
      </c>
      <c r="E3241" s="169" t="s">
        <v>19</v>
      </c>
      <c r="F3241" s="245" t="str">
        <f t="shared" si="200"/>
        <v>DVR 72</v>
      </c>
      <c r="G3241" s="169" t="s">
        <v>6929</v>
      </c>
      <c r="I3241" s="169" t="str">
        <f t="shared" si="203"/>
        <v>L12_DPVE_048E_RAISE</v>
      </c>
      <c r="J3241" s="169" t="s">
        <v>13098</v>
      </c>
      <c r="K3241" s="169">
        <f>IFERROR(MATCH(J3241,'Final List'!$B$4:$B$252,0),0)</f>
        <v>0</v>
      </c>
      <c r="L3241" s="169">
        <f>IFERROR(MATCH(J3241,'Final List'!$D$4:$D$252,0),0)</f>
        <v>0</v>
      </c>
      <c r="M3241" s="169">
        <f>IFERROR(MATCH(J3241,'Final List'!$F$4:$F$251,0),0)</f>
        <v>0</v>
      </c>
      <c r="N3241" s="169">
        <f>IFERROR(MATCH(J3241,'Final List'!$H$4:$H$252,0),0)</f>
        <v>0</v>
      </c>
      <c r="O3241" s="169">
        <f>IFERROR(MATCH(J3241,'Final List'!$J$4:$J$252,0),0)</f>
        <v>0</v>
      </c>
      <c r="P3241" s="169">
        <f>IFERROR(MATCH(J3241,'Final List'!$L$4:$L$252,0),0)</f>
        <v>0</v>
      </c>
      <c r="Q3241" s="169">
        <f>IFERROR(MATCH(J3241,'Final List'!$N$4:$N$252,0),0)</f>
        <v>0</v>
      </c>
      <c r="R3241" s="169">
        <f>IFERROR(MATCH(J3241,'Final List'!$P$4:$P$252,0),0)</f>
        <v>0</v>
      </c>
      <c r="S3241" s="169">
        <f t="shared" si="204"/>
        <v>0</v>
      </c>
      <c r="V3241" s="169" t="str">
        <f t="shared" si="202"/>
        <v>DUHIG, P4</v>
      </c>
      <c r="W3241" s="169" t="s">
        <v>2715</v>
      </c>
    </row>
    <row r="3242" spans="2:23" x14ac:dyDescent="0.25">
      <c r="B3242" s="169" t="s">
        <v>1167</v>
      </c>
      <c r="C3242" s="169" t="s">
        <v>43</v>
      </c>
      <c r="D3242" s="169" t="s">
        <v>169</v>
      </c>
      <c r="E3242" s="169" t="s">
        <v>19</v>
      </c>
      <c r="F3242" s="245" t="str">
        <f t="shared" si="200"/>
        <v>DVR 72</v>
      </c>
      <c r="G3242" s="169" t="s">
        <v>12585</v>
      </c>
      <c r="H3242" s="169" t="s">
        <v>12548</v>
      </c>
      <c r="I3242" s="169" t="str">
        <f t="shared" si="203"/>
        <v>L12_GHVSPLIT_065E_RAISE</v>
      </c>
      <c r="J3242" s="169" t="s">
        <v>13091</v>
      </c>
      <c r="K3242" s="169">
        <f>IFERROR(MATCH(J3242,'Final List'!$B$4:$B$252,0),0)</f>
        <v>0</v>
      </c>
      <c r="L3242" s="169">
        <f>IFERROR(MATCH(J3242,'Final List'!$D$4:$D$252,0),0)</f>
        <v>0</v>
      </c>
      <c r="M3242" s="169">
        <f>IFERROR(MATCH(J3242,'Final List'!$F$4:$F$251,0),0)</f>
        <v>0</v>
      </c>
      <c r="N3242" s="169">
        <f>IFERROR(MATCH(J3242,'Final List'!$H$4:$H$252,0),0)</f>
        <v>0</v>
      </c>
      <c r="O3242" s="169">
        <f>IFERROR(MATCH(J3242,'Final List'!$J$4:$J$252,0),0)</f>
        <v>0</v>
      </c>
      <c r="P3242" s="169">
        <f>IFERROR(MATCH(J3242,'Final List'!$L$4:$L$252,0),0)</f>
        <v>0</v>
      </c>
      <c r="Q3242" s="169">
        <f>IFERROR(MATCH(J3242,'Final List'!$N$4:$N$252,0),0)</f>
        <v>0</v>
      </c>
      <c r="R3242" s="169">
        <f>IFERROR(MATCH(J3242,'Final List'!$P$4:$P$252,0),0)</f>
        <v>0</v>
      </c>
      <c r="S3242" s="169">
        <f t="shared" si="204"/>
        <v>0</v>
      </c>
      <c r="V3242" s="169" t="str">
        <f t="shared" si="202"/>
        <v>NITRO BM</v>
      </c>
      <c r="W3242" s="169" t="s">
        <v>2715</v>
      </c>
    </row>
    <row r="3243" spans="2:23" x14ac:dyDescent="0.25">
      <c r="B3243" s="169" t="s">
        <v>1167</v>
      </c>
      <c r="C3243" s="169" t="s">
        <v>87</v>
      </c>
      <c r="D3243" s="169" t="s">
        <v>135</v>
      </c>
      <c r="E3243" s="169" t="s">
        <v>37</v>
      </c>
      <c r="F3243" s="245" t="str">
        <f t="shared" si="200"/>
        <v>Dhoz 71</v>
      </c>
      <c r="G3243" s="169" t="s">
        <v>12236</v>
      </c>
      <c r="I3243" s="169" t="str">
        <f t="shared" si="203"/>
        <v>L12_NONE_034E_XCN</v>
      </c>
      <c r="J3243" s="169" t="s">
        <v>13092</v>
      </c>
      <c r="K3243" s="169">
        <f>IFERROR(MATCH(J3243,'Final List'!$B$4:$B$252,0),0)</f>
        <v>0</v>
      </c>
      <c r="L3243" s="169">
        <f>IFERROR(MATCH(J3243,'Final List'!$D$4:$D$252,0),0)</f>
        <v>0</v>
      </c>
      <c r="M3243" s="169">
        <f>IFERROR(MATCH(J3243,'Final List'!$F$4:$F$251,0),0)</f>
        <v>0</v>
      </c>
      <c r="N3243" s="169">
        <f>IFERROR(MATCH(J3243,'Final List'!$H$4:$H$252,0),0)</f>
        <v>0</v>
      </c>
      <c r="O3243" s="169">
        <f>IFERROR(MATCH(J3243,'Final List'!$J$4:$J$252,0),0)</f>
        <v>0</v>
      </c>
      <c r="P3243" s="169">
        <f>IFERROR(MATCH(J3243,'Final List'!$L$4:$L$252,0),0)</f>
        <v>0</v>
      </c>
      <c r="Q3243" s="169">
        <f>IFERROR(MATCH(J3243,'Final List'!$N$4:$N$252,0),0)</f>
        <v>0</v>
      </c>
      <c r="R3243" s="169">
        <f>IFERROR(MATCH(J3243,'Final List'!$P$4:$P$252,0),0)</f>
        <v>0</v>
      </c>
      <c r="S3243" s="169">
        <f t="shared" si="204"/>
        <v>0</v>
      </c>
      <c r="V3243" s="169" t="str">
        <f t="shared" si="202"/>
        <v>NITRO BA 2</v>
      </c>
      <c r="W3243" s="169" t="s">
        <v>8898</v>
      </c>
    </row>
    <row r="3244" spans="2:23" x14ac:dyDescent="0.25">
      <c r="B3244" s="169" t="s">
        <v>1167</v>
      </c>
      <c r="C3244" s="169" t="s">
        <v>45</v>
      </c>
      <c r="D3244" s="169" t="s">
        <v>179</v>
      </c>
      <c r="E3244" s="169" t="s">
        <v>61</v>
      </c>
      <c r="F3244" s="245" t="str">
        <f t="shared" si="200"/>
        <v>Dhoz 71</v>
      </c>
      <c r="G3244" s="169" t="s">
        <v>13097</v>
      </c>
      <c r="I3244" s="169" t="str">
        <f t="shared" si="203"/>
        <v>L12_DPVE_050E_DW</v>
      </c>
      <c r="J3244" s="169" t="s">
        <v>13096</v>
      </c>
      <c r="K3244" s="169">
        <f>IFERROR(MATCH(J3244,'Final List'!$B$4:$B$252,0),0)</f>
        <v>0</v>
      </c>
      <c r="L3244" s="169">
        <f>IFERROR(MATCH(J3244,'Final List'!$D$4:$D$252,0),0)</f>
        <v>0</v>
      </c>
      <c r="M3244" s="169">
        <f>IFERROR(MATCH(J3244,'Final List'!$F$4:$F$251,0),0)</f>
        <v>0</v>
      </c>
      <c r="N3244" s="169">
        <f>IFERROR(MATCH(J3244,'Final List'!$H$4:$H$252,0),0)</f>
        <v>0</v>
      </c>
      <c r="O3244" s="169">
        <f>IFERROR(MATCH(J3244,'Final List'!$J$4:$J$252,0),0)</f>
        <v>0</v>
      </c>
      <c r="P3244" s="169">
        <f>IFERROR(MATCH(J3244,'Final List'!$L$4:$L$252,0),0)</f>
        <v>0</v>
      </c>
      <c r="Q3244" s="169">
        <f>IFERROR(MATCH(J3244,'Final List'!$N$4:$N$252,0),0)</f>
        <v>0</v>
      </c>
      <c r="R3244" s="169">
        <f>IFERROR(MATCH(J3244,'Final List'!$P$4:$P$252,0),0)</f>
        <v>0</v>
      </c>
      <c r="S3244" s="169">
        <f t="shared" si="204"/>
        <v>0</v>
      </c>
      <c r="V3244" s="169" t="str">
        <f t="shared" si="202"/>
        <v>NITRO BC 4</v>
      </c>
      <c r="W3244" s="169" t="s">
        <v>8896</v>
      </c>
    </row>
    <row r="3245" spans="2:23" x14ac:dyDescent="0.25">
      <c r="B3245" s="169" t="s">
        <v>96</v>
      </c>
      <c r="C3245" s="169" t="s">
        <v>57</v>
      </c>
      <c r="D3245" s="169" t="s">
        <v>5850</v>
      </c>
      <c r="E3245" s="169" t="s">
        <v>62</v>
      </c>
      <c r="F3245" s="245" t="str">
        <f t="shared" si="200"/>
        <v>RobS 79</v>
      </c>
      <c r="G3245" s="169" t="s">
        <v>350</v>
      </c>
      <c r="I3245" s="169" t="str">
        <f t="shared" si="203"/>
        <v>L09_JVSPLIT_016E_ROBBING</v>
      </c>
      <c r="J3245" s="169" t="s">
        <v>13100</v>
      </c>
      <c r="K3245" s="169">
        <f>IFERROR(MATCH(J3245,'Final List'!$B$4:$B$252,0),0)</f>
        <v>0</v>
      </c>
      <c r="L3245" s="169">
        <f>IFERROR(MATCH(J3245,'Final List'!$D$4:$D$252,0),0)</f>
        <v>0</v>
      </c>
      <c r="M3245" s="169">
        <f>IFERROR(MATCH(J3245,'Final List'!$F$4:$F$251,0),0)</f>
        <v>0</v>
      </c>
      <c r="N3245" s="169">
        <f>IFERROR(MATCH(J3245,'Final List'!$H$4:$H$252,0),0)</f>
        <v>0</v>
      </c>
      <c r="O3245" s="169">
        <f>IFERROR(MATCH(J3245,'Final List'!$J$4:$J$252,0),0)</f>
        <v>0</v>
      </c>
      <c r="P3245" s="169">
        <f>IFERROR(MATCH(J3245,'Final List'!$L$4:$L$252,0),0)</f>
        <v>0</v>
      </c>
      <c r="Q3245" s="169">
        <f>IFERROR(MATCH(J3245,'Final List'!$N$4:$N$252,0),0)</f>
        <v>0</v>
      </c>
      <c r="R3245" s="169">
        <f>IFERROR(MATCH(J3245,'Final List'!$P$4:$P$252,0),0)</f>
        <v>0</v>
      </c>
      <c r="S3245" s="169">
        <f t="shared" si="204"/>
        <v>0</v>
      </c>
      <c r="T3245" s="169" t="s">
        <v>68</v>
      </c>
      <c r="V3245" s="169" t="str">
        <f t="shared" si="202"/>
        <v>QUIJANO 1</v>
      </c>
      <c r="W3245" s="169" t="s">
        <v>2707</v>
      </c>
    </row>
    <row r="3246" spans="2:23" ht="14.25" customHeight="1" x14ac:dyDescent="0.25">
      <c r="B3246" s="169" t="s">
        <v>95</v>
      </c>
      <c r="C3246" s="169" t="s">
        <v>57</v>
      </c>
      <c r="D3246" s="169" t="s">
        <v>7032</v>
      </c>
      <c r="E3246" s="169" t="s">
        <v>19</v>
      </c>
      <c r="F3246" s="245" t="str">
        <f t="shared" si="200"/>
        <v>DVR 72</v>
      </c>
      <c r="G3246" s="169" t="s">
        <v>12064</v>
      </c>
      <c r="H3246" s="169" t="s">
        <v>8045</v>
      </c>
      <c r="I3246" s="169" t="str">
        <f t="shared" si="203"/>
        <v>L08_JVSPLIT_013W_RAISE</v>
      </c>
      <c r="J3246" s="169" t="s">
        <v>13111</v>
      </c>
      <c r="K3246" s="169">
        <f>IFERROR(MATCH(J3246,'Final List'!$B$4:$B$252,0),0)</f>
        <v>0</v>
      </c>
      <c r="L3246" s="169">
        <f>IFERROR(MATCH(J3246,'Final List'!$D$4:$D$252,0),0)</f>
        <v>0</v>
      </c>
      <c r="M3246" s="169">
        <f>IFERROR(MATCH(J3246,'Final List'!$F$4:$F$251,0),0)</f>
        <v>0</v>
      </c>
      <c r="N3246" s="169">
        <f>IFERROR(MATCH(J3246,'Final List'!$H$4:$H$252,0),0)</f>
        <v>0</v>
      </c>
      <c r="O3246" s="169">
        <f>IFERROR(MATCH(J3246,'Final List'!$J$4:$J$252,0),0)</f>
        <v>0</v>
      </c>
      <c r="P3246" s="169">
        <f>IFERROR(MATCH(J3246,'Final List'!$L$4:$L$252,0),0)</f>
        <v>0</v>
      </c>
      <c r="Q3246" s="169">
        <f>IFERROR(MATCH(J3246,'Final List'!$N$4:$N$252,0),0)</f>
        <v>0</v>
      </c>
      <c r="R3246" s="169">
        <f>IFERROR(MATCH(J3246,'Final List'!$P$4:$P$252,0),0)</f>
        <v>0</v>
      </c>
      <c r="S3246" s="169">
        <f t="shared" si="204"/>
        <v>0</v>
      </c>
      <c r="V3246" s="169" t="str">
        <f t="shared" si="202"/>
        <v>CAPUYAN</v>
      </c>
      <c r="W3246" s="169" t="s">
        <v>2715</v>
      </c>
    </row>
    <row r="3247" spans="2:23" x14ac:dyDescent="0.25">
      <c r="B3247" s="169" t="s">
        <v>12320</v>
      </c>
      <c r="C3247" s="169" t="s">
        <v>39</v>
      </c>
      <c r="D3247" s="169" t="s">
        <v>168</v>
      </c>
      <c r="E3247" s="169" t="s">
        <v>61</v>
      </c>
      <c r="F3247" s="245" t="str">
        <f t="shared" si="200"/>
        <v>Dhoz 71</v>
      </c>
      <c r="G3247" s="169" t="s">
        <v>5705</v>
      </c>
      <c r="H3247" s="169" t="s">
        <v>12963</v>
      </c>
      <c r="I3247" s="169" t="str">
        <f t="shared" si="203"/>
        <v>L425_JVHW_047E_DW</v>
      </c>
      <c r="J3247" s="169" t="s">
        <v>13101</v>
      </c>
      <c r="K3247" s="169">
        <f>IFERROR(MATCH(J3247,'Final List'!$B$4:$B$252,0),0)</f>
        <v>0</v>
      </c>
      <c r="L3247" s="169">
        <f>IFERROR(MATCH(J3247,'Final List'!$D$4:$D$252,0),0)</f>
        <v>0</v>
      </c>
      <c r="M3247" s="169">
        <f>IFERROR(MATCH(J3247,'Final List'!$F$4:$F$251,0),0)</f>
        <v>0</v>
      </c>
      <c r="N3247" s="169">
        <f>IFERROR(MATCH(J3247,'Final List'!$H$4:$H$252,0),0)</f>
        <v>0</v>
      </c>
      <c r="O3247" s="169">
        <f>IFERROR(MATCH(J3247,'Final List'!$J$4:$J$252,0),0)</f>
        <v>0</v>
      </c>
      <c r="P3247" s="169">
        <f>IFERROR(MATCH(J3247,'Final List'!$L$4:$L$252,0),0)</f>
        <v>0</v>
      </c>
      <c r="Q3247" s="169">
        <f>IFERROR(MATCH(J3247,'Final List'!$N$4:$N$252,0),0)</f>
        <v>0</v>
      </c>
      <c r="R3247" s="169">
        <f>IFERROR(MATCH(J3247,'Final List'!$P$4:$P$252,0),0)</f>
        <v>0</v>
      </c>
      <c r="S3247" s="169">
        <f t="shared" si="204"/>
        <v>0</v>
      </c>
      <c r="V3247" s="169" t="str">
        <f t="shared" si="202"/>
        <v>CAPPUYO 4</v>
      </c>
      <c r="W3247" s="169" t="s">
        <v>8896</v>
      </c>
    </row>
    <row r="3248" spans="2:23" x14ac:dyDescent="0.25">
      <c r="B3248" s="169" t="s">
        <v>96</v>
      </c>
      <c r="C3248" s="169" t="s">
        <v>45</v>
      </c>
      <c r="D3248" s="169" t="s">
        <v>289</v>
      </c>
      <c r="E3248" s="169" t="s">
        <v>6143</v>
      </c>
      <c r="F3248" s="245" t="str">
        <f t="shared" si="200"/>
        <v>Dhoz 71</v>
      </c>
      <c r="G3248" s="169" t="s">
        <v>485</v>
      </c>
      <c r="I3248" s="169" t="str">
        <f t="shared" si="203"/>
        <v>L09_DPVE_059E_DE_ISL</v>
      </c>
      <c r="J3248" s="169" t="s">
        <v>13106</v>
      </c>
      <c r="K3248" s="169">
        <f>IFERROR(MATCH(J3248,'Final List'!$B$4:$B$252,0),0)</f>
        <v>0</v>
      </c>
      <c r="L3248" s="169">
        <f>IFERROR(MATCH(J3248,'Final List'!$D$4:$D$252,0),0)</f>
        <v>0</v>
      </c>
      <c r="M3248" s="169">
        <f>IFERROR(MATCH(J3248,'Final List'!$F$4:$F$251,0),0)</f>
        <v>0</v>
      </c>
      <c r="N3248" s="169">
        <f>IFERROR(MATCH(J3248,'Final List'!$H$4:$H$252,0),0)</f>
        <v>0</v>
      </c>
      <c r="O3248" s="169">
        <f>IFERROR(MATCH(J3248,'Final List'!$J$4:$J$252,0),0)</f>
        <v>0</v>
      </c>
      <c r="P3248" s="169">
        <f>IFERROR(MATCH(J3248,'Final List'!$L$4:$L$252,0),0)</f>
        <v>0</v>
      </c>
      <c r="Q3248" s="169">
        <f>IFERROR(MATCH(J3248,'Final List'!$N$4:$N$252,0),0)</f>
        <v>0</v>
      </c>
      <c r="R3248" s="169">
        <f>IFERROR(MATCH(J3248,'Final List'!$P$4:$P$252,0),0)</f>
        <v>0</v>
      </c>
      <c r="S3248" s="169">
        <f t="shared" si="204"/>
        <v>0</v>
      </c>
      <c r="V3248" s="169" t="str">
        <f t="shared" si="202"/>
        <v>BALANGHIG 3</v>
      </c>
      <c r="W3248" s="169" t="s">
        <v>2708</v>
      </c>
    </row>
    <row r="3249" spans="2:23" x14ac:dyDescent="0.25">
      <c r="B3249" s="169" t="s">
        <v>1167</v>
      </c>
      <c r="C3249" s="169" t="s">
        <v>38</v>
      </c>
      <c r="D3249" s="169" t="s">
        <v>595</v>
      </c>
      <c r="E3249" s="169" t="s">
        <v>36</v>
      </c>
      <c r="F3249" s="245" t="str">
        <f t="shared" si="200"/>
        <v>StpS 77</v>
      </c>
      <c r="G3249" s="169" t="s">
        <v>12546</v>
      </c>
      <c r="H3249" s="169" t="s">
        <v>12548</v>
      </c>
      <c r="I3249" s="169" t="str">
        <f t="shared" si="203"/>
        <v>L12_GHV_072E_STOPE</v>
      </c>
      <c r="J3249" s="169" t="s">
        <v>13211</v>
      </c>
      <c r="K3249" s="169">
        <f>IFERROR(MATCH(J3249,'Final List'!$B$4:$B$252,0),0)</f>
        <v>0</v>
      </c>
      <c r="L3249" s="169">
        <f>IFERROR(MATCH(J3249,'Final List'!$D$4:$D$252,0),0)</f>
        <v>0</v>
      </c>
      <c r="M3249" s="169">
        <f>IFERROR(MATCH(J3249,'Final List'!$F$4:$F$251,0),0)</f>
        <v>0</v>
      </c>
      <c r="N3249" s="169">
        <f>IFERROR(MATCH(J3249,'Final List'!$H$4:$H$252,0),0)</f>
        <v>0</v>
      </c>
      <c r="O3249" s="169">
        <f>IFERROR(MATCH(J3249,'Final List'!$J$4:$J$252,0),0)</f>
        <v>0</v>
      </c>
      <c r="P3249" s="169">
        <f>IFERROR(MATCH(J3249,'Final List'!$L$4:$L$252,0),0)</f>
        <v>0</v>
      </c>
      <c r="Q3249" s="169">
        <f>IFERROR(MATCH(J3249,'Final List'!$N$4:$N$252,0),0)</f>
        <v>0</v>
      </c>
      <c r="R3249" s="169">
        <f>IFERROR(MATCH(J3249,'Final List'!$P$4:$P$252,0),0)</f>
        <v>0</v>
      </c>
      <c r="S3249" s="169">
        <f t="shared" si="204"/>
        <v>0</v>
      </c>
      <c r="T3249" s="169" t="s">
        <v>68</v>
      </c>
      <c r="V3249" s="169" t="str">
        <f t="shared" si="202"/>
        <v>NITRO BM</v>
      </c>
      <c r="W3249" s="169" t="s">
        <v>2713</v>
      </c>
    </row>
    <row r="3250" spans="2:23" x14ac:dyDescent="0.25">
      <c r="B3250" s="169" t="s">
        <v>1166</v>
      </c>
      <c r="C3250" s="169" t="s">
        <v>87</v>
      </c>
      <c r="D3250" s="169" t="s">
        <v>6036</v>
      </c>
      <c r="E3250" s="169" t="s">
        <v>63</v>
      </c>
      <c r="F3250" s="245" t="str">
        <f t="shared" si="200"/>
        <v>Dhoz 71</v>
      </c>
      <c r="G3250" s="169" t="s">
        <v>6954</v>
      </c>
      <c r="I3250" s="169" t="str">
        <f t="shared" si="203"/>
        <v>L11_NONE_017E_XCS</v>
      </c>
      <c r="J3250" s="169" t="s">
        <v>13114</v>
      </c>
      <c r="K3250" s="169">
        <f>IFERROR(MATCH(J3250,'Final List'!$B$4:$B$252,0),0)</f>
        <v>0</v>
      </c>
      <c r="L3250" s="169">
        <f>IFERROR(MATCH(J3250,'Final List'!$D$4:$D$252,0),0)</f>
        <v>0</v>
      </c>
      <c r="M3250" s="169">
        <f>IFERROR(MATCH(J3250,'Final List'!$F$4:$F$251,0),0)</f>
        <v>0</v>
      </c>
      <c r="N3250" s="169">
        <f>IFERROR(MATCH(J3250,'Final List'!$H$4:$H$252,0),0)</f>
        <v>0</v>
      </c>
      <c r="O3250" s="169">
        <f>IFERROR(MATCH(J3250,'Final List'!$J$4:$J$252,0),0)</f>
        <v>0</v>
      </c>
      <c r="P3250" s="169">
        <f>IFERROR(MATCH(J3250,'Final List'!$L$4:$L$252,0),0)</f>
        <v>0</v>
      </c>
      <c r="Q3250" s="169">
        <f>IFERROR(MATCH(J3250,'Final List'!$N$4:$N$252,0),0)</f>
        <v>0</v>
      </c>
      <c r="R3250" s="169">
        <f>IFERROR(MATCH(J3250,'Final List'!$P$4:$P$252,0),0)</f>
        <v>0</v>
      </c>
      <c r="S3250" s="169">
        <f t="shared" si="204"/>
        <v>0</v>
      </c>
      <c r="V3250" s="169" t="str">
        <f t="shared" si="202"/>
        <v>BADBADON</v>
      </c>
      <c r="W3250" s="169" t="s">
        <v>8898</v>
      </c>
    </row>
    <row r="3251" spans="2:23" x14ac:dyDescent="0.25">
      <c r="B3251" s="169" t="s">
        <v>1166</v>
      </c>
      <c r="C3251" s="169" t="s">
        <v>45</v>
      </c>
      <c r="D3251" s="169" t="s">
        <v>226</v>
      </c>
      <c r="E3251" s="169" t="s">
        <v>61</v>
      </c>
      <c r="F3251" s="245" t="str">
        <f t="shared" si="200"/>
        <v>Dhoz 71</v>
      </c>
      <c r="G3251" s="169" t="s">
        <v>11884</v>
      </c>
      <c r="I3251" s="169" t="str">
        <f t="shared" si="203"/>
        <v>L11_DPVE_074E_DW</v>
      </c>
      <c r="J3251" s="169" t="s">
        <v>13115</v>
      </c>
      <c r="K3251" s="169">
        <f>IFERROR(MATCH(J3251,'Final List'!$B$4:$B$252,0),0)</f>
        <v>0</v>
      </c>
      <c r="L3251" s="169">
        <f>IFERROR(MATCH(J3251,'Final List'!$D$4:$D$252,0),0)</f>
        <v>0</v>
      </c>
      <c r="M3251" s="169">
        <f>IFERROR(MATCH(J3251,'Final List'!$F$4:$F$251,0),0)</f>
        <v>0</v>
      </c>
      <c r="N3251" s="169">
        <f>IFERROR(MATCH(J3251,'Final List'!$H$4:$H$252,0),0)</f>
        <v>0</v>
      </c>
      <c r="O3251" s="169">
        <f>IFERROR(MATCH(J3251,'Final List'!$J$4:$J$252,0),0)</f>
        <v>0</v>
      </c>
      <c r="P3251" s="169">
        <f>IFERROR(MATCH(J3251,'Final List'!$L$4:$L$252,0),0)</f>
        <v>0</v>
      </c>
      <c r="Q3251" s="169">
        <f>IFERROR(MATCH(J3251,'Final List'!$N$4:$N$252,0),0)</f>
        <v>0</v>
      </c>
      <c r="R3251" s="169">
        <f>IFERROR(MATCH(J3251,'Final List'!$P$4:$P$252,0),0)</f>
        <v>0</v>
      </c>
      <c r="S3251" s="169">
        <f t="shared" si="204"/>
        <v>0</v>
      </c>
      <c r="V3251" s="169" t="str">
        <f t="shared" si="202"/>
        <v>DUHIG, R</v>
      </c>
      <c r="W3251" s="169" t="s">
        <v>8896</v>
      </c>
    </row>
    <row r="3252" spans="2:23" x14ac:dyDescent="0.25">
      <c r="B3252" s="169" t="s">
        <v>1166</v>
      </c>
      <c r="C3252" s="169" t="s">
        <v>45</v>
      </c>
      <c r="D3252" s="169" t="s">
        <v>132</v>
      </c>
      <c r="E3252" s="169" t="s">
        <v>20</v>
      </c>
      <c r="F3252" s="245" t="str">
        <f t="shared" si="200"/>
        <v>DVW 74</v>
      </c>
      <c r="G3252" s="169" t="s">
        <v>359</v>
      </c>
      <c r="H3252" s="169" t="s">
        <v>340</v>
      </c>
      <c r="I3252" s="169" t="str">
        <f t="shared" si="203"/>
        <v>L11_DPVE_033E_WINZE</v>
      </c>
      <c r="J3252" s="169" t="s">
        <v>13116</v>
      </c>
      <c r="K3252" s="169">
        <f>IFERROR(MATCH(J3252,'Final List'!$B$4:$B$252,0),0)</f>
        <v>0</v>
      </c>
      <c r="L3252" s="169">
        <f>IFERROR(MATCH(J3252,'Final List'!$D$4:$D$252,0),0)</f>
        <v>0</v>
      </c>
      <c r="M3252" s="169">
        <f>IFERROR(MATCH(J3252,'Final List'!$F$4:$F$251,0),0)</f>
        <v>0</v>
      </c>
      <c r="N3252" s="169">
        <f>IFERROR(MATCH(J3252,'Final List'!$H$4:$H$252,0),0)</f>
        <v>0</v>
      </c>
      <c r="O3252" s="169">
        <f>IFERROR(MATCH(J3252,'Final List'!$J$4:$J$252,0),0)</f>
        <v>0</v>
      </c>
      <c r="P3252" s="169">
        <f>IFERROR(MATCH(J3252,'Final List'!$L$4:$L$252,0),0)</f>
        <v>0</v>
      </c>
      <c r="Q3252" s="169">
        <f>IFERROR(MATCH(J3252,'Final List'!$N$4:$N$252,0),0)</f>
        <v>0</v>
      </c>
      <c r="R3252" s="169">
        <f>IFERROR(MATCH(J3252,'Final List'!$P$4:$P$252,0),0)</f>
        <v>0</v>
      </c>
      <c r="S3252" s="169">
        <f t="shared" si="204"/>
        <v>0</v>
      </c>
      <c r="V3252" s="169" t="str">
        <f t="shared" si="202"/>
        <v>COMAINGKING</v>
      </c>
      <c r="W3252" s="169" t="s">
        <v>2706</v>
      </c>
    </row>
    <row r="3253" spans="2:23" x14ac:dyDescent="0.25">
      <c r="B3253" s="169" t="s">
        <v>96</v>
      </c>
      <c r="C3253" s="169" t="s">
        <v>45</v>
      </c>
      <c r="D3253" s="169" t="s">
        <v>5689</v>
      </c>
      <c r="E3253" s="169" t="s">
        <v>19</v>
      </c>
      <c r="F3253" s="245" t="str">
        <f t="shared" si="200"/>
        <v>DVR 72</v>
      </c>
      <c r="G3253" s="169" t="s">
        <v>12885</v>
      </c>
      <c r="I3253" s="169" t="str">
        <f t="shared" si="203"/>
        <v>L09_DPVE_003E_RAISE</v>
      </c>
      <c r="J3253" s="169" t="s">
        <v>13117</v>
      </c>
      <c r="K3253" s="169">
        <f>IFERROR(MATCH(J3253,'Final List'!$B$4:$B$252,0),0)</f>
        <v>0</v>
      </c>
      <c r="L3253" s="169">
        <f>IFERROR(MATCH(J3253,'Final List'!$D$4:$D$252,0),0)</f>
        <v>0</v>
      </c>
      <c r="M3253" s="169">
        <f>IFERROR(MATCH(J3253,'Final List'!$F$4:$F$251,0),0)</f>
        <v>0</v>
      </c>
      <c r="N3253" s="169">
        <f>IFERROR(MATCH(J3253,'Final List'!$H$4:$H$252,0),0)</f>
        <v>0</v>
      </c>
      <c r="O3253" s="169">
        <f>IFERROR(MATCH(J3253,'Final List'!$J$4:$J$252,0),0)</f>
        <v>0</v>
      </c>
      <c r="P3253" s="169">
        <f>IFERROR(MATCH(J3253,'Final List'!$L$4:$L$252,0),0)</f>
        <v>0</v>
      </c>
      <c r="Q3253" s="169">
        <f>IFERROR(MATCH(J3253,'Final List'!$N$4:$N$252,0),0)</f>
        <v>0</v>
      </c>
      <c r="R3253" s="169">
        <f>IFERROR(MATCH(J3253,'Final List'!$P$4:$P$252,0),0)</f>
        <v>0</v>
      </c>
      <c r="S3253" s="169">
        <f t="shared" si="204"/>
        <v>0</v>
      </c>
      <c r="V3253" s="169" t="str">
        <f t="shared" si="202"/>
        <v>DELOS REYES V4</v>
      </c>
      <c r="W3253" s="169" t="s">
        <v>2715</v>
      </c>
    </row>
    <row r="3254" spans="2:23" x14ac:dyDescent="0.25">
      <c r="B3254" s="169" t="s">
        <v>258</v>
      </c>
      <c r="C3254" s="169" t="s">
        <v>45</v>
      </c>
      <c r="D3254" s="169" t="s">
        <v>9427</v>
      </c>
      <c r="E3254" s="169" t="s">
        <v>60</v>
      </c>
      <c r="F3254" s="245" t="str">
        <f t="shared" si="200"/>
        <v>Dhoz 71</v>
      </c>
      <c r="G3254" s="169" t="s">
        <v>5702</v>
      </c>
      <c r="H3254" s="169" t="s">
        <v>12901</v>
      </c>
      <c r="I3254" s="169" t="str">
        <f t="shared" si="203"/>
        <v>L10_DPVE_091E_DE</v>
      </c>
      <c r="J3254" s="169" t="s">
        <v>13119</v>
      </c>
      <c r="K3254" s="169">
        <f>IFERROR(MATCH(J3254,'Final List'!$B$4:$B$252,0),0)</f>
        <v>0</v>
      </c>
      <c r="L3254" s="169">
        <f>IFERROR(MATCH(J3254,'Final List'!$D$4:$D$252,0),0)</f>
        <v>0</v>
      </c>
      <c r="M3254" s="169">
        <f>IFERROR(MATCH(J3254,'Final List'!$F$4:$F$251,0),0)</f>
        <v>0</v>
      </c>
      <c r="N3254" s="169">
        <f>IFERROR(MATCH(J3254,'Final List'!$H$4:$H$252,0),0)</f>
        <v>0</v>
      </c>
      <c r="O3254" s="169">
        <f>IFERROR(MATCH(J3254,'Final List'!$J$4:$J$252,0),0)</f>
        <v>0</v>
      </c>
      <c r="P3254" s="169">
        <f>IFERROR(MATCH(J3254,'Final List'!$L$4:$L$252,0),0)</f>
        <v>0</v>
      </c>
      <c r="Q3254" s="169">
        <f>IFERROR(MATCH(J3254,'Final List'!$N$4:$N$252,0),0)</f>
        <v>0</v>
      </c>
      <c r="R3254" s="169">
        <f>IFERROR(MATCH(J3254,'Final List'!$P$4:$P$252,0),0)</f>
        <v>0</v>
      </c>
      <c r="S3254" s="169">
        <f t="shared" si="204"/>
        <v>0</v>
      </c>
      <c r="V3254" s="169" t="str">
        <f t="shared" si="202"/>
        <v>NITRO BW</v>
      </c>
      <c r="W3254" s="169" t="s">
        <v>8896</v>
      </c>
    </row>
    <row r="3255" spans="2:23" x14ac:dyDescent="0.25">
      <c r="B3255" s="169" t="s">
        <v>95</v>
      </c>
      <c r="C3255" s="169" t="s">
        <v>57</v>
      </c>
      <c r="D3255" s="169" t="s">
        <v>99</v>
      </c>
      <c r="E3255" s="169" t="s">
        <v>19</v>
      </c>
      <c r="F3255" s="245" t="str">
        <f t="shared" si="200"/>
        <v>DVR 72</v>
      </c>
      <c r="G3255" s="169" t="s">
        <v>12064</v>
      </c>
      <c r="H3255" s="169" t="s">
        <v>9753</v>
      </c>
      <c r="I3255" s="169" t="str">
        <f t="shared" si="203"/>
        <v>L08_JVSPLIT_028W_RAISE</v>
      </c>
      <c r="J3255" s="169" t="s">
        <v>13145</v>
      </c>
      <c r="K3255" s="169">
        <f>IFERROR(MATCH(J3255,'Final List'!$B$4:$B$252,0),0)</f>
        <v>0</v>
      </c>
      <c r="L3255" s="169">
        <f>IFERROR(MATCH(J3255,'Final List'!$D$4:$D$252,0),0)</f>
        <v>0</v>
      </c>
      <c r="M3255" s="169">
        <f>IFERROR(MATCH(J3255,'Final List'!$F$4:$F$251,0),0)</f>
        <v>0</v>
      </c>
      <c r="N3255" s="169">
        <f>IFERROR(MATCH(J3255,'Final List'!$H$4:$H$252,0),0)</f>
        <v>0</v>
      </c>
      <c r="O3255" s="169">
        <f>IFERROR(MATCH(J3255,'Final List'!$J$4:$J$252,0),0)</f>
        <v>0</v>
      </c>
      <c r="P3255" s="169">
        <f>IFERROR(MATCH(J3255,'Final List'!$L$4:$L$252,0),0)</f>
        <v>0</v>
      </c>
      <c r="Q3255" s="169">
        <f>IFERROR(MATCH(J3255,'Final List'!$N$4:$N$252,0),0)</f>
        <v>0</v>
      </c>
      <c r="R3255" s="169">
        <f>IFERROR(MATCH(J3255,'Final List'!$P$4:$P$252,0),0)</f>
        <v>0</v>
      </c>
      <c r="S3255" s="169">
        <f t="shared" si="204"/>
        <v>0</v>
      </c>
      <c r="V3255" s="169" t="str">
        <f t="shared" si="202"/>
        <v>CAPUYAN 2</v>
      </c>
      <c r="W3255" s="169" t="s">
        <v>2715</v>
      </c>
    </row>
    <row r="3256" spans="2:23" x14ac:dyDescent="0.25">
      <c r="B3256" s="169" t="s">
        <v>1166</v>
      </c>
      <c r="C3256" s="169" t="s">
        <v>45</v>
      </c>
      <c r="D3256" s="169" t="s">
        <v>5614</v>
      </c>
      <c r="E3256" s="169" t="s">
        <v>19</v>
      </c>
      <c r="F3256" s="245" t="str">
        <f t="shared" si="200"/>
        <v>DVR 72</v>
      </c>
      <c r="G3256" s="169" t="s">
        <v>367</v>
      </c>
      <c r="I3256" s="169" t="str">
        <f t="shared" si="203"/>
        <v>L11_DPVE_055E_RAISE</v>
      </c>
      <c r="J3256" s="169" t="s">
        <v>13124</v>
      </c>
      <c r="K3256" s="169">
        <f>IFERROR(MATCH(J3256,'Final List'!$B$4:$B$252,0),0)</f>
        <v>0</v>
      </c>
      <c r="L3256" s="169">
        <f>IFERROR(MATCH(J3256,'Final List'!$D$4:$D$252,0),0)</f>
        <v>0</v>
      </c>
      <c r="M3256" s="169">
        <f>IFERROR(MATCH(J3256,'Final List'!$F$4:$F$251,0),0)</f>
        <v>0</v>
      </c>
      <c r="N3256" s="169">
        <f>IFERROR(MATCH(J3256,'Final List'!$H$4:$H$252,0),0)</f>
        <v>0</v>
      </c>
      <c r="O3256" s="169">
        <f>IFERROR(MATCH(J3256,'Final List'!$J$4:$J$252,0),0)</f>
        <v>0</v>
      </c>
      <c r="P3256" s="169">
        <f>IFERROR(MATCH(J3256,'Final List'!$L$4:$L$252,0),0)</f>
        <v>0</v>
      </c>
      <c r="Q3256" s="169">
        <f>IFERROR(MATCH(J3256,'Final List'!$N$4:$N$252,0),0)</f>
        <v>0</v>
      </c>
      <c r="R3256" s="169">
        <f>IFERROR(MATCH(J3256,'Final List'!$P$4:$P$252,0),0)</f>
        <v>0</v>
      </c>
      <c r="S3256" s="169">
        <f t="shared" si="204"/>
        <v>0</v>
      </c>
      <c r="V3256" s="169" t="str">
        <f t="shared" si="202"/>
        <v>LERIO 1</v>
      </c>
      <c r="W3256" s="169" t="s">
        <v>2715</v>
      </c>
    </row>
    <row r="3257" spans="2:23" x14ac:dyDescent="0.25">
      <c r="B3257" s="169" t="s">
        <v>1167</v>
      </c>
      <c r="C3257" s="169" t="s">
        <v>87</v>
      </c>
      <c r="D3257" s="169" t="s">
        <v>5601</v>
      </c>
      <c r="E3257" s="169" t="s">
        <v>63</v>
      </c>
      <c r="F3257" s="245" t="str">
        <f t="shared" si="200"/>
        <v>Dhoz 71</v>
      </c>
      <c r="G3257" s="169" t="s">
        <v>12199</v>
      </c>
      <c r="I3257" s="169" t="str">
        <f t="shared" si="203"/>
        <v>L12_NONE_026E_XCS</v>
      </c>
      <c r="J3257" s="169" t="s">
        <v>13125</v>
      </c>
      <c r="K3257" s="169">
        <f>IFERROR(MATCH(J3257,'Final List'!$B$4:$B$252,0),0)</f>
        <v>0</v>
      </c>
      <c r="L3257" s="169">
        <f>IFERROR(MATCH(J3257,'Final List'!$D$4:$D$252,0),0)</f>
        <v>0</v>
      </c>
      <c r="M3257" s="169">
        <f>IFERROR(MATCH(J3257,'Final List'!$F$4:$F$251,0),0)</f>
        <v>0</v>
      </c>
      <c r="N3257" s="169">
        <f>IFERROR(MATCH(J3257,'Final List'!$H$4:$H$252,0),0)</f>
        <v>0</v>
      </c>
      <c r="O3257" s="169">
        <f>IFERROR(MATCH(J3257,'Final List'!$J$4:$J$252,0),0)</f>
        <v>0</v>
      </c>
      <c r="P3257" s="169">
        <f>IFERROR(MATCH(J3257,'Final List'!$L$4:$L$252,0),0)</f>
        <v>0</v>
      </c>
      <c r="Q3257" s="169">
        <f>IFERROR(MATCH(J3257,'Final List'!$N$4:$N$252,0),0)</f>
        <v>0</v>
      </c>
      <c r="R3257" s="169">
        <f>IFERROR(MATCH(J3257,'Final List'!$P$4:$P$252,0),0)</f>
        <v>0</v>
      </c>
      <c r="S3257" s="169">
        <f t="shared" si="204"/>
        <v>0</v>
      </c>
      <c r="V3257" s="169" t="str">
        <f t="shared" si="202"/>
        <v>NITRO BF 5</v>
      </c>
      <c r="W3257" s="169" t="s">
        <v>8898</v>
      </c>
    </row>
    <row r="3258" spans="2:23" x14ac:dyDescent="0.25">
      <c r="B3258" s="169" t="s">
        <v>1167</v>
      </c>
      <c r="C3258" s="169" t="s">
        <v>39</v>
      </c>
      <c r="D3258" s="169" t="s">
        <v>201</v>
      </c>
      <c r="E3258" s="169" t="s">
        <v>19</v>
      </c>
      <c r="F3258" s="245" t="str">
        <f t="shared" si="200"/>
        <v>DVR 72</v>
      </c>
      <c r="G3258" s="169" t="s">
        <v>12568</v>
      </c>
      <c r="I3258" s="169" t="str">
        <f t="shared" si="203"/>
        <v>L12_JVHW_067E_RAISE</v>
      </c>
      <c r="J3258" s="169" t="s">
        <v>13126</v>
      </c>
      <c r="K3258" s="169">
        <f>IFERROR(MATCH(J3258,'Final List'!$B$4:$B$252,0),0)</f>
        <v>0</v>
      </c>
      <c r="L3258" s="169">
        <f>IFERROR(MATCH(J3258,'Final List'!$D$4:$D$252,0),0)</f>
        <v>0</v>
      </c>
      <c r="M3258" s="169">
        <f>IFERROR(MATCH(J3258,'Final List'!$F$4:$F$251,0),0)</f>
        <v>0</v>
      </c>
      <c r="N3258" s="169">
        <f>IFERROR(MATCH(J3258,'Final List'!$H$4:$H$252,0),0)</f>
        <v>0</v>
      </c>
      <c r="O3258" s="169">
        <f>IFERROR(MATCH(J3258,'Final List'!$J$4:$J$252,0),0)</f>
        <v>0</v>
      </c>
      <c r="P3258" s="169">
        <f>IFERROR(MATCH(J3258,'Final List'!$L$4:$L$252,0),0)</f>
        <v>0</v>
      </c>
      <c r="Q3258" s="169">
        <f>IFERROR(MATCH(J3258,'Final List'!$N$4:$N$252,0),0)</f>
        <v>0</v>
      </c>
      <c r="R3258" s="169">
        <f>IFERROR(MATCH(J3258,'Final List'!$P$4:$P$252,0),0)</f>
        <v>0</v>
      </c>
      <c r="S3258" s="169">
        <f t="shared" si="204"/>
        <v>0</v>
      </c>
      <c r="V3258" s="169" t="str">
        <f t="shared" si="202"/>
        <v>NITRO BP</v>
      </c>
      <c r="W3258" s="169" t="s">
        <v>2715</v>
      </c>
    </row>
    <row r="3259" spans="2:23" x14ac:dyDescent="0.25">
      <c r="B3259" s="169" t="s">
        <v>1166</v>
      </c>
      <c r="C3259" s="169" t="s">
        <v>45</v>
      </c>
      <c r="D3259" s="169" t="s">
        <v>6946</v>
      </c>
      <c r="E3259" s="169" t="s">
        <v>60</v>
      </c>
      <c r="F3259" s="245" t="str">
        <f t="shared" si="200"/>
        <v>Dhoz 71</v>
      </c>
      <c r="G3259" s="169" t="s">
        <v>488</v>
      </c>
      <c r="I3259" s="169" t="str">
        <f t="shared" si="203"/>
        <v>L11_DPVE_081E_DE</v>
      </c>
      <c r="J3259" s="169" t="s">
        <v>13130</v>
      </c>
      <c r="K3259" s="169">
        <f>IFERROR(MATCH(J3259,'Final List'!$B$4:$B$252,0),0)</f>
        <v>0</v>
      </c>
      <c r="L3259" s="169">
        <f>IFERROR(MATCH(J3259,'Final List'!$D$4:$D$252,0),0)</f>
        <v>0</v>
      </c>
      <c r="M3259" s="169">
        <f>IFERROR(MATCH(J3259,'Final List'!$F$4:$F$251,0),0)</f>
        <v>0</v>
      </c>
      <c r="N3259" s="169">
        <f>IFERROR(MATCH(J3259,'Final List'!$H$4:$H$252,0),0)</f>
        <v>0</v>
      </c>
      <c r="O3259" s="169">
        <f>IFERROR(MATCH(J3259,'Final List'!$J$4:$J$252,0),0)</f>
        <v>0</v>
      </c>
      <c r="P3259" s="169">
        <f>IFERROR(MATCH(J3259,'Final List'!$L$4:$L$252,0),0)</f>
        <v>0</v>
      </c>
      <c r="Q3259" s="169">
        <f>IFERROR(MATCH(J3259,'Final List'!$N$4:$N$252,0),0)</f>
        <v>0</v>
      </c>
      <c r="R3259" s="169">
        <f>IFERROR(MATCH(J3259,'Final List'!$P$4:$P$252,0),0)</f>
        <v>0</v>
      </c>
      <c r="S3259" s="169">
        <f t="shared" si="204"/>
        <v>0</v>
      </c>
      <c r="V3259" s="169" t="str">
        <f t="shared" si="202"/>
        <v>BAÑEZ 9</v>
      </c>
      <c r="W3259" s="169" t="s">
        <v>8896</v>
      </c>
    </row>
    <row r="3260" spans="2:23" x14ac:dyDescent="0.25">
      <c r="B3260" s="169" t="s">
        <v>1166</v>
      </c>
      <c r="C3260" s="169" t="s">
        <v>42</v>
      </c>
      <c r="D3260" s="169" t="s">
        <v>5850</v>
      </c>
      <c r="E3260" s="169" t="s">
        <v>19</v>
      </c>
      <c r="F3260" s="245" t="str">
        <f t="shared" si="200"/>
        <v>DVR 72</v>
      </c>
      <c r="G3260" s="169" t="s">
        <v>12984</v>
      </c>
      <c r="I3260" s="169" t="str">
        <f t="shared" si="203"/>
        <v>L11_JV_016E_RAISE</v>
      </c>
      <c r="J3260" s="169" t="s">
        <v>13131</v>
      </c>
      <c r="K3260" s="169">
        <f>IFERROR(MATCH(J3260,'Final List'!$B$4:$B$252,0),0)</f>
        <v>0</v>
      </c>
      <c r="L3260" s="169">
        <f>IFERROR(MATCH(J3260,'Final List'!$D$4:$D$252,0),0)</f>
        <v>0</v>
      </c>
      <c r="M3260" s="169">
        <f>IFERROR(MATCH(J3260,'Final List'!$F$4:$F$251,0),0)</f>
        <v>0</v>
      </c>
      <c r="N3260" s="169">
        <f>IFERROR(MATCH(J3260,'Final List'!$H$4:$H$252,0),0)</f>
        <v>0</v>
      </c>
      <c r="O3260" s="169">
        <f>IFERROR(MATCH(J3260,'Final List'!$J$4:$J$252,0),0)</f>
        <v>0</v>
      </c>
      <c r="P3260" s="169">
        <f>IFERROR(MATCH(J3260,'Final List'!$L$4:$L$252,0),0)</f>
        <v>0</v>
      </c>
      <c r="Q3260" s="169">
        <f>IFERROR(MATCH(J3260,'Final List'!$N$4:$N$252,0),0)</f>
        <v>0</v>
      </c>
      <c r="R3260" s="169">
        <f>IFERROR(MATCH(J3260,'Final List'!$P$4:$P$252,0),0)</f>
        <v>0</v>
      </c>
      <c r="S3260" s="169">
        <f t="shared" si="204"/>
        <v>0</v>
      </c>
      <c r="V3260" s="169" t="str">
        <f t="shared" si="202"/>
        <v>MARTINEZ</v>
      </c>
      <c r="W3260" s="169" t="s">
        <v>2715</v>
      </c>
    </row>
    <row r="3261" spans="2:23" x14ac:dyDescent="0.25">
      <c r="B3261" s="169" t="s">
        <v>1167</v>
      </c>
      <c r="C3261" s="169" t="s">
        <v>45</v>
      </c>
      <c r="D3261" s="169" t="s">
        <v>5742</v>
      </c>
      <c r="E3261" s="169" t="s">
        <v>20</v>
      </c>
      <c r="F3261" s="245" t="str">
        <f t="shared" si="200"/>
        <v>DVW 74</v>
      </c>
      <c r="G3261" s="169" t="s">
        <v>12197</v>
      </c>
      <c r="I3261" s="169" t="str">
        <f t="shared" si="203"/>
        <v>L12_DPVE_040E_WINZE</v>
      </c>
      <c r="J3261" s="169" t="s">
        <v>13135</v>
      </c>
      <c r="K3261" s="169">
        <f>IFERROR(MATCH(J3261,'Final List'!$B$4:$B$252,0),0)</f>
        <v>0</v>
      </c>
      <c r="L3261" s="169">
        <f>IFERROR(MATCH(J3261,'Final List'!$D$4:$D$252,0),0)</f>
        <v>0</v>
      </c>
      <c r="M3261" s="169">
        <f>IFERROR(MATCH(J3261,'Final List'!$F$4:$F$251,0),0)</f>
        <v>0</v>
      </c>
      <c r="N3261" s="169">
        <f>IFERROR(MATCH(J3261,'Final List'!$H$4:$H$252,0),0)</f>
        <v>0</v>
      </c>
      <c r="O3261" s="169">
        <f>IFERROR(MATCH(J3261,'Final List'!$J$4:$J$252,0),0)</f>
        <v>0</v>
      </c>
      <c r="P3261" s="169">
        <f>IFERROR(MATCH(J3261,'Final List'!$L$4:$L$252,0),0)</f>
        <v>0</v>
      </c>
      <c r="Q3261" s="169">
        <f>IFERROR(MATCH(J3261,'Final List'!$N$4:$N$252,0),0)</f>
        <v>0</v>
      </c>
      <c r="R3261" s="169">
        <f>IFERROR(MATCH(J3261,'Final List'!$P$4:$P$252,0),0)</f>
        <v>0</v>
      </c>
      <c r="S3261" s="169">
        <f t="shared" si="204"/>
        <v>0</v>
      </c>
      <c r="V3261" s="169" t="str">
        <f t="shared" si="202"/>
        <v>NITRO BF 2</v>
      </c>
      <c r="W3261" s="169" t="s">
        <v>2706</v>
      </c>
    </row>
    <row r="3262" spans="2:23" x14ac:dyDescent="0.25">
      <c r="B3262" s="169" t="s">
        <v>1166</v>
      </c>
      <c r="C3262" s="169" t="s">
        <v>45</v>
      </c>
      <c r="D3262" s="169" t="s">
        <v>1230</v>
      </c>
      <c r="E3262" s="169" t="s">
        <v>19</v>
      </c>
      <c r="F3262" s="245" t="str">
        <f t="shared" si="200"/>
        <v>DVR 72</v>
      </c>
      <c r="G3262" s="169" t="s">
        <v>12513</v>
      </c>
      <c r="I3262" s="169" t="str">
        <f t="shared" si="203"/>
        <v>L11_DPVE_075E_RAISE</v>
      </c>
      <c r="J3262" s="169" t="s">
        <v>13146</v>
      </c>
      <c r="K3262" s="169">
        <f>IFERROR(MATCH(J3262,'Final List'!$B$4:$B$252,0),0)</f>
        <v>0</v>
      </c>
      <c r="L3262" s="169">
        <f>IFERROR(MATCH(J3262,'Final List'!$D$4:$D$252,0),0)</f>
        <v>0</v>
      </c>
      <c r="M3262" s="169">
        <f>IFERROR(MATCH(J3262,'Final List'!$F$4:$F$251,0),0)</f>
        <v>0</v>
      </c>
      <c r="N3262" s="169">
        <f>IFERROR(MATCH(J3262,'Final List'!$H$4:$H$252,0),0)</f>
        <v>0</v>
      </c>
      <c r="O3262" s="169">
        <f>IFERROR(MATCH(J3262,'Final List'!$J$4:$J$252,0),0)</f>
        <v>0</v>
      </c>
      <c r="P3262" s="169">
        <f>IFERROR(MATCH(J3262,'Final List'!$L$4:$L$252,0),0)</f>
        <v>0</v>
      </c>
      <c r="Q3262" s="169">
        <f>IFERROR(MATCH(J3262,'Final List'!$N$4:$N$252,0),0)</f>
        <v>0</v>
      </c>
      <c r="R3262" s="169">
        <f>IFERROR(MATCH(J3262,'Final List'!$P$4:$P$252,0),0)</f>
        <v>0</v>
      </c>
      <c r="S3262" s="169">
        <f t="shared" si="204"/>
        <v>0</v>
      </c>
      <c r="V3262" s="169" t="str">
        <f t="shared" si="202"/>
        <v>NITRO BK 1</v>
      </c>
      <c r="W3262" s="169" t="s">
        <v>2715</v>
      </c>
    </row>
    <row r="3263" spans="2:23" x14ac:dyDescent="0.25">
      <c r="B3263" s="169" t="s">
        <v>1167</v>
      </c>
      <c r="C3263" s="169" t="s">
        <v>42</v>
      </c>
      <c r="D3263" s="169" t="s">
        <v>132</v>
      </c>
      <c r="E3263" s="169" t="s">
        <v>36</v>
      </c>
      <c r="F3263" s="245" t="str">
        <f t="shared" si="200"/>
        <v>StpS 77</v>
      </c>
      <c r="G3263" s="169" t="s">
        <v>9885</v>
      </c>
      <c r="I3263" s="169" t="str">
        <f t="shared" si="203"/>
        <v>L12_JV_033E_STOPE</v>
      </c>
      <c r="J3263" s="169" t="s">
        <v>13222</v>
      </c>
      <c r="K3263" s="169">
        <f>IFERROR(MATCH(J3263,'Final List'!$B$4:$B$252,0),0)</f>
        <v>0</v>
      </c>
      <c r="L3263" s="169">
        <f>IFERROR(MATCH(J3263,'Final List'!$D$4:$D$252,0),0)</f>
        <v>0</v>
      </c>
      <c r="M3263" s="169">
        <f>IFERROR(MATCH(J3263,'Final List'!$F$4:$F$251,0),0)</f>
        <v>0</v>
      </c>
      <c r="N3263" s="169">
        <f>IFERROR(MATCH(J3263,'Final List'!$H$4:$H$252,0),0)</f>
        <v>0</v>
      </c>
      <c r="O3263" s="169">
        <f>IFERROR(MATCH(J3263,'Final List'!$J$4:$J$252,0),0)</f>
        <v>0</v>
      </c>
      <c r="P3263" s="169">
        <f>IFERROR(MATCH(J3263,'Final List'!$L$4:$L$252,0),0)</f>
        <v>0</v>
      </c>
      <c r="Q3263" s="169">
        <f>IFERROR(MATCH(J3263,'Final List'!$N$4:$N$252,0),0)</f>
        <v>0</v>
      </c>
      <c r="R3263" s="169">
        <f>IFERROR(MATCH(J3263,'Final List'!$P$4:$P$252,0),0)</f>
        <v>0</v>
      </c>
      <c r="S3263" s="169">
        <f t="shared" si="204"/>
        <v>0</v>
      </c>
      <c r="T3263" s="169" t="s">
        <v>68</v>
      </c>
      <c r="V3263" s="169" t="str">
        <f t="shared" si="202"/>
        <v>CAYMAN 2</v>
      </c>
      <c r="W3263" s="169" t="s">
        <v>2713</v>
      </c>
    </row>
    <row r="3264" spans="2:23" x14ac:dyDescent="0.25">
      <c r="B3264" s="169" t="s">
        <v>1166</v>
      </c>
      <c r="C3264" s="169" t="s">
        <v>45</v>
      </c>
      <c r="D3264" s="169" t="s">
        <v>149</v>
      </c>
      <c r="E3264" s="169" t="s">
        <v>19</v>
      </c>
      <c r="F3264" s="245" t="str">
        <f t="shared" si="200"/>
        <v>DVR 72</v>
      </c>
      <c r="G3264" s="169" t="s">
        <v>12070</v>
      </c>
      <c r="I3264" s="169" t="str">
        <f t="shared" si="203"/>
        <v>L11_DPVE_021E_RAISE</v>
      </c>
      <c r="J3264" s="169" t="s">
        <v>13148</v>
      </c>
      <c r="K3264" s="169">
        <f>IFERROR(MATCH(J3264,'Final List'!$B$4:$B$252,0),0)</f>
        <v>0</v>
      </c>
      <c r="L3264" s="169">
        <f>IFERROR(MATCH(J3264,'Final List'!$D$4:$D$252,0),0)</f>
        <v>0</v>
      </c>
      <c r="M3264" s="169">
        <f>IFERROR(MATCH(J3264,'Final List'!$F$4:$F$251,0),0)</f>
        <v>0</v>
      </c>
      <c r="N3264" s="169">
        <f>IFERROR(MATCH(J3264,'Final List'!$H$4:$H$252,0),0)</f>
        <v>0</v>
      </c>
      <c r="O3264" s="169">
        <f>IFERROR(MATCH(J3264,'Final List'!$J$4:$J$252,0),0)</f>
        <v>0</v>
      </c>
      <c r="P3264" s="169">
        <f>IFERROR(MATCH(J3264,'Final List'!$L$4:$L$252,0),0)</f>
        <v>0</v>
      </c>
      <c r="Q3264" s="169">
        <f>IFERROR(MATCH(J3264,'Final List'!$N$4:$N$252,0),0)</f>
        <v>0</v>
      </c>
      <c r="R3264" s="169">
        <f>IFERROR(MATCH(J3264,'Final List'!$P$4:$P$252,0),0)</f>
        <v>0</v>
      </c>
      <c r="S3264" s="169">
        <f t="shared" si="204"/>
        <v>0</v>
      </c>
      <c r="V3264" s="169" t="str">
        <f t="shared" si="202"/>
        <v>NITRO BB</v>
      </c>
      <c r="W3264" s="169" t="s">
        <v>2715</v>
      </c>
    </row>
    <row r="3265" spans="2:23" x14ac:dyDescent="0.25">
      <c r="B3265" s="169" t="s">
        <v>1167</v>
      </c>
      <c r="C3265" s="169" t="s">
        <v>56</v>
      </c>
      <c r="D3265" s="169" t="s">
        <v>146</v>
      </c>
      <c r="E3265" s="169" t="s">
        <v>61</v>
      </c>
      <c r="F3265" s="245" t="str">
        <f t="shared" si="200"/>
        <v>Dhoz 71</v>
      </c>
      <c r="G3265" s="169" t="s">
        <v>6930</v>
      </c>
      <c r="I3265" s="169" t="str">
        <f t="shared" si="203"/>
        <v>L12_GHVFW_030E_DW</v>
      </c>
      <c r="J3265" s="169" t="s">
        <v>13149</v>
      </c>
      <c r="K3265" s="169">
        <f>IFERROR(MATCH(J3265,'Final List'!$B$4:$B$252,0),0)</f>
        <v>0</v>
      </c>
      <c r="L3265" s="169">
        <f>IFERROR(MATCH(J3265,'Final List'!$D$4:$D$252,0),0)</f>
        <v>0</v>
      </c>
      <c r="M3265" s="169">
        <f>IFERROR(MATCH(J3265,'Final List'!$F$4:$F$251,0),0)</f>
        <v>0</v>
      </c>
      <c r="N3265" s="169">
        <f>IFERROR(MATCH(J3265,'Final List'!$H$4:$H$252,0),0)</f>
        <v>0</v>
      </c>
      <c r="O3265" s="169">
        <f>IFERROR(MATCH(J3265,'Final List'!$J$4:$J$252,0),0)</f>
        <v>0</v>
      </c>
      <c r="P3265" s="169">
        <f>IFERROR(MATCH(J3265,'Final List'!$L$4:$L$252,0),0)</f>
        <v>0</v>
      </c>
      <c r="Q3265" s="169">
        <f>IFERROR(MATCH(J3265,'Final List'!$N$4:$N$252,0),0)</f>
        <v>0</v>
      </c>
      <c r="R3265" s="169">
        <f>IFERROR(MATCH(J3265,'Final List'!$P$4:$P$252,0),0)</f>
        <v>0</v>
      </c>
      <c r="S3265" s="169">
        <f t="shared" si="204"/>
        <v>0</v>
      </c>
      <c r="V3265" s="169" t="str">
        <f t="shared" si="202"/>
        <v>DUHIG, P1</v>
      </c>
      <c r="W3265" s="169" t="s">
        <v>8896</v>
      </c>
    </row>
    <row r="3266" spans="2:23" x14ac:dyDescent="0.25">
      <c r="B3266" s="169" t="s">
        <v>1167</v>
      </c>
      <c r="C3266" s="169" t="s">
        <v>45</v>
      </c>
      <c r="D3266" s="169" t="s">
        <v>122</v>
      </c>
      <c r="E3266" s="169" t="s">
        <v>19</v>
      </c>
      <c r="F3266" s="245" t="str">
        <f t="shared" si="200"/>
        <v>DVR 72</v>
      </c>
      <c r="G3266" s="169" t="s">
        <v>12547</v>
      </c>
      <c r="I3266" s="169" t="str">
        <f t="shared" si="203"/>
        <v>L12_DPVE_025E_RAISE</v>
      </c>
      <c r="J3266" s="169" t="s">
        <v>13154</v>
      </c>
      <c r="K3266" s="169">
        <f>IFERROR(MATCH(J3266,'Final List'!$B$4:$B$252,0),0)</f>
        <v>0</v>
      </c>
      <c r="L3266" s="169">
        <f>IFERROR(MATCH(J3266,'Final List'!$D$4:$D$252,0),0)</f>
        <v>0</v>
      </c>
      <c r="M3266" s="169">
        <f>IFERROR(MATCH(J3266,'Final List'!$F$4:$F$251,0),0)</f>
        <v>0</v>
      </c>
      <c r="N3266" s="169">
        <f>IFERROR(MATCH(J3266,'Final List'!$H$4:$H$252,0),0)</f>
        <v>0</v>
      </c>
      <c r="O3266" s="169">
        <f>IFERROR(MATCH(J3266,'Final List'!$J$4:$J$252,0),0)</f>
        <v>0</v>
      </c>
      <c r="P3266" s="169">
        <f>IFERROR(MATCH(J3266,'Final List'!$L$4:$L$252,0),0)</f>
        <v>0</v>
      </c>
      <c r="Q3266" s="169">
        <f>IFERROR(MATCH(J3266,'Final List'!$N$4:$N$252,0),0)</f>
        <v>0</v>
      </c>
      <c r="R3266" s="169">
        <f>IFERROR(MATCH(J3266,'Final List'!$P$4:$P$252,0),0)</f>
        <v>0</v>
      </c>
      <c r="S3266" s="169">
        <f t="shared" si="204"/>
        <v>0</v>
      </c>
      <c r="V3266" s="169" t="str">
        <f t="shared" si="202"/>
        <v>NITRO BN</v>
      </c>
      <c r="W3266" s="169" t="s">
        <v>2715</v>
      </c>
    </row>
    <row r="3267" spans="2:23" x14ac:dyDescent="0.25">
      <c r="B3267" s="169" t="s">
        <v>1167</v>
      </c>
      <c r="C3267" s="169" t="s">
        <v>59</v>
      </c>
      <c r="D3267" s="169" t="s">
        <v>5889</v>
      </c>
      <c r="E3267" s="169" t="s">
        <v>19</v>
      </c>
      <c r="F3267" s="245" t="str">
        <f t="shared" ref="F3267:F3329" si="205">IF(OR(E3267="XCN",E3267="DE",E3267="DW",E3267="DN",E3267="XCS",E3267="XCE",E3267="XCW",E3267="SUMP",E3267="BYPASS",E3267="CHAMBER",E3267="DRAIN HOLE",E3267="DRILLING CHAMBER",E3267="DE_ISL",E3267="DW_ISL",E3267="REHAB"),"Dhoz 71",IF(OR(E3267="RAISE",E3267="RAISE_ISL"),"DVR 72",IF(E3267="ALIMAK","DVA 73",IF(E3267="WINZE","DVW 74",IF(E3267="SHAFT","DVS 75",IF(AND(E3267="WINZE STOPE",T3267="S"),"RobC 80",IF(AND(E3267="STOPE",T3267="S"),"StpS 77",IF(AND(E3267="WINZE STOPE",T3267="L"),"RobC 80",IF(AND(E3267="STOPE",T3267="L"),"StpL 78",IF(AND(E3267="WINZE STOPE PREP",T3267="S"),"RobC 80",IF(AND(E3267="STOPE PREP",T3267="S"),"StpS 77",IF(AND(E3267="WINZE STOPE PREP",T3267="L"),"RobC 80",IF(AND(E3267="STOPE PREP",T3267="L"),"StpL 78",IF(AND(E3267="ROBBING",T3267="L"),"RobC 80",IF(AND(E3267="ROBBING",T3267="S"),"RobS 79",0)))))))))))))))</f>
        <v>DVR 72</v>
      </c>
      <c r="G3267" s="169" t="s">
        <v>12199</v>
      </c>
      <c r="H3267" s="169" t="s">
        <v>10002</v>
      </c>
      <c r="I3267" s="169" t="str">
        <f t="shared" si="203"/>
        <v>L12_GHVHW_077E_RAISE</v>
      </c>
      <c r="J3267" s="169" t="s">
        <v>13436</v>
      </c>
      <c r="K3267" s="169">
        <f>IFERROR(MATCH(J3267,'Final List'!$B$4:$B$252,0),0)</f>
        <v>0</v>
      </c>
      <c r="L3267" s="169">
        <f>IFERROR(MATCH(J3267,'Final List'!$D$4:$D$252,0),0)</f>
        <v>0</v>
      </c>
      <c r="M3267" s="169">
        <f>IFERROR(MATCH(J3267,'Final List'!$F$4:$F$251,0),0)</f>
        <v>0</v>
      </c>
      <c r="N3267" s="169">
        <f>IFERROR(MATCH(J3267,'Final List'!$H$4:$H$252,0),0)</f>
        <v>0</v>
      </c>
      <c r="O3267" s="169">
        <f>IFERROR(MATCH(J3267,'Final List'!$J$4:$J$252,0),0)</f>
        <v>0</v>
      </c>
      <c r="P3267" s="169">
        <f>IFERROR(MATCH(J3267,'Final List'!$L$4:$L$252,0),0)</f>
        <v>0</v>
      </c>
      <c r="Q3267" s="169">
        <f>IFERROR(MATCH(J3267,'Final List'!$N$4:$N$252,0),0)</f>
        <v>0</v>
      </c>
      <c r="R3267" s="169">
        <f>IFERROR(MATCH(J3267,'Final List'!$P$4:$P$252,0),0)</f>
        <v>0</v>
      </c>
      <c r="S3267" s="169">
        <f t="shared" si="204"/>
        <v>0</v>
      </c>
      <c r="V3267" s="169" t="str">
        <f t="shared" si="202"/>
        <v>CAYMAN 3</v>
      </c>
      <c r="W3267" s="169" t="s">
        <v>2715</v>
      </c>
    </row>
    <row r="3268" spans="2:23" x14ac:dyDescent="0.25">
      <c r="B3268" s="169" t="s">
        <v>95</v>
      </c>
      <c r="C3268" s="169" t="s">
        <v>45</v>
      </c>
      <c r="D3268" s="169" t="s">
        <v>195</v>
      </c>
      <c r="E3268" s="169" t="s">
        <v>19</v>
      </c>
      <c r="F3268" s="245" t="str">
        <f t="shared" si="205"/>
        <v>DVR 72</v>
      </c>
      <c r="G3268" s="169" t="s">
        <v>9753</v>
      </c>
      <c r="H3268" s="169" t="s">
        <v>12064</v>
      </c>
      <c r="I3268" s="169" t="str">
        <f t="shared" si="203"/>
        <v>L08_DPVE_008W_RAISE</v>
      </c>
      <c r="J3268" s="169" t="s">
        <v>13160</v>
      </c>
      <c r="K3268" s="169">
        <f>IFERROR(MATCH(J3268,'Final List'!$B$4:$B$252,0),0)</f>
        <v>0</v>
      </c>
      <c r="L3268" s="169">
        <f>IFERROR(MATCH(J3268,'Final List'!$D$4:$D$252,0),0)</f>
        <v>0</v>
      </c>
      <c r="M3268" s="169">
        <f>IFERROR(MATCH(J3268,'Final List'!$F$4:$F$251,0),0)</f>
        <v>0</v>
      </c>
      <c r="N3268" s="169">
        <f>IFERROR(MATCH(J3268,'Final List'!$H$4:$H$252,0),0)</f>
        <v>0</v>
      </c>
      <c r="O3268" s="169">
        <f>IFERROR(MATCH(J3268,'Final List'!$J$4:$J$252,0),0)</f>
        <v>0</v>
      </c>
      <c r="P3268" s="169">
        <f>IFERROR(MATCH(J3268,'Final List'!$L$4:$L$252,0),0)</f>
        <v>0</v>
      </c>
      <c r="Q3268" s="169">
        <f>IFERROR(MATCH(J3268,'Final List'!$N$4:$N$252,0),0)</f>
        <v>0</v>
      </c>
      <c r="R3268" s="169">
        <f>IFERROR(MATCH(J3268,'Final List'!$P$4:$P$252,0),0)</f>
        <v>0</v>
      </c>
      <c r="S3268" s="169">
        <f t="shared" si="204"/>
        <v>0</v>
      </c>
      <c r="V3268" s="169" t="str">
        <f t="shared" si="202"/>
        <v>NITRO AX</v>
      </c>
      <c r="W3268" s="169" t="s">
        <v>2715</v>
      </c>
    </row>
    <row r="3269" spans="2:23" x14ac:dyDescent="0.25">
      <c r="B3269" s="169" t="s">
        <v>1167</v>
      </c>
      <c r="C3269" s="169" t="s">
        <v>39</v>
      </c>
      <c r="D3269" s="169" t="s">
        <v>284</v>
      </c>
      <c r="E3269" s="169" t="s">
        <v>19</v>
      </c>
      <c r="F3269" s="245" t="str">
        <f t="shared" si="205"/>
        <v>DVR 72</v>
      </c>
      <c r="G3269" s="169" t="s">
        <v>336</v>
      </c>
      <c r="I3269" s="169" t="str">
        <f t="shared" si="203"/>
        <v>L12_JVHW_061E_RAISE</v>
      </c>
      <c r="J3269" s="169" t="s">
        <v>13161</v>
      </c>
      <c r="K3269" s="169">
        <f>IFERROR(MATCH(J3269,'Final List'!$B$4:$B$252,0),0)</f>
        <v>0</v>
      </c>
      <c r="L3269" s="169">
        <f>IFERROR(MATCH(J3269,'Final List'!$D$4:$D$252,0),0)</f>
        <v>0</v>
      </c>
      <c r="M3269" s="169">
        <f>IFERROR(MATCH(J3269,'Final List'!$F$4:$F$251,0),0)</f>
        <v>0</v>
      </c>
      <c r="N3269" s="169">
        <f>IFERROR(MATCH(J3269,'Final List'!$H$4:$H$252,0),0)</f>
        <v>0</v>
      </c>
      <c r="O3269" s="169">
        <f>IFERROR(MATCH(J3269,'Final List'!$J$4:$J$252,0),0)</f>
        <v>0</v>
      </c>
      <c r="P3269" s="169">
        <f>IFERROR(MATCH(J3269,'Final List'!$L$4:$L$252,0),0)</f>
        <v>0</v>
      </c>
      <c r="Q3269" s="169">
        <f>IFERROR(MATCH(J3269,'Final List'!$N$4:$N$252,0),0)</f>
        <v>0</v>
      </c>
      <c r="R3269" s="169">
        <f>IFERROR(MATCH(J3269,'Final List'!$P$4:$P$252,0),0)</f>
        <v>0</v>
      </c>
      <c r="S3269" s="169">
        <f t="shared" si="204"/>
        <v>0</v>
      </c>
      <c r="V3269" s="169" t="str">
        <f t="shared" si="202"/>
        <v>BALANGHIG 1</v>
      </c>
      <c r="W3269" s="169" t="s">
        <v>2715</v>
      </c>
    </row>
    <row r="3270" spans="2:23" x14ac:dyDescent="0.25">
      <c r="B3270" s="169" t="s">
        <v>12320</v>
      </c>
      <c r="C3270" s="169" t="s">
        <v>42</v>
      </c>
      <c r="D3270" s="169" t="s">
        <v>176</v>
      </c>
      <c r="E3270" s="169" t="s">
        <v>60</v>
      </c>
      <c r="F3270" s="245" t="str">
        <f t="shared" si="205"/>
        <v>Dhoz 71</v>
      </c>
      <c r="G3270" s="169" t="s">
        <v>5704</v>
      </c>
      <c r="I3270" s="169" t="str">
        <f t="shared" si="203"/>
        <v>L425_JV_057E_DE</v>
      </c>
      <c r="J3270" s="169" t="s">
        <v>13165</v>
      </c>
      <c r="K3270" s="169">
        <f>IFERROR(MATCH(J3270,'Final List'!$B$4:$B$252,0),0)</f>
        <v>0</v>
      </c>
      <c r="L3270" s="169">
        <f>IFERROR(MATCH(J3270,'Final List'!$D$4:$D$252,0),0)</f>
        <v>0</v>
      </c>
      <c r="M3270" s="169">
        <f>IFERROR(MATCH(J3270,'Final List'!$F$4:$F$251,0),0)</f>
        <v>0</v>
      </c>
      <c r="N3270" s="169">
        <f>IFERROR(MATCH(J3270,'Final List'!$H$4:$H$252,0),0)</f>
        <v>0</v>
      </c>
      <c r="O3270" s="169">
        <f>IFERROR(MATCH(J3270,'Final List'!$J$4:$J$252,0),0)</f>
        <v>0</v>
      </c>
      <c r="P3270" s="169">
        <f>IFERROR(MATCH(J3270,'Final List'!$L$4:$L$252,0),0)</f>
        <v>0</v>
      </c>
      <c r="Q3270" s="169">
        <f>IFERROR(MATCH(J3270,'Final List'!$N$4:$N$252,0),0)</f>
        <v>0</v>
      </c>
      <c r="R3270" s="169">
        <f>IFERROR(MATCH(J3270,'Final List'!$P$4:$P$252,0),0)</f>
        <v>0</v>
      </c>
      <c r="S3270" s="169">
        <f t="shared" si="204"/>
        <v>0</v>
      </c>
      <c r="V3270" s="169" t="str">
        <f t="shared" si="202"/>
        <v>OLIVEROS 3</v>
      </c>
      <c r="W3270" s="169" t="s">
        <v>8896</v>
      </c>
    </row>
    <row r="3271" spans="2:23" x14ac:dyDescent="0.25">
      <c r="B3271" s="169" t="s">
        <v>8904</v>
      </c>
      <c r="C3271" s="169" t="s">
        <v>87</v>
      </c>
      <c r="D3271" s="169" t="s">
        <v>5689</v>
      </c>
      <c r="E3271" s="169" t="s">
        <v>22</v>
      </c>
      <c r="F3271" s="245" t="s">
        <v>14362</v>
      </c>
      <c r="G3271" s="169" t="s">
        <v>6216</v>
      </c>
      <c r="I3271" s="169" t="str">
        <f t="shared" si="203"/>
        <v>L03_NONE_003E_SPECIAL PROJECT</v>
      </c>
      <c r="J3271" s="169" t="s">
        <v>13166</v>
      </c>
      <c r="K3271" s="169">
        <f>IFERROR(MATCH(J3271,'Final List'!$B$4:$B$252,0),0)</f>
        <v>0</v>
      </c>
      <c r="L3271" s="169">
        <f>IFERROR(MATCH(J3271,'Final List'!$D$4:$D$252,0),0)</f>
        <v>0</v>
      </c>
      <c r="M3271" s="169">
        <f>IFERROR(MATCH(J3271,'Final List'!$F$4:$F$251,0),0)</f>
        <v>0</v>
      </c>
      <c r="N3271" s="169">
        <f>IFERROR(MATCH(J3271,'Final List'!$H$4:$H$252,0),0)</f>
        <v>0</v>
      </c>
      <c r="O3271" s="169">
        <f>IFERROR(MATCH(J3271,'Final List'!$J$4:$J$252,0),0)</f>
        <v>0</v>
      </c>
      <c r="P3271" s="169">
        <f>IFERROR(MATCH(J3271,'Final List'!$L$4:$L$252,0),0)</f>
        <v>0</v>
      </c>
      <c r="Q3271" s="169">
        <f>IFERROR(MATCH(J3271,'Final List'!$N$4:$N$252,0),0)</f>
        <v>0</v>
      </c>
      <c r="R3271" s="169">
        <f>IFERROR(MATCH(J3271,'Final List'!$P$4:$P$252,0),0)</f>
        <v>0</v>
      </c>
      <c r="S3271" s="169">
        <f t="shared" si="204"/>
        <v>0</v>
      </c>
      <c r="V3271" s="169" t="str">
        <f t="shared" si="202"/>
        <v>FERNANDEZ</v>
      </c>
      <c r="W3271" s="169" t="s">
        <v>2714</v>
      </c>
    </row>
    <row r="3272" spans="2:23" x14ac:dyDescent="0.25">
      <c r="B3272" s="169" t="s">
        <v>91</v>
      </c>
      <c r="C3272" s="169" t="s">
        <v>87</v>
      </c>
      <c r="D3272" s="169" t="s">
        <v>103</v>
      </c>
      <c r="E3272" s="169" t="s">
        <v>22</v>
      </c>
      <c r="F3272" s="245" t="s">
        <v>14362</v>
      </c>
      <c r="G3272" s="169" t="s">
        <v>6216</v>
      </c>
      <c r="I3272" s="169" t="str">
        <f t="shared" si="203"/>
        <v>L04_NONE_005E_SPECIAL PROJECT</v>
      </c>
      <c r="J3272" s="169" t="s">
        <v>13167</v>
      </c>
      <c r="K3272" s="169">
        <f>IFERROR(MATCH(J3272,'Final List'!$B$4:$B$252,0),0)</f>
        <v>0</v>
      </c>
      <c r="L3272" s="169">
        <f>IFERROR(MATCH(J3272,'Final List'!$D$4:$D$252,0),0)</f>
        <v>0</v>
      </c>
      <c r="M3272" s="169">
        <f>IFERROR(MATCH(J3272,'Final List'!$F$4:$F$251,0),0)</f>
        <v>0</v>
      </c>
      <c r="N3272" s="169">
        <f>IFERROR(MATCH(J3272,'Final List'!$H$4:$H$252,0),0)</f>
        <v>0</v>
      </c>
      <c r="O3272" s="169">
        <f>IFERROR(MATCH(J3272,'Final List'!$J$4:$J$252,0),0)</f>
        <v>0</v>
      </c>
      <c r="P3272" s="169">
        <f>IFERROR(MATCH(J3272,'Final List'!$L$4:$L$252,0),0)</f>
        <v>0</v>
      </c>
      <c r="Q3272" s="169">
        <f>IFERROR(MATCH(J3272,'Final List'!$N$4:$N$252,0),0)</f>
        <v>0</v>
      </c>
      <c r="R3272" s="169">
        <f>IFERROR(MATCH(J3272,'Final List'!$P$4:$P$252,0),0)</f>
        <v>0</v>
      </c>
      <c r="S3272" s="169">
        <f t="shared" si="204"/>
        <v>0</v>
      </c>
      <c r="V3272" s="169" t="str">
        <f t="shared" si="202"/>
        <v>FERNANDEZ</v>
      </c>
      <c r="W3272" s="169" t="s">
        <v>2714</v>
      </c>
    </row>
    <row r="3273" spans="2:23" x14ac:dyDescent="0.25">
      <c r="B3273" s="169" t="s">
        <v>258</v>
      </c>
      <c r="C3273" s="169" t="s">
        <v>87</v>
      </c>
      <c r="D3273" s="169" t="s">
        <v>97</v>
      </c>
      <c r="E3273" s="169" t="s">
        <v>37</v>
      </c>
      <c r="F3273" s="245" t="str">
        <f t="shared" si="205"/>
        <v>Dhoz 71</v>
      </c>
      <c r="G3273" t="s">
        <v>1510</v>
      </c>
      <c r="I3273" s="169" t="str">
        <f t="shared" si="203"/>
        <v>L10_NONE_012W_XCN</v>
      </c>
      <c r="J3273" s="169" t="s">
        <v>13168</v>
      </c>
      <c r="K3273" s="169">
        <f>IFERROR(MATCH(J3273,'Final List'!$B$4:$B$252,0),0)</f>
        <v>0</v>
      </c>
      <c r="L3273" s="169">
        <f>IFERROR(MATCH(J3273,'Final List'!$D$4:$D$252,0),0)</f>
        <v>0</v>
      </c>
      <c r="M3273" s="169">
        <f>IFERROR(MATCH(J3273,'Final List'!$F$4:$F$251,0),0)</f>
        <v>0</v>
      </c>
      <c r="N3273" s="169">
        <f>IFERROR(MATCH(J3273,'Final List'!$H$4:$H$252,0),0)</f>
        <v>0</v>
      </c>
      <c r="O3273" s="169">
        <f>IFERROR(MATCH(J3273,'Final List'!$J$4:$J$252,0),0)</f>
        <v>0</v>
      </c>
      <c r="P3273" s="169">
        <f>IFERROR(MATCH(J3273,'Final List'!$L$4:$L$252,0),0)</f>
        <v>0</v>
      </c>
      <c r="Q3273" s="169">
        <f>IFERROR(MATCH(J3273,'Final List'!$N$4:$N$252,0),0)</f>
        <v>134</v>
      </c>
      <c r="R3273" s="169">
        <f>IFERROR(MATCH(J3273,'Final List'!$P$4:$P$252,0),0)</f>
        <v>0</v>
      </c>
      <c r="S3273" s="169">
        <f t="shared" si="204"/>
        <v>134</v>
      </c>
      <c r="V3273" s="169" t="str">
        <f t="shared" si="202"/>
        <v>DELOS REYES</v>
      </c>
      <c r="W3273" s="169" t="s">
        <v>8898</v>
      </c>
    </row>
    <row r="3274" spans="2:23" x14ac:dyDescent="0.25">
      <c r="B3274" s="169" t="s">
        <v>96</v>
      </c>
      <c r="C3274" s="169" t="s">
        <v>45</v>
      </c>
      <c r="D3274" s="169" t="s">
        <v>9156</v>
      </c>
      <c r="E3274" s="169" t="s">
        <v>19</v>
      </c>
      <c r="F3274" s="245" t="str">
        <f t="shared" si="205"/>
        <v>DVR 72</v>
      </c>
      <c r="G3274" s="169" t="s">
        <v>6621</v>
      </c>
      <c r="I3274" s="169" t="str">
        <f t="shared" si="203"/>
        <v>L09_DPVE_092E_RAISE</v>
      </c>
      <c r="J3274" s="169" t="s">
        <v>13171</v>
      </c>
      <c r="K3274" s="169">
        <f>IFERROR(MATCH(J3274,'Final List'!$B$4:$B$252,0),0)</f>
        <v>0</v>
      </c>
      <c r="L3274" s="169">
        <f>IFERROR(MATCH(J3274,'Final List'!$D$4:$D$252,0),0)</f>
        <v>0</v>
      </c>
      <c r="M3274" s="169">
        <f>IFERROR(MATCH(J3274,'Final List'!$F$4:$F$251,0),0)</f>
        <v>0</v>
      </c>
      <c r="N3274" s="169">
        <f>IFERROR(MATCH(J3274,'Final List'!$H$4:$H$252,0),0)</f>
        <v>0</v>
      </c>
      <c r="O3274" s="169">
        <f>IFERROR(MATCH(J3274,'Final List'!$J$4:$J$252,0),0)</f>
        <v>0</v>
      </c>
      <c r="P3274" s="169">
        <f>IFERROR(MATCH(J3274,'Final List'!$L$4:$L$252,0),0)</f>
        <v>0</v>
      </c>
      <c r="Q3274" s="169">
        <f>IFERROR(MATCH(J3274,'Final List'!$N$4:$N$252,0),0)</f>
        <v>0</v>
      </c>
      <c r="R3274" s="169">
        <f>IFERROR(MATCH(J3274,'Final List'!$P$4:$P$252,0),0)</f>
        <v>0</v>
      </c>
      <c r="S3274" s="169">
        <f t="shared" si="204"/>
        <v>0</v>
      </c>
      <c r="V3274" s="169" t="str">
        <f t="shared" si="202"/>
        <v>DELOS REYES V1</v>
      </c>
      <c r="W3274" s="169" t="s">
        <v>2715</v>
      </c>
    </row>
    <row r="3275" spans="2:23" x14ac:dyDescent="0.25">
      <c r="B3275" s="169" t="s">
        <v>1167</v>
      </c>
      <c r="C3275" s="169" t="s">
        <v>56</v>
      </c>
      <c r="D3275" s="169" t="s">
        <v>289</v>
      </c>
      <c r="E3275" s="169" t="s">
        <v>36</v>
      </c>
      <c r="F3275" s="245" t="str">
        <f t="shared" si="205"/>
        <v>StpS 77</v>
      </c>
      <c r="G3275" s="169" t="s">
        <v>12280</v>
      </c>
      <c r="I3275" s="169" t="str">
        <f t="shared" si="203"/>
        <v>L12_GHVFW_059E_STOPE</v>
      </c>
      <c r="J3275" s="169" t="s">
        <v>13262</v>
      </c>
      <c r="K3275" s="169">
        <f>IFERROR(MATCH(J3275,'Final List'!$B$4:$B$252,0),0)</f>
        <v>0</v>
      </c>
      <c r="L3275" s="169">
        <f>IFERROR(MATCH(J3275,'Final List'!$D$4:$D$252,0),0)</f>
        <v>0</v>
      </c>
      <c r="M3275" s="169">
        <f>IFERROR(MATCH(J3275,'Final List'!$F$4:$F$251,0),0)</f>
        <v>0</v>
      </c>
      <c r="N3275" s="169">
        <f>IFERROR(MATCH(J3275,'Final List'!$H$4:$H$252,0),0)</f>
        <v>0</v>
      </c>
      <c r="O3275" s="169">
        <f>IFERROR(MATCH(J3275,'Final List'!$J$4:$J$252,0),0)</f>
        <v>0</v>
      </c>
      <c r="P3275" s="169">
        <f>IFERROR(MATCH(J3275,'Final List'!$L$4:$L$252,0),0)</f>
        <v>0</v>
      </c>
      <c r="Q3275" s="169">
        <f>IFERROR(MATCH(J3275,'Final List'!$N$4:$N$252,0),0)</f>
        <v>0</v>
      </c>
      <c r="R3275" s="169">
        <f>IFERROR(MATCH(J3275,'Final List'!$P$4:$P$252,0),0)</f>
        <v>0</v>
      </c>
      <c r="S3275" s="169">
        <f t="shared" si="204"/>
        <v>0</v>
      </c>
      <c r="T3275" s="169" t="s">
        <v>68</v>
      </c>
      <c r="V3275" s="169" t="str">
        <f t="shared" si="202"/>
        <v>NITRO BF 6</v>
      </c>
      <c r="W3275" s="169" t="s">
        <v>2713</v>
      </c>
    </row>
    <row r="3276" spans="2:23" x14ac:dyDescent="0.25">
      <c r="B3276" s="169" t="s">
        <v>1166</v>
      </c>
      <c r="C3276" s="169" t="s">
        <v>45</v>
      </c>
      <c r="D3276" s="169" t="s">
        <v>5742</v>
      </c>
      <c r="E3276" s="169" t="s">
        <v>36</v>
      </c>
      <c r="F3276" s="245" t="str">
        <f t="shared" si="205"/>
        <v>StpS 77</v>
      </c>
      <c r="G3276" s="169" t="s">
        <v>340</v>
      </c>
      <c r="I3276" s="169" t="str">
        <f t="shared" si="203"/>
        <v>L11_DPVE_040E_STOPE</v>
      </c>
      <c r="J3276" s="169" t="s">
        <v>13180</v>
      </c>
      <c r="K3276" s="169">
        <f>IFERROR(MATCH(J3276,'Final List'!$B$4:$B$252,0),0)</f>
        <v>0</v>
      </c>
      <c r="L3276" s="169">
        <f>IFERROR(MATCH(J3276,'Final List'!$D$4:$D$252,0),0)</f>
        <v>0</v>
      </c>
      <c r="M3276" s="169">
        <f>IFERROR(MATCH(J3276,'Final List'!$F$4:$F$251,0),0)</f>
        <v>0</v>
      </c>
      <c r="N3276" s="169">
        <f>IFERROR(MATCH(J3276,'Final List'!$H$4:$H$252,0),0)</f>
        <v>0</v>
      </c>
      <c r="O3276" s="169">
        <f>IFERROR(MATCH(J3276,'Final List'!$J$4:$J$252,0),0)</f>
        <v>0</v>
      </c>
      <c r="P3276" s="169">
        <f>IFERROR(MATCH(J3276,'Final List'!$L$4:$L$252,0),0)</f>
        <v>0</v>
      </c>
      <c r="Q3276" s="169">
        <f>IFERROR(MATCH(J3276,'Final List'!$N$4:$N$252,0),0)</f>
        <v>0</v>
      </c>
      <c r="R3276" s="169">
        <f>IFERROR(MATCH(J3276,'Final List'!$P$4:$P$252,0),0)</f>
        <v>0</v>
      </c>
      <c r="S3276" s="169">
        <f t="shared" si="204"/>
        <v>0</v>
      </c>
      <c r="T3276" s="169" t="s">
        <v>68</v>
      </c>
      <c r="V3276" s="169" t="str">
        <f t="shared" si="202"/>
        <v>COMAINGKING</v>
      </c>
      <c r="W3276" s="169" t="s">
        <v>2713</v>
      </c>
    </row>
    <row r="3277" spans="2:23" x14ac:dyDescent="0.25">
      <c r="B3277" s="169" t="s">
        <v>95</v>
      </c>
      <c r="C3277" s="169" t="s">
        <v>45</v>
      </c>
      <c r="D3277" s="169" t="s">
        <v>97</v>
      </c>
      <c r="E3277" s="169" t="s">
        <v>19</v>
      </c>
      <c r="F3277" s="245" t="str">
        <f t="shared" si="205"/>
        <v>DVR 72</v>
      </c>
      <c r="G3277" s="169" t="s">
        <v>577</v>
      </c>
      <c r="I3277" s="169" t="str">
        <f t="shared" si="203"/>
        <v>L08_DPVE_012W_RAISE</v>
      </c>
      <c r="J3277" s="169" t="s">
        <v>13181</v>
      </c>
      <c r="K3277" s="169">
        <f>IFERROR(MATCH(J3277,'Final List'!$B$4:$B$252,0),0)</f>
        <v>0</v>
      </c>
      <c r="L3277" s="169">
        <f>IFERROR(MATCH(J3277,'Final List'!$D$4:$D$252,0),0)</f>
        <v>0</v>
      </c>
      <c r="M3277" s="169">
        <f>IFERROR(MATCH(J3277,'Final List'!$F$4:$F$251,0),0)</f>
        <v>0</v>
      </c>
      <c r="N3277" s="169">
        <f>IFERROR(MATCH(J3277,'Final List'!$H$4:$H$252,0),0)</f>
        <v>0</v>
      </c>
      <c r="O3277" s="169">
        <f>IFERROR(MATCH(J3277,'Final List'!$J$4:$J$252,0),0)</f>
        <v>0</v>
      </c>
      <c r="P3277" s="169">
        <f>IFERROR(MATCH(J3277,'Final List'!$L$4:$L$252,0),0)</f>
        <v>0</v>
      </c>
      <c r="Q3277" s="169">
        <f>IFERROR(MATCH(J3277,'Final List'!$N$4:$N$252,0),0)</f>
        <v>0</v>
      </c>
      <c r="R3277" s="169">
        <f>IFERROR(MATCH(J3277,'Final List'!$P$4:$P$252,0),0)</f>
        <v>0</v>
      </c>
      <c r="S3277" s="169">
        <f t="shared" si="204"/>
        <v>0</v>
      </c>
      <c r="V3277" s="169" t="str">
        <f t="shared" si="202"/>
        <v>CARIKITAN 1</v>
      </c>
      <c r="W3277" s="169" t="s">
        <v>2715</v>
      </c>
    </row>
    <row r="3278" spans="2:23" x14ac:dyDescent="0.25">
      <c r="B3278" s="169" t="s">
        <v>96</v>
      </c>
      <c r="C3278" s="169" t="s">
        <v>59</v>
      </c>
      <c r="D3278" s="169" t="s">
        <v>6941</v>
      </c>
      <c r="E3278" s="169" t="s">
        <v>19</v>
      </c>
      <c r="F3278" s="245" t="str">
        <f t="shared" si="205"/>
        <v>DVR 72</v>
      </c>
      <c r="G3278" s="169" t="s">
        <v>1661</v>
      </c>
      <c r="I3278" s="169" t="str">
        <f t="shared" si="203"/>
        <v>L09_GHVHW_031W_RAISE</v>
      </c>
      <c r="J3278" s="169" t="s">
        <v>13183</v>
      </c>
      <c r="K3278" s="169">
        <f>IFERROR(MATCH(J3278,'Final List'!$B$4:$B$252,0),0)</f>
        <v>0</v>
      </c>
      <c r="L3278" s="169">
        <f>IFERROR(MATCH(J3278,'Final List'!$D$4:$D$252,0),0)</f>
        <v>0</v>
      </c>
      <c r="M3278" s="169">
        <f>IFERROR(MATCH(J3278,'Final List'!$F$4:$F$251,0),0)</f>
        <v>0</v>
      </c>
      <c r="N3278" s="169">
        <f>IFERROR(MATCH(J3278,'Final List'!$H$4:$H$252,0),0)</f>
        <v>0</v>
      </c>
      <c r="O3278" s="169">
        <f>IFERROR(MATCH(J3278,'Final List'!$J$4:$J$252,0),0)</f>
        <v>0</v>
      </c>
      <c r="P3278" s="169">
        <f>IFERROR(MATCH(J3278,'Final List'!$L$4:$L$252,0),0)</f>
        <v>0</v>
      </c>
      <c r="Q3278" s="169">
        <f>IFERROR(MATCH(J3278,'Final List'!$N$4:$N$252,0),0)</f>
        <v>0</v>
      </c>
      <c r="R3278" s="169">
        <f>IFERROR(MATCH(J3278,'Final List'!$P$4:$P$252,0),0)</f>
        <v>0</v>
      </c>
      <c r="S3278" s="169">
        <f t="shared" si="204"/>
        <v>0</v>
      </c>
      <c r="V3278" s="169" t="str">
        <f t="shared" si="202"/>
        <v>DELOS REYES V2</v>
      </c>
      <c r="W3278" s="169" t="s">
        <v>2715</v>
      </c>
    </row>
    <row r="3279" spans="2:23" x14ac:dyDescent="0.25">
      <c r="B3279" s="169" t="s">
        <v>96</v>
      </c>
      <c r="C3279" s="169" t="s">
        <v>45</v>
      </c>
      <c r="D3279" s="169" t="s">
        <v>7915</v>
      </c>
      <c r="E3279" s="169" t="s">
        <v>62</v>
      </c>
      <c r="F3279" s="245" t="str">
        <f t="shared" si="205"/>
        <v>RobC 80</v>
      </c>
      <c r="G3279" s="169" t="s">
        <v>349</v>
      </c>
      <c r="I3279" s="169" t="str">
        <f t="shared" si="203"/>
        <v>L09_DPVE_083E_ROBBING</v>
      </c>
      <c r="J3279" s="169" t="s">
        <v>8616</v>
      </c>
      <c r="K3279" s="169">
        <f>IFERROR(MATCH(J3279,'Final List'!$B$4:$B$252,0),0)</f>
        <v>0</v>
      </c>
      <c r="L3279" s="169">
        <f>IFERROR(MATCH(J3279,'Final List'!$D$4:$D$252,0),0)</f>
        <v>0</v>
      </c>
      <c r="M3279" s="169">
        <f>IFERROR(MATCH(J3279,'Final List'!$F$4:$F$251,0),0)</f>
        <v>0</v>
      </c>
      <c r="N3279" s="169">
        <f>IFERROR(MATCH(J3279,'Final List'!$H$4:$H$252,0),0)</f>
        <v>0</v>
      </c>
      <c r="O3279" s="169">
        <f>IFERROR(MATCH(J3279,'Final List'!$J$4:$J$252,0),0)</f>
        <v>0</v>
      </c>
      <c r="P3279" s="169">
        <f>IFERROR(MATCH(J3279,'Final List'!$L$4:$L$252,0),0)</f>
        <v>0</v>
      </c>
      <c r="Q3279" s="169">
        <f>IFERROR(MATCH(J3279,'Final List'!$N$4:$N$252,0),0)</f>
        <v>0</v>
      </c>
      <c r="R3279" s="169">
        <f>IFERROR(MATCH(J3279,'Final List'!$P$4:$P$252,0),0)</f>
        <v>0</v>
      </c>
      <c r="S3279" s="169">
        <f t="shared" si="204"/>
        <v>0</v>
      </c>
      <c r="T3279" s="169" t="s">
        <v>48</v>
      </c>
      <c r="V3279" s="169" t="str">
        <f t="shared" si="202"/>
        <v>QUIJANO 2</v>
      </c>
      <c r="W3279" s="169" t="s">
        <v>236</v>
      </c>
    </row>
    <row r="3280" spans="2:23" x14ac:dyDescent="0.25">
      <c r="B3280" s="169" t="s">
        <v>1167</v>
      </c>
      <c r="C3280" s="169" t="s">
        <v>87</v>
      </c>
      <c r="D3280" s="169" t="s">
        <v>144</v>
      </c>
      <c r="E3280" s="169" t="s">
        <v>72</v>
      </c>
      <c r="F3280" s="245" t="str">
        <f t="shared" si="205"/>
        <v>Dhoz 71</v>
      </c>
      <c r="G3280" s="169" t="s">
        <v>13072</v>
      </c>
      <c r="I3280" s="169" t="str">
        <f t="shared" si="203"/>
        <v>L12_NONE_043E_CHAMBER</v>
      </c>
      <c r="J3280" s="169" t="s">
        <v>13186</v>
      </c>
      <c r="K3280" s="169">
        <f>IFERROR(MATCH(J3280,'Final List'!$B$4:$B$252,0),0)</f>
        <v>0</v>
      </c>
      <c r="L3280" s="169">
        <f>IFERROR(MATCH(J3280,'Final List'!$D$4:$D$252,0),0)</f>
        <v>0</v>
      </c>
      <c r="M3280" s="169">
        <f>IFERROR(MATCH(J3280,'Final List'!$F$4:$F$251,0),0)</f>
        <v>0</v>
      </c>
      <c r="N3280" s="169">
        <f>IFERROR(MATCH(J3280,'Final List'!$H$4:$H$252,0),0)</f>
        <v>0</v>
      </c>
      <c r="O3280" s="169">
        <f>IFERROR(MATCH(J3280,'Final List'!$J$4:$J$252,0),0)</f>
        <v>0</v>
      </c>
      <c r="P3280" s="169">
        <f>IFERROR(MATCH(J3280,'Final List'!$L$4:$L$252,0),0)</f>
        <v>0</v>
      </c>
      <c r="Q3280" s="169">
        <f>IFERROR(MATCH(J3280,'Final List'!$N$4:$N$252,0),0)</f>
        <v>0</v>
      </c>
      <c r="R3280" s="169">
        <f>IFERROR(MATCH(J3280,'Final List'!$P$4:$P$252,0),0)</f>
        <v>0</v>
      </c>
      <c r="S3280" s="169">
        <f t="shared" si="204"/>
        <v>0</v>
      </c>
      <c r="V3280" s="169" t="str">
        <f t="shared" si="202"/>
        <v>NITRO BM 3</v>
      </c>
      <c r="W3280" s="169" t="s">
        <v>2714</v>
      </c>
    </row>
    <row r="3281" spans="2:23" x14ac:dyDescent="0.25">
      <c r="B3281" s="169" t="s">
        <v>12320</v>
      </c>
      <c r="C3281" s="169" t="s">
        <v>87</v>
      </c>
      <c r="D3281" s="169" t="s">
        <v>5781</v>
      </c>
      <c r="E3281" s="169" t="s">
        <v>72</v>
      </c>
      <c r="F3281" s="245" t="str">
        <f t="shared" si="205"/>
        <v>Dhoz 71</v>
      </c>
      <c r="G3281" s="169" t="s">
        <v>5703</v>
      </c>
      <c r="H3281" s="169" t="s">
        <v>12984</v>
      </c>
      <c r="I3281" s="169" t="str">
        <f t="shared" si="203"/>
        <v>L425_NONE_051E_CHAMBER</v>
      </c>
      <c r="J3281" s="169" t="s">
        <v>13190</v>
      </c>
      <c r="K3281" s="169">
        <f>IFERROR(MATCH(J3281,'Final List'!$B$4:$B$252,0),0)</f>
        <v>0</v>
      </c>
      <c r="L3281" s="169">
        <f>IFERROR(MATCH(J3281,'Final List'!$D$4:$D$252,0),0)</f>
        <v>0</v>
      </c>
      <c r="M3281" s="169">
        <f>IFERROR(MATCH(J3281,'Final List'!$F$4:$F$251,0),0)</f>
        <v>0</v>
      </c>
      <c r="N3281" s="169">
        <f>IFERROR(MATCH(J3281,'Final List'!$H$4:$H$252,0),0)</f>
        <v>0</v>
      </c>
      <c r="O3281" s="169">
        <f>IFERROR(MATCH(J3281,'Final List'!$J$4:$J$252,0),0)</f>
        <v>0</v>
      </c>
      <c r="P3281" s="169">
        <f>IFERROR(MATCH(J3281,'Final List'!$L$4:$L$252,0),0)</f>
        <v>0</v>
      </c>
      <c r="Q3281" s="169">
        <f>IFERROR(MATCH(J3281,'Final List'!$N$4:$N$252,0),0)</f>
        <v>0</v>
      </c>
      <c r="R3281" s="169">
        <f>IFERROR(MATCH(J3281,'Final List'!$P$4:$P$252,0),0)</f>
        <v>0</v>
      </c>
      <c r="S3281" s="169">
        <f t="shared" si="204"/>
        <v>0</v>
      </c>
      <c r="V3281" s="169" t="str">
        <f t="shared" si="202"/>
        <v>MARTINEZ</v>
      </c>
      <c r="W3281" s="169" t="s">
        <v>2714</v>
      </c>
    </row>
    <row r="3282" spans="2:23" x14ac:dyDescent="0.25">
      <c r="B3282" s="169" t="s">
        <v>95</v>
      </c>
      <c r="C3282" s="169" t="s">
        <v>42</v>
      </c>
      <c r="D3282" s="169" t="s">
        <v>595</v>
      </c>
      <c r="E3282" s="169" t="s">
        <v>6143</v>
      </c>
      <c r="F3282" s="245" t="str">
        <f t="shared" si="205"/>
        <v>Dhoz 71</v>
      </c>
      <c r="G3282" s="169" t="s">
        <v>13066</v>
      </c>
      <c r="I3282" s="169" t="str">
        <f t="shared" si="203"/>
        <v>L08_JV_072E_DE_ISL</v>
      </c>
      <c r="J3282" s="169" t="s">
        <v>13193</v>
      </c>
      <c r="K3282" s="169">
        <f>IFERROR(MATCH(J3282,'Final List'!$B$4:$B$252,0),0)</f>
        <v>0</v>
      </c>
      <c r="L3282" s="169">
        <f>IFERROR(MATCH(J3282,'Final List'!$D$4:$D$252,0),0)</f>
        <v>0</v>
      </c>
      <c r="M3282" s="169">
        <f>IFERROR(MATCH(J3282,'Final List'!$F$4:$F$251,0),0)</f>
        <v>0</v>
      </c>
      <c r="N3282" s="169">
        <f>IFERROR(MATCH(J3282,'Final List'!$H$4:$H$252,0),0)</f>
        <v>0</v>
      </c>
      <c r="O3282" s="169">
        <f>IFERROR(MATCH(J3282,'Final List'!$J$4:$J$252,0),0)</f>
        <v>0</v>
      </c>
      <c r="P3282" s="169">
        <f>IFERROR(MATCH(J3282,'Final List'!$L$4:$L$252,0),0)</f>
        <v>0</v>
      </c>
      <c r="Q3282" s="169">
        <f>IFERROR(MATCH(J3282,'Final List'!$N$4:$N$252,0),0)</f>
        <v>0</v>
      </c>
      <c r="R3282" s="169">
        <f>IFERROR(MATCH(J3282,'Final List'!$P$4:$P$252,0),0)</f>
        <v>0</v>
      </c>
      <c r="S3282" s="169">
        <f t="shared" si="204"/>
        <v>0</v>
      </c>
      <c r="V3282" s="169" t="str">
        <f t="shared" si="202"/>
        <v>NITRO BZ</v>
      </c>
      <c r="W3282" s="169" t="s">
        <v>2708</v>
      </c>
    </row>
    <row r="3283" spans="2:23" x14ac:dyDescent="0.25">
      <c r="B3283" s="169" t="s">
        <v>90</v>
      </c>
      <c r="C3283" s="169" t="s">
        <v>87</v>
      </c>
      <c r="D3283" s="169" t="s">
        <v>119</v>
      </c>
      <c r="E3283" s="169" t="s">
        <v>22</v>
      </c>
      <c r="F3283" s="245" t="s">
        <v>14362</v>
      </c>
      <c r="G3283" s="169" t="s">
        <v>6216</v>
      </c>
      <c r="I3283" s="169" t="str">
        <f t="shared" si="203"/>
        <v>L02_NONE_012E_SPECIAL PROJECT</v>
      </c>
      <c r="J3283" s="169" t="s">
        <v>13194</v>
      </c>
      <c r="K3283" s="169">
        <f>IFERROR(MATCH(J3283,'Final List'!$B$4:$B$252,0),0)</f>
        <v>0</v>
      </c>
      <c r="L3283" s="169">
        <f>IFERROR(MATCH(J3283,'Final List'!$D$4:$D$252,0),0)</f>
        <v>0</v>
      </c>
      <c r="M3283" s="169">
        <f>IFERROR(MATCH(J3283,'Final List'!$F$4:$F$251,0),0)</f>
        <v>0</v>
      </c>
      <c r="N3283" s="169">
        <f>IFERROR(MATCH(J3283,'Final List'!$H$4:$H$252,0),0)</f>
        <v>0</v>
      </c>
      <c r="O3283" s="169">
        <f>IFERROR(MATCH(J3283,'Final List'!$J$4:$J$252,0),0)</f>
        <v>0</v>
      </c>
      <c r="P3283" s="169">
        <f>IFERROR(MATCH(J3283,'Final List'!$L$4:$L$252,0),0)</f>
        <v>0</v>
      </c>
      <c r="Q3283" s="169">
        <f>IFERROR(MATCH(J3283,'Final List'!$N$4:$N$252,0),0)</f>
        <v>0</v>
      </c>
      <c r="R3283" s="169">
        <f>IFERROR(MATCH(J3283,'Final List'!$P$4:$P$252,0),0)</f>
        <v>0</v>
      </c>
      <c r="S3283" s="169">
        <f t="shared" si="204"/>
        <v>0</v>
      </c>
      <c r="V3283" s="169" t="str">
        <f t="shared" si="202"/>
        <v>FERNANDEZ</v>
      </c>
      <c r="W3283" s="169" t="s">
        <v>2714</v>
      </c>
    </row>
    <row r="3284" spans="2:23" x14ac:dyDescent="0.25">
      <c r="B3284" s="169" t="s">
        <v>258</v>
      </c>
      <c r="C3284" s="169" t="s">
        <v>38</v>
      </c>
      <c r="D3284" s="169" t="s">
        <v>5612</v>
      </c>
      <c r="E3284" s="169" t="s">
        <v>61</v>
      </c>
      <c r="F3284" s="245" t="str">
        <f t="shared" si="205"/>
        <v>Dhoz 71</v>
      </c>
      <c r="G3284" s="169" t="s">
        <v>12888</v>
      </c>
      <c r="I3284" s="169" t="str">
        <f t="shared" si="203"/>
        <v>L10_GHV_011W_DW</v>
      </c>
      <c r="J3284" s="169" t="s">
        <v>13195</v>
      </c>
      <c r="K3284" s="169">
        <f>IFERROR(MATCH(J3284,'Final List'!$B$4:$B$252,0),0)</f>
        <v>0</v>
      </c>
      <c r="L3284" s="169">
        <f>IFERROR(MATCH(J3284,'Final List'!$D$4:$D$252,0),0)</f>
        <v>0</v>
      </c>
      <c r="M3284" s="169">
        <f>IFERROR(MATCH(J3284,'Final List'!$F$4:$F$251,0),0)</f>
        <v>0</v>
      </c>
      <c r="N3284" s="169">
        <f>IFERROR(MATCH(J3284,'Final List'!$H$4:$H$252,0),0)</f>
        <v>0</v>
      </c>
      <c r="O3284" s="169">
        <f>IFERROR(MATCH(J3284,'Final List'!$J$4:$J$252,0),0)</f>
        <v>0</v>
      </c>
      <c r="P3284" s="169">
        <f>IFERROR(MATCH(J3284,'Final List'!$L$4:$L$252,0),0)</f>
        <v>0</v>
      </c>
      <c r="Q3284" s="169">
        <f>IFERROR(MATCH(J3284,'Final List'!$N$4:$N$252,0),0)</f>
        <v>0</v>
      </c>
      <c r="R3284" s="169">
        <f>IFERROR(MATCH(J3284,'Final List'!$P$4:$P$252,0),0)</f>
        <v>0</v>
      </c>
      <c r="S3284" s="169">
        <f t="shared" si="204"/>
        <v>0</v>
      </c>
      <c r="V3284" s="169" t="str">
        <f t="shared" si="202"/>
        <v>NITRO BD</v>
      </c>
      <c r="W3284" s="169" t="s">
        <v>8896</v>
      </c>
    </row>
    <row r="3285" spans="2:23" x14ac:dyDescent="0.25">
      <c r="B3285" s="169" t="s">
        <v>95</v>
      </c>
      <c r="C3285" s="169" t="s">
        <v>87</v>
      </c>
      <c r="D3285" s="169" t="s">
        <v>122</v>
      </c>
      <c r="E3285" s="169" t="s">
        <v>37</v>
      </c>
      <c r="F3285" s="245" t="str">
        <f t="shared" si="205"/>
        <v>Dhoz 71</v>
      </c>
      <c r="G3285" s="169" t="s">
        <v>13199</v>
      </c>
      <c r="I3285" s="169" t="str">
        <f t="shared" si="203"/>
        <v>L08_NONE_025E_XCN</v>
      </c>
      <c r="J3285" s="169" t="s">
        <v>13198</v>
      </c>
      <c r="K3285" s="169">
        <f>IFERROR(MATCH(J3285,'Final List'!$B$4:$B$252,0),0)</f>
        <v>0</v>
      </c>
      <c r="L3285" s="169">
        <f>IFERROR(MATCH(J3285,'Final List'!$D$4:$D$252,0),0)</f>
        <v>0</v>
      </c>
      <c r="M3285" s="169">
        <f>IFERROR(MATCH(J3285,'Final List'!$F$4:$F$251,0),0)</f>
        <v>0</v>
      </c>
      <c r="N3285" s="169">
        <f>IFERROR(MATCH(J3285,'Final List'!$H$4:$H$252,0),0)</f>
        <v>0</v>
      </c>
      <c r="O3285" s="169">
        <f>IFERROR(MATCH(J3285,'Final List'!$J$4:$J$252,0),0)</f>
        <v>0</v>
      </c>
      <c r="P3285" s="169">
        <f>IFERROR(MATCH(J3285,'Final List'!$L$4:$L$252,0),0)</f>
        <v>0</v>
      </c>
      <c r="Q3285" s="169">
        <f>IFERROR(MATCH(J3285,'Final List'!$N$4:$N$252,0),0)</f>
        <v>0</v>
      </c>
      <c r="R3285" s="169">
        <f>IFERROR(MATCH(J3285,'Final List'!$P$4:$P$252,0),0)</f>
        <v>0</v>
      </c>
      <c r="S3285" s="169">
        <f t="shared" si="204"/>
        <v>0</v>
      </c>
      <c r="V3285" s="169" t="str">
        <f t="shared" si="202"/>
        <v>NITRO CA</v>
      </c>
      <c r="W3285" s="169" t="s">
        <v>8897</v>
      </c>
    </row>
    <row r="3286" spans="2:23" x14ac:dyDescent="0.25">
      <c r="B3286" s="169" t="s">
        <v>96</v>
      </c>
      <c r="C3286" s="169" t="s">
        <v>45</v>
      </c>
      <c r="D3286" s="169" t="s">
        <v>6864</v>
      </c>
      <c r="E3286" s="169" t="s">
        <v>6143</v>
      </c>
      <c r="F3286" s="245" t="str">
        <f t="shared" si="205"/>
        <v>Dhoz 71</v>
      </c>
      <c r="G3286" s="169" t="s">
        <v>12659</v>
      </c>
      <c r="I3286" s="169" t="str">
        <f t="shared" si="203"/>
        <v>L09_DPVE_006E_DE_ISL</v>
      </c>
      <c r="J3286" s="169" t="s">
        <v>13200</v>
      </c>
      <c r="K3286" s="169">
        <f>IFERROR(MATCH(J3286,'Final List'!$B$4:$B$252,0),0)</f>
        <v>0</v>
      </c>
      <c r="L3286" s="169">
        <f>IFERROR(MATCH(J3286,'Final List'!$D$4:$D$252,0),0)</f>
        <v>0</v>
      </c>
      <c r="M3286" s="169">
        <f>IFERROR(MATCH(J3286,'Final List'!$F$4:$F$251,0),0)</f>
        <v>0</v>
      </c>
      <c r="N3286" s="169">
        <f>IFERROR(MATCH(J3286,'Final List'!$H$4:$H$252,0),0)</f>
        <v>0</v>
      </c>
      <c r="O3286" s="169">
        <f>IFERROR(MATCH(J3286,'Final List'!$J$4:$J$252,0),0)</f>
        <v>0</v>
      </c>
      <c r="P3286" s="169">
        <f>IFERROR(MATCH(J3286,'Final List'!$L$4:$L$252,0),0)</f>
        <v>0</v>
      </c>
      <c r="Q3286" s="169">
        <f>IFERROR(MATCH(J3286,'Final List'!$N$4:$N$252,0),0)</f>
        <v>0</v>
      </c>
      <c r="R3286" s="169">
        <f>IFERROR(MATCH(J3286,'Final List'!$P$4:$P$252,0),0)</f>
        <v>0</v>
      </c>
      <c r="S3286" s="169">
        <f t="shared" si="204"/>
        <v>0</v>
      </c>
      <c r="V3286" s="169" t="str">
        <f t="shared" si="202"/>
        <v>NITRO BS</v>
      </c>
      <c r="W3286" s="169" t="s">
        <v>8896</v>
      </c>
    </row>
    <row r="3287" spans="2:23" x14ac:dyDescent="0.25">
      <c r="B3287" s="169" t="s">
        <v>1167</v>
      </c>
      <c r="C3287" s="169" t="s">
        <v>39</v>
      </c>
      <c r="D3287" s="169" t="s">
        <v>142</v>
      </c>
      <c r="E3287" s="169" t="s">
        <v>36</v>
      </c>
      <c r="F3287" s="245" t="str">
        <f t="shared" si="205"/>
        <v>StpS 77</v>
      </c>
      <c r="G3287" s="169" t="s">
        <v>12549</v>
      </c>
      <c r="I3287" s="169" t="str">
        <f t="shared" si="203"/>
        <v>L12_JVHW_038E_STOPE</v>
      </c>
      <c r="J3287" s="169" t="s">
        <v>13297</v>
      </c>
      <c r="K3287" s="169">
        <f>IFERROR(MATCH(J3287,'Final List'!$B$4:$B$252,0),0)</f>
        <v>0</v>
      </c>
      <c r="L3287" s="169">
        <f>IFERROR(MATCH(J3287,'Final List'!$D$4:$D$252,0),0)</f>
        <v>0</v>
      </c>
      <c r="M3287" s="169">
        <f>IFERROR(MATCH(J3287,'Final List'!$F$4:$F$251,0),0)</f>
        <v>0</v>
      </c>
      <c r="N3287" s="169">
        <f>IFERROR(MATCH(J3287,'Final List'!$H$4:$H$252,0),0)</f>
        <v>0</v>
      </c>
      <c r="O3287" s="169">
        <f>IFERROR(MATCH(J3287,'Final List'!$J$4:$J$252,0),0)</f>
        <v>0</v>
      </c>
      <c r="P3287" s="169">
        <f>IFERROR(MATCH(J3287,'Final List'!$L$4:$L$252,0),0)</f>
        <v>0</v>
      </c>
      <c r="Q3287" s="169">
        <f>IFERROR(MATCH(J3287,'Final List'!$N$4:$N$252,0),0)</f>
        <v>0</v>
      </c>
      <c r="R3287" s="169">
        <f>IFERROR(MATCH(J3287,'Final List'!$P$4:$P$252,0),0)</f>
        <v>0</v>
      </c>
      <c r="S3287" s="169">
        <f t="shared" si="204"/>
        <v>0</v>
      </c>
      <c r="T3287" s="169" t="s">
        <v>68</v>
      </c>
      <c r="V3287" s="169" t="str">
        <f t="shared" si="202"/>
        <v>NITRO BR</v>
      </c>
      <c r="W3287" s="169" t="s">
        <v>2713</v>
      </c>
    </row>
    <row r="3288" spans="2:23" x14ac:dyDescent="0.25">
      <c r="B3288" s="169" t="s">
        <v>12320</v>
      </c>
      <c r="C3288" s="169" t="s">
        <v>43</v>
      </c>
      <c r="D3288" s="169" t="s">
        <v>173</v>
      </c>
      <c r="E3288" s="169" t="s">
        <v>61</v>
      </c>
      <c r="F3288" s="245" t="str">
        <f t="shared" si="205"/>
        <v>Dhoz 71</v>
      </c>
      <c r="G3288" s="169" t="s">
        <v>390</v>
      </c>
      <c r="I3288" s="169" t="str">
        <f t="shared" si="203"/>
        <v>L425_GHVSPLIT_049E_DW</v>
      </c>
      <c r="J3288" s="169" t="s">
        <v>13208</v>
      </c>
      <c r="K3288" s="169">
        <f>IFERROR(MATCH(J3288,'Final List'!$B$4:$B$252,0),0)</f>
        <v>0</v>
      </c>
      <c r="L3288" s="169">
        <f>IFERROR(MATCH(J3288,'Final List'!$D$4:$D$252,0),0)</f>
        <v>0</v>
      </c>
      <c r="M3288" s="169">
        <f>IFERROR(MATCH(J3288,'Final List'!$F$4:$F$251,0),0)</f>
        <v>0</v>
      </c>
      <c r="N3288" s="169">
        <f>IFERROR(MATCH(J3288,'Final List'!$H$4:$H$252,0),0)</f>
        <v>0</v>
      </c>
      <c r="O3288" s="169">
        <f>IFERROR(MATCH(J3288,'Final List'!$J$4:$J$252,0),0)</f>
        <v>0</v>
      </c>
      <c r="P3288" s="169">
        <f>IFERROR(MATCH(J3288,'Final List'!$L$4:$L$252,0),0)</f>
        <v>0</v>
      </c>
      <c r="Q3288" s="169">
        <f>IFERROR(MATCH(J3288,'Final List'!$N$4:$N$252,0),0)</f>
        <v>0</v>
      </c>
      <c r="R3288" s="169">
        <f>IFERROR(MATCH(J3288,'Final List'!$P$4:$P$252,0),0)</f>
        <v>0</v>
      </c>
      <c r="S3288" s="169">
        <f t="shared" si="204"/>
        <v>0</v>
      </c>
      <c r="V3288" s="169" t="str">
        <f t="shared" si="202"/>
        <v>CAPPUYO 2</v>
      </c>
      <c r="W3288" s="169" t="s">
        <v>8896</v>
      </c>
    </row>
    <row r="3289" spans="2:23" x14ac:dyDescent="0.25">
      <c r="B3289" s="169" t="s">
        <v>1167</v>
      </c>
      <c r="C3289" s="169" t="s">
        <v>45</v>
      </c>
      <c r="D3289" s="169" t="s">
        <v>174</v>
      </c>
      <c r="E3289" s="169" t="s">
        <v>19</v>
      </c>
      <c r="F3289" s="245" t="str">
        <f t="shared" si="205"/>
        <v>DVR 72</v>
      </c>
      <c r="G3289" s="169" t="s">
        <v>13097</v>
      </c>
      <c r="H3289" s="169" t="s">
        <v>337</v>
      </c>
      <c r="I3289" s="169" t="str">
        <f t="shared" si="203"/>
        <v>L12_DPVE_052E_RAISE</v>
      </c>
      <c r="J3289" s="169" t="s">
        <v>13217</v>
      </c>
      <c r="K3289" s="169">
        <f>IFERROR(MATCH(J3289,'Final List'!$B$4:$B$252,0),0)</f>
        <v>0</v>
      </c>
      <c r="L3289" s="169">
        <f>IFERROR(MATCH(J3289,'Final List'!$D$4:$D$252,0),0)</f>
        <v>0</v>
      </c>
      <c r="M3289" s="169">
        <f>IFERROR(MATCH(J3289,'Final List'!$F$4:$F$251,0),0)</f>
        <v>0</v>
      </c>
      <c r="N3289" s="169">
        <f>IFERROR(MATCH(J3289,'Final List'!$H$4:$H$252,0),0)</f>
        <v>0</v>
      </c>
      <c r="O3289" s="169">
        <f>IFERROR(MATCH(J3289,'Final List'!$J$4:$J$252,0),0)</f>
        <v>0</v>
      </c>
      <c r="P3289" s="169">
        <f>IFERROR(MATCH(J3289,'Final List'!$L$4:$L$252,0),0)</f>
        <v>0</v>
      </c>
      <c r="Q3289" s="169">
        <f>IFERROR(MATCH(J3289,'Final List'!$N$4:$N$252,0),0)</f>
        <v>0</v>
      </c>
      <c r="R3289" s="169">
        <f>IFERROR(MATCH(J3289,'Final List'!$P$4:$P$252,0),0)</f>
        <v>0</v>
      </c>
      <c r="S3289" s="169">
        <f t="shared" si="204"/>
        <v>0</v>
      </c>
      <c r="V3289" s="169" t="str">
        <f t="shared" si="202"/>
        <v>BALANGHIG 2</v>
      </c>
      <c r="W3289" s="169" t="s">
        <v>2715</v>
      </c>
    </row>
    <row r="3290" spans="2:23" x14ac:dyDescent="0.25">
      <c r="B3290" s="169" t="s">
        <v>1167</v>
      </c>
      <c r="C3290" s="169" t="s">
        <v>45</v>
      </c>
      <c r="D3290" s="169" t="s">
        <v>5601</v>
      </c>
      <c r="E3290" s="169" t="s">
        <v>61</v>
      </c>
      <c r="F3290" s="245" t="str">
        <f t="shared" si="205"/>
        <v>Dhoz 71</v>
      </c>
      <c r="G3290" s="169" t="s">
        <v>12199</v>
      </c>
      <c r="I3290" s="169" t="str">
        <f t="shared" si="203"/>
        <v>L12_DPVE_026E_DW</v>
      </c>
      <c r="J3290" s="169" t="s">
        <v>13218</v>
      </c>
      <c r="K3290" s="169">
        <f>IFERROR(MATCH(J3290,'Final List'!$B$4:$B$252,0),0)</f>
        <v>0</v>
      </c>
      <c r="L3290" s="169">
        <f>IFERROR(MATCH(J3290,'Final List'!$D$4:$D$252,0),0)</f>
        <v>0</v>
      </c>
      <c r="M3290" s="169">
        <f>IFERROR(MATCH(J3290,'Final List'!$F$4:$F$251,0),0)</f>
        <v>0</v>
      </c>
      <c r="N3290" s="169">
        <f>IFERROR(MATCH(J3290,'Final List'!$H$4:$H$252,0),0)</f>
        <v>0</v>
      </c>
      <c r="O3290" s="169">
        <f>IFERROR(MATCH(J3290,'Final List'!$J$4:$J$252,0),0)</f>
        <v>0</v>
      </c>
      <c r="P3290" s="169">
        <f>IFERROR(MATCH(J3290,'Final List'!$L$4:$L$252,0),0)</f>
        <v>0</v>
      </c>
      <c r="Q3290" s="169">
        <f>IFERROR(MATCH(J3290,'Final List'!$N$4:$N$252,0),0)</f>
        <v>0</v>
      </c>
      <c r="R3290" s="169">
        <f>IFERROR(MATCH(J3290,'Final List'!$P$4:$P$252,0),0)</f>
        <v>0</v>
      </c>
      <c r="S3290" s="169">
        <f t="shared" si="204"/>
        <v>0</v>
      </c>
      <c r="V3290" s="169" t="str">
        <f t="shared" si="202"/>
        <v>NITRO BF 5</v>
      </c>
      <c r="W3290" s="169" t="s">
        <v>8896</v>
      </c>
    </row>
    <row r="3291" spans="2:23" x14ac:dyDescent="0.25">
      <c r="B3291" s="169" t="s">
        <v>96</v>
      </c>
      <c r="C3291" s="169" t="s">
        <v>59</v>
      </c>
      <c r="D3291" s="169" t="s">
        <v>5669</v>
      </c>
      <c r="E3291" s="169" t="s">
        <v>19</v>
      </c>
      <c r="F3291" s="245" t="str">
        <f t="shared" si="205"/>
        <v>DVR 72</v>
      </c>
      <c r="G3291" s="169" t="s">
        <v>5101</v>
      </c>
      <c r="I3291" s="169" t="str">
        <f t="shared" ref="I3291:I3355" si="206">CONCATENATE(B3291,"_",C3291,"_",D3291,"_",E3291)</f>
        <v>L09_GHVHW_027W_RAISE</v>
      </c>
      <c r="J3291" s="169" t="s">
        <v>13219</v>
      </c>
      <c r="K3291" s="169">
        <f>IFERROR(MATCH(J3291,'Final List'!$B$4:$B$252,0),0)</f>
        <v>0</v>
      </c>
      <c r="L3291" s="169">
        <f>IFERROR(MATCH(J3291,'Final List'!$D$4:$D$252,0),0)</f>
        <v>0</v>
      </c>
      <c r="M3291" s="169">
        <f>IFERROR(MATCH(J3291,'Final List'!$F$4:$F$251,0),0)</f>
        <v>0</v>
      </c>
      <c r="N3291" s="169">
        <f>IFERROR(MATCH(J3291,'Final List'!$H$4:$H$252,0),0)</f>
        <v>0</v>
      </c>
      <c r="O3291" s="169">
        <f>IFERROR(MATCH(J3291,'Final List'!$J$4:$J$252,0),0)</f>
        <v>0</v>
      </c>
      <c r="P3291" s="169">
        <f>IFERROR(MATCH(J3291,'Final List'!$L$4:$L$252,0),0)</f>
        <v>0</v>
      </c>
      <c r="Q3291" s="169">
        <f>IFERROR(MATCH(J3291,'Final List'!$N$4:$N$252,0),0)</f>
        <v>0</v>
      </c>
      <c r="R3291" s="169">
        <f>IFERROR(MATCH(J3291,'Final List'!$P$4:$P$252,0),0)</f>
        <v>0</v>
      </c>
      <c r="S3291" s="169">
        <f t="shared" si="204"/>
        <v>0</v>
      </c>
      <c r="V3291" s="169" t="str">
        <f t="shared" si="202"/>
        <v>DELOS REYES V3</v>
      </c>
      <c r="W3291" s="169" t="s">
        <v>2715</v>
      </c>
    </row>
    <row r="3292" spans="2:23" x14ac:dyDescent="0.25">
      <c r="B3292" s="169" t="s">
        <v>96</v>
      </c>
      <c r="C3292" s="169" t="s">
        <v>38</v>
      </c>
      <c r="D3292" s="169" t="s">
        <v>102</v>
      </c>
      <c r="E3292" s="169" t="s">
        <v>61</v>
      </c>
      <c r="F3292" s="245" t="str">
        <f t="shared" si="205"/>
        <v>Dhoz 71</v>
      </c>
      <c r="G3292" s="169" t="s">
        <v>13493</v>
      </c>
      <c r="I3292" s="169" t="str">
        <f t="shared" si="206"/>
        <v>L09_GHV_034W_DW</v>
      </c>
      <c r="J3292" s="169" t="s">
        <v>13220</v>
      </c>
      <c r="K3292" s="169">
        <f>IFERROR(MATCH(J3292,'Final List'!$B$4:$B$252,0),0)</f>
        <v>0</v>
      </c>
      <c r="L3292" s="169">
        <f>IFERROR(MATCH(J3292,'Final List'!$D$4:$D$252,0),0)</f>
        <v>0</v>
      </c>
      <c r="M3292" s="169">
        <f>IFERROR(MATCH(J3292,'Final List'!$F$4:$F$251,0),0)</f>
        <v>0</v>
      </c>
      <c r="N3292" s="169">
        <f>IFERROR(MATCH(J3292,'Final List'!$H$4:$H$252,0),0)</f>
        <v>0</v>
      </c>
      <c r="O3292" s="169">
        <f>IFERROR(MATCH(J3292,'Final List'!$J$4:$J$252,0),0)</f>
        <v>0</v>
      </c>
      <c r="P3292" s="169">
        <f>IFERROR(MATCH(J3292,'Final List'!$L$4:$L$252,0),0)</f>
        <v>0</v>
      </c>
      <c r="Q3292" s="169">
        <f>IFERROR(MATCH(J3292,'Final List'!$N$4:$N$252,0),0)</f>
        <v>0</v>
      </c>
      <c r="R3292" s="169">
        <f>IFERROR(MATCH(J3292,'Final List'!$P$4:$P$252,0),0)</f>
        <v>0</v>
      </c>
      <c r="S3292" s="169">
        <f t="shared" si="204"/>
        <v>0</v>
      </c>
      <c r="V3292" s="169" t="str">
        <f t="shared" si="202"/>
        <v>NITRO CD</v>
      </c>
      <c r="W3292" s="169" t="s">
        <v>8896</v>
      </c>
    </row>
    <row r="3293" spans="2:23" x14ac:dyDescent="0.25">
      <c r="B3293" s="169" t="s">
        <v>12320</v>
      </c>
      <c r="C3293" s="169" t="s">
        <v>39</v>
      </c>
      <c r="D3293" s="169" t="s">
        <v>178</v>
      </c>
      <c r="E3293" s="169" t="s">
        <v>19</v>
      </c>
      <c r="F3293" s="245" t="str">
        <f t="shared" si="205"/>
        <v>DVR 72</v>
      </c>
      <c r="G3293" s="169" t="s">
        <v>5705</v>
      </c>
      <c r="I3293" s="169" t="str">
        <f t="shared" si="206"/>
        <v>L425_JVHW_048E_RAISE</v>
      </c>
      <c r="J3293" s="169" t="s">
        <v>13221</v>
      </c>
      <c r="K3293" s="169">
        <f>IFERROR(MATCH(J3293,'Final List'!$B$4:$B$252,0),0)</f>
        <v>0</v>
      </c>
      <c r="L3293" s="169">
        <f>IFERROR(MATCH(J3293,'Final List'!$D$4:$D$252,0),0)</f>
        <v>0</v>
      </c>
      <c r="M3293" s="169">
        <f>IFERROR(MATCH(J3293,'Final List'!$F$4:$F$251,0),0)</f>
        <v>0</v>
      </c>
      <c r="N3293" s="169">
        <f>IFERROR(MATCH(J3293,'Final List'!$H$4:$H$252,0),0)</f>
        <v>0</v>
      </c>
      <c r="O3293" s="169">
        <f>IFERROR(MATCH(J3293,'Final List'!$J$4:$J$252,0),0)</f>
        <v>0</v>
      </c>
      <c r="P3293" s="169">
        <f>IFERROR(MATCH(J3293,'Final List'!$L$4:$L$252,0),0)</f>
        <v>0</v>
      </c>
      <c r="Q3293" s="169">
        <f>IFERROR(MATCH(J3293,'Final List'!$N$4:$N$252,0),0)</f>
        <v>0</v>
      </c>
      <c r="R3293" s="169">
        <f>IFERROR(MATCH(J3293,'Final List'!$P$4:$P$252,0),0)</f>
        <v>0</v>
      </c>
      <c r="S3293" s="169">
        <f t="shared" si="204"/>
        <v>0</v>
      </c>
      <c r="V3293" s="169" t="str">
        <f t="shared" si="202"/>
        <v>OLIVEROS 4</v>
      </c>
      <c r="W3293" s="169" t="s">
        <v>2715</v>
      </c>
    </row>
    <row r="3294" spans="2:23" x14ac:dyDescent="0.25">
      <c r="B3294" s="169" t="s">
        <v>258</v>
      </c>
      <c r="C3294" s="169" t="s">
        <v>45</v>
      </c>
      <c r="D3294" s="169" t="s">
        <v>6358</v>
      </c>
      <c r="E3294" s="169" t="s">
        <v>19</v>
      </c>
      <c r="F3294" s="245" t="str">
        <f t="shared" si="205"/>
        <v>DVR 72</v>
      </c>
      <c r="G3294" s="169" t="s">
        <v>5700</v>
      </c>
      <c r="H3294" s="169" t="s">
        <v>12244</v>
      </c>
      <c r="I3294" s="169" t="str">
        <f t="shared" si="206"/>
        <v>L10_DPVE_087E_RAISE</v>
      </c>
      <c r="J3294" s="169" t="s">
        <v>13226</v>
      </c>
      <c r="K3294" s="169">
        <f>IFERROR(MATCH(J3294,'Final List'!$B$4:$B$252,0),0)</f>
        <v>0</v>
      </c>
      <c r="L3294" s="169">
        <f>IFERROR(MATCH(J3294,'Final List'!$D$4:$D$252,0),0)</f>
        <v>0</v>
      </c>
      <c r="M3294" s="169">
        <f>IFERROR(MATCH(J3294,'Final List'!$F$4:$F$251,0),0)</f>
        <v>0</v>
      </c>
      <c r="N3294" s="169">
        <f>IFERROR(MATCH(J3294,'Final List'!$H$4:$H$252,0),0)</f>
        <v>0</v>
      </c>
      <c r="O3294" s="169">
        <f>IFERROR(MATCH(J3294,'Final List'!$J$4:$J$252,0),0)</f>
        <v>0</v>
      </c>
      <c r="P3294" s="169">
        <f>IFERROR(MATCH(J3294,'Final List'!$L$4:$L$252,0),0)</f>
        <v>0</v>
      </c>
      <c r="Q3294" s="169">
        <f>IFERROR(MATCH(J3294,'Final List'!$N$4:$N$252,0),0)</f>
        <v>0</v>
      </c>
      <c r="R3294" s="169">
        <f>IFERROR(MATCH(J3294,'Final List'!$P$4:$P$252,0),0)</f>
        <v>0</v>
      </c>
      <c r="S3294" s="169">
        <f t="shared" si="204"/>
        <v>0</v>
      </c>
      <c r="V3294" s="169" t="str">
        <f t="shared" si="202"/>
        <v>NITRO AY</v>
      </c>
      <c r="W3294" s="169" t="s">
        <v>2715</v>
      </c>
    </row>
    <row r="3295" spans="2:23" x14ac:dyDescent="0.25">
      <c r="B3295" s="169" t="s">
        <v>12320</v>
      </c>
      <c r="C3295" s="169" t="s">
        <v>43</v>
      </c>
      <c r="D3295" s="169" t="s">
        <v>174</v>
      </c>
      <c r="E3295" s="169" t="s">
        <v>36</v>
      </c>
      <c r="F3295" s="245" t="str">
        <f t="shared" si="205"/>
        <v>StpS 77</v>
      </c>
      <c r="G3295" s="169" t="s">
        <v>356</v>
      </c>
      <c r="I3295" s="169" t="str">
        <f t="shared" si="206"/>
        <v>L425_GHVSPLIT_052E_STOPE</v>
      </c>
      <c r="J3295" s="169" t="s">
        <v>13320</v>
      </c>
      <c r="K3295" s="169">
        <f>IFERROR(MATCH(J3295,'Final List'!$B$4:$B$252,0),0)</f>
        <v>0</v>
      </c>
      <c r="L3295" s="169">
        <f>IFERROR(MATCH(J3295,'Final List'!$D$4:$D$252,0),0)</f>
        <v>0</v>
      </c>
      <c r="M3295" s="169">
        <f>IFERROR(MATCH(J3295,'Final List'!$F$4:$F$251,0),0)</f>
        <v>0</v>
      </c>
      <c r="N3295" s="169">
        <f>IFERROR(MATCH(J3295,'Final List'!$H$4:$H$252,0),0)</f>
        <v>0</v>
      </c>
      <c r="O3295" s="169">
        <f>IFERROR(MATCH(J3295,'Final List'!$J$4:$J$252,0),0)</f>
        <v>0</v>
      </c>
      <c r="P3295" s="169">
        <f>IFERROR(MATCH(J3295,'Final List'!$L$4:$L$252,0),0)</f>
        <v>0</v>
      </c>
      <c r="Q3295" s="169">
        <f>IFERROR(MATCH(J3295,'Final List'!$N$4:$N$252,0),0)</f>
        <v>0</v>
      </c>
      <c r="R3295" s="169">
        <f>IFERROR(MATCH(J3295,'Final List'!$P$4:$P$252,0),0)</f>
        <v>0</v>
      </c>
      <c r="S3295" s="169">
        <f t="shared" si="204"/>
        <v>0</v>
      </c>
      <c r="T3295" s="169" t="s">
        <v>68</v>
      </c>
      <c r="V3295" s="169" t="str">
        <f t="shared" si="202"/>
        <v>BAÑEZ 1</v>
      </c>
      <c r="W3295" s="169" t="s">
        <v>2713</v>
      </c>
    </row>
    <row r="3296" spans="2:23" x14ac:dyDescent="0.25">
      <c r="B3296" s="169" t="s">
        <v>1166</v>
      </c>
      <c r="C3296" s="169" t="s">
        <v>45</v>
      </c>
      <c r="D3296" s="169" t="s">
        <v>159</v>
      </c>
      <c r="E3296" s="169" t="s">
        <v>211</v>
      </c>
      <c r="F3296" s="245" t="str">
        <f t="shared" si="205"/>
        <v>StpS 77</v>
      </c>
      <c r="G3296" s="169" t="s">
        <v>12070</v>
      </c>
      <c r="I3296" s="169" t="str">
        <f t="shared" si="206"/>
        <v>L11_DPVE_023E_STOPE PREP</v>
      </c>
      <c r="J3296" s="169" t="s">
        <v>11241</v>
      </c>
      <c r="K3296" s="169">
        <f>IFERROR(MATCH(J3296,'Final List'!$B$4:$B$252,0),0)</f>
        <v>0</v>
      </c>
      <c r="L3296" s="169">
        <f>IFERROR(MATCH(J3296,'Final List'!$D$4:$D$252,0),0)</f>
        <v>0</v>
      </c>
      <c r="M3296" s="169">
        <f>IFERROR(MATCH(J3296,'Final List'!$F$4:$F$251,0),0)</f>
        <v>0</v>
      </c>
      <c r="N3296" s="169">
        <f>IFERROR(MATCH(J3296,'Final List'!$H$4:$H$252,0),0)</f>
        <v>0</v>
      </c>
      <c r="O3296" s="169">
        <f>IFERROR(MATCH(J3296,'Final List'!$J$4:$J$252,0),0)</f>
        <v>0</v>
      </c>
      <c r="P3296" s="169">
        <f>IFERROR(MATCH(J3296,'Final List'!$L$4:$L$252,0),0)</f>
        <v>0</v>
      </c>
      <c r="Q3296" s="169">
        <f>IFERROR(MATCH(J3296,'Final List'!$N$4:$N$252,0),0)</f>
        <v>0</v>
      </c>
      <c r="R3296" s="169">
        <f>IFERROR(MATCH(J3296,'Final List'!$P$4:$P$252,0),0)</f>
        <v>0</v>
      </c>
      <c r="S3296" s="169">
        <f t="shared" si="204"/>
        <v>0</v>
      </c>
      <c r="T3296" s="169" t="s">
        <v>68</v>
      </c>
      <c r="V3296" s="169" t="str">
        <f t="shared" ref="V3296:V3373" si="207">IF(H3296="",G3296,H3296)</f>
        <v>NITRO BB</v>
      </c>
      <c r="W3296" s="169" t="s">
        <v>2712</v>
      </c>
    </row>
    <row r="3297" spans="2:23" x14ac:dyDescent="0.25">
      <c r="B3297" s="169" t="s">
        <v>1166</v>
      </c>
      <c r="C3297" s="169" t="s">
        <v>45</v>
      </c>
      <c r="D3297" s="169" t="s">
        <v>7025</v>
      </c>
      <c r="E3297" s="169" t="s">
        <v>19</v>
      </c>
      <c r="F3297" s="245" t="str">
        <f t="shared" si="205"/>
        <v>DVR 72</v>
      </c>
      <c r="G3297" s="169" t="s">
        <v>12672</v>
      </c>
      <c r="I3297" s="169" t="str">
        <f t="shared" si="206"/>
        <v>L11_DPVE_082E_RAISE</v>
      </c>
      <c r="J3297" s="169" t="s">
        <v>13236</v>
      </c>
      <c r="K3297" s="169">
        <f>IFERROR(MATCH(J3297,'Final List'!$B$4:$B$252,0),0)</f>
        <v>0</v>
      </c>
      <c r="L3297" s="169">
        <f>IFERROR(MATCH(J3297,'Final List'!$D$4:$D$252,0),0)</f>
        <v>0</v>
      </c>
      <c r="M3297" s="169">
        <f>IFERROR(MATCH(J3297,'Final List'!$F$4:$F$251,0),0)</f>
        <v>0</v>
      </c>
      <c r="N3297" s="169">
        <f>IFERROR(MATCH(J3297,'Final List'!$H$4:$H$252,0),0)</f>
        <v>0</v>
      </c>
      <c r="O3297" s="169">
        <f>IFERROR(MATCH(J3297,'Final List'!$J$4:$J$252,0),0)</f>
        <v>0</v>
      </c>
      <c r="P3297" s="169">
        <f>IFERROR(MATCH(J3297,'Final List'!$L$4:$L$252,0),0)</f>
        <v>0</v>
      </c>
      <c r="Q3297" s="169">
        <f>IFERROR(MATCH(J3297,'Final List'!$N$4:$N$252,0),0)</f>
        <v>0</v>
      </c>
      <c r="R3297" s="169">
        <f>IFERROR(MATCH(J3297,'Final List'!$P$4:$P$252,0),0)</f>
        <v>0</v>
      </c>
      <c r="S3297" s="169">
        <f t="shared" ref="S3297:S3360" si="208">SUM(K3297:R3297)</f>
        <v>0</v>
      </c>
      <c r="V3297" s="169" t="str">
        <f t="shared" si="207"/>
        <v>NITRO BE</v>
      </c>
      <c r="W3297" s="169" t="s">
        <v>2715</v>
      </c>
    </row>
    <row r="3298" spans="2:23" x14ac:dyDescent="0.25">
      <c r="B3298" s="169" t="s">
        <v>96</v>
      </c>
      <c r="C3298" s="169" t="s">
        <v>45</v>
      </c>
      <c r="D3298" s="169" t="s">
        <v>5872</v>
      </c>
      <c r="E3298" s="169" t="s">
        <v>6143</v>
      </c>
      <c r="F3298" s="245" t="str">
        <f t="shared" si="205"/>
        <v>Dhoz 71</v>
      </c>
      <c r="G3298" s="169" t="s">
        <v>13105</v>
      </c>
      <c r="I3298" s="169" t="str">
        <f t="shared" si="206"/>
        <v>L09_DPVE_076E_DE_ISL</v>
      </c>
      <c r="J3298" s="169" t="s">
        <v>9722</v>
      </c>
      <c r="K3298" s="169">
        <f>IFERROR(MATCH(J3298,'Final List'!$B$4:$B$252,0),0)</f>
        <v>0</v>
      </c>
      <c r="L3298" s="169">
        <f>IFERROR(MATCH(J3298,'Final List'!$D$4:$D$252,0),0)</f>
        <v>0</v>
      </c>
      <c r="M3298" s="169">
        <f>IFERROR(MATCH(J3298,'Final List'!$F$4:$F$251,0),0)</f>
        <v>0</v>
      </c>
      <c r="N3298" s="169">
        <f>IFERROR(MATCH(J3298,'Final List'!$H$4:$H$252,0),0)</f>
        <v>0</v>
      </c>
      <c r="O3298" s="169">
        <f>IFERROR(MATCH(J3298,'Final List'!$J$4:$J$252,0),0)</f>
        <v>0</v>
      </c>
      <c r="P3298" s="169">
        <f>IFERROR(MATCH(J3298,'Final List'!$L$4:$L$252,0),0)</f>
        <v>0</v>
      </c>
      <c r="Q3298" s="169">
        <f>IFERROR(MATCH(J3298,'Final List'!$N$4:$N$252,0),0)</f>
        <v>0</v>
      </c>
      <c r="R3298" s="169">
        <f>IFERROR(MATCH(J3298,'Final List'!$P$4:$P$252,0),0)</f>
        <v>0</v>
      </c>
      <c r="S3298" s="169">
        <f t="shared" si="208"/>
        <v>0</v>
      </c>
      <c r="V3298" s="169" t="str">
        <f t="shared" si="207"/>
        <v>NITRO BY</v>
      </c>
      <c r="W3298" s="169" t="s">
        <v>2708</v>
      </c>
    </row>
    <row r="3299" spans="2:23" x14ac:dyDescent="0.25">
      <c r="B3299" s="169" t="s">
        <v>1166</v>
      </c>
      <c r="C3299" s="169" t="s">
        <v>45</v>
      </c>
      <c r="D3299" s="169" t="s">
        <v>148</v>
      </c>
      <c r="E3299" s="169" t="s">
        <v>60</v>
      </c>
      <c r="F3299" s="245" t="str">
        <f t="shared" si="205"/>
        <v>Dhoz 71</v>
      </c>
      <c r="G3299" s="169" t="s">
        <v>1369</v>
      </c>
      <c r="I3299" s="169" t="str">
        <f t="shared" si="206"/>
        <v>L11_DPVE_039E_DE</v>
      </c>
      <c r="J3299" s="169" t="s">
        <v>13241</v>
      </c>
      <c r="K3299" s="169">
        <f>IFERROR(MATCH(J3299,'Final List'!$B$4:$B$252,0),0)</f>
        <v>0</v>
      </c>
      <c r="L3299" s="169">
        <f>IFERROR(MATCH(J3299,'Final List'!$D$4:$D$252,0),0)</f>
        <v>0</v>
      </c>
      <c r="M3299" s="169">
        <f>IFERROR(MATCH(J3299,'Final List'!$F$4:$F$251,0),0)</f>
        <v>0</v>
      </c>
      <c r="N3299" s="169">
        <f>IFERROR(MATCH(J3299,'Final List'!$H$4:$H$252,0),0)</f>
        <v>0</v>
      </c>
      <c r="O3299" s="169">
        <f>IFERROR(MATCH(J3299,'Final List'!$J$4:$J$252,0),0)</f>
        <v>0</v>
      </c>
      <c r="P3299" s="169">
        <f>IFERROR(MATCH(J3299,'Final List'!$L$4:$L$252,0),0)</f>
        <v>0</v>
      </c>
      <c r="Q3299" s="169">
        <f>IFERROR(MATCH(J3299,'Final List'!$N$4:$N$252,0),0)</f>
        <v>0</v>
      </c>
      <c r="R3299" s="169">
        <f>IFERROR(MATCH(J3299,'Final List'!$P$4:$P$252,0),0)</f>
        <v>0</v>
      </c>
      <c r="S3299" s="169">
        <f t="shared" si="208"/>
        <v>0</v>
      </c>
      <c r="V3299" s="169" t="str">
        <f t="shared" si="207"/>
        <v>TORMIS</v>
      </c>
      <c r="W3299" s="169" t="s">
        <v>8896</v>
      </c>
    </row>
    <row r="3300" spans="2:23" x14ac:dyDescent="0.25">
      <c r="B3300" s="169" t="s">
        <v>1166</v>
      </c>
      <c r="C3300" s="169" t="s">
        <v>56</v>
      </c>
      <c r="D3300" s="169" t="s">
        <v>119</v>
      </c>
      <c r="E3300" s="169" t="s">
        <v>61</v>
      </c>
      <c r="F3300" s="245" t="str">
        <f t="shared" si="205"/>
        <v>Dhoz 71</v>
      </c>
      <c r="G3300" s="169" t="s">
        <v>6954</v>
      </c>
      <c r="I3300" s="169" t="str">
        <f t="shared" si="206"/>
        <v>L11_GHVFW_012E_DW</v>
      </c>
      <c r="J3300" s="169" t="s">
        <v>13311</v>
      </c>
      <c r="K3300" s="169">
        <f>IFERROR(MATCH(J3300,'Final List'!$B$4:$B$252,0),0)</f>
        <v>0</v>
      </c>
      <c r="L3300" s="169">
        <f>IFERROR(MATCH(J3300,'Final List'!$D$4:$D$252,0),0)</f>
        <v>0</v>
      </c>
      <c r="M3300" s="169">
        <f>IFERROR(MATCH(J3300,'Final List'!$F$4:$F$251,0),0)</f>
        <v>0</v>
      </c>
      <c r="N3300" s="169">
        <f>IFERROR(MATCH(J3300,'Final List'!$H$4:$H$252,0),0)</f>
        <v>0</v>
      </c>
      <c r="O3300" s="169">
        <f>IFERROR(MATCH(J3300,'Final List'!$J$4:$J$252,0),0)</f>
        <v>0</v>
      </c>
      <c r="P3300" s="169">
        <f>IFERROR(MATCH(J3300,'Final List'!$L$4:$L$252,0),0)</f>
        <v>0</v>
      </c>
      <c r="Q3300" s="169">
        <f>IFERROR(MATCH(J3300,'Final List'!$N$4:$N$252,0),0)</f>
        <v>0</v>
      </c>
      <c r="R3300" s="169">
        <f>IFERROR(MATCH(J3300,'Final List'!$P$4:$P$252,0),0)</f>
        <v>0</v>
      </c>
      <c r="S3300" s="169">
        <f t="shared" si="208"/>
        <v>0</v>
      </c>
      <c r="V3300" s="169" t="str">
        <f t="shared" si="207"/>
        <v>BADBADON</v>
      </c>
      <c r="W3300" s="169" t="s">
        <v>8896</v>
      </c>
    </row>
    <row r="3301" spans="2:23" x14ac:dyDescent="0.25">
      <c r="B3301" s="169" t="s">
        <v>1166</v>
      </c>
      <c r="C3301" s="169" t="s">
        <v>45</v>
      </c>
      <c r="D3301" s="169" t="s">
        <v>6387</v>
      </c>
      <c r="E3301" s="169" t="s">
        <v>61</v>
      </c>
      <c r="F3301" s="245" t="str">
        <f t="shared" si="205"/>
        <v>Dhoz 71</v>
      </c>
      <c r="G3301" s="169" t="s">
        <v>488</v>
      </c>
      <c r="I3301" s="169" t="str">
        <f t="shared" si="206"/>
        <v>L11_DPVE_079E_DW</v>
      </c>
      <c r="J3301" s="169" t="s">
        <v>13243</v>
      </c>
      <c r="K3301" s="169">
        <f>IFERROR(MATCH(J3301,'Final List'!$B$4:$B$252,0),0)</f>
        <v>0</v>
      </c>
      <c r="L3301" s="169">
        <f>IFERROR(MATCH(J3301,'Final List'!$D$4:$D$252,0),0)</f>
        <v>0</v>
      </c>
      <c r="M3301" s="169">
        <f>IFERROR(MATCH(J3301,'Final List'!$F$4:$F$251,0),0)</f>
        <v>0</v>
      </c>
      <c r="N3301" s="169">
        <f>IFERROR(MATCH(J3301,'Final List'!$H$4:$H$252,0),0)</f>
        <v>0</v>
      </c>
      <c r="O3301" s="169">
        <f>IFERROR(MATCH(J3301,'Final List'!$J$4:$J$252,0),0)</f>
        <v>0</v>
      </c>
      <c r="P3301" s="169">
        <f>IFERROR(MATCH(J3301,'Final List'!$L$4:$L$252,0),0)</f>
        <v>0</v>
      </c>
      <c r="Q3301" s="169">
        <f>IFERROR(MATCH(J3301,'Final List'!$N$4:$N$252,0),0)</f>
        <v>0</v>
      </c>
      <c r="R3301" s="169">
        <f>IFERROR(MATCH(J3301,'Final List'!$P$4:$P$252,0),0)</f>
        <v>0</v>
      </c>
      <c r="S3301" s="169">
        <f t="shared" si="208"/>
        <v>0</v>
      </c>
      <c r="V3301" s="169" t="str">
        <f t="shared" si="207"/>
        <v>BAÑEZ 9</v>
      </c>
      <c r="W3301" s="169" t="s">
        <v>8896</v>
      </c>
    </row>
    <row r="3302" spans="2:23" x14ac:dyDescent="0.25">
      <c r="B3302" s="169" t="s">
        <v>1167</v>
      </c>
      <c r="C3302" s="169" t="s">
        <v>42</v>
      </c>
      <c r="D3302" s="169" t="s">
        <v>5602</v>
      </c>
      <c r="E3302" s="169" t="s">
        <v>19</v>
      </c>
      <c r="F3302" s="245" t="str">
        <f t="shared" si="205"/>
        <v>DVR 72</v>
      </c>
      <c r="G3302" s="169" t="s">
        <v>12066</v>
      </c>
      <c r="I3302" s="169" t="str">
        <f t="shared" si="206"/>
        <v>L12_JV_053E_RAISE</v>
      </c>
      <c r="J3302" s="169" t="s">
        <v>13248</v>
      </c>
      <c r="K3302" s="169">
        <f>IFERROR(MATCH(J3302,'Final List'!$B$4:$B$252,0),0)</f>
        <v>0</v>
      </c>
      <c r="L3302" s="169">
        <f>IFERROR(MATCH(J3302,'Final List'!$D$4:$D$252,0),0)</f>
        <v>0</v>
      </c>
      <c r="M3302" s="169">
        <f>IFERROR(MATCH(J3302,'Final List'!$F$4:$F$251,0),0)</f>
        <v>0</v>
      </c>
      <c r="N3302" s="169">
        <f>IFERROR(MATCH(J3302,'Final List'!$H$4:$H$252,0),0)</f>
        <v>0</v>
      </c>
      <c r="O3302" s="169">
        <f>IFERROR(MATCH(J3302,'Final List'!$J$4:$J$252,0),0)</f>
        <v>0</v>
      </c>
      <c r="P3302" s="169">
        <f>IFERROR(MATCH(J3302,'Final List'!$L$4:$L$252,0),0)</f>
        <v>0</v>
      </c>
      <c r="Q3302" s="169">
        <f>IFERROR(MATCH(J3302,'Final List'!$N$4:$N$252,0),0)</f>
        <v>0</v>
      </c>
      <c r="R3302" s="169">
        <f>IFERROR(MATCH(J3302,'Final List'!$P$4:$P$252,0),0)</f>
        <v>0</v>
      </c>
      <c r="S3302" s="169">
        <f t="shared" si="208"/>
        <v>0</v>
      </c>
      <c r="V3302" s="169" t="str">
        <f t="shared" si="207"/>
        <v>NITRO BC 1</v>
      </c>
      <c r="W3302" s="169" t="s">
        <v>2715</v>
      </c>
    </row>
    <row r="3303" spans="2:23" x14ac:dyDescent="0.25">
      <c r="B3303" s="169" t="s">
        <v>1167</v>
      </c>
      <c r="C3303" s="169" t="s">
        <v>55</v>
      </c>
      <c r="D3303" s="169" t="s">
        <v>133</v>
      </c>
      <c r="E3303" s="169" t="s">
        <v>61</v>
      </c>
      <c r="F3303" s="245" t="str">
        <f t="shared" si="205"/>
        <v>Dhoz 71</v>
      </c>
      <c r="G3303" s="169" t="s">
        <v>12548</v>
      </c>
      <c r="I3303" s="169" t="str">
        <f t="shared" si="206"/>
        <v>L12_JVFW_037E_DW</v>
      </c>
      <c r="J3303" s="169" t="s">
        <v>13439</v>
      </c>
      <c r="K3303" s="169">
        <f>IFERROR(MATCH(J3303,'Final List'!$B$4:$B$252,0),0)</f>
        <v>0</v>
      </c>
      <c r="L3303" s="169">
        <f>IFERROR(MATCH(J3303,'Final List'!$D$4:$D$252,0),0)</f>
        <v>0</v>
      </c>
      <c r="M3303" s="169">
        <f>IFERROR(MATCH(J3303,'Final List'!$F$4:$F$251,0),0)</f>
        <v>0</v>
      </c>
      <c r="N3303" s="169">
        <f>IFERROR(MATCH(J3303,'Final List'!$H$4:$H$252,0),0)</f>
        <v>0</v>
      </c>
      <c r="O3303" s="169">
        <f>IFERROR(MATCH(J3303,'Final List'!$J$4:$J$252,0),0)</f>
        <v>0</v>
      </c>
      <c r="P3303" s="169">
        <f>IFERROR(MATCH(J3303,'Final List'!$L$4:$L$252,0),0)</f>
        <v>0</v>
      </c>
      <c r="Q3303" s="169">
        <f>IFERROR(MATCH(J3303,'Final List'!$N$4:$N$252,0),0)</f>
        <v>0</v>
      </c>
      <c r="R3303" s="169">
        <f>IFERROR(MATCH(J3303,'Final List'!$P$4:$P$252,0),0)</f>
        <v>0</v>
      </c>
      <c r="S3303" s="169">
        <f t="shared" si="208"/>
        <v>0</v>
      </c>
      <c r="V3303" s="169" t="str">
        <f t="shared" si="207"/>
        <v>NITRO BM</v>
      </c>
      <c r="W3303" s="169" t="s">
        <v>8896</v>
      </c>
    </row>
    <row r="3304" spans="2:23" x14ac:dyDescent="0.25">
      <c r="B3304" s="169" t="s">
        <v>1167</v>
      </c>
      <c r="C3304" s="169" t="s">
        <v>87</v>
      </c>
      <c r="D3304" s="169" t="s">
        <v>122</v>
      </c>
      <c r="E3304" s="169" t="s">
        <v>63</v>
      </c>
      <c r="F3304" s="245" t="str">
        <f t="shared" si="205"/>
        <v>Dhoz 71</v>
      </c>
      <c r="G3304" s="169" t="s">
        <v>10002</v>
      </c>
      <c r="I3304" s="169" t="str">
        <f t="shared" si="206"/>
        <v>L12_NONE_025E_XCS</v>
      </c>
      <c r="J3304" s="169" t="s">
        <v>14188</v>
      </c>
      <c r="K3304" s="169">
        <f>IFERROR(MATCH(J3304,'Final List'!$B$4:$B$252,0),0)</f>
        <v>0</v>
      </c>
      <c r="L3304" s="169">
        <f>IFERROR(MATCH(J3304,'Final List'!$D$4:$D$252,0),0)</f>
        <v>0</v>
      </c>
      <c r="M3304" s="169">
        <f>IFERROR(MATCH(J3304,'Final List'!$F$4:$F$251,0),0)</f>
        <v>0</v>
      </c>
      <c r="N3304" s="169">
        <f>IFERROR(MATCH(J3304,'Final List'!$H$4:$H$252,0),0)</f>
        <v>0</v>
      </c>
      <c r="O3304" s="169">
        <f>IFERROR(MATCH(J3304,'Final List'!$J$4:$J$252,0),0)</f>
        <v>0</v>
      </c>
      <c r="P3304" s="169">
        <f>IFERROR(MATCH(J3304,'Final List'!$L$4:$L$252,0),0)</f>
        <v>0</v>
      </c>
      <c r="Q3304" s="169">
        <f>IFERROR(MATCH(J3304,'Final List'!$N$4:$N$252,0),0)</f>
        <v>0</v>
      </c>
      <c r="R3304" s="169">
        <f>IFERROR(MATCH(J3304,'Final List'!$P$4:$P$252,0),0)</f>
        <v>0</v>
      </c>
      <c r="S3304" s="169">
        <f t="shared" si="208"/>
        <v>0</v>
      </c>
      <c r="V3304" s="169" t="str">
        <f t="shared" si="207"/>
        <v>CAYMAN 3</v>
      </c>
      <c r="W3304" s="169" t="s">
        <v>8898</v>
      </c>
    </row>
    <row r="3305" spans="2:23" ht="15.75" x14ac:dyDescent="0.25">
      <c r="B3305" s="169" t="s">
        <v>1167</v>
      </c>
      <c r="C3305" s="169" t="s">
        <v>45</v>
      </c>
      <c r="D3305" s="169" t="s">
        <v>141</v>
      </c>
      <c r="E3305" s="169" t="s">
        <v>19</v>
      </c>
      <c r="F3305" s="245" t="str">
        <f t="shared" si="205"/>
        <v>DVR 72</v>
      </c>
      <c r="G3305" s="169" t="s">
        <v>12548</v>
      </c>
      <c r="H3305" s="107" t="s">
        <v>12568</v>
      </c>
      <c r="I3305" s="169" t="s">
        <v>13847</v>
      </c>
      <c r="J3305" s="169" t="s">
        <v>13847</v>
      </c>
      <c r="K3305" s="169">
        <f>IFERROR(MATCH(J3305,'Final List'!$B$4:$B$252,0),0)</f>
        <v>0</v>
      </c>
      <c r="L3305" s="169">
        <f>IFERROR(MATCH(J3305,'Final List'!$D$4:$D$252,0),0)</f>
        <v>0</v>
      </c>
      <c r="M3305" s="169">
        <f>IFERROR(MATCH(J3305,'Final List'!$F$4:$F$251,0),0)</f>
        <v>0</v>
      </c>
      <c r="N3305" s="169">
        <f>IFERROR(MATCH(J3305,'Final List'!$H$4:$H$252,0),0)</f>
        <v>0</v>
      </c>
      <c r="O3305" s="169">
        <f>IFERROR(MATCH(J3305,'Final List'!$J$4:$J$252,0),0)</f>
        <v>0</v>
      </c>
      <c r="P3305" s="169">
        <f>IFERROR(MATCH(J3305,'Final List'!$L$4:$L$252,0),0)</f>
        <v>0</v>
      </c>
      <c r="Q3305" s="169">
        <f>IFERROR(MATCH(J3305,'Final List'!$N$4:$N$252,0),0)</f>
        <v>0</v>
      </c>
      <c r="R3305" s="169">
        <f>IFERROR(MATCH(J3305,'Final List'!$P$4:$P$252,0),0)</f>
        <v>0</v>
      </c>
      <c r="S3305" s="169">
        <f t="shared" si="208"/>
        <v>0</v>
      </c>
      <c r="V3305" s="169" t="str">
        <f t="shared" si="207"/>
        <v>NITRO BP</v>
      </c>
      <c r="W3305" s="169" t="s">
        <v>2715</v>
      </c>
    </row>
    <row r="3306" spans="2:23" x14ac:dyDescent="0.25">
      <c r="B3306" s="169" t="s">
        <v>12320</v>
      </c>
      <c r="C3306" s="169" t="s">
        <v>59</v>
      </c>
      <c r="D3306" s="169" t="s">
        <v>5604</v>
      </c>
      <c r="E3306" s="169" t="s">
        <v>19</v>
      </c>
      <c r="F3306" s="245" t="str">
        <f t="shared" si="205"/>
        <v>DVR 72</v>
      </c>
      <c r="G3306" s="169" t="s">
        <v>12963</v>
      </c>
      <c r="H3306" s="169" t="s">
        <v>75</v>
      </c>
      <c r="I3306" s="169" t="str">
        <f t="shared" si="206"/>
        <v>L425_GHVHW_063E_RAISE</v>
      </c>
      <c r="J3306" s="169" t="s">
        <v>13257</v>
      </c>
      <c r="K3306" s="169">
        <f>IFERROR(MATCH(J3306,'Final List'!$B$4:$B$252,0),0)</f>
        <v>0</v>
      </c>
      <c r="L3306" s="169">
        <f>IFERROR(MATCH(J3306,'Final List'!$D$4:$D$252,0),0)</f>
        <v>0</v>
      </c>
      <c r="M3306" s="169">
        <f>IFERROR(MATCH(J3306,'Final List'!$F$4:$F$251,0),0)</f>
        <v>0</v>
      </c>
      <c r="N3306" s="169">
        <f>IFERROR(MATCH(J3306,'Final List'!$H$4:$H$252,0),0)</f>
        <v>0</v>
      </c>
      <c r="O3306" s="169">
        <f>IFERROR(MATCH(J3306,'Final List'!$J$4:$J$252,0),0)</f>
        <v>0</v>
      </c>
      <c r="P3306" s="169">
        <f>IFERROR(MATCH(J3306,'Final List'!$L$4:$L$252,0),0)</f>
        <v>0</v>
      </c>
      <c r="Q3306" s="169">
        <f>IFERROR(MATCH(J3306,'Final List'!$N$4:$N$252,0),0)</f>
        <v>0</v>
      </c>
      <c r="R3306" s="169">
        <f>IFERROR(MATCH(J3306,'Final List'!$P$4:$P$252,0),0)</f>
        <v>0</v>
      </c>
      <c r="S3306" s="169">
        <f t="shared" si="208"/>
        <v>0</v>
      </c>
      <c r="V3306" s="169" t="str">
        <f t="shared" si="207"/>
        <v>BABOR</v>
      </c>
      <c r="W3306" s="169" t="s">
        <v>2715</v>
      </c>
    </row>
    <row r="3307" spans="2:23" x14ac:dyDescent="0.25">
      <c r="B3307" s="169" t="s">
        <v>1166</v>
      </c>
      <c r="C3307" s="169" t="s">
        <v>39</v>
      </c>
      <c r="D3307" s="169" t="s">
        <v>197</v>
      </c>
      <c r="E3307" s="169" t="s">
        <v>36</v>
      </c>
      <c r="F3307" s="245" t="str">
        <f t="shared" si="205"/>
        <v>StpS 77</v>
      </c>
      <c r="G3307" s="169" t="s">
        <v>5</v>
      </c>
      <c r="I3307" s="169" t="str">
        <f t="shared" si="206"/>
        <v>L11_JVHW_070E_STOPE</v>
      </c>
      <c r="J3307" s="169" t="s">
        <v>13381</v>
      </c>
      <c r="K3307" s="169">
        <f>IFERROR(MATCH(J3307,'Final List'!$B$4:$B$252,0),0)</f>
        <v>0</v>
      </c>
      <c r="L3307" s="169">
        <f>IFERROR(MATCH(J3307,'Final List'!$D$4:$D$252,0),0)</f>
        <v>0</v>
      </c>
      <c r="M3307" s="169">
        <f>IFERROR(MATCH(J3307,'Final List'!$F$4:$F$251,0),0)</f>
        <v>0</v>
      </c>
      <c r="N3307" s="169">
        <f>IFERROR(MATCH(J3307,'Final List'!$H$4:$H$252,0),0)</f>
        <v>0</v>
      </c>
      <c r="O3307" s="169">
        <f>IFERROR(MATCH(J3307,'Final List'!$J$4:$J$252,0),0)</f>
        <v>0</v>
      </c>
      <c r="P3307" s="169">
        <f>IFERROR(MATCH(J3307,'Final List'!$L$4:$L$252,0),0)</f>
        <v>0</v>
      </c>
      <c r="Q3307" s="169">
        <f>IFERROR(MATCH(J3307,'Final List'!$N$4:$N$252,0),0)</f>
        <v>0</v>
      </c>
      <c r="R3307" s="169">
        <f>IFERROR(MATCH(J3307,'Final List'!$P$4:$P$252,0),0)</f>
        <v>0</v>
      </c>
      <c r="S3307" s="169">
        <f t="shared" si="208"/>
        <v>0</v>
      </c>
      <c r="T3307" s="169" t="s">
        <v>68</v>
      </c>
      <c r="V3307" s="169" t="str">
        <f t="shared" si="207"/>
        <v>BELICAN</v>
      </c>
      <c r="W3307" s="169" t="s">
        <v>2713</v>
      </c>
    </row>
    <row r="3308" spans="2:23" x14ac:dyDescent="0.25">
      <c r="B3308" s="169" t="s">
        <v>95</v>
      </c>
      <c r="C3308" s="169" t="s">
        <v>38</v>
      </c>
      <c r="D3308" s="169" t="s">
        <v>117</v>
      </c>
      <c r="E3308" s="169" t="s">
        <v>62</v>
      </c>
      <c r="F3308" s="245" t="str">
        <f t="shared" si="205"/>
        <v>RobS 79</v>
      </c>
      <c r="G3308" s="169" t="s">
        <v>6216</v>
      </c>
      <c r="H3308" s="169" t="s">
        <v>15076</v>
      </c>
      <c r="I3308" s="169" t="str">
        <f t="shared" si="206"/>
        <v>L08_GHV_006W_ROBBING</v>
      </c>
      <c r="J3308" s="169" t="s">
        <v>13263</v>
      </c>
      <c r="K3308" s="169">
        <f>IFERROR(MATCH(J3308,'Final List'!$B$4:$B$252,0),0)</f>
        <v>0</v>
      </c>
      <c r="L3308" s="169">
        <f>IFERROR(MATCH(J3308,'Final List'!$D$4:$D$252,0),0)</f>
        <v>0</v>
      </c>
      <c r="M3308" s="169">
        <f>IFERROR(MATCH(J3308,'Final List'!$F$4:$F$251,0),0)</f>
        <v>0</v>
      </c>
      <c r="N3308" s="169">
        <f>IFERROR(MATCH(J3308,'Final List'!$H$4:$H$252,0),0)</f>
        <v>0</v>
      </c>
      <c r="O3308" s="169">
        <f>IFERROR(MATCH(J3308,'Final List'!$J$4:$J$252,0),0)</f>
        <v>0</v>
      </c>
      <c r="P3308" s="169">
        <f>IFERROR(MATCH(J3308,'Final List'!$L$4:$L$252,0),0)</f>
        <v>0</v>
      </c>
      <c r="Q3308" s="169">
        <f>IFERROR(MATCH(J3308,'Final List'!$N$4:$N$252,0),0)</f>
        <v>0</v>
      </c>
      <c r="R3308" s="169">
        <f>IFERROR(MATCH(J3308,'Final List'!$P$4:$P$252,0),0)</f>
        <v>0</v>
      </c>
      <c r="S3308" s="169">
        <f t="shared" si="208"/>
        <v>0</v>
      </c>
      <c r="T3308" s="169" t="s">
        <v>68</v>
      </c>
      <c r="V3308" s="169" t="str">
        <f t="shared" si="207"/>
        <v>NITRO CQ</v>
      </c>
      <c r="W3308" s="169" t="s">
        <v>2707</v>
      </c>
    </row>
    <row r="3309" spans="2:23" x14ac:dyDescent="0.25">
      <c r="B3309" s="169" t="s">
        <v>1167</v>
      </c>
      <c r="C3309" s="169" t="s">
        <v>45</v>
      </c>
      <c r="D3309" s="169" t="s">
        <v>5781</v>
      </c>
      <c r="E3309" s="169" t="s">
        <v>36</v>
      </c>
      <c r="F3309" s="245" t="str">
        <f t="shared" si="205"/>
        <v>StpS 77</v>
      </c>
      <c r="G3309" s="169" t="s">
        <v>75</v>
      </c>
      <c r="I3309" s="169" t="str">
        <f t="shared" si="206"/>
        <v>L12_DPVE_051E_STOPE</v>
      </c>
      <c r="J3309" s="169" t="s">
        <v>13398</v>
      </c>
      <c r="K3309" s="169">
        <f>IFERROR(MATCH(J3309,'Final List'!$B$4:$B$252,0),0)</f>
        <v>0</v>
      </c>
      <c r="L3309" s="169">
        <f>IFERROR(MATCH(J3309,'Final List'!$D$4:$D$252,0),0)</f>
        <v>0</v>
      </c>
      <c r="M3309" s="169">
        <f>IFERROR(MATCH(J3309,'Final List'!$F$4:$F$251,0),0)</f>
        <v>0</v>
      </c>
      <c r="N3309" s="169">
        <f>IFERROR(MATCH(J3309,'Final List'!$H$4:$H$252,0),0)</f>
        <v>0</v>
      </c>
      <c r="O3309" s="169">
        <f>IFERROR(MATCH(J3309,'Final List'!$J$4:$J$252,0),0)</f>
        <v>0</v>
      </c>
      <c r="P3309" s="169">
        <f>IFERROR(MATCH(J3309,'Final List'!$L$4:$L$252,0),0)</f>
        <v>0</v>
      </c>
      <c r="Q3309" s="169">
        <f>IFERROR(MATCH(J3309,'Final List'!$N$4:$N$252,0),0)</f>
        <v>0</v>
      </c>
      <c r="R3309" s="169">
        <f>IFERROR(MATCH(J3309,'Final List'!$P$4:$P$252,0),0)</f>
        <v>0</v>
      </c>
      <c r="S3309" s="169">
        <f t="shared" si="208"/>
        <v>0</v>
      </c>
      <c r="T3309" s="169" t="s">
        <v>68</v>
      </c>
      <c r="V3309" s="169" t="str">
        <f t="shared" si="207"/>
        <v>BABOR</v>
      </c>
      <c r="W3309" s="169" t="s">
        <v>2713</v>
      </c>
    </row>
    <row r="3310" spans="2:23" x14ac:dyDescent="0.25">
      <c r="B3310" s="169" t="s">
        <v>96</v>
      </c>
      <c r="C3310" s="169" t="s">
        <v>45</v>
      </c>
      <c r="D3310" s="169" t="s">
        <v>5975</v>
      </c>
      <c r="E3310" s="169" t="s">
        <v>13269</v>
      </c>
      <c r="F3310" s="245">
        <f t="shared" si="205"/>
        <v>0</v>
      </c>
      <c r="G3310" s="169" t="s">
        <v>350</v>
      </c>
      <c r="I3310" s="169" t="str">
        <f t="shared" si="206"/>
        <v>L09_DPVE_028E_FILL WINZE</v>
      </c>
      <c r="J3310" s="169" t="s">
        <v>13268</v>
      </c>
      <c r="K3310" s="169">
        <f>IFERROR(MATCH(J3310,'Final List'!$B$4:$B$252,0),0)</f>
        <v>0</v>
      </c>
      <c r="L3310" s="169">
        <f>IFERROR(MATCH(J3310,'Final List'!$D$4:$D$252,0),0)</f>
        <v>0</v>
      </c>
      <c r="M3310" s="169">
        <f>IFERROR(MATCH(J3310,'Final List'!$F$4:$F$251,0),0)</f>
        <v>0</v>
      </c>
      <c r="N3310" s="169">
        <f>IFERROR(MATCH(J3310,'Final List'!$H$4:$H$252,0),0)</f>
        <v>0</v>
      </c>
      <c r="O3310" s="169">
        <f>IFERROR(MATCH(J3310,'Final List'!$J$4:$J$252,0),0)</f>
        <v>0</v>
      </c>
      <c r="P3310" s="169">
        <f>IFERROR(MATCH(J3310,'Final List'!$L$4:$L$252,0),0)</f>
        <v>0</v>
      </c>
      <c r="Q3310" s="169">
        <f>IFERROR(MATCH(J3310,'Final List'!$N$4:$N$252,0),0)</f>
        <v>0</v>
      </c>
      <c r="R3310" s="169">
        <f>IFERROR(MATCH(J3310,'Final List'!$P$4:$P$252,0),0)</f>
        <v>0</v>
      </c>
      <c r="S3310" s="169">
        <f t="shared" si="208"/>
        <v>0</v>
      </c>
      <c r="V3310" s="169" t="str">
        <f t="shared" si="207"/>
        <v>QUIJANO 1</v>
      </c>
      <c r="W3310" s="169" t="s">
        <v>2706</v>
      </c>
    </row>
    <row r="3311" spans="2:23" ht="15.75" x14ac:dyDescent="0.25">
      <c r="B3311" s="169" t="s">
        <v>12320</v>
      </c>
      <c r="C3311" s="169" t="s">
        <v>43</v>
      </c>
      <c r="D3311" s="169" t="s">
        <v>169</v>
      </c>
      <c r="E3311" s="169" t="s">
        <v>60</v>
      </c>
      <c r="F3311" s="245" t="str">
        <f t="shared" si="205"/>
        <v>Dhoz 71</v>
      </c>
      <c r="G3311" s="169" t="s">
        <v>389</v>
      </c>
      <c r="H3311" s="106" t="s">
        <v>11884</v>
      </c>
      <c r="I3311" s="169" t="str">
        <f t="shared" si="206"/>
        <v>L425_GHVSPLIT_065E_DE</v>
      </c>
      <c r="J3311" s="169" t="s">
        <v>13273</v>
      </c>
      <c r="K3311" s="169">
        <f>IFERROR(MATCH(J3311,'Final List'!$B$4:$B$252,0),0)</f>
        <v>0</v>
      </c>
      <c r="L3311" s="169">
        <f>IFERROR(MATCH(J3311,'Final List'!$D$4:$D$252,0),0)</f>
        <v>0</v>
      </c>
      <c r="M3311" s="169">
        <f>IFERROR(MATCH(J3311,'Final List'!$F$4:$F$251,0),0)</f>
        <v>0</v>
      </c>
      <c r="N3311" s="169">
        <f>IFERROR(MATCH(J3311,'Final List'!$H$4:$H$252,0),0)</f>
        <v>0</v>
      </c>
      <c r="O3311" s="169">
        <f>IFERROR(MATCH(J3311,'Final List'!$J$4:$J$252,0),0)</f>
        <v>0</v>
      </c>
      <c r="P3311" s="169">
        <f>IFERROR(MATCH(J3311,'Final List'!$L$4:$L$252,0),0)</f>
        <v>0</v>
      </c>
      <c r="Q3311" s="169">
        <f>IFERROR(MATCH(J3311,'Final List'!$N$4:$N$252,0),0)</f>
        <v>0</v>
      </c>
      <c r="R3311" s="169">
        <f>IFERROR(MATCH(J3311,'Final List'!$P$4:$P$252,0),0)</f>
        <v>0</v>
      </c>
      <c r="S3311" s="169">
        <f t="shared" si="208"/>
        <v>0</v>
      </c>
      <c r="V3311" s="169" t="str">
        <f t="shared" si="207"/>
        <v>DUHIG, R</v>
      </c>
      <c r="W3311" s="169" t="s">
        <v>8896</v>
      </c>
    </row>
    <row r="3312" spans="2:23" x14ac:dyDescent="0.25">
      <c r="B3312" s="169" t="s">
        <v>12320</v>
      </c>
      <c r="C3312" s="169" t="s">
        <v>87</v>
      </c>
      <c r="D3312" s="169" t="s">
        <v>148</v>
      </c>
      <c r="E3312" s="169" t="s">
        <v>37</v>
      </c>
      <c r="F3312" s="245" t="str">
        <f t="shared" si="205"/>
        <v>Dhoz 71</v>
      </c>
      <c r="G3312" s="169" t="s">
        <v>1510</v>
      </c>
      <c r="H3312" s="169" t="s">
        <v>355</v>
      </c>
      <c r="I3312" s="169" t="str">
        <f t="shared" si="206"/>
        <v>L425_NONE_039E_XCN</v>
      </c>
      <c r="J3312" s="169" t="s">
        <v>13591</v>
      </c>
      <c r="K3312" s="169">
        <f>IFERROR(MATCH(J3312,'Final List'!$B$4:$B$252,0),0)</f>
        <v>0</v>
      </c>
      <c r="L3312" s="169">
        <f>IFERROR(MATCH(J3312,'Final List'!$D$4:$D$252,0),0)</f>
        <v>0</v>
      </c>
      <c r="M3312" s="169">
        <f>IFERROR(MATCH(J3312,'Final List'!$F$4:$F$251,0),0)</f>
        <v>0</v>
      </c>
      <c r="N3312" s="169">
        <f>IFERROR(MATCH(J3312,'Final List'!$H$4:$H$252,0),0)</f>
        <v>0</v>
      </c>
      <c r="O3312" s="169">
        <f>IFERROR(MATCH(J3312,'Final List'!$J$4:$J$252,0),0)</f>
        <v>0</v>
      </c>
      <c r="P3312" s="169">
        <f>IFERROR(MATCH(J3312,'Final List'!$L$4:$L$252,0),0)</f>
        <v>0</v>
      </c>
      <c r="Q3312" s="169">
        <f>IFERROR(MATCH(J3312,'Final List'!$N$4:$N$252,0),0)</f>
        <v>0</v>
      </c>
      <c r="R3312" s="169">
        <f>IFERROR(MATCH(J3312,'Final List'!$P$4:$P$252,0),0)</f>
        <v>0</v>
      </c>
      <c r="S3312" s="169">
        <f t="shared" si="208"/>
        <v>0</v>
      </c>
      <c r="V3312" s="169" t="str">
        <f t="shared" si="207"/>
        <v>BAÑEZ 2</v>
      </c>
      <c r="W3312" s="169" t="s">
        <v>8898</v>
      </c>
    </row>
    <row r="3313" spans="2:23" x14ac:dyDescent="0.25">
      <c r="B3313" s="169" t="s">
        <v>95</v>
      </c>
      <c r="C3313" s="169" t="s">
        <v>57</v>
      </c>
      <c r="D3313" s="169" t="s">
        <v>115</v>
      </c>
      <c r="E3313" s="169" t="s">
        <v>36</v>
      </c>
      <c r="F3313" s="245" t="str">
        <f t="shared" si="205"/>
        <v>StpS 77</v>
      </c>
      <c r="G3313" s="169" t="s">
        <v>8045</v>
      </c>
      <c r="I3313" s="169" t="str">
        <f t="shared" si="206"/>
        <v>L08_JVSPLIT_019W_STOPE</v>
      </c>
      <c r="J3313" s="169" t="s">
        <v>13394</v>
      </c>
      <c r="K3313" s="169">
        <f>IFERROR(MATCH(J3313,'Final List'!$B$4:$B$252,0),0)</f>
        <v>0</v>
      </c>
      <c r="L3313" s="169">
        <f>IFERROR(MATCH(J3313,'Final List'!$D$4:$D$252,0),0)</f>
        <v>0</v>
      </c>
      <c r="M3313" s="169">
        <f>IFERROR(MATCH(J3313,'Final List'!$F$4:$F$251,0),0)</f>
        <v>0</v>
      </c>
      <c r="N3313" s="169">
        <f>IFERROR(MATCH(J3313,'Final List'!$H$4:$H$252,0),0)</f>
        <v>0</v>
      </c>
      <c r="O3313" s="169">
        <f>IFERROR(MATCH(J3313,'Final List'!$J$4:$J$252,0),0)</f>
        <v>0</v>
      </c>
      <c r="P3313" s="169">
        <f>IFERROR(MATCH(J3313,'Final List'!$L$4:$L$252,0),0)</f>
        <v>0</v>
      </c>
      <c r="Q3313" s="169">
        <f>IFERROR(MATCH(J3313,'Final List'!$N$4:$N$252,0),0)</f>
        <v>0</v>
      </c>
      <c r="R3313" s="169">
        <f>IFERROR(MATCH(J3313,'Final List'!$P$4:$P$252,0),0)</f>
        <v>0</v>
      </c>
      <c r="S3313" s="169">
        <f t="shared" si="208"/>
        <v>0</v>
      </c>
      <c r="T3313" s="169" t="s">
        <v>68</v>
      </c>
      <c r="V3313" s="169" t="str">
        <f t="shared" si="207"/>
        <v>CAPUYAN</v>
      </c>
      <c r="W3313" s="169" t="s">
        <v>2713</v>
      </c>
    </row>
    <row r="3314" spans="2:23" x14ac:dyDescent="0.25">
      <c r="B3314" s="169" t="s">
        <v>12320</v>
      </c>
      <c r="C3314" s="169" t="s">
        <v>39</v>
      </c>
      <c r="D3314" s="169" t="s">
        <v>289</v>
      </c>
      <c r="E3314" s="169" t="s">
        <v>60</v>
      </c>
      <c r="F3314" s="245" t="str">
        <f t="shared" si="205"/>
        <v>Dhoz 71</v>
      </c>
      <c r="G3314" s="169" t="s">
        <v>12580</v>
      </c>
      <c r="H3314" s="169" t="s">
        <v>5705</v>
      </c>
      <c r="I3314" s="169" t="str">
        <f t="shared" si="206"/>
        <v>L425_JVHW_059E_DE</v>
      </c>
      <c r="J3314" s="169" t="s">
        <v>13296</v>
      </c>
      <c r="K3314" s="169">
        <f>IFERROR(MATCH(J3314,'Final List'!$B$4:$B$252,0),0)</f>
        <v>0</v>
      </c>
      <c r="L3314" s="169">
        <f>IFERROR(MATCH(J3314,'Final List'!$D$4:$D$252,0),0)</f>
        <v>0</v>
      </c>
      <c r="M3314" s="169">
        <f>IFERROR(MATCH(J3314,'Final List'!$F$4:$F$251,0),0)</f>
        <v>0</v>
      </c>
      <c r="N3314" s="169">
        <f>IFERROR(MATCH(J3314,'Final List'!$H$4:$H$252,0),0)</f>
        <v>0</v>
      </c>
      <c r="O3314" s="169">
        <f>IFERROR(MATCH(J3314,'Final List'!$J$4:$J$252,0),0)</f>
        <v>0</v>
      </c>
      <c r="P3314" s="169">
        <f>IFERROR(MATCH(J3314,'Final List'!$L$4:$L$252,0),0)</f>
        <v>0</v>
      </c>
      <c r="Q3314" s="169">
        <f>IFERROR(MATCH(J3314,'Final List'!$N$4:$N$252,0),0)</f>
        <v>0</v>
      </c>
      <c r="R3314" s="169">
        <f>IFERROR(MATCH(J3314,'Final List'!$P$4:$P$252,0),0)</f>
        <v>0</v>
      </c>
      <c r="S3314" s="169">
        <f t="shared" si="208"/>
        <v>0</v>
      </c>
      <c r="V3314" s="169" t="str">
        <f t="shared" si="207"/>
        <v>OLIVEROS 4</v>
      </c>
      <c r="W3314" s="169" t="s">
        <v>8896</v>
      </c>
    </row>
    <row r="3315" spans="2:23" x14ac:dyDescent="0.25">
      <c r="B3315" s="169" t="s">
        <v>96</v>
      </c>
      <c r="C3315" s="169" t="s">
        <v>45</v>
      </c>
      <c r="D3315" s="169" t="s">
        <v>6864</v>
      </c>
      <c r="E3315" s="169" t="s">
        <v>6154</v>
      </c>
      <c r="F3315" s="245" t="str">
        <f t="shared" si="205"/>
        <v>Dhoz 71</v>
      </c>
      <c r="G3315" s="169" t="s">
        <v>12659</v>
      </c>
      <c r="I3315" s="169" t="str">
        <f t="shared" si="206"/>
        <v>L09_DPVE_006E_DW_ISL</v>
      </c>
      <c r="J3315" s="169" t="s">
        <v>13282</v>
      </c>
      <c r="K3315" s="169">
        <f>IFERROR(MATCH(J3315,'Final List'!$B$4:$B$252,0),0)</f>
        <v>0</v>
      </c>
      <c r="L3315" s="169">
        <f>IFERROR(MATCH(J3315,'Final List'!$D$4:$D$252,0),0)</f>
        <v>0</v>
      </c>
      <c r="M3315" s="169">
        <f>IFERROR(MATCH(J3315,'Final List'!$F$4:$F$251,0),0)</f>
        <v>0</v>
      </c>
      <c r="N3315" s="169">
        <f>IFERROR(MATCH(J3315,'Final List'!$H$4:$H$252,0),0)</f>
        <v>0</v>
      </c>
      <c r="O3315" s="169">
        <f>IFERROR(MATCH(J3315,'Final List'!$J$4:$J$252,0),0)</f>
        <v>0</v>
      </c>
      <c r="P3315" s="169">
        <f>IFERROR(MATCH(J3315,'Final List'!$L$4:$L$252,0),0)</f>
        <v>0</v>
      </c>
      <c r="Q3315" s="169">
        <f>IFERROR(MATCH(J3315,'Final List'!$N$4:$N$252,0),0)</f>
        <v>0</v>
      </c>
      <c r="R3315" s="169">
        <f>IFERROR(MATCH(J3315,'Final List'!$P$4:$P$252,0),0)</f>
        <v>0</v>
      </c>
      <c r="S3315" s="169">
        <f t="shared" si="208"/>
        <v>0</v>
      </c>
      <c r="V3315" s="169" t="str">
        <f t="shared" si="207"/>
        <v>NITRO BS</v>
      </c>
      <c r="W3315" s="169" t="s">
        <v>2708</v>
      </c>
    </row>
    <row r="3316" spans="2:23" x14ac:dyDescent="0.25">
      <c r="B3316" s="169" t="s">
        <v>96</v>
      </c>
      <c r="C3316" s="169" t="s">
        <v>45</v>
      </c>
      <c r="D3316" s="169" t="s">
        <v>226</v>
      </c>
      <c r="E3316" s="169" t="s">
        <v>6154</v>
      </c>
      <c r="F3316" s="245" t="str">
        <f t="shared" si="205"/>
        <v>Dhoz 71</v>
      </c>
      <c r="G3316" s="169" t="s">
        <v>13284</v>
      </c>
      <c r="I3316" s="169" t="str">
        <f t="shared" si="206"/>
        <v>L09_DPVE_074E_DW_ISL</v>
      </c>
      <c r="J3316" s="169" t="s">
        <v>13283</v>
      </c>
      <c r="K3316" s="169">
        <f>IFERROR(MATCH(J3316,'Final List'!$B$4:$B$252,0),0)</f>
        <v>0</v>
      </c>
      <c r="L3316" s="169">
        <f>IFERROR(MATCH(J3316,'Final List'!$D$4:$D$252,0),0)</f>
        <v>0</v>
      </c>
      <c r="M3316" s="169">
        <f>IFERROR(MATCH(J3316,'Final List'!$F$4:$F$251,0),0)</f>
        <v>0</v>
      </c>
      <c r="N3316" s="169">
        <f>IFERROR(MATCH(J3316,'Final List'!$H$4:$H$252,0),0)</f>
        <v>0</v>
      </c>
      <c r="O3316" s="169">
        <f>IFERROR(MATCH(J3316,'Final List'!$J$4:$J$252,0),0)</f>
        <v>0</v>
      </c>
      <c r="P3316" s="169">
        <f>IFERROR(MATCH(J3316,'Final List'!$L$4:$L$252,0),0)</f>
        <v>0</v>
      </c>
      <c r="Q3316" s="169">
        <f>IFERROR(MATCH(J3316,'Final List'!$N$4:$N$252,0),0)</f>
        <v>0</v>
      </c>
      <c r="R3316" s="169">
        <f>IFERROR(MATCH(J3316,'Final List'!$P$4:$P$252,0),0)</f>
        <v>0</v>
      </c>
      <c r="S3316" s="169">
        <f t="shared" si="208"/>
        <v>0</v>
      </c>
      <c r="V3316" s="169" t="str">
        <f t="shared" si="207"/>
        <v>NITRO CD 1</v>
      </c>
      <c r="W3316" s="169" t="s">
        <v>2708</v>
      </c>
    </row>
    <row r="3317" spans="2:23" x14ac:dyDescent="0.25">
      <c r="B3317" s="169" t="s">
        <v>1167</v>
      </c>
      <c r="C3317" s="169" t="s">
        <v>56</v>
      </c>
      <c r="D3317" s="169" t="s">
        <v>143</v>
      </c>
      <c r="E3317" s="169" t="s">
        <v>19</v>
      </c>
      <c r="F3317" s="245" t="str">
        <f t="shared" si="205"/>
        <v>DVR 72</v>
      </c>
      <c r="G3317" s="169" t="s">
        <v>6930</v>
      </c>
      <c r="I3317" s="169" t="str">
        <f t="shared" si="206"/>
        <v>L12_GHVFW_032E_RAISE</v>
      </c>
      <c r="J3317" s="169" t="s">
        <v>13294</v>
      </c>
      <c r="K3317" s="169">
        <f>IFERROR(MATCH(J3317,'Final List'!$B$4:$B$252,0),0)</f>
        <v>0</v>
      </c>
      <c r="L3317" s="169">
        <f>IFERROR(MATCH(J3317,'Final List'!$D$4:$D$252,0),0)</f>
        <v>0</v>
      </c>
      <c r="M3317" s="169">
        <f>IFERROR(MATCH(J3317,'Final List'!$F$4:$F$251,0),0)</f>
        <v>0</v>
      </c>
      <c r="N3317" s="169">
        <f>IFERROR(MATCH(J3317,'Final List'!$H$4:$H$252,0),0)</f>
        <v>0</v>
      </c>
      <c r="O3317" s="169">
        <f>IFERROR(MATCH(J3317,'Final List'!$J$4:$J$252,0),0)</f>
        <v>0</v>
      </c>
      <c r="P3317" s="169">
        <f>IFERROR(MATCH(J3317,'Final List'!$L$4:$L$252,0),0)</f>
        <v>0</v>
      </c>
      <c r="Q3317" s="169">
        <f>IFERROR(MATCH(J3317,'Final List'!$N$4:$N$252,0),0)</f>
        <v>0</v>
      </c>
      <c r="R3317" s="169">
        <f>IFERROR(MATCH(J3317,'Final List'!$P$4:$P$252,0),0)</f>
        <v>0</v>
      </c>
      <c r="S3317" s="169">
        <f t="shared" si="208"/>
        <v>0</v>
      </c>
      <c r="V3317" s="169" t="str">
        <f t="shared" si="207"/>
        <v>DUHIG, P1</v>
      </c>
      <c r="W3317" s="169" t="s">
        <v>2715</v>
      </c>
    </row>
    <row r="3318" spans="2:23" x14ac:dyDescent="0.25">
      <c r="B3318" s="169" t="s">
        <v>1167</v>
      </c>
      <c r="C3318" s="169" t="s">
        <v>39</v>
      </c>
      <c r="D3318" s="169" t="s">
        <v>201</v>
      </c>
      <c r="E3318" s="169" t="s">
        <v>36</v>
      </c>
      <c r="F3318" s="245" t="str">
        <f t="shared" si="205"/>
        <v>StpS 77</v>
      </c>
      <c r="G3318" s="169" t="s">
        <v>12568</v>
      </c>
      <c r="I3318" s="169" t="str">
        <f t="shared" si="206"/>
        <v>L12_JVHW_067E_STOPE</v>
      </c>
      <c r="J3318" s="169" t="s">
        <v>13355</v>
      </c>
      <c r="K3318" s="169">
        <f>IFERROR(MATCH(J3318,'Final List'!$B$4:$B$252,0),0)</f>
        <v>0</v>
      </c>
      <c r="L3318" s="169">
        <f>IFERROR(MATCH(J3318,'Final List'!$D$4:$D$252,0),0)</f>
        <v>0</v>
      </c>
      <c r="M3318" s="169">
        <f>IFERROR(MATCH(J3318,'Final List'!$F$4:$F$251,0),0)</f>
        <v>0</v>
      </c>
      <c r="N3318" s="169">
        <f>IFERROR(MATCH(J3318,'Final List'!$H$4:$H$252,0),0)</f>
        <v>0</v>
      </c>
      <c r="O3318" s="169">
        <f>IFERROR(MATCH(J3318,'Final List'!$J$4:$J$252,0),0)</f>
        <v>0</v>
      </c>
      <c r="P3318" s="169">
        <f>IFERROR(MATCH(J3318,'Final List'!$L$4:$L$252,0),0)</f>
        <v>0</v>
      </c>
      <c r="Q3318" s="169">
        <f>IFERROR(MATCH(J3318,'Final List'!$N$4:$N$252,0),0)</f>
        <v>0</v>
      </c>
      <c r="R3318" s="169">
        <f>IFERROR(MATCH(J3318,'Final List'!$P$4:$P$252,0),0)</f>
        <v>0</v>
      </c>
      <c r="S3318" s="169">
        <f t="shared" si="208"/>
        <v>0</v>
      </c>
      <c r="T3318" s="169" t="s">
        <v>68</v>
      </c>
      <c r="V3318" s="169" t="str">
        <f t="shared" si="207"/>
        <v>NITRO BP</v>
      </c>
      <c r="W3318" s="169" t="s">
        <v>2713</v>
      </c>
    </row>
    <row r="3319" spans="2:23" x14ac:dyDescent="0.25">
      <c r="B3319" s="169" t="s">
        <v>1167</v>
      </c>
      <c r="C3319" s="169" t="s">
        <v>45</v>
      </c>
      <c r="D3319" s="169" t="s">
        <v>128</v>
      </c>
      <c r="E3319" s="169" t="s">
        <v>36</v>
      </c>
      <c r="F3319" s="245" t="str">
        <f t="shared" si="205"/>
        <v>StpS 77</v>
      </c>
      <c r="G3319" s="169" t="s">
        <v>12547</v>
      </c>
      <c r="H3319" s="169" t="s">
        <v>13633</v>
      </c>
      <c r="I3319" s="169" t="str">
        <f t="shared" si="206"/>
        <v>L12_DPVE_027E_STOPE</v>
      </c>
      <c r="J3319" s="169" t="s">
        <v>13367</v>
      </c>
      <c r="K3319" s="169">
        <f>IFERROR(MATCH(J3319,'Final List'!$B$4:$B$252,0),0)</f>
        <v>0</v>
      </c>
      <c r="L3319" s="169">
        <f>IFERROR(MATCH(J3319,'Final List'!$D$4:$D$252,0),0)</f>
        <v>0</v>
      </c>
      <c r="M3319" s="169">
        <f>IFERROR(MATCH(J3319,'Final List'!$F$4:$F$251,0),0)</f>
        <v>0</v>
      </c>
      <c r="N3319" s="169">
        <f>IFERROR(MATCH(J3319,'Final List'!$H$4:$H$252,0),0)</f>
        <v>0</v>
      </c>
      <c r="O3319" s="169">
        <f>IFERROR(MATCH(J3319,'Final List'!$J$4:$J$252,0),0)</f>
        <v>0</v>
      </c>
      <c r="P3319" s="169">
        <f>IFERROR(MATCH(J3319,'Final List'!$L$4:$L$252,0),0)</f>
        <v>0</v>
      </c>
      <c r="Q3319" s="169">
        <f>IFERROR(MATCH(J3319,'Final List'!$N$4:$N$252,0),0)</f>
        <v>0</v>
      </c>
      <c r="R3319" s="169">
        <f>IFERROR(MATCH(J3319,'Final List'!$P$4:$P$252,0),0)</f>
        <v>0</v>
      </c>
      <c r="S3319" s="169">
        <f t="shared" si="208"/>
        <v>0</v>
      </c>
      <c r="T3319" s="169" t="s">
        <v>68</v>
      </c>
      <c r="V3319" s="169" t="str">
        <f t="shared" si="207"/>
        <v>CAYMAN</v>
      </c>
      <c r="W3319" s="169" t="s">
        <v>2713</v>
      </c>
    </row>
    <row r="3320" spans="2:23" x14ac:dyDescent="0.25">
      <c r="B3320" s="169" t="s">
        <v>1167</v>
      </c>
      <c r="C3320" s="169" t="s">
        <v>55</v>
      </c>
      <c r="D3320" s="169" t="s">
        <v>168</v>
      </c>
      <c r="E3320" s="169" t="s">
        <v>19</v>
      </c>
      <c r="F3320" s="245" t="str">
        <f t="shared" si="205"/>
        <v>DVR 72</v>
      </c>
      <c r="G3320" s="169" t="s">
        <v>337</v>
      </c>
      <c r="I3320" s="169" t="str">
        <f t="shared" si="206"/>
        <v>L12_JVFW_047E_RAISE</v>
      </c>
      <c r="J3320" s="169" t="s">
        <v>13303</v>
      </c>
      <c r="K3320" s="169">
        <f>IFERROR(MATCH(J3320,'Final List'!$B$4:$B$252,0),0)</f>
        <v>0</v>
      </c>
      <c r="L3320" s="169">
        <f>IFERROR(MATCH(J3320,'Final List'!$D$4:$D$252,0),0)</f>
        <v>0</v>
      </c>
      <c r="M3320" s="169">
        <f>IFERROR(MATCH(J3320,'Final List'!$F$4:$F$251,0),0)</f>
        <v>0</v>
      </c>
      <c r="N3320" s="169">
        <f>IFERROR(MATCH(J3320,'Final List'!$H$4:$H$252,0),0)</f>
        <v>0</v>
      </c>
      <c r="O3320" s="169">
        <f>IFERROR(MATCH(J3320,'Final List'!$J$4:$J$252,0),0)</f>
        <v>0</v>
      </c>
      <c r="P3320" s="169">
        <f>IFERROR(MATCH(J3320,'Final List'!$L$4:$L$252,0),0)</f>
        <v>0</v>
      </c>
      <c r="Q3320" s="169">
        <f>IFERROR(MATCH(J3320,'Final List'!$N$4:$N$252,0),0)</f>
        <v>0</v>
      </c>
      <c r="R3320" s="169">
        <f>IFERROR(MATCH(J3320,'Final List'!$P$4:$P$252,0),0)</f>
        <v>0</v>
      </c>
      <c r="S3320" s="169">
        <f t="shared" si="208"/>
        <v>0</v>
      </c>
      <c r="V3320" s="169" t="str">
        <f t="shared" si="207"/>
        <v>BALANGHIG 2</v>
      </c>
      <c r="W3320" s="169" t="s">
        <v>2715</v>
      </c>
    </row>
    <row r="3321" spans="2:23" x14ac:dyDescent="0.25">
      <c r="B3321" s="169" t="s">
        <v>1167</v>
      </c>
      <c r="C3321" s="169" t="s">
        <v>57</v>
      </c>
      <c r="D3321" s="169" t="s">
        <v>175</v>
      </c>
      <c r="E3321" s="169" t="s">
        <v>19</v>
      </c>
      <c r="F3321" s="245" t="str">
        <f t="shared" si="205"/>
        <v>DVR 72</v>
      </c>
      <c r="G3321" s="169" t="s">
        <v>336</v>
      </c>
      <c r="H3321" s="169" t="s">
        <v>12549</v>
      </c>
      <c r="I3321" s="169" t="str">
        <f t="shared" si="206"/>
        <v>L12_JVSPLIT_060E_RAISE</v>
      </c>
      <c r="J3321" s="169" t="s">
        <v>13305</v>
      </c>
      <c r="K3321" s="169">
        <f>IFERROR(MATCH(J3321,'Final List'!$B$4:$B$252,0),0)</f>
        <v>0</v>
      </c>
      <c r="L3321" s="169">
        <f>IFERROR(MATCH(J3321,'Final List'!$D$4:$D$252,0),0)</f>
        <v>0</v>
      </c>
      <c r="M3321" s="169">
        <f>IFERROR(MATCH(J3321,'Final List'!$F$4:$F$251,0),0)</f>
        <v>0</v>
      </c>
      <c r="N3321" s="169">
        <f>IFERROR(MATCH(J3321,'Final List'!$H$4:$H$252,0),0)</f>
        <v>0</v>
      </c>
      <c r="O3321" s="169">
        <f>IFERROR(MATCH(J3321,'Final List'!$J$4:$J$252,0),0)</f>
        <v>0</v>
      </c>
      <c r="P3321" s="169">
        <f>IFERROR(MATCH(J3321,'Final List'!$L$4:$L$252,0),0)</f>
        <v>0</v>
      </c>
      <c r="Q3321" s="169">
        <f>IFERROR(MATCH(J3321,'Final List'!$N$4:$N$252,0),0)</f>
        <v>0</v>
      </c>
      <c r="R3321" s="169">
        <f>IFERROR(MATCH(J3321,'Final List'!$P$4:$P$252,0),0)</f>
        <v>0</v>
      </c>
      <c r="S3321" s="169">
        <f t="shared" si="208"/>
        <v>0</v>
      </c>
      <c r="V3321" s="169" t="str">
        <f t="shared" si="207"/>
        <v>NITRO BR</v>
      </c>
      <c r="W3321" s="169" t="s">
        <v>2715</v>
      </c>
    </row>
    <row r="3322" spans="2:23" x14ac:dyDescent="0.25">
      <c r="B3322" s="169" t="s">
        <v>95</v>
      </c>
      <c r="C3322" s="169" t="s">
        <v>42</v>
      </c>
      <c r="D3322" s="169" t="s">
        <v>595</v>
      </c>
      <c r="E3322" s="169" t="s">
        <v>6154</v>
      </c>
      <c r="F3322" s="245" t="str">
        <f t="shared" si="205"/>
        <v>Dhoz 71</v>
      </c>
      <c r="G3322" s="169" t="s">
        <v>13066</v>
      </c>
      <c r="I3322" s="169" t="str">
        <f t="shared" si="206"/>
        <v>L08_JV_072E_DW_ISL</v>
      </c>
      <c r="J3322" s="169" t="s">
        <v>13306</v>
      </c>
      <c r="K3322" s="169">
        <f>IFERROR(MATCH(J3322,'Final List'!$B$4:$B$252,0),0)</f>
        <v>0</v>
      </c>
      <c r="L3322" s="169">
        <f>IFERROR(MATCH(J3322,'Final List'!$D$4:$D$252,0),0)</f>
        <v>0</v>
      </c>
      <c r="M3322" s="169">
        <f>IFERROR(MATCH(J3322,'Final List'!$F$4:$F$251,0),0)</f>
        <v>0</v>
      </c>
      <c r="N3322" s="169">
        <f>IFERROR(MATCH(J3322,'Final List'!$H$4:$H$252,0),0)</f>
        <v>0</v>
      </c>
      <c r="O3322" s="169">
        <f>IFERROR(MATCH(J3322,'Final List'!$J$4:$J$252,0),0)</f>
        <v>0</v>
      </c>
      <c r="P3322" s="169">
        <f>IFERROR(MATCH(J3322,'Final List'!$L$4:$L$252,0),0)</f>
        <v>0</v>
      </c>
      <c r="Q3322" s="169">
        <f>IFERROR(MATCH(J3322,'Final List'!$N$4:$N$252,0),0)</f>
        <v>0</v>
      </c>
      <c r="R3322" s="169">
        <f>IFERROR(MATCH(J3322,'Final List'!$P$4:$P$252,0),0)</f>
        <v>0</v>
      </c>
      <c r="S3322" s="169">
        <f t="shared" si="208"/>
        <v>0</v>
      </c>
      <c r="V3322" s="169" t="str">
        <f t="shared" si="207"/>
        <v>NITRO BZ</v>
      </c>
      <c r="W3322" s="169" t="s">
        <v>2708</v>
      </c>
    </row>
    <row r="3323" spans="2:23" x14ac:dyDescent="0.25">
      <c r="B3323" s="169" t="s">
        <v>95</v>
      </c>
      <c r="C3323" s="169" t="s">
        <v>45</v>
      </c>
      <c r="D3323" s="169" t="s">
        <v>108</v>
      </c>
      <c r="E3323" s="169" t="s">
        <v>19</v>
      </c>
      <c r="F3323" s="245" t="str">
        <f t="shared" si="205"/>
        <v>DVR 72</v>
      </c>
      <c r="G3323" s="169" t="s">
        <v>577</v>
      </c>
      <c r="I3323" s="169" t="str">
        <f t="shared" si="206"/>
        <v>L08_DPVE_007W_RAISE</v>
      </c>
      <c r="J3323" s="169" t="s">
        <v>13308</v>
      </c>
      <c r="K3323" s="169">
        <f>IFERROR(MATCH(J3323,'Final List'!$B$4:$B$252,0),0)</f>
        <v>0</v>
      </c>
      <c r="L3323" s="169">
        <f>IFERROR(MATCH(J3323,'Final List'!$D$4:$D$252,0),0)</f>
        <v>0</v>
      </c>
      <c r="M3323" s="169">
        <f>IFERROR(MATCH(J3323,'Final List'!$F$4:$F$251,0),0)</f>
        <v>0</v>
      </c>
      <c r="N3323" s="169">
        <f>IFERROR(MATCH(J3323,'Final List'!$H$4:$H$252,0),0)</f>
        <v>0</v>
      </c>
      <c r="O3323" s="169">
        <f>IFERROR(MATCH(J3323,'Final List'!$J$4:$J$252,0),0)</f>
        <v>0</v>
      </c>
      <c r="P3323" s="169">
        <f>IFERROR(MATCH(J3323,'Final List'!$L$4:$L$252,0),0)</f>
        <v>0</v>
      </c>
      <c r="Q3323" s="169">
        <f>IFERROR(MATCH(J3323,'Final List'!$N$4:$N$252,0),0)</f>
        <v>0</v>
      </c>
      <c r="R3323" s="169">
        <f>IFERROR(MATCH(J3323,'Final List'!$P$4:$P$252,0),0)</f>
        <v>0</v>
      </c>
      <c r="S3323" s="169">
        <f t="shared" si="208"/>
        <v>0</v>
      </c>
      <c r="V3323" s="169" t="str">
        <f t="shared" si="207"/>
        <v>CARIKITAN 1</v>
      </c>
      <c r="W3323" s="169" t="s">
        <v>2715</v>
      </c>
    </row>
    <row r="3324" spans="2:23" x14ac:dyDescent="0.25">
      <c r="B3324" s="169" t="s">
        <v>1167</v>
      </c>
      <c r="C3324" s="169" t="s">
        <v>45</v>
      </c>
      <c r="D3324" s="169" t="s">
        <v>135</v>
      </c>
      <c r="E3324" s="169" t="s">
        <v>19</v>
      </c>
      <c r="F3324" s="245" t="str">
        <f t="shared" si="205"/>
        <v>DVR 72</v>
      </c>
      <c r="G3324" s="169" t="s">
        <v>12786</v>
      </c>
      <c r="I3324" s="169" t="str">
        <f t="shared" si="206"/>
        <v>L12_DPVE_034E_RAISE</v>
      </c>
      <c r="J3324" s="169" t="s">
        <v>13310</v>
      </c>
      <c r="K3324" s="169">
        <f>IFERROR(MATCH(J3324,'Final List'!$B$4:$B$252,0),0)</f>
        <v>0</v>
      </c>
      <c r="L3324" s="169">
        <f>IFERROR(MATCH(J3324,'Final List'!$D$4:$D$252,0),0)</f>
        <v>0</v>
      </c>
      <c r="M3324" s="169">
        <f>IFERROR(MATCH(J3324,'Final List'!$F$4:$F$251,0),0)</f>
        <v>0</v>
      </c>
      <c r="N3324" s="169">
        <f>IFERROR(MATCH(J3324,'Final List'!$H$4:$H$252,0),0)</f>
        <v>0</v>
      </c>
      <c r="O3324" s="169">
        <f>IFERROR(MATCH(J3324,'Final List'!$J$4:$J$252,0),0)</f>
        <v>0</v>
      </c>
      <c r="P3324" s="169">
        <f>IFERROR(MATCH(J3324,'Final List'!$L$4:$L$252,0),0)</f>
        <v>0</v>
      </c>
      <c r="Q3324" s="169">
        <f>IFERROR(MATCH(J3324,'Final List'!$N$4:$N$252,0),0)</f>
        <v>0</v>
      </c>
      <c r="R3324" s="169">
        <f>IFERROR(MATCH(J3324,'Final List'!$P$4:$P$252,0),0)</f>
        <v>0</v>
      </c>
      <c r="S3324" s="169">
        <f t="shared" si="208"/>
        <v>0</v>
      </c>
      <c r="V3324" s="169" t="str">
        <f t="shared" si="207"/>
        <v>NITRO BC 3</v>
      </c>
      <c r="W3324" s="169" t="s">
        <v>2715</v>
      </c>
    </row>
    <row r="3325" spans="2:23" x14ac:dyDescent="0.25">
      <c r="B3325" s="169" t="s">
        <v>1167</v>
      </c>
      <c r="C3325" s="169" t="s">
        <v>87</v>
      </c>
      <c r="D3325" s="169" t="s">
        <v>5975</v>
      </c>
      <c r="E3325" s="169" t="s">
        <v>63</v>
      </c>
      <c r="F3325" s="245" t="str">
        <f t="shared" si="205"/>
        <v>Dhoz 71</v>
      </c>
      <c r="G3325" s="169" t="s">
        <v>12199</v>
      </c>
      <c r="I3325" s="169" t="str">
        <f t="shared" si="206"/>
        <v>L12_NONE_028E_XCS</v>
      </c>
      <c r="J3325" s="169" t="s">
        <v>13317</v>
      </c>
      <c r="K3325" s="169">
        <f>IFERROR(MATCH(J3325,'Final List'!$B$4:$B$252,0),0)</f>
        <v>0</v>
      </c>
      <c r="L3325" s="169">
        <f>IFERROR(MATCH(J3325,'Final List'!$D$4:$D$252,0),0)</f>
        <v>0</v>
      </c>
      <c r="M3325" s="169">
        <f>IFERROR(MATCH(J3325,'Final List'!$F$4:$F$251,0),0)</f>
        <v>0</v>
      </c>
      <c r="N3325" s="169">
        <f>IFERROR(MATCH(J3325,'Final List'!$H$4:$H$252,0),0)</f>
        <v>0</v>
      </c>
      <c r="O3325" s="169">
        <f>IFERROR(MATCH(J3325,'Final List'!$J$4:$J$252,0),0)</f>
        <v>0</v>
      </c>
      <c r="P3325" s="169">
        <f>IFERROR(MATCH(J3325,'Final List'!$L$4:$L$252,0),0)</f>
        <v>0</v>
      </c>
      <c r="Q3325" s="169">
        <f>IFERROR(MATCH(J3325,'Final List'!$N$4:$N$252,0),0)</f>
        <v>0</v>
      </c>
      <c r="R3325" s="169">
        <f>IFERROR(MATCH(J3325,'Final List'!$P$4:$P$252,0),0)</f>
        <v>0</v>
      </c>
      <c r="S3325" s="169">
        <f t="shared" si="208"/>
        <v>0</v>
      </c>
      <c r="V3325" s="169" t="str">
        <f t="shared" si="207"/>
        <v>NITRO BF 5</v>
      </c>
      <c r="W3325" s="169" t="s">
        <v>8898</v>
      </c>
    </row>
    <row r="3326" spans="2:23" x14ac:dyDescent="0.25">
      <c r="B3326" s="169" t="s">
        <v>1166</v>
      </c>
      <c r="C3326" s="169" t="s">
        <v>45</v>
      </c>
      <c r="D3326" s="169" t="s">
        <v>142</v>
      </c>
      <c r="E3326" s="169" t="s">
        <v>61</v>
      </c>
      <c r="F3326" s="245" t="str">
        <f t="shared" si="205"/>
        <v>Dhoz 71</v>
      </c>
      <c r="G3326" s="169" t="s">
        <v>12070</v>
      </c>
      <c r="H3326" s="169" t="s">
        <v>12070</v>
      </c>
      <c r="I3326" s="169" t="str">
        <f t="shared" si="206"/>
        <v>L11_DPVE_038E_DW</v>
      </c>
      <c r="J3326" s="169" t="s">
        <v>13325</v>
      </c>
      <c r="K3326" s="169">
        <f>IFERROR(MATCH(J3326,'Final List'!$B$4:$B$252,0),0)</f>
        <v>0</v>
      </c>
      <c r="L3326" s="169">
        <f>IFERROR(MATCH(J3326,'Final List'!$D$4:$D$252,0),0)</f>
        <v>0</v>
      </c>
      <c r="M3326" s="169">
        <f>IFERROR(MATCH(J3326,'Final List'!$F$4:$F$251,0),0)</f>
        <v>0</v>
      </c>
      <c r="N3326" s="169">
        <f>IFERROR(MATCH(J3326,'Final List'!$H$4:$H$252,0),0)</f>
        <v>0</v>
      </c>
      <c r="O3326" s="169">
        <f>IFERROR(MATCH(J3326,'Final List'!$J$4:$J$252,0),0)</f>
        <v>0</v>
      </c>
      <c r="P3326" s="169">
        <f>IFERROR(MATCH(J3326,'Final List'!$L$4:$L$252,0),0)</f>
        <v>0</v>
      </c>
      <c r="Q3326" s="169">
        <f>IFERROR(MATCH(J3326,'Final List'!$N$4:$N$252,0),0)</f>
        <v>0</v>
      </c>
      <c r="R3326" s="169">
        <f>IFERROR(MATCH(J3326,'Final List'!$P$4:$P$252,0),0)</f>
        <v>0</v>
      </c>
      <c r="S3326" s="169">
        <f t="shared" si="208"/>
        <v>0</v>
      </c>
      <c r="V3326" s="169" t="str">
        <f t="shared" si="207"/>
        <v>NITRO BB</v>
      </c>
      <c r="W3326" s="169" t="s">
        <v>8896</v>
      </c>
    </row>
    <row r="3327" spans="2:23" x14ac:dyDescent="0.25">
      <c r="B3327" s="169" t="s">
        <v>96</v>
      </c>
      <c r="C3327" s="169" t="s">
        <v>45</v>
      </c>
      <c r="D3327" s="169" t="s">
        <v>4482</v>
      </c>
      <c r="E3327" s="169" t="s">
        <v>6143</v>
      </c>
      <c r="F3327" s="245" t="str">
        <f t="shared" si="205"/>
        <v>Dhoz 71</v>
      </c>
      <c r="G3327" s="169" t="s">
        <v>349</v>
      </c>
      <c r="I3327" s="169" t="str">
        <f t="shared" si="206"/>
        <v>L09_DPVE_084E_DE_ISL</v>
      </c>
      <c r="J3327" s="169" t="s">
        <v>13318</v>
      </c>
      <c r="K3327" s="169">
        <f>IFERROR(MATCH(J3327,'Final List'!$B$4:$B$252,0),0)</f>
        <v>0</v>
      </c>
      <c r="L3327" s="169">
        <f>IFERROR(MATCH(J3327,'Final List'!$D$4:$D$252,0),0)</f>
        <v>0</v>
      </c>
      <c r="M3327" s="169">
        <f>IFERROR(MATCH(J3327,'Final List'!$F$4:$F$251,0),0)</f>
        <v>0</v>
      </c>
      <c r="N3327" s="169">
        <f>IFERROR(MATCH(J3327,'Final List'!$H$4:$H$252,0),0)</f>
        <v>0</v>
      </c>
      <c r="O3327" s="169">
        <f>IFERROR(MATCH(J3327,'Final List'!$J$4:$J$252,0),0)</f>
        <v>0</v>
      </c>
      <c r="P3327" s="169">
        <f>IFERROR(MATCH(J3327,'Final List'!$L$4:$L$252,0),0)</f>
        <v>0</v>
      </c>
      <c r="Q3327" s="169">
        <f>IFERROR(MATCH(J3327,'Final List'!$N$4:$N$252,0),0)</f>
        <v>0</v>
      </c>
      <c r="R3327" s="169">
        <f>IFERROR(MATCH(J3327,'Final List'!$P$4:$P$252,0),0)</f>
        <v>0</v>
      </c>
      <c r="S3327" s="169">
        <f t="shared" si="208"/>
        <v>0</v>
      </c>
      <c r="V3327" s="169" t="str">
        <f t="shared" si="207"/>
        <v>QUIJANO 2</v>
      </c>
      <c r="W3327" s="169" t="s">
        <v>2708</v>
      </c>
    </row>
    <row r="3328" spans="2:23" x14ac:dyDescent="0.25">
      <c r="B3328" s="169" t="s">
        <v>96</v>
      </c>
      <c r="C3328" s="169" t="s">
        <v>45</v>
      </c>
      <c r="D3328" s="169" t="s">
        <v>289</v>
      </c>
      <c r="E3328" s="169" t="s">
        <v>221</v>
      </c>
      <c r="F3328" s="245" t="str">
        <f t="shared" si="205"/>
        <v>RobC 80</v>
      </c>
      <c r="G3328" s="169" t="s">
        <v>485</v>
      </c>
      <c r="I3328" s="169" t="str">
        <f t="shared" si="206"/>
        <v>L09_DPVE_059E_WINZE STOPE</v>
      </c>
      <c r="J3328" s="169" t="s">
        <v>13492</v>
      </c>
      <c r="K3328" s="169">
        <f>IFERROR(MATCH(J3328,'Final List'!$B$4:$B$252,0),0)</f>
        <v>0</v>
      </c>
      <c r="L3328" s="169">
        <f>IFERROR(MATCH(J3328,'Final List'!$D$4:$D$252,0),0)</f>
        <v>0</v>
      </c>
      <c r="M3328" s="169">
        <f>IFERROR(MATCH(J3328,'Final List'!$F$4:$F$251,0),0)</f>
        <v>0</v>
      </c>
      <c r="N3328" s="169">
        <f>IFERROR(MATCH(J3328,'Final List'!$H$4:$H$252,0),0)</f>
        <v>0</v>
      </c>
      <c r="O3328" s="169">
        <f>IFERROR(MATCH(J3328,'Final List'!$J$4:$J$252,0),0)</f>
        <v>0</v>
      </c>
      <c r="P3328" s="169">
        <f>IFERROR(MATCH(J3328,'Final List'!$L$4:$L$252,0),0)</f>
        <v>0</v>
      </c>
      <c r="Q3328" s="169">
        <f>IFERROR(MATCH(J3328,'Final List'!$N$4:$N$252,0),0)</f>
        <v>0</v>
      </c>
      <c r="R3328" s="169">
        <f>IFERROR(MATCH(J3328,'Final List'!$P$4:$P$252,0),0)</f>
        <v>0</v>
      </c>
      <c r="S3328" s="169">
        <f t="shared" si="208"/>
        <v>0</v>
      </c>
      <c r="T3328" s="169" t="s">
        <v>68</v>
      </c>
      <c r="V3328" s="169" t="str">
        <f t="shared" si="207"/>
        <v>BALANGHIG 3</v>
      </c>
      <c r="W3328" s="169" t="s">
        <v>2713</v>
      </c>
    </row>
    <row r="3329" spans="2:23" x14ac:dyDescent="0.25">
      <c r="B3329" s="169" t="s">
        <v>96</v>
      </c>
      <c r="C3329" s="169" t="s">
        <v>56</v>
      </c>
      <c r="D3329" s="169" t="s">
        <v>5601</v>
      </c>
      <c r="E3329" s="169" t="s">
        <v>6143</v>
      </c>
      <c r="F3329" s="245" t="str">
        <f t="shared" si="205"/>
        <v>Dhoz 71</v>
      </c>
      <c r="G3329" s="169" t="s">
        <v>12658</v>
      </c>
      <c r="I3329" s="169" t="str">
        <f t="shared" si="206"/>
        <v>L09_GHVFW_026E_DE_ISL</v>
      </c>
      <c r="J3329" s="169" t="s">
        <v>13326</v>
      </c>
      <c r="K3329" s="169">
        <f>IFERROR(MATCH(J3329,'Final List'!$B$4:$B$252,0),0)</f>
        <v>0</v>
      </c>
      <c r="L3329" s="169">
        <f>IFERROR(MATCH(J3329,'Final List'!$D$4:$D$252,0),0)</f>
        <v>0</v>
      </c>
      <c r="M3329" s="169">
        <f>IFERROR(MATCH(J3329,'Final List'!$F$4:$F$251,0),0)</f>
        <v>0</v>
      </c>
      <c r="N3329" s="169">
        <f>IFERROR(MATCH(J3329,'Final List'!$H$4:$H$252,0),0)</f>
        <v>0</v>
      </c>
      <c r="O3329" s="169">
        <f>IFERROR(MATCH(J3329,'Final List'!$J$4:$J$252,0),0)</f>
        <v>0</v>
      </c>
      <c r="P3329" s="169">
        <f>IFERROR(MATCH(J3329,'Final List'!$L$4:$L$252,0),0)</f>
        <v>0</v>
      </c>
      <c r="Q3329" s="169">
        <f>IFERROR(MATCH(J3329,'Final List'!$N$4:$N$252,0),0)</f>
        <v>0</v>
      </c>
      <c r="R3329" s="169">
        <f>IFERROR(MATCH(J3329,'Final List'!$P$4:$P$252,0),0)</f>
        <v>0</v>
      </c>
      <c r="S3329" s="169">
        <f t="shared" si="208"/>
        <v>0</v>
      </c>
      <c r="V3329" s="169" t="str">
        <f t="shared" si="207"/>
        <v>NITRO BT</v>
      </c>
      <c r="W3329" s="169" t="s">
        <v>2708</v>
      </c>
    </row>
    <row r="3330" spans="2:23" x14ac:dyDescent="0.25">
      <c r="B3330" s="169" t="s">
        <v>12320</v>
      </c>
      <c r="D3330" s="169" t="s">
        <v>13331</v>
      </c>
      <c r="E3330" s="169" t="s">
        <v>15361</v>
      </c>
      <c r="F3330" s="245" t="str">
        <f>IF(OR(E3330="XCN",E3330="DE",E3330="DW",E3330="DN",E3330="XCS",E3330="XCE",E3330="XCW",E3330="SUMP",E3330="BYPASS",E3330="CHAMBER",E3330="DRAIN HOLE",E3330="DRILLING CHAMBER",E3330="DE_ISL",E3330="DW_ISL",E3330="REHAB"),"Dhoz 71",IF(OR(E3330="RAISE",E3330="RAISE_ISL"),"DVR 72",IF(E3330="ALIMAK","DVA 73",IF(E3330="ALIMAK_RAISE","DVA 73",IF(E3330="ALIMAK_SUMP","DVA 73",IF(E3330="WINZE","DVW 74",IF(E3330="SHAFT","DVS 75",IF(AND(E3330="WINZE STOPE",T3330="S"),"RobC 80",IF(AND(E3330="STOPE",T3330="S"),"StpS 77",IF(AND(E3330="WINZE STOPE",T3330="L"),"RobC 80",IF(AND(E3330="STOPE",T3330="L"),"StpL 78",IF(AND(E3330="WINZE STOPE PREP",T3330="S"),"RobC 80",IF(AND(E3330="STOPE PREP",T3330="S"),"StpS 77",IF(AND(E3330="WINZE STOPE PREP",T3330="L"),"RobC 80",IF(AND(E3330="STOPE PREP",T3330="L"),"StpL 78",IF(AND(E3330="ROBBING",T3330="L"),"RobC 80",IF(AND(E3330="ROBBING",T3330="S"),"RobS 79",0)))))))))))))))))</f>
        <v>DVA 73</v>
      </c>
      <c r="G3330" s="169" t="s">
        <v>1606</v>
      </c>
      <c r="I3330" s="169" t="str">
        <f t="shared" si="206"/>
        <v>L425__DSP31B_ALIMAK_SUMP</v>
      </c>
      <c r="J3330" s="169" t="s">
        <v>13332</v>
      </c>
      <c r="K3330" s="169">
        <f>IFERROR(MATCH(J3330,'Final List'!$B$4:$B$252,0),0)</f>
        <v>0</v>
      </c>
      <c r="L3330" s="169">
        <f>IFERROR(MATCH(J3330,'Final List'!$D$4:$D$252,0),0)</f>
        <v>0</v>
      </c>
      <c r="M3330" s="169">
        <f>IFERROR(MATCH(J3330,'Final List'!$F$4:$F$251,0),0)</f>
        <v>0</v>
      </c>
      <c r="N3330" s="169">
        <f>IFERROR(MATCH(J3330,'Final List'!$H$4:$H$252,0),0)</f>
        <v>0</v>
      </c>
      <c r="O3330" s="169">
        <f>IFERROR(MATCH(J3330,'Final List'!$J$4:$J$252,0),0)</f>
        <v>0</v>
      </c>
      <c r="P3330" s="169">
        <f>IFERROR(MATCH(J3330,'Final List'!$L$4:$L$252,0),0)</f>
        <v>0</v>
      </c>
      <c r="Q3330" s="169">
        <f>IFERROR(MATCH(J3330,'Final List'!$N$4:$N$252,0),0)</f>
        <v>0</v>
      </c>
      <c r="R3330" s="169">
        <f>IFERROR(MATCH(J3330,'Final List'!$P$4:$P$252,0),0)</f>
        <v>0</v>
      </c>
      <c r="S3330" s="169">
        <f t="shared" si="208"/>
        <v>0</v>
      </c>
      <c r="V3330" s="169" t="str">
        <f t="shared" si="207"/>
        <v>PMC MINERS</v>
      </c>
      <c r="W3330" s="169" t="s">
        <v>2714</v>
      </c>
    </row>
    <row r="3331" spans="2:23" x14ac:dyDescent="0.25">
      <c r="B3331" s="169" t="s">
        <v>1167</v>
      </c>
      <c r="C3331" s="169" t="s">
        <v>87</v>
      </c>
      <c r="D3331" s="169" t="s">
        <v>5723</v>
      </c>
      <c r="E3331" s="169" t="s">
        <v>13329</v>
      </c>
      <c r="F3331" s="245" t="s">
        <v>14362</v>
      </c>
      <c r="G3331" s="169" t="s">
        <v>12585</v>
      </c>
      <c r="I3331" s="169" t="str">
        <f t="shared" si="206"/>
        <v>L12_NONE_046E_REGRADE</v>
      </c>
      <c r="J3331" s="169" t="s">
        <v>13328</v>
      </c>
      <c r="K3331" s="169">
        <f>IFERROR(MATCH(J3331,'Final List'!$B$4:$B$252,0),0)</f>
        <v>0</v>
      </c>
      <c r="L3331" s="169">
        <f>IFERROR(MATCH(J3331,'Final List'!$D$4:$D$252,0),0)</f>
        <v>0</v>
      </c>
      <c r="M3331" s="169">
        <f>IFERROR(MATCH(J3331,'Final List'!$F$4:$F$251,0),0)</f>
        <v>0</v>
      </c>
      <c r="N3331" s="169">
        <f>IFERROR(MATCH(J3331,'Final List'!$H$4:$H$252,0),0)</f>
        <v>0</v>
      </c>
      <c r="O3331" s="169">
        <f>IFERROR(MATCH(J3331,'Final List'!$J$4:$J$252,0),0)</f>
        <v>0</v>
      </c>
      <c r="P3331" s="169">
        <f>IFERROR(MATCH(J3331,'Final List'!$L$4:$L$252,0),0)</f>
        <v>0</v>
      </c>
      <c r="Q3331" s="169">
        <f>IFERROR(MATCH(J3331,'Final List'!$N$4:$N$252,0),0)</f>
        <v>0</v>
      </c>
      <c r="R3331" s="169">
        <f>IFERROR(MATCH(J3331,'Final List'!$P$4:$P$252,0),0)</f>
        <v>0</v>
      </c>
      <c r="S3331" s="169">
        <f t="shared" si="208"/>
        <v>0</v>
      </c>
      <c r="V3331" s="169" t="str">
        <f t="shared" si="207"/>
        <v>NITRO BI</v>
      </c>
      <c r="W3331" s="169" t="s">
        <v>2714</v>
      </c>
    </row>
    <row r="3332" spans="2:23" x14ac:dyDescent="0.25">
      <c r="B3332" s="169" t="s">
        <v>1167</v>
      </c>
      <c r="C3332" s="169" t="s">
        <v>57</v>
      </c>
      <c r="D3332" s="169" t="s">
        <v>5631</v>
      </c>
      <c r="E3332" s="169" t="s">
        <v>61</v>
      </c>
      <c r="F3332" s="245" t="str">
        <f t="shared" ref="F3332:F3394" si="209">IF(OR(E3332="XCN",E3332="DE",E3332="DW",E3332="DN",E3332="XCS",E3332="XCE",E3332="XCW",E3332="SUMP",E3332="BYPASS",E3332="CHAMBER",E3332="DRAIN HOLE",E3332="DRILLING CHAMBER",E3332="DE_ISL",E3332="DW_ISL",E3332="REHAB"),"Dhoz 71",IF(OR(E3332="RAISE",E3332="RAISE_ISL"),"DVR 72",IF(E3332="ALIMAK","DVA 73",IF(E3332="WINZE","DVW 74",IF(E3332="SHAFT","DVS 75",IF(AND(E3332="WINZE STOPE",T3332="S"),"RobC 80",IF(AND(E3332="STOPE",T3332="S"),"StpS 77",IF(AND(E3332="WINZE STOPE",T3332="L"),"RobC 80",IF(AND(E3332="STOPE",T3332="L"),"StpL 78",IF(AND(E3332="WINZE STOPE PREP",T3332="S"),"RobC 80",IF(AND(E3332="STOPE PREP",T3332="S"),"StpS 77",IF(AND(E3332="WINZE STOPE PREP",T3332="L"),"RobC 80",IF(AND(E3332="STOPE PREP",T3332="L"),"StpL 78",IF(AND(E3332="ROBBING",T3332="L"),"RobC 80",IF(AND(E3332="ROBBING",T3332="S"),"RobS 79",0)))))))))))))))</f>
        <v>Dhoz 71</v>
      </c>
      <c r="G3332" s="169" t="s">
        <v>6931</v>
      </c>
      <c r="I3332" s="169" t="str">
        <f t="shared" si="206"/>
        <v>L12_JVSPLIT_020E_DW</v>
      </c>
      <c r="J3332" s="169" t="s">
        <v>13333</v>
      </c>
      <c r="K3332" s="169">
        <f>IFERROR(MATCH(J3332,'Final List'!$B$4:$B$252,0),0)</f>
        <v>0</v>
      </c>
      <c r="L3332" s="169">
        <f>IFERROR(MATCH(J3332,'Final List'!$D$4:$D$252,0),0)</f>
        <v>0</v>
      </c>
      <c r="M3332" s="169">
        <f>IFERROR(MATCH(J3332,'Final List'!$F$4:$F$251,0),0)</f>
        <v>0</v>
      </c>
      <c r="N3332" s="169">
        <f>IFERROR(MATCH(J3332,'Final List'!$H$4:$H$252,0),0)</f>
        <v>0</v>
      </c>
      <c r="O3332" s="169">
        <f>IFERROR(MATCH(J3332,'Final List'!$J$4:$J$252,0),0)</f>
        <v>0</v>
      </c>
      <c r="P3332" s="169">
        <f>IFERROR(MATCH(J3332,'Final List'!$L$4:$L$252,0),0)</f>
        <v>0</v>
      </c>
      <c r="Q3332" s="169">
        <f>IFERROR(MATCH(J3332,'Final List'!$N$4:$N$252,0),0)</f>
        <v>0</v>
      </c>
      <c r="R3332" s="169">
        <f>IFERROR(MATCH(J3332,'Final List'!$P$4:$P$252,0),0)</f>
        <v>0</v>
      </c>
      <c r="S3332" s="169">
        <f t="shared" si="208"/>
        <v>0</v>
      </c>
      <c r="V3332" s="169" t="str">
        <f t="shared" si="207"/>
        <v>DUHIG, P2</v>
      </c>
      <c r="W3332" s="169" t="s">
        <v>8896</v>
      </c>
    </row>
    <row r="3333" spans="2:23" x14ac:dyDescent="0.25">
      <c r="B3333" s="169" t="s">
        <v>12320</v>
      </c>
      <c r="C3333" s="169" t="s">
        <v>42</v>
      </c>
      <c r="D3333" s="169" t="s">
        <v>5614</v>
      </c>
      <c r="E3333" s="169" t="s">
        <v>19</v>
      </c>
      <c r="F3333" s="245" t="str">
        <f t="shared" si="209"/>
        <v>DVR 72</v>
      </c>
      <c r="G3333" s="169" t="s">
        <v>5704</v>
      </c>
      <c r="H3333" s="169" t="s">
        <v>742</v>
      </c>
      <c r="I3333" s="169" t="str">
        <f t="shared" si="206"/>
        <v>L425_JV_055E_RAISE</v>
      </c>
      <c r="J3333" s="169" t="s">
        <v>13335</v>
      </c>
      <c r="K3333" s="169">
        <f>IFERROR(MATCH(J3333,'Final List'!$B$4:$B$252,0),0)</f>
        <v>0</v>
      </c>
      <c r="L3333" s="169">
        <f>IFERROR(MATCH(J3333,'Final List'!$D$4:$D$252,0),0)</f>
        <v>0</v>
      </c>
      <c r="M3333" s="169">
        <f>IFERROR(MATCH(J3333,'Final List'!$F$4:$F$251,0),0)</f>
        <v>0</v>
      </c>
      <c r="N3333" s="169">
        <f>IFERROR(MATCH(J3333,'Final List'!$H$4:$H$252,0),0)</f>
        <v>0</v>
      </c>
      <c r="O3333" s="169">
        <f>IFERROR(MATCH(J3333,'Final List'!$J$4:$J$252,0),0)</f>
        <v>0</v>
      </c>
      <c r="P3333" s="169">
        <f>IFERROR(MATCH(J3333,'Final List'!$L$4:$L$252,0),0)</f>
        <v>0</v>
      </c>
      <c r="Q3333" s="169">
        <f>IFERROR(MATCH(J3333,'Final List'!$N$4:$N$252,0),0)</f>
        <v>0</v>
      </c>
      <c r="R3333" s="169">
        <f>IFERROR(MATCH(J3333,'Final List'!$P$4:$P$252,0),0)</f>
        <v>0</v>
      </c>
      <c r="S3333" s="169">
        <f t="shared" si="208"/>
        <v>0</v>
      </c>
      <c r="V3333" s="169" t="str">
        <f t="shared" si="207"/>
        <v>REBOTE 2</v>
      </c>
      <c r="W3333" s="169" t="s">
        <v>2715</v>
      </c>
    </row>
    <row r="3334" spans="2:23" x14ac:dyDescent="0.25">
      <c r="B3334" s="169" t="s">
        <v>1167</v>
      </c>
      <c r="C3334" s="169" t="s">
        <v>43</v>
      </c>
      <c r="D3334" s="169" t="s">
        <v>180</v>
      </c>
      <c r="E3334" s="169" t="s">
        <v>61</v>
      </c>
      <c r="F3334" s="245" t="str">
        <f t="shared" si="209"/>
        <v>Dhoz 71</v>
      </c>
      <c r="G3334" s="169" t="s">
        <v>6929</v>
      </c>
      <c r="I3334" s="169" t="str">
        <f t="shared" si="206"/>
        <v>L12_GHVSPLIT_041E_DW</v>
      </c>
      <c r="J3334" s="169" t="s">
        <v>13420</v>
      </c>
      <c r="K3334" s="169">
        <f>IFERROR(MATCH(J3334,'Final List'!$B$4:$B$252,0),0)</f>
        <v>0</v>
      </c>
      <c r="L3334" s="169">
        <f>IFERROR(MATCH(J3334,'Final List'!$D$4:$D$252,0),0)</f>
        <v>0</v>
      </c>
      <c r="M3334" s="169">
        <f>IFERROR(MATCH(J3334,'Final List'!$F$4:$F$251,0),0)</f>
        <v>0</v>
      </c>
      <c r="N3334" s="169">
        <f>IFERROR(MATCH(J3334,'Final List'!$H$4:$H$252,0),0)</f>
        <v>0</v>
      </c>
      <c r="O3334" s="169">
        <f>IFERROR(MATCH(J3334,'Final List'!$J$4:$J$252,0),0)</f>
        <v>0</v>
      </c>
      <c r="P3334" s="169">
        <f>IFERROR(MATCH(J3334,'Final List'!$L$4:$L$252,0),0)</f>
        <v>0</v>
      </c>
      <c r="Q3334" s="169">
        <f>IFERROR(MATCH(J3334,'Final List'!$N$4:$N$252,0),0)</f>
        <v>0</v>
      </c>
      <c r="R3334" s="169">
        <f>IFERROR(MATCH(J3334,'Final List'!$P$4:$P$252,0),0)</f>
        <v>0</v>
      </c>
      <c r="S3334" s="169">
        <f t="shared" si="208"/>
        <v>0</v>
      </c>
      <c r="V3334" s="169" t="str">
        <f t="shared" si="207"/>
        <v>DUHIG, P4</v>
      </c>
      <c r="W3334" s="169" t="s">
        <v>8896</v>
      </c>
    </row>
    <row r="3335" spans="2:23" x14ac:dyDescent="0.25">
      <c r="B3335" s="169" t="s">
        <v>96</v>
      </c>
      <c r="C3335" s="169" t="s">
        <v>43</v>
      </c>
      <c r="D3335" s="169" t="s">
        <v>119</v>
      </c>
      <c r="E3335" s="169" t="s">
        <v>6154</v>
      </c>
      <c r="F3335" s="245" t="str">
        <f t="shared" si="209"/>
        <v>Dhoz 71</v>
      </c>
      <c r="G3335" s="169" t="s">
        <v>2972</v>
      </c>
      <c r="I3335" s="169" t="str">
        <f t="shared" si="206"/>
        <v>L09_GHVSPLIT_012E_DW_ISL</v>
      </c>
      <c r="J3335" s="169" t="s">
        <v>13337</v>
      </c>
      <c r="K3335" s="169">
        <f>IFERROR(MATCH(J3335,'Final List'!$B$4:$B$252,0),0)</f>
        <v>0</v>
      </c>
      <c r="L3335" s="169">
        <f>IFERROR(MATCH(J3335,'Final List'!$D$4:$D$252,0),0)</f>
        <v>0</v>
      </c>
      <c r="M3335" s="169">
        <f>IFERROR(MATCH(J3335,'Final List'!$F$4:$F$251,0),0)</f>
        <v>0</v>
      </c>
      <c r="N3335" s="169">
        <f>IFERROR(MATCH(J3335,'Final List'!$H$4:$H$252,0),0)</f>
        <v>0</v>
      </c>
      <c r="O3335" s="169">
        <f>IFERROR(MATCH(J3335,'Final List'!$J$4:$J$252,0),0)</f>
        <v>0</v>
      </c>
      <c r="P3335" s="169">
        <f>IFERROR(MATCH(J3335,'Final List'!$L$4:$L$252,0),0)</f>
        <v>0</v>
      </c>
      <c r="Q3335" s="169">
        <f>IFERROR(MATCH(J3335,'Final List'!$N$4:$N$252,0),0)</f>
        <v>0</v>
      </c>
      <c r="R3335" s="169">
        <f>IFERROR(MATCH(J3335,'Final List'!$P$4:$P$252,0),0)</f>
        <v>0</v>
      </c>
      <c r="S3335" s="169">
        <f t="shared" si="208"/>
        <v>0</v>
      </c>
      <c r="V3335" s="169" t="str">
        <f t="shared" si="207"/>
        <v>FABROA 1</v>
      </c>
      <c r="W3335" s="169" t="s">
        <v>2708</v>
      </c>
    </row>
    <row r="3336" spans="2:23" x14ac:dyDescent="0.25">
      <c r="B3336" s="169" t="s">
        <v>258</v>
      </c>
      <c r="C3336" s="169" t="s">
        <v>59</v>
      </c>
      <c r="D3336" s="169" t="s">
        <v>97</v>
      </c>
      <c r="E3336" s="169" t="s">
        <v>60</v>
      </c>
      <c r="F3336" s="245" t="str">
        <f t="shared" si="209"/>
        <v>Dhoz 71</v>
      </c>
      <c r="G3336" s="169" t="s">
        <v>12888</v>
      </c>
      <c r="I3336" s="169" t="str">
        <f t="shared" si="206"/>
        <v>L10_GHVHW_012W_DE</v>
      </c>
      <c r="J3336" s="169" t="s">
        <v>13348</v>
      </c>
      <c r="K3336" s="169">
        <f>IFERROR(MATCH(J3336,'Final List'!$B$4:$B$252,0),0)</f>
        <v>0</v>
      </c>
      <c r="L3336" s="169">
        <f>IFERROR(MATCH(J3336,'Final List'!$D$4:$D$252,0),0)</f>
        <v>0</v>
      </c>
      <c r="M3336" s="169">
        <f>IFERROR(MATCH(J3336,'Final List'!$F$4:$F$251,0),0)</f>
        <v>0</v>
      </c>
      <c r="N3336" s="169">
        <f>IFERROR(MATCH(J3336,'Final List'!$H$4:$H$252,0),0)</f>
        <v>0</v>
      </c>
      <c r="O3336" s="169">
        <f>IFERROR(MATCH(J3336,'Final List'!$J$4:$J$252,0),0)</f>
        <v>0</v>
      </c>
      <c r="P3336" s="169">
        <f>IFERROR(MATCH(J3336,'Final List'!$L$4:$L$252,0),0)</f>
        <v>0</v>
      </c>
      <c r="Q3336" s="169">
        <f>IFERROR(MATCH(J3336,'Final List'!$N$4:$N$252,0),0)</f>
        <v>0</v>
      </c>
      <c r="R3336" s="169">
        <f>IFERROR(MATCH(J3336,'Final List'!$P$4:$P$252,0),0)</f>
        <v>0</v>
      </c>
      <c r="S3336" s="169">
        <f t="shared" si="208"/>
        <v>0</v>
      </c>
      <c r="V3336" s="169" t="str">
        <f t="shared" si="207"/>
        <v>NITRO BD</v>
      </c>
      <c r="W3336" s="169" t="s">
        <v>8896</v>
      </c>
    </row>
    <row r="3337" spans="2:23" x14ac:dyDescent="0.25">
      <c r="B3337" s="169" t="s">
        <v>95</v>
      </c>
      <c r="C3337" s="169" t="s">
        <v>42</v>
      </c>
      <c r="D3337" s="169" t="s">
        <v>595</v>
      </c>
      <c r="E3337" s="169" t="s">
        <v>221</v>
      </c>
      <c r="F3337" s="245" t="str">
        <f t="shared" si="209"/>
        <v>RobC 80</v>
      </c>
      <c r="G3337" s="169" t="s">
        <v>13066</v>
      </c>
      <c r="I3337" s="169" t="str">
        <f t="shared" si="206"/>
        <v>L08_JV_072E_WINZE STOPE</v>
      </c>
      <c r="J3337" s="169" t="s">
        <v>13444</v>
      </c>
      <c r="K3337" s="169">
        <f>IFERROR(MATCH(J3337,'Final List'!$B$4:$B$252,0),0)</f>
        <v>0</v>
      </c>
      <c r="L3337" s="169">
        <f>IFERROR(MATCH(J3337,'Final List'!$D$4:$D$252,0),0)</f>
        <v>0</v>
      </c>
      <c r="M3337" s="169">
        <f>IFERROR(MATCH(J3337,'Final List'!$F$4:$F$251,0),0)</f>
        <v>0</v>
      </c>
      <c r="N3337" s="169">
        <f>IFERROR(MATCH(J3337,'Final List'!$H$4:$H$252,0),0)</f>
        <v>0</v>
      </c>
      <c r="O3337" s="169">
        <f>IFERROR(MATCH(J3337,'Final List'!$J$4:$J$252,0),0)</f>
        <v>0</v>
      </c>
      <c r="P3337" s="169">
        <f>IFERROR(MATCH(J3337,'Final List'!$L$4:$L$252,0),0)</f>
        <v>0</v>
      </c>
      <c r="Q3337" s="169">
        <f>IFERROR(MATCH(J3337,'Final List'!$N$4:$N$252,0),0)</f>
        <v>0</v>
      </c>
      <c r="R3337" s="169">
        <f>IFERROR(MATCH(J3337,'Final List'!$P$4:$P$252,0),0)</f>
        <v>0</v>
      </c>
      <c r="S3337" s="169">
        <f t="shared" si="208"/>
        <v>0</v>
      </c>
      <c r="T3337" s="169" t="s">
        <v>68</v>
      </c>
      <c r="V3337" s="169" t="str">
        <f t="shared" si="207"/>
        <v>NITRO BZ</v>
      </c>
      <c r="W3337" s="169" t="s">
        <v>2719</v>
      </c>
    </row>
    <row r="3338" spans="2:23" x14ac:dyDescent="0.25">
      <c r="B3338" s="169" t="s">
        <v>12320</v>
      </c>
      <c r="C3338" s="169" t="s">
        <v>43</v>
      </c>
      <c r="D3338" s="169" t="s">
        <v>164</v>
      </c>
      <c r="E3338" s="169" t="s">
        <v>36</v>
      </c>
      <c r="F3338" s="245" t="str">
        <f t="shared" si="209"/>
        <v>StpS 77</v>
      </c>
      <c r="G3338" s="169" t="s">
        <v>5703</v>
      </c>
      <c r="I3338" s="169" t="str">
        <f t="shared" si="206"/>
        <v>L425_GHVSPLIT_064E_STOPE</v>
      </c>
      <c r="J3338" s="169" t="s">
        <v>13522</v>
      </c>
      <c r="K3338" s="169">
        <f>IFERROR(MATCH(J3338,'Final List'!$B$4:$B$252,0),0)</f>
        <v>0</v>
      </c>
      <c r="L3338" s="169">
        <f>IFERROR(MATCH(J3338,'Final List'!$D$4:$D$252,0),0)</f>
        <v>0</v>
      </c>
      <c r="M3338" s="169">
        <f>IFERROR(MATCH(J3338,'Final List'!$F$4:$F$251,0),0)</f>
        <v>0</v>
      </c>
      <c r="N3338" s="169">
        <f>IFERROR(MATCH(J3338,'Final List'!$H$4:$H$252,0),0)</f>
        <v>0</v>
      </c>
      <c r="O3338" s="169">
        <f>IFERROR(MATCH(J3338,'Final List'!$J$4:$J$252,0),0)</f>
        <v>0</v>
      </c>
      <c r="P3338" s="169">
        <f>IFERROR(MATCH(J3338,'Final List'!$L$4:$L$252,0),0)</f>
        <v>0</v>
      </c>
      <c r="Q3338" s="169">
        <f>IFERROR(MATCH(J3338,'Final List'!$N$4:$N$252,0),0)</f>
        <v>0</v>
      </c>
      <c r="R3338" s="169">
        <f>IFERROR(MATCH(J3338,'Final List'!$P$4:$P$252,0),0)</f>
        <v>0</v>
      </c>
      <c r="S3338" s="169">
        <f t="shared" si="208"/>
        <v>0</v>
      </c>
      <c r="T3338" s="169" t="s">
        <v>68</v>
      </c>
      <c r="V3338" s="169" t="str">
        <f t="shared" si="207"/>
        <v>OLIVEROS 2</v>
      </c>
      <c r="W3338" s="169" t="s">
        <v>2713</v>
      </c>
    </row>
    <row r="3339" spans="2:23" x14ac:dyDescent="0.25">
      <c r="B3339" s="169" t="s">
        <v>12320</v>
      </c>
      <c r="C3339" s="169" t="s">
        <v>43</v>
      </c>
      <c r="D3339" s="169" t="s">
        <v>160</v>
      </c>
      <c r="E3339" s="169" t="s">
        <v>19</v>
      </c>
      <c r="F3339" s="245" t="str">
        <f t="shared" si="209"/>
        <v>DVR 72</v>
      </c>
      <c r="G3339" s="169" t="s">
        <v>5101</v>
      </c>
      <c r="I3339" s="169" t="str">
        <f t="shared" si="206"/>
        <v>L425_GHVSPLIT_042E_RAISE</v>
      </c>
      <c r="J3339" s="169" t="s">
        <v>13344</v>
      </c>
      <c r="K3339" s="169">
        <f>IFERROR(MATCH(J3339,'Final List'!$B$4:$B$252,0),0)</f>
        <v>0</v>
      </c>
      <c r="L3339" s="169">
        <f>IFERROR(MATCH(J3339,'Final List'!$D$4:$D$252,0),0)</f>
        <v>0</v>
      </c>
      <c r="M3339" s="169">
        <f>IFERROR(MATCH(J3339,'Final List'!$F$4:$F$251,0),0)</f>
        <v>0</v>
      </c>
      <c r="N3339" s="169">
        <f>IFERROR(MATCH(J3339,'Final List'!$H$4:$H$252,0),0)</f>
        <v>0</v>
      </c>
      <c r="O3339" s="169">
        <f>IFERROR(MATCH(J3339,'Final List'!$J$4:$J$252,0),0)</f>
        <v>0</v>
      </c>
      <c r="P3339" s="169">
        <f>IFERROR(MATCH(J3339,'Final List'!$L$4:$L$252,0),0)</f>
        <v>0</v>
      </c>
      <c r="Q3339" s="169">
        <f>IFERROR(MATCH(J3339,'Final List'!$N$4:$N$252,0),0)</f>
        <v>0</v>
      </c>
      <c r="R3339" s="169">
        <f>IFERROR(MATCH(J3339,'Final List'!$P$4:$P$252,0),0)</f>
        <v>0</v>
      </c>
      <c r="S3339" s="169">
        <f t="shared" si="208"/>
        <v>0</v>
      </c>
      <c r="V3339" s="169" t="str">
        <f t="shared" si="207"/>
        <v>DELOS REYES V3</v>
      </c>
      <c r="W3339" s="169" t="s">
        <v>2715</v>
      </c>
    </row>
    <row r="3340" spans="2:23" x14ac:dyDescent="0.25">
      <c r="B3340" s="169" t="s">
        <v>1166</v>
      </c>
      <c r="C3340" s="169" t="s">
        <v>87</v>
      </c>
      <c r="D3340" s="169" t="s">
        <v>9427</v>
      </c>
      <c r="E3340" s="169" t="s">
        <v>12171</v>
      </c>
      <c r="F3340" s="245" t="s">
        <v>14362</v>
      </c>
      <c r="G3340" s="169" t="s">
        <v>12672</v>
      </c>
      <c r="I3340" s="169" t="str">
        <f t="shared" si="206"/>
        <v>L11_NONE_091E_WIDENING</v>
      </c>
      <c r="J3340" s="169" t="s">
        <v>13345</v>
      </c>
      <c r="K3340" s="169">
        <f>IFERROR(MATCH(J3340,'Final List'!$B$4:$B$252,0),0)</f>
        <v>0</v>
      </c>
      <c r="L3340" s="169">
        <f>IFERROR(MATCH(J3340,'Final List'!$D$4:$D$252,0),0)</f>
        <v>0</v>
      </c>
      <c r="M3340" s="169">
        <f>IFERROR(MATCH(J3340,'Final List'!$F$4:$F$251,0),0)</f>
        <v>0</v>
      </c>
      <c r="N3340" s="169">
        <f>IFERROR(MATCH(J3340,'Final List'!$H$4:$H$252,0),0)</f>
        <v>0</v>
      </c>
      <c r="O3340" s="169">
        <f>IFERROR(MATCH(J3340,'Final List'!$J$4:$J$252,0),0)</f>
        <v>0</v>
      </c>
      <c r="P3340" s="169">
        <f>IFERROR(MATCH(J3340,'Final List'!$L$4:$L$252,0),0)</f>
        <v>0</v>
      </c>
      <c r="Q3340" s="169">
        <f>IFERROR(MATCH(J3340,'Final List'!$N$4:$N$252,0),0)</f>
        <v>0</v>
      </c>
      <c r="R3340" s="169">
        <f>IFERROR(MATCH(J3340,'Final List'!$P$4:$P$252,0),0)</f>
        <v>0</v>
      </c>
      <c r="S3340" s="169">
        <f t="shared" si="208"/>
        <v>0</v>
      </c>
      <c r="V3340" s="169" t="str">
        <f t="shared" si="207"/>
        <v>NITRO BE</v>
      </c>
      <c r="W3340" s="169" t="s">
        <v>2714</v>
      </c>
    </row>
    <row r="3341" spans="2:23" x14ac:dyDescent="0.25">
      <c r="B3341" s="169" t="s">
        <v>12320</v>
      </c>
      <c r="C3341" s="169" t="s">
        <v>57</v>
      </c>
      <c r="D3341" s="169" t="s">
        <v>161</v>
      </c>
      <c r="E3341" s="169" t="s">
        <v>61</v>
      </c>
      <c r="F3341" s="245" t="str">
        <f t="shared" si="209"/>
        <v>Dhoz 71</v>
      </c>
      <c r="G3341" s="169" t="s">
        <v>389</v>
      </c>
      <c r="I3341" s="169" t="str">
        <f t="shared" si="206"/>
        <v>L425_JVSPLIT_044E_DW</v>
      </c>
      <c r="J3341" s="169" t="s">
        <v>13346</v>
      </c>
      <c r="K3341" s="169">
        <f>IFERROR(MATCH(J3341,'Final List'!$B$4:$B$252,0),0)</f>
        <v>0</v>
      </c>
      <c r="L3341" s="169">
        <f>IFERROR(MATCH(J3341,'Final List'!$D$4:$D$252,0),0)</f>
        <v>0</v>
      </c>
      <c r="M3341" s="169">
        <f>IFERROR(MATCH(J3341,'Final List'!$F$4:$F$251,0),0)</f>
        <v>0</v>
      </c>
      <c r="N3341" s="169">
        <f>IFERROR(MATCH(J3341,'Final List'!$H$4:$H$252,0),0)</f>
        <v>0</v>
      </c>
      <c r="O3341" s="169">
        <f>IFERROR(MATCH(J3341,'Final List'!$J$4:$J$252,0),0)</f>
        <v>0</v>
      </c>
      <c r="P3341" s="169">
        <f>IFERROR(MATCH(J3341,'Final List'!$L$4:$L$252,0),0)</f>
        <v>0</v>
      </c>
      <c r="Q3341" s="169">
        <f>IFERROR(MATCH(J3341,'Final List'!$N$4:$N$252,0),0)</f>
        <v>0</v>
      </c>
      <c r="R3341" s="169">
        <f>IFERROR(MATCH(J3341,'Final List'!$P$4:$P$252,0),0)</f>
        <v>0</v>
      </c>
      <c r="S3341" s="169">
        <f t="shared" si="208"/>
        <v>0</v>
      </c>
      <c r="V3341" s="169" t="str">
        <f t="shared" si="207"/>
        <v>CAPPUYO 1</v>
      </c>
      <c r="W3341" s="169" t="s">
        <v>8896</v>
      </c>
    </row>
    <row r="3342" spans="2:23" x14ac:dyDescent="0.25">
      <c r="B3342" s="169" t="s">
        <v>12320</v>
      </c>
      <c r="C3342" s="169" t="s">
        <v>59</v>
      </c>
      <c r="D3342" s="169" t="s">
        <v>205</v>
      </c>
      <c r="E3342" s="169" t="s">
        <v>19</v>
      </c>
      <c r="F3342" s="245" t="str">
        <f t="shared" si="209"/>
        <v>DVR 72</v>
      </c>
      <c r="G3342" s="169" t="s">
        <v>364</v>
      </c>
      <c r="I3342" s="169" t="str">
        <f t="shared" si="206"/>
        <v>L425_GHVHW_066E_RAISE</v>
      </c>
      <c r="J3342" s="169" t="s">
        <v>13347</v>
      </c>
      <c r="K3342" s="169">
        <f>IFERROR(MATCH(J3342,'Final List'!$B$4:$B$252,0),0)</f>
        <v>0</v>
      </c>
      <c r="L3342" s="169">
        <f>IFERROR(MATCH(J3342,'Final List'!$D$4:$D$252,0),0)</f>
        <v>0</v>
      </c>
      <c r="M3342" s="169">
        <f>IFERROR(MATCH(J3342,'Final List'!$F$4:$F$251,0),0)</f>
        <v>0</v>
      </c>
      <c r="N3342" s="169">
        <f>IFERROR(MATCH(J3342,'Final List'!$H$4:$H$252,0),0)</f>
        <v>0</v>
      </c>
      <c r="O3342" s="169">
        <f>IFERROR(MATCH(J3342,'Final List'!$J$4:$J$252,0),0)</f>
        <v>0</v>
      </c>
      <c r="P3342" s="169">
        <f>IFERROR(MATCH(J3342,'Final List'!$L$4:$L$252,0),0)</f>
        <v>0</v>
      </c>
      <c r="Q3342" s="169">
        <f>IFERROR(MATCH(J3342,'Final List'!$N$4:$N$252,0),0)</f>
        <v>0</v>
      </c>
      <c r="R3342" s="169">
        <f>IFERROR(MATCH(J3342,'Final List'!$P$4:$P$252,0),0)</f>
        <v>0</v>
      </c>
      <c r="S3342" s="169">
        <f t="shared" si="208"/>
        <v>0</v>
      </c>
      <c r="V3342" s="169" t="str">
        <f t="shared" si="207"/>
        <v>BABOR 3</v>
      </c>
      <c r="W3342" s="169" t="s">
        <v>2715</v>
      </c>
    </row>
    <row r="3343" spans="2:23" x14ac:dyDescent="0.25">
      <c r="B3343" s="169" t="s">
        <v>96</v>
      </c>
      <c r="C3343" s="169" t="s">
        <v>59</v>
      </c>
      <c r="D3343" s="169" t="s">
        <v>5888</v>
      </c>
      <c r="E3343" s="169" t="s">
        <v>60</v>
      </c>
      <c r="F3343" s="245" t="str">
        <f t="shared" si="209"/>
        <v>Dhoz 71</v>
      </c>
      <c r="G3343" s="169" t="s">
        <v>1661</v>
      </c>
      <c r="I3343" s="169" t="str">
        <f t="shared" si="206"/>
        <v>L09_GHVHW_024W_DE</v>
      </c>
      <c r="J3343" s="169" t="s">
        <v>13388</v>
      </c>
      <c r="K3343" s="169">
        <f>IFERROR(MATCH(J3343,'Final List'!$B$4:$B$252,0),0)</f>
        <v>0</v>
      </c>
      <c r="L3343" s="169">
        <f>IFERROR(MATCH(J3343,'Final List'!$D$4:$D$252,0),0)</f>
        <v>0</v>
      </c>
      <c r="M3343" s="169">
        <f>IFERROR(MATCH(J3343,'Final List'!$F$4:$F$251,0),0)</f>
        <v>0</v>
      </c>
      <c r="N3343" s="169">
        <f>IFERROR(MATCH(J3343,'Final List'!$H$4:$H$252,0),0)</f>
        <v>0</v>
      </c>
      <c r="O3343" s="169">
        <f>IFERROR(MATCH(J3343,'Final List'!$J$4:$J$252,0),0)</f>
        <v>0</v>
      </c>
      <c r="P3343" s="169">
        <f>IFERROR(MATCH(J3343,'Final List'!$L$4:$L$252,0),0)</f>
        <v>0</v>
      </c>
      <c r="Q3343" s="169">
        <f>IFERROR(MATCH(J3343,'Final List'!$N$4:$N$252,0),0)</f>
        <v>0</v>
      </c>
      <c r="R3343" s="169">
        <f>IFERROR(MATCH(J3343,'Final List'!$P$4:$P$252,0),0)</f>
        <v>0</v>
      </c>
      <c r="S3343" s="169">
        <f t="shared" si="208"/>
        <v>0</v>
      </c>
      <c r="V3343" s="169" t="str">
        <f t="shared" si="207"/>
        <v>DELOS REYES V2</v>
      </c>
      <c r="W3343" s="169" t="s">
        <v>8896</v>
      </c>
    </row>
    <row r="3344" spans="2:23" x14ac:dyDescent="0.25">
      <c r="B3344" s="169" t="s">
        <v>95</v>
      </c>
      <c r="C3344" s="169" t="s">
        <v>45</v>
      </c>
      <c r="D3344" s="169" t="s">
        <v>6710</v>
      </c>
      <c r="E3344" s="169" t="s">
        <v>19</v>
      </c>
      <c r="F3344" s="245" t="str">
        <f t="shared" si="209"/>
        <v>DVR 72</v>
      </c>
      <c r="G3344" s="169" t="s">
        <v>12064</v>
      </c>
      <c r="I3344" s="169" t="str">
        <f t="shared" si="206"/>
        <v>L08_DPVE_018W_RAISE</v>
      </c>
      <c r="J3344" s="169" t="s">
        <v>13349</v>
      </c>
      <c r="K3344" s="169">
        <f>IFERROR(MATCH(J3344,'Final List'!$B$4:$B$252,0),0)</f>
        <v>0</v>
      </c>
      <c r="L3344" s="169">
        <f>IFERROR(MATCH(J3344,'Final List'!$D$4:$D$252,0),0)</f>
        <v>0</v>
      </c>
      <c r="M3344" s="169">
        <f>IFERROR(MATCH(J3344,'Final List'!$F$4:$F$251,0),0)</f>
        <v>0</v>
      </c>
      <c r="N3344" s="169">
        <f>IFERROR(MATCH(J3344,'Final List'!$H$4:$H$252,0),0)</f>
        <v>0</v>
      </c>
      <c r="O3344" s="169">
        <f>IFERROR(MATCH(J3344,'Final List'!$J$4:$J$252,0),0)</f>
        <v>0</v>
      </c>
      <c r="P3344" s="169">
        <f>IFERROR(MATCH(J3344,'Final List'!$L$4:$L$252,0),0)</f>
        <v>0</v>
      </c>
      <c r="Q3344" s="169">
        <f>IFERROR(MATCH(J3344,'Final List'!$N$4:$N$252,0),0)</f>
        <v>0</v>
      </c>
      <c r="R3344" s="169">
        <f>IFERROR(MATCH(J3344,'Final List'!$P$4:$P$252,0),0)</f>
        <v>0</v>
      </c>
      <c r="S3344" s="169">
        <f t="shared" si="208"/>
        <v>0</v>
      </c>
      <c r="V3344" s="169" t="str">
        <f t="shared" si="207"/>
        <v>NITRO AX</v>
      </c>
      <c r="W3344" s="169" t="s">
        <v>2715</v>
      </c>
    </row>
    <row r="3345" spans="2:23" x14ac:dyDescent="0.25">
      <c r="B3345" s="169" t="s">
        <v>1167</v>
      </c>
      <c r="C3345" s="169" t="s">
        <v>87</v>
      </c>
      <c r="D3345" s="169" t="s">
        <v>1230</v>
      </c>
      <c r="E3345" s="169" t="s">
        <v>63</v>
      </c>
      <c r="F3345" s="245" t="str">
        <f t="shared" si="209"/>
        <v>Dhoz 71</v>
      </c>
      <c r="G3345" s="169" t="s">
        <v>13633</v>
      </c>
      <c r="I3345" s="169" t="str">
        <f t="shared" si="206"/>
        <v>L12_NONE_075E_XCS</v>
      </c>
      <c r="J3345" s="169" t="s">
        <v>13351</v>
      </c>
      <c r="K3345" s="169">
        <f>IFERROR(MATCH(J3345,'Final List'!$B$4:$B$252,0),0)</f>
        <v>0</v>
      </c>
      <c r="L3345" s="169">
        <f>IFERROR(MATCH(J3345,'Final List'!$D$4:$D$252,0),0)</f>
        <v>0</v>
      </c>
      <c r="M3345" s="169">
        <f>IFERROR(MATCH(J3345,'Final List'!$F$4:$F$251,0),0)</f>
        <v>0</v>
      </c>
      <c r="N3345" s="169">
        <f>IFERROR(MATCH(J3345,'Final List'!$H$4:$H$252,0),0)</f>
        <v>0</v>
      </c>
      <c r="O3345" s="169">
        <f>IFERROR(MATCH(J3345,'Final List'!$J$4:$J$252,0),0)</f>
        <v>0</v>
      </c>
      <c r="P3345" s="169">
        <f>IFERROR(MATCH(J3345,'Final List'!$L$4:$L$252,0),0)</f>
        <v>0</v>
      </c>
      <c r="Q3345" s="169">
        <f>IFERROR(MATCH(J3345,'Final List'!$N$4:$N$252,0),0)</f>
        <v>0</v>
      </c>
      <c r="R3345" s="169">
        <f>IFERROR(MATCH(J3345,'Final List'!$P$4:$P$252,0),0)</f>
        <v>0</v>
      </c>
      <c r="S3345" s="169">
        <f t="shared" si="208"/>
        <v>0</v>
      </c>
      <c r="V3345" s="169" t="str">
        <f t="shared" si="207"/>
        <v>CAYMAN</v>
      </c>
      <c r="W3345" s="169" t="s">
        <v>8898</v>
      </c>
    </row>
    <row r="3346" spans="2:23" x14ac:dyDescent="0.25">
      <c r="B3346" s="169" t="s">
        <v>12320</v>
      </c>
      <c r="C3346" s="169" t="s">
        <v>45</v>
      </c>
      <c r="D3346" s="169" t="s">
        <v>148</v>
      </c>
      <c r="E3346" s="169" t="s">
        <v>60</v>
      </c>
      <c r="F3346" s="245" t="str">
        <f t="shared" si="209"/>
        <v>Dhoz 71</v>
      </c>
      <c r="G3346" s="169" t="s">
        <v>12963</v>
      </c>
      <c r="H3346" s="169" t="s">
        <v>5705</v>
      </c>
      <c r="I3346" s="169" t="str">
        <f t="shared" si="206"/>
        <v>L425_DPVE_039E_DE</v>
      </c>
      <c r="J3346" s="169" t="s">
        <v>13357</v>
      </c>
      <c r="K3346" s="169">
        <f>IFERROR(MATCH(J3346,'Final List'!$B$4:$B$252,0),0)</f>
        <v>0</v>
      </c>
      <c r="L3346" s="169">
        <f>IFERROR(MATCH(J3346,'Final List'!$D$4:$D$252,0),0)</f>
        <v>0</v>
      </c>
      <c r="M3346" s="169">
        <f>IFERROR(MATCH(J3346,'Final List'!$F$4:$F$251,0),0)</f>
        <v>0</v>
      </c>
      <c r="N3346" s="169">
        <f>IFERROR(MATCH(J3346,'Final List'!$H$4:$H$252,0),0)</f>
        <v>0</v>
      </c>
      <c r="O3346" s="169">
        <f>IFERROR(MATCH(J3346,'Final List'!$J$4:$J$252,0),0)</f>
        <v>0</v>
      </c>
      <c r="P3346" s="169">
        <f>IFERROR(MATCH(J3346,'Final List'!$L$4:$L$252,0),0)</f>
        <v>0</v>
      </c>
      <c r="Q3346" s="169">
        <f>IFERROR(MATCH(J3346,'Final List'!$N$4:$N$252,0),0)</f>
        <v>0</v>
      </c>
      <c r="R3346" s="169">
        <f>IFERROR(MATCH(J3346,'Final List'!$P$4:$P$252,0),0)</f>
        <v>0</v>
      </c>
      <c r="S3346" s="169">
        <f t="shared" si="208"/>
        <v>0</v>
      </c>
      <c r="V3346" s="169" t="str">
        <f t="shared" si="207"/>
        <v>OLIVEROS 4</v>
      </c>
      <c r="W3346" s="169" t="s">
        <v>8896</v>
      </c>
    </row>
    <row r="3347" spans="2:23" x14ac:dyDescent="0.25">
      <c r="B3347" s="169" t="s">
        <v>1167</v>
      </c>
      <c r="C3347" s="169" t="s">
        <v>57</v>
      </c>
      <c r="D3347" s="169" t="s">
        <v>179</v>
      </c>
      <c r="E3347" s="169" t="s">
        <v>61</v>
      </c>
      <c r="F3347" s="245" t="str">
        <f t="shared" si="209"/>
        <v>Dhoz 71</v>
      </c>
      <c r="G3347" s="169" t="s">
        <v>336</v>
      </c>
      <c r="H3347" s="169" t="s">
        <v>6929</v>
      </c>
      <c r="I3347" s="169" t="str">
        <f t="shared" si="206"/>
        <v>L12_JVSPLIT_050E_DW</v>
      </c>
      <c r="J3347" s="169" t="s">
        <v>13361</v>
      </c>
      <c r="K3347" s="169">
        <f>IFERROR(MATCH(J3347,'Final List'!$B$4:$B$252,0),0)</f>
        <v>0</v>
      </c>
      <c r="L3347" s="169">
        <f>IFERROR(MATCH(J3347,'Final List'!$D$4:$D$252,0),0)</f>
        <v>0</v>
      </c>
      <c r="M3347" s="169">
        <f>IFERROR(MATCH(J3347,'Final List'!$F$4:$F$251,0),0)</f>
        <v>0</v>
      </c>
      <c r="N3347" s="169">
        <f>IFERROR(MATCH(J3347,'Final List'!$H$4:$H$252,0),0)</f>
        <v>0</v>
      </c>
      <c r="O3347" s="169">
        <f>IFERROR(MATCH(J3347,'Final List'!$J$4:$J$252,0),0)</f>
        <v>0</v>
      </c>
      <c r="P3347" s="169">
        <f>IFERROR(MATCH(J3347,'Final List'!$L$4:$L$252,0),0)</f>
        <v>0</v>
      </c>
      <c r="Q3347" s="169">
        <f>IFERROR(MATCH(J3347,'Final List'!$N$4:$N$252,0),0)</f>
        <v>0</v>
      </c>
      <c r="R3347" s="169">
        <f>IFERROR(MATCH(J3347,'Final List'!$P$4:$P$252,0),0)</f>
        <v>0</v>
      </c>
      <c r="S3347" s="169">
        <f t="shared" si="208"/>
        <v>0</v>
      </c>
      <c r="V3347" s="169" t="str">
        <f t="shared" si="207"/>
        <v>DUHIG, P4</v>
      </c>
      <c r="W3347" s="169" t="s">
        <v>8896</v>
      </c>
    </row>
    <row r="3348" spans="2:23" x14ac:dyDescent="0.25">
      <c r="B3348" s="169" t="s">
        <v>95</v>
      </c>
      <c r="C3348" s="169" t="s">
        <v>45</v>
      </c>
      <c r="D3348" s="169" t="s">
        <v>97</v>
      </c>
      <c r="E3348" s="169" t="s">
        <v>36</v>
      </c>
      <c r="F3348" s="245" t="str">
        <f t="shared" si="209"/>
        <v>StpL 78</v>
      </c>
      <c r="G3348" s="169" t="s">
        <v>13172</v>
      </c>
      <c r="H3348" t="s">
        <v>14135</v>
      </c>
      <c r="I3348" s="169" t="str">
        <f t="shared" si="206"/>
        <v>L08_DPVE_012W_STOPE</v>
      </c>
      <c r="J3348" s="169" t="s">
        <v>13539</v>
      </c>
      <c r="K3348" s="169">
        <f>IFERROR(MATCH(J3348,'Final List'!$B$4:$B$252,0),0)</f>
        <v>0</v>
      </c>
      <c r="L3348" s="169">
        <f>IFERROR(MATCH(J3348,'Final List'!$D$4:$D$252,0),0)</f>
        <v>0</v>
      </c>
      <c r="M3348" s="169">
        <f>IFERROR(MATCH(J3348,'Final List'!$F$4:$F$251,0),0)</f>
        <v>0</v>
      </c>
      <c r="N3348" s="169">
        <f>IFERROR(MATCH(J3348,'Final List'!$H$4:$H$252,0),0)</f>
        <v>0</v>
      </c>
      <c r="O3348" s="169">
        <f>IFERROR(MATCH(J3348,'Final List'!$J$4:$J$252,0),0)</f>
        <v>0</v>
      </c>
      <c r="P3348" s="169">
        <f>IFERROR(MATCH(J3348,'Final List'!$L$4:$L$252,0),0)</f>
        <v>0</v>
      </c>
      <c r="Q3348" s="169">
        <f>IFERROR(MATCH(J3348,'Final List'!$N$4:$N$252,0),0)</f>
        <v>0</v>
      </c>
      <c r="R3348" s="169">
        <f>IFERROR(MATCH(J3348,'Final List'!$P$4:$P$252,0),0)</f>
        <v>0</v>
      </c>
      <c r="S3348" s="169">
        <f t="shared" si="208"/>
        <v>0</v>
      </c>
      <c r="T3348" s="169" t="s">
        <v>48</v>
      </c>
      <c r="V3348" s="169" t="str">
        <f t="shared" si="207"/>
        <v>NITRO CF 1</v>
      </c>
      <c r="W3348" s="169" t="s">
        <v>2713</v>
      </c>
    </row>
    <row r="3349" spans="2:23" x14ac:dyDescent="0.25">
      <c r="B3349" s="169" t="s">
        <v>12320</v>
      </c>
      <c r="C3349" s="169" t="s">
        <v>43</v>
      </c>
      <c r="D3349" s="169" t="s">
        <v>142</v>
      </c>
      <c r="E3349" s="169" t="s">
        <v>61</v>
      </c>
      <c r="F3349" s="245" t="str">
        <f t="shared" si="209"/>
        <v>Dhoz 71</v>
      </c>
      <c r="G3349" s="169" t="s">
        <v>356</v>
      </c>
      <c r="I3349" s="169" t="str">
        <f t="shared" si="206"/>
        <v>L425_GHVSPLIT_038E_DW</v>
      </c>
      <c r="J3349" s="169" t="s">
        <v>13370</v>
      </c>
      <c r="K3349" s="169">
        <f>IFERROR(MATCH(J3349,'Final List'!$B$4:$B$252,0),0)</f>
        <v>0</v>
      </c>
      <c r="L3349" s="169">
        <f>IFERROR(MATCH(J3349,'Final List'!$D$4:$D$252,0),0)</f>
        <v>0</v>
      </c>
      <c r="M3349" s="169">
        <f>IFERROR(MATCH(J3349,'Final List'!$F$4:$F$251,0),0)</f>
        <v>0</v>
      </c>
      <c r="N3349" s="169">
        <f>IFERROR(MATCH(J3349,'Final List'!$H$4:$H$252,0),0)</f>
        <v>0</v>
      </c>
      <c r="O3349" s="169">
        <f>IFERROR(MATCH(J3349,'Final List'!$J$4:$J$252,0),0)</f>
        <v>0</v>
      </c>
      <c r="P3349" s="169">
        <f>IFERROR(MATCH(J3349,'Final List'!$L$4:$L$252,0),0)</f>
        <v>0</v>
      </c>
      <c r="Q3349" s="169">
        <f>IFERROR(MATCH(J3349,'Final List'!$N$4:$N$252,0),0)</f>
        <v>0</v>
      </c>
      <c r="R3349" s="169">
        <f>IFERROR(MATCH(J3349,'Final List'!$P$4:$P$252,0),0)</f>
        <v>0</v>
      </c>
      <c r="S3349" s="169">
        <f t="shared" si="208"/>
        <v>0</v>
      </c>
      <c r="V3349" s="169" t="str">
        <f t="shared" si="207"/>
        <v>BAÑEZ 1</v>
      </c>
      <c r="W3349" s="169" t="s">
        <v>8896</v>
      </c>
    </row>
    <row r="3350" spans="2:23" x14ac:dyDescent="0.25">
      <c r="B3350" s="169" t="s">
        <v>258</v>
      </c>
      <c r="C3350" s="169" t="s">
        <v>45</v>
      </c>
      <c r="D3350" s="169" t="s">
        <v>205</v>
      </c>
      <c r="E3350" s="169" t="s">
        <v>19</v>
      </c>
      <c r="F3350" s="245" t="str">
        <f t="shared" si="209"/>
        <v>DVR 72</v>
      </c>
      <c r="G3350" s="169" t="s">
        <v>12244</v>
      </c>
      <c r="I3350" s="169" t="str">
        <f t="shared" si="206"/>
        <v>L10_DPVE_066E_RAISE</v>
      </c>
      <c r="J3350" s="169" t="s">
        <v>13372</v>
      </c>
      <c r="K3350" s="169">
        <f>IFERROR(MATCH(J3350,'Final List'!$B$4:$B$252,0),0)</f>
        <v>0</v>
      </c>
      <c r="L3350" s="169">
        <f>IFERROR(MATCH(J3350,'Final List'!$D$4:$D$252,0),0)</f>
        <v>0</v>
      </c>
      <c r="M3350" s="169">
        <f>IFERROR(MATCH(J3350,'Final List'!$F$4:$F$251,0),0)</f>
        <v>0</v>
      </c>
      <c r="N3350" s="169">
        <f>IFERROR(MATCH(J3350,'Final List'!$H$4:$H$252,0),0)</f>
        <v>0</v>
      </c>
      <c r="O3350" s="169">
        <f>IFERROR(MATCH(J3350,'Final List'!$J$4:$J$252,0),0)</f>
        <v>0</v>
      </c>
      <c r="P3350" s="169">
        <f>IFERROR(MATCH(J3350,'Final List'!$L$4:$L$252,0),0)</f>
        <v>0</v>
      </c>
      <c r="Q3350" s="169">
        <f>IFERROR(MATCH(J3350,'Final List'!$N$4:$N$252,0),0)</f>
        <v>0</v>
      </c>
      <c r="R3350" s="169">
        <f>IFERROR(MATCH(J3350,'Final List'!$P$4:$P$252,0),0)</f>
        <v>0</v>
      </c>
      <c r="S3350" s="169">
        <f t="shared" si="208"/>
        <v>0</v>
      </c>
      <c r="V3350" s="169" t="str">
        <f t="shared" si="207"/>
        <v>NITRO AY</v>
      </c>
      <c r="W3350" s="169" t="s">
        <v>2715</v>
      </c>
    </row>
    <row r="3351" spans="2:23" x14ac:dyDescent="0.25">
      <c r="B3351" s="169" t="s">
        <v>12320</v>
      </c>
      <c r="C3351" s="169" t="s">
        <v>87</v>
      </c>
      <c r="D3351" s="169" t="s">
        <v>167</v>
      </c>
      <c r="E3351" s="169" t="s">
        <v>37</v>
      </c>
      <c r="F3351" s="245" t="str">
        <f t="shared" si="209"/>
        <v>Dhoz 71</v>
      </c>
      <c r="G3351" s="169" t="s">
        <v>13376</v>
      </c>
      <c r="I3351" s="169" t="str">
        <f t="shared" si="206"/>
        <v>L425_NONE_058E_XCN</v>
      </c>
      <c r="J3351" s="169" t="s">
        <v>13375</v>
      </c>
      <c r="K3351" s="169">
        <f>IFERROR(MATCH(J3351,'Final List'!$B$4:$B$252,0),0)</f>
        <v>0</v>
      </c>
      <c r="L3351" s="169">
        <f>IFERROR(MATCH(J3351,'Final List'!$D$4:$D$252,0),0)</f>
        <v>0</v>
      </c>
      <c r="M3351" s="169">
        <f>IFERROR(MATCH(J3351,'Final List'!$F$4:$F$251,0),0)</f>
        <v>0</v>
      </c>
      <c r="N3351" s="169">
        <f>IFERROR(MATCH(J3351,'Final List'!$H$4:$H$252,0),0)</f>
        <v>0</v>
      </c>
      <c r="O3351" s="169">
        <f>IFERROR(MATCH(J3351,'Final List'!$J$4:$J$252,0),0)</f>
        <v>0</v>
      </c>
      <c r="P3351" s="169">
        <f>IFERROR(MATCH(J3351,'Final List'!$L$4:$L$252,0),0)</f>
        <v>0</v>
      </c>
      <c r="Q3351" s="169">
        <f>IFERROR(MATCH(J3351,'Final List'!$N$4:$N$252,0),0)</f>
        <v>0</v>
      </c>
      <c r="R3351" s="169">
        <f>IFERROR(MATCH(J3351,'Final List'!$P$4:$P$252,0),0)</f>
        <v>0</v>
      </c>
      <c r="S3351" s="169">
        <f t="shared" si="208"/>
        <v>0</v>
      </c>
      <c r="V3351" s="169" t="str">
        <f t="shared" si="207"/>
        <v>CAPPUYO 5</v>
      </c>
      <c r="W3351" s="169" t="s">
        <v>2714</v>
      </c>
    </row>
    <row r="3352" spans="2:23" x14ac:dyDescent="0.25">
      <c r="B3352" s="169" t="s">
        <v>12320</v>
      </c>
      <c r="C3352" s="169" t="s">
        <v>87</v>
      </c>
      <c r="D3352" s="169" t="s">
        <v>173</v>
      </c>
      <c r="E3352" s="169" t="s">
        <v>72</v>
      </c>
      <c r="F3352" s="245" t="str">
        <f t="shared" si="209"/>
        <v>Dhoz 71</v>
      </c>
      <c r="G3352" s="169" t="s">
        <v>75</v>
      </c>
      <c r="I3352" s="169" t="str">
        <f t="shared" si="206"/>
        <v>L425_NONE_049E_CHAMBER</v>
      </c>
      <c r="J3352" s="169" t="s">
        <v>13377</v>
      </c>
      <c r="K3352" s="169">
        <f>IFERROR(MATCH(J3352,'Final List'!$B$4:$B$252,0),0)</f>
        <v>0</v>
      </c>
      <c r="L3352" s="169">
        <f>IFERROR(MATCH(J3352,'Final List'!$D$4:$D$252,0),0)</f>
        <v>0</v>
      </c>
      <c r="M3352" s="169">
        <f>IFERROR(MATCH(J3352,'Final List'!$F$4:$F$251,0),0)</f>
        <v>0</v>
      </c>
      <c r="N3352" s="169">
        <f>IFERROR(MATCH(J3352,'Final List'!$H$4:$H$252,0),0)</f>
        <v>0</v>
      </c>
      <c r="O3352" s="169">
        <f>IFERROR(MATCH(J3352,'Final List'!$J$4:$J$252,0),0)</f>
        <v>0</v>
      </c>
      <c r="P3352" s="169">
        <f>IFERROR(MATCH(J3352,'Final List'!$L$4:$L$252,0),0)</f>
        <v>0</v>
      </c>
      <c r="Q3352" s="169">
        <f>IFERROR(MATCH(J3352,'Final List'!$N$4:$N$252,0),0)</f>
        <v>0</v>
      </c>
      <c r="R3352" s="169">
        <f>IFERROR(MATCH(J3352,'Final List'!$P$4:$P$252,0),0)</f>
        <v>0</v>
      </c>
      <c r="S3352" s="169">
        <f t="shared" si="208"/>
        <v>0</v>
      </c>
      <c r="V3352" s="169" t="str">
        <f t="shared" si="207"/>
        <v>BABOR</v>
      </c>
      <c r="W3352" s="169" t="s">
        <v>2714</v>
      </c>
    </row>
    <row r="3353" spans="2:23" x14ac:dyDescent="0.25">
      <c r="B3353" s="169" t="s">
        <v>12320</v>
      </c>
      <c r="C3353" s="169" t="s">
        <v>59</v>
      </c>
      <c r="D3353" s="169" t="s">
        <v>179</v>
      </c>
      <c r="E3353" s="169" t="s">
        <v>36</v>
      </c>
      <c r="F3353" s="245" t="str">
        <f t="shared" si="209"/>
        <v>StpL 78</v>
      </c>
      <c r="G3353" s="169" t="s">
        <v>356</v>
      </c>
      <c r="I3353" s="169" t="str">
        <f t="shared" si="206"/>
        <v>L425_GHVHW_050E_STOPE</v>
      </c>
      <c r="J3353" s="169" t="s">
        <v>13490</v>
      </c>
      <c r="K3353" s="169">
        <f>IFERROR(MATCH(J3353,'Final List'!$B$4:$B$252,0),0)</f>
        <v>0</v>
      </c>
      <c r="L3353" s="169">
        <f>IFERROR(MATCH(J3353,'Final List'!$D$4:$D$252,0),0)</f>
        <v>0</v>
      </c>
      <c r="M3353" s="169">
        <f>IFERROR(MATCH(J3353,'Final List'!$F$4:$F$251,0),0)</f>
        <v>0</v>
      </c>
      <c r="N3353" s="169">
        <f>IFERROR(MATCH(J3353,'Final List'!$H$4:$H$252,0),0)</f>
        <v>0</v>
      </c>
      <c r="O3353" s="169">
        <f>IFERROR(MATCH(J3353,'Final List'!$J$4:$J$252,0),0)</f>
        <v>0</v>
      </c>
      <c r="P3353" s="169">
        <f>IFERROR(MATCH(J3353,'Final List'!$L$4:$L$252,0),0)</f>
        <v>0</v>
      </c>
      <c r="Q3353" s="169">
        <f>IFERROR(MATCH(J3353,'Final List'!$N$4:$N$252,0),0)</f>
        <v>0</v>
      </c>
      <c r="R3353" s="169">
        <f>IFERROR(MATCH(J3353,'Final List'!$P$4:$P$252,0),0)</f>
        <v>0</v>
      </c>
      <c r="S3353" s="169">
        <f t="shared" si="208"/>
        <v>0</v>
      </c>
      <c r="T3353" s="169" t="s">
        <v>48</v>
      </c>
      <c r="V3353" s="169" t="str">
        <f t="shared" si="207"/>
        <v>BAÑEZ 1</v>
      </c>
      <c r="W3353" s="169" t="s">
        <v>2713</v>
      </c>
    </row>
    <row r="3354" spans="2:23" x14ac:dyDescent="0.25">
      <c r="B3354" s="169" t="s">
        <v>12320</v>
      </c>
      <c r="C3354" s="169" t="s">
        <v>59</v>
      </c>
      <c r="D3354" s="169" t="s">
        <v>205</v>
      </c>
      <c r="E3354" s="169" t="s">
        <v>36</v>
      </c>
      <c r="F3354" s="245" t="str">
        <f t="shared" si="209"/>
        <v>StpL 78</v>
      </c>
      <c r="G3354" s="169" t="s">
        <v>364</v>
      </c>
      <c r="I3354" s="169" t="str">
        <f t="shared" si="206"/>
        <v>L425_GHVHW_066E_STOPE</v>
      </c>
      <c r="J3354" s="169" t="s">
        <v>13572</v>
      </c>
      <c r="K3354" s="169">
        <f>IFERROR(MATCH(J3354,'Final List'!$B$4:$B$252,0),0)</f>
        <v>0</v>
      </c>
      <c r="L3354" s="169">
        <f>IFERROR(MATCH(J3354,'Final List'!$D$4:$D$252,0),0)</f>
        <v>0</v>
      </c>
      <c r="M3354" s="169">
        <f>IFERROR(MATCH(J3354,'Final List'!$F$4:$F$251,0),0)</f>
        <v>0</v>
      </c>
      <c r="N3354" s="169">
        <f>IFERROR(MATCH(J3354,'Final List'!$H$4:$H$252,0),0)</f>
        <v>0</v>
      </c>
      <c r="O3354" s="169">
        <f>IFERROR(MATCH(J3354,'Final List'!$J$4:$J$252,0),0)</f>
        <v>0</v>
      </c>
      <c r="P3354" s="169">
        <f>IFERROR(MATCH(J3354,'Final List'!$L$4:$L$252,0),0)</f>
        <v>0</v>
      </c>
      <c r="Q3354" s="169">
        <f>IFERROR(MATCH(J3354,'Final List'!$N$4:$N$252,0),0)</f>
        <v>0</v>
      </c>
      <c r="R3354" s="169">
        <f>IFERROR(MATCH(J3354,'Final List'!$P$4:$P$252,0),0)</f>
        <v>0</v>
      </c>
      <c r="S3354" s="169">
        <f t="shared" si="208"/>
        <v>0</v>
      </c>
      <c r="T3354" s="169" t="s">
        <v>48</v>
      </c>
      <c r="V3354" s="169" t="str">
        <f t="shared" si="207"/>
        <v>BABOR 3</v>
      </c>
      <c r="W3354" s="169" t="s">
        <v>2713</v>
      </c>
    </row>
    <row r="3355" spans="2:23" x14ac:dyDescent="0.25">
      <c r="B3355" s="169" t="s">
        <v>95</v>
      </c>
      <c r="C3355" s="169" t="s">
        <v>45</v>
      </c>
      <c r="D3355" s="169" t="s">
        <v>161</v>
      </c>
      <c r="E3355" s="169" t="s">
        <v>62</v>
      </c>
      <c r="F3355" s="245" t="str">
        <f t="shared" si="209"/>
        <v>RobS 79</v>
      </c>
      <c r="G3355" s="169" t="s">
        <v>6216</v>
      </c>
      <c r="I3355" s="169" t="str">
        <f t="shared" si="206"/>
        <v>L08_DPVE_044E_ROBBING</v>
      </c>
      <c r="J3355" s="169" t="s">
        <v>13384</v>
      </c>
      <c r="K3355" s="169">
        <f>IFERROR(MATCH(J3355,'Final List'!$B$4:$B$252,0),0)</f>
        <v>0</v>
      </c>
      <c r="L3355" s="169">
        <f>IFERROR(MATCH(J3355,'Final List'!$D$4:$D$252,0),0)</f>
        <v>0</v>
      </c>
      <c r="M3355" s="169">
        <f>IFERROR(MATCH(J3355,'Final List'!$F$4:$F$251,0),0)</f>
        <v>0</v>
      </c>
      <c r="N3355" s="169">
        <f>IFERROR(MATCH(J3355,'Final List'!$H$4:$H$252,0),0)</f>
        <v>0</v>
      </c>
      <c r="O3355" s="169">
        <f>IFERROR(MATCH(J3355,'Final List'!$J$4:$J$252,0),0)</f>
        <v>0</v>
      </c>
      <c r="P3355" s="169">
        <f>IFERROR(MATCH(J3355,'Final List'!$L$4:$L$252,0),0)</f>
        <v>0</v>
      </c>
      <c r="Q3355" s="169">
        <f>IFERROR(MATCH(J3355,'Final List'!$N$4:$N$252,0),0)</f>
        <v>0</v>
      </c>
      <c r="R3355" s="169">
        <f>IFERROR(MATCH(J3355,'Final List'!$P$4:$P$252,0),0)</f>
        <v>0</v>
      </c>
      <c r="S3355" s="169">
        <f t="shared" si="208"/>
        <v>0</v>
      </c>
      <c r="T3355" s="169" t="s">
        <v>68</v>
      </c>
      <c r="V3355" s="169" t="str">
        <f t="shared" si="207"/>
        <v>FERNANDEZ</v>
      </c>
      <c r="W3355" s="169" t="s">
        <v>2707</v>
      </c>
    </row>
    <row r="3356" spans="2:23" x14ac:dyDescent="0.25">
      <c r="B3356" s="169" t="s">
        <v>258</v>
      </c>
      <c r="C3356" s="169" t="s">
        <v>87</v>
      </c>
      <c r="D3356" s="169" t="s">
        <v>6036</v>
      </c>
      <c r="E3356" s="169" t="s">
        <v>37</v>
      </c>
      <c r="F3356" s="245" t="str">
        <f t="shared" si="209"/>
        <v>Dhoz 71</v>
      </c>
      <c r="G3356" s="169" t="s">
        <v>5700</v>
      </c>
      <c r="I3356" s="169" t="str">
        <f t="shared" ref="I3356:I3409" si="210">CONCATENATE(B3356,"_",C3356,"_",D3356,"_",E3356)</f>
        <v>L10_NONE_017E_XCN</v>
      </c>
      <c r="J3356" s="169" t="s">
        <v>13386</v>
      </c>
      <c r="K3356" s="169">
        <f>IFERROR(MATCH(J3356,'Final List'!$B$4:$B$252,0),0)</f>
        <v>0</v>
      </c>
      <c r="L3356" s="169">
        <f>IFERROR(MATCH(J3356,'Final List'!$D$4:$D$252,0),0)</f>
        <v>0</v>
      </c>
      <c r="M3356" s="169">
        <f>IFERROR(MATCH(J3356,'Final List'!$F$4:$F$251,0),0)</f>
        <v>0</v>
      </c>
      <c r="N3356" s="169">
        <f>IFERROR(MATCH(J3356,'Final List'!$H$4:$H$252,0),0)</f>
        <v>0</v>
      </c>
      <c r="O3356" s="169">
        <f>IFERROR(MATCH(J3356,'Final List'!$J$4:$J$252,0),0)</f>
        <v>0</v>
      </c>
      <c r="P3356" s="169">
        <f>IFERROR(MATCH(J3356,'Final List'!$L$4:$L$252,0),0)</f>
        <v>0</v>
      </c>
      <c r="Q3356" s="169">
        <f>IFERROR(MATCH(J3356,'Final List'!$N$4:$N$252,0),0)</f>
        <v>0</v>
      </c>
      <c r="R3356" s="169">
        <f>IFERROR(MATCH(J3356,'Final List'!$P$4:$P$252,0),0)</f>
        <v>0</v>
      </c>
      <c r="S3356" s="169">
        <f t="shared" si="208"/>
        <v>0</v>
      </c>
      <c r="V3356" s="169" t="str">
        <f t="shared" si="207"/>
        <v>LARGO 1</v>
      </c>
      <c r="W3356" s="169" t="s">
        <v>8898</v>
      </c>
    </row>
    <row r="3357" spans="2:23" x14ac:dyDescent="0.25">
      <c r="B3357" s="169" t="s">
        <v>1166</v>
      </c>
      <c r="C3357" s="169" t="s">
        <v>43</v>
      </c>
      <c r="D3357" s="169" t="s">
        <v>167</v>
      </c>
      <c r="E3357" s="169" t="s">
        <v>6143</v>
      </c>
      <c r="F3357" s="245" t="str">
        <f t="shared" si="209"/>
        <v>Dhoz 71</v>
      </c>
      <c r="G3357" s="169" t="s">
        <v>4068</v>
      </c>
      <c r="I3357" s="169" t="str">
        <f t="shared" si="210"/>
        <v>L11_GHVSPLIT_058E_DE_ISL</v>
      </c>
      <c r="J3357" s="169" t="s">
        <v>13387</v>
      </c>
      <c r="K3357" s="169">
        <f>IFERROR(MATCH(J3357,'Final List'!$B$4:$B$252,0),0)</f>
        <v>0</v>
      </c>
      <c r="L3357" s="169">
        <f>IFERROR(MATCH(J3357,'Final List'!$D$4:$D$252,0),0)</f>
        <v>0</v>
      </c>
      <c r="M3357" s="169">
        <f>IFERROR(MATCH(J3357,'Final List'!$F$4:$F$251,0),0)</f>
        <v>0</v>
      </c>
      <c r="N3357" s="169">
        <f>IFERROR(MATCH(J3357,'Final List'!$H$4:$H$252,0),0)</f>
        <v>0</v>
      </c>
      <c r="O3357" s="169">
        <f>IFERROR(MATCH(J3357,'Final List'!$J$4:$J$252,0),0)</f>
        <v>0</v>
      </c>
      <c r="P3357" s="169">
        <f>IFERROR(MATCH(J3357,'Final List'!$L$4:$L$252,0),0)</f>
        <v>0</v>
      </c>
      <c r="Q3357" s="169">
        <f>IFERROR(MATCH(J3357,'Final List'!$N$4:$N$252,0),0)</f>
        <v>0</v>
      </c>
      <c r="R3357" s="169">
        <f>IFERROR(MATCH(J3357,'Final List'!$P$4:$P$252,0),0)</f>
        <v>0</v>
      </c>
      <c r="S3357" s="169">
        <f t="shared" si="208"/>
        <v>0</v>
      </c>
      <c r="V3357" s="169" t="str">
        <f t="shared" si="207"/>
        <v>MAPAYO</v>
      </c>
      <c r="W3357" s="169" t="s">
        <v>2708</v>
      </c>
    </row>
    <row r="3358" spans="2:23" x14ac:dyDescent="0.25">
      <c r="B3358" s="169" t="s">
        <v>12320</v>
      </c>
      <c r="C3358" s="169" t="s">
        <v>13926</v>
      </c>
      <c r="D3358" s="169" t="s">
        <v>13927</v>
      </c>
      <c r="E3358" s="169" t="s">
        <v>13390</v>
      </c>
      <c r="F3358" s="245" t="str">
        <f>IF(OR(E3358="XCN",E3358="DE",E3358="DW",E3358="DN",E3358="XCS",E3358="XCE",E3358="XCW",E3358="SUMP",E3358="BYPASS",E3358="CHAMBER",E3358="DRAIN HOLE",E3358="DRILLING CHAMBER",E3358="DE_ISL",E3358="DW_ISL",E3358="REHAB"),"Dhoz 71",IF(OR(E3358="RAISE",E3358="RAISE_ISL"),"DVR 72",IF(E3358="ALIMAK","DVA 73",IF(E3358="ALIMAK_RAISE","DVA 73",IF(E3358="WINZE","DVW 74",IF(E3358="SHAFT","DVS 75",IF(AND(E3358="WINZE STOPE",T3358="S"),"RobC 80",IF(AND(E3358="STOPE",T3358="S"),"StpS 77",IF(AND(E3358="WINZE STOPE",T3358="L"),"RobC 80",IF(AND(E3358="STOPE",T3358="L"),"StpL 78",IF(AND(E3358="WINZE STOPE PREP",T3358="S"),"RobC 80",IF(AND(E3358="STOPE PREP",T3358="S"),"StpS 77",IF(AND(E3358="WINZE STOPE PREP",T3358="L"),"RobC 80",IF(AND(E3358="STOPE PREP",T3358="L"),"StpL 78",IF(AND(E3358="ROBBING",T3358="L"),"RobC 80",IF(AND(E3358="ROBBING",T3358="S"),"RobS 79",0))))))))))))))))</f>
        <v>DVA 73</v>
      </c>
      <c r="G3358" s="169" t="s">
        <v>1606</v>
      </c>
      <c r="I3358" s="169" t="str">
        <f t="shared" si="210"/>
        <v>L425_DSP_31B_ALIMAK_RAISE</v>
      </c>
      <c r="J3358" s="169" t="s">
        <v>13391</v>
      </c>
      <c r="K3358" s="169">
        <f>IFERROR(MATCH(J3358,'Final List'!$B$4:$B$252,0),0)</f>
        <v>0</v>
      </c>
      <c r="L3358" s="169">
        <f>IFERROR(MATCH(J3358,'Final List'!$D$4:$D$252,0),0)</f>
        <v>0</v>
      </c>
      <c r="M3358" s="169">
        <f>IFERROR(MATCH(J3358,'Final List'!$F$4:$F$251,0),0)</f>
        <v>0</v>
      </c>
      <c r="N3358" s="169">
        <f>IFERROR(MATCH(J3358,'Final List'!$H$4:$H$252,0),0)</f>
        <v>0</v>
      </c>
      <c r="O3358" s="169">
        <f>IFERROR(MATCH(J3358,'Final List'!$J$4:$J$252,0),0)</f>
        <v>0</v>
      </c>
      <c r="P3358" s="169">
        <f>IFERROR(MATCH(J3358,'Final List'!$L$4:$L$252,0),0)</f>
        <v>0</v>
      </c>
      <c r="Q3358" s="169">
        <f>IFERROR(MATCH(J3358,'Final List'!$N$4:$N$252,0),0)</f>
        <v>0</v>
      </c>
      <c r="R3358" s="169">
        <f>IFERROR(MATCH(J3358,'Final List'!$P$4:$P$252,0),0)</f>
        <v>0</v>
      </c>
      <c r="S3358" s="169">
        <f t="shared" si="208"/>
        <v>0</v>
      </c>
      <c r="V3358" s="169" t="str">
        <f t="shared" si="207"/>
        <v>PMC MINERS</v>
      </c>
      <c r="W3358" s="169" t="s">
        <v>2714</v>
      </c>
    </row>
    <row r="3359" spans="2:23" x14ac:dyDescent="0.25">
      <c r="B3359" s="169" t="s">
        <v>12320</v>
      </c>
      <c r="C3359" s="169" t="s">
        <v>87</v>
      </c>
      <c r="D3359" s="169" t="s">
        <v>133</v>
      </c>
      <c r="E3359" s="169" t="s">
        <v>37</v>
      </c>
      <c r="F3359" s="245" t="str">
        <f t="shared" si="209"/>
        <v>Dhoz 71</v>
      </c>
      <c r="G3359" s="169" t="s">
        <v>5697</v>
      </c>
      <c r="H3359" s="169" t="s">
        <v>364</v>
      </c>
      <c r="I3359" s="169" t="str">
        <f t="shared" si="210"/>
        <v>L425_NONE_037E_XCN</v>
      </c>
      <c r="J3359" s="169" t="s">
        <v>13392</v>
      </c>
      <c r="K3359" s="169">
        <f>IFERROR(MATCH(J3359,'Final List'!$B$4:$B$252,0),0)</f>
        <v>0</v>
      </c>
      <c r="L3359" s="169">
        <f>IFERROR(MATCH(J3359,'Final List'!$D$4:$D$252,0),0)</f>
        <v>0</v>
      </c>
      <c r="M3359" s="169">
        <f>IFERROR(MATCH(J3359,'Final List'!$F$4:$F$251,0),0)</f>
        <v>0</v>
      </c>
      <c r="N3359" s="169">
        <f>IFERROR(MATCH(J3359,'Final List'!$H$4:$H$252,0),0)</f>
        <v>0</v>
      </c>
      <c r="O3359" s="169">
        <f>IFERROR(MATCH(J3359,'Final List'!$J$4:$J$252,0),0)</f>
        <v>0</v>
      </c>
      <c r="P3359" s="169">
        <f>IFERROR(MATCH(J3359,'Final List'!$L$4:$L$252,0),0)</f>
        <v>0</v>
      </c>
      <c r="Q3359" s="169">
        <f>IFERROR(MATCH(J3359,'Final List'!$N$4:$N$252,0),0)</f>
        <v>0</v>
      </c>
      <c r="R3359" s="169">
        <f>IFERROR(MATCH(J3359,'Final List'!$P$4:$P$252,0),0)</f>
        <v>0</v>
      </c>
      <c r="S3359" s="169">
        <f t="shared" si="208"/>
        <v>0</v>
      </c>
      <c r="V3359" s="169" t="str">
        <f t="shared" si="207"/>
        <v>BABOR 3</v>
      </c>
      <c r="W3359" s="169" t="s">
        <v>2714</v>
      </c>
    </row>
    <row r="3360" spans="2:23" x14ac:dyDescent="0.25">
      <c r="B3360" s="169" t="s">
        <v>95</v>
      </c>
      <c r="C3360" s="169" t="s">
        <v>59</v>
      </c>
      <c r="D3360" s="169" t="s">
        <v>5604</v>
      </c>
      <c r="E3360" s="169" t="s">
        <v>19</v>
      </c>
      <c r="F3360" s="245" t="str">
        <f t="shared" si="209"/>
        <v>DVR 72</v>
      </c>
      <c r="G3360" s="169" t="s">
        <v>6216</v>
      </c>
      <c r="I3360" s="169" t="str">
        <f t="shared" si="210"/>
        <v>L08_GHVHW_063E_RAISE</v>
      </c>
      <c r="J3360" s="169" t="s">
        <v>13393</v>
      </c>
      <c r="K3360" s="169">
        <f>IFERROR(MATCH(J3360,'Final List'!$B$4:$B$252,0),0)</f>
        <v>0</v>
      </c>
      <c r="L3360" s="169">
        <f>IFERROR(MATCH(J3360,'Final List'!$D$4:$D$252,0),0)</f>
        <v>0</v>
      </c>
      <c r="M3360" s="169">
        <f>IFERROR(MATCH(J3360,'Final List'!$F$4:$F$251,0),0)</f>
        <v>0</v>
      </c>
      <c r="N3360" s="169">
        <f>IFERROR(MATCH(J3360,'Final List'!$H$4:$H$252,0),0)</f>
        <v>0</v>
      </c>
      <c r="O3360" s="169">
        <f>IFERROR(MATCH(J3360,'Final List'!$J$4:$J$252,0),0)</f>
        <v>0</v>
      </c>
      <c r="P3360" s="169">
        <f>IFERROR(MATCH(J3360,'Final List'!$L$4:$L$252,0),0)</f>
        <v>0</v>
      </c>
      <c r="Q3360" s="169">
        <f>IFERROR(MATCH(J3360,'Final List'!$N$4:$N$252,0),0)</f>
        <v>0</v>
      </c>
      <c r="R3360" s="169">
        <f>IFERROR(MATCH(J3360,'Final List'!$P$4:$P$252,0),0)</f>
        <v>0</v>
      </c>
      <c r="S3360" s="169">
        <f t="shared" si="208"/>
        <v>0</v>
      </c>
      <c r="V3360" s="169" t="str">
        <f t="shared" si="207"/>
        <v>FERNANDEZ</v>
      </c>
      <c r="W3360" s="169" t="s">
        <v>2715</v>
      </c>
    </row>
    <row r="3361" spans="2:23" x14ac:dyDescent="0.25">
      <c r="B3361" s="169" t="s">
        <v>96</v>
      </c>
      <c r="C3361" s="169" t="s">
        <v>56</v>
      </c>
      <c r="D3361" s="169" t="s">
        <v>6714</v>
      </c>
      <c r="E3361" s="169" t="s">
        <v>62</v>
      </c>
      <c r="F3361" s="245" t="str">
        <f t="shared" si="209"/>
        <v>RobS 79</v>
      </c>
      <c r="G3361" s="169" t="s">
        <v>12659</v>
      </c>
      <c r="I3361" s="169" t="str">
        <f t="shared" si="210"/>
        <v>L09_GHVFW_037W_ROBBING</v>
      </c>
      <c r="J3361" s="169" t="s">
        <v>13397</v>
      </c>
      <c r="K3361" s="169">
        <f>IFERROR(MATCH(J3361,'Final List'!$B$4:$B$252,0),0)</f>
        <v>0</v>
      </c>
      <c r="L3361" s="169">
        <f>IFERROR(MATCH(J3361,'Final List'!$D$4:$D$252,0),0)</f>
        <v>0</v>
      </c>
      <c r="M3361" s="169">
        <f>IFERROR(MATCH(J3361,'Final List'!$F$4:$F$251,0),0)</f>
        <v>0</v>
      </c>
      <c r="N3361" s="169">
        <f>IFERROR(MATCH(J3361,'Final List'!$H$4:$H$252,0),0)</f>
        <v>0</v>
      </c>
      <c r="O3361" s="169">
        <f>IFERROR(MATCH(J3361,'Final List'!$J$4:$J$252,0),0)</f>
        <v>0</v>
      </c>
      <c r="P3361" s="169">
        <f>IFERROR(MATCH(J3361,'Final List'!$L$4:$L$252,0),0)</f>
        <v>0</v>
      </c>
      <c r="Q3361" s="169">
        <f>IFERROR(MATCH(J3361,'Final List'!$N$4:$N$252,0),0)</f>
        <v>0</v>
      </c>
      <c r="R3361" s="169">
        <f>IFERROR(MATCH(J3361,'Final List'!$P$4:$P$252,0),0)</f>
        <v>0</v>
      </c>
      <c r="S3361" s="169">
        <f t="shared" ref="S3361:S3424" si="211">SUM(K3361:R3361)</f>
        <v>0</v>
      </c>
      <c r="T3361" s="169" t="s">
        <v>68</v>
      </c>
      <c r="V3361" s="169" t="str">
        <f t="shared" si="207"/>
        <v>NITRO BS</v>
      </c>
      <c r="W3361" s="169" t="s">
        <v>2707</v>
      </c>
    </row>
    <row r="3362" spans="2:23" x14ac:dyDescent="0.25">
      <c r="B3362" s="169" t="s">
        <v>1166</v>
      </c>
      <c r="C3362" s="169" t="s">
        <v>45</v>
      </c>
      <c r="D3362" s="169" t="s">
        <v>130</v>
      </c>
      <c r="E3362" s="169" t="s">
        <v>19</v>
      </c>
      <c r="F3362" s="245" t="str">
        <f t="shared" si="209"/>
        <v>DVR 72</v>
      </c>
      <c r="G3362" s="169" t="s">
        <v>12070</v>
      </c>
      <c r="I3362" s="169" t="str">
        <f t="shared" si="210"/>
        <v>L11_DPVE_036E_RAISE</v>
      </c>
      <c r="J3362" s="169" t="s">
        <v>13401</v>
      </c>
      <c r="K3362" s="169">
        <f>IFERROR(MATCH(J3362,'Final List'!$B$4:$B$252,0),0)</f>
        <v>0</v>
      </c>
      <c r="L3362" s="169">
        <f>IFERROR(MATCH(J3362,'Final List'!$D$4:$D$252,0),0)</f>
        <v>0</v>
      </c>
      <c r="M3362" s="169">
        <f>IFERROR(MATCH(J3362,'Final List'!$F$4:$F$251,0),0)</f>
        <v>0</v>
      </c>
      <c r="N3362" s="169">
        <f>IFERROR(MATCH(J3362,'Final List'!$H$4:$H$252,0),0)</f>
        <v>0</v>
      </c>
      <c r="O3362" s="169">
        <f>IFERROR(MATCH(J3362,'Final List'!$J$4:$J$252,0),0)</f>
        <v>0</v>
      </c>
      <c r="P3362" s="169">
        <f>IFERROR(MATCH(J3362,'Final List'!$L$4:$L$252,0),0)</f>
        <v>0</v>
      </c>
      <c r="Q3362" s="169">
        <f>IFERROR(MATCH(J3362,'Final List'!$N$4:$N$252,0),0)</f>
        <v>0</v>
      </c>
      <c r="R3362" s="169">
        <f>IFERROR(MATCH(J3362,'Final List'!$P$4:$P$252,0),0)</f>
        <v>0</v>
      </c>
      <c r="S3362" s="169">
        <f t="shared" si="211"/>
        <v>0</v>
      </c>
      <c r="V3362" s="169" t="str">
        <f t="shared" si="207"/>
        <v>NITRO BB</v>
      </c>
      <c r="W3362" s="169" t="s">
        <v>2715</v>
      </c>
    </row>
    <row r="3363" spans="2:23" x14ac:dyDescent="0.25">
      <c r="B3363" s="169" t="s">
        <v>1166</v>
      </c>
      <c r="C3363" s="169" t="s">
        <v>38</v>
      </c>
      <c r="D3363" s="169" t="s">
        <v>170</v>
      </c>
      <c r="E3363" s="169" t="s">
        <v>13269</v>
      </c>
      <c r="F3363" s="245">
        <f t="shared" si="209"/>
        <v>0</v>
      </c>
      <c r="G3363" s="169" t="s">
        <v>13403</v>
      </c>
      <c r="I3363" s="169" t="str">
        <f t="shared" si="210"/>
        <v>L11_GHV_071E_FILL WINZE</v>
      </c>
      <c r="J3363" s="169" t="s">
        <v>13402</v>
      </c>
      <c r="K3363" s="169">
        <f>IFERROR(MATCH(J3363,'Final List'!$B$4:$B$252,0),0)</f>
        <v>0</v>
      </c>
      <c r="L3363" s="169">
        <f>IFERROR(MATCH(J3363,'Final List'!$D$4:$D$252,0),0)</f>
        <v>0</v>
      </c>
      <c r="M3363" s="169">
        <f>IFERROR(MATCH(J3363,'Final List'!$F$4:$F$251,0),0)</f>
        <v>0</v>
      </c>
      <c r="N3363" s="169">
        <f>IFERROR(MATCH(J3363,'Final List'!$H$4:$H$252,0),0)</f>
        <v>0</v>
      </c>
      <c r="O3363" s="169">
        <f>IFERROR(MATCH(J3363,'Final List'!$J$4:$J$252,0),0)</f>
        <v>0</v>
      </c>
      <c r="P3363" s="169">
        <f>IFERROR(MATCH(J3363,'Final List'!$L$4:$L$252,0),0)</f>
        <v>0</v>
      </c>
      <c r="Q3363" s="169">
        <f>IFERROR(MATCH(J3363,'Final List'!$N$4:$N$252,0),0)</f>
        <v>0</v>
      </c>
      <c r="R3363" s="169">
        <f>IFERROR(MATCH(J3363,'Final List'!$P$4:$P$252,0),0)</f>
        <v>0</v>
      </c>
      <c r="S3363" s="169">
        <f t="shared" si="211"/>
        <v>0</v>
      </c>
      <c r="V3363" s="169" t="str">
        <f t="shared" si="207"/>
        <v>ALEÑAR</v>
      </c>
      <c r="W3363" s="169" t="s">
        <v>2717</v>
      </c>
    </row>
    <row r="3364" spans="2:23" x14ac:dyDescent="0.25">
      <c r="B3364" s="169" t="s">
        <v>1166</v>
      </c>
      <c r="C3364" s="169" t="s">
        <v>45</v>
      </c>
      <c r="D3364" s="169" t="s">
        <v>7223</v>
      </c>
      <c r="E3364" s="169" t="s">
        <v>61</v>
      </c>
      <c r="F3364" s="245" t="str">
        <f t="shared" si="209"/>
        <v>Dhoz 71</v>
      </c>
      <c r="G3364" s="169" t="s">
        <v>10898</v>
      </c>
      <c r="I3364" s="169" t="str">
        <f t="shared" si="210"/>
        <v>L11_DPVE_002E_DW</v>
      </c>
      <c r="J3364" s="169" t="s">
        <v>13405</v>
      </c>
      <c r="K3364" s="169">
        <f>IFERROR(MATCH(J3364,'Final List'!$B$4:$B$252,0),0)</f>
        <v>0</v>
      </c>
      <c r="L3364" s="169">
        <f>IFERROR(MATCH(J3364,'Final List'!$D$4:$D$252,0),0)</f>
        <v>0</v>
      </c>
      <c r="M3364" s="169">
        <f>IFERROR(MATCH(J3364,'Final List'!$F$4:$F$251,0),0)</f>
        <v>0</v>
      </c>
      <c r="N3364" s="169">
        <f>IFERROR(MATCH(J3364,'Final List'!$H$4:$H$252,0),0)</f>
        <v>0</v>
      </c>
      <c r="O3364" s="169">
        <f>IFERROR(MATCH(J3364,'Final List'!$J$4:$J$252,0),0)</f>
        <v>0</v>
      </c>
      <c r="P3364" s="169">
        <f>IFERROR(MATCH(J3364,'Final List'!$L$4:$L$252,0),0)</f>
        <v>0</v>
      </c>
      <c r="Q3364" s="169">
        <f>IFERROR(MATCH(J3364,'Final List'!$N$4:$N$252,0),0)</f>
        <v>0</v>
      </c>
      <c r="R3364" s="169">
        <f>IFERROR(MATCH(J3364,'Final List'!$P$4:$P$252,0),0)</f>
        <v>0</v>
      </c>
      <c r="S3364" s="169">
        <f t="shared" si="211"/>
        <v>0</v>
      </c>
      <c r="V3364" s="169" t="str">
        <f t="shared" si="207"/>
        <v>BADBADON 4</v>
      </c>
      <c r="W3364" s="169" t="s">
        <v>8896</v>
      </c>
    </row>
    <row r="3365" spans="2:23" x14ac:dyDescent="0.25">
      <c r="B3365" s="169" t="s">
        <v>1166</v>
      </c>
      <c r="C3365" s="169" t="s">
        <v>56</v>
      </c>
      <c r="D3365" s="169" t="s">
        <v>131</v>
      </c>
      <c r="E3365" s="169" t="s">
        <v>19</v>
      </c>
      <c r="F3365" s="245" t="str">
        <f t="shared" si="209"/>
        <v>DVR 72</v>
      </c>
      <c r="G3365" s="169" t="s">
        <v>13408</v>
      </c>
      <c r="I3365" s="169" t="str">
        <f t="shared" si="210"/>
        <v>L11_GHVFW_011E_RAISE</v>
      </c>
      <c r="J3365" s="169" t="s">
        <v>13407</v>
      </c>
      <c r="K3365" s="169">
        <f>IFERROR(MATCH(J3365,'Final List'!$B$4:$B$252,0),0)</f>
        <v>0</v>
      </c>
      <c r="L3365" s="169">
        <f>IFERROR(MATCH(J3365,'Final List'!$D$4:$D$252,0),0)</f>
        <v>0</v>
      </c>
      <c r="M3365" s="169">
        <f>IFERROR(MATCH(J3365,'Final List'!$F$4:$F$251,0),0)</f>
        <v>0</v>
      </c>
      <c r="N3365" s="169">
        <f>IFERROR(MATCH(J3365,'Final List'!$H$4:$H$252,0),0)</f>
        <v>0</v>
      </c>
      <c r="O3365" s="169">
        <f>IFERROR(MATCH(J3365,'Final List'!$J$4:$J$252,0),0)</f>
        <v>0</v>
      </c>
      <c r="P3365" s="169">
        <f>IFERROR(MATCH(J3365,'Final List'!$L$4:$L$252,0),0)</f>
        <v>0</v>
      </c>
      <c r="Q3365" s="169">
        <f>IFERROR(MATCH(J3365,'Final List'!$N$4:$N$252,0),0)</f>
        <v>0</v>
      </c>
      <c r="R3365" s="169">
        <f>IFERROR(MATCH(J3365,'Final List'!$P$4:$P$252,0),0)</f>
        <v>0</v>
      </c>
      <c r="S3365" s="169">
        <f t="shared" si="211"/>
        <v>0</v>
      </c>
      <c r="V3365" s="169" t="str">
        <f t="shared" si="207"/>
        <v>BADBADON 5</v>
      </c>
      <c r="W3365" s="169" t="s">
        <v>2715</v>
      </c>
    </row>
    <row r="3366" spans="2:23" x14ac:dyDescent="0.25">
      <c r="B3366" s="169" t="s">
        <v>1166</v>
      </c>
      <c r="C3366" s="169" t="s">
        <v>45</v>
      </c>
      <c r="D3366" s="169" t="s">
        <v>110</v>
      </c>
      <c r="E3366" s="169" t="s">
        <v>60</v>
      </c>
      <c r="F3366" s="245" t="str">
        <f t="shared" si="209"/>
        <v>Dhoz 71</v>
      </c>
      <c r="G3366" s="169" t="s">
        <v>13410</v>
      </c>
      <c r="I3366" s="169" t="str">
        <f t="shared" si="210"/>
        <v>L11_DPVE_004E_DE</v>
      </c>
      <c r="J3366" s="169" t="s">
        <v>13409</v>
      </c>
      <c r="K3366" s="169">
        <f>IFERROR(MATCH(J3366,'Final List'!$B$4:$B$252,0),0)</f>
        <v>0</v>
      </c>
      <c r="L3366" s="169">
        <f>IFERROR(MATCH(J3366,'Final List'!$D$4:$D$252,0),0)</f>
        <v>0</v>
      </c>
      <c r="M3366" s="169">
        <f>IFERROR(MATCH(J3366,'Final List'!$F$4:$F$251,0),0)</f>
        <v>0</v>
      </c>
      <c r="N3366" s="169">
        <f>IFERROR(MATCH(J3366,'Final List'!$H$4:$H$252,0),0)</f>
        <v>0</v>
      </c>
      <c r="O3366" s="169">
        <f>IFERROR(MATCH(J3366,'Final List'!$J$4:$J$252,0),0)</f>
        <v>0</v>
      </c>
      <c r="P3366" s="169">
        <f>IFERROR(MATCH(J3366,'Final List'!$L$4:$L$252,0),0)</f>
        <v>0</v>
      </c>
      <c r="Q3366" s="169">
        <f>IFERROR(MATCH(J3366,'Final List'!$N$4:$N$252,0),0)</f>
        <v>0</v>
      </c>
      <c r="R3366" s="169">
        <f>IFERROR(MATCH(J3366,'Final List'!$P$4:$P$252,0),0)</f>
        <v>0</v>
      </c>
      <c r="S3366" s="169">
        <f t="shared" si="211"/>
        <v>0</v>
      </c>
      <c r="V3366" s="169" t="str">
        <f t="shared" si="207"/>
        <v>BADBADON 6</v>
      </c>
      <c r="W3366" s="169" t="s">
        <v>8896</v>
      </c>
    </row>
    <row r="3367" spans="2:23" x14ac:dyDescent="0.25">
      <c r="B3367" s="169" t="s">
        <v>96</v>
      </c>
      <c r="C3367" s="169" t="s">
        <v>87</v>
      </c>
      <c r="D3367" s="169" t="s">
        <v>179</v>
      </c>
      <c r="E3367" s="169" t="s">
        <v>37</v>
      </c>
      <c r="F3367" s="245" t="str">
        <f t="shared" si="209"/>
        <v>Dhoz 71</v>
      </c>
      <c r="G3367" s="169" t="s">
        <v>6621</v>
      </c>
      <c r="I3367" s="169" t="str">
        <f t="shared" si="210"/>
        <v>L09_NONE_050E_XCN</v>
      </c>
      <c r="J3367" s="169" t="s">
        <v>13411</v>
      </c>
      <c r="K3367" s="169">
        <f>IFERROR(MATCH(J3367,'Final List'!$B$4:$B$252,0),0)</f>
        <v>0</v>
      </c>
      <c r="L3367" s="169">
        <f>IFERROR(MATCH(J3367,'Final List'!$D$4:$D$252,0),0)</f>
        <v>0</v>
      </c>
      <c r="M3367" s="169">
        <f>IFERROR(MATCH(J3367,'Final List'!$F$4:$F$251,0),0)</f>
        <v>0</v>
      </c>
      <c r="N3367" s="169">
        <f>IFERROR(MATCH(J3367,'Final List'!$H$4:$H$252,0),0)</f>
        <v>0</v>
      </c>
      <c r="O3367" s="169">
        <f>IFERROR(MATCH(J3367,'Final List'!$J$4:$J$252,0),0)</f>
        <v>0</v>
      </c>
      <c r="P3367" s="169">
        <f>IFERROR(MATCH(J3367,'Final List'!$L$4:$L$252,0),0)</f>
        <v>0</v>
      </c>
      <c r="Q3367" s="169">
        <f>IFERROR(MATCH(J3367,'Final List'!$N$4:$N$252,0),0)</f>
        <v>0</v>
      </c>
      <c r="R3367" s="169">
        <f>IFERROR(MATCH(J3367,'Final List'!$P$4:$P$252,0),0)</f>
        <v>0</v>
      </c>
      <c r="S3367" s="169">
        <f t="shared" si="211"/>
        <v>0</v>
      </c>
      <c r="V3367" s="169" t="str">
        <f t="shared" si="207"/>
        <v>DELOS REYES V1</v>
      </c>
      <c r="W3367" s="169" t="s">
        <v>8898</v>
      </c>
    </row>
    <row r="3368" spans="2:23" x14ac:dyDescent="0.25">
      <c r="B3368" s="169" t="s">
        <v>95</v>
      </c>
      <c r="C3368" s="169" t="s">
        <v>57</v>
      </c>
      <c r="D3368" s="169" t="s">
        <v>5992</v>
      </c>
      <c r="E3368" s="169" t="s">
        <v>36</v>
      </c>
      <c r="F3368" s="245" t="str">
        <f t="shared" si="209"/>
        <v>StpS 77</v>
      </c>
      <c r="G3368" s="169" t="s">
        <v>9753</v>
      </c>
      <c r="I3368" s="169" t="str">
        <f t="shared" si="210"/>
        <v>L08_JVSPLIT_026W_STOPE</v>
      </c>
      <c r="J3368" s="169" t="s">
        <v>13461</v>
      </c>
      <c r="K3368" s="169">
        <f>IFERROR(MATCH(J3368,'Final List'!$B$4:$B$252,0),0)</f>
        <v>0</v>
      </c>
      <c r="L3368" s="169">
        <f>IFERROR(MATCH(J3368,'Final List'!$D$4:$D$252,0),0)</f>
        <v>0</v>
      </c>
      <c r="M3368" s="169">
        <f>IFERROR(MATCH(J3368,'Final List'!$F$4:$F$251,0),0)</f>
        <v>0</v>
      </c>
      <c r="N3368" s="169">
        <f>IFERROR(MATCH(J3368,'Final List'!$H$4:$H$252,0),0)</f>
        <v>0</v>
      </c>
      <c r="O3368" s="169">
        <f>IFERROR(MATCH(J3368,'Final List'!$J$4:$J$252,0),0)</f>
        <v>0</v>
      </c>
      <c r="P3368" s="169">
        <f>IFERROR(MATCH(J3368,'Final List'!$L$4:$L$252,0),0)</f>
        <v>0</v>
      </c>
      <c r="Q3368" s="169">
        <f>IFERROR(MATCH(J3368,'Final List'!$N$4:$N$252,0),0)</f>
        <v>0</v>
      </c>
      <c r="R3368" s="169">
        <f>IFERROR(MATCH(J3368,'Final List'!$P$4:$P$252,0),0)</f>
        <v>0</v>
      </c>
      <c r="S3368" s="169">
        <f t="shared" si="211"/>
        <v>0</v>
      </c>
      <c r="T3368" s="169" t="s">
        <v>68</v>
      </c>
      <c r="V3368" s="169" t="str">
        <f t="shared" si="207"/>
        <v>CAPUYAN 2</v>
      </c>
      <c r="W3368" s="169" t="s">
        <v>2713</v>
      </c>
    </row>
    <row r="3369" spans="2:23" x14ac:dyDescent="0.25">
      <c r="B3369" s="169" t="s">
        <v>1166</v>
      </c>
      <c r="C3369" s="169" t="s">
        <v>45</v>
      </c>
      <c r="D3369" s="169" t="s">
        <v>5742</v>
      </c>
      <c r="E3369" s="169" t="s">
        <v>62</v>
      </c>
      <c r="F3369" s="245" t="str">
        <f t="shared" si="209"/>
        <v>RobS 79</v>
      </c>
      <c r="G3369" s="169" t="s">
        <v>340</v>
      </c>
      <c r="I3369" s="169" t="str">
        <f t="shared" si="210"/>
        <v>L11_DPVE_040E_ROBBING</v>
      </c>
      <c r="J3369" s="169" t="s">
        <v>13419</v>
      </c>
      <c r="K3369" s="169">
        <f>IFERROR(MATCH(J3369,'Final List'!$B$4:$B$252,0),0)</f>
        <v>0</v>
      </c>
      <c r="L3369" s="169">
        <f>IFERROR(MATCH(J3369,'Final List'!$D$4:$D$252,0),0)</f>
        <v>0</v>
      </c>
      <c r="M3369" s="169">
        <f>IFERROR(MATCH(J3369,'Final List'!$F$4:$F$251,0),0)</f>
        <v>0</v>
      </c>
      <c r="N3369" s="169">
        <f>IFERROR(MATCH(J3369,'Final List'!$H$4:$H$252,0),0)</f>
        <v>0</v>
      </c>
      <c r="O3369" s="169">
        <f>IFERROR(MATCH(J3369,'Final List'!$J$4:$J$252,0),0)</f>
        <v>0</v>
      </c>
      <c r="P3369" s="169">
        <f>IFERROR(MATCH(J3369,'Final List'!$L$4:$L$252,0),0)</f>
        <v>0</v>
      </c>
      <c r="Q3369" s="169">
        <f>IFERROR(MATCH(J3369,'Final List'!$N$4:$N$252,0),0)</f>
        <v>0</v>
      </c>
      <c r="R3369" s="169">
        <f>IFERROR(MATCH(J3369,'Final List'!$P$4:$P$252,0),0)</f>
        <v>0</v>
      </c>
      <c r="S3369" s="169">
        <f t="shared" si="211"/>
        <v>0</v>
      </c>
      <c r="T3369" s="169" t="s">
        <v>68</v>
      </c>
      <c r="V3369" s="169" t="str">
        <f t="shared" si="207"/>
        <v>COMAINGKING</v>
      </c>
      <c r="W3369" s="169" t="s">
        <v>2707</v>
      </c>
    </row>
    <row r="3370" spans="2:23" x14ac:dyDescent="0.25">
      <c r="B3370" s="169" t="s">
        <v>1166</v>
      </c>
      <c r="C3370" s="169" t="s">
        <v>45</v>
      </c>
      <c r="D3370" s="169" t="s">
        <v>5872</v>
      </c>
      <c r="E3370" s="169" t="s">
        <v>60</v>
      </c>
      <c r="F3370" s="245" t="str">
        <f t="shared" si="209"/>
        <v>Dhoz 71</v>
      </c>
      <c r="G3370" s="169" t="s">
        <v>13424</v>
      </c>
      <c r="I3370" s="169" t="str">
        <f t="shared" si="210"/>
        <v>L11_DPVE_076E_DE</v>
      </c>
      <c r="J3370" s="169" t="s">
        <v>13423</v>
      </c>
      <c r="K3370" s="169">
        <f>IFERROR(MATCH(J3370,'Final List'!$B$4:$B$252,0),0)</f>
        <v>0</v>
      </c>
      <c r="L3370" s="169">
        <f>IFERROR(MATCH(J3370,'Final List'!$D$4:$D$252,0),0)</f>
        <v>0</v>
      </c>
      <c r="M3370" s="169">
        <f>IFERROR(MATCH(J3370,'Final List'!$F$4:$F$251,0),0)</f>
        <v>0</v>
      </c>
      <c r="N3370" s="169">
        <f>IFERROR(MATCH(J3370,'Final List'!$H$4:$H$252,0),0)</f>
        <v>0</v>
      </c>
      <c r="O3370" s="169">
        <f>IFERROR(MATCH(J3370,'Final List'!$J$4:$J$252,0),0)</f>
        <v>0</v>
      </c>
      <c r="P3370" s="169">
        <f>IFERROR(MATCH(J3370,'Final List'!$L$4:$L$252,0),0)</f>
        <v>0</v>
      </c>
      <c r="Q3370" s="169">
        <f>IFERROR(MATCH(J3370,'Final List'!$N$4:$N$252,0),0)</f>
        <v>0</v>
      </c>
      <c r="R3370" s="169">
        <f>IFERROR(MATCH(J3370,'Final List'!$P$4:$P$252,0),0)</f>
        <v>0</v>
      </c>
      <c r="S3370" s="169">
        <f t="shared" si="211"/>
        <v>0</v>
      </c>
      <c r="V3370" s="169" t="str">
        <f t="shared" si="207"/>
        <v>DUHIG, R.</v>
      </c>
      <c r="W3370" s="169" t="s">
        <v>8896</v>
      </c>
    </row>
    <row r="3371" spans="2:23" x14ac:dyDescent="0.25">
      <c r="B3371" s="169" t="s">
        <v>258</v>
      </c>
      <c r="C3371" s="169" t="s">
        <v>59</v>
      </c>
      <c r="D3371" s="169" t="s">
        <v>171</v>
      </c>
      <c r="E3371" s="169" t="s">
        <v>19</v>
      </c>
      <c r="F3371" s="245" t="str">
        <f t="shared" si="209"/>
        <v>DVR 72</v>
      </c>
      <c r="G3371" s="169" t="s">
        <v>12888</v>
      </c>
      <c r="H3371" s="169" t="s">
        <v>12244</v>
      </c>
      <c r="I3371" s="169" t="str">
        <f t="shared" si="210"/>
        <v>L10_GHVHW_015W_RAISE</v>
      </c>
      <c r="J3371" s="169" t="s">
        <v>13427</v>
      </c>
      <c r="K3371" s="169">
        <f>IFERROR(MATCH(J3371,'Final List'!$B$4:$B$252,0),0)</f>
        <v>0</v>
      </c>
      <c r="L3371" s="169">
        <f>IFERROR(MATCH(J3371,'Final List'!$D$4:$D$252,0),0)</f>
        <v>0</v>
      </c>
      <c r="M3371" s="169">
        <f>IFERROR(MATCH(J3371,'Final List'!$F$4:$F$251,0),0)</f>
        <v>0</v>
      </c>
      <c r="N3371" s="169">
        <f>IFERROR(MATCH(J3371,'Final List'!$H$4:$H$252,0),0)</f>
        <v>0</v>
      </c>
      <c r="O3371" s="169">
        <f>IFERROR(MATCH(J3371,'Final List'!$J$4:$J$252,0),0)</f>
        <v>0</v>
      </c>
      <c r="P3371" s="169">
        <f>IFERROR(MATCH(J3371,'Final List'!$L$4:$L$252,0),0)</f>
        <v>0</v>
      </c>
      <c r="Q3371" s="169">
        <f>IFERROR(MATCH(J3371,'Final List'!$N$4:$N$252,0),0)</f>
        <v>0</v>
      </c>
      <c r="R3371" s="169">
        <f>IFERROR(MATCH(J3371,'Final List'!$P$4:$P$252,0),0)</f>
        <v>0</v>
      </c>
      <c r="S3371" s="169">
        <f t="shared" si="211"/>
        <v>0</v>
      </c>
      <c r="V3371" s="169" t="str">
        <f t="shared" si="207"/>
        <v>NITRO AY</v>
      </c>
      <c r="W3371" s="169" t="s">
        <v>2715</v>
      </c>
    </row>
    <row r="3372" spans="2:23" ht="15.75" customHeight="1" x14ac:dyDescent="0.25">
      <c r="B3372" s="169" t="s">
        <v>1167</v>
      </c>
      <c r="C3372" s="169" t="s">
        <v>87</v>
      </c>
      <c r="D3372" s="169" t="s">
        <v>5741</v>
      </c>
      <c r="E3372" s="169" t="s">
        <v>37</v>
      </c>
      <c r="F3372" s="245" t="str">
        <f t="shared" si="209"/>
        <v>Dhoz 71</v>
      </c>
      <c r="G3372" s="169" t="s">
        <v>6930</v>
      </c>
      <c r="I3372" s="169" t="str">
        <f t="shared" si="210"/>
        <v>L12_NONE_035E_XCN</v>
      </c>
      <c r="J3372" s="169" t="s">
        <v>13429</v>
      </c>
      <c r="K3372" s="169">
        <f>IFERROR(MATCH(J3372,'Final List'!$B$4:$B$252,0),0)</f>
        <v>0</v>
      </c>
      <c r="L3372" s="169">
        <f>IFERROR(MATCH(J3372,'Final List'!$D$4:$D$252,0),0)</f>
        <v>0</v>
      </c>
      <c r="M3372" s="169">
        <f>IFERROR(MATCH(J3372,'Final List'!$F$4:$F$251,0),0)</f>
        <v>0</v>
      </c>
      <c r="N3372" s="169">
        <f>IFERROR(MATCH(J3372,'Final List'!$H$4:$H$252,0),0)</f>
        <v>0</v>
      </c>
      <c r="O3372" s="169">
        <f>IFERROR(MATCH(J3372,'Final List'!$J$4:$J$252,0),0)</f>
        <v>0</v>
      </c>
      <c r="P3372" s="169">
        <f>IFERROR(MATCH(J3372,'Final List'!$L$4:$L$252,0),0)</f>
        <v>0</v>
      </c>
      <c r="Q3372" s="169">
        <f>IFERROR(MATCH(J3372,'Final List'!$N$4:$N$252,0),0)</f>
        <v>0</v>
      </c>
      <c r="R3372" s="169">
        <f>IFERROR(MATCH(J3372,'Final List'!$P$4:$P$252,0),0)</f>
        <v>0</v>
      </c>
      <c r="S3372" s="169">
        <f t="shared" si="211"/>
        <v>0</v>
      </c>
      <c r="V3372" s="169" t="str">
        <f t="shared" si="207"/>
        <v>DUHIG, P1</v>
      </c>
      <c r="W3372" s="169" t="s">
        <v>8898</v>
      </c>
    </row>
    <row r="3373" spans="2:23" x14ac:dyDescent="0.25">
      <c r="B3373" s="169" t="s">
        <v>12320</v>
      </c>
      <c r="C3373" s="169" t="s">
        <v>87</v>
      </c>
      <c r="D3373" s="169" t="s">
        <v>167</v>
      </c>
      <c r="E3373" s="169" t="s">
        <v>20</v>
      </c>
      <c r="F3373" s="245" t="str">
        <f t="shared" si="209"/>
        <v>DVW 74</v>
      </c>
      <c r="G3373" s="169" t="s">
        <v>13376</v>
      </c>
      <c r="I3373" s="169" t="str">
        <f t="shared" si="210"/>
        <v>L425_NONE_058E_WINZE</v>
      </c>
      <c r="J3373" s="169" t="s">
        <v>13459</v>
      </c>
      <c r="K3373" s="169">
        <f>IFERROR(MATCH(J3373,'Final List'!$B$4:$B$252,0),0)</f>
        <v>0</v>
      </c>
      <c r="L3373" s="169">
        <f>IFERROR(MATCH(J3373,'Final List'!$D$4:$D$252,0),0)</f>
        <v>0</v>
      </c>
      <c r="M3373" s="169">
        <f>IFERROR(MATCH(J3373,'Final List'!$F$4:$F$251,0),0)</f>
        <v>0</v>
      </c>
      <c r="N3373" s="169">
        <f>IFERROR(MATCH(J3373,'Final List'!$H$4:$H$252,0),0)</f>
        <v>0</v>
      </c>
      <c r="O3373" s="169">
        <f>IFERROR(MATCH(J3373,'Final List'!$J$4:$J$252,0),0)</f>
        <v>0</v>
      </c>
      <c r="P3373" s="169">
        <f>IFERROR(MATCH(J3373,'Final List'!$L$4:$L$252,0),0)</f>
        <v>0</v>
      </c>
      <c r="Q3373" s="169">
        <f>IFERROR(MATCH(J3373,'Final List'!$N$4:$N$252,0),0)</f>
        <v>0</v>
      </c>
      <c r="R3373" s="169">
        <f>IFERROR(MATCH(J3373,'Final List'!$P$4:$P$252,0),0)</f>
        <v>0</v>
      </c>
      <c r="S3373" s="169">
        <f t="shared" si="211"/>
        <v>0</v>
      </c>
      <c r="V3373" s="169" t="str">
        <f t="shared" si="207"/>
        <v>CAPPUYO 5</v>
      </c>
      <c r="W3373" s="169" t="s">
        <v>2714</v>
      </c>
    </row>
    <row r="3374" spans="2:23" x14ac:dyDescent="0.25">
      <c r="B3374" s="169" t="s">
        <v>1166</v>
      </c>
      <c r="C3374" s="169" t="s">
        <v>42</v>
      </c>
      <c r="D3374" s="169" t="s">
        <v>6033</v>
      </c>
      <c r="E3374" s="169" t="s">
        <v>19</v>
      </c>
      <c r="F3374" s="245" t="str">
        <f t="shared" si="209"/>
        <v>DVR 72</v>
      </c>
      <c r="G3374" s="169" t="s">
        <v>6954</v>
      </c>
      <c r="I3374" s="169" t="str">
        <f t="shared" si="210"/>
        <v>L11_JV_013E_RAISE</v>
      </c>
      <c r="J3374" s="169" t="s">
        <v>13433</v>
      </c>
      <c r="K3374" s="169">
        <f>IFERROR(MATCH(J3374,'Final List'!$B$4:$B$252,0),0)</f>
        <v>0</v>
      </c>
      <c r="L3374" s="169">
        <f>IFERROR(MATCH(J3374,'Final List'!$D$4:$D$252,0),0)</f>
        <v>0</v>
      </c>
      <c r="M3374" s="169">
        <f>IFERROR(MATCH(J3374,'Final List'!$F$4:$F$251,0),0)</f>
        <v>0</v>
      </c>
      <c r="N3374" s="169">
        <f>IFERROR(MATCH(J3374,'Final List'!$H$4:$H$252,0),0)</f>
        <v>0</v>
      </c>
      <c r="O3374" s="169">
        <f>IFERROR(MATCH(J3374,'Final List'!$J$4:$J$252,0),0)</f>
        <v>0</v>
      </c>
      <c r="P3374" s="169">
        <f>IFERROR(MATCH(J3374,'Final List'!$L$4:$L$252,0),0)</f>
        <v>0</v>
      </c>
      <c r="Q3374" s="169">
        <f>IFERROR(MATCH(J3374,'Final List'!$N$4:$N$252,0),0)</f>
        <v>0</v>
      </c>
      <c r="R3374" s="169">
        <f>IFERROR(MATCH(J3374,'Final List'!$P$4:$P$252,0),0)</f>
        <v>0</v>
      </c>
      <c r="S3374" s="169">
        <f t="shared" si="211"/>
        <v>0</v>
      </c>
      <c r="V3374" s="169" t="str">
        <f t="shared" ref="V3374:V3447" si="212">IF(H3374="",G3374,H3374)</f>
        <v>BADBADON</v>
      </c>
      <c r="W3374" s="169" t="s">
        <v>2715</v>
      </c>
    </row>
    <row r="3375" spans="2:23" x14ac:dyDescent="0.25">
      <c r="B3375" s="169" t="s">
        <v>1167</v>
      </c>
      <c r="C3375" s="169" t="s">
        <v>57</v>
      </c>
      <c r="D3375" s="169" t="s">
        <v>148</v>
      </c>
      <c r="E3375" s="169" t="s">
        <v>61</v>
      </c>
      <c r="F3375" s="245" t="str">
        <f t="shared" si="209"/>
        <v>Dhoz 71</v>
      </c>
      <c r="G3375" s="169" t="s">
        <v>6931</v>
      </c>
      <c r="I3375" s="169" t="str">
        <f t="shared" si="210"/>
        <v>L12_JVSPLIT_039E_DW</v>
      </c>
      <c r="J3375" s="169" t="s">
        <v>13440</v>
      </c>
      <c r="K3375" s="169">
        <f>IFERROR(MATCH(J3375,'Final List'!$B$4:$B$252,0),0)</f>
        <v>0</v>
      </c>
      <c r="L3375" s="169">
        <f>IFERROR(MATCH(J3375,'Final List'!$D$4:$D$252,0),0)</f>
        <v>0</v>
      </c>
      <c r="M3375" s="169">
        <f>IFERROR(MATCH(J3375,'Final List'!$F$4:$F$251,0),0)</f>
        <v>0</v>
      </c>
      <c r="N3375" s="169">
        <f>IFERROR(MATCH(J3375,'Final List'!$H$4:$H$252,0),0)</f>
        <v>0</v>
      </c>
      <c r="O3375" s="169">
        <f>IFERROR(MATCH(J3375,'Final List'!$J$4:$J$252,0),0)</f>
        <v>0</v>
      </c>
      <c r="P3375" s="169">
        <f>IFERROR(MATCH(J3375,'Final List'!$L$4:$L$252,0),0)</f>
        <v>0</v>
      </c>
      <c r="Q3375" s="169">
        <f>IFERROR(MATCH(J3375,'Final List'!$N$4:$N$252,0),0)</f>
        <v>0</v>
      </c>
      <c r="R3375" s="169">
        <f>IFERROR(MATCH(J3375,'Final List'!$P$4:$P$252,0),0)</f>
        <v>0</v>
      </c>
      <c r="S3375" s="169">
        <f t="shared" si="211"/>
        <v>0</v>
      </c>
      <c r="V3375" s="169" t="str">
        <f t="shared" si="212"/>
        <v>DUHIG, P2</v>
      </c>
      <c r="W3375" s="169" t="s">
        <v>8896</v>
      </c>
    </row>
    <row r="3376" spans="2:23" x14ac:dyDescent="0.25">
      <c r="B3376" s="169" t="s">
        <v>1167</v>
      </c>
      <c r="C3376" s="169" t="s">
        <v>45</v>
      </c>
      <c r="D3376" s="169" t="s">
        <v>178</v>
      </c>
      <c r="E3376" s="169" t="s">
        <v>36</v>
      </c>
      <c r="F3376" s="245" t="str">
        <f t="shared" si="209"/>
        <v>StpS 77</v>
      </c>
      <c r="G3376" s="169" t="s">
        <v>12236</v>
      </c>
      <c r="H3376" s="169" t="s">
        <v>6931</v>
      </c>
      <c r="I3376" s="169" t="str">
        <f t="shared" si="210"/>
        <v>L12_DPVE_048E_STOPE</v>
      </c>
      <c r="J3376" s="169" t="s">
        <v>13594</v>
      </c>
      <c r="K3376" s="169">
        <f>IFERROR(MATCH(J3376,'Final List'!$B$4:$B$252,0),0)</f>
        <v>0</v>
      </c>
      <c r="L3376" s="169">
        <f>IFERROR(MATCH(J3376,'Final List'!$D$4:$D$252,0),0)</f>
        <v>0</v>
      </c>
      <c r="M3376" s="169">
        <f>IFERROR(MATCH(J3376,'Final List'!$F$4:$F$251,0),0)</f>
        <v>0</v>
      </c>
      <c r="N3376" s="169">
        <f>IFERROR(MATCH(J3376,'Final List'!$H$4:$H$252,0),0)</f>
        <v>0</v>
      </c>
      <c r="O3376" s="169">
        <f>IFERROR(MATCH(J3376,'Final List'!$J$4:$J$252,0),0)</f>
        <v>0</v>
      </c>
      <c r="P3376" s="169">
        <f>IFERROR(MATCH(J3376,'Final List'!$L$4:$L$252,0),0)</f>
        <v>0</v>
      </c>
      <c r="Q3376" s="169">
        <f>IFERROR(MATCH(J3376,'Final List'!$N$4:$N$252,0),0)</f>
        <v>0</v>
      </c>
      <c r="R3376" s="169">
        <f>IFERROR(MATCH(J3376,'Final List'!$P$4:$P$252,0),0)</f>
        <v>0</v>
      </c>
      <c r="S3376" s="169">
        <f t="shared" si="211"/>
        <v>0</v>
      </c>
      <c r="T3376" s="169" t="s">
        <v>68</v>
      </c>
      <c r="V3376" s="169" t="str">
        <f t="shared" si="212"/>
        <v>DUHIG, P2</v>
      </c>
      <c r="W3376" s="169" t="s">
        <v>2711</v>
      </c>
    </row>
    <row r="3377" spans="2:23" x14ac:dyDescent="0.25">
      <c r="B3377" s="169" t="s">
        <v>95</v>
      </c>
      <c r="C3377" s="169" t="s">
        <v>55</v>
      </c>
      <c r="D3377" s="169" t="s">
        <v>5888</v>
      </c>
      <c r="E3377" s="169" t="s">
        <v>61</v>
      </c>
      <c r="F3377" s="245" t="str">
        <f t="shared" si="209"/>
        <v>Dhoz 71</v>
      </c>
      <c r="G3377" s="169" t="s">
        <v>12064</v>
      </c>
      <c r="H3377" s="169" t="s">
        <v>604</v>
      </c>
      <c r="I3377" s="169" t="str">
        <f t="shared" si="210"/>
        <v>L08_JVFW_024W_DW</v>
      </c>
      <c r="J3377" s="169" t="s">
        <v>13438</v>
      </c>
      <c r="K3377" s="169">
        <f>IFERROR(MATCH(J3377,'Final List'!$B$4:$B$252,0),0)</f>
        <v>0</v>
      </c>
      <c r="L3377" s="169">
        <f>IFERROR(MATCH(J3377,'Final List'!$D$4:$D$252,0),0)</f>
        <v>0</v>
      </c>
      <c r="M3377" s="169">
        <f>IFERROR(MATCH(J3377,'Final List'!$F$4:$F$251,0),0)</f>
        <v>0</v>
      </c>
      <c r="N3377" s="169">
        <f>IFERROR(MATCH(J3377,'Final List'!$H$4:$H$252,0),0)</f>
        <v>0</v>
      </c>
      <c r="O3377" s="169">
        <f>IFERROR(MATCH(J3377,'Final List'!$J$4:$J$252,0),0)</f>
        <v>0</v>
      </c>
      <c r="P3377" s="169">
        <f>IFERROR(MATCH(J3377,'Final List'!$L$4:$L$252,0),0)</f>
        <v>0</v>
      </c>
      <c r="Q3377" s="169">
        <f>IFERROR(MATCH(J3377,'Final List'!$N$4:$N$252,0),0)</f>
        <v>0</v>
      </c>
      <c r="R3377" s="169">
        <f>IFERROR(MATCH(J3377,'Final List'!$P$4:$P$252,0),0)</f>
        <v>0</v>
      </c>
      <c r="S3377" s="169">
        <f t="shared" si="211"/>
        <v>0</v>
      </c>
      <c r="V3377" s="169" t="str">
        <f t="shared" si="212"/>
        <v>CARIKITAN 3</v>
      </c>
      <c r="W3377" s="169" t="s">
        <v>8895</v>
      </c>
    </row>
    <row r="3378" spans="2:23" x14ac:dyDescent="0.25">
      <c r="B3378" s="169" t="s">
        <v>12320</v>
      </c>
      <c r="C3378" s="169" t="s">
        <v>59</v>
      </c>
      <c r="D3378" s="169" t="s">
        <v>130</v>
      </c>
      <c r="E3378" s="169" t="s">
        <v>61</v>
      </c>
      <c r="F3378" s="245" t="str">
        <f t="shared" si="209"/>
        <v>Dhoz 71</v>
      </c>
      <c r="G3378" s="169" t="s">
        <v>75</v>
      </c>
      <c r="H3378" s="169" t="s">
        <v>5101</v>
      </c>
      <c r="I3378" s="169" t="str">
        <f t="shared" si="210"/>
        <v>L425_GHVHW_036E_DW</v>
      </c>
      <c r="J3378" s="169" t="s">
        <v>13441</v>
      </c>
      <c r="K3378" s="169">
        <f>IFERROR(MATCH(J3378,'Final List'!$B$4:$B$252,0),0)</f>
        <v>0</v>
      </c>
      <c r="L3378" s="169">
        <f>IFERROR(MATCH(J3378,'Final List'!$D$4:$D$252,0),0)</f>
        <v>0</v>
      </c>
      <c r="M3378" s="169">
        <f>IFERROR(MATCH(J3378,'Final List'!$F$4:$F$251,0),0)</f>
        <v>0</v>
      </c>
      <c r="N3378" s="169">
        <f>IFERROR(MATCH(J3378,'Final List'!$H$4:$H$252,0),0)</f>
        <v>0</v>
      </c>
      <c r="O3378" s="169">
        <f>IFERROR(MATCH(J3378,'Final List'!$J$4:$J$252,0),0)</f>
        <v>0</v>
      </c>
      <c r="P3378" s="169">
        <f>IFERROR(MATCH(J3378,'Final List'!$L$4:$L$252,0),0)</f>
        <v>0</v>
      </c>
      <c r="Q3378" s="169">
        <f>IFERROR(MATCH(J3378,'Final List'!$N$4:$N$252,0),0)</f>
        <v>0</v>
      </c>
      <c r="R3378" s="169">
        <f>IFERROR(MATCH(J3378,'Final List'!$P$4:$P$252,0),0)</f>
        <v>0</v>
      </c>
      <c r="S3378" s="169">
        <f t="shared" si="211"/>
        <v>0</v>
      </c>
      <c r="V3378" s="169" t="str">
        <f t="shared" si="212"/>
        <v>DELOS REYES V3</v>
      </c>
      <c r="W3378" s="169" t="s">
        <v>8896</v>
      </c>
    </row>
    <row r="3379" spans="2:23" x14ac:dyDescent="0.25">
      <c r="B3379" s="169" t="s">
        <v>1166</v>
      </c>
      <c r="C3379" s="169" t="s">
        <v>87</v>
      </c>
      <c r="D3379" s="169" t="s">
        <v>8279</v>
      </c>
      <c r="E3379" s="169" t="s">
        <v>63</v>
      </c>
      <c r="F3379" s="245" t="str">
        <f t="shared" si="209"/>
        <v>Dhoz 71</v>
      </c>
      <c r="G3379" s="169" t="s">
        <v>4155</v>
      </c>
      <c r="I3379" s="169" t="str">
        <f t="shared" si="210"/>
        <v>L11_NONE_090E_XCS</v>
      </c>
      <c r="J3379" s="169" t="s">
        <v>13446</v>
      </c>
      <c r="K3379" s="169">
        <f>IFERROR(MATCH(J3379,'Final List'!$B$4:$B$252,0),0)</f>
        <v>0</v>
      </c>
      <c r="L3379" s="169">
        <f>IFERROR(MATCH(J3379,'Final List'!$D$4:$D$252,0),0)</f>
        <v>0</v>
      </c>
      <c r="M3379" s="169">
        <f>IFERROR(MATCH(J3379,'Final List'!$F$4:$F$251,0),0)</f>
        <v>0</v>
      </c>
      <c r="N3379" s="169">
        <f>IFERROR(MATCH(J3379,'Final List'!$H$4:$H$252,0),0)</f>
        <v>0</v>
      </c>
      <c r="O3379" s="169">
        <f>IFERROR(MATCH(J3379,'Final List'!$J$4:$J$252,0),0)</f>
        <v>0</v>
      </c>
      <c r="P3379" s="169">
        <f>IFERROR(MATCH(J3379,'Final List'!$L$4:$L$252,0),0)</f>
        <v>0</v>
      </c>
      <c r="Q3379" s="169">
        <f>IFERROR(MATCH(J3379,'Final List'!$N$4:$N$252,0),0)</f>
        <v>0</v>
      </c>
      <c r="R3379" s="169">
        <f>IFERROR(MATCH(J3379,'Final List'!$P$4:$P$252,0),0)</f>
        <v>0</v>
      </c>
      <c r="S3379" s="169">
        <f t="shared" si="211"/>
        <v>0</v>
      </c>
      <c r="V3379" s="169" t="str">
        <f t="shared" si="212"/>
        <v>BAÑEZ</v>
      </c>
      <c r="W3379" s="169" t="s">
        <v>8898</v>
      </c>
    </row>
    <row r="3380" spans="2:23" x14ac:dyDescent="0.25">
      <c r="B3380" s="169" t="s">
        <v>12320</v>
      </c>
      <c r="C3380" s="169" t="s">
        <v>87</v>
      </c>
      <c r="D3380" s="169" t="s">
        <v>165</v>
      </c>
      <c r="E3380" s="169" t="s">
        <v>70</v>
      </c>
      <c r="F3380" s="245" t="str">
        <f t="shared" si="209"/>
        <v>Dhoz 71</v>
      </c>
      <c r="G3380" s="169" t="s">
        <v>389</v>
      </c>
      <c r="I3380" s="169" t="str">
        <f t="shared" si="210"/>
        <v>L425_NONE_056E_SUMP</v>
      </c>
      <c r="J3380" s="169" t="s">
        <v>13447</v>
      </c>
      <c r="K3380" s="169">
        <f>IFERROR(MATCH(J3380,'Final List'!$B$4:$B$252,0),0)</f>
        <v>0</v>
      </c>
      <c r="L3380" s="169">
        <f>IFERROR(MATCH(J3380,'Final List'!$D$4:$D$252,0),0)</f>
        <v>0</v>
      </c>
      <c r="M3380" s="169">
        <f>IFERROR(MATCH(J3380,'Final List'!$F$4:$F$251,0),0)</f>
        <v>0</v>
      </c>
      <c r="N3380" s="169">
        <f>IFERROR(MATCH(J3380,'Final List'!$H$4:$H$252,0),0)</f>
        <v>0</v>
      </c>
      <c r="O3380" s="169">
        <f>IFERROR(MATCH(J3380,'Final List'!$J$4:$J$252,0),0)</f>
        <v>0</v>
      </c>
      <c r="P3380" s="169">
        <f>IFERROR(MATCH(J3380,'Final List'!$L$4:$L$252,0),0)</f>
        <v>0</v>
      </c>
      <c r="Q3380" s="169">
        <f>IFERROR(MATCH(J3380,'Final List'!$N$4:$N$252,0),0)</f>
        <v>0</v>
      </c>
      <c r="R3380" s="169">
        <f>IFERROR(MATCH(J3380,'Final List'!$P$4:$P$252,0),0)</f>
        <v>0</v>
      </c>
      <c r="S3380" s="169">
        <f t="shared" si="211"/>
        <v>0</v>
      </c>
      <c r="V3380" s="169" t="str">
        <f t="shared" si="212"/>
        <v>CAPPUYO 1</v>
      </c>
      <c r="W3380" s="169" t="s">
        <v>2714</v>
      </c>
    </row>
    <row r="3381" spans="2:23" x14ac:dyDescent="0.25">
      <c r="B3381" s="169" t="s">
        <v>95</v>
      </c>
      <c r="C3381" s="169" t="s">
        <v>87</v>
      </c>
      <c r="D3381" s="169" t="s">
        <v>140</v>
      </c>
      <c r="E3381" s="169" t="s">
        <v>19</v>
      </c>
      <c r="F3381" s="245" t="str">
        <f t="shared" si="209"/>
        <v>DVR 72</v>
      </c>
      <c r="G3381" s="169" t="s">
        <v>6216</v>
      </c>
      <c r="I3381" s="169" t="str">
        <f t="shared" si="210"/>
        <v>L08_NONE_005W_RAISE</v>
      </c>
      <c r="J3381" s="169" t="s">
        <v>13449</v>
      </c>
      <c r="K3381" s="169">
        <f>IFERROR(MATCH(J3381,'Final List'!$B$4:$B$252,0),0)</f>
        <v>0</v>
      </c>
      <c r="L3381" s="169">
        <f>IFERROR(MATCH(J3381,'Final List'!$D$4:$D$252,0),0)</f>
        <v>0</v>
      </c>
      <c r="M3381" s="169">
        <f>IFERROR(MATCH(J3381,'Final List'!$F$4:$F$251,0),0)</f>
        <v>0</v>
      </c>
      <c r="N3381" s="169">
        <f>IFERROR(MATCH(J3381,'Final List'!$H$4:$H$252,0),0)</f>
        <v>0</v>
      </c>
      <c r="O3381" s="169">
        <f>IFERROR(MATCH(J3381,'Final List'!$J$4:$J$252,0),0)</f>
        <v>0</v>
      </c>
      <c r="P3381" s="169">
        <f>IFERROR(MATCH(J3381,'Final List'!$L$4:$L$252,0),0)</f>
        <v>0</v>
      </c>
      <c r="Q3381" s="169">
        <f>IFERROR(MATCH(J3381,'Final List'!$N$4:$N$252,0),0)</f>
        <v>0</v>
      </c>
      <c r="R3381" s="169">
        <f>IFERROR(MATCH(J3381,'Final List'!$P$4:$P$252,0),0)</f>
        <v>0</v>
      </c>
      <c r="S3381" s="169">
        <f t="shared" si="211"/>
        <v>0</v>
      </c>
      <c r="V3381" s="169" t="str">
        <f t="shared" si="212"/>
        <v>FERNANDEZ</v>
      </c>
      <c r="W3381" s="169" t="s">
        <v>2715</v>
      </c>
    </row>
    <row r="3382" spans="2:23" x14ac:dyDescent="0.25">
      <c r="B3382" s="169" t="s">
        <v>1167</v>
      </c>
      <c r="C3382" s="169" t="s">
        <v>43</v>
      </c>
      <c r="D3382" s="169" t="s">
        <v>169</v>
      </c>
      <c r="E3382" s="169" t="s">
        <v>36</v>
      </c>
      <c r="F3382" s="245" t="str">
        <f t="shared" si="209"/>
        <v>StpS 77</v>
      </c>
      <c r="G3382" s="169" t="s">
        <v>12585</v>
      </c>
      <c r="H3382" s="169" t="s">
        <v>12549</v>
      </c>
      <c r="I3382" s="169" t="str">
        <f t="shared" si="210"/>
        <v>L12_GHVSPLIT_065E_STOPE</v>
      </c>
      <c r="J3382" s="169" t="s">
        <v>13651</v>
      </c>
      <c r="K3382" s="169">
        <f>IFERROR(MATCH(J3382,'Final List'!$B$4:$B$252,0),0)</f>
        <v>0</v>
      </c>
      <c r="L3382" s="169">
        <f>IFERROR(MATCH(J3382,'Final List'!$D$4:$D$252,0),0)</f>
        <v>0</v>
      </c>
      <c r="M3382" s="169">
        <f>IFERROR(MATCH(J3382,'Final List'!$F$4:$F$251,0),0)</f>
        <v>0</v>
      </c>
      <c r="N3382" s="169">
        <f>IFERROR(MATCH(J3382,'Final List'!$H$4:$H$252,0),0)</f>
        <v>0</v>
      </c>
      <c r="O3382" s="169">
        <f>IFERROR(MATCH(J3382,'Final List'!$J$4:$J$252,0),0)</f>
        <v>0</v>
      </c>
      <c r="P3382" s="169">
        <f>IFERROR(MATCH(J3382,'Final List'!$L$4:$L$252,0),0)</f>
        <v>0</v>
      </c>
      <c r="Q3382" s="169">
        <f>IFERROR(MATCH(J3382,'Final List'!$N$4:$N$252,0),0)</f>
        <v>0</v>
      </c>
      <c r="R3382" s="169">
        <f>IFERROR(MATCH(J3382,'Final List'!$P$4:$P$252,0),0)</f>
        <v>0</v>
      </c>
      <c r="S3382" s="169">
        <f t="shared" si="211"/>
        <v>0</v>
      </c>
      <c r="T3382" s="169" t="s">
        <v>68</v>
      </c>
      <c r="V3382" s="169" t="str">
        <f t="shared" si="212"/>
        <v>NITRO BR</v>
      </c>
      <c r="W3382" s="169" t="s">
        <v>2713</v>
      </c>
    </row>
    <row r="3383" spans="2:23" x14ac:dyDescent="0.25">
      <c r="B3383" s="169" t="s">
        <v>258</v>
      </c>
      <c r="C3383" s="169" t="s">
        <v>59</v>
      </c>
      <c r="D3383" s="169" t="s">
        <v>98</v>
      </c>
      <c r="E3383" s="169" t="s">
        <v>19</v>
      </c>
      <c r="F3383" s="245" t="str">
        <f t="shared" si="209"/>
        <v>DVR 72</v>
      </c>
      <c r="G3383" s="169" t="s">
        <v>12888</v>
      </c>
      <c r="I3383" s="169" t="str">
        <f t="shared" si="210"/>
        <v>L10_GHVHW_014W_RAISE</v>
      </c>
      <c r="J3383" s="169" t="s">
        <v>13453</v>
      </c>
      <c r="K3383" s="169">
        <f>IFERROR(MATCH(J3383,'Final List'!$B$4:$B$252,0),0)</f>
        <v>0</v>
      </c>
      <c r="L3383" s="169">
        <f>IFERROR(MATCH(J3383,'Final List'!$D$4:$D$252,0),0)</f>
        <v>0</v>
      </c>
      <c r="M3383" s="169">
        <f>IFERROR(MATCH(J3383,'Final List'!$F$4:$F$251,0),0)</f>
        <v>0</v>
      </c>
      <c r="N3383" s="169">
        <f>IFERROR(MATCH(J3383,'Final List'!$H$4:$H$252,0),0)</f>
        <v>0</v>
      </c>
      <c r="O3383" s="169">
        <f>IFERROR(MATCH(J3383,'Final List'!$J$4:$J$252,0),0)</f>
        <v>0</v>
      </c>
      <c r="P3383" s="169">
        <f>IFERROR(MATCH(J3383,'Final List'!$L$4:$L$252,0),0)</f>
        <v>0</v>
      </c>
      <c r="Q3383" s="169">
        <f>IFERROR(MATCH(J3383,'Final List'!$N$4:$N$252,0),0)</f>
        <v>0</v>
      </c>
      <c r="R3383" s="169">
        <f>IFERROR(MATCH(J3383,'Final List'!$P$4:$P$252,0),0)</f>
        <v>0</v>
      </c>
      <c r="S3383" s="169">
        <f t="shared" si="211"/>
        <v>0</v>
      </c>
      <c r="V3383" s="169" t="str">
        <f t="shared" si="212"/>
        <v>NITRO BD</v>
      </c>
      <c r="W3383" s="169" t="s">
        <v>2715</v>
      </c>
    </row>
    <row r="3384" spans="2:23" x14ac:dyDescent="0.25">
      <c r="B3384" s="169" t="s">
        <v>12320</v>
      </c>
      <c r="C3384" s="169" t="s">
        <v>57</v>
      </c>
      <c r="D3384" s="169" t="s">
        <v>173</v>
      </c>
      <c r="E3384" s="169" t="s">
        <v>60</v>
      </c>
      <c r="F3384" s="245" t="str">
        <f t="shared" si="209"/>
        <v>Dhoz 71</v>
      </c>
      <c r="G3384" s="169" t="s">
        <v>356</v>
      </c>
      <c r="I3384" s="169" t="str">
        <f t="shared" si="210"/>
        <v>L425_JVSPLIT_049E_DE</v>
      </c>
      <c r="J3384" s="169" t="s">
        <v>13455</v>
      </c>
      <c r="K3384" s="169">
        <f>IFERROR(MATCH(J3384,'Final List'!$B$4:$B$252,0),0)</f>
        <v>0</v>
      </c>
      <c r="L3384" s="169">
        <f>IFERROR(MATCH(J3384,'Final List'!$D$4:$D$252,0),0)</f>
        <v>0</v>
      </c>
      <c r="M3384" s="169">
        <f>IFERROR(MATCH(J3384,'Final List'!$F$4:$F$251,0),0)</f>
        <v>0</v>
      </c>
      <c r="N3384" s="169">
        <f>IFERROR(MATCH(J3384,'Final List'!$H$4:$H$252,0),0)</f>
        <v>0</v>
      </c>
      <c r="O3384" s="169">
        <f>IFERROR(MATCH(J3384,'Final List'!$J$4:$J$252,0),0)</f>
        <v>0</v>
      </c>
      <c r="P3384" s="169">
        <f>IFERROR(MATCH(J3384,'Final List'!$L$4:$L$252,0),0)</f>
        <v>0</v>
      </c>
      <c r="Q3384" s="169">
        <f>IFERROR(MATCH(J3384,'Final List'!$N$4:$N$252,0),0)</f>
        <v>0</v>
      </c>
      <c r="R3384" s="169">
        <f>IFERROR(MATCH(J3384,'Final List'!$P$4:$P$252,0),0)</f>
        <v>0</v>
      </c>
      <c r="S3384" s="169">
        <f t="shared" si="211"/>
        <v>0</v>
      </c>
      <c r="V3384" s="169" t="str">
        <f t="shared" si="212"/>
        <v>BAÑEZ 1</v>
      </c>
      <c r="W3384" s="169" t="s">
        <v>8896</v>
      </c>
    </row>
    <row r="3385" spans="2:23" x14ac:dyDescent="0.25">
      <c r="B3385" s="169" t="s">
        <v>12320</v>
      </c>
      <c r="C3385" s="169" t="s">
        <v>42</v>
      </c>
      <c r="D3385" s="169" t="s">
        <v>180</v>
      </c>
      <c r="E3385" s="169" t="s">
        <v>61</v>
      </c>
      <c r="F3385" s="245" t="str">
        <f t="shared" si="209"/>
        <v>Dhoz 71</v>
      </c>
      <c r="G3385" s="169" t="s">
        <v>1510</v>
      </c>
      <c r="I3385" s="169" t="str">
        <f t="shared" si="210"/>
        <v>L425_JV_041E_DW</v>
      </c>
      <c r="J3385" s="169" t="s">
        <v>13458</v>
      </c>
      <c r="K3385" s="169">
        <f>IFERROR(MATCH(J3385,'Final List'!$B$4:$B$252,0),0)</f>
        <v>0</v>
      </c>
      <c r="L3385" s="169">
        <f>IFERROR(MATCH(J3385,'Final List'!$D$4:$D$252,0),0)</f>
        <v>0</v>
      </c>
      <c r="M3385" s="169">
        <f>IFERROR(MATCH(J3385,'Final List'!$F$4:$F$251,0),0)</f>
        <v>0</v>
      </c>
      <c r="N3385" s="169">
        <f>IFERROR(MATCH(J3385,'Final List'!$H$4:$H$252,0),0)</f>
        <v>0</v>
      </c>
      <c r="O3385" s="169">
        <f>IFERROR(MATCH(J3385,'Final List'!$J$4:$J$252,0),0)</f>
        <v>0</v>
      </c>
      <c r="P3385" s="169">
        <f>IFERROR(MATCH(J3385,'Final List'!$L$4:$L$252,0),0)</f>
        <v>0</v>
      </c>
      <c r="Q3385" s="169">
        <f>IFERROR(MATCH(J3385,'Final List'!$N$4:$N$252,0),0)</f>
        <v>0</v>
      </c>
      <c r="R3385" s="169">
        <f>IFERROR(MATCH(J3385,'Final List'!$P$4:$P$252,0),0)</f>
        <v>0</v>
      </c>
      <c r="S3385" s="169">
        <f t="shared" si="211"/>
        <v>0</v>
      </c>
      <c r="V3385" s="169" t="str">
        <f t="shared" si="212"/>
        <v>DELOS REYES</v>
      </c>
      <c r="W3385" s="169" t="s">
        <v>8896</v>
      </c>
    </row>
    <row r="3386" spans="2:23" x14ac:dyDescent="0.25">
      <c r="B3386" s="169" t="s">
        <v>1166</v>
      </c>
      <c r="C3386" s="169" t="s">
        <v>45</v>
      </c>
      <c r="D3386" s="169" t="s">
        <v>6983</v>
      </c>
      <c r="E3386" s="169" t="s">
        <v>60</v>
      </c>
      <c r="F3386" s="245" t="str">
        <f t="shared" si="209"/>
        <v>Dhoz 71</v>
      </c>
      <c r="G3386" s="169" t="s">
        <v>10898</v>
      </c>
      <c r="I3386" s="169" t="str">
        <f t="shared" si="210"/>
        <v>L11_DPVE_001E_DE</v>
      </c>
      <c r="J3386" s="169" t="s">
        <v>13463</v>
      </c>
      <c r="K3386" s="169">
        <f>IFERROR(MATCH(J3386,'Final List'!$B$4:$B$252,0),0)</f>
        <v>0</v>
      </c>
      <c r="L3386" s="169">
        <f>IFERROR(MATCH(J3386,'Final List'!$D$4:$D$252,0),0)</f>
        <v>0</v>
      </c>
      <c r="M3386" s="169">
        <f>IFERROR(MATCH(J3386,'Final List'!$F$4:$F$251,0),0)</f>
        <v>0</v>
      </c>
      <c r="N3386" s="169">
        <f>IFERROR(MATCH(J3386,'Final List'!$H$4:$H$252,0),0)</f>
        <v>0</v>
      </c>
      <c r="O3386" s="169">
        <f>IFERROR(MATCH(J3386,'Final List'!$J$4:$J$252,0),0)</f>
        <v>0</v>
      </c>
      <c r="P3386" s="169">
        <f>IFERROR(MATCH(J3386,'Final List'!$L$4:$L$252,0),0)</f>
        <v>0</v>
      </c>
      <c r="Q3386" s="169">
        <f>IFERROR(MATCH(J3386,'Final List'!$N$4:$N$252,0),0)</f>
        <v>0</v>
      </c>
      <c r="R3386" s="169">
        <f>IFERROR(MATCH(J3386,'Final List'!$P$4:$P$252,0),0)</f>
        <v>0</v>
      </c>
      <c r="S3386" s="169">
        <f t="shared" si="211"/>
        <v>0</v>
      </c>
      <c r="V3386" s="169" t="str">
        <f t="shared" si="212"/>
        <v>BADBADON 4</v>
      </c>
      <c r="W3386" s="169" t="s">
        <v>8896</v>
      </c>
    </row>
    <row r="3387" spans="2:23" x14ac:dyDescent="0.25">
      <c r="B3387" s="169" t="s">
        <v>1166</v>
      </c>
      <c r="C3387" s="169" t="s">
        <v>43</v>
      </c>
      <c r="D3387" s="169" t="s">
        <v>176</v>
      </c>
      <c r="E3387" s="169" t="s">
        <v>6154</v>
      </c>
      <c r="F3387" s="245" t="str">
        <f t="shared" si="209"/>
        <v>Dhoz 71</v>
      </c>
      <c r="G3387" s="169" t="s">
        <v>4068</v>
      </c>
      <c r="I3387" s="169" t="str">
        <f t="shared" si="210"/>
        <v>L11_GHVSPLIT_057E_DW_ISL</v>
      </c>
      <c r="J3387" s="169" t="s">
        <v>13464</v>
      </c>
      <c r="K3387" s="169">
        <f>IFERROR(MATCH(J3387,'Final List'!$B$4:$B$252,0),0)</f>
        <v>0</v>
      </c>
      <c r="L3387" s="169">
        <f>IFERROR(MATCH(J3387,'Final List'!$D$4:$D$252,0),0)</f>
        <v>0</v>
      </c>
      <c r="M3387" s="169">
        <f>IFERROR(MATCH(J3387,'Final List'!$F$4:$F$251,0),0)</f>
        <v>0</v>
      </c>
      <c r="N3387" s="169">
        <f>IFERROR(MATCH(J3387,'Final List'!$H$4:$H$252,0),0)</f>
        <v>0</v>
      </c>
      <c r="O3387" s="169">
        <f>IFERROR(MATCH(J3387,'Final List'!$J$4:$J$252,0),0)</f>
        <v>0</v>
      </c>
      <c r="P3387" s="169">
        <f>IFERROR(MATCH(J3387,'Final List'!$L$4:$L$252,0),0)</f>
        <v>0</v>
      </c>
      <c r="Q3387" s="169">
        <f>IFERROR(MATCH(J3387,'Final List'!$N$4:$N$252,0),0)</f>
        <v>0</v>
      </c>
      <c r="R3387" s="169">
        <f>IFERROR(MATCH(J3387,'Final List'!$P$4:$P$252,0),0)</f>
        <v>0</v>
      </c>
      <c r="S3387" s="169">
        <f t="shared" si="211"/>
        <v>0</v>
      </c>
      <c r="V3387" s="169" t="str">
        <f t="shared" si="212"/>
        <v>MAPAYO</v>
      </c>
      <c r="W3387" s="169" t="s">
        <v>2708</v>
      </c>
    </row>
    <row r="3388" spans="2:23" x14ac:dyDescent="0.25">
      <c r="B3388" s="169" t="s">
        <v>1166</v>
      </c>
      <c r="C3388" s="169" t="s">
        <v>38</v>
      </c>
      <c r="D3388" s="169" t="s">
        <v>5614</v>
      </c>
      <c r="E3388" s="169" t="s">
        <v>62</v>
      </c>
      <c r="F3388" s="245" t="str">
        <f t="shared" si="209"/>
        <v>RobS 79</v>
      </c>
      <c r="G3388" s="169" t="s">
        <v>6216</v>
      </c>
      <c r="I3388" s="169" t="str">
        <f t="shared" si="210"/>
        <v>L11_GHV_055E_ROBBING</v>
      </c>
      <c r="J3388" s="169" t="s">
        <v>13465</v>
      </c>
      <c r="K3388" s="169">
        <f>IFERROR(MATCH(J3388,'Final List'!$B$4:$B$252,0),0)</f>
        <v>0</v>
      </c>
      <c r="L3388" s="169">
        <f>IFERROR(MATCH(J3388,'Final List'!$D$4:$D$252,0),0)</f>
        <v>0</v>
      </c>
      <c r="M3388" s="169">
        <f>IFERROR(MATCH(J3388,'Final List'!$F$4:$F$251,0),0)</f>
        <v>0</v>
      </c>
      <c r="N3388" s="169">
        <f>IFERROR(MATCH(J3388,'Final List'!$H$4:$H$252,0),0)</f>
        <v>0</v>
      </c>
      <c r="O3388" s="169">
        <f>IFERROR(MATCH(J3388,'Final List'!$J$4:$J$252,0),0)</f>
        <v>0</v>
      </c>
      <c r="P3388" s="169">
        <f>IFERROR(MATCH(J3388,'Final List'!$L$4:$L$252,0),0)</f>
        <v>0</v>
      </c>
      <c r="Q3388" s="169">
        <f>IFERROR(MATCH(J3388,'Final List'!$N$4:$N$252,0),0)</f>
        <v>0</v>
      </c>
      <c r="R3388" s="169">
        <f>IFERROR(MATCH(J3388,'Final List'!$P$4:$P$252,0),0)</f>
        <v>0</v>
      </c>
      <c r="S3388" s="169">
        <f t="shared" si="211"/>
        <v>0</v>
      </c>
      <c r="T3388" s="169" t="s">
        <v>68</v>
      </c>
      <c r="V3388" s="169" t="str">
        <f t="shared" si="212"/>
        <v>FERNANDEZ</v>
      </c>
      <c r="W3388" s="169" t="s">
        <v>2707</v>
      </c>
    </row>
    <row r="3389" spans="2:23" x14ac:dyDescent="0.25">
      <c r="B3389" s="169" t="s">
        <v>96</v>
      </c>
      <c r="C3389" s="169" t="s">
        <v>45</v>
      </c>
      <c r="D3389" s="169" t="s">
        <v>4482</v>
      </c>
      <c r="E3389" s="169" t="s">
        <v>221</v>
      </c>
      <c r="F3389" s="245" t="str">
        <f t="shared" si="209"/>
        <v>RobC 80</v>
      </c>
      <c r="G3389" s="169" t="s">
        <v>349</v>
      </c>
      <c r="I3389" s="169" t="str">
        <f t="shared" si="210"/>
        <v>L09_DPVE_084E_WINZE STOPE</v>
      </c>
      <c r="J3389" s="169" t="s">
        <v>13628</v>
      </c>
      <c r="K3389" s="169">
        <f>IFERROR(MATCH(J3389,'Final List'!$B$4:$B$252,0),0)</f>
        <v>0</v>
      </c>
      <c r="L3389" s="169">
        <f>IFERROR(MATCH(J3389,'Final List'!$D$4:$D$252,0),0)</f>
        <v>0</v>
      </c>
      <c r="M3389" s="169">
        <f>IFERROR(MATCH(J3389,'Final List'!$F$4:$F$251,0),0)</f>
        <v>0</v>
      </c>
      <c r="N3389" s="169">
        <f>IFERROR(MATCH(J3389,'Final List'!$H$4:$H$252,0),0)</f>
        <v>0</v>
      </c>
      <c r="O3389" s="169">
        <f>IFERROR(MATCH(J3389,'Final List'!$J$4:$J$252,0),0)</f>
        <v>0</v>
      </c>
      <c r="P3389" s="169">
        <f>IFERROR(MATCH(J3389,'Final List'!$L$4:$L$252,0),0)</f>
        <v>0</v>
      </c>
      <c r="Q3389" s="169">
        <f>IFERROR(MATCH(J3389,'Final List'!$N$4:$N$252,0),0)</f>
        <v>0</v>
      </c>
      <c r="R3389" s="169">
        <f>IFERROR(MATCH(J3389,'Final List'!$P$4:$P$252,0),0)</f>
        <v>0</v>
      </c>
      <c r="S3389" s="169">
        <f t="shared" si="211"/>
        <v>0</v>
      </c>
      <c r="T3389" s="169" t="s">
        <v>68</v>
      </c>
      <c r="V3389" s="169" t="str">
        <f t="shared" si="212"/>
        <v>QUIJANO 2</v>
      </c>
      <c r="W3389" s="169" t="s">
        <v>2711</v>
      </c>
    </row>
    <row r="3390" spans="2:23" x14ac:dyDescent="0.25">
      <c r="B3390" s="169" t="s">
        <v>96</v>
      </c>
      <c r="C3390" s="169" t="s">
        <v>57</v>
      </c>
      <c r="D3390" s="169" t="s">
        <v>177</v>
      </c>
      <c r="E3390" s="169" t="s">
        <v>19</v>
      </c>
      <c r="F3390" s="245" t="str">
        <f t="shared" si="209"/>
        <v>DVR 72</v>
      </c>
      <c r="G3390" t="s">
        <v>12658</v>
      </c>
      <c r="H3390" s="169" t="s">
        <v>1661</v>
      </c>
      <c r="I3390" s="169" t="str">
        <f t="shared" si="210"/>
        <v>L09_JVSPLIT_054E_RAISE</v>
      </c>
      <c r="J3390" s="169" t="s">
        <v>13472</v>
      </c>
      <c r="K3390" s="169">
        <f>IFERROR(MATCH(J3390,'Final List'!$B$4:$B$252,0),0)</f>
        <v>0</v>
      </c>
      <c r="L3390" s="169">
        <f>IFERROR(MATCH(J3390,'Final List'!$D$4:$D$252,0),0)</f>
        <v>0</v>
      </c>
      <c r="M3390" s="169">
        <f>IFERROR(MATCH(J3390,'Final List'!$F$4:$F$251,0),0)</f>
        <v>0</v>
      </c>
      <c r="N3390" s="169">
        <f>IFERROR(MATCH(J3390,'Final List'!$H$4:$H$252,0),0)</f>
        <v>0</v>
      </c>
      <c r="O3390" s="169">
        <f>IFERROR(MATCH(J3390,'Final List'!$J$4:$J$252,0),0)</f>
        <v>0</v>
      </c>
      <c r="P3390" s="169">
        <f>IFERROR(MATCH(J3390,'Final List'!$L$4:$L$252,0),0)</f>
        <v>0</v>
      </c>
      <c r="Q3390" s="169">
        <f>IFERROR(MATCH(J3390,'Final List'!$N$4:$N$252,0),0)</f>
        <v>0</v>
      </c>
      <c r="R3390" s="169">
        <f>IFERROR(MATCH(J3390,'Final List'!$P$4:$P$252,0),0)</f>
        <v>0</v>
      </c>
      <c r="S3390" s="169">
        <f t="shared" si="211"/>
        <v>0</v>
      </c>
      <c r="V3390" s="169" t="str">
        <f t="shared" si="212"/>
        <v>DELOS REYES V2</v>
      </c>
      <c r="W3390" s="169" t="s">
        <v>2715</v>
      </c>
    </row>
    <row r="3391" spans="2:23" x14ac:dyDescent="0.25">
      <c r="B3391" s="169" t="s">
        <v>1166</v>
      </c>
      <c r="C3391" s="169" t="s">
        <v>45</v>
      </c>
      <c r="D3391" s="169" t="s">
        <v>5887</v>
      </c>
      <c r="E3391" s="169" t="s">
        <v>60</v>
      </c>
      <c r="F3391" s="245" t="str">
        <f t="shared" si="209"/>
        <v>Dhoz 71</v>
      </c>
      <c r="G3391" s="169" t="s">
        <v>367</v>
      </c>
      <c r="I3391" s="169" t="str">
        <f t="shared" si="210"/>
        <v>L11_DPVE_085E_DE</v>
      </c>
      <c r="J3391" s="169" t="s">
        <v>13476</v>
      </c>
      <c r="K3391" s="169">
        <f>IFERROR(MATCH(J3391,'Final List'!$B$4:$B$252,0),0)</f>
        <v>0</v>
      </c>
      <c r="L3391" s="169">
        <f>IFERROR(MATCH(J3391,'Final List'!$D$4:$D$252,0),0)</f>
        <v>0</v>
      </c>
      <c r="M3391" s="169">
        <f>IFERROR(MATCH(J3391,'Final List'!$F$4:$F$251,0),0)</f>
        <v>0</v>
      </c>
      <c r="N3391" s="169">
        <f>IFERROR(MATCH(J3391,'Final List'!$H$4:$H$252,0),0)</f>
        <v>0</v>
      </c>
      <c r="O3391" s="169">
        <f>IFERROR(MATCH(J3391,'Final List'!$J$4:$J$252,0),0)</f>
        <v>0</v>
      </c>
      <c r="P3391" s="169">
        <f>IFERROR(MATCH(J3391,'Final List'!$L$4:$L$252,0),0)</f>
        <v>0</v>
      </c>
      <c r="Q3391" s="169">
        <f>IFERROR(MATCH(J3391,'Final List'!$N$4:$N$252,0),0)</f>
        <v>0</v>
      </c>
      <c r="R3391" s="169">
        <f>IFERROR(MATCH(J3391,'Final List'!$P$4:$P$252,0),0)</f>
        <v>0</v>
      </c>
      <c r="S3391" s="169">
        <f t="shared" si="211"/>
        <v>0</v>
      </c>
      <c r="V3391" s="169" t="str">
        <f t="shared" si="212"/>
        <v>LERIO 1</v>
      </c>
      <c r="W3391" s="169" t="s">
        <v>8896</v>
      </c>
    </row>
    <row r="3392" spans="2:23" x14ac:dyDescent="0.25">
      <c r="B3392" s="169" t="s">
        <v>95</v>
      </c>
      <c r="C3392" s="169" t="s">
        <v>57</v>
      </c>
      <c r="D3392" s="169" t="s">
        <v>146</v>
      </c>
      <c r="E3392" s="169" t="s">
        <v>61</v>
      </c>
      <c r="F3392" s="245" t="str">
        <f t="shared" si="209"/>
        <v>Dhoz 71</v>
      </c>
      <c r="G3392" s="169" t="s">
        <v>577</v>
      </c>
      <c r="H3392" s="169" t="s">
        <v>604</v>
      </c>
      <c r="I3392" s="169" t="str">
        <f t="shared" si="210"/>
        <v>L08_JVSPLIT_030E_DW</v>
      </c>
      <c r="J3392" s="169" t="s">
        <v>13477</v>
      </c>
      <c r="K3392" s="169">
        <f>IFERROR(MATCH(J3392,'Final List'!$B$4:$B$252,0),0)</f>
        <v>0</v>
      </c>
      <c r="L3392" s="169">
        <f>IFERROR(MATCH(J3392,'Final List'!$D$4:$D$252,0),0)</f>
        <v>0</v>
      </c>
      <c r="M3392" s="169">
        <f>IFERROR(MATCH(J3392,'Final List'!$F$4:$F$251,0),0)</f>
        <v>0</v>
      </c>
      <c r="N3392" s="169">
        <f>IFERROR(MATCH(J3392,'Final List'!$H$4:$H$252,0),0)</f>
        <v>0</v>
      </c>
      <c r="O3392" s="169">
        <f>IFERROR(MATCH(J3392,'Final List'!$J$4:$J$252,0),0)</f>
        <v>0</v>
      </c>
      <c r="P3392" s="169">
        <f>IFERROR(MATCH(J3392,'Final List'!$L$4:$L$252,0),0)</f>
        <v>0</v>
      </c>
      <c r="Q3392" s="169">
        <f>IFERROR(MATCH(J3392,'Final List'!$N$4:$N$252,0),0)</f>
        <v>0</v>
      </c>
      <c r="R3392" s="169">
        <f>IFERROR(MATCH(J3392,'Final List'!$P$4:$P$252,0),0)</f>
        <v>0</v>
      </c>
      <c r="S3392" s="169">
        <f t="shared" si="211"/>
        <v>0</v>
      </c>
      <c r="V3392" s="169" t="str">
        <f t="shared" si="212"/>
        <v>CARIKITAN 3</v>
      </c>
      <c r="W3392" s="169" t="s">
        <v>8895</v>
      </c>
    </row>
    <row r="3393" spans="2:23" x14ac:dyDescent="0.25">
      <c r="B3393" s="169" t="s">
        <v>1167</v>
      </c>
      <c r="C3393" s="169" t="s">
        <v>45</v>
      </c>
      <c r="D3393" s="169" t="s">
        <v>147</v>
      </c>
      <c r="E3393" s="169" t="s">
        <v>61</v>
      </c>
      <c r="F3393" s="245" t="str">
        <f t="shared" si="209"/>
        <v>Dhoz 71</v>
      </c>
      <c r="G3393" s="169" t="s">
        <v>14223</v>
      </c>
      <c r="I3393" s="169" t="str">
        <f t="shared" si="210"/>
        <v>L12_DPVE_024E_DW</v>
      </c>
      <c r="J3393" s="169" t="s">
        <v>13485</v>
      </c>
      <c r="K3393" s="169">
        <f>IFERROR(MATCH(J3393,'Final List'!$B$4:$B$252,0),0)</f>
        <v>0</v>
      </c>
      <c r="L3393" s="169">
        <f>IFERROR(MATCH(J3393,'Final List'!$D$4:$D$252,0),0)</f>
        <v>0</v>
      </c>
      <c r="M3393" s="169">
        <f>IFERROR(MATCH(J3393,'Final List'!$F$4:$F$251,0),0)</f>
        <v>0</v>
      </c>
      <c r="N3393" s="169">
        <f>IFERROR(MATCH(J3393,'Final List'!$H$4:$H$252,0),0)</f>
        <v>0</v>
      </c>
      <c r="O3393" s="169">
        <f>IFERROR(MATCH(J3393,'Final List'!$J$4:$J$252,0),0)</f>
        <v>0</v>
      </c>
      <c r="P3393" s="169">
        <f>IFERROR(MATCH(J3393,'Final List'!$L$4:$L$252,0),0)</f>
        <v>0</v>
      </c>
      <c r="Q3393" s="169">
        <f>IFERROR(MATCH(J3393,'Final List'!$N$4:$N$252,0),0)</f>
        <v>0</v>
      </c>
      <c r="R3393" s="169">
        <f>IFERROR(MATCH(J3393,'Final List'!$P$4:$P$252,0),0)</f>
        <v>0</v>
      </c>
      <c r="S3393" s="169">
        <f t="shared" si="211"/>
        <v>0</v>
      </c>
      <c r="V3393" s="169" t="str">
        <f t="shared" si="212"/>
        <v>DUHIG P,</v>
      </c>
      <c r="W3393" s="169" t="s">
        <v>8896</v>
      </c>
    </row>
    <row r="3394" spans="2:23" x14ac:dyDescent="0.25">
      <c r="B3394" s="169" t="s">
        <v>1167</v>
      </c>
      <c r="C3394" s="169" t="s">
        <v>39</v>
      </c>
      <c r="D3394" s="169" t="s">
        <v>1230</v>
      </c>
      <c r="E3394" s="169" t="s">
        <v>60</v>
      </c>
      <c r="F3394" s="245" t="str">
        <f t="shared" si="209"/>
        <v>Dhoz 71</v>
      </c>
      <c r="G3394" s="169" t="s">
        <v>12786</v>
      </c>
      <c r="I3394" s="169" t="str">
        <f t="shared" si="210"/>
        <v>L12_JVHW_075E_DE</v>
      </c>
      <c r="J3394" s="169" t="s">
        <v>13487</v>
      </c>
      <c r="K3394" s="169">
        <f>IFERROR(MATCH(J3394,'Final List'!$B$4:$B$252,0),0)</f>
        <v>0</v>
      </c>
      <c r="L3394" s="169">
        <f>IFERROR(MATCH(J3394,'Final List'!$D$4:$D$252,0),0)</f>
        <v>0</v>
      </c>
      <c r="M3394" s="169">
        <f>IFERROR(MATCH(J3394,'Final List'!$F$4:$F$251,0),0)</f>
        <v>0</v>
      </c>
      <c r="N3394" s="169">
        <f>IFERROR(MATCH(J3394,'Final List'!$H$4:$H$252,0),0)</f>
        <v>0</v>
      </c>
      <c r="O3394" s="169">
        <f>IFERROR(MATCH(J3394,'Final List'!$J$4:$J$252,0),0)</f>
        <v>0</v>
      </c>
      <c r="P3394" s="169">
        <f>IFERROR(MATCH(J3394,'Final List'!$L$4:$L$252,0),0)</f>
        <v>0</v>
      </c>
      <c r="Q3394" s="169">
        <f>IFERROR(MATCH(J3394,'Final List'!$N$4:$N$252,0),0)</f>
        <v>0</v>
      </c>
      <c r="R3394" s="169">
        <f>IFERROR(MATCH(J3394,'Final List'!$P$4:$P$252,0),0)</f>
        <v>0</v>
      </c>
      <c r="S3394" s="169">
        <f t="shared" si="211"/>
        <v>0</v>
      </c>
      <c r="V3394" s="169" t="str">
        <f t="shared" si="212"/>
        <v>NITRO BC 3</v>
      </c>
      <c r="W3394" s="169" t="s">
        <v>8896</v>
      </c>
    </row>
    <row r="3395" spans="2:23" x14ac:dyDescent="0.25">
      <c r="B3395" s="169" t="s">
        <v>1167</v>
      </c>
      <c r="C3395" s="169" t="s">
        <v>45</v>
      </c>
      <c r="D3395" s="169" t="s">
        <v>5614</v>
      </c>
      <c r="E3395" s="169" t="s">
        <v>61</v>
      </c>
      <c r="F3395" s="245" t="str">
        <f t="shared" ref="F3395:F3458" si="213">IF(OR(E3395="XCN",E3395="DE",E3395="DW",E3395="DN",E3395="XCS",E3395="XCE",E3395="XCW",E3395="SUMP",E3395="BYPASS",E3395="CHAMBER",E3395="DRAIN HOLE",E3395="DRILLING CHAMBER",E3395="DE_ISL",E3395="DW_ISL",E3395="REHAB"),"Dhoz 71",IF(OR(E3395="RAISE",E3395="RAISE_ISL"),"DVR 72",IF(E3395="ALIMAK","DVA 73",IF(E3395="WINZE","DVW 74",IF(E3395="SHAFT","DVS 75",IF(AND(E3395="WINZE STOPE",T3395="S"),"RobC 80",IF(AND(E3395="STOPE",T3395="S"),"StpS 77",IF(AND(E3395="WINZE STOPE",T3395="L"),"RobC 80",IF(AND(E3395="STOPE",T3395="L"),"StpL 78",IF(AND(E3395="WINZE STOPE PREP",T3395="S"),"RobC 80",IF(AND(E3395="STOPE PREP",T3395="S"),"StpS 77",IF(AND(E3395="WINZE STOPE PREP",T3395="L"),"RobC 80",IF(AND(E3395="STOPE PREP",T3395="L"),"StpL 78",IF(AND(E3395="ROBBING",T3395="L"),"RobC 80",IF(AND(E3395="ROBBING",T3395="S"),"RobS 79",0)))))))))))))))</f>
        <v>Dhoz 71</v>
      </c>
      <c r="G3395" s="169" t="s">
        <v>12568</v>
      </c>
      <c r="H3395" s="169" t="s">
        <v>6929</v>
      </c>
      <c r="I3395" s="169" t="str">
        <f t="shared" si="210"/>
        <v>L12_DPVE_055E_DW</v>
      </c>
      <c r="J3395" s="169" t="s">
        <v>13509</v>
      </c>
      <c r="K3395" s="169">
        <f>IFERROR(MATCH(J3395,'Final List'!$B$4:$B$252,0),0)</f>
        <v>0</v>
      </c>
      <c r="L3395" s="169">
        <f>IFERROR(MATCH(J3395,'Final List'!$D$4:$D$252,0),0)</f>
        <v>0</v>
      </c>
      <c r="M3395" s="169">
        <f>IFERROR(MATCH(J3395,'Final List'!$F$4:$F$251,0),0)</f>
        <v>0</v>
      </c>
      <c r="N3395" s="169">
        <f>IFERROR(MATCH(J3395,'Final List'!$H$4:$H$252,0),0)</f>
        <v>0</v>
      </c>
      <c r="O3395" s="169">
        <f>IFERROR(MATCH(J3395,'Final List'!$J$4:$J$252,0),0)</f>
        <v>0</v>
      </c>
      <c r="P3395" s="169">
        <f>IFERROR(MATCH(J3395,'Final List'!$L$4:$L$252,0),0)</f>
        <v>0</v>
      </c>
      <c r="Q3395" s="169">
        <f>IFERROR(MATCH(J3395,'Final List'!$N$4:$N$252,0),0)</f>
        <v>0</v>
      </c>
      <c r="R3395" s="169">
        <f>IFERROR(MATCH(J3395,'Final List'!$P$4:$P$252,0),0)</f>
        <v>0</v>
      </c>
      <c r="S3395" s="169">
        <f t="shared" si="211"/>
        <v>0</v>
      </c>
      <c r="V3395" s="169" t="str">
        <f t="shared" si="212"/>
        <v>DUHIG, P4</v>
      </c>
      <c r="W3395" s="169" t="s">
        <v>8896</v>
      </c>
    </row>
    <row r="3396" spans="2:23" x14ac:dyDescent="0.25">
      <c r="B3396" s="169" t="s">
        <v>1166</v>
      </c>
      <c r="C3396" s="169" t="s">
        <v>56</v>
      </c>
      <c r="D3396" s="169" t="s">
        <v>145</v>
      </c>
      <c r="E3396" s="169" t="s">
        <v>61</v>
      </c>
      <c r="F3396" s="245" t="str">
        <f t="shared" si="213"/>
        <v>Dhoz 71</v>
      </c>
      <c r="G3396" s="169" t="s">
        <v>13408</v>
      </c>
      <c r="I3396" s="169" t="str">
        <f t="shared" si="210"/>
        <v>L11_GHVFW_009E_DW</v>
      </c>
      <c r="J3396" s="169" t="s">
        <v>13495</v>
      </c>
      <c r="K3396" s="169">
        <f>IFERROR(MATCH(J3396,'Final List'!$B$4:$B$252,0),0)</f>
        <v>0</v>
      </c>
      <c r="L3396" s="169">
        <f>IFERROR(MATCH(J3396,'Final List'!$D$4:$D$252,0),0)</f>
        <v>0</v>
      </c>
      <c r="M3396" s="169">
        <f>IFERROR(MATCH(J3396,'Final List'!$F$4:$F$251,0),0)</f>
        <v>0</v>
      </c>
      <c r="N3396" s="169">
        <f>IFERROR(MATCH(J3396,'Final List'!$H$4:$H$252,0),0)</f>
        <v>0</v>
      </c>
      <c r="O3396" s="169">
        <f>IFERROR(MATCH(J3396,'Final List'!$J$4:$J$252,0),0)</f>
        <v>0</v>
      </c>
      <c r="P3396" s="169">
        <f>IFERROR(MATCH(J3396,'Final List'!$L$4:$L$252,0),0)</f>
        <v>0</v>
      </c>
      <c r="Q3396" s="169">
        <f>IFERROR(MATCH(J3396,'Final List'!$N$4:$N$252,0),0)</f>
        <v>0</v>
      </c>
      <c r="R3396" s="169">
        <f>IFERROR(MATCH(J3396,'Final List'!$P$4:$P$252,0),0)</f>
        <v>0</v>
      </c>
      <c r="S3396" s="169">
        <f t="shared" si="211"/>
        <v>0</v>
      </c>
      <c r="V3396" s="169" t="str">
        <f t="shared" si="212"/>
        <v>BADBADON 5</v>
      </c>
      <c r="W3396" s="169" t="s">
        <v>8896</v>
      </c>
    </row>
    <row r="3397" spans="2:23" x14ac:dyDescent="0.25">
      <c r="B3397" s="169" t="s">
        <v>1166</v>
      </c>
      <c r="C3397" s="169" t="s">
        <v>595</v>
      </c>
      <c r="D3397" s="169" t="s">
        <v>13497</v>
      </c>
      <c r="E3397" s="169" t="s">
        <v>8605</v>
      </c>
      <c r="F3397" s="245" t="str">
        <f t="shared" si="213"/>
        <v>Dhoz 71</v>
      </c>
      <c r="G3397" s="169" t="s">
        <v>13403</v>
      </c>
      <c r="I3397" s="169" t="str">
        <f t="shared" si="210"/>
        <v>L11_072E_ML_REHAB</v>
      </c>
      <c r="J3397" s="169" t="s">
        <v>13498</v>
      </c>
      <c r="K3397" s="169">
        <f>IFERROR(MATCH(J3397,'Final List'!$B$4:$B$252,0),0)</f>
        <v>0</v>
      </c>
      <c r="L3397" s="169">
        <f>IFERROR(MATCH(J3397,'Final List'!$D$4:$D$252,0),0)</f>
        <v>0</v>
      </c>
      <c r="M3397" s="169">
        <f>IFERROR(MATCH(J3397,'Final List'!$F$4:$F$251,0),0)</f>
        <v>0</v>
      </c>
      <c r="N3397" s="169">
        <f>IFERROR(MATCH(J3397,'Final List'!$H$4:$H$252,0),0)</f>
        <v>0</v>
      </c>
      <c r="O3397" s="169">
        <f>IFERROR(MATCH(J3397,'Final List'!$J$4:$J$252,0),0)</f>
        <v>0</v>
      </c>
      <c r="P3397" s="169">
        <f>IFERROR(MATCH(J3397,'Final List'!$L$4:$L$252,0),0)</f>
        <v>0</v>
      </c>
      <c r="Q3397" s="169">
        <f>IFERROR(MATCH(J3397,'Final List'!$N$4:$N$252,0),0)</f>
        <v>0</v>
      </c>
      <c r="R3397" s="169">
        <f>IFERROR(MATCH(J3397,'Final List'!$P$4:$P$252,0),0)</f>
        <v>0</v>
      </c>
      <c r="S3397" s="169">
        <f t="shared" si="211"/>
        <v>0</v>
      </c>
      <c r="V3397" s="169" t="str">
        <f t="shared" si="212"/>
        <v>ALEÑAR</v>
      </c>
      <c r="W3397" s="169" t="s">
        <v>2714</v>
      </c>
    </row>
    <row r="3398" spans="2:23" x14ac:dyDescent="0.25">
      <c r="B3398" s="169" t="s">
        <v>12320</v>
      </c>
      <c r="C3398" s="169" t="s">
        <v>59</v>
      </c>
      <c r="D3398" s="169" t="s">
        <v>5742</v>
      </c>
      <c r="E3398" s="169" t="s">
        <v>61</v>
      </c>
      <c r="F3398" s="245" t="str">
        <f t="shared" si="213"/>
        <v>Dhoz 71</v>
      </c>
      <c r="G3398" s="169" t="s">
        <v>5101</v>
      </c>
      <c r="H3398" s="169" t="s">
        <v>15149</v>
      </c>
      <c r="I3398" s="169" t="str">
        <f t="shared" si="210"/>
        <v>L425_GHVHW_040E_DW</v>
      </c>
      <c r="J3398" s="169" t="s">
        <v>13502</v>
      </c>
      <c r="K3398" s="169">
        <f>IFERROR(MATCH(J3398,'Final List'!$B$4:$B$252,0),0)</f>
        <v>0</v>
      </c>
      <c r="L3398" s="169">
        <f>IFERROR(MATCH(J3398,'Final List'!$D$4:$D$252,0),0)</f>
        <v>0</v>
      </c>
      <c r="M3398" s="169">
        <f>IFERROR(MATCH(J3398,'Final List'!$F$4:$F$251,0),0)</f>
        <v>0</v>
      </c>
      <c r="N3398" s="169">
        <f>IFERROR(MATCH(J3398,'Final List'!$H$4:$H$252,0),0)</f>
        <v>0</v>
      </c>
      <c r="O3398" s="169">
        <f>IFERROR(MATCH(J3398,'Final List'!$J$4:$J$252,0),0)</f>
        <v>0</v>
      </c>
      <c r="P3398" s="169">
        <f>IFERROR(MATCH(J3398,'Final List'!$L$4:$L$252,0),0)</f>
        <v>0</v>
      </c>
      <c r="Q3398" s="169">
        <f>IFERROR(MATCH(J3398,'Final List'!$N$4:$N$252,0),0)</f>
        <v>0</v>
      </c>
      <c r="R3398" s="169">
        <f>IFERROR(MATCH(J3398,'Final List'!$P$4:$P$252,0),0)</f>
        <v>0</v>
      </c>
      <c r="S3398" s="169">
        <f t="shared" si="211"/>
        <v>0</v>
      </c>
      <c r="V3398" s="169" t="str">
        <f t="shared" si="212"/>
        <v>NITRO BV</v>
      </c>
      <c r="W3398" s="169" t="s">
        <v>8896</v>
      </c>
    </row>
    <row r="3399" spans="2:23" x14ac:dyDescent="0.25">
      <c r="B3399" s="169" t="s">
        <v>1167</v>
      </c>
      <c r="C3399" s="169" t="s">
        <v>39</v>
      </c>
      <c r="D3399" s="169" t="s">
        <v>176</v>
      </c>
      <c r="E3399" s="169" t="s">
        <v>61</v>
      </c>
      <c r="F3399" s="245" t="str">
        <f t="shared" si="213"/>
        <v>Dhoz 71</v>
      </c>
      <c r="G3399" s="169" t="s">
        <v>12568</v>
      </c>
      <c r="I3399" s="169" t="str">
        <f t="shared" si="210"/>
        <v>L12_JVHW_057E_DW</v>
      </c>
      <c r="J3399" s="169" t="s">
        <v>13504</v>
      </c>
      <c r="K3399" s="169">
        <f>IFERROR(MATCH(J3399,'Final List'!$B$4:$B$252,0),0)</f>
        <v>0</v>
      </c>
      <c r="L3399" s="169">
        <f>IFERROR(MATCH(J3399,'Final List'!$D$4:$D$252,0),0)</f>
        <v>0</v>
      </c>
      <c r="M3399" s="169">
        <f>IFERROR(MATCH(J3399,'Final List'!$F$4:$F$251,0),0)</f>
        <v>0</v>
      </c>
      <c r="N3399" s="169">
        <f>IFERROR(MATCH(J3399,'Final List'!$H$4:$H$252,0),0)</f>
        <v>0</v>
      </c>
      <c r="O3399" s="169">
        <f>IFERROR(MATCH(J3399,'Final List'!$J$4:$J$252,0),0)</f>
        <v>0</v>
      </c>
      <c r="P3399" s="169">
        <f>IFERROR(MATCH(J3399,'Final List'!$L$4:$L$252,0),0)</f>
        <v>0</v>
      </c>
      <c r="Q3399" s="169">
        <f>IFERROR(MATCH(J3399,'Final List'!$N$4:$N$252,0),0)</f>
        <v>0</v>
      </c>
      <c r="R3399" s="169">
        <f>IFERROR(MATCH(J3399,'Final List'!$P$4:$P$252,0),0)</f>
        <v>0</v>
      </c>
      <c r="S3399" s="169">
        <f t="shared" si="211"/>
        <v>0</v>
      </c>
      <c r="V3399" s="169" t="str">
        <f t="shared" si="212"/>
        <v>NITRO BP</v>
      </c>
      <c r="W3399" s="169" t="s">
        <v>8896</v>
      </c>
    </row>
    <row r="3400" spans="2:23" x14ac:dyDescent="0.25">
      <c r="B3400" s="169" t="s">
        <v>1167</v>
      </c>
      <c r="C3400" s="169" t="s">
        <v>55</v>
      </c>
      <c r="D3400" s="169" t="s">
        <v>180</v>
      </c>
      <c r="E3400" s="169" t="s">
        <v>19</v>
      </c>
      <c r="F3400" s="245" t="str">
        <f t="shared" si="213"/>
        <v>DVR 72</v>
      </c>
      <c r="G3400" s="169" t="s">
        <v>12568</v>
      </c>
      <c r="I3400" s="169" t="str">
        <f t="shared" si="210"/>
        <v>L12_JVFW_041E_RAISE</v>
      </c>
      <c r="J3400" s="169" t="s">
        <v>13506</v>
      </c>
      <c r="K3400" s="169">
        <f>IFERROR(MATCH(J3400,'Final List'!$B$4:$B$252,0),0)</f>
        <v>0</v>
      </c>
      <c r="L3400" s="169">
        <f>IFERROR(MATCH(J3400,'Final List'!$D$4:$D$252,0),0)</f>
        <v>0</v>
      </c>
      <c r="M3400" s="169">
        <f>IFERROR(MATCH(J3400,'Final List'!$F$4:$F$251,0),0)</f>
        <v>0</v>
      </c>
      <c r="N3400" s="169">
        <f>IFERROR(MATCH(J3400,'Final List'!$H$4:$H$252,0),0)</f>
        <v>0</v>
      </c>
      <c r="O3400" s="169">
        <f>IFERROR(MATCH(J3400,'Final List'!$J$4:$J$252,0),0)</f>
        <v>0</v>
      </c>
      <c r="P3400" s="169">
        <f>IFERROR(MATCH(J3400,'Final List'!$L$4:$L$252,0),0)</f>
        <v>0</v>
      </c>
      <c r="Q3400" s="169">
        <f>IFERROR(MATCH(J3400,'Final List'!$N$4:$N$252,0),0)</f>
        <v>0</v>
      </c>
      <c r="R3400" s="169">
        <f>IFERROR(MATCH(J3400,'Final List'!$P$4:$P$252,0),0)</f>
        <v>0</v>
      </c>
      <c r="S3400" s="169">
        <f t="shared" si="211"/>
        <v>0</v>
      </c>
      <c r="V3400" s="169" t="str">
        <f t="shared" si="212"/>
        <v>NITRO BP</v>
      </c>
      <c r="W3400" s="169" t="s">
        <v>2715</v>
      </c>
    </row>
    <row r="3401" spans="2:23" x14ac:dyDescent="0.25">
      <c r="B3401" s="169" t="s">
        <v>1167</v>
      </c>
      <c r="C3401" s="169" t="s">
        <v>56</v>
      </c>
      <c r="D3401" s="169" t="s">
        <v>5741</v>
      </c>
      <c r="E3401" s="169" t="s">
        <v>61</v>
      </c>
      <c r="F3401" s="245" t="str">
        <f t="shared" si="213"/>
        <v>Dhoz 71</v>
      </c>
      <c r="G3401" s="169" t="s">
        <v>6930</v>
      </c>
      <c r="I3401" s="169" t="str">
        <f t="shared" si="210"/>
        <v>L12_GHVFW_035E_DW</v>
      </c>
      <c r="J3401" s="169" t="s">
        <v>13508</v>
      </c>
      <c r="K3401" s="169">
        <f>IFERROR(MATCH(J3401,'Final List'!$B$4:$B$252,0),0)</f>
        <v>0</v>
      </c>
      <c r="L3401" s="169">
        <f>IFERROR(MATCH(J3401,'Final List'!$D$4:$D$252,0),0)</f>
        <v>0</v>
      </c>
      <c r="M3401" s="169">
        <f>IFERROR(MATCH(J3401,'Final List'!$F$4:$F$251,0),0)</f>
        <v>0</v>
      </c>
      <c r="N3401" s="169">
        <f>IFERROR(MATCH(J3401,'Final List'!$H$4:$H$252,0),0)</f>
        <v>0</v>
      </c>
      <c r="O3401" s="169">
        <f>IFERROR(MATCH(J3401,'Final List'!$J$4:$J$252,0),0)</f>
        <v>0</v>
      </c>
      <c r="P3401" s="169">
        <f>IFERROR(MATCH(J3401,'Final List'!$L$4:$L$252,0),0)</f>
        <v>0</v>
      </c>
      <c r="Q3401" s="169">
        <f>IFERROR(MATCH(J3401,'Final List'!$N$4:$N$252,0),0)</f>
        <v>0</v>
      </c>
      <c r="R3401" s="169">
        <f>IFERROR(MATCH(J3401,'Final List'!$P$4:$P$252,0),0)</f>
        <v>0</v>
      </c>
      <c r="S3401" s="169">
        <f t="shared" si="211"/>
        <v>0</v>
      </c>
      <c r="V3401" s="169" t="str">
        <f t="shared" si="212"/>
        <v>DUHIG, P1</v>
      </c>
      <c r="W3401" s="169" t="s">
        <v>8896</v>
      </c>
    </row>
    <row r="3402" spans="2:23" x14ac:dyDescent="0.25">
      <c r="B3402" s="169" t="s">
        <v>1166</v>
      </c>
      <c r="C3402" s="169" t="s">
        <v>87</v>
      </c>
      <c r="D3402" s="169" t="s">
        <v>103</v>
      </c>
      <c r="E3402" s="169" t="s">
        <v>63</v>
      </c>
      <c r="F3402" s="245" t="str">
        <f t="shared" si="213"/>
        <v>Dhoz 71</v>
      </c>
      <c r="G3402" s="169" t="s">
        <v>6954</v>
      </c>
      <c r="I3402" s="169" t="str">
        <f t="shared" si="210"/>
        <v>L11_NONE_005E_XCS</v>
      </c>
      <c r="J3402" s="169" t="s">
        <v>13511</v>
      </c>
      <c r="K3402" s="169">
        <f>IFERROR(MATCH(J3402,'Final List'!$B$4:$B$252,0),0)</f>
        <v>0</v>
      </c>
      <c r="L3402" s="169">
        <f>IFERROR(MATCH(J3402,'Final List'!$D$4:$D$252,0),0)</f>
        <v>0</v>
      </c>
      <c r="M3402" s="169">
        <f>IFERROR(MATCH(J3402,'Final List'!$F$4:$F$251,0),0)</f>
        <v>0</v>
      </c>
      <c r="N3402" s="169">
        <f>IFERROR(MATCH(J3402,'Final List'!$H$4:$H$252,0),0)</f>
        <v>0</v>
      </c>
      <c r="O3402" s="169">
        <f>IFERROR(MATCH(J3402,'Final List'!$J$4:$J$252,0),0)</f>
        <v>0</v>
      </c>
      <c r="P3402" s="169">
        <f>IFERROR(MATCH(J3402,'Final List'!$L$4:$L$252,0),0)</f>
        <v>0</v>
      </c>
      <c r="Q3402" s="169">
        <f>IFERROR(MATCH(J3402,'Final List'!$N$4:$N$252,0),0)</f>
        <v>0</v>
      </c>
      <c r="R3402" s="169">
        <f>IFERROR(MATCH(J3402,'Final List'!$P$4:$P$252,0),0)</f>
        <v>0</v>
      </c>
      <c r="S3402" s="169">
        <f t="shared" si="211"/>
        <v>0</v>
      </c>
      <c r="V3402" s="169" t="str">
        <f t="shared" si="212"/>
        <v>BADBADON</v>
      </c>
      <c r="W3402" s="169" t="s">
        <v>8898</v>
      </c>
    </row>
    <row r="3403" spans="2:23" x14ac:dyDescent="0.25">
      <c r="B3403" s="169" t="s">
        <v>1166</v>
      </c>
      <c r="C3403" s="169" t="s">
        <v>45</v>
      </c>
      <c r="D3403" s="169" t="s">
        <v>148</v>
      </c>
      <c r="E3403" s="169" t="s">
        <v>19</v>
      </c>
      <c r="F3403" s="245" t="str">
        <f t="shared" si="213"/>
        <v>DVR 72</v>
      </c>
      <c r="G3403" s="169" t="s">
        <v>1369</v>
      </c>
      <c r="I3403" s="169" t="str">
        <f t="shared" si="210"/>
        <v>L11_DPVE_039E_RAISE</v>
      </c>
      <c r="J3403" s="169" t="s">
        <v>13512</v>
      </c>
      <c r="K3403" s="169">
        <f>IFERROR(MATCH(J3403,'Final List'!$B$4:$B$252,0),0)</f>
        <v>0</v>
      </c>
      <c r="L3403" s="169">
        <f>IFERROR(MATCH(J3403,'Final List'!$D$4:$D$252,0),0)</f>
        <v>0</v>
      </c>
      <c r="M3403" s="169">
        <f>IFERROR(MATCH(J3403,'Final List'!$F$4:$F$251,0),0)</f>
        <v>0</v>
      </c>
      <c r="N3403" s="169">
        <f>IFERROR(MATCH(J3403,'Final List'!$H$4:$H$252,0),0)</f>
        <v>0</v>
      </c>
      <c r="O3403" s="169">
        <f>IFERROR(MATCH(J3403,'Final List'!$J$4:$J$252,0),0)</f>
        <v>0</v>
      </c>
      <c r="P3403" s="169">
        <f>IFERROR(MATCH(J3403,'Final List'!$L$4:$L$252,0),0)</f>
        <v>0</v>
      </c>
      <c r="Q3403" s="169">
        <f>IFERROR(MATCH(J3403,'Final List'!$N$4:$N$252,0),0)</f>
        <v>0</v>
      </c>
      <c r="R3403" s="169">
        <f>IFERROR(MATCH(J3403,'Final List'!$P$4:$P$252,0),0)</f>
        <v>0</v>
      </c>
      <c r="S3403" s="169">
        <f t="shared" si="211"/>
        <v>0</v>
      </c>
      <c r="V3403" s="169" t="str">
        <f t="shared" si="212"/>
        <v>TORMIS</v>
      </c>
      <c r="W3403" s="169" t="s">
        <v>2715</v>
      </c>
    </row>
    <row r="3404" spans="2:23" x14ac:dyDescent="0.25">
      <c r="B3404" s="169" t="s">
        <v>12320</v>
      </c>
      <c r="C3404" s="169" t="s">
        <v>87</v>
      </c>
      <c r="D3404" s="169" t="s">
        <v>201</v>
      </c>
      <c r="E3404" s="169" t="s">
        <v>72</v>
      </c>
      <c r="F3404" s="245" t="str">
        <f t="shared" si="213"/>
        <v>Dhoz 71</v>
      </c>
      <c r="G3404" s="169" t="s">
        <v>363</v>
      </c>
      <c r="I3404" s="169" t="str">
        <f t="shared" si="210"/>
        <v>L425_NONE_067E_CHAMBER</v>
      </c>
      <c r="J3404" s="169" t="s">
        <v>13513</v>
      </c>
      <c r="K3404" s="169">
        <f>IFERROR(MATCH(J3404,'Final List'!$B$4:$B$252,0),0)</f>
        <v>0</v>
      </c>
      <c r="L3404" s="169">
        <f>IFERROR(MATCH(J3404,'Final List'!$D$4:$D$252,0),0)</f>
        <v>0</v>
      </c>
      <c r="M3404" s="169">
        <f>IFERROR(MATCH(J3404,'Final List'!$F$4:$F$251,0),0)</f>
        <v>0</v>
      </c>
      <c r="N3404" s="169">
        <f>IFERROR(MATCH(J3404,'Final List'!$H$4:$H$252,0),0)</f>
        <v>0</v>
      </c>
      <c r="O3404" s="169">
        <f>IFERROR(MATCH(J3404,'Final List'!$J$4:$J$252,0),0)</f>
        <v>0</v>
      </c>
      <c r="P3404" s="169">
        <f>IFERROR(MATCH(J3404,'Final List'!$L$4:$L$252,0),0)</f>
        <v>0</v>
      </c>
      <c r="Q3404" s="169">
        <f>IFERROR(MATCH(J3404,'Final List'!$N$4:$N$252,0),0)</f>
        <v>0</v>
      </c>
      <c r="R3404" s="169">
        <f>IFERROR(MATCH(J3404,'Final List'!$P$4:$P$252,0),0)</f>
        <v>0</v>
      </c>
      <c r="S3404" s="169">
        <f t="shared" si="211"/>
        <v>0</v>
      </c>
      <c r="V3404" s="169" t="str">
        <f t="shared" si="212"/>
        <v>BABOR 2</v>
      </c>
      <c r="W3404" s="169" t="s">
        <v>2714</v>
      </c>
    </row>
    <row r="3405" spans="2:23" x14ac:dyDescent="0.25">
      <c r="B3405" s="169" t="s">
        <v>12320</v>
      </c>
      <c r="C3405" s="169" t="s">
        <v>42</v>
      </c>
      <c r="D3405" s="169" t="s">
        <v>144</v>
      </c>
      <c r="E3405" s="169" t="s">
        <v>60</v>
      </c>
      <c r="F3405" s="245" t="str">
        <f t="shared" si="213"/>
        <v>Dhoz 71</v>
      </c>
      <c r="G3405" s="169" t="s">
        <v>1510</v>
      </c>
      <c r="I3405" s="169" t="str">
        <f t="shared" si="210"/>
        <v>L425_JV_043E_DE</v>
      </c>
      <c r="J3405" s="169" t="s">
        <v>13515</v>
      </c>
      <c r="K3405" s="169">
        <f>IFERROR(MATCH(J3405,'Final List'!$B$4:$B$252,0),0)</f>
        <v>0</v>
      </c>
      <c r="L3405" s="169">
        <f>IFERROR(MATCH(J3405,'Final List'!$D$4:$D$252,0),0)</f>
        <v>0</v>
      </c>
      <c r="M3405" s="169">
        <f>IFERROR(MATCH(J3405,'Final List'!$F$4:$F$251,0),0)</f>
        <v>0</v>
      </c>
      <c r="N3405" s="169">
        <f>IFERROR(MATCH(J3405,'Final List'!$H$4:$H$252,0),0)</f>
        <v>0</v>
      </c>
      <c r="O3405" s="169">
        <f>IFERROR(MATCH(J3405,'Final List'!$J$4:$J$252,0),0)</f>
        <v>0</v>
      </c>
      <c r="P3405" s="169">
        <f>IFERROR(MATCH(J3405,'Final List'!$L$4:$L$252,0),0)</f>
        <v>0</v>
      </c>
      <c r="Q3405" s="169">
        <f>IFERROR(MATCH(J3405,'Final List'!$N$4:$N$252,0),0)</f>
        <v>0</v>
      </c>
      <c r="R3405" s="169">
        <f>IFERROR(MATCH(J3405,'Final List'!$P$4:$P$252,0),0)</f>
        <v>0</v>
      </c>
      <c r="S3405" s="169">
        <f t="shared" si="211"/>
        <v>0</v>
      </c>
      <c r="V3405" s="169" t="str">
        <f t="shared" si="212"/>
        <v>DELOS REYES</v>
      </c>
      <c r="W3405" s="169" t="s">
        <v>8896</v>
      </c>
    </row>
    <row r="3406" spans="2:23" x14ac:dyDescent="0.25">
      <c r="B3406" s="169" t="s">
        <v>96</v>
      </c>
      <c r="C3406" s="169" t="s">
        <v>43</v>
      </c>
      <c r="D3406" s="169" t="s">
        <v>6941</v>
      </c>
      <c r="E3406" s="169" t="s">
        <v>61</v>
      </c>
      <c r="F3406" s="245" t="str">
        <f t="shared" si="213"/>
        <v>Dhoz 71</v>
      </c>
      <c r="G3406" s="169" t="s">
        <v>1661</v>
      </c>
      <c r="I3406" s="169" t="str">
        <f t="shared" si="210"/>
        <v>L09_GHVSPLIT_031W_DW</v>
      </c>
      <c r="J3406" s="169" t="s">
        <v>13520</v>
      </c>
      <c r="K3406" s="169">
        <f>IFERROR(MATCH(J3406,'Final List'!$B$4:$B$252,0),0)</f>
        <v>0</v>
      </c>
      <c r="L3406" s="169">
        <f>IFERROR(MATCH(J3406,'Final List'!$D$4:$D$252,0),0)</f>
        <v>0</v>
      </c>
      <c r="M3406" s="169">
        <f>IFERROR(MATCH(J3406,'Final List'!$F$4:$F$251,0),0)</f>
        <v>0</v>
      </c>
      <c r="N3406" s="169">
        <f>IFERROR(MATCH(J3406,'Final List'!$H$4:$H$252,0),0)</f>
        <v>0</v>
      </c>
      <c r="O3406" s="169">
        <f>IFERROR(MATCH(J3406,'Final List'!$J$4:$J$252,0),0)</f>
        <v>0</v>
      </c>
      <c r="P3406" s="169">
        <f>IFERROR(MATCH(J3406,'Final List'!$L$4:$L$252,0),0)</f>
        <v>0</v>
      </c>
      <c r="Q3406" s="169">
        <f>IFERROR(MATCH(J3406,'Final List'!$N$4:$N$252,0),0)</f>
        <v>0</v>
      </c>
      <c r="R3406" s="169">
        <f>IFERROR(MATCH(J3406,'Final List'!$P$4:$P$252,0),0)</f>
        <v>0</v>
      </c>
      <c r="S3406" s="169">
        <f t="shared" si="211"/>
        <v>0</v>
      </c>
      <c r="V3406" s="169" t="str">
        <f t="shared" si="212"/>
        <v>DELOS REYES V2</v>
      </c>
      <c r="W3406" s="169" t="s">
        <v>8896</v>
      </c>
    </row>
    <row r="3407" spans="2:23" x14ac:dyDescent="0.25">
      <c r="B3407" s="169" t="s">
        <v>12320</v>
      </c>
      <c r="C3407" s="169" t="s">
        <v>42</v>
      </c>
      <c r="D3407" s="169" t="s">
        <v>201</v>
      </c>
      <c r="E3407" s="169" t="s">
        <v>60</v>
      </c>
      <c r="F3407" s="245" t="str">
        <f t="shared" si="213"/>
        <v>Dhoz 71</v>
      </c>
      <c r="G3407" s="169" t="s">
        <v>5704</v>
      </c>
      <c r="I3407" s="169" t="str">
        <f t="shared" si="210"/>
        <v>L425_JV_067E_DE</v>
      </c>
      <c r="J3407" s="169" t="s">
        <v>13524</v>
      </c>
      <c r="K3407" s="169">
        <f>IFERROR(MATCH(J3407,'Final List'!$B$4:$B$252,0),0)</f>
        <v>0</v>
      </c>
      <c r="L3407" s="169">
        <f>IFERROR(MATCH(J3407,'Final List'!$D$4:$D$252,0),0)</f>
        <v>0</v>
      </c>
      <c r="M3407" s="169">
        <f>IFERROR(MATCH(J3407,'Final List'!$F$4:$F$251,0),0)</f>
        <v>0</v>
      </c>
      <c r="N3407" s="169">
        <f>IFERROR(MATCH(J3407,'Final List'!$H$4:$H$252,0),0)</f>
        <v>0</v>
      </c>
      <c r="O3407" s="169">
        <f>IFERROR(MATCH(J3407,'Final List'!$J$4:$J$252,0),0)</f>
        <v>0</v>
      </c>
      <c r="P3407" s="169">
        <f>IFERROR(MATCH(J3407,'Final List'!$L$4:$L$252,0),0)</f>
        <v>0</v>
      </c>
      <c r="Q3407" s="169">
        <f>IFERROR(MATCH(J3407,'Final List'!$N$4:$N$252,0),0)</f>
        <v>0</v>
      </c>
      <c r="R3407" s="169">
        <f>IFERROR(MATCH(J3407,'Final List'!$P$4:$P$252,0),0)</f>
        <v>0</v>
      </c>
      <c r="S3407" s="169">
        <f t="shared" si="211"/>
        <v>0</v>
      </c>
      <c r="V3407" s="169" t="str">
        <f t="shared" si="212"/>
        <v>OLIVEROS 3</v>
      </c>
      <c r="W3407" s="169" t="s">
        <v>8896</v>
      </c>
    </row>
    <row r="3408" spans="2:23" x14ac:dyDescent="0.25">
      <c r="B3408" s="169" t="s">
        <v>12320</v>
      </c>
      <c r="C3408" s="169" t="s">
        <v>38</v>
      </c>
      <c r="D3408" s="169" t="s">
        <v>168</v>
      </c>
      <c r="E3408" s="169" t="s">
        <v>19</v>
      </c>
      <c r="F3408" s="245" t="str">
        <f t="shared" si="213"/>
        <v>DVR 72</v>
      </c>
      <c r="G3408" s="169" t="s">
        <v>747</v>
      </c>
      <c r="I3408" s="169" t="str">
        <f t="shared" si="210"/>
        <v>L425_GHV_047E_RAISE</v>
      </c>
      <c r="J3408" s="169" t="s">
        <v>14202</v>
      </c>
      <c r="K3408" s="169">
        <f>IFERROR(MATCH(J3408,'Final List'!$B$4:$B$252,0),0)</f>
        <v>0</v>
      </c>
      <c r="L3408" s="169">
        <f>IFERROR(MATCH(J3408,'Final List'!$D$4:$D$252,0),0)</f>
        <v>0</v>
      </c>
      <c r="M3408" s="169">
        <f>IFERROR(MATCH(J3408,'Final List'!$F$4:$F$251,0),0)</f>
        <v>0</v>
      </c>
      <c r="N3408" s="169">
        <f>IFERROR(MATCH(J3408,'Final List'!$H$4:$H$252,0),0)</f>
        <v>0</v>
      </c>
      <c r="O3408" s="169">
        <f>IFERROR(MATCH(J3408,'Final List'!$J$4:$J$252,0),0)</f>
        <v>0</v>
      </c>
      <c r="P3408" s="169">
        <f>IFERROR(MATCH(J3408,'Final List'!$L$4:$L$252,0),0)</f>
        <v>0</v>
      </c>
      <c r="Q3408" s="169">
        <f>IFERROR(MATCH(J3408,'Final List'!$N$4:$N$252,0),0)</f>
        <v>0</v>
      </c>
      <c r="R3408" s="169">
        <f>IFERROR(MATCH(J3408,'Final List'!$P$4:$P$252,0),0)</f>
        <v>0</v>
      </c>
      <c r="S3408" s="169">
        <f t="shared" si="211"/>
        <v>0</v>
      </c>
      <c r="V3408" s="169" t="str">
        <f t="shared" si="212"/>
        <v>REBOTE</v>
      </c>
      <c r="W3408" s="169" t="s">
        <v>2715</v>
      </c>
    </row>
    <row r="3409" spans="2:23" x14ac:dyDescent="0.25">
      <c r="B3409" s="169" t="s">
        <v>1167</v>
      </c>
      <c r="C3409" s="169" t="s">
        <v>55</v>
      </c>
      <c r="D3409" s="169" t="s">
        <v>130</v>
      </c>
      <c r="E3409" s="169" t="s">
        <v>19</v>
      </c>
      <c r="F3409" s="245" t="str">
        <f t="shared" si="213"/>
        <v>DVR 72</v>
      </c>
      <c r="G3409" s="169" t="s">
        <v>12786</v>
      </c>
      <c r="I3409" s="169" t="str">
        <f t="shared" si="210"/>
        <v>L12_JVFW_036E_RAISE</v>
      </c>
      <c r="J3409" s="169" t="s">
        <v>13526</v>
      </c>
      <c r="K3409" s="169">
        <f>IFERROR(MATCH(J3409,'Final List'!$B$4:$B$252,0),0)</f>
        <v>0</v>
      </c>
      <c r="L3409" s="169">
        <f>IFERROR(MATCH(J3409,'Final List'!$D$4:$D$252,0),0)</f>
        <v>0</v>
      </c>
      <c r="M3409" s="169">
        <f>IFERROR(MATCH(J3409,'Final List'!$F$4:$F$251,0),0)</f>
        <v>0</v>
      </c>
      <c r="N3409" s="169">
        <f>IFERROR(MATCH(J3409,'Final List'!$H$4:$H$252,0),0)</f>
        <v>0</v>
      </c>
      <c r="O3409" s="169">
        <f>IFERROR(MATCH(J3409,'Final List'!$J$4:$J$252,0),0)</f>
        <v>0</v>
      </c>
      <c r="P3409" s="169">
        <f>IFERROR(MATCH(J3409,'Final List'!$L$4:$L$252,0),0)</f>
        <v>0</v>
      </c>
      <c r="Q3409" s="169">
        <f>IFERROR(MATCH(J3409,'Final List'!$N$4:$N$252,0),0)</f>
        <v>0</v>
      </c>
      <c r="R3409" s="169">
        <f>IFERROR(MATCH(J3409,'Final List'!$P$4:$P$252,0),0)</f>
        <v>0</v>
      </c>
      <c r="S3409" s="169">
        <f t="shared" si="211"/>
        <v>0</v>
      </c>
      <c r="V3409" s="169" t="str">
        <f t="shared" si="212"/>
        <v>NITRO BC 3</v>
      </c>
      <c r="W3409" s="169" t="s">
        <v>2715</v>
      </c>
    </row>
    <row r="3410" spans="2:23" x14ac:dyDescent="0.25">
      <c r="B3410" s="169" t="s">
        <v>12320</v>
      </c>
      <c r="C3410" s="169" t="s">
        <v>38</v>
      </c>
      <c r="D3410" s="169" t="s">
        <v>175</v>
      </c>
      <c r="E3410" s="169" t="s">
        <v>60</v>
      </c>
      <c r="F3410" s="245" t="str">
        <f t="shared" si="213"/>
        <v>Dhoz 71</v>
      </c>
      <c r="G3410" s="169" t="s">
        <v>1510</v>
      </c>
      <c r="H3410" s="169" t="s">
        <v>747</v>
      </c>
      <c r="I3410" s="169" t="str">
        <f t="shared" ref="I3410:I3473" si="214">CONCATENATE(B3410,"_",C3410,"_",D3410,"_",E3410)</f>
        <v>L425_GHV_060E_DE</v>
      </c>
      <c r="J3410" s="169" t="s">
        <v>13527</v>
      </c>
      <c r="K3410" s="169">
        <f>IFERROR(MATCH(J3410,'Final List'!$B$4:$B$252,0),0)</f>
        <v>0</v>
      </c>
      <c r="L3410" s="169">
        <f>IFERROR(MATCH(J3410,'Final List'!$D$4:$D$252,0),0)</f>
        <v>0</v>
      </c>
      <c r="M3410" s="169">
        <f>IFERROR(MATCH(J3410,'Final List'!$F$4:$F$251,0),0)</f>
        <v>0</v>
      </c>
      <c r="N3410" s="169">
        <f>IFERROR(MATCH(J3410,'Final List'!$H$4:$H$252,0),0)</f>
        <v>0</v>
      </c>
      <c r="O3410" s="169">
        <f>IFERROR(MATCH(J3410,'Final List'!$J$4:$J$252,0),0)</f>
        <v>0</v>
      </c>
      <c r="P3410" s="169">
        <f>IFERROR(MATCH(J3410,'Final List'!$L$4:$L$252,0),0)</f>
        <v>0</v>
      </c>
      <c r="Q3410" s="169">
        <f>IFERROR(MATCH(J3410,'Final List'!$N$4:$N$252,0),0)</f>
        <v>0</v>
      </c>
      <c r="R3410" s="169">
        <f>IFERROR(MATCH(J3410,'Final List'!$P$4:$P$252,0),0)</f>
        <v>0</v>
      </c>
      <c r="S3410" s="169">
        <f t="shared" si="211"/>
        <v>0</v>
      </c>
      <c r="V3410" s="169" t="str">
        <f t="shared" si="212"/>
        <v>REBOTE</v>
      </c>
      <c r="W3410" s="169" t="s">
        <v>8896</v>
      </c>
    </row>
    <row r="3411" spans="2:23" x14ac:dyDescent="0.25">
      <c r="B3411" s="169" t="s">
        <v>1166</v>
      </c>
      <c r="C3411" s="169" t="s">
        <v>56</v>
      </c>
      <c r="D3411" s="169" t="s">
        <v>119</v>
      </c>
      <c r="E3411" s="169" t="s">
        <v>60</v>
      </c>
      <c r="F3411" s="245" t="str">
        <f t="shared" si="213"/>
        <v>Dhoz 71</v>
      </c>
      <c r="G3411" s="169" t="s">
        <v>12070</v>
      </c>
      <c r="H3411" s="169" t="s">
        <v>6954</v>
      </c>
      <c r="I3411" s="169" t="str">
        <f t="shared" si="214"/>
        <v>L11_GHVFW_012E_DE</v>
      </c>
      <c r="J3411" s="169" t="s">
        <v>13529</v>
      </c>
      <c r="K3411" s="169">
        <f>IFERROR(MATCH(J3411,'Final List'!$B$4:$B$252,0),0)</f>
        <v>0</v>
      </c>
      <c r="L3411" s="169">
        <f>IFERROR(MATCH(J3411,'Final List'!$D$4:$D$252,0),0)</f>
        <v>0</v>
      </c>
      <c r="M3411" s="169">
        <f>IFERROR(MATCH(J3411,'Final List'!$F$4:$F$251,0),0)</f>
        <v>0</v>
      </c>
      <c r="N3411" s="169">
        <f>IFERROR(MATCH(J3411,'Final List'!$H$4:$H$252,0),0)</f>
        <v>0</v>
      </c>
      <c r="O3411" s="169">
        <f>IFERROR(MATCH(J3411,'Final List'!$J$4:$J$252,0),0)</f>
        <v>0</v>
      </c>
      <c r="P3411" s="169">
        <f>IFERROR(MATCH(J3411,'Final List'!$L$4:$L$252,0),0)</f>
        <v>0</v>
      </c>
      <c r="Q3411" s="169">
        <f>IFERROR(MATCH(J3411,'Final List'!$N$4:$N$252,0),0)</f>
        <v>0</v>
      </c>
      <c r="R3411" s="169">
        <f>IFERROR(MATCH(J3411,'Final List'!$P$4:$P$252,0),0)</f>
        <v>0</v>
      </c>
      <c r="S3411" s="169">
        <f t="shared" si="211"/>
        <v>0</v>
      </c>
      <c r="V3411" s="169" t="str">
        <f t="shared" si="212"/>
        <v>BADBADON</v>
      </c>
      <c r="W3411" s="169" t="s">
        <v>8896</v>
      </c>
    </row>
    <row r="3412" spans="2:23" x14ac:dyDescent="0.25">
      <c r="B3412" s="169" t="s">
        <v>1166</v>
      </c>
      <c r="C3412" s="169" t="s">
        <v>87</v>
      </c>
      <c r="D3412" s="169" t="s">
        <v>5689</v>
      </c>
      <c r="E3412" s="169" t="s">
        <v>37</v>
      </c>
      <c r="F3412" s="245" t="str">
        <f t="shared" si="213"/>
        <v>Dhoz 71</v>
      </c>
      <c r="G3412" s="169" t="s">
        <v>11884</v>
      </c>
      <c r="H3412" s="169" t="s">
        <v>6954</v>
      </c>
      <c r="I3412" s="169" t="str">
        <f t="shared" si="214"/>
        <v>L11_NONE_003E_XCN</v>
      </c>
      <c r="J3412" s="169" t="s">
        <v>13531</v>
      </c>
      <c r="K3412" s="169">
        <f>IFERROR(MATCH(J3412,'Final List'!$B$4:$B$252,0),0)</f>
        <v>0</v>
      </c>
      <c r="L3412" s="169">
        <f>IFERROR(MATCH(J3412,'Final List'!$D$4:$D$252,0),0)</f>
        <v>0</v>
      </c>
      <c r="M3412" s="169">
        <f>IFERROR(MATCH(J3412,'Final List'!$F$4:$F$251,0),0)</f>
        <v>0</v>
      </c>
      <c r="N3412" s="169">
        <f>IFERROR(MATCH(J3412,'Final List'!$H$4:$H$252,0),0)</f>
        <v>0</v>
      </c>
      <c r="O3412" s="169">
        <f>IFERROR(MATCH(J3412,'Final List'!$J$4:$J$252,0),0)</f>
        <v>0</v>
      </c>
      <c r="P3412" s="169">
        <f>IFERROR(MATCH(J3412,'Final List'!$L$4:$L$252,0),0)</f>
        <v>0</v>
      </c>
      <c r="Q3412" s="169">
        <f>IFERROR(MATCH(J3412,'Final List'!$N$4:$N$252,0),0)</f>
        <v>0</v>
      </c>
      <c r="R3412" s="169">
        <f>IFERROR(MATCH(J3412,'Final List'!$P$4:$P$252,0),0)</f>
        <v>0</v>
      </c>
      <c r="S3412" s="169">
        <f t="shared" si="211"/>
        <v>0</v>
      </c>
      <c r="V3412" s="169" t="str">
        <f t="shared" si="212"/>
        <v>BADBADON</v>
      </c>
      <c r="W3412" s="169" t="s">
        <v>8898</v>
      </c>
    </row>
    <row r="3413" spans="2:23" x14ac:dyDescent="0.25">
      <c r="B3413" s="169" t="s">
        <v>1166</v>
      </c>
      <c r="C3413" s="169" t="s">
        <v>45</v>
      </c>
      <c r="D3413" s="169" t="s">
        <v>133</v>
      </c>
      <c r="E3413" s="169" t="s">
        <v>19</v>
      </c>
      <c r="F3413" s="245" t="str">
        <f t="shared" si="213"/>
        <v>DVR 72</v>
      </c>
      <c r="G3413" t="s">
        <v>340</v>
      </c>
      <c r="I3413" s="169" t="str">
        <f t="shared" si="214"/>
        <v>L11_DPVE_037E_RAISE</v>
      </c>
      <c r="J3413" s="169" t="s">
        <v>13533</v>
      </c>
      <c r="K3413" s="169">
        <f>IFERROR(MATCH(J3413,'Final List'!$B$4:$B$252,0),0)</f>
        <v>0</v>
      </c>
      <c r="L3413" s="169">
        <f>IFERROR(MATCH(J3413,'Final List'!$D$4:$D$252,0),0)</f>
        <v>0</v>
      </c>
      <c r="M3413" s="169">
        <f>IFERROR(MATCH(J3413,'Final List'!$F$4:$F$251,0),0)</f>
        <v>0</v>
      </c>
      <c r="N3413" s="169">
        <f>IFERROR(MATCH(J3413,'Final List'!$H$4:$H$252,0),0)</f>
        <v>0</v>
      </c>
      <c r="O3413" s="169">
        <f>IFERROR(MATCH(J3413,'Final List'!$J$4:$J$252,0),0)</f>
        <v>0</v>
      </c>
      <c r="P3413" s="169">
        <f>IFERROR(MATCH(J3413,'Final List'!$L$4:$L$252,0),0)</f>
        <v>0</v>
      </c>
      <c r="Q3413" s="169">
        <f>IFERROR(MATCH(J3413,'Final List'!$N$4:$N$252,0),0)</f>
        <v>0</v>
      </c>
      <c r="R3413" s="169">
        <f>IFERROR(MATCH(J3413,'Final List'!$P$4:$P$252,0),0)</f>
        <v>0</v>
      </c>
      <c r="S3413" s="169">
        <f t="shared" si="211"/>
        <v>0</v>
      </c>
      <c r="V3413" s="169" t="str">
        <f t="shared" si="212"/>
        <v>COMAINGKING</v>
      </c>
      <c r="W3413" s="169" t="s">
        <v>2715</v>
      </c>
    </row>
    <row r="3414" spans="2:23" x14ac:dyDescent="0.25">
      <c r="B3414" s="169" t="s">
        <v>95</v>
      </c>
      <c r="C3414" s="169" t="s">
        <v>56</v>
      </c>
      <c r="D3414" s="169" t="s">
        <v>141</v>
      </c>
      <c r="E3414" s="169" t="s">
        <v>61</v>
      </c>
      <c r="F3414" s="245" t="str">
        <f t="shared" si="213"/>
        <v>Dhoz 71</v>
      </c>
      <c r="G3414" s="169" t="s">
        <v>13066</v>
      </c>
      <c r="I3414" s="169" t="str">
        <f t="shared" si="214"/>
        <v>L08_GHVFW_029E_DW</v>
      </c>
      <c r="J3414" s="169" t="s">
        <v>13541</v>
      </c>
      <c r="K3414" s="169">
        <f>IFERROR(MATCH(J3414,'Final List'!$B$4:$B$252,0),0)</f>
        <v>0</v>
      </c>
      <c r="L3414" s="169">
        <f>IFERROR(MATCH(J3414,'Final List'!$D$4:$D$252,0),0)</f>
        <v>0</v>
      </c>
      <c r="M3414" s="169">
        <f>IFERROR(MATCH(J3414,'Final List'!$F$4:$F$251,0),0)</f>
        <v>0</v>
      </c>
      <c r="N3414" s="169">
        <f>IFERROR(MATCH(J3414,'Final List'!$H$4:$H$252,0),0)</f>
        <v>0</v>
      </c>
      <c r="O3414" s="169">
        <f>IFERROR(MATCH(J3414,'Final List'!$J$4:$J$252,0),0)</f>
        <v>0</v>
      </c>
      <c r="P3414" s="169">
        <f>IFERROR(MATCH(J3414,'Final List'!$L$4:$L$252,0),0)</f>
        <v>0</v>
      </c>
      <c r="Q3414" s="169">
        <f>IFERROR(MATCH(J3414,'Final List'!$N$4:$N$252,0),0)</f>
        <v>0</v>
      </c>
      <c r="R3414" s="169">
        <f>IFERROR(MATCH(J3414,'Final List'!$P$4:$P$252,0),0)</f>
        <v>0</v>
      </c>
      <c r="S3414" s="169">
        <f t="shared" si="211"/>
        <v>0</v>
      </c>
      <c r="V3414" s="169" t="str">
        <f t="shared" si="212"/>
        <v>NITRO BZ</v>
      </c>
      <c r="W3414" s="169" t="s">
        <v>8895</v>
      </c>
    </row>
    <row r="3415" spans="2:23" x14ac:dyDescent="0.25">
      <c r="B3415" s="169" t="s">
        <v>96</v>
      </c>
      <c r="C3415" s="169" t="s">
        <v>87</v>
      </c>
      <c r="D3415" s="169" t="s">
        <v>9427</v>
      </c>
      <c r="E3415" s="169" t="s">
        <v>63</v>
      </c>
      <c r="F3415" s="245" t="str">
        <f t="shared" si="213"/>
        <v>Dhoz 71</v>
      </c>
      <c r="G3415" s="169" t="s">
        <v>12659</v>
      </c>
      <c r="H3415" s="169" t="s">
        <v>14527</v>
      </c>
      <c r="I3415" s="169" t="str">
        <f t="shared" si="214"/>
        <v>L09_NONE_091E_XCS</v>
      </c>
      <c r="J3415" s="169" t="s">
        <v>13544</v>
      </c>
      <c r="K3415" s="169">
        <f>IFERROR(MATCH(J3415,'Final List'!$B$4:$B$252,0),0)</f>
        <v>0</v>
      </c>
      <c r="L3415" s="169">
        <f>IFERROR(MATCH(J3415,'Final List'!$D$4:$D$252,0),0)</f>
        <v>0</v>
      </c>
      <c r="M3415" s="169">
        <f>IFERROR(MATCH(J3415,'Final List'!$F$4:$F$251,0),0)</f>
        <v>0</v>
      </c>
      <c r="N3415" s="169">
        <f>IFERROR(MATCH(J3415,'Final List'!$H$4:$H$252,0),0)</f>
        <v>0</v>
      </c>
      <c r="O3415" s="169">
        <f>IFERROR(MATCH(J3415,'Final List'!$J$4:$J$252,0),0)</f>
        <v>0</v>
      </c>
      <c r="P3415" s="169">
        <f>IFERROR(MATCH(J3415,'Final List'!$L$4:$L$252,0),0)</f>
        <v>0</v>
      </c>
      <c r="Q3415" s="169">
        <f>IFERROR(MATCH(J3415,'Final List'!$N$4:$N$252,0),0)</f>
        <v>0</v>
      </c>
      <c r="R3415" s="169">
        <f>IFERROR(MATCH(J3415,'Final List'!$P$4:$P$252,0),0)</f>
        <v>0</v>
      </c>
      <c r="S3415" s="169">
        <f t="shared" si="211"/>
        <v>0</v>
      </c>
      <c r="V3415" s="169" t="str">
        <f t="shared" si="212"/>
        <v>DELOS REYES v2</v>
      </c>
      <c r="W3415" s="169" t="s">
        <v>8898</v>
      </c>
    </row>
    <row r="3416" spans="2:23" x14ac:dyDescent="0.25">
      <c r="B3416" s="169" t="s">
        <v>1167</v>
      </c>
      <c r="C3416" s="169" t="s">
        <v>45</v>
      </c>
      <c r="D3416" s="169" t="s">
        <v>174</v>
      </c>
      <c r="E3416" s="169" t="s">
        <v>36</v>
      </c>
      <c r="F3416" s="245" t="str">
        <f t="shared" si="213"/>
        <v>StpS 77</v>
      </c>
      <c r="G3416" s="169" t="s">
        <v>337</v>
      </c>
      <c r="H3416" s="169" t="s">
        <v>14127</v>
      </c>
      <c r="I3416" s="169" t="str">
        <f t="shared" si="214"/>
        <v>L12_DPVE_052E_STOPE</v>
      </c>
      <c r="J3416" s="169" t="s">
        <v>13674</v>
      </c>
      <c r="K3416" s="169">
        <f>IFERROR(MATCH(J3416,'Final List'!$B$4:$B$252,0),0)</f>
        <v>0</v>
      </c>
      <c r="L3416" s="169">
        <f>IFERROR(MATCH(J3416,'Final List'!$D$4:$D$252,0),0)</f>
        <v>0</v>
      </c>
      <c r="M3416" s="169">
        <f>IFERROR(MATCH(J3416,'Final List'!$F$4:$F$251,0),0)</f>
        <v>0</v>
      </c>
      <c r="N3416" s="169">
        <f>IFERROR(MATCH(J3416,'Final List'!$H$4:$H$252,0),0)</f>
        <v>0</v>
      </c>
      <c r="O3416" s="169">
        <f>IFERROR(MATCH(J3416,'Final List'!$J$4:$J$252,0),0)</f>
        <v>0</v>
      </c>
      <c r="P3416" s="169">
        <f>IFERROR(MATCH(J3416,'Final List'!$L$4:$L$252,0),0)</f>
        <v>0</v>
      </c>
      <c r="Q3416" s="169">
        <f>IFERROR(MATCH(J3416,'Final List'!$N$4:$N$252,0),0)</f>
        <v>0</v>
      </c>
      <c r="R3416" s="169">
        <f>IFERROR(MATCH(J3416,'Final List'!$P$4:$P$252,0),0)</f>
        <v>0</v>
      </c>
      <c r="S3416" s="169">
        <f t="shared" si="211"/>
        <v>0</v>
      </c>
      <c r="T3416" s="169" t="s">
        <v>68</v>
      </c>
      <c r="V3416" s="169" t="str">
        <f t="shared" si="212"/>
        <v>BACLAS</v>
      </c>
      <c r="W3416" s="169" t="s">
        <v>2713</v>
      </c>
    </row>
    <row r="3417" spans="2:23" x14ac:dyDescent="0.25">
      <c r="B3417" s="169" t="s">
        <v>1167</v>
      </c>
      <c r="C3417" s="169" t="s">
        <v>45</v>
      </c>
      <c r="D3417" s="169" t="s">
        <v>165</v>
      </c>
      <c r="E3417" s="169" t="s">
        <v>19</v>
      </c>
      <c r="F3417" s="245" t="str">
        <f t="shared" si="213"/>
        <v>DVR 72</v>
      </c>
      <c r="G3417" s="169" t="s">
        <v>6930</v>
      </c>
      <c r="I3417" s="169" t="str">
        <f t="shared" si="214"/>
        <v>L12_DPVE_056E_RAISE</v>
      </c>
      <c r="J3417" s="169" t="s">
        <v>13566</v>
      </c>
      <c r="K3417" s="169">
        <f>IFERROR(MATCH(J3417,'Final List'!$B$4:$B$252,0),0)</f>
        <v>0</v>
      </c>
      <c r="L3417" s="169">
        <f>IFERROR(MATCH(J3417,'Final List'!$D$4:$D$252,0),0)</f>
        <v>0</v>
      </c>
      <c r="M3417" s="169">
        <f>IFERROR(MATCH(J3417,'Final List'!$F$4:$F$251,0),0)</f>
        <v>0</v>
      </c>
      <c r="N3417" s="169">
        <f>IFERROR(MATCH(J3417,'Final List'!$H$4:$H$252,0),0)</f>
        <v>0</v>
      </c>
      <c r="O3417" s="169">
        <f>IFERROR(MATCH(J3417,'Final List'!$J$4:$J$252,0),0)</f>
        <v>0</v>
      </c>
      <c r="P3417" s="169">
        <f>IFERROR(MATCH(J3417,'Final List'!$L$4:$L$252,0),0)</f>
        <v>0</v>
      </c>
      <c r="Q3417" s="169">
        <f>IFERROR(MATCH(J3417,'Final List'!$N$4:$N$252,0),0)</f>
        <v>0</v>
      </c>
      <c r="R3417" s="169">
        <f>IFERROR(MATCH(J3417,'Final List'!$P$4:$P$252,0),0)</f>
        <v>0</v>
      </c>
      <c r="S3417" s="169">
        <f t="shared" si="211"/>
        <v>0</v>
      </c>
      <c r="V3417" s="169" t="str">
        <f t="shared" si="212"/>
        <v>DUHIG, P1</v>
      </c>
      <c r="W3417" s="169" t="s">
        <v>2715</v>
      </c>
    </row>
    <row r="3418" spans="2:23" x14ac:dyDescent="0.25">
      <c r="B3418" s="169" t="s">
        <v>12320</v>
      </c>
      <c r="C3418" s="169" t="s">
        <v>43</v>
      </c>
      <c r="D3418" s="169" t="s">
        <v>5781</v>
      </c>
      <c r="E3418" s="169" t="s">
        <v>211</v>
      </c>
      <c r="F3418" s="245" t="str">
        <f t="shared" si="213"/>
        <v>StpL 78</v>
      </c>
      <c r="G3418" s="169" t="s">
        <v>12672</v>
      </c>
      <c r="H3418" s="169" t="s">
        <v>455</v>
      </c>
      <c r="I3418" s="169" t="str">
        <f t="shared" si="214"/>
        <v>L425_GHVSPLIT_051E_STOPE PREP</v>
      </c>
      <c r="J3418" s="169" t="s">
        <v>13551</v>
      </c>
      <c r="K3418" s="169">
        <f>IFERROR(MATCH(J3418,'Final List'!$B$4:$B$252,0),0)</f>
        <v>0</v>
      </c>
      <c r="L3418" s="169">
        <f>IFERROR(MATCH(J3418,'Final List'!$D$4:$D$252,0),0)</f>
        <v>0</v>
      </c>
      <c r="M3418" s="169">
        <f>IFERROR(MATCH(J3418,'Final List'!$F$4:$F$251,0),0)</f>
        <v>0</v>
      </c>
      <c r="N3418" s="169">
        <f>IFERROR(MATCH(J3418,'Final List'!$H$4:$H$252,0),0)</f>
        <v>0</v>
      </c>
      <c r="O3418" s="169">
        <f>IFERROR(MATCH(J3418,'Final List'!$J$4:$J$252,0),0)</f>
        <v>0</v>
      </c>
      <c r="P3418" s="169">
        <f>IFERROR(MATCH(J3418,'Final List'!$L$4:$L$252,0),0)</f>
        <v>0</v>
      </c>
      <c r="Q3418" s="169">
        <f>IFERROR(MATCH(J3418,'Final List'!$N$4:$N$252,0),0)</f>
        <v>0</v>
      </c>
      <c r="R3418" s="169">
        <f>IFERROR(MATCH(J3418,'Final List'!$P$4:$P$252,0),0)</f>
        <v>0</v>
      </c>
      <c r="S3418" s="169">
        <f t="shared" si="211"/>
        <v>0</v>
      </c>
      <c r="T3418" s="169" t="s">
        <v>48</v>
      </c>
      <c r="V3418" s="169" t="str">
        <f t="shared" si="212"/>
        <v>BABOR 4</v>
      </c>
      <c r="W3418" s="169" t="s">
        <v>2712</v>
      </c>
    </row>
    <row r="3419" spans="2:23" x14ac:dyDescent="0.25">
      <c r="B3419" s="169" t="s">
        <v>1166</v>
      </c>
      <c r="C3419" s="169" t="s">
        <v>43</v>
      </c>
      <c r="D3419" s="169" t="s">
        <v>149</v>
      </c>
      <c r="E3419" s="169" t="s">
        <v>60</v>
      </c>
      <c r="F3419" s="245" t="str">
        <f t="shared" si="213"/>
        <v>Dhoz 71</v>
      </c>
      <c r="G3419" s="169" t="s">
        <v>6954</v>
      </c>
      <c r="I3419" s="169" t="str">
        <f t="shared" si="214"/>
        <v>L11_GHVSPLIT_021E_DE</v>
      </c>
      <c r="J3419" s="169" t="s">
        <v>13554</v>
      </c>
      <c r="K3419" s="169">
        <f>IFERROR(MATCH(J3419,'Final List'!$B$4:$B$252,0),0)</f>
        <v>0</v>
      </c>
      <c r="L3419" s="169">
        <f>IFERROR(MATCH(J3419,'Final List'!$D$4:$D$252,0),0)</f>
        <v>0</v>
      </c>
      <c r="M3419" s="169">
        <f>IFERROR(MATCH(J3419,'Final List'!$F$4:$F$251,0),0)</f>
        <v>0</v>
      </c>
      <c r="N3419" s="169">
        <f>IFERROR(MATCH(J3419,'Final List'!$H$4:$H$252,0),0)</f>
        <v>0</v>
      </c>
      <c r="O3419" s="169">
        <f>IFERROR(MATCH(J3419,'Final List'!$J$4:$J$252,0),0)</f>
        <v>0</v>
      </c>
      <c r="P3419" s="169">
        <f>IFERROR(MATCH(J3419,'Final List'!$L$4:$L$252,0),0)</f>
        <v>0</v>
      </c>
      <c r="Q3419" s="169">
        <f>IFERROR(MATCH(J3419,'Final List'!$N$4:$N$252,0),0)</f>
        <v>0</v>
      </c>
      <c r="R3419" s="169">
        <f>IFERROR(MATCH(J3419,'Final List'!$P$4:$P$252,0),0)</f>
        <v>0</v>
      </c>
      <c r="S3419" s="169">
        <f t="shared" si="211"/>
        <v>0</v>
      </c>
      <c r="V3419" s="169" t="str">
        <f t="shared" si="212"/>
        <v>BADBADON</v>
      </c>
      <c r="W3419" s="169" t="s">
        <v>8896</v>
      </c>
    </row>
    <row r="3420" spans="2:23" x14ac:dyDescent="0.25">
      <c r="B3420" s="169" t="s">
        <v>1167</v>
      </c>
      <c r="C3420" s="169" t="s">
        <v>39</v>
      </c>
      <c r="D3420" s="169" t="s">
        <v>5604</v>
      </c>
      <c r="E3420" s="169" t="s">
        <v>60</v>
      </c>
      <c r="F3420" s="245" t="str">
        <f t="shared" si="213"/>
        <v>Dhoz 71</v>
      </c>
      <c r="G3420" s="169" t="s">
        <v>12565</v>
      </c>
      <c r="I3420" s="169" t="str">
        <f t="shared" si="214"/>
        <v>L12_JVHW_063E_DE</v>
      </c>
      <c r="J3420" s="169" t="s">
        <v>13560</v>
      </c>
      <c r="K3420" s="169">
        <f>IFERROR(MATCH(J3420,'Final List'!$B$4:$B$252,0),0)</f>
        <v>0</v>
      </c>
      <c r="L3420" s="169">
        <f>IFERROR(MATCH(J3420,'Final List'!$D$4:$D$252,0),0)</f>
        <v>0</v>
      </c>
      <c r="M3420" s="169">
        <f>IFERROR(MATCH(J3420,'Final List'!$F$4:$F$251,0),0)</f>
        <v>0</v>
      </c>
      <c r="N3420" s="169">
        <f>IFERROR(MATCH(J3420,'Final List'!$H$4:$H$252,0),0)</f>
        <v>0</v>
      </c>
      <c r="O3420" s="169">
        <f>IFERROR(MATCH(J3420,'Final List'!$J$4:$J$252,0),0)</f>
        <v>0</v>
      </c>
      <c r="P3420" s="169">
        <f>IFERROR(MATCH(J3420,'Final List'!$L$4:$L$252,0),0)</f>
        <v>0</v>
      </c>
      <c r="Q3420" s="169">
        <f>IFERROR(MATCH(J3420,'Final List'!$N$4:$N$252,0),0)</f>
        <v>0</v>
      </c>
      <c r="R3420" s="169">
        <f>IFERROR(MATCH(J3420,'Final List'!$P$4:$P$252,0),0)</f>
        <v>0</v>
      </c>
      <c r="S3420" s="169">
        <f t="shared" si="211"/>
        <v>0</v>
      </c>
      <c r="V3420" s="169" t="str">
        <f t="shared" si="212"/>
        <v>NITRO BO</v>
      </c>
      <c r="W3420" s="169" t="s">
        <v>8896</v>
      </c>
    </row>
    <row r="3421" spans="2:23" x14ac:dyDescent="0.25">
      <c r="B3421" s="169" t="s">
        <v>1167</v>
      </c>
      <c r="C3421" s="169" t="s">
        <v>43</v>
      </c>
      <c r="D3421" s="169" t="s">
        <v>198</v>
      </c>
      <c r="E3421" s="169" t="s">
        <v>19</v>
      </c>
      <c r="F3421" s="245" t="str">
        <f t="shared" si="213"/>
        <v>DVR 72</v>
      </c>
      <c r="G3421" s="169" t="s">
        <v>13434</v>
      </c>
      <c r="H3421" s="169" t="s">
        <v>12549</v>
      </c>
      <c r="I3421" s="169" t="str">
        <f t="shared" si="214"/>
        <v>L12_GHVSPLIT_069E_RAISE</v>
      </c>
      <c r="J3421" s="169" t="s">
        <v>13561</v>
      </c>
      <c r="K3421" s="169">
        <f>IFERROR(MATCH(J3421,'Final List'!$B$4:$B$252,0),0)</f>
        <v>0</v>
      </c>
      <c r="L3421" s="169">
        <f>IFERROR(MATCH(J3421,'Final List'!$D$4:$D$252,0),0)</f>
        <v>0</v>
      </c>
      <c r="M3421" s="169">
        <f>IFERROR(MATCH(J3421,'Final List'!$F$4:$F$251,0),0)</f>
        <v>0</v>
      </c>
      <c r="N3421" s="169">
        <f>IFERROR(MATCH(J3421,'Final List'!$H$4:$H$252,0),0)</f>
        <v>0</v>
      </c>
      <c r="O3421" s="169">
        <f>IFERROR(MATCH(J3421,'Final List'!$J$4:$J$252,0),0)</f>
        <v>0</v>
      </c>
      <c r="P3421" s="169">
        <f>IFERROR(MATCH(J3421,'Final List'!$L$4:$L$252,0),0)</f>
        <v>0</v>
      </c>
      <c r="Q3421" s="169">
        <f>IFERROR(MATCH(J3421,'Final List'!$N$4:$N$252,0),0)</f>
        <v>0</v>
      </c>
      <c r="R3421" s="169">
        <f>IFERROR(MATCH(J3421,'Final List'!$P$4:$P$252,0),0)</f>
        <v>0</v>
      </c>
      <c r="S3421" s="169">
        <f t="shared" si="211"/>
        <v>0</v>
      </c>
      <c r="V3421" s="169" t="str">
        <f t="shared" si="212"/>
        <v>NITRO BR</v>
      </c>
      <c r="W3421" s="169" t="s">
        <v>2715</v>
      </c>
    </row>
    <row r="3422" spans="2:23" x14ac:dyDescent="0.25">
      <c r="B3422" s="169" t="s">
        <v>12320</v>
      </c>
      <c r="C3422" s="169" t="s">
        <v>45</v>
      </c>
      <c r="D3422" s="169" t="s">
        <v>5741</v>
      </c>
      <c r="E3422" s="169" t="s">
        <v>61</v>
      </c>
      <c r="F3422" s="245" t="str">
        <f t="shared" si="213"/>
        <v>Dhoz 71</v>
      </c>
      <c r="G3422" s="169" t="s">
        <v>5697</v>
      </c>
      <c r="I3422" s="169" t="str">
        <f t="shared" si="214"/>
        <v>L425_DPVE_035E_DW</v>
      </c>
      <c r="J3422" s="169" t="s">
        <v>13562</v>
      </c>
      <c r="K3422" s="169">
        <f>IFERROR(MATCH(J3422,'Final List'!$B$4:$B$252,0),0)</f>
        <v>0</v>
      </c>
      <c r="L3422" s="169">
        <f>IFERROR(MATCH(J3422,'Final List'!$D$4:$D$252,0),0)</f>
        <v>0</v>
      </c>
      <c r="M3422" s="169">
        <f>IFERROR(MATCH(J3422,'Final List'!$F$4:$F$251,0),0)</f>
        <v>0</v>
      </c>
      <c r="N3422" s="169">
        <f>IFERROR(MATCH(J3422,'Final List'!$H$4:$H$252,0),0)</f>
        <v>0</v>
      </c>
      <c r="O3422" s="169">
        <f>IFERROR(MATCH(J3422,'Final List'!$J$4:$J$252,0),0)</f>
        <v>0</v>
      </c>
      <c r="P3422" s="169">
        <f>IFERROR(MATCH(J3422,'Final List'!$L$4:$L$252,0),0)</f>
        <v>0</v>
      </c>
      <c r="Q3422" s="169">
        <f>IFERROR(MATCH(J3422,'Final List'!$N$4:$N$252,0),0)</f>
        <v>0</v>
      </c>
      <c r="R3422" s="169">
        <f>IFERROR(MATCH(J3422,'Final List'!$P$4:$P$252,0),0)</f>
        <v>0</v>
      </c>
      <c r="S3422" s="169">
        <f t="shared" si="211"/>
        <v>0</v>
      </c>
      <c r="V3422" s="169" t="str">
        <f t="shared" si="212"/>
        <v>OLIVEROS 1</v>
      </c>
      <c r="W3422" s="169" t="s">
        <v>8896</v>
      </c>
    </row>
    <row r="3423" spans="2:23" x14ac:dyDescent="0.25">
      <c r="B3423" s="169" t="s">
        <v>95</v>
      </c>
      <c r="C3423" s="169" t="s">
        <v>42</v>
      </c>
      <c r="D3423" s="169" t="s">
        <v>870</v>
      </c>
      <c r="E3423" s="169" t="s">
        <v>62</v>
      </c>
      <c r="F3423" s="245" t="str">
        <f t="shared" si="213"/>
        <v>RobC 80</v>
      </c>
      <c r="G3423" s="169" t="s">
        <v>13066</v>
      </c>
      <c r="I3423" s="169" t="str">
        <f t="shared" si="214"/>
        <v>L08_JV_073E_ROBBING</v>
      </c>
      <c r="J3423" s="169" t="s">
        <v>13565</v>
      </c>
      <c r="K3423" s="169">
        <f>IFERROR(MATCH(J3423,'Final List'!$B$4:$B$252,0),0)</f>
        <v>0</v>
      </c>
      <c r="L3423" s="169">
        <f>IFERROR(MATCH(J3423,'Final List'!$D$4:$D$252,0),0)</f>
        <v>0</v>
      </c>
      <c r="M3423" s="169">
        <f>IFERROR(MATCH(J3423,'Final List'!$F$4:$F$251,0),0)</f>
        <v>0</v>
      </c>
      <c r="N3423" s="169">
        <f>IFERROR(MATCH(J3423,'Final List'!$H$4:$H$252,0),0)</f>
        <v>0</v>
      </c>
      <c r="O3423" s="169">
        <f>IFERROR(MATCH(J3423,'Final List'!$J$4:$J$252,0),0)</f>
        <v>0</v>
      </c>
      <c r="P3423" s="169">
        <f>IFERROR(MATCH(J3423,'Final List'!$L$4:$L$252,0),0)</f>
        <v>0</v>
      </c>
      <c r="Q3423" s="169">
        <f>IFERROR(MATCH(J3423,'Final List'!$N$4:$N$252,0),0)</f>
        <v>0</v>
      </c>
      <c r="R3423" s="169">
        <f>IFERROR(MATCH(J3423,'Final List'!$P$4:$P$252,0),0)</f>
        <v>0</v>
      </c>
      <c r="S3423" s="169">
        <f t="shared" si="211"/>
        <v>0</v>
      </c>
      <c r="T3423" s="169" t="s">
        <v>48</v>
      </c>
      <c r="V3423" s="169" t="str">
        <f t="shared" si="212"/>
        <v>NITRO BZ</v>
      </c>
      <c r="W3423" s="169" t="s">
        <v>236</v>
      </c>
    </row>
    <row r="3424" spans="2:23" x14ac:dyDescent="0.25">
      <c r="B3424" s="169" t="s">
        <v>12320</v>
      </c>
      <c r="C3424" s="169" t="s">
        <v>38</v>
      </c>
      <c r="D3424" s="169" t="s">
        <v>142</v>
      </c>
      <c r="E3424" s="169" t="s">
        <v>61</v>
      </c>
      <c r="F3424" s="245" t="str">
        <f t="shared" si="213"/>
        <v>Dhoz 71</v>
      </c>
      <c r="G3424" s="169" t="s">
        <v>747</v>
      </c>
      <c r="I3424" s="169" t="str">
        <f t="shared" si="214"/>
        <v>L425_GHV_038E_DW</v>
      </c>
      <c r="J3424" s="169" t="s">
        <v>13567</v>
      </c>
      <c r="K3424" s="169">
        <f>IFERROR(MATCH(J3424,'Final List'!$B$4:$B$252,0),0)</f>
        <v>0</v>
      </c>
      <c r="L3424" s="169">
        <f>IFERROR(MATCH(J3424,'Final List'!$D$4:$D$252,0),0)</f>
        <v>0</v>
      </c>
      <c r="M3424" s="169">
        <f>IFERROR(MATCH(J3424,'Final List'!$F$4:$F$251,0),0)</f>
        <v>0</v>
      </c>
      <c r="N3424" s="169">
        <f>IFERROR(MATCH(J3424,'Final List'!$H$4:$H$252,0),0)</f>
        <v>0</v>
      </c>
      <c r="O3424" s="169">
        <f>IFERROR(MATCH(J3424,'Final List'!$J$4:$J$252,0),0)</f>
        <v>0</v>
      </c>
      <c r="P3424" s="169">
        <f>IFERROR(MATCH(J3424,'Final List'!$L$4:$L$252,0),0)</f>
        <v>0</v>
      </c>
      <c r="Q3424" s="169">
        <f>IFERROR(MATCH(J3424,'Final List'!$N$4:$N$252,0),0)</f>
        <v>0</v>
      </c>
      <c r="R3424" s="169">
        <f>IFERROR(MATCH(J3424,'Final List'!$P$4:$P$252,0),0)</f>
        <v>0</v>
      </c>
      <c r="S3424" s="169">
        <f t="shared" si="211"/>
        <v>0</v>
      </c>
      <c r="V3424" s="169" t="str">
        <f t="shared" si="212"/>
        <v>REBOTE</v>
      </c>
      <c r="W3424" s="169" t="s">
        <v>8896</v>
      </c>
    </row>
    <row r="3425" spans="2:23" x14ac:dyDescent="0.25">
      <c r="B3425" s="169" t="s">
        <v>1166</v>
      </c>
      <c r="C3425" s="169" t="s">
        <v>59</v>
      </c>
      <c r="D3425" s="169" t="s">
        <v>5889</v>
      </c>
      <c r="E3425" s="169" t="s">
        <v>60</v>
      </c>
      <c r="F3425" s="245" t="str">
        <f t="shared" si="213"/>
        <v>Dhoz 71</v>
      </c>
      <c r="G3425" s="169" t="s">
        <v>4068</v>
      </c>
      <c r="I3425" s="169" t="str">
        <f t="shared" si="214"/>
        <v>L11_GHVHW_077E_DE</v>
      </c>
      <c r="J3425" s="169" t="s">
        <v>13571</v>
      </c>
      <c r="K3425" s="169">
        <f>IFERROR(MATCH(J3425,'Final List'!$B$4:$B$252,0),0)</f>
        <v>0</v>
      </c>
      <c r="L3425" s="169">
        <f>IFERROR(MATCH(J3425,'Final List'!$D$4:$D$252,0),0)</f>
        <v>0</v>
      </c>
      <c r="M3425" s="169">
        <f>IFERROR(MATCH(J3425,'Final List'!$F$4:$F$251,0),0)</f>
        <v>0</v>
      </c>
      <c r="N3425" s="169">
        <f>IFERROR(MATCH(J3425,'Final List'!$H$4:$H$252,0),0)</f>
        <v>0</v>
      </c>
      <c r="O3425" s="169">
        <f>IFERROR(MATCH(J3425,'Final List'!$J$4:$J$252,0),0)</f>
        <v>0</v>
      </c>
      <c r="P3425" s="169">
        <f>IFERROR(MATCH(J3425,'Final List'!$L$4:$L$252,0),0)</f>
        <v>0</v>
      </c>
      <c r="Q3425" s="169">
        <f>IFERROR(MATCH(J3425,'Final List'!$N$4:$N$252,0),0)</f>
        <v>0</v>
      </c>
      <c r="R3425" s="169">
        <f>IFERROR(MATCH(J3425,'Final List'!$P$4:$P$252,0),0)</f>
        <v>0</v>
      </c>
      <c r="S3425" s="169">
        <f t="shared" ref="S3425:S3488" si="215">SUM(K3425:R3425)</f>
        <v>0</v>
      </c>
      <c r="V3425" s="169" t="str">
        <f t="shared" si="212"/>
        <v>MAPAYO</v>
      </c>
      <c r="W3425" s="169" t="s">
        <v>8896</v>
      </c>
    </row>
    <row r="3426" spans="2:23" x14ac:dyDescent="0.25">
      <c r="B3426" s="169" t="s">
        <v>1167</v>
      </c>
      <c r="C3426" s="169" t="s">
        <v>87</v>
      </c>
      <c r="D3426" s="169" t="s">
        <v>6036</v>
      </c>
      <c r="E3426" s="169" t="s">
        <v>63</v>
      </c>
      <c r="F3426" s="245" t="str">
        <f t="shared" si="213"/>
        <v>Dhoz 71</v>
      </c>
      <c r="G3426" s="169" t="s">
        <v>12066</v>
      </c>
      <c r="I3426" s="169" t="str">
        <f t="shared" si="214"/>
        <v>L12_NONE_017E_XCS</v>
      </c>
      <c r="J3426" s="169" t="s">
        <v>13576</v>
      </c>
      <c r="K3426" s="169">
        <f>IFERROR(MATCH(J3426,'Final List'!$B$4:$B$252,0),0)</f>
        <v>0</v>
      </c>
      <c r="L3426" s="169">
        <f>IFERROR(MATCH(J3426,'Final List'!$D$4:$D$252,0),0)</f>
        <v>0</v>
      </c>
      <c r="M3426" s="169">
        <f>IFERROR(MATCH(J3426,'Final List'!$F$4:$F$251,0),0)</f>
        <v>0</v>
      </c>
      <c r="N3426" s="169">
        <f>IFERROR(MATCH(J3426,'Final List'!$H$4:$H$252,0),0)</f>
        <v>0</v>
      </c>
      <c r="O3426" s="169">
        <f>IFERROR(MATCH(J3426,'Final List'!$J$4:$J$252,0),0)</f>
        <v>0</v>
      </c>
      <c r="P3426" s="169">
        <f>IFERROR(MATCH(J3426,'Final List'!$L$4:$L$252,0),0)</f>
        <v>0</v>
      </c>
      <c r="Q3426" s="169">
        <f>IFERROR(MATCH(J3426,'Final List'!$N$4:$N$252,0),0)</f>
        <v>0</v>
      </c>
      <c r="R3426" s="169">
        <f>IFERROR(MATCH(J3426,'Final List'!$P$4:$P$252,0),0)</f>
        <v>0</v>
      </c>
      <c r="S3426" s="169">
        <f t="shared" si="215"/>
        <v>0</v>
      </c>
      <c r="V3426" s="169" t="str">
        <f t="shared" si="212"/>
        <v>NITRO BC 1</v>
      </c>
      <c r="W3426" s="169" t="s">
        <v>8898</v>
      </c>
    </row>
    <row r="3427" spans="2:23" x14ac:dyDescent="0.25">
      <c r="B3427" s="169" t="s">
        <v>12320</v>
      </c>
      <c r="C3427" s="169" t="s">
        <v>45</v>
      </c>
      <c r="D3427" s="169" t="s">
        <v>130</v>
      </c>
      <c r="E3427" s="169" t="s">
        <v>60</v>
      </c>
      <c r="F3427" s="245" t="str">
        <f t="shared" si="213"/>
        <v>Dhoz 71</v>
      </c>
      <c r="G3427" s="169" t="s">
        <v>5705</v>
      </c>
      <c r="I3427" s="169" t="str">
        <f t="shared" si="214"/>
        <v>L425_DPVE_036E_DE</v>
      </c>
      <c r="J3427" s="169" t="s">
        <v>13580</v>
      </c>
      <c r="K3427" s="169">
        <f>IFERROR(MATCH(J3427,'Final List'!$B$4:$B$252,0),0)</f>
        <v>0</v>
      </c>
      <c r="L3427" s="169">
        <f>IFERROR(MATCH(J3427,'Final List'!$D$4:$D$252,0),0)</f>
        <v>0</v>
      </c>
      <c r="M3427" s="169">
        <f>IFERROR(MATCH(J3427,'Final List'!$F$4:$F$251,0),0)</f>
        <v>0</v>
      </c>
      <c r="N3427" s="169">
        <f>IFERROR(MATCH(J3427,'Final List'!$H$4:$H$252,0),0)</f>
        <v>0</v>
      </c>
      <c r="O3427" s="169">
        <f>IFERROR(MATCH(J3427,'Final List'!$J$4:$J$252,0),0)</f>
        <v>0</v>
      </c>
      <c r="P3427" s="169">
        <f>IFERROR(MATCH(J3427,'Final List'!$L$4:$L$252,0),0)</f>
        <v>0</v>
      </c>
      <c r="Q3427" s="169">
        <f>IFERROR(MATCH(J3427,'Final List'!$N$4:$N$252,0),0)</f>
        <v>0</v>
      </c>
      <c r="R3427" s="169">
        <f>IFERROR(MATCH(J3427,'Final List'!$P$4:$P$252,0),0)</f>
        <v>0</v>
      </c>
      <c r="S3427" s="169">
        <f t="shared" si="215"/>
        <v>0</v>
      </c>
      <c r="V3427" s="169" t="str">
        <f t="shared" si="212"/>
        <v>OLIVEROS 4</v>
      </c>
      <c r="W3427" s="169" t="s">
        <v>8896</v>
      </c>
    </row>
    <row r="3428" spans="2:23" x14ac:dyDescent="0.25">
      <c r="B3428" s="169" t="s">
        <v>12320</v>
      </c>
      <c r="C3428" s="169" t="s">
        <v>42</v>
      </c>
      <c r="D3428" s="169" t="s">
        <v>133</v>
      </c>
      <c r="E3428" s="169" t="s">
        <v>61</v>
      </c>
      <c r="F3428" s="245" t="str">
        <f t="shared" si="213"/>
        <v>Dhoz 71</v>
      </c>
      <c r="G3428" s="169" t="s">
        <v>356</v>
      </c>
      <c r="H3428" s="169" t="s">
        <v>13768</v>
      </c>
      <c r="I3428" s="169" t="str">
        <f t="shared" si="214"/>
        <v>L425_JV_037E_DW</v>
      </c>
      <c r="J3428" s="169" t="s">
        <v>13581</v>
      </c>
      <c r="K3428" s="169">
        <f>IFERROR(MATCH(J3428,'Final List'!$B$4:$B$252,0),0)</f>
        <v>0</v>
      </c>
      <c r="L3428" s="169">
        <f>IFERROR(MATCH(J3428,'Final List'!$D$4:$D$252,0),0)</f>
        <v>0</v>
      </c>
      <c r="M3428" s="169">
        <f>IFERROR(MATCH(J3428,'Final List'!$F$4:$F$251,0),0)</f>
        <v>0</v>
      </c>
      <c r="N3428" s="169">
        <f>IFERROR(MATCH(J3428,'Final List'!$H$4:$H$252,0),0)</f>
        <v>0</v>
      </c>
      <c r="O3428" s="169">
        <f>IFERROR(MATCH(J3428,'Final List'!$J$4:$J$252,0),0)</f>
        <v>0</v>
      </c>
      <c r="P3428" s="169">
        <f>IFERROR(MATCH(J3428,'Final List'!$L$4:$L$252,0),0)</f>
        <v>0</v>
      </c>
      <c r="Q3428" s="169">
        <f>IFERROR(MATCH(J3428,'Final List'!$N$4:$N$252,0),0)</f>
        <v>0</v>
      </c>
      <c r="R3428" s="169">
        <f>IFERROR(MATCH(J3428,'Final List'!$P$4:$P$252,0),0)</f>
        <v>0</v>
      </c>
      <c r="S3428" s="169">
        <f t="shared" si="215"/>
        <v>0</v>
      </c>
      <c r="V3428" s="169" t="str">
        <f t="shared" si="212"/>
        <v>BANEZ 2</v>
      </c>
      <c r="W3428" s="169" t="s">
        <v>8896</v>
      </c>
    </row>
    <row r="3429" spans="2:23" x14ac:dyDescent="0.25">
      <c r="B3429" s="169" t="s">
        <v>12320</v>
      </c>
      <c r="C3429" s="169" t="s">
        <v>59</v>
      </c>
      <c r="D3429" s="169" t="s">
        <v>175</v>
      </c>
      <c r="E3429" s="169" t="s">
        <v>61</v>
      </c>
      <c r="F3429" s="245" t="str">
        <f t="shared" si="213"/>
        <v>Dhoz 71</v>
      </c>
      <c r="G3429" s="169" t="s">
        <v>1376</v>
      </c>
      <c r="I3429" s="169" t="str">
        <f t="shared" si="214"/>
        <v>L425_GHVHW_060E_DW</v>
      </c>
      <c r="J3429" s="169" t="s">
        <v>14043</v>
      </c>
      <c r="K3429" s="169">
        <f>IFERROR(MATCH(J3429,'Final List'!$B$4:$B$252,0),0)</f>
        <v>0</v>
      </c>
      <c r="L3429" s="169">
        <f>IFERROR(MATCH(J3429,'Final List'!$D$4:$D$252,0),0)</f>
        <v>0</v>
      </c>
      <c r="M3429" s="169">
        <f>IFERROR(MATCH(J3429,'Final List'!$F$4:$F$251,0),0)</f>
        <v>0</v>
      </c>
      <c r="N3429" s="169">
        <f>IFERROR(MATCH(J3429,'Final List'!$H$4:$H$252,0),0)</f>
        <v>0</v>
      </c>
      <c r="O3429" s="169">
        <f>IFERROR(MATCH(J3429,'Final List'!$J$4:$J$252,0),0)</f>
        <v>0</v>
      </c>
      <c r="P3429" s="169">
        <f>IFERROR(MATCH(J3429,'Final List'!$L$4:$L$252,0),0)</f>
        <v>0</v>
      </c>
      <c r="Q3429" s="169">
        <f>IFERROR(MATCH(J3429,'Final List'!$N$4:$N$252,0),0)</f>
        <v>0</v>
      </c>
      <c r="R3429" s="169">
        <f>IFERROR(MATCH(J3429,'Final List'!$P$4:$P$252,0),0)</f>
        <v>0</v>
      </c>
      <c r="S3429" s="169">
        <f t="shared" si="215"/>
        <v>0</v>
      </c>
      <c r="V3429" s="169" t="str">
        <f t="shared" si="212"/>
        <v>LERIO</v>
      </c>
      <c r="W3429" s="169" t="s">
        <v>8896</v>
      </c>
    </row>
    <row r="3430" spans="2:23" x14ac:dyDescent="0.25">
      <c r="B3430" s="169" t="s">
        <v>1167</v>
      </c>
      <c r="C3430" s="169" t="s">
        <v>59</v>
      </c>
      <c r="D3430" s="169" t="s">
        <v>170</v>
      </c>
      <c r="E3430" s="169" t="s">
        <v>19</v>
      </c>
      <c r="F3430" s="245" t="str">
        <f t="shared" si="213"/>
        <v>DVR 72</v>
      </c>
      <c r="G3430" s="169" t="s">
        <v>9885</v>
      </c>
      <c r="I3430" s="169" t="str">
        <f t="shared" si="214"/>
        <v>L12_GHVHW_071E_RAISE</v>
      </c>
      <c r="J3430" s="169" t="s">
        <v>13586</v>
      </c>
      <c r="K3430" s="169">
        <f>IFERROR(MATCH(J3430,'Final List'!$B$4:$B$252,0),0)</f>
        <v>0</v>
      </c>
      <c r="L3430" s="169">
        <f>IFERROR(MATCH(J3430,'Final List'!$D$4:$D$252,0),0)</f>
        <v>0</v>
      </c>
      <c r="M3430" s="169">
        <f>IFERROR(MATCH(J3430,'Final List'!$F$4:$F$251,0),0)</f>
        <v>0</v>
      </c>
      <c r="N3430" s="169">
        <f>IFERROR(MATCH(J3430,'Final List'!$H$4:$H$252,0),0)</f>
        <v>0</v>
      </c>
      <c r="O3430" s="169">
        <f>IFERROR(MATCH(J3430,'Final List'!$J$4:$J$252,0),0)</f>
        <v>0</v>
      </c>
      <c r="P3430" s="169">
        <f>IFERROR(MATCH(J3430,'Final List'!$L$4:$L$252,0),0)</f>
        <v>0</v>
      </c>
      <c r="Q3430" s="169">
        <f>IFERROR(MATCH(J3430,'Final List'!$N$4:$N$252,0),0)</f>
        <v>0</v>
      </c>
      <c r="R3430" s="169">
        <f>IFERROR(MATCH(J3430,'Final List'!$P$4:$P$252,0),0)</f>
        <v>0</v>
      </c>
      <c r="S3430" s="169">
        <f t="shared" si="215"/>
        <v>0</v>
      </c>
      <c r="V3430" s="169" t="str">
        <f t="shared" si="212"/>
        <v>CAYMAN 2</v>
      </c>
      <c r="W3430" s="169" t="s">
        <v>2715</v>
      </c>
    </row>
    <row r="3431" spans="2:23" x14ac:dyDescent="0.25">
      <c r="B3431" s="169" t="s">
        <v>95</v>
      </c>
      <c r="C3431" s="169" t="s">
        <v>87</v>
      </c>
      <c r="D3431" s="169" t="s">
        <v>142</v>
      </c>
      <c r="E3431" s="169" t="s">
        <v>37</v>
      </c>
      <c r="F3431" s="245" t="str">
        <f t="shared" si="213"/>
        <v>Dhoz 71</v>
      </c>
      <c r="G3431" s="169" t="s">
        <v>13172</v>
      </c>
      <c r="H3431" s="169" t="s">
        <v>8045</v>
      </c>
      <c r="I3431" s="169" t="str">
        <f t="shared" si="214"/>
        <v>L08_NONE_038E_XCN</v>
      </c>
      <c r="J3431" s="169" t="s">
        <v>13587</v>
      </c>
      <c r="K3431" s="169">
        <f>IFERROR(MATCH(J3431,'Final List'!$B$4:$B$252,0),0)</f>
        <v>0</v>
      </c>
      <c r="L3431" s="169">
        <f>IFERROR(MATCH(J3431,'Final List'!$D$4:$D$252,0),0)</f>
        <v>0</v>
      </c>
      <c r="M3431" s="169">
        <f>IFERROR(MATCH(J3431,'Final List'!$F$4:$F$251,0),0)</f>
        <v>0</v>
      </c>
      <c r="N3431" s="169">
        <f>IFERROR(MATCH(J3431,'Final List'!$H$4:$H$252,0),0)</f>
        <v>0</v>
      </c>
      <c r="O3431" s="169">
        <f>IFERROR(MATCH(J3431,'Final List'!$J$4:$J$252,0),0)</f>
        <v>0</v>
      </c>
      <c r="P3431" s="169">
        <f>IFERROR(MATCH(J3431,'Final List'!$L$4:$L$252,0),0)</f>
        <v>0</v>
      </c>
      <c r="Q3431" s="169">
        <f>IFERROR(MATCH(J3431,'Final List'!$N$4:$N$252,0),0)</f>
        <v>0</v>
      </c>
      <c r="R3431" s="169">
        <f>IFERROR(MATCH(J3431,'Final List'!$P$4:$P$252,0),0)</f>
        <v>0</v>
      </c>
      <c r="S3431" s="169">
        <f t="shared" si="215"/>
        <v>0</v>
      </c>
      <c r="V3431" s="169" t="str">
        <f t="shared" si="212"/>
        <v>CAPUYAN</v>
      </c>
      <c r="W3431" s="169" t="s">
        <v>8897</v>
      </c>
    </row>
    <row r="3432" spans="2:23" x14ac:dyDescent="0.25">
      <c r="B3432" s="169" t="s">
        <v>8904</v>
      </c>
      <c r="C3432" s="169" t="s">
        <v>87</v>
      </c>
      <c r="D3432" s="169" t="s">
        <v>5886</v>
      </c>
      <c r="E3432" s="169" t="s">
        <v>61</v>
      </c>
      <c r="F3432" s="245" t="str">
        <f t="shared" si="213"/>
        <v>Dhoz 71</v>
      </c>
      <c r="G3432" s="169" t="s">
        <v>11449</v>
      </c>
      <c r="I3432" s="169" t="str">
        <f t="shared" si="214"/>
        <v>L03_NONE_043W_DW</v>
      </c>
      <c r="J3432" s="169" t="s">
        <v>13611</v>
      </c>
      <c r="K3432" s="169">
        <f>IFERROR(MATCH(J3432,'Final List'!$B$4:$B$252,0),0)</f>
        <v>0</v>
      </c>
      <c r="L3432" s="169">
        <f>IFERROR(MATCH(J3432,'Final List'!$D$4:$D$252,0),0)</f>
        <v>0</v>
      </c>
      <c r="M3432" s="169">
        <f>IFERROR(MATCH(J3432,'Final List'!$F$4:$F$251,0),0)</f>
        <v>0</v>
      </c>
      <c r="N3432" s="169">
        <f>IFERROR(MATCH(J3432,'Final List'!$H$4:$H$252,0),0)</f>
        <v>0</v>
      </c>
      <c r="O3432" s="169">
        <f>IFERROR(MATCH(J3432,'Final List'!$J$4:$J$252,0),0)</f>
        <v>0</v>
      </c>
      <c r="P3432" s="169">
        <f>IFERROR(MATCH(J3432,'Final List'!$L$4:$L$252,0),0)</f>
        <v>0</v>
      </c>
      <c r="Q3432" s="169">
        <f>IFERROR(MATCH(J3432,'Final List'!$N$4:$N$252,0),0)</f>
        <v>0</v>
      </c>
      <c r="R3432" s="169">
        <f>IFERROR(MATCH(J3432,'Final List'!$P$4:$P$252,0),0)</f>
        <v>0</v>
      </c>
      <c r="S3432" s="169">
        <f t="shared" si="215"/>
        <v>0</v>
      </c>
      <c r="V3432" s="169" t="str">
        <f t="shared" si="212"/>
        <v>FERNANDEZ, RM</v>
      </c>
      <c r="W3432" s="169" t="s">
        <v>2714</v>
      </c>
    </row>
    <row r="3433" spans="2:23" x14ac:dyDescent="0.25">
      <c r="B3433" s="169" t="s">
        <v>1166</v>
      </c>
      <c r="C3433" s="169" t="s">
        <v>45</v>
      </c>
      <c r="D3433" s="169" t="s">
        <v>122</v>
      </c>
      <c r="E3433" s="169" t="s">
        <v>19</v>
      </c>
      <c r="F3433" s="245" t="str">
        <f t="shared" si="213"/>
        <v>DVR 72</v>
      </c>
      <c r="G3433" s="169" t="s">
        <v>12070</v>
      </c>
      <c r="I3433" s="169" t="str">
        <f t="shared" si="214"/>
        <v>L11_DPVE_025E_RAISE</v>
      </c>
      <c r="J3433" s="169" t="s">
        <v>13592</v>
      </c>
      <c r="K3433" s="169">
        <f>IFERROR(MATCH(J3433,'Final List'!$B$4:$B$252,0),0)</f>
        <v>0</v>
      </c>
      <c r="L3433" s="169">
        <f>IFERROR(MATCH(J3433,'Final List'!$D$4:$D$252,0),0)</f>
        <v>0</v>
      </c>
      <c r="M3433" s="169">
        <f>IFERROR(MATCH(J3433,'Final List'!$F$4:$F$251,0),0)</f>
        <v>0</v>
      </c>
      <c r="N3433" s="169">
        <f>IFERROR(MATCH(J3433,'Final List'!$H$4:$H$252,0),0)</f>
        <v>0</v>
      </c>
      <c r="O3433" s="169">
        <f>IFERROR(MATCH(J3433,'Final List'!$J$4:$J$252,0),0)</f>
        <v>0</v>
      </c>
      <c r="P3433" s="169">
        <f>IFERROR(MATCH(J3433,'Final List'!$L$4:$L$252,0),0)</f>
        <v>0</v>
      </c>
      <c r="Q3433" s="169">
        <f>IFERROR(MATCH(J3433,'Final List'!$N$4:$N$252,0),0)</f>
        <v>0</v>
      </c>
      <c r="R3433" s="169">
        <f>IFERROR(MATCH(J3433,'Final List'!$P$4:$P$252,0),0)</f>
        <v>0</v>
      </c>
      <c r="S3433" s="169">
        <f t="shared" si="215"/>
        <v>0</v>
      </c>
      <c r="V3433" s="169" t="str">
        <f t="shared" si="212"/>
        <v>NITRO BB</v>
      </c>
      <c r="W3433" s="169" t="s">
        <v>2715</v>
      </c>
    </row>
    <row r="3434" spans="2:23" x14ac:dyDescent="0.25">
      <c r="B3434" s="169" t="s">
        <v>1167</v>
      </c>
      <c r="C3434" s="169" t="s">
        <v>57</v>
      </c>
      <c r="D3434" s="169" t="s">
        <v>218</v>
      </c>
      <c r="E3434" s="169" t="s">
        <v>60</v>
      </c>
      <c r="F3434" s="245" t="str">
        <f t="shared" si="213"/>
        <v>Dhoz 71</v>
      </c>
      <c r="G3434" s="169" t="s">
        <v>9885</v>
      </c>
      <c r="I3434" s="169" t="str">
        <f t="shared" si="214"/>
        <v>L12_JVSPLIT_062E_DE</v>
      </c>
      <c r="J3434" s="169" t="s">
        <v>13658</v>
      </c>
      <c r="K3434" s="169">
        <f>IFERROR(MATCH(J3434,'Final List'!$B$4:$B$252,0),0)</f>
        <v>0</v>
      </c>
      <c r="L3434" s="169">
        <f>IFERROR(MATCH(J3434,'Final List'!$D$4:$D$252,0),0)</f>
        <v>0</v>
      </c>
      <c r="M3434" s="169">
        <f>IFERROR(MATCH(J3434,'Final List'!$F$4:$F$251,0),0)</f>
        <v>0</v>
      </c>
      <c r="N3434" s="169">
        <f>IFERROR(MATCH(J3434,'Final List'!$H$4:$H$252,0),0)</f>
        <v>0</v>
      </c>
      <c r="O3434" s="169">
        <f>IFERROR(MATCH(J3434,'Final List'!$J$4:$J$252,0),0)</f>
        <v>0</v>
      </c>
      <c r="P3434" s="169">
        <f>IFERROR(MATCH(J3434,'Final List'!$L$4:$L$252,0),0)</f>
        <v>0</v>
      </c>
      <c r="Q3434" s="169">
        <f>IFERROR(MATCH(J3434,'Final List'!$N$4:$N$252,0),0)</f>
        <v>0</v>
      </c>
      <c r="R3434" s="169">
        <f>IFERROR(MATCH(J3434,'Final List'!$P$4:$P$252,0),0)</f>
        <v>0</v>
      </c>
      <c r="S3434" s="169">
        <f t="shared" si="215"/>
        <v>0</v>
      </c>
      <c r="V3434" s="169" t="str">
        <f t="shared" si="212"/>
        <v>CAYMAN 2</v>
      </c>
      <c r="W3434" s="169" t="s">
        <v>8896</v>
      </c>
    </row>
    <row r="3435" spans="2:23" x14ac:dyDescent="0.25">
      <c r="B3435" s="169" t="s">
        <v>12320</v>
      </c>
      <c r="C3435" s="169" t="s">
        <v>59</v>
      </c>
      <c r="D3435" s="169" t="s">
        <v>176</v>
      </c>
      <c r="E3435" s="169" t="s">
        <v>60</v>
      </c>
      <c r="F3435" s="245" t="str">
        <f t="shared" si="213"/>
        <v>Dhoz 71</v>
      </c>
      <c r="G3435" s="169" t="s">
        <v>389</v>
      </c>
      <c r="H3435" s="169" t="s">
        <v>5704</v>
      </c>
      <c r="I3435" s="169" t="str">
        <f t="shared" si="214"/>
        <v>L425_GHVHW_057E_DE</v>
      </c>
      <c r="J3435" s="169" t="s">
        <v>13596</v>
      </c>
      <c r="K3435" s="169">
        <f>IFERROR(MATCH(J3435,'Final List'!$B$4:$B$252,0),0)</f>
        <v>0</v>
      </c>
      <c r="L3435" s="169">
        <f>IFERROR(MATCH(J3435,'Final List'!$D$4:$D$252,0),0)</f>
        <v>0</v>
      </c>
      <c r="M3435" s="169">
        <f>IFERROR(MATCH(J3435,'Final List'!$F$4:$F$251,0),0)</f>
        <v>0</v>
      </c>
      <c r="N3435" s="169">
        <f>IFERROR(MATCH(J3435,'Final List'!$H$4:$H$252,0),0)</f>
        <v>0</v>
      </c>
      <c r="O3435" s="169">
        <f>IFERROR(MATCH(J3435,'Final List'!$J$4:$J$252,0),0)</f>
        <v>0</v>
      </c>
      <c r="P3435" s="169">
        <f>IFERROR(MATCH(J3435,'Final List'!$L$4:$L$252,0),0)</f>
        <v>0</v>
      </c>
      <c r="Q3435" s="169">
        <f>IFERROR(MATCH(J3435,'Final List'!$N$4:$N$252,0),0)</f>
        <v>0</v>
      </c>
      <c r="R3435" s="169">
        <f>IFERROR(MATCH(J3435,'Final List'!$P$4:$P$252,0),0)</f>
        <v>0</v>
      </c>
      <c r="S3435" s="169">
        <f t="shared" si="215"/>
        <v>0</v>
      </c>
      <c r="V3435" s="169" t="str">
        <f t="shared" si="212"/>
        <v>OLIVEROS 3</v>
      </c>
      <c r="W3435" s="169" t="s">
        <v>8896</v>
      </c>
    </row>
    <row r="3436" spans="2:23" x14ac:dyDescent="0.25">
      <c r="B3436" s="169" t="s">
        <v>1166</v>
      </c>
      <c r="C3436" s="169" t="s">
        <v>59</v>
      </c>
      <c r="D3436" s="169" t="s">
        <v>5872</v>
      </c>
      <c r="E3436" s="169" t="s">
        <v>60</v>
      </c>
      <c r="F3436" s="245" t="str">
        <f t="shared" si="213"/>
        <v>Dhoz 71</v>
      </c>
      <c r="G3436" s="169" t="s">
        <v>4068</v>
      </c>
      <c r="I3436" s="169" t="str">
        <f t="shared" si="214"/>
        <v>L11_GHVHW_076E_DE</v>
      </c>
      <c r="J3436" s="169" t="s">
        <v>13599</v>
      </c>
      <c r="K3436" s="169">
        <f>IFERROR(MATCH(J3436,'Final List'!$B$4:$B$252,0),0)</f>
        <v>0</v>
      </c>
      <c r="L3436" s="169">
        <f>IFERROR(MATCH(J3436,'Final List'!$D$4:$D$252,0),0)</f>
        <v>0</v>
      </c>
      <c r="M3436" s="169">
        <f>IFERROR(MATCH(J3436,'Final List'!$F$4:$F$251,0),0)</f>
        <v>0</v>
      </c>
      <c r="N3436" s="169">
        <f>IFERROR(MATCH(J3436,'Final List'!$H$4:$H$252,0),0)</f>
        <v>0</v>
      </c>
      <c r="O3436" s="169">
        <f>IFERROR(MATCH(J3436,'Final List'!$J$4:$J$252,0),0)</f>
        <v>0</v>
      </c>
      <c r="P3436" s="169">
        <f>IFERROR(MATCH(J3436,'Final List'!$L$4:$L$252,0),0)</f>
        <v>0</v>
      </c>
      <c r="Q3436" s="169">
        <f>IFERROR(MATCH(J3436,'Final List'!$N$4:$N$252,0),0)</f>
        <v>0</v>
      </c>
      <c r="R3436" s="169">
        <f>IFERROR(MATCH(J3436,'Final List'!$P$4:$P$252,0),0)</f>
        <v>0</v>
      </c>
      <c r="S3436" s="169">
        <f t="shared" si="215"/>
        <v>0</v>
      </c>
      <c r="V3436" s="169" t="str">
        <f t="shared" si="212"/>
        <v>MAPAYO</v>
      </c>
      <c r="W3436" s="169" t="s">
        <v>8896</v>
      </c>
    </row>
    <row r="3437" spans="2:23" x14ac:dyDescent="0.25">
      <c r="B3437" s="169" t="s">
        <v>258</v>
      </c>
      <c r="C3437" s="169" t="s">
        <v>87</v>
      </c>
      <c r="D3437" s="169" t="s">
        <v>114</v>
      </c>
      <c r="E3437" s="169" t="s">
        <v>63</v>
      </c>
      <c r="F3437" s="245" t="str">
        <f t="shared" si="213"/>
        <v>Dhoz 71</v>
      </c>
      <c r="G3437" s="169" t="s">
        <v>12888</v>
      </c>
      <c r="I3437" s="169" t="str">
        <f t="shared" si="214"/>
        <v>L10_NONE_025W_XCS</v>
      </c>
      <c r="J3437" s="169" t="s">
        <v>13608</v>
      </c>
      <c r="K3437" s="169">
        <f>IFERROR(MATCH(J3437,'Final List'!$B$4:$B$252,0),0)</f>
        <v>0</v>
      </c>
      <c r="L3437" s="169">
        <f>IFERROR(MATCH(J3437,'Final List'!$D$4:$D$252,0),0)</f>
        <v>0</v>
      </c>
      <c r="M3437" s="169">
        <f>IFERROR(MATCH(J3437,'Final List'!$F$4:$F$251,0),0)</f>
        <v>0</v>
      </c>
      <c r="N3437" s="169">
        <f>IFERROR(MATCH(J3437,'Final List'!$H$4:$H$252,0),0)</f>
        <v>0</v>
      </c>
      <c r="O3437" s="169">
        <f>IFERROR(MATCH(J3437,'Final List'!$J$4:$J$252,0),0)</f>
        <v>0</v>
      </c>
      <c r="P3437" s="169">
        <f>IFERROR(MATCH(J3437,'Final List'!$L$4:$L$252,0),0)</f>
        <v>0</v>
      </c>
      <c r="Q3437" s="169">
        <f>IFERROR(MATCH(J3437,'Final List'!$N$4:$N$252,0),0)</f>
        <v>0</v>
      </c>
      <c r="R3437" s="169">
        <f>IFERROR(MATCH(J3437,'Final List'!$P$4:$P$252,0),0)</f>
        <v>0</v>
      </c>
      <c r="S3437" s="169">
        <f t="shared" si="215"/>
        <v>0</v>
      </c>
      <c r="V3437" s="169" t="str">
        <f t="shared" si="212"/>
        <v>NITRO BD</v>
      </c>
      <c r="W3437" s="169" t="s">
        <v>8898</v>
      </c>
    </row>
    <row r="3438" spans="2:23" x14ac:dyDescent="0.25">
      <c r="B3438" s="169" t="s">
        <v>1167</v>
      </c>
      <c r="C3438" s="169" t="s">
        <v>39</v>
      </c>
      <c r="D3438" s="169" t="s">
        <v>173</v>
      </c>
      <c r="E3438" s="169" t="s">
        <v>19</v>
      </c>
      <c r="F3438" s="245" t="str">
        <f t="shared" si="213"/>
        <v>DVR 72</v>
      </c>
      <c r="G3438" s="169" t="s">
        <v>12568</v>
      </c>
      <c r="I3438" s="169" t="str">
        <f t="shared" si="214"/>
        <v>L12_JVHW_049E_RAISE</v>
      </c>
      <c r="J3438" s="169" t="s">
        <v>13609</v>
      </c>
      <c r="K3438" s="169">
        <f>IFERROR(MATCH(J3438,'Final List'!$B$4:$B$252,0),0)</f>
        <v>0</v>
      </c>
      <c r="L3438" s="169">
        <f>IFERROR(MATCH(J3438,'Final List'!$D$4:$D$252,0),0)</f>
        <v>0</v>
      </c>
      <c r="M3438" s="169">
        <f>IFERROR(MATCH(J3438,'Final List'!$F$4:$F$251,0),0)</f>
        <v>0</v>
      </c>
      <c r="N3438" s="169">
        <f>IFERROR(MATCH(J3438,'Final List'!$H$4:$H$252,0),0)</f>
        <v>0</v>
      </c>
      <c r="O3438" s="169">
        <f>IFERROR(MATCH(J3438,'Final List'!$J$4:$J$252,0),0)</f>
        <v>0</v>
      </c>
      <c r="P3438" s="169">
        <f>IFERROR(MATCH(J3438,'Final List'!$L$4:$L$252,0),0)</f>
        <v>0</v>
      </c>
      <c r="Q3438" s="169">
        <f>IFERROR(MATCH(J3438,'Final List'!$N$4:$N$252,0),0)</f>
        <v>0</v>
      </c>
      <c r="R3438" s="169">
        <f>IFERROR(MATCH(J3438,'Final List'!$P$4:$P$252,0),0)</f>
        <v>0</v>
      </c>
      <c r="S3438" s="169">
        <f t="shared" si="215"/>
        <v>0</v>
      </c>
      <c r="V3438" s="169" t="str">
        <f t="shared" si="212"/>
        <v>NITRO BP</v>
      </c>
      <c r="W3438" s="169" t="s">
        <v>2715</v>
      </c>
    </row>
    <row r="3439" spans="2:23" x14ac:dyDescent="0.25">
      <c r="B3439" s="169" t="s">
        <v>1167</v>
      </c>
      <c r="C3439" s="169" t="s">
        <v>45</v>
      </c>
      <c r="D3439" s="169" t="s">
        <v>5614</v>
      </c>
      <c r="E3439" s="169" t="s">
        <v>19</v>
      </c>
      <c r="F3439" s="245" t="str">
        <f t="shared" si="213"/>
        <v>DVR 72</v>
      </c>
      <c r="G3439" s="169" t="s">
        <v>6929</v>
      </c>
      <c r="I3439" s="169" t="str">
        <f t="shared" si="214"/>
        <v>L12_DPVE_055E_RAISE</v>
      </c>
      <c r="J3439" s="169" t="s">
        <v>13610</v>
      </c>
      <c r="K3439" s="169">
        <f>IFERROR(MATCH(J3439,'Final List'!$B$4:$B$252,0),0)</f>
        <v>0</v>
      </c>
      <c r="L3439" s="169">
        <f>IFERROR(MATCH(J3439,'Final List'!$D$4:$D$252,0),0)</f>
        <v>0</v>
      </c>
      <c r="M3439" s="169">
        <f>IFERROR(MATCH(J3439,'Final List'!$F$4:$F$251,0),0)</f>
        <v>0</v>
      </c>
      <c r="N3439" s="169">
        <f>IFERROR(MATCH(J3439,'Final List'!$H$4:$H$252,0),0)</f>
        <v>0</v>
      </c>
      <c r="O3439" s="169">
        <f>IFERROR(MATCH(J3439,'Final List'!$J$4:$J$252,0),0)</f>
        <v>0</v>
      </c>
      <c r="P3439" s="169">
        <f>IFERROR(MATCH(J3439,'Final List'!$L$4:$L$252,0),0)</f>
        <v>0</v>
      </c>
      <c r="Q3439" s="169">
        <f>IFERROR(MATCH(J3439,'Final List'!$N$4:$N$252,0),0)</f>
        <v>0</v>
      </c>
      <c r="R3439" s="169">
        <f>IFERROR(MATCH(J3439,'Final List'!$P$4:$P$252,0),0)</f>
        <v>0</v>
      </c>
      <c r="S3439" s="169">
        <f t="shared" si="215"/>
        <v>0</v>
      </c>
      <c r="V3439" s="169" t="str">
        <f t="shared" si="212"/>
        <v>DUHIG, P4</v>
      </c>
      <c r="W3439" s="169" t="s">
        <v>2715</v>
      </c>
    </row>
    <row r="3440" spans="2:23" x14ac:dyDescent="0.25">
      <c r="B3440" s="169" t="s">
        <v>1166</v>
      </c>
      <c r="C3440" s="169" t="s">
        <v>39</v>
      </c>
      <c r="D3440" s="169" t="s">
        <v>170</v>
      </c>
      <c r="E3440" s="169" t="s">
        <v>6143</v>
      </c>
      <c r="F3440" s="245" t="str">
        <f t="shared" si="213"/>
        <v>Dhoz 71</v>
      </c>
      <c r="G3440" s="169" t="s">
        <v>5</v>
      </c>
      <c r="I3440" s="169" t="str">
        <f t="shared" si="214"/>
        <v>L11_JVHW_071E_DE_ISL</v>
      </c>
      <c r="J3440" s="169" t="s">
        <v>13613</v>
      </c>
      <c r="K3440" s="169">
        <f>IFERROR(MATCH(J3440,'Final List'!$B$4:$B$252,0),0)</f>
        <v>0</v>
      </c>
      <c r="L3440" s="169">
        <f>IFERROR(MATCH(J3440,'Final List'!$D$4:$D$252,0),0)</f>
        <v>0</v>
      </c>
      <c r="M3440" s="169">
        <f>IFERROR(MATCH(J3440,'Final List'!$F$4:$F$251,0),0)</f>
        <v>0</v>
      </c>
      <c r="N3440" s="169">
        <f>IFERROR(MATCH(J3440,'Final List'!$H$4:$H$252,0),0)</f>
        <v>0</v>
      </c>
      <c r="O3440" s="169">
        <f>IFERROR(MATCH(J3440,'Final List'!$J$4:$J$252,0),0)</f>
        <v>0</v>
      </c>
      <c r="P3440" s="169">
        <f>IFERROR(MATCH(J3440,'Final List'!$L$4:$L$252,0),0)</f>
        <v>0</v>
      </c>
      <c r="Q3440" s="169">
        <f>IFERROR(MATCH(J3440,'Final List'!$N$4:$N$252,0),0)</f>
        <v>0</v>
      </c>
      <c r="R3440" s="169">
        <f>IFERROR(MATCH(J3440,'Final List'!$P$4:$P$252,0),0)</f>
        <v>0</v>
      </c>
      <c r="S3440" s="169">
        <f t="shared" si="215"/>
        <v>0</v>
      </c>
      <c r="V3440" s="169" t="str">
        <f t="shared" si="212"/>
        <v>BELICAN</v>
      </c>
      <c r="W3440" s="169" t="s">
        <v>8896</v>
      </c>
    </row>
    <row r="3441" spans="2:23" x14ac:dyDescent="0.25">
      <c r="B3441" s="169" t="s">
        <v>12320</v>
      </c>
      <c r="C3441" s="169" t="s">
        <v>87</v>
      </c>
      <c r="D3441" s="169" t="s">
        <v>289</v>
      </c>
      <c r="E3441" s="169" t="s">
        <v>63</v>
      </c>
      <c r="F3441" s="245" t="str">
        <f t="shared" si="213"/>
        <v>Dhoz 71</v>
      </c>
      <c r="G3441" s="169" t="s">
        <v>5705</v>
      </c>
      <c r="H3441" s="169" t="s">
        <v>389</v>
      </c>
      <c r="I3441" s="169" t="str">
        <f t="shared" si="214"/>
        <v>L425_NONE_059E_XCS</v>
      </c>
      <c r="J3441" s="169" t="s">
        <v>13615</v>
      </c>
      <c r="K3441" s="169">
        <f>IFERROR(MATCH(J3441,'Final List'!$B$4:$B$252,0),0)</f>
        <v>0</v>
      </c>
      <c r="L3441" s="169">
        <f>IFERROR(MATCH(J3441,'Final List'!$D$4:$D$252,0),0)</f>
        <v>0</v>
      </c>
      <c r="M3441" s="169">
        <f>IFERROR(MATCH(J3441,'Final List'!$F$4:$F$251,0),0)</f>
        <v>0</v>
      </c>
      <c r="N3441" s="169">
        <f>IFERROR(MATCH(J3441,'Final List'!$H$4:$H$252,0),0)</f>
        <v>0</v>
      </c>
      <c r="O3441" s="169">
        <f>IFERROR(MATCH(J3441,'Final List'!$J$4:$J$252,0),0)</f>
        <v>0</v>
      </c>
      <c r="P3441" s="169">
        <f>IFERROR(MATCH(J3441,'Final List'!$L$4:$L$252,0),0)</f>
        <v>0</v>
      </c>
      <c r="Q3441" s="169">
        <f>IFERROR(MATCH(J3441,'Final List'!$N$4:$N$252,0),0)</f>
        <v>0</v>
      </c>
      <c r="R3441" s="169">
        <f>IFERROR(MATCH(J3441,'Final List'!$P$4:$P$252,0),0)</f>
        <v>0</v>
      </c>
      <c r="S3441" s="169">
        <f t="shared" si="215"/>
        <v>0</v>
      </c>
      <c r="V3441" s="169" t="str">
        <f t="shared" si="212"/>
        <v>CAPPUYO 1</v>
      </c>
      <c r="W3441" s="169" t="s">
        <v>8898</v>
      </c>
    </row>
    <row r="3442" spans="2:23" x14ac:dyDescent="0.25">
      <c r="B3442" s="169" t="s">
        <v>1166</v>
      </c>
      <c r="C3442" s="169" t="s">
        <v>43</v>
      </c>
      <c r="D3442" s="169" t="s">
        <v>167</v>
      </c>
      <c r="E3442" s="169" t="s">
        <v>221</v>
      </c>
      <c r="F3442" s="245" t="str">
        <f t="shared" si="213"/>
        <v>RobC 80</v>
      </c>
      <c r="G3442" s="169" t="s">
        <v>4068</v>
      </c>
      <c r="I3442" s="169" t="str">
        <f t="shared" si="214"/>
        <v>L11_GHVSPLIT_058E_WINZE STOPE</v>
      </c>
      <c r="J3442" s="169" t="s">
        <v>13713</v>
      </c>
      <c r="K3442" s="169">
        <f>IFERROR(MATCH(J3442,'Final List'!$B$4:$B$252,0),0)</f>
        <v>0</v>
      </c>
      <c r="L3442" s="169">
        <f>IFERROR(MATCH(J3442,'Final List'!$D$4:$D$252,0),0)</f>
        <v>0</v>
      </c>
      <c r="M3442" s="169">
        <f>IFERROR(MATCH(J3442,'Final List'!$F$4:$F$251,0),0)</f>
        <v>0</v>
      </c>
      <c r="N3442" s="169">
        <f>IFERROR(MATCH(J3442,'Final List'!$H$4:$H$252,0),0)</f>
        <v>0</v>
      </c>
      <c r="O3442" s="169">
        <f>IFERROR(MATCH(J3442,'Final List'!$J$4:$J$252,0),0)</f>
        <v>0</v>
      </c>
      <c r="P3442" s="169">
        <f>IFERROR(MATCH(J3442,'Final List'!$L$4:$L$252,0),0)</f>
        <v>0</v>
      </c>
      <c r="Q3442" s="169">
        <f>IFERROR(MATCH(J3442,'Final List'!$N$4:$N$252,0),0)</f>
        <v>0</v>
      </c>
      <c r="R3442" s="169">
        <f>IFERROR(MATCH(J3442,'Final List'!$P$4:$P$252,0),0)</f>
        <v>0</v>
      </c>
      <c r="S3442" s="169">
        <f t="shared" si="215"/>
        <v>0</v>
      </c>
      <c r="T3442" s="169" t="s">
        <v>68</v>
      </c>
      <c r="V3442" s="169" t="str">
        <f t="shared" si="212"/>
        <v>MAPAYO</v>
      </c>
      <c r="W3442" s="169" t="s">
        <v>2713</v>
      </c>
    </row>
    <row r="3443" spans="2:23" x14ac:dyDescent="0.25">
      <c r="B3443" s="169" t="s">
        <v>95</v>
      </c>
      <c r="C3443" s="169" t="s">
        <v>45</v>
      </c>
      <c r="D3443" s="169" t="s">
        <v>180</v>
      </c>
      <c r="E3443" s="169" t="s">
        <v>62</v>
      </c>
      <c r="F3443" s="245" t="str">
        <f t="shared" si="213"/>
        <v>RobS 79</v>
      </c>
      <c r="G3443" s="169" t="s">
        <v>6216</v>
      </c>
      <c r="I3443" s="169" t="str">
        <f t="shared" si="214"/>
        <v>L08_DPVE_041E_ROBBING</v>
      </c>
      <c r="J3443" s="169" t="s">
        <v>13622</v>
      </c>
      <c r="K3443" s="169">
        <f>IFERROR(MATCH(J3443,'Final List'!$B$4:$B$252,0),0)</f>
        <v>0</v>
      </c>
      <c r="L3443" s="169">
        <f>IFERROR(MATCH(J3443,'Final List'!$D$4:$D$252,0),0)</f>
        <v>0</v>
      </c>
      <c r="M3443" s="169">
        <f>IFERROR(MATCH(J3443,'Final List'!$F$4:$F$251,0),0)</f>
        <v>0</v>
      </c>
      <c r="N3443" s="169">
        <f>IFERROR(MATCH(J3443,'Final List'!$H$4:$H$252,0),0)</f>
        <v>0</v>
      </c>
      <c r="O3443" s="169">
        <f>IFERROR(MATCH(J3443,'Final List'!$J$4:$J$252,0),0)</f>
        <v>0</v>
      </c>
      <c r="P3443" s="169">
        <f>IFERROR(MATCH(J3443,'Final List'!$L$4:$L$252,0),0)</f>
        <v>0</v>
      </c>
      <c r="Q3443" s="169">
        <f>IFERROR(MATCH(J3443,'Final List'!$N$4:$N$252,0),0)</f>
        <v>0</v>
      </c>
      <c r="R3443" s="169">
        <f>IFERROR(MATCH(J3443,'Final List'!$P$4:$P$252,0),0)</f>
        <v>0</v>
      </c>
      <c r="S3443" s="169">
        <f t="shared" si="215"/>
        <v>0</v>
      </c>
      <c r="T3443" s="169" t="s">
        <v>68</v>
      </c>
      <c r="V3443" s="169" t="str">
        <f t="shared" si="212"/>
        <v>FERNANDEZ</v>
      </c>
      <c r="W3443" s="169" t="s">
        <v>2707</v>
      </c>
    </row>
    <row r="3444" spans="2:23" x14ac:dyDescent="0.25">
      <c r="B3444" s="169" t="s">
        <v>95</v>
      </c>
      <c r="C3444" s="169" t="s">
        <v>45</v>
      </c>
      <c r="D3444" s="169" t="s">
        <v>148</v>
      </c>
      <c r="E3444" s="169" t="s">
        <v>20</v>
      </c>
      <c r="F3444" s="245" t="str">
        <f t="shared" si="213"/>
        <v>DVW 74</v>
      </c>
      <c r="G3444" s="169" t="s">
        <v>13066</v>
      </c>
      <c r="I3444" s="169" t="str">
        <f t="shared" si="214"/>
        <v>L08_DPVE_039E_WINZE</v>
      </c>
      <c r="J3444" s="169" t="s">
        <v>13624</v>
      </c>
      <c r="K3444" s="169">
        <f>IFERROR(MATCH(J3444,'Final List'!$B$4:$B$252,0),0)</f>
        <v>0</v>
      </c>
      <c r="L3444" s="169">
        <f>IFERROR(MATCH(J3444,'Final List'!$D$4:$D$252,0),0)</f>
        <v>0</v>
      </c>
      <c r="M3444" s="169">
        <f>IFERROR(MATCH(J3444,'Final List'!$F$4:$F$251,0),0)</f>
        <v>0</v>
      </c>
      <c r="N3444" s="169">
        <f>IFERROR(MATCH(J3444,'Final List'!$H$4:$H$252,0),0)</f>
        <v>0</v>
      </c>
      <c r="O3444" s="169">
        <f>IFERROR(MATCH(J3444,'Final List'!$J$4:$J$252,0),0)</f>
        <v>0</v>
      </c>
      <c r="P3444" s="169">
        <f>IFERROR(MATCH(J3444,'Final List'!$L$4:$L$252,0),0)</f>
        <v>0</v>
      </c>
      <c r="Q3444" s="169">
        <f>IFERROR(MATCH(J3444,'Final List'!$N$4:$N$252,0),0)</f>
        <v>0</v>
      </c>
      <c r="R3444" s="169">
        <f>IFERROR(MATCH(J3444,'Final List'!$P$4:$P$252,0),0)</f>
        <v>0</v>
      </c>
      <c r="S3444" s="169">
        <f t="shared" si="215"/>
        <v>0</v>
      </c>
      <c r="V3444" s="169" t="str">
        <f t="shared" si="212"/>
        <v>NITRO BZ</v>
      </c>
      <c r="W3444" s="169" t="s">
        <v>2706</v>
      </c>
    </row>
    <row r="3445" spans="2:23" x14ac:dyDescent="0.25">
      <c r="B3445" s="169" t="s">
        <v>95</v>
      </c>
      <c r="C3445" s="169" t="s">
        <v>45</v>
      </c>
      <c r="D3445" s="169" t="s">
        <v>5741</v>
      </c>
      <c r="E3445" s="169" t="s">
        <v>61</v>
      </c>
      <c r="F3445" s="245" t="str">
        <f t="shared" si="213"/>
        <v>Dhoz 71</v>
      </c>
      <c r="G3445" s="169" t="s">
        <v>13066</v>
      </c>
      <c r="I3445" s="169" t="str">
        <f t="shared" si="214"/>
        <v>L08_DPVE_035E_DW</v>
      </c>
      <c r="J3445" s="169" t="s">
        <v>13625</v>
      </c>
      <c r="K3445" s="169">
        <f>IFERROR(MATCH(J3445,'Final List'!$B$4:$B$252,0),0)</f>
        <v>0</v>
      </c>
      <c r="L3445" s="169">
        <f>IFERROR(MATCH(J3445,'Final List'!$D$4:$D$252,0),0)</f>
        <v>0</v>
      </c>
      <c r="M3445" s="169">
        <f>IFERROR(MATCH(J3445,'Final List'!$F$4:$F$251,0),0)</f>
        <v>0</v>
      </c>
      <c r="N3445" s="169">
        <f>IFERROR(MATCH(J3445,'Final List'!$H$4:$H$252,0),0)</f>
        <v>0</v>
      </c>
      <c r="O3445" s="169">
        <f>IFERROR(MATCH(J3445,'Final List'!$J$4:$J$252,0),0)</f>
        <v>0</v>
      </c>
      <c r="P3445" s="169">
        <f>IFERROR(MATCH(J3445,'Final List'!$L$4:$L$252,0),0)</f>
        <v>0</v>
      </c>
      <c r="Q3445" s="169">
        <f>IFERROR(MATCH(J3445,'Final List'!$N$4:$N$252,0),0)</f>
        <v>0</v>
      </c>
      <c r="R3445" s="169">
        <f>IFERROR(MATCH(J3445,'Final List'!$P$4:$P$252,0),0)</f>
        <v>0</v>
      </c>
      <c r="S3445" s="169">
        <f t="shared" si="215"/>
        <v>0</v>
      </c>
      <c r="V3445" s="169" t="str">
        <f t="shared" si="212"/>
        <v>NITRO BZ</v>
      </c>
      <c r="W3445" s="169" t="s">
        <v>8895</v>
      </c>
    </row>
    <row r="3446" spans="2:23" x14ac:dyDescent="0.25">
      <c r="B3446" s="169" t="s">
        <v>1167</v>
      </c>
      <c r="C3446" s="169" t="s">
        <v>39</v>
      </c>
      <c r="D3446" s="169" t="s">
        <v>172</v>
      </c>
      <c r="E3446" s="169" t="s">
        <v>60</v>
      </c>
      <c r="F3446" s="245" t="str">
        <f t="shared" si="213"/>
        <v>Dhoz 71</v>
      </c>
      <c r="G3446" s="169" t="s">
        <v>12786</v>
      </c>
      <c r="I3446" s="169" t="str">
        <f t="shared" si="214"/>
        <v>L12_JVHW_045E_DE</v>
      </c>
      <c r="J3446" s="169" t="s">
        <v>13631</v>
      </c>
      <c r="K3446" s="169">
        <f>IFERROR(MATCH(J3446,'Final List'!$B$4:$B$252,0),0)</f>
        <v>0</v>
      </c>
      <c r="L3446" s="169">
        <f>IFERROR(MATCH(J3446,'Final List'!$D$4:$D$252,0),0)</f>
        <v>0</v>
      </c>
      <c r="M3446" s="169">
        <f>IFERROR(MATCH(J3446,'Final List'!$F$4:$F$251,0),0)</f>
        <v>0</v>
      </c>
      <c r="N3446" s="169">
        <f>IFERROR(MATCH(J3446,'Final List'!$H$4:$H$252,0),0)</f>
        <v>0</v>
      </c>
      <c r="O3446" s="169">
        <f>IFERROR(MATCH(J3446,'Final List'!$J$4:$J$252,0),0)</f>
        <v>0</v>
      </c>
      <c r="P3446" s="169">
        <f>IFERROR(MATCH(J3446,'Final List'!$L$4:$L$252,0),0)</f>
        <v>0</v>
      </c>
      <c r="Q3446" s="169">
        <f>IFERROR(MATCH(J3446,'Final List'!$N$4:$N$252,0),0)</f>
        <v>0</v>
      </c>
      <c r="R3446" s="169">
        <f>IFERROR(MATCH(J3446,'Final List'!$P$4:$P$252,0),0)</f>
        <v>0</v>
      </c>
      <c r="S3446" s="169">
        <f t="shared" si="215"/>
        <v>0</v>
      </c>
      <c r="V3446" s="169" t="str">
        <f t="shared" si="212"/>
        <v>NITRO BC 3</v>
      </c>
      <c r="W3446" s="169" t="s">
        <v>8896</v>
      </c>
    </row>
    <row r="3447" spans="2:23" x14ac:dyDescent="0.25">
      <c r="B3447" s="169" t="s">
        <v>1167</v>
      </c>
      <c r="C3447" s="169" t="s">
        <v>87</v>
      </c>
      <c r="D3447" s="169" t="s">
        <v>197</v>
      </c>
      <c r="E3447" s="169" t="s">
        <v>63</v>
      </c>
      <c r="F3447" s="245" t="str">
        <f t="shared" si="213"/>
        <v>Dhoz 71</v>
      </c>
      <c r="G3447" s="169" t="s">
        <v>13633</v>
      </c>
      <c r="I3447" s="169" t="str">
        <f t="shared" si="214"/>
        <v>L12_NONE_070E_XCS</v>
      </c>
      <c r="J3447" s="169" t="s">
        <v>13632</v>
      </c>
      <c r="K3447" s="169">
        <f>IFERROR(MATCH(J3447,'Final List'!$B$4:$B$252,0),0)</f>
        <v>0</v>
      </c>
      <c r="L3447" s="169">
        <f>IFERROR(MATCH(J3447,'Final List'!$D$4:$D$252,0),0)</f>
        <v>0</v>
      </c>
      <c r="M3447" s="169">
        <f>IFERROR(MATCH(J3447,'Final List'!$F$4:$F$251,0),0)</f>
        <v>0</v>
      </c>
      <c r="N3447" s="169">
        <f>IFERROR(MATCH(J3447,'Final List'!$H$4:$H$252,0),0)</f>
        <v>0</v>
      </c>
      <c r="O3447" s="169">
        <f>IFERROR(MATCH(J3447,'Final List'!$J$4:$J$252,0),0)</f>
        <v>0</v>
      </c>
      <c r="P3447" s="169">
        <f>IFERROR(MATCH(J3447,'Final List'!$L$4:$L$252,0),0)</f>
        <v>0</v>
      </c>
      <c r="Q3447" s="169">
        <f>IFERROR(MATCH(J3447,'Final List'!$N$4:$N$252,0),0)</f>
        <v>0</v>
      </c>
      <c r="R3447" s="169">
        <f>IFERROR(MATCH(J3447,'Final List'!$P$4:$P$252,0),0)</f>
        <v>0</v>
      </c>
      <c r="S3447" s="169">
        <f t="shared" si="215"/>
        <v>0</v>
      </c>
      <c r="V3447" s="169" t="str">
        <f t="shared" si="212"/>
        <v>CAYMAN</v>
      </c>
      <c r="W3447" s="169" t="s">
        <v>8898</v>
      </c>
    </row>
    <row r="3448" spans="2:23" x14ac:dyDescent="0.25">
      <c r="B3448" s="169" t="s">
        <v>1167</v>
      </c>
      <c r="C3448" s="169" t="s">
        <v>55</v>
      </c>
      <c r="D3448" s="169" t="s">
        <v>5742</v>
      </c>
      <c r="E3448" s="169" t="s">
        <v>19</v>
      </c>
      <c r="F3448" s="245" t="str">
        <f t="shared" si="213"/>
        <v>DVR 72</v>
      </c>
      <c r="G3448" s="169" t="s">
        <v>12548</v>
      </c>
      <c r="I3448" s="169" t="str">
        <f t="shared" si="214"/>
        <v>L12_JVFW_040E_RAISE</v>
      </c>
      <c r="J3448" s="169" t="s">
        <v>13635</v>
      </c>
      <c r="K3448" s="169">
        <f>IFERROR(MATCH(J3448,'Final List'!$B$4:$B$252,0),0)</f>
        <v>0</v>
      </c>
      <c r="L3448" s="169">
        <f>IFERROR(MATCH(J3448,'Final List'!$D$4:$D$252,0),0)</f>
        <v>0</v>
      </c>
      <c r="M3448" s="169">
        <f>IFERROR(MATCH(J3448,'Final List'!$F$4:$F$251,0),0)</f>
        <v>0</v>
      </c>
      <c r="N3448" s="169">
        <f>IFERROR(MATCH(J3448,'Final List'!$H$4:$H$252,0),0)</f>
        <v>0</v>
      </c>
      <c r="O3448" s="169">
        <f>IFERROR(MATCH(J3448,'Final List'!$J$4:$J$252,0),0)</f>
        <v>0</v>
      </c>
      <c r="P3448" s="169">
        <f>IFERROR(MATCH(J3448,'Final List'!$L$4:$L$252,0),0)</f>
        <v>0</v>
      </c>
      <c r="Q3448" s="169">
        <f>IFERROR(MATCH(J3448,'Final List'!$N$4:$N$252,0),0)</f>
        <v>0</v>
      </c>
      <c r="R3448" s="169">
        <f>IFERROR(MATCH(J3448,'Final List'!$P$4:$P$252,0),0)</f>
        <v>0</v>
      </c>
      <c r="S3448" s="169">
        <f t="shared" si="215"/>
        <v>0</v>
      </c>
      <c r="V3448" s="169" t="str">
        <f t="shared" ref="V3448:V3511" si="216">IF(H3448="",G3448,H3448)</f>
        <v>NITRO BM</v>
      </c>
      <c r="W3448" s="169" t="s">
        <v>2715</v>
      </c>
    </row>
    <row r="3449" spans="2:23" x14ac:dyDescent="0.25">
      <c r="B3449" s="169" t="s">
        <v>1167</v>
      </c>
      <c r="C3449" s="169" t="s">
        <v>56</v>
      </c>
      <c r="D3449" s="169" t="s">
        <v>135</v>
      </c>
      <c r="E3449" s="169" t="s">
        <v>60</v>
      </c>
      <c r="F3449" s="245" t="str">
        <f t="shared" si="213"/>
        <v>Dhoz 71</v>
      </c>
      <c r="G3449" s="169" t="s">
        <v>6930</v>
      </c>
      <c r="I3449" s="169" t="str">
        <f t="shared" si="214"/>
        <v>L12_GHVFW_034E_DE</v>
      </c>
      <c r="J3449" s="169" t="s">
        <v>13639</v>
      </c>
      <c r="K3449" s="169">
        <f>IFERROR(MATCH(J3449,'Final List'!$B$4:$B$252,0),0)</f>
        <v>0</v>
      </c>
      <c r="L3449" s="169">
        <f>IFERROR(MATCH(J3449,'Final List'!$D$4:$D$252,0),0)</f>
        <v>0</v>
      </c>
      <c r="M3449" s="169">
        <f>IFERROR(MATCH(J3449,'Final List'!$F$4:$F$251,0),0)</f>
        <v>0</v>
      </c>
      <c r="N3449" s="169">
        <f>IFERROR(MATCH(J3449,'Final List'!$H$4:$H$252,0),0)</f>
        <v>0</v>
      </c>
      <c r="O3449" s="169">
        <f>IFERROR(MATCH(J3449,'Final List'!$J$4:$J$252,0),0)</f>
        <v>0</v>
      </c>
      <c r="P3449" s="169">
        <f>IFERROR(MATCH(J3449,'Final List'!$L$4:$L$252,0),0)</f>
        <v>0</v>
      </c>
      <c r="Q3449" s="169">
        <f>IFERROR(MATCH(J3449,'Final List'!$N$4:$N$252,0),0)</f>
        <v>0</v>
      </c>
      <c r="R3449" s="169">
        <f>IFERROR(MATCH(J3449,'Final List'!$P$4:$P$252,0),0)</f>
        <v>0</v>
      </c>
      <c r="S3449" s="169">
        <f t="shared" si="215"/>
        <v>0</v>
      </c>
      <c r="V3449" s="169" t="str">
        <f t="shared" si="216"/>
        <v>DUHIG, P1</v>
      </c>
      <c r="W3449" s="169" t="s">
        <v>8896</v>
      </c>
    </row>
    <row r="3450" spans="2:23" x14ac:dyDescent="0.25">
      <c r="B3450" s="169" t="s">
        <v>258</v>
      </c>
      <c r="C3450" s="169" t="s">
        <v>87</v>
      </c>
      <c r="D3450" s="169" t="s">
        <v>9537</v>
      </c>
      <c r="E3450" s="169" t="s">
        <v>63</v>
      </c>
      <c r="F3450" s="245" t="str">
        <f t="shared" si="213"/>
        <v>Dhoz 71</v>
      </c>
      <c r="G3450" s="169" t="s">
        <v>13277</v>
      </c>
      <c r="I3450" s="169" t="str">
        <f t="shared" si="214"/>
        <v>L10_NONE_093E_XCS</v>
      </c>
      <c r="J3450" s="169" t="s">
        <v>13637</v>
      </c>
      <c r="K3450" s="169">
        <f>IFERROR(MATCH(J3450,'Final List'!$B$4:$B$252,0),0)</f>
        <v>0</v>
      </c>
      <c r="L3450" s="169">
        <f>IFERROR(MATCH(J3450,'Final List'!$D$4:$D$252,0),0)</f>
        <v>0</v>
      </c>
      <c r="M3450" s="169">
        <f>IFERROR(MATCH(J3450,'Final List'!$F$4:$F$251,0),0)</f>
        <v>0</v>
      </c>
      <c r="N3450" s="169">
        <f>IFERROR(MATCH(J3450,'Final List'!$H$4:$H$252,0),0)</f>
        <v>0</v>
      </c>
      <c r="O3450" s="169">
        <f>IFERROR(MATCH(J3450,'Final List'!$J$4:$J$252,0),0)</f>
        <v>0</v>
      </c>
      <c r="P3450" s="169">
        <f>IFERROR(MATCH(J3450,'Final List'!$L$4:$L$252,0),0)</f>
        <v>0</v>
      </c>
      <c r="Q3450" s="169">
        <f>IFERROR(MATCH(J3450,'Final List'!$N$4:$N$252,0),0)</f>
        <v>0</v>
      </c>
      <c r="R3450" s="169">
        <f>IFERROR(MATCH(J3450,'Final List'!$P$4:$P$252,0),0)</f>
        <v>0</v>
      </c>
      <c r="S3450" s="169">
        <f t="shared" si="215"/>
        <v>0</v>
      </c>
      <c r="V3450" s="169" t="str">
        <f t="shared" si="216"/>
        <v>NITRO CC</v>
      </c>
      <c r="W3450" s="169" t="s">
        <v>8898</v>
      </c>
    </row>
    <row r="3451" spans="2:23" x14ac:dyDescent="0.25">
      <c r="B3451" s="169" t="s">
        <v>96</v>
      </c>
      <c r="C3451" s="169" t="s">
        <v>45</v>
      </c>
      <c r="D3451" s="169" t="s">
        <v>180</v>
      </c>
      <c r="E3451" s="169" t="s">
        <v>61</v>
      </c>
      <c r="F3451" s="245" t="str">
        <f t="shared" si="213"/>
        <v>Dhoz 71</v>
      </c>
      <c r="G3451" s="169" t="s">
        <v>13105</v>
      </c>
      <c r="I3451" s="169" t="str">
        <f t="shared" si="214"/>
        <v>L09_DPVE_041E_DW</v>
      </c>
      <c r="J3451" s="169" t="s">
        <v>13638</v>
      </c>
      <c r="K3451" s="169">
        <f>IFERROR(MATCH(J3451,'Final List'!$B$4:$B$252,0),0)</f>
        <v>0</v>
      </c>
      <c r="L3451" s="169">
        <f>IFERROR(MATCH(J3451,'Final List'!$D$4:$D$252,0),0)</f>
        <v>0</v>
      </c>
      <c r="M3451" s="169">
        <f>IFERROR(MATCH(J3451,'Final List'!$F$4:$F$251,0),0)</f>
        <v>0</v>
      </c>
      <c r="N3451" s="169">
        <f>IFERROR(MATCH(J3451,'Final List'!$H$4:$H$252,0),0)</f>
        <v>0</v>
      </c>
      <c r="O3451" s="169">
        <f>IFERROR(MATCH(J3451,'Final List'!$J$4:$J$252,0),0)</f>
        <v>0</v>
      </c>
      <c r="P3451" s="169">
        <f>IFERROR(MATCH(J3451,'Final List'!$L$4:$L$252,0),0)</f>
        <v>0</v>
      </c>
      <c r="Q3451" s="169">
        <f>IFERROR(MATCH(J3451,'Final List'!$N$4:$N$252,0),0)</f>
        <v>0</v>
      </c>
      <c r="R3451" s="169">
        <f>IFERROR(MATCH(J3451,'Final List'!$P$4:$P$252,0),0)</f>
        <v>0</v>
      </c>
      <c r="S3451" s="169">
        <f t="shared" si="215"/>
        <v>0</v>
      </c>
      <c r="V3451" s="169" t="str">
        <f t="shared" si="216"/>
        <v>NITRO BY</v>
      </c>
      <c r="W3451" s="169" t="s">
        <v>8896</v>
      </c>
    </row>
    <row r="3452" spans="2:23" x14ac:dyDescent="0.25">
      <c r="B3452" s="169" t="s">
        <v>1167</v>
      </c>
      <c r="C3452" s="169" t="s">
        <v>87</v>
      </c>
      <c r="D3452" s="169" t="s">
        <v>141</v>
      </c>
      <c r="E3452" s="169" t="s">
        <v>63</v>
      </c>
      <c r="F3452" s="245" t="str">
        <f t="shared" si="213"/>
        <v>Dhoz 71</v>
      </c>
      <c r="G3452" s="169" t="s">
        <v>12199</v>
      </c>
      <c r="I3452" s="169" t="str">
        <f t="shared" si="214"/>
        <v>L12_NONE_029E_XCS</v>
      </c>
      <c r="J3452" s="169" t="s">
        <v>13647</v>
      </c>
      <c r="K3452" s="169">
        <f>IFERROR(MATCH(J3452,'Final List'!$B$4:$B$252,0),0)</f>
        <v>0</v>
      </c>
      <c r="L3452" s="169">
        <f>IFERROR(MATCH(J3452,'Final List'!$D$4:$D$252,0),0)</f>
        <v>0</v>
      </c>
      <c r="M3452" s="169">
        <f>IFERROR(MATCH(J3452,'Final List'!$F$4:$F$251,0),0)</f>
        <v>0</v>
      </c>
      <c r="N3452" s="169">
        <f>IFERROR(MATCH(J3452,'Final List'!$H$4:$H$252,0),0)</f>
        <v>0</v>
      </c>
      <c r="O3452" s="169">
        <f>IFERROR(MATCH(J3452,'Final List'!$J$4:$J$252,0),0)</f>
        <v>0</v>
      </c>
      <c r="P3452" s="169">
        <f>IFERROR(MATCH(J3452,'Final List'!$L$4:$L$252,0),0)</f>
        <v>0</v>
      </c>
      <c r="Q3452" s="169">
        <f>IFERROR(MATCH(J3452,'Final List'!$N$4:$N$252,0),0)</f>
        <v>0</v>
      </c>
      <c r="R3452" s="169">
        <f>IFERROR(MATCH(J3452,'Final List'!$P$4:$P$252,0),0)</f>
        <v>0</v>
      </c>
      <c r="S3452" s="169">
        <f t="shared" si="215"/>
        <v>0</v>
      </c>
      <c r="V3452" s="169" t="str">
        <f t="shared" si="216"/>
        <v>NITRO BF 5</v>
      </c>
      <c r="W3452" s="169" t="s">
        <v>8898</v>
      </c>
    </row>
    <row r="3453" spans="2:23" x14ac:dyDescent="0.25">
      <c r="B3453" s="169" t="s">
        <v>12320</v>
      </c>
      <c r="C3453" s="169" t="s">
        <v>38</v>
      </c>
      <c r="D3453" s="169" t="s">
        <v>160</v>
      </c>
      <c r="E3453" s="169" t="s">
        <v>60</v>
      </c>
      <c r="F3453" s="245" t="str">
        <f t="shared" si="213"/>
        <v>Dhoz 71</v>
      </c>
      <c r="G3453" s="169" t="s">
        <v>389</v>
      </c>
      <c r="H3453" s="169" t="s">
        <v>12198</v>
      </c>
      <c r="I3453" s="169" t="str">
        <f t="shared" si="214"/>
        <v>L425_GHV_042E_DE</v>
      </c>
      <c r="J3453" s="169" t="s">
        <v>13640</v>
      </c>
      <c r="K3453" s="169">
        <f>IFERROR(MATCH(J3453,'Final List'!$B$4:$B$252,0),0)</f>
        <v>0</v>
      </c>
      <c r="L3453" s="169">
        <f>IFERROR(MATCH(J3453,'Final List'!$D$4:$D$252,0),0)</f>
        <v>0</v>
      </c>
      <c r="M3453" s="169">
        <f>IFERROR(MATCH(J3453,'Final List'!$F$4:$F$251,0),0)</f>
        <v>0</v>
      </c>
      <c r="N3453" s="169">
        <f>IFERROR(MATCH(J3453,'Final List'!$H$4:$H$252,0),0)</f>
        <v>0</v>
      </c>
      <c r="O3453" s="169">
        <f>IFERROR(MATCH(J3453,'Final List'!$J$4:$J$252,0),0)</f>
        <v>0</v>
      </c>
      <c r="P3453" s="169">
        <f>IFERROR(MATCH(J3453,'Final List'!$L$4:$L$252,0),0)</f>
        <v>0</v>
      </c>
      <c r="Q3453" s="169">
        <f>IFERROR(MATCH(J3453,'Final List'!$N$4:$N$252,0),0)</f>
        <v>0</v>
      </c>
      <c r="R3453" s="169">
        <f>IFERROR(MATCH(J3453,'Final List'!$P$4:$P$252,0),0)</f>
        <v>0</v>
      </c>
      <c r="S3453" s="169">
        <f t="shared" si="215"/>
        <v>0</v>
      </c>
      <c r="V3453" s="169" t="str">
        <f t="shared" si="216"/>
        <v>NITRO BF 3</v>
      </c>
      <c r="W3453" s="169" t="s">
        <v>8896</v>
      </c>
    </row>
    <row r="3454" spans="2:23" x14ac:dyDescent="0.25">
      <c r="B3454" s="169" t="s">
        <v>12320</v>
      </c>
      <c r="C3454" s="169" t="s">
        <v>42</v>
      </c>
      <c r="D3454" s="169" t="s">
        <v>172</v>
      </c>
      <c r="E3454" s="169" t="s">
        <v>61</v>
      </c>
      <c r="F3454" s="245" t="str">
        <f t="shared" si="213"/>
        <v>Dhoz 71</v>
      </c>
      <c r="G3454" s="169" t="s">
        <v>355</v>
      </c>
      <c r="I3454" s="169" t="str">
        <f t="shared" si="214"/>
        <v>L425_JV_045E_DW</v>
      </c>
      <c r="J3454" s="169" t="s">
        <v>13641</v>
      </c>
      <c r="K3454" s="169">
        <f>IFERROR(MATCH(J3454,'Final List'!$B$4:$B$252,0),0)</f>
        <v>0</v>
      </c>
      <c r="L3454" s="169">
        <f>IFERROR(MATCH(J3454,'Final List'!$D$4:$D$252,0),0)</f>
        <v>0</v>
      </c>
      <c r="M3454" s="169">
        <f>IFERROR(MATCH(J3454,'Final List'!$F$4:$F$251,0),0)</f>
        <v>0</v>
      </c>
      <c r="N3454" s="169">
        <f>IFERROR(MATCH(J3454,'Final List'!$H$4:$H$252,0),0)</f>
        <v>0</v>
      </c>
      <c r="O3454" s="169">
        <f>IFERROR(MATCH(J3454,'Final List'!$J$4:$J$252,0),0)</f>
        <v>0</v>
      </c>
      <c r="P3454" s="169">
        <f>IFERROR(MATCH(J3454,'Final List'!$L$4:$L$252,0),0)</f>
        <v>0</v>
      </c>
      <c r="Q3454" s="169">
        <f>IFERROR(MATCH(J3454,'Final List'!$N$4:$N$252,0),0)</f>
        <v>0</v>
      </c>
      <c r="R3454" s="169">
        <f>IFERROR(MATCH(J3454,'Final List'!$P$4:$P$252,0),0)</f>
        <v>0</v>
      </c>
      <c r="S3454" s="169">
        <f t="shared" si="215"/>
        <v>0</v>
      </c>
      <c r="V3454" s="169" t="str">
        <f t="shared" si="216"/>
        <v>BAÑEZ 2</v>
      </c>
      <c r="W3454" s="169" t="s">
        <v>8896</v>
      </c>
    </row>
    <row r="3455" spans="2:23" x14ac:dyDescent="0.25">
      <c r="B3455" s="169" t="s">
        <v>12320</v>
      </c>
      <c r="C3455" s="169" t="s">
        <v>42</v>
      </c>
      <c r="D3455" s="169" t="s">
        <v>5614</v>
      </c>
      <c r="E3455" s="169" t="s">
        <v>36</v>
      </c>
      <c r="F3455" s="245" t="str">
        <f t="shared" si="213"/>
        <v>StpS 77</v>
      </c>
      <c r="G3455" s="169" t="s">
        <v>12197</v>
      </c>
      <c r="I3455" s="169" t="str">
        <f t="shared" si="214"/>
        <v>L425_JV_055E_STOPE</v>
      </c>
      <c r="J3455" s="169" t="s">
        <v>13748</v>
      </c>
      <c r="K3455" s="169">
        <f>IFERROR(MATCH(J3455,'Final List'!$B$4:$B$252,0),0)</f>
        <v>0</v>
      </c>
      <c r="L3455" s="169">
        <f>IFERROR(MATCH(J3455,'Final List'!$D$4:$D$252,0),0)</f>
        <v>0</v>
      </c>
      <c r="M3455" s="169">
        <f>IFERROR(MATCH(J3455,'Final List'!$F$4:$F$251,0),0)</f>
        <v>0</v>
      </c>
      <c r="N3455" s="169">
        <f>IFERROR(MATCH(J3455,'Final List'!$H$4:$H$252,0),0)</f>
        <v>0</v>
      </c>
      <c r="O3455" s="169">
        <f>IFERROR(MATCH(J3455,'Final List'!$J$4:$J$252,0),0)</f>
        <v>0</v>
      </c>
      <c r="P3455" s="169">
        <f>IFERROR(MATCH(J3455,'Final List'!$L$4:$L$252,0),0)</f>
        <v>0</v>
      </c>
      <c r="Q3455" s="169">
        <f>IFERROR(MATCH(J3455,'Final List'!$N$4:$N$252,0),0)</f>
        <v>0</v>
      </c>
      <c r="R3455" s="169">
        <f>IFERROR(MATCH(J3455,'Final List'!$P$4:$P$252,0),0)</f>
        <v>0</v>
      </c>
      <c r="S3455" s="169">
        <f t="shared" si="215"/>
        <v>0</v>
      </c>
      <c r="T3455" s="169" t="s">
        <v>68</v>
      </c>
      <c r="V3455" s="169" t="str">
        <f t="shared" si="216"/>
        <v>NITRO BF 2</v>
      </c>
      <c r="W3455" s="169" t="s">
        <v>2713</v>
      </c>
    </row>
    <row r="3456" spans="2:23" x14ac:dyDescent="0.25">
      <c r="B3456" s="169" t="s">
        <v>1166</v>
      </c>
      <c r="C3456" s="169" t="s">
        <v>87</v>
      </c>
      <c r="D3456" s="169" t="s">
        <v>149</v>
      </c>
      <c r="E3456" s="169" t="s">
        <v>37</v>
      </c>
      <c r="F3456" s="245" t="str">
        <f t="shared" si="213"/>
        <v>Dhoz 71</v>
      </c>
      <c r="G3456" s="169" t="s">
        <v>6954</v>
      </c>
      <c r="I3456" s="169" t="str">
        <f t="shared" si="214"/>
        <v>L11_NONE_021E_XCN</v>
      </c>
      <c r="J3456" s="169" t="s">
        <v>13644</v>
      </c>
      <c r="K3456" s="169">
        <f>IFERROR(MATCH(J3456,'Final List'!$B$4:$B$252,0),0)</f>
        <v>0</v>
      </c>
      <c r="L3456" s="169">
        <f>IFERROR(MATCH(J3456,'Final List'!$D$4:$D$252,0),0)</f>
        <v>0</v>
      </c>
      <c r="M3456" s="169">
        <f>IFERROR(MATCH(J3456,'Final List'!$F$4:$F$251,0),0)</f>
        <v>0</v>
      </c>
      <c r="N3456" s="169">
        <f>IFERROR(MATCH(J3456,'Final List'!$H$4:$H$252,0),0)</f>
        <v>0</v>
      </c>
      <c r="O3456" s="169">
        <f>IFERROR(MATCH(J3456,'Final List'!$J$4:$J$252,0),0)</f>
        <v>0</v>
      </c>
      <c r="P3456" s="169">
        <f>IFERROR(MATCH(J3456,'Final List'!$L$4:$L$252,0),0)</f>
        <v>0</v>
      </c>
      <c r="Q3456" s="169">
        <f>IFERROR(MATCH(J3456,'Final List'!$N$4:$N$252,0),0)</f>
        <v>0</v>
      </c>
      <c r="R3456" s="169">
        <f>IFERROR(MATCH(J3456,'Final List'!$P$4:$P$252,0),0)</f>
        <v>0</v>
      </c>
      <c r="S3456" s="169">
        <f t="shared" si="215"/>
        <v>0</v>
      </c>
      <c r="V3456" s="169" t="str">
        <f t="shared" si="216"/>
        <v>BADBADON</v>
      </c>
      <c r="W3456" s="169" t="s">
        <v>8898</v>
      </c>
    </row>
    <row r="3457" spans="2:23" x14ac:dyDescent="0.25">
      <c r="B3457" s="169" t="s">
        <v>95</v>
      </c>
      <c r="C3457" s="169" t="s">
        <v>45</v>
      </c>
      <c r="D3457" s="169" t="s">
        <v>134</v>
      </c>
      <c r="E3457" s="169" t="s">
        <v>20</v>
      </c>
      <c r="F3457" s="245" t="str">
        <f t="shared" si="213"/>
        <v>DVW 74</v>
      </c>
      <c r="G3457" s="169" t="s">
        <v>526</v>
      </c>
      <c r="I3457" s="169" t="str">
        <f t="shared" si="214"/>
        <v>L08_DPVE_016W_WINZE</v>
      </c>
      <c r="J3457" s="169" t="s">
        <v>13646</v>
      </c>
      <c r="K3457" s="169">
        <f>IFERROR(MATCH(J3457,'Final List'!$B$4:$B$252,0),0)</f>
        <v>0</v>
      </c>
      <c r="L3457" s="169">
        <f>IFERROR(MATCH(J3457,'Final List'!$D$4:$D$252,0),0)</f>
        <v>0</v>
      </c>
      <c r="M3457" s="169">
        <f>IFERROR(MATCH(J3457,'Final List'!$F$4:$F$251,0),0)</f>
        <v>0</v>
      </c>
      <c r="N3457" s="169">
        <f>IFERROR(MATCH(J3457,'Final List'!$H$4:$H$252,0),0)</f>
        <v>0</v>
      </c>
      <c r="O3457" s="169">
        <f>IFERROR(MATCH(J3457,'Final List'!$J$4:$J$252,0),0)</f>
        <v>0</v>
      </c>
      <c r="P3457" s="169">
        <f>IFERROR(MATCH(J3457,'Final List'!$L$4:$L$252,0),0)</f>
        <v>0</v>
      </c>
      <c r="Q3457" s="169">
        <f>IFERROR(MATCH(J3457,'Final List'!$N$4:$N$252,0),0)</f>
        <v>0</v>
      </c>
      <c r="R3457" s="169">
        <f>IFERROR(MATCH(J3457,'Final List'!$P$4:$P$252,0),0)</f>
        <v>0</v>
      </c>
      <c r="S3457" s="169">
        <f t="shared" si="215"/>
        <v>0</v>
      </c>
      <c r="V3457" s="169" t="str">
        <f t="shared" si="216"/>
        <v>CARIKITAN 2</v>
      </c>
      <c r="W3457" s="169" t="s">
        <v>2706</v>
      </c>
    </row>
    <row r="3458" spans="2:23" x14ac:dyDescent="0.25">
      <c r="B3458" s="169" t="s">
        <v>1167</v>
      </c>
      <c r="C3458" s="169" t="s">
        <v>87</v>
      </c>
      <c r="D3458" s="169" t="s">
        <v>870</v>
      </c>
      <c r="E3458" s="169" t="s">
        <v>37</v>
      </c>
      <c r="F3458" s="245" t="str">
        <f t="shared" si="213"/>
        <v>Dhoz 71</v>
      </c>
      <c r="G3458" s="169" t="s">
        <v>6930</v>
      </c>
      <c r="I3458" s="169" t="str">
        <f t="shared" si="214"/>
        <v>L12_NONE_073E_XCN</v>
      </c>
      <c r="J3458" s="169" t="s">
        <v>13648</v>
      </c>
      <c r="K3458" s="169">
        <f>IFERROR(MATCH(J3458,'Final List'!$B$4:$B$252,0),0)</f>
        <v>0</v>
      </c>
      <c r="L3458" s="169">
        <f>IFERROR(MATCH(J3458,'Final List'!$D$4:$D$252,0),0)</f>
        <v>0</v>
      </c>
      <c r="M3458" s="169">
        <f>IFERROR(MATCH(J3458,'Final List'!$F$4:$F$251,0),0)</f>
        <v>0</v>
      </c>
      <c r="N3458" s="169">
        <f>IFERROR(MATCH(J3458,'Final List'!$H$4:$H$252,0),0)</f>
        <v>0</v>
      </c>
      <c r="O3458" s="169">
        <f>IFERROR(MATCH(J3458,'Final List'!$J$4:$J$252,0),0)</f>
        <v>0</v>
      </c>
      <c r="P3458" s="169">
        <f>IFERROR(MATCH(J3458,'Final List'!$L$4:$L$252,0),0)</f>
        <v>0</v>
      </c>
      <c r="Q3458" s="169">
        <f>IFERROR(MATCH(J3458,'Final List'!$N$4:$N$252,0),0)</f>
        <v>0</v>
      </c>
      <c r="R3458" s="169">
        <f>IFERROR(MATCH(J3458,'Final List'!$P$4:$P$252,0),0)</f>
        <v>0</v>
      </c>
      <c r="S3458" s="169">
        <f t="shared" si="215"/>
        <v>0</v>
      </c>
      <c r="V3458" s="169" t="str">
        <f t="shared" si="216"/>
        <v>DUHIG, P1</v>
      </c>
      <c r="W3458" s="169" t="s">
        <v>8898</v>
      </c>
    </row>
    <row r="3459" spans="2:23" x14ac:dyDescent="0.25">
      <c r="B3459" s="169" t="s">
        <v>258</v>
      </c>
      <c r="C3459" s="169" t="s">
        <v>45</v>
      </c>
      <c r="D3459" s="169" t="s">
        <v>9427</v>
      </c>
      <c r="E3459" s="169" t="s">
        <v>19</v>
      </c>
      <c r="F3459" s="245" t="str">
        <f t="shared" ref="F3459:F3522" si="217">IF(OR(E3459="XCN",E3459="DE",E3459="DW",E3459="DN",E3459="XCS",E3459="XCE",E3459="XCW",E3459="SUMP",E3459="BYPASS",E3459="CHAMBER",E3459="DRAIN HOLE",E3459="DRILLING CHAMBER",E3459="DE_ISL",E3459="DW_ISL",E3459="REHAB"),"Dhoz 71",IF(OR(E3459="RAISE",E3459="RAISE_ISL"),"DVR 72",IF(E3459="ALIMAK","DVA 73",IF(E3459="WINZE","DVW 74",IF(E3459="SHAFT","DVS 75",IF(AND(E3459="WINZE STOPE",T3459="S"),"RobC 80",IF(AND(E3459="STOPE",T3459="S"),"StpS 77",IF(AND(E3459="WINZE STOPE",T3459="L"),"RobC 80",IF(AND(E3459="STOPE",T3459="L"),"StpL 78",IF(AND(E3459="WINZE STOPE PREP",T3459="S"),"RobC 80",IF(AND(E3459="STOPE PREP",T3459="S"),"StpS 77",IF(AND(E3459="WINZE STOPE PREP",T3459="L"),"RobC 80",IF(AND(E3459="STOPE PREP",T3459="L"),"StpL 78",IF(AND(E3459="ROBBING",T3459="L"),"RobC 80",IF(AND(E3459="ROBBING",T3459="S"),"RobS 79",0)))))))))))))))</f>
        <v>DVR 72</v>
      </c>
      <c r="G3459" s="169" t="s">
        <v>13277</v>
      </c>
      <c r="H3459" s="169" t="s">
        <v>362</v>
      </c>
      <c r="I3459" s="169" t="str">
        <f t="shared" si="214"/>
        <v>L10_DPVE_091E_RAISE</v>
      </c>
      <c r="J3459" s="169" t="s">
        <v>13649</v>
      </c>
      <c r="K3459" s="169">
        <f>IFERROR(MATCH(J3459,'Final List'!$B$4:$B$252,0),0)</f>
        <v>0</v>
      </c>
      <c r="L3459" s="169">
        <f>IFERROR(MATCH(J3459,'Final List'!$D$4:$D$252,0),0)</f>
        <v>0</v>
      </c>
      <c r="M3459" s="169">
        <f>IFERROR(MATCH(J3459,'Final List'!$F$4:$F$251,0),0)</f>
        <v>0</v>
      </c>
      <c r="N3459" s="169">
        <f>IFERROR(MATCH(J3459,'Final List'!$H$4:$H$252,0),0)</f>
        <v>0</v>
      </c>
      <c r="O3459" s="169">
        <f>IFERROR(MATCH(J3459,'Final List'!$J$4:$J$252,0),0)</f>
        <v>0</v>
      </c>
      <c r="P3459" s="169">
        <f>IFERROR(MATCH(J3459,'Final List'!$L$4:$L$252,0),0)</f>
        <v>0</v>
      </c>
      <c r="Q3459" s="169">
        <f>IFERROR(MATCH(J3459,'Final List'!$N$4:$N$252,0),0)</f>
        <v>0</v>
      </c>
      <c r="R3459" s="169">
        <f>IFERROR(MATCH(J3459,'Final List'!$P$4:$P$252,0),0)</f>
        <v>0</v>
      </c>
      <c r="S3459" s="169">
        <f t="shared" si="215"/>
        <v>0</v>
      </c>
      <c r="V3459" s="169" t="str">
        <f t="shared" si="216"/>
        <v>BABOR 1</v>
      </c>
      <c r="W3459" s="169" t="s">
        <v>2715</v>
      </c>
    </row>
    <row r="3460" spans="2:23" x14ac:dyDescent="0.25">
      <c r="B3460" s="169" t="s">
        <v>258</v>
      </c>
      <c r="C3460" s="169" t="s">
        <v>87</v>
      </c>
      <c r="D3460" s="169" t="s">
        <v>169</v>
      </c>
      <c r="E3460" s="169" t="s">
        <v>70</v>
      </c>
      <c r="F3460" s="245" t="str">
        <f t="shared" si="217"/>
        <v>Dhoz 71</v>
      </c>
      <c r="G3460" s="169" t="s">
        <v>12244</v>
      </c>
      <c r="I3460" s="169" t="str">
        <f t="shared" si="214"/>
        <v>L10_NONE_065E_SUMP</v>
      </c>
      <c r="J3460" s="169" t="s">
        <v>13650</v>
      </c>
      <c r="K3460" s="169">
        <f>IFERROR(MATCH(J3460,'Final List'!$B$4:$B$252,0),0)</f>
        <v>0</v>
      </c>
      <c r="L3460" s="169">
        <f>IFERROR(MATCH(J3460,'Final List'!$D$4:$D$252,0),0)</f>
        <v>0</v>
      </c>
      <c r="M3460" s="169">
        <f>IFERROR(MATCH(J3460,'Final List'!$F$4:$F$251,0),0)</f>
        <v>0</v>
      </c>
      <c r="N3460" s="169">
        <f>IFERROR(MATCH(J3460,'Final List'!$H$4:$H$252,0),0)</f>
        <v>0</v>
      </c>
      <c r="O3460" s="169">
        <f>IFERROR(MATCH(J3460,'Final List'!$J$4:$J$252,0),0)</f>
        <v>0</v>
      </c>
      <c r="P3460" s="169">
        <f>IFERROR(MATCH(J3460,'Final List'!$L$4:$L$252,0),0)</f>
        <v>0</v>
      </c>
      <c r="Q3460" s="169">
        <f>IFERROR(MATCH(J3460,'Final List'!$N$4:$N$252,0),0)</f>
        <v>0</v>
      </c>
      <c r="R3460" s="169">
        <f>IFERROR(MATCH(J3460,'Final List'!$P$4:$P$252,0),0)</f>
        <v>0</v>
      </c>
      <c r="S3460" s="169">
        <f t="shared" si="215"/>
        <v>0</v>
      </c>
      <c r="V3460" s="169" t="str">
        <f t="shared" si="216"/>
        <v>NITRO AY</v>
      </c>
      <c r="W3460" s="169" t="s">
        <v>2714</v>
      </c>
    </row>
    <row r="3461" spans="2:23" x14ac:dyDescent="0.25">
      <c r="B3461" s="169" t="s">
        <v>12320</v>
      </c>
      <c r="C3461" s="169" t="s">
        <v>45</v>
      </c>
      <c r="D3461" s="169" t="s">
        <v>5723</v>
      </c>
      <c r="E3461" s="169" t="s">
        <v>19</v>
      </c>
      <c r="F3461" s="245" t="str">
        <f t="shared" si="217"/>
        <v>DVR 72</v>
      </c>
      <c r="G3461" t="s">
        <v>363</v>
      </c>
      <c r="I3461" s="169" t="str">
        <f t="shared" si="214"/>
        <v>L425_DPVE_046E_RAISE</v>
      </c>
      <c r="J3461" s="169" t="s">
        <v>13653</v>
      </c>
      <c r="K3461" s="169">
        <f>IFERROR(MATCH(J3461,'Final List'!$B$4:$B$252,0),0)</f>
        <v>0</v>
      </c>
      <c r="L3461" s="169">
        <f>IFERROR(MATCH(J3461,'Final List'!$D$4:$D$252,0),0)</f>
        <v>0</v>
      </c>
      <c r="M3461" s="169">
        <f>IFERROR(MATCH(J3461,'Final List'!$F$4:$F$251,0),0)</f>
        <v>0</v>
      </c>
      <c r="N3461" s="169">
        <f>IFERROR(MATCH(J3461,'Final List'!$H$4:$H$252,0),0)</f>
        <v>0</v>
      </c>
      <c r="O3461" s="169">
        <f>IFERROR(MATCH(J3461,'Final List'!$J$4:$J$252,0),0)</f>
        <v>193</v>
      </c>
      <c r="P3461" s="169">
        <f>IFERROR(MATCH(J3461,'Final List'!$L$4:$L$252,0),0)</f>
        <v>0</v>
      </c>
      <c r="Q3461" s="169">
        <f>IFERROR(MATCH(J3461,'Final List'!$N$4:$N$252,0),0)</f>
        <v>0</v>
      </c>
      <c r="R3461" s="169">
        <f>IFERROR(MATCH(J3461,'Final List'!$P$4:$P$252,0),0)</f>
        <v>0</v>
      </c>
      <c r="S3461" s="169">
        <f t="shared" si="215"/>
        <v>193</v>
      </c>
      <c r="V3461" s="169" t="str">
        <f t="shared" si="216"/>
        <v>BABOR 2</v>
      </c>
      <c r="W3461" s="169" t="s">
        <v>2715</v>
      </c>
    </row>
    <row r="3462" spans="2:23" x14ac:dyDescent="0.25">
      <c r="B3462" s="169" t="s">
        <v>1166</v>
      </c>
      <c r="C3462" s="169" t="s">
        <v>45</v>
      </c>
      <c r="D3462" s="169" t="s">
        <v>143</v>
      </c>
      <c r="E3462" s="169" t="s">
        <v>6143</v>
      </c>
      <c r="F3462" s="245" t="str">
        <f t="shared" si="217"/>
        <v>Dhoz 71</v>
      </c>
      <c r="G3462" s="169" t="s">
        <v>340</v>
      </c>
      <c r="I3462" s="169" t="str">
        <f t="shared" si="214"/>
        <v>L11_DPVE_032E_DE_ISL</v>
      </c>
      <c r="J3462" s="169" t="s">
        <v>13657</v>
      </c>
      <c r="K3462" s="169">
        <f>IFERROR(MATCH(J3462,'Final List'!$B$4:$B$252,0),0)</f>
        <v>0</v>
      </c>
      <c r="L3462" s="169">
        <f>IFERROR(MATCH(J3462,'Final List'!$D$4:$D$252,0),0)</f>
        <v>0</v>
      </c>
      <c r="M3462" s="169">
        <f>IFERROR(MATCH(J3462,'Final List'!$F$4:$F$251,0),0)</f>
        <v>0</v>
      </c>
      <c r="N3462" s="169">
        <f>IFERROR(MATCH(J3462,'Final List'!$H$4:$H$252,0),0)</f>
        <v>0</v>
      </c>
      <c r="O3462" s="169">
        <f>IFERROR(MATCH(J3462,'Final List'!$J$4:$J$252,0),0)</f>
        <v>0</v>
      </c>
      <c r="P3462" s="169">
        <f>IFERROR(MATCH(J3462,'Final List'!$L$4:$L$252,0),0)</f>
        <v>0</v>
      </c>
      <c r="Q3462" s="169">
        <f>IFERROR(MATCH(J3462,'Final List'!$N$4:$N$252,0),0)</f>
        <v>0</v>
      </c>
      <c r="R3462" s="169">
        <f>IFERROR(MATCH(J3462,'Final List'!$P$4:$P$252,0),0)</f>
        <v>0</v>
      </c>
      <c r="S3462" s="169">
        <f t="shared" si="215"/>
        <v>0</v>
      </c>
      <c r="V3462" s="169" t="str">
        <f t="shared" si="216"/>
        <v>COMAINGKING</v>
      </c>
      <c r="W3462" s="169" t="s">
        <v>2708</v>
      </c>
    </row>
    <row r="3463" spans="2:23" x14ac:dyDescent="0.25">
      <c r="B3463" s="169" t="s">
        <v>1166</v>
      </c>
      <c r="C3463" s="169" t="s">
        <v>45</v>
      </c>
      <c r="D3463" s="169" t="s">
        <v>5975</v>
      </c>
      <c r="E3463" s="169" t="s">
        <v>6154</v>
      </c>
      <c r="F3463" s="245" t="str">
        <f t="shared" si="217"/>
        <v>Dhoz 71</v>
      </c>
      <c r="G3463" s="169" t="s">
        <v>340</v>
      </c>
      <c r="I3463" s="169" t="str">
        <f t="shared" si="214"/>
        <v>L11_DPVE_028E_DW_ISL</v>
      </c>
      <c r="J3463" s="169" t="s">
        <v>13660</v>
      </c>
      <c r="K3463" s="169">
        <f>IFERROR(MATCH(J3463,'Final List'!$B$4:$B$252,0),0)</f>
        <v>0</v>
      </c>
      <c r="L3463" s="169">
        <f>IFERROR(MATCH(J3463,'Final List'!$D$4:$D$252,0),0)</f>
        <v>0</v>
      </c>
      <c r="M3463" s="169">
        <f>IFERROR(MATCH(J3463,'Final List'!$F$4:$F$251,0),0)</f>
        <v>0</v>
      </c>
      <c r="N3463" s="169">
        <f>IFERROR(MATCH(J3463,'Final List'!$H$4:$H$252,0),0)</f>
        <v>0</v>
      </c>
      <c r="O3463" s="169">
        <f>IFERROR(MATCH(J3463,'Final List'!$J$4:$J$252,0),0)</f>
        <v>0</v>
      </c>
      <c r="P3463" s="169">
        <f>IFERROR(MATCH(J3463,'Final List'!$L$4:$L$252,0),0)</f>
        <v>0</v>
      </c>
      <c r="Q3463" s="169">
        <f>IFERROR(MATCH(J3463,'Final List'!$N$4:$N$252,0),0)</f>
        <v>0</v>
      </c>
      <c r="R3463" s="169">
        <f>IFERROR(MATCH(J3463,'Final List'!$P$4:$P$252,0),0)</f>
        <v>0</v>
      </c>
      <c r="S3463" s="169">
        <f t="shared" si="215"/>
        <v>0</v>
      </c>
      <c r="V3463" s="169" t="str">
        <f t="shared" si="216"/>
        <v>COMAINGKING</v>
      </c>
      <c r="W3463" s="169" t="s">
        <v>2708</v>
      </c>
    </row>
    <row r="3464" spans="2:23" x14ac:dyDescent="0.25">
      <c r="B3464" s="169" t="s">
        <v>1166</v>
      </c>
      <c r="C3464" s="169" t="s">
        <v>42</v>
      </c>
      <c r="D3464" s="169" t="s">
        <v>131</v>
      </c>
      <c r="E3464" s="169" t="s">
        <v>61</v>
      </c>
      <c r="F3464" s="245" t="str">
        <f t="shared" si="217"/>
        <v>Dhoz 71</v>
      </c>
      <c r="G3464" s="169" t="s">
        <v>340</v>
      </c>
      <c r="I3464" s="169" t="str">
        <f t="shared" si="214"/>
        <v>L11_JV_011E_DW</v>
      </c>
      <c r="J3464" s="169" t="s">
        <v>13924</v>
      </c>
      <c r="K3464" s="169">
        <f>IFERROR(MATCH(J3464,'Final List'!$B$4:$B$252,0),0)</f>
        <v>0</v>
      </c>
      <c r="L3464" s="169">
        <f>IFERROR(MATCH(J3464,'Final List'!$D$4:$D$252,0),0)</f>
        <v>0</v>
      </c>
      <c r="M3464" s="169">
        <f>IFERROR(MATCH(J3464,'Final List'!$F$4:$F$251,0),0)</f>
        <v>0</v>
      </c>
      <c r="N3464" s="169">
        <f>IFERROR(MATCH(J3464,'Final List'!$H$4:$H$252,0),0)</f>
        <v>0</v>
      </c>
      <c r="O3464" s="169">
        <f>IFERROR(MATCH(J3464,'Final List'!$J$4:$J$252,0),0)</f>
        <v>0</v>
      </c>
      <c r="P3464" s="169">
        <f>IFERROR(MATCH(J3464,'Final List'!$L$4:$L$252,0),0)</f>
        <v>0</v>
      </c>
      <c r="Q3464" s="169">
        <f>IFERROR(MATCH(J3464,'Final List'!$N$4:$N$252,0),0)</f>
        <v>0</v>
      </c>
      <c r="R3464" s="169">
        <f>IFERROR(MATCH(J3464,'Final List'!$P$4:$P$252,0),0)</f>
        <v>0</v>
      </c>
      <c r="S3464" s="169">
        <f t="shared" si="215"/>
        <v>0</v>
      </c>
      <c r="V3464" s="169" t="str">
        <f t="shared" si="216"/>
        <v>COMAINGKING</v>
      </c>
      <c r="W3464" s="169" t="s">
        <v>8896</v>
      </c>
    </row>
    <row r="3465" spans="2:23" x14ac:dyDescent="0.25">
      <c r="B3465" s="169" t="s">
        <v>1166</v>
      </c>
      <c r="C3465" s="169" t="s">
        <v>39</v>
      </c>
      <c r="D3465" s="169" t="s">
        <v>7223</v>
      </c>
      <c r="E3465" s="169" t="s">
        <v>61</v>
      </c>
      <c r="F3465" s="245" t="str">
        <f t="shared" si="217"/>
        <v>Dhoz 71</v>
      </c>
      <c r="G3465" s="169" t="s">
        <v>6954</v>
      </c>
      <c r="I3465" s="169" t="str">
        <f t="shared" si="214"/>
        <v>L11_JVHW_002E_DW</v>
      </c>
      <c r="J3465" s="169" t="s">
        <v>13661</v>
      </c>
      <c r="K3465" s="169">
        <f>IFERROR(MATCH(J3465,'Final List'!$B$4:$B$252,0),0)</f>
        <v>0</v>
      </c>
      <c r="L3465" s="169">
        <f>IFERROR(MATCH(J3465,'Final List'!$D$4:$D$252,0),0)</f>
        <v>0</v>
      </c>
      <c r="M3465" s="169">
        <f>IFERROR(MATCH(J3465,'Final List'!$F$4:$F$251,0),0)</f>
        <v>0</v>
      </c>
      <c r="N3465" s="169">
        <f>IFERROR(MATCH(J3465,'Final List'!$H$4:$H$252,0),0)</f>
        <v>0</v>
      </c>
      <c r="O3465" s="169">
        <f>IFERROR(MATCH(J3465,'Final List'!$J$4:$J$252,0),0)</f>
        <v>0</v>
      </c>
      <c r="P3465" s="169">
        <f>IFERROR(MATCH(J3465,'Final List'!$L$4:$L$252,0),0)</f>
        <v>0</v>
      </c>
      <c r="Q3465" s="169">
        <f>IFERROR(MATCH(J3465,'Final List'!$N$4:$N$252,0),0)</f>
        <v>0</v>
      </c>
      <c r="R3465" s="169">
        <f>IFERROR(MATCH(J3465,'Final List'!$P$4:$P$252,0),0)</f>
        <v>0</v>
      </c>
      <c r="S3465" s="169">
        <f t="shared" si="215"/>
        <v>0</v>
      </c>
      <c r="V3465" s="169" t="str">
        <f t="shared" si="216"/>
        <v>BADBADON</v>
      </c>
      <c r="W3465" s="169" t="s">
        <v>8896</v>
      </c>
    </row>
    <row r="3466" spans="2:23" x14ac:dyDescent="0.25">
      <c r="B3466" s="169" t="s">
        <v>95</v>
      </c>
      <c r="C3466" s="169" t="s">
        <v>57</v>
      </c>
      <c r="D3466" s="169" t="s">
        <v>5669</v>
      </c>
      <c r="E3466" s="169" t="s">
        <v>6154</v>
      </c>
      <c r="F3466" s="245" t="str">
        <f t="shared" si="217"/>
        <v>Dhoz 71</v>
      </c>
      <c r="G3466" s="169" t="s">
        <v>13664</v>
      </c>
      <c r="I3466" s="169" t="str">
        <f t="shared" si="214"/>
        <v>L08_JVSPLIT_027W_DW_ISL</v>
      </c>
      <c r="J3466" s="169" t="s">
        <v>13663</v>
      </c>
      <c r="K3466" s="169">
        <f>IFERROR(MATCH(J3466,'Final List'!$B$4:$B$252,0),0)</f>
        <v>0</v>
      </c>
      <c r="L3466" s="169">
        <f>IFERROR(MATCH(J3466,'Final List'!$D$4:$D$252,0),0)</f>
        <v>0</v>
      </c>
      <c r="M3466" s="169">
        <f>IFERROR(MATCH(J3466,'Final List'!$F$4:$F$251,0),0)</f>
        <v>0</v>
      </c>
      <c r="N3466" s="169">
        <f>IFERROR(MATCH(J3466,'Final List'!$H$4:$H$252,0),0)</f>
        <v>0</v>
      </c>
      <c r="O3466" s="169">
        <f>IFERROR(MATCH(J3466,'Final List'!$J$4:$J$252,0),0)</f>
        <v>0</v>
      </c>
      <c r="P3466" s="169">
        <f>IFERROR(MATCH(J3466,'Final List'!$L$4:$L$252,0),0)</f>
        <v>0</v>
      </c>
      <c r="Q3466" s="169">
        <f>IFERROR(MATCH(J3466,'Final List'!$N$4:$N$252,0),0)</f>
        <v>0</v>
      </c>
      <c r="R3466" s="169">
        <f>IFERROR(MATCH(J3466,'Final List'!$P$4:$P$252,0),0)</f>
        <v>0</v>
      </c>
      <c r="S3466" s="169">
        <f t="shared" si="215"/>
        <v>0</v>
      </c>
      <c r="V3466" s="169" t="str">
        <f t="shared" si="216"/>
        <v>CAPUYAN 4</v>
      </c>
      <c r="W3466" s="169" t="s">
        <v>2708</v>
      </c>
    </row>
    <row r="3467" spans="2:23" x14ac:dyDescent="0.25">
      <c r="B3467" s="169" t="s">
        <v>95</v>
      </c>
      <c r="C3467" s="169" t="s">
        <v>56</v>
      </c>
      <c r="D3467" s="169" t="s">
        <v>123</v>
      </c>
      <c r="E3467" s="169" t="s">
        <v>19</v>
      </c>
      <c r="F3467" s="245" t="str">
        <f t="shared" si="217"/>
        <v>DVR 72</v>
      </c>
      <c r="G3467" s="169" t="s">
        <v>13666</v>
      </c>
      <c r="I3467" s="169" t="str">
        <f t="shared" si="214"/>
        <v>L08_GHVFW_031E_RAISE</v>
      </c>
      <c r="J3467" s="169" t="s">
        <v>13665</v>
      </c>
      <c r="K3467" s="169">
        <f>IFERROR(MATCH(J3467,'Final List'!$B$4:$B$252,0),0)</f>
        <v>0</v>
      </c>
      <c r="L3467" s="169">
        <f>IFERROR(MATCH(J3467,'Final List'!$D$4:$D$252,0),0)</f>
        <v>0</v>
      </c>
      <c r="M3467" s="169">
        <f>IFERROR(MATCH(J3467,'Final List'!$F$4:$F$251,0),0)</f>
        <v>0</v>
      </c>
      <c r="N3467" s="169">
        <f>IFERROR(MATCH(J3467,'Final List'!$H$4:$H$252,0),0)</f>
        <v>0</v>
      </c>
      <c r="O3467" s="169">
        <f>IFERROR(MATCH(J3467,'Final List'!$J$4:$J$252,0),0)</f>
        <v>0</v>
      </c>
      <c r="P3467" s="169">
        <f>IFERROR(MATCH(J3467,'Final List'!$L$4:$L$252,0),0)</f>
        <v>0</v>
      </c>
      <c r="Q3467" s="169">
        <f>IFERROR(MATCH(J3467,'Final List'!$N$4:$N$252,0),0)</f>
        <v>0</v>
      </c>
      <c r="R3467" s="169">
        <f>IFERROR(MATCH(J3467,'Final List'!$P$4:$P$252,0),0)</f>
        <v>0</v>
      </c>
      <c r="S3467" s="169">
        <f t="shared" si="215"/>
        <v>0</v>
      </c>
      <c r="V3467" s="169" t="str">
        <f t="shared" si="216"/>
        <v>NITRO BZ 1</v>
      </c>
      <c r="W3467" s="169" t="s">
        <v>2715</v>
      </c>
    </row>
    <row r="3468" spans="2:23" x14ac:dyDescent="0.25">
      <c r="B3468" s="169" t="s">
        <v>1167</v>
      </c>
      <c r="C3468" s="169" t="s">
        <v>39</v>
      </c>
      <c r="D3468" s="169" t="s">
        <v>179</v>
      </c>
      <c r="E3468" s="169" t="s">
        <v>19</v>
      </c>
      <c r="F3468" s="245" t="str">
        <f t="shared" si="217"/>
        <v>DVR 72</v>
      </c>
      <c r="G3468" s="169" t="s">
        <v>6931</v>
      </c>
      <c r="I3468" s="169" t="str">
        <f t="shared" si="214"/>
        <v>L12_JVHW_050E_RAISE</v>
      </c>
      <c r="J3468" s="169" t="s">
        <v>13668</v>
      </c>
      <c r="K3468" s="169">
        <f>IFERROR(MATCH(J3468,'Final List'!$B$4:$B$252,0),0)</f>
        <v>0</v>
      </c>
      <c r="L3468" s="169">
        <f>IFERROR(MATCH(J3468,'Final List'!$D$4:$D$252,0),0)</f>
        <v>0</v>
      </c>
      <c r="M3468" s="169">
        <f>IFERROR(MATCH(J3468,'Final List'!$F$4:$F$251,0),0)</f>
        <v>0</v>
      </c>
      <c r="N3468" s="169">
        <f>IFERROR(MATCH(J3468,'Final List'!$H$4:$H$252,0),0)</f>
        <v>0</v>
      </c>
      <c r="O3468" s="169">
        <f>IFERROR(MATCH(J3468,'Final List'!$J$4:$J$252,0),0)</f>
        <v>0</v>
      </c>
      <c r="P3468" s="169">
        <f>IFERROR(MATCH(J3468,'Final List'!$L$4:$L$252,0),0)</f>
        <v>0</v>
      </c>
      <c r="Q3468" s="169">
        <f>IFERROR(MATCH(J3468,'Final List'!$N$4:$N$252,0),0)</f>
        <v>0</v>
      </c>
      <c r="R3468" s="169">
        <f>IFERROR(MATCH(J3468,'Final List'!$P$4:$P$252,0),0)</f>
        <v>0</v>
      </c>
      <c r="S3468" s="169">
        <f t="shared" si="215"/>
        <v>0</v>
      </c>
      <c r="V3468" s="169" t="str">
        <f t="shared" si="216"/>
        <v>DUHIG, P2</v>
      </c>
      <c r="W3468" s="169" t="s">
        <v>2715</v>
      </c>
    </row>
    <row r="3469" spans="2:23" x14ac:dyDescent="0.25">
      <c r="B3469" s="169" t="s">
        <v>1167</v>
      </c>
      <c r="C3469" s="169" t="s">
        <v>45</v>
      </c>
      <c r="D3469" s="169" t="s">
        <v>5975</v>
      </c>
      <c r="E3469" s="169" t="s">
        <v>19</v>
      </c>
      <c r="F3469" s="245" t="str">
        <f t="shared" si="217"/>
        <v>DVR 72</v>
      </c>
      <c r="G3469" s="169" t="s">
        <v>12199</v>
      </c>
      <c r="H3469" s="169" t="s">
        <v>12549</v>
      </c>
      <c r="I3469" s="169" t="str">
        <f t="shared" si="214"/>
        <v>L12_DPVE_028E_RAISE</v>
      </c>
      <c r="J3469" s="169" t="s">
        <v>13669</v>
      </c>
      <c r="K3469" s="169">
        <f>IFERROR(MATCH(J3469,'Final List'!$B$4:$B$252,0),0)</f>
        <v>0</v>
      </c>
      <c r="L3469" s="169">
        <f>IFERROR(MATCH(J3469,'Final List'!$D$4:$D$252,0),0)</f>
        <v>0</v>
      </c>
      <c r="M3469" s="169">
        <f>IFERROR(MATCH(J3469,'Final List'!$F$4:$F$251,0),0)</f>
        <v>0</v>
      </c>
      <c r="N3469" s="169">
        <f>IFERROR(MATCH(J3469,'Final List'!$H$4:$H$252,0),0)</f>
        <v>0</v>
      </c>
      <c r="O3469" s="169">
        <f>IFERROR(MATCH(J3469,'Final List'!$J$4:$J$252,0),0)</f>
        <v>0</v>
      </c>
      <c r="P3469" s="169">
        <f>IFERROR(MATCH(J3469,'Final List'!$L$4:$L$252,0),0)</f>
        <v>0</v>
      </c>
      <c r="Q3469" s="169">
        <f>IFERROR(MATCH(J3469,'Final List'!$N$4:$N$252,0),0)</f>
        <v>0</v>
      </c>
      <c r="R3469" s="169">
        <f>IFERROR(MATCH(J3469,'Final List'!$P$4:$P$252,0),0)</f>
        <v>0</v>
      </c>
      <c r="S3469" s="169">
        <f t="shared" si="215"/>
        <v>0</v>
      </c>
      <c r="V3469" s="169" t="str">
        <f t="shared" si="216"/>
        <v>NITRO BR</v>
      </c>
      <c r="W3469" s="169" t="s">
        <v>2715</v>
      </c>
    </row>
    <row r="3470" spans="2:23" x14ac:dyDescent="0.25">
      <c r="B3470" s="169" t="s">
        <v>1167</v>
      </c>
      <c r="C3470" s="169" t="s">
        <v>87</v>
      </c>
      <c r="D3470" s="169" t="s">
        <v>130</v>
      </c>
      <c r="E3470" s="169" t="s">
        <v>37</v>
      </c>
      <c r="F3470" s="245" t="str">
        <f t="shared" si="217"/>
        <v>Dhoz 71</v>
      </c>
      <c r="G3470" s="169" t="s">
        <v>6930</v>
      </c>
      <c r="I3470" s="169" t="str">
        <f t="shared" si="214"/>
        <v>L12_NONE_036E_XCN</v>
      </c>
      <c r="J3470" s="169" t="s">
        <v>13670</v>
      </c>
      <c r="K3470" s="169">
        <f>IFERROR(MATCH(J3470,'Final List'!$B$4:$B$252,0),0)</f>
        <v>0</v>
      </c>
      <c r="L3470" s="169">
        <f>IFERROR(MATCH(J3470,'Final List'!$D$4:$D$252,0),0)</f>
        <v>0</v>
      </c>
      <c r="M3470" s="169">
        <f>IFERROR(MATCH(J3470,'Final List'!$F$4:$F$251,0),0)</f>
        <v>0</v>
      </c>
      <c r="N3470" s="169">
        <f>IFERROR(MATCH(J3470,'Final List'!$H$4:$H$252,0),0)</f>
        <v>0</v>
      </c>
      <c r="O3470" s="169">
        <f>IFERROR(MATCH(J3470,'Final List'!$J$4:$J$252,0),0)</f>
        <v>0</v>
      </c>
      <c r="P3470" s="169">
        <f>IFERROR(MATCH(J3470,'Final List'!$L$4:$L$252,0),0)</f>
        <v>0</v>
      </c>
      <c r="Q3470" s="169">
        <f>IFERROR(MATCH(J3470,'Final List'!$N$4:$N$252,0),0)</f>
        <v>0</v>
      </c>
      <c r="R3470" s="169">
        <f>IFERROR(MATCH(J3470,'Final List'!$P$4:$P$252,0),0)</f>
        <v>0</v>
      </c>
      <c r="S3470" s="169">
        <f t="shared" si="215"/>
        <v>0</v>
      </c>
      <c r="V3470" s="169" t="str">
        <f t="shared" si="216"/>
        <v>DUHIG, P1</v>
      </c>
      <c r="W3470" s="169" t="s">
        <v>8898</v>
      </c>
    </row>
    <row r="3471" spans="2:23" x14ac:dyDescent="0.25">
      <c r="B3471" s="169" t="s">
        <v>1167</v>
      </c>
      <c r="C3471" s="169" t="s">
        <v>39</v>
      </c>
      <c r="D3471" s="169" t="s">
        <v>167</v>
      </c>
      <c r="E3471" s="169" t="s">
        <v>19</v>
      </c>
      <c r="F3471" s="245" t="str">
        <f t="shared" si="217"/>
        <v>DVR 72</v>
      </c>
      <c r="G3471" s="169" t="s">
        <v>12568</v>
      </c>
      <c r="I3471" s="169" t="str">
        <f t="shared" si="214"/>
        <v>L12_JVHW_058E_RAISE</v>
      </c>
      <c r="J3471" s="169" t="s">
        <v>13684</v>
      </c>
      <c r="K3471" s="169">
        <f>IFERROR(MATCH(J3471,'Final List'!$B$4:$B$252,0),0)</f>
        <v>0</v>
      </c>
      <c r="L3471" s="169">
        <f>IFERROR(MATCH(J3471,'Final List'!$D$4:$D$252,0),0)</f>
        <v>0</v>
      </c>
      <c r="M3471" s="169">
        <f>IFERROR(MATCH(J3471,'Final List'!$F$4:$F$251,0),0)</f>
        <v>0</v>
      </c>
      <c r="N3471" s="169">
        <f>IFERROR(MATCH(J3471,'Final List'!$H$4:$H$252,0),0)</f>
        <v>0</v>
      </c>
      <c r="O3471" s="169">
        <f>IFERROR(MATCH(J3471,'Final List'!$J$4:$J$252,0),0)</f>
        <v>0</v>
      </c>
      <c r="P3471" s="169">
        <f>IFERROR(MATCH(J3471,'Final List'!$L$4:$L$252,0),0)</f>
        <v>0</v>
      </c>
      <c r="Q3471" s="169">
        <f>IFERROR(MATCH(J3471,'Final List'!$N$4:$N$252,0),0)</f>
        <v>0</v>
      </c>
      <c r="R3471" s="169">
        <f>IFERROR(MATCH(J3471,'Final List'!$P$4:$P$252,0),0)</f>
        <v>0</v>
      </c>
      <c r="S3471" s="169">
        <f t="shared" si="215"/>
        <v>0</v>
      </c>
      <c r="V3471" s="169" t="str">
        <f t="shared" si="216"/>
        <v>NITRO BP</v>
      </c>
      <c r="W3471" s="169" t="s">
        <v>2715</v>
      </c>
    </row>
    <row r="3472" spans="2:23" x14ac:dyDescent="0.25">
      <c r="B3472" s="169" t="s">
        <v>258</v>
      </c>
      <c r="C3472" s="169" t="s">
        <v>38</v>
      </c>
      <c r="D3472" s="169" t="s">
        <v>5992</v>
      </c>
      <c r="E3472" s="169" t="s">
        <v>61</v>
      </c>
      <c r="F3472" s="245" t="str">
        <f t="shared" si="217"/>
        <v>Dhoz 71</v>
      </c>
      <c r="G3472" s="169" t="s">
        <v>12888</v>
      </c>
      <c r="I3472" s="169" t="str">
        <f t="shared" si="214"/>
        <v>L10_GHV_026W_DW</v>
      </c>
      <c r="J3472" s="169" t="s">
        <v>13918</v>
      </c>
      <c r="K3472" s="169">
        <f>IFERROR(MATCH(J3472,'Final List'!$B$4:$B$252,0),0)</f>
        <v>0</v>
      </c>
      <c r="L3472" s="169">
        <f>IFERROR(MATCH(J3472,'Final List'!$D$4:$D$252,0),0)</f>
        <v>0</v>
      </c>
      <c r="M3472" s="169">
        <f>IFERROR(MATCH(J3472,'Final List'!$F$4:$F$251,0),0)</f>
        <v>0</v>
      </c>
      <c r="N3472" s="169">
        <f>IFERROR(MATCH(J3472,'Final List'!$H$4:$H$252,0),0)</f>
        <v>0</v>
      </c>
      <c r="O3472" s="169">
        <f>IFERROR(MATCH(J3472,'Final List'!$J$4:$J$252,0),0)</f>
        <v>0</v>
      </c>
      <c r="P3472" s="169">
        <f>IFERROR(MATCH(J3472,'Final List'!$L$4:$L$252,0),0)</f>
        <v>0</v>
      </c>
      <c r="Q3472" s="169">
        <f>IFERROR(MATCH(J3472,'Final List'!$N$4:$N$252,0),0)</f>
        <v>0</v>
      </c>
      <c r="R3472" s="169">
        <f>IFERROR(MATCH(J3472,'Final List'!$P$4:$P$252,0),0)</f>
        <v>0</v>
      </c>
      <c r="S3472" s="169">
        <f t="shared" si="215"/>
        <v>0</v>
      </c>
      <c r="V3472" s="169" t="str">
        <f t="shared" si="216"/>
        <v>NITRO BD</v>
      </c>
      <c r="W3472" s="169" t="s">
        <v>8896</v>
      </c>
    </row>
    <row r="3473" spans="2:23" x14ac:dyDescent="0.25">
      <c r="B3473" s="169" t="s">
        <v>1166</v>
      </c>
      <c r="C3473" s="169" t="s">
        <v>55</v>
      </c>
      <c r="D3473" s="169" t="s">
        <v>175</v>
      </c>
      <c r="E3473" s="169" t="s">
        <v>6154</v>
      </c>
      <c r="F3473" s="245" t="str">
        <f t="shared" si="217"/>
        <v>Dhoz 71</v>
      </c>
      <c r="G3473" s="169" t="s">
        <v>12071</v>
      </c>
      <c r="I3473" s="169" t="str">
        <f t="shared" si="214"/>
        <v>L11_JVFW_060E_DW_ISL</v>
      </c>
      <c r="J3473" s="169" t="s">
        <v>13699</v>
      </c>
      <c r="K3473" s="169">
        <f>IFERROR(MATCH(J3473,'Final List'!$B$4:$B$252,0),0)</f>
        <v>0</v>
      </c>
      <c r="L3473" s="169">
        <f>IFERROR(MATCH(J3473,'Final List'!$D$4:$D$252,0),0)</f>
        <v>0</v>
      </c>
      <c r="M3473" s="169">
        <f>IFERROR(MATCH(J3473,'Final List'!$F$4:$F$251,0),0)</f>
        <v>0</v>
      </c>
      <c r="N3473" s="169">
        <f>IFERROR(MATCH(J3473,'Final List'!$H$4:$H$252,0),0)</f>
        <v>0</v>
      </c>
      <c r="O3473" s="169">
        <f>IFERROR(MATCH(J3473,'Final List'!$J$4:$J$252,0),0)</f>
        <v>0</v>
      </c>
      <c r="P3473" s="169">
        <f>IFERROR(MATCH(J3473,'Final List'!$L$4:$L$252,0),0)</f>
        <v>0</v>
      </c>
      <c r="Q3473" s="169">
        <f>IFERROR(MATCH(J3473,'Final List'!$N$4:$N$252,0),0)</f>
        <v>0</v>
      </c>
      <c r="R3473" s="169">
        <f>IFERROR(MATCH(J3473,'Final List'!$P$4:$P$252,0),0)</f>
        <v>0</v>
      </c>
      <c r="S3473" s="169">
        <f t="shared" si="215"/>
        <v>0</v>
      </c>
      <c r="V3473" s="169" t="str">
        <f t="shared" si="216"/>
        <v>NITRO BB 2</v>
      </c>
      <c r="W3473" s="169" t="s">
        <v>2708</v>
      </c>
    </row>
    <row r="3474" spans="2:23" x14ac:dyDescent="0.25">
      <c r="B3474" s="169" t="s">
        <v>95</v>
      </c>
      <c r="C3474" s="169" t="s">
        <v>87</v>
      </c>
      <c r="D3474" s="169" t="s">
        <v>6518</v>
      </c>
      <c r="E3474" s="169" t="s">
        <v>63</v>
      </c>
      <c r="F3474" s="245" t="str">
        <f t="shared" si="217"/>
        <v>Dhoz 71</v>
      </c>
      <c r="G3474" s="169" t="s">
        <v>6216</v>
      </c>
      <c r="H3474" s="169" t="s">
        <v>8045</v>
      </c>
      <c r="I3474" s="169" t="str">
        <f t="shared" ref="I3474:I3527" si="218">CONCATENATE(B3474,"_",C3474,"_",D3474,"_",E3474)</f>
        <v>L08_NONE_007E_XCS</v>
      </c>
      <c r="J3474" s="169" t="s">
        <v>13676</v>
      </c>
      <c r="K3474" s="169">
        <f>IFERROR(MATCH(J3474,'Final List'!$B$4:$B$252,0),0)</f>
        <v>0</v>
      </c>
      <c r="L3474" s="169">
        <f>IFERROR(MATCH(J3474,'Final List'!$D$4:$D$252,0),0)</f>
        <v>0</v>
      </c>
      <c r="M3474" s="169">
        <f>IFERROR(MATCH(J3474,'Final List'!$F$4:$F$251,0),0)</f>
        <v>0</v>
      </c>
      <c r="N3474" s="169">
        <f>IFERROR(MATCH(J3474,'Final List'!$H$4:$H$252,0),0)</f>
        <v>0</v>
      </c>
      <c r="O3474" s="169">
        <f>IFERROR(MATCH(J3474,'Final List'!$J$4:$J$252,0),0)</f>
        <v>0</v>
      </c>
      <c r="P3474" s="169">
        <f>IFERROR(MATCH(J3474,'Final List'!$L$4:$L$252,0),0)</f>
        <v>0</v>
      </c>
      <c r="Q3474" s="169">
        <f>IFERROR(MATCH(J3474,'Final List'!$N$4:$N$252,0),0)</f>
        <v>0</v>
      </c>
      <c r="R3474" s="169">
        <f>IFERROR(MATCH(J3474,'Final List'!$P$4:$P$252,0),0)</f>
        <v>0</v>
      </c>
      <c r="S3474" s="169">
        <f t="shared" si="215"/>
        <v>0</v>
      </c>
      <c r="V3474" s="169" t="str">
        <f t="shared" si="216"/>
        <v>CAPUYAN</v>
      </c>
      <c r="W3474" s="169" t="s">
        <v>8897</v>
      </c>
    </row>
    <row r="3475" spans="2:23" x14ac:dyDescent="0.25">
      <c r="B3475" s="169" t="s">
        <v>1167</v>
      </c>
      <c r="C3475" s="169" t="s">
        <v>39</v>
      </c>
      <c r="D3475" s="169" t="s">
        <v>164</v>
      </c>
      <c r="E3475" s="169" t="s">
        <v>19</v>
      </c>
      <c r="F3475" s="245" t="str">
        <f t="shared" si="217"/>
        <v>DVR 72</v>
      </c>
      <c r="G3475" s="169" t="s">
        <v>13678</v>
      </c>
      <c r="I3475" s="169" t="str">
        <f t="shared" si="218"/>
        <v>L12_JVHW_064E_RAISE</v>
      </c>
      <c r="J3475" s="169" t="s">
        <v>13682</v>
      </c>
      <c r="K3475" s="169">
        <f>IFERROR(MATCH(J3475,'Final List'!$B$4:$B$252,0),0)</f>
        <v>0</v>
      </c>
      <c r="L3475" s="169">
        <f>IFERROR(MATCH(J3475,'Final List'!$D$4:$D$252,0),0)</f>
        <v>0</v>
      </c>
      <c r="M3475" s="169">
        <f>IFERROR(MATCH(J3475,'Final List'!$F$4:$F$251,0),0)</f>
        <v>0</v>
      </c>
      <c r="N3475" s="169">
        <f>IFERROR(MATCH(J3475,'Final List'!$H$4:$H$252,0),0)</f>
        <v>0</v>
      </c>
      <c r="O3475" s="169">
        <f>IFERROR(MATCH(J3475,'Final List'!$J$4:$J$252,0),0)</f>
        <v>0</v>
      </c>
      <c r="P3475" s="169">
        <f>IFERROR(MATCH(J3475,'Final List'!$L$4:$L$252,0),0)</f>
        <v>0</v>
      </c>
      <c r="Q3475" s="169">
        <f>IFERROR(MATCH(J3475,'Final List'!$N$4:$N$252,0),0)</f>
        <v>0</v>
      </c>
      <c r="R3475" s="169">
        <f>IFERROR(MATCH(J3475,'Final List'!$P$4:$P$252,0),0)</f>
        <v>0</v>
      </c>
      <c r="S3475" s="169">
        <f t="shared" si="215"/>
        <v>0</v>
      </c>
      <c r="V3475" s="169" t="str">
        <f t="shared" si="216"/>
        <v>NITRO BO 3</v>
      </c>
      <c r="W3475" s="169" t="s">
        <v>2715</v>
      </c>
    </row>
    <row r="3476" spans="2:23" x14ac:dyDescent="0.25">
      <c r="B3476" s="169" t="s">
        <v>1167</v>
      </c>
      <c r="C3476" s="169" t="s">
        <v>59</v>
      </c>
      <c r="D3476" s="169" t="s">
        <v>5604</v>
      </c>
      <c r="E3476" s="169" t="s">
        <v>61</v>
      </c>
      <c r="F3476" s="245" t="str">
        <f t="shared" si="217"/>
        <v>Dhoz 71</v>
      </c>
      <c r="G3476" s="169" t="s">
        <v>10002</v>
      </c>
      <c r="I3476" s="169" t="str">
        <f t="shared" si="218"/>
        <v>L12_GHVHW_063E_DW</v>
      </c>
      <c r="J3476" s="169" t="s">
        <v>13677</v>
      </c>
      <c r="K3476" s="169">
        <f>IFERROR(MATCH(J3476,'Final List'!$B$4:$B$252,0),0)</f>
        <v>0</v>
      </c>
      <c r="L3476" s="169">
        <f>IFERROR(MATCH(J3476,'Final List'!$D$4:$D$252,0),0)</f>
        <v>0</v>
      </c>
      <c r="M3476" s="169">
        <f>IFERROR(MATCH(J3476,'Final List'!$F$4:$F$251,0),0)</f>
        <v>0</v>
      </c>
      <c r="N3476" s="169">
        <f>IFERROR(MATCH(J3476,'Final List'!$H$4:$H$252,0),0)</f>
        <v>0</v>
      </c>
      <c r="O3476" s="169">
        <f>IFERROR(MATCH(J3476,'Final List'!$J$4:$J$252,0),0)</f>
        <v>0</v>
      </c>
      <c r="P3476" s="169">
        <f>IFERROR(MATCH(J3476,'Final List'!$L$4:$L$252,0),0)</f>
        <v>0</v>
      </c>
      <c r="Q3476" s="169">
        <f>IFERROR(MATCH(J3476,'Final List'!$N$4:$N$252,0),0)</f>
        <v>0</v>
      </c>
      <c r="R3476" s="169">
        <f>IFERROR(MATCH(J3476,'Final List'!$P$4:$P$252,0),0)</f>
        <v>0</v>
      </c>
      <c r="S3476" s="169">
        <f t="shared" si="215"/>
        <v>0</v>
      </c>
      <c r="V3476" s="169" t="str">
        <f t="shared" si="216"/>
        <v>CAYMAN 3</v>
      </c>
      <c r="W3476" s="169" t="s">
        <v>8896</v>
      </c>
    </row>
    <row r="3477" spans="2:23" x14ac:dyDescent="0.25">
      <c r="B3477" s="169" t="s">
        <v>12320</v>
      </c>
      <c r="C3477" s="169" t="s">
        <v>42</v>
      </c>
      <c r="D3477" s="169" t="s">
        <v>168</v>
      </c>
      <c r="E3477" s="169" t="s">
        <v>60</v>
      </c>
      <c r="F3477" s="245" t="str">
        <f t="shared" si="217"/>
        <v>Dhoz 71</v>
      </c>
      <c r="G3477" s="169" t="s">
        <v>355</v>
      </c>
      <c r="I3477" s="169" t="str">
        <f t="shared" si="218"/>
        <v>L425_JV_047E_DE</v>
      </c>
      <c r="J3477" s="169" t="s">
        <v>13683</v>
      </c>
      <c r="K3477" s="169">
        <f>IFERROR(MATCH(J3477,'Final List'!$B$4:$B$252,0),0)</f>
        <v>0</v>
      </c>
      <c r="L3477" s="169">
        <f>IFERROR(MATCH(J3477,'Final List'!$D$4:$D$252,0),0)</f>
        <v>0</v>
      </c>
      <c r="M3477" s="169">
        <f>IFERROR(MATCH(J3477,'Final List'!$F$4:$F$251,0),0)</f>
        <v>0</v>
      </c>
      <c r="N3477" s="169">
        <f>IFERROR(MATCH(J3477,'Final List'!$H$4:$H$252,0),0)</f>
        <v>0</v>
      </c>
      <c r="O3477" s="169">
        <f>IFERROR(MATCH(J3477,'Final List'!$J$4:$J$252,0),0)</f>
        <v>0</v>
      </c>
      <c r="P3477" s="169">
        <f>IFERROR(MATCH(J3477,'Final List'!$L$4:$L$252,0),0)</f>
        <v>0</v>
      </c>
      <c r="Q3477" s="169">
        <f>IFERROR(MATCH(J3477,'Final List'!$N$4:$N$252,0),0)</f>
        <v>0</v>
      </c>
      <c r="R3477" s="169">
        <f>IFERROR(MATCH(J3477,'Final List'!$P$4:$P$252,0),0)</f>
        <v>0</v>
      </c>
      <c r="S3477" s="169">
        <f t="shared" si="215"/>
        <v>0</v>
      </c>
      <c r="V3477" s="169" t="str">
        <f t="shared" si="216"/>
        <v>BAÑEZ 2</v>
      </c>
      <c r="W3477" s="169" t="s">
        <v>8896</v>
      </c>
    </row>
    <row r="3478" spans="2:23" x14ac:dyDescent="0.25">
      <c r="B3478" s="169" t="s">
        <v>1166</v>
      </c>
      <c r="C3478" s="169" t="s">
        <v>43</v>
      </c>
      <c r="D3478" s="169" t="s">
        <v>289</v>
      </c>
      <c r="E3478" s="169" t="s">
        <v>62</v>
      </c>
      <c r="F3478" s="245" t="str">
        <f t="shared" si="217"/>
        <v>RobC 80</v>
      </c>
      <c r="G3478" s="169" t="s">
        <v>4068</v>
      </c>
      <c r="I3478" s="169" t="str">
        <f t="shared" si="218"/>
        <v>L11_GHVSPLIT_059E_ROBBING</v>
      </c>
      <c r="J3478" s="169" t="s">
        <v>13687</v>
      </c>
      <c r="K3478" s="169">
        <f>IFERROR(MATCH(J3478,'Final List'!$B$4:$B$252,0),0)</f>
        <v>0</v>
      </c>
      <c r="L3478" s="169">
        <f>IFERROR(MATCH(J3478,'Final List'!$D$4:$D$252,0),0)</f>
        <v>0</v>
      </c>
      <c r="M3478" s="169">
        <f>IFERROR(MATCH(J3478,'Final List'!$F$4:$F$251,0),0)</f>
        <v>0</v>
      </c>
      <c r="N3478" s="169">
        <f>IFERROR(MATCH(J3478,'Final List'!$H$4:$H$252,0),0)</f>
        <v>0</v>
      </c>
      <c r="O3478" s="169">
        <f>IFERROR(MATCH(J3478,'Final List'!$J$4:$J$252,0),0)</f>
        <v>0</v>
      </c>
      <c r="P3478" s="169">
        <f>IFERROR(MATCH(J3478,'Final List'!$L$4:$L$252,0),0)</f>
        <v>0</v>
      </c>
      <c r="Q3478" s="169">
        <f>IFERROR(MATCH(J3478,'Final List'!$N$4:$N$252,0),0)</f>
        <v>0</v>
      </c>
      <c r="R3478" s="169">
        <f>IFERROR(MATCH(J3478,'Final List'!$P$4:$P$252,0),0)</f>
        <v>0</v>
      </c>
      <c r="S3478" s="169">
        <f t="shared" si="215"/>
        <v>0</v>
      </c>
      <c r="T3478" s="169" t="s">
        <v>48</v>
      </c>
      <c r="V3478" s="169" t="str">
        <f t="shared" si="216"/>
        <v>MAPAYO</v>
      </c>
      <c r="W3478" s="169" t="s">
        <v>236</v>
      </c>
    </row>
    <row r="3479" spans="2:23" x14ac:dyDescent="0.25">
      <c r="B3479" s="169" t="s">
        <v>96</v>
      </c>
      <c r="C3479" s="169" t="s">
        <v>43</v>
      </c>
      <c r="D3479" s="169" t="s">
        <v>107</v>
      </c>
      <c r="E3479" s="169" t="s">
        <v>61</v>
      </c>
      <c r="F3479" s="245" t="str">
        <f t="shared" si="217"/>
        <v>Dhoz 71</v>
      </c>
      <c r="G3479" s="169" t="s">
        <v>1661</v>
      </c>
      <c r="I3479" s="169" t="str">
        <f t="shared" si="218"/>
        <v>L09_GHVSPLIT_032W_DW</v>
      </c>
      <c r="J3479" s="169" t="s">
        <v>13691</v>
      </c>
      <c r="K3479" s="169">
        <f>IFERROR(MATCH(J3479,'Final List'!$B$4:$B$252,0),0)</f>
        <v>0</v>
      </c>
      <c r="L3479" s="169">
        <f>IFERROR(MATCH(J3479,'Final List'!$D$4:$D$252,0),0)</f>
        <v>0</v>
      </c>
      <c r="M3479" s="169">
        <f>IFERROR(MATCH(J3479,'Final List'!$F$4:$F$251,0),0)</f>
        <v>0</v>
      </c>
      <c r="N3479" s="169">
        <f>IFERROR(MATCH(J3479,'Final List'!$H$4:$H$252,0),0)</f>
        <v>0</v>
      </c>
      <c r="O3479" s="169">
        <f>IFERROR(MATCH(J3479,'Final List'!$J$4:$J$252,0),0)</f>
        <v>0</v>
      </c>
      <c r="P3479" s="169">
        <f>IFERROR(MATCH(J3479,'Final List'!$L$4:$L$252,0),0)</f>
        <v>0</v>
      </c>
      <c r="Q3479" s="169">
        <f>IFERROR(MATCH(J3479,'Final List'!$N$4:$N$252,0),0)</f>
        <v>0</v>
      </c>
      <c r="R3479" s="169">
        <f>IFERROR(MATCH(J3479,'Final List'!$P$4:$P$252,0),0)</f>
        <v>0</v>
      </c>
      <c r="S3479" s="169">
        <f t="shared" si="215"/>
        <v>0</v>
      </c>
      <c r="V3479" s="169" t="str">
        <f t="shared" si="216"/>
        <v>DELOS REYES V2</v>
      </c>
      <c r="W3479" s="169" t="s">
        <v>8896</v>
      </c>
    </row>
    <row r="3480" spans="2:23" x14ac:dyDescent="0.25">
      <c r="B3480" s="169" t="s">
        <v>1166</v>
      </c>
      <c r="C3480" s="169" t="s">
        <v>59</v>
      </c>
      <c r="D3480" s="169" t="s">
        <v>103</v>
      </c>
      <c r="E3480" s="169" t="s">
        <v>61</v>
      </c>
      <c r="F3480" s="245" t="str">
        <f t="shared" si="217"/>
        <v>Dhoz 71</v>
      </c>
      <c r="G3480" s="169" t="s">
        <v>6954</v>
      </c>
      <c r="I3480" s="169" t="str">
        <f t="shared" si="218"/>
        <v>L11_GHVHW_005E_DW</v>
      </c>
      <c r="J3480" s="169" t="s">
        <v>13698</v>
      </c>
      <c r="K3480" s="169">
        <f>IFERROR(MATCH(J3480,'Final List'!$B$4:$B$252,0),0)</f>
        <v>0</v>
      </c>
      <c r="L3480" s="169">
        <f>IFERROR(MATCH(J3480,'Final List'!$D$4:$D$252,0),0)</f>
        <v>0</v>
      </c>
      <c r="M3480" s="169">
        <f>IFERROR(MATCH(J3480,'Final List'!$F$4:$F$251,0),0)</f>
        <v>0</v>
      </c>
      <c r="N3480" s="169">
        <f>IFERROR(MATCH(J3480,'Final List'!$H$4:$H$252,0),0)</f>
        <v>0</v>
      </c>
      <c r="O3480" s="169">
        <f>IFERROR(MATCH(J3480,'Final List'!$J$4:$J$252,0),0)</f>
        <v>0</v>
      </c>
      <c r="P3480" s="169">
        <f>IFERROR(MATCH(J3480,'Final List'!$L$4:$L$252,0),0)</f>
        <v>0</v>
      </c>
      <c r="Q3480" s="169">
        <f>IFERROR(MATCH(J3480,'Final List'!$N$4:$N$252,0),0)</f>
        <v>0</v>
      </c>
      <c r="R3480" s="169">
        <f>IFERROR(MATCH(J3480,'Final List'!$P$4:$P$252,0),0)</f>
        <v>0</v>
      </c>
      <c r="S3480" s="169">
        <f t="shared" si="215"/>
        <v>0</v>
      </c>
      <c r="V3480" s="169" t="str">
        <f t="shared" si="216"/>
        <v>BADBADON</v>
      </c>
      <c r="W3480" s="169" t="s">
        <v>8896</v>
      </c>
    </row>
    <row r="3481" spans="2:23" x14ac:dyDescent="0.25">
      <c r="B3481" s="169" t="s">
        <v>1167</v>
      </c>
      <c r="C3481" s="169" t="s">
        <v>57</v>
      </c>
      <c r="D3481" s="169" t="s">
        <v>284</v>
      </c>
      <c r="E3481" s="169" t="s">
        <v>60</v>
      </c>
      <c r="F3481" s="245" t="str">
        <f t="shared" si="217"/>
        <v>Dhoz 71</v>
      </c>
      <c r="G3481" s="169" t="s">
        <v>9885</v>
      </c>
      <c r="I3481" s="169" t="str">
        <f t="shared" si="218"/>
        <v>L12_JVSPLIT_061E_DE</v>
      </c>
      <c r="J3481" s="169" t="s">
        <v>13700</v>
      </c>
      <c r="K3481" s="169">
        <f>IFERROR(MATCH(J3481,'Final List'!$B$4:$B$252,0),0)</f>
        <v>0</v>
      </c>
      <c r="L3481" s="169">
        <f>IFERROR(MATCH(J3481,'Final List'!$D$4:$D$252,0),0)</f>
        <v>0</v>
      </c>
      <c r="M3481" s="169">
        <f>IFERROR(MATCH(J3481,'Final List'!$F$4:$F$251,0),0)</f>
        <v>0</v>
      </c>
      <c r="N3481" s="169">
        <f>IFERROR(MATCH(J3481,'Final List'!$H$4:$H$252,0),0)</f>
        <v>0</v>
      </c>
      <c r="O3481" s="169">
        <f>IFERROR(MATCH(J3481,'Final List'!$J$4:$J$252,0),0)</f>
        <v>0</v>
      </c>
      <c r="P3481" s="169">
        <f>IFERROR(MATCH(J3481,'Final List'!$L$4:$L$252,0),0)</f>
        <v>0</v>
      </c>
      <c r="Q3481" s="169">
        <f>IFERROR(MATCH(J3481,'Final List'!$N$4:$N$252,0),0)</f>
        <v>0</v>
      </c>
      <c r="R3481" s="169">
        <f>IFERROR(MATCH(J3481,'Final List'!$P$4:$P$252,0),0)</f>
        <v>0</v>
      </c>
      <c r="S3481" s="169">
        <f t="shared" si="215"/>
        <v>0</v>
      </c>
      <c r="V3481" s="169" t="str">
        <f t="shared" si="216"/>
        <v>CAYMAN 2</v>
      </c>
      <c r="W3481" s="169" t="s">
        <v>8896</v>
      </c>
    </row>
    <row r="3482" spans="2:23" x14ac:dyDescent="0.25">
      <c r="B3482" s="169" t="s">
        <v>1167</v>
      </c>
      <c r="C3482" s="169" t="s">
        <v>55</v>
      </c>
      <c r="D3482" s="169" t="s">
        <v>142</v>
      </c>
      <c r="E3482" s="169" t="s">
        <v>19</v>
      </c>
      <c r="F3482" s="245" t="str">
        <f t="shared" si="217"/>
        <v>DVR 72</v>
      </c>
      <c r="G3482" s="169" t="s">
        <v>12548</v>
      </c>
      <c r="I3482" s="169" t="str">
        <f t="shared" si="218"/>
        <v>L12_JVFW_038E_RAISE</v>
      </c>
      <c r="J3482" s="169" t="s">
        <v>13703</v>
      </c>
      <c r="K3482" s="169">
        <f>IFERROR(MATCH(J3482,'Final List'!$B$4:$B$252,0),0)</f>
        <v>0</v>
      </c>
      <c r="L3482" s="169">
        <f>IFERROR(MATCH(J3482,'Final List'!$D$4:$D$252,0),0)</f>
        <v>0</v>
      </c>
      <c r="M3482" s="169">
        <f>IFERROR(MATCH(J3482,'Final List'!$F$4:$F$251,0),0)</f>
        <v>0</v>
      </c>
      <c r="N3482" s="169">
        <f>IFERROR(MATCH(J3482,'Final List'!$H$4:$H$252,0),0)</f>
        <v>0</v>
      </c>
      <c r="O3482" s="169">
        <f>IFERROR(MATCH(J3482,'Final List'!$J$4:$J$252,0),0)</f>
        <v>0</v>
      </c>
      <c r="P3482" s="169">
        <f>IFERROR(MATCH(J3482,'Final List'!$L$4:$L$252,0),0)</f>
        <v>0</v>
      </c>
      <c r="Q3482" s="169">
        <f>IFERROR(MATCH(J3482,'Final List'!$N$4:$N$252,0),0)</f>
        <v>0</v>
      </c>
      <c r="R3482" s="169">
        <f>IFERROR(MATCH(J3482,'Final List'!$P$4:$P$252,0),0)</f>
        <v>0</v>
      </c>
      <c r="S3482" s="169">
        <f t="shared" si="215"/>
        <v>0</v>
      </c>
      <c r="V3482" s="169" t="str">
        <f t="shared" si="216"/>
        <v>NITRO BM</v>
      </c>
      <c r="W3482" s="169" t="s">
        <v>2715</v>
      </c>
    </row>
    <row r="3483" spans="2:23" x14ac:dyDescent="0.25">
      <c r="B3483" s="169" t="s">
        <v>1167</v>
      </c>
      <c r="C3483" s="169" t="s">
        <v>43</v>
      </c>
      <c r="D3483" s="169" t="s">
        <v>179</v>
      </c>
      <c r="E3483" s="169" t="s">
        <v>61</v>
      </c>
      <c r="F3483" s="245" t="str">
        <f t="shared" si="217"/>
        <v>Dhoz 71</v>
      </c>
      <c r="G3483" s="169" t="s">
        <v>6930</v>
      </c>
      <c r="I3483" s="169" t="str">
        <f t="shared" si="218"/>
        <v>L12_GHVSPLIT_050E_DW</v>
      </c>
      <c r="J3483" s="169" t="s">
        <v>13704</v>
      </c>
      <c r="K3483" s="169">
        <f>IFERROR(MATCH(J3483,'Final List'!$B$4:$B$252,0),0)</f>
        <v>0</v>
      </c>
      <c r="L3483" s="169">
        <f>IFERROR(MATCH(J3483,'Final List'!$D$4:$D$252,0),0)</f>
        <v>0</v>
      </c>
      <c r="M3483" s="169">
        <f>IFERROR(MATCH(J3483,'Final List'!$F$4:$F$251,0),0)</f>
        <v>0</v>
      </c>
      <c r="N3483" s="169">
        <f>IFERROR(MATCH(J3483,'Final List'!$H$4:$H$252,0),0)</f>
        <v>0</v>
      </c>
      <c r="O3483" s="169">
        <f>IFERROR(MATCH(J3483,'Final List'!$J$4:$J$252,0),0)</f>
        <v>0</v>
      </c>
      <c r="P3483" s="169">
        <f>IFERROR(MATCH(J3483,'Final List'!$L$4:$L$252,0),0)</f>
        <v>0</v>
      </c>
      <c r="Q3483" s="169">
        <f>IFERROR(MATCH(J3483,'Final List'!$N$4:$N$252,0),0)</f>
        <v>0</v>
      </c>
      <c r="R3483" s="169">
        <f>IFERROR(MATCH(J3483,'Final List'!$P$4:$P$252,0),0)</f>
        <v>0</v>
      </c>
      <c r="S3483" s="169">
        <f t="shared" si="215"/>
        <v>0</v>
      </c>
      <c r="V3483" s="169" t="str">
        <f t="shared" si="216"/>
        <v>DUHIG, P1</v>
      </c>
      <c r="W3483" s="169" t="s">
        <v>8896</v>
      </c>
    </row>
    <row r="3484" spans="2:23" x14ac:dyDescent="0.25">
      <c r="B3484" s="169" t="s">
        <v>258</v>
      </c>
      <c r="C3484" s="169" t="s">
        <v>57</v>
      </c>
      <c r="D3484" s="169" t="s">
        <v>166</v>
      </c>
      <c r="E3484" s="169" t="s">
        <v>6143</v>
      </c>
      <c r="F3484" s="245" t="str">
        <f t="shared" si="217"/>
        <v>Dhoz 71</v>
      </c>
      <c r="G3484" s="169" t="s">
        <v>12409</v>
      </c>
      <c r="I3484" s="169" t="str">
        <f t="shared" si="218"/>
        <v>L10_JVSPLIT_068E_DE_ISL</v>
      </c>
      <c r="J3484" s="169" t="s">
        <v>13706</v>
      </c>
      <c r="K3484" s="169">
        <f>IFERROR(MATCH(J3484,'Final List'!$B$4:$B$252,0),0)</f>
        <v>0</v>
      </c>
      <c r="L3484" s="169">
        <f>IFERROR(MATCH(J3484,'Final List'!$D$4:$D$252,0),0)</f>
        <v>0</v>
      </c>
      <c r="M3484" s="169">
        <f>IFERROR(MATCH(J3484,'Final List'!$F$4:$F$251,0),0)</f>
        <v>0</v>
      </c>
      <c r="N3484" s="169">
        <f>IFERROR(MATCH(J3484,'Final List'!$H$4:$H$252,0),0)</f>
        <v>0</v>
      </c>
      <c r="O3484" s="169">
        <f>IFERROR(MATCH(J3484,'Final List'!$J$4:$J$252,0),0)</f>
        <v>0</v>
      </c>
      <c r="P3484" s="169">
        <f>IFERROR(MATCH(J3484,'Final List'!$L$4:$L$252,0),0)</f>
        <v>0</v>
      </c>
      <c r="Q3484" s="169">
        <f>IFERROR(MATCH(J3484,'Final List'!$N$4:$N$252,0),0)</f>
        <v>0</v>
      </c>
      <c r="R3484" s="169">
        <f>IFERROR(MATCH(J3484,'Final List'!$P$4:$P$252,0),0)</f>
        <v>0</v>
      </c>
      <c r="S3484" s="169">
        <f t="shared" si="215"/>
        <v>0</v>
      </c>
      <c r="V3484" s="169" t="str">
        <f t="shared" si="216"/>
        <v>LARGO</v>
      </c>
      <c r="W3484" s="169" t="s">
        <v>2708</v>
      </c>
    </row>
    <row r="3485" spans="2:23" ht="15.75" x14ac:dyDescent="0.25">
      <c r="B3485" s="169" t="s">
        <v>1167</v>
      </c>
      <c r="C3485" s="169" t="s">
        <v>43</v>
      </c>
      <c r="D3485" s="169" t="s">
        <v>175</v>
      </c>
      <c r="E3485" s="169" t="s">
        <v>61</v>
      </c>
      <c r="F3485" s="245" t="str">
        <f t="shared" si="217"/>
        <v>Dhoz 71</v>
      </c>
      <c r="G3485" s="106" t="s">
        <v>12280</v>
      </c>
      <c r="I3485" s="169" t="str">
        <f t="shared" si="218"/>
        <v>L12_GHVSPLIT_060E_DW</v>
      </c>
      <c r="J3485" s="169" t="s">
        <v>13722</v>
      </c>
      <c r="K3485" s="169">
        <f>IFERROR(MATCH(J3485,'Final List'!$B$4:$B$252,0),0)</f>
        <v>0</v>
      </c>
      <c r="L3485" s="169">
        <f>IFERROR(MATCH(J3485,'Final List'!$D$4:$D$252,0),0)</f>
        <v>0</v>
      </c>
      <c r="M3485" s="169">
        <f>IFERROR(MATCH(J3485,'Final List'!$F$4:$F$251,0),0)</f>
        <v>0</v>
      </c>
      <c r="N3485" s="169">
        <f>IFERROR(MATCH(J3485,'Final List'!$H$4:$H$252,0),0)</f>
        <v>0</v>
      </c>
      <c r="O3485" s="169">
        <f>IFERROR(MATCH(J3485,'Final List'!$J$4:$J$252,0),0)</f>
        <v>0</v>
      </c>
      <c r="P3485" s="169">
        <f>IFERROR(MATCH(J3485,'Final List'!$L$4:$L$252,0),0)</f>
        <v>0</v>
      </c>
      <c r="Q3485" s="169">
        <f>IFERROR(MATCH(J3485,'Final List'!$N$4:$N$252,0),0)</f>
        <v>0</v>
      </c>
      <c r="R3485" s="169">
        <f>IFERROR(MATCH(J3485,'Final List'!$P$4:$P$252,0),0)</f>
        <v>0</v>
      </c>
      <c r="S3485" s="169">
        <f t="shared" si="215"/>
        <v>0</v>
      </c>
      <c r="V3485" s="169" t="str">
        <f t="shared" si="216"/>
        <v>NITRO BF 6</v>
      </c>
      <c r="W3485" s="169" t="s">
        <v>8896</v>
      </c>
    </row>
    <row r="3486" spans="2:23" x14ac:dyDescent="0.25">
      <c r="B3486" s="169" t="s">
        <v>12320</v>
      </c>
      <c r="C3486" s="169" t="s">
        <v>39</v>
      </c>
      <c r="D3486" s="169" t="s">
        <v>166</v>
      </c>
      <c r="E3486" s="169" t="s">
        <v>60</v>
      </c>
      <c r="F3486" s="245" t="str">
        <f t="shared" si="217"/>
        <v>Dhoz 71</v>
      </c>
      <c r="G3486" s="169" t="s">
        <v>13708</v>
      </c>
      <c r="I3486" s="169" t="str">
        <f t="shared" si="218"/>
        <v>L425_JVHW_068E_DE</v>
      </c>
      <c r="J3486" s="169" t="s">
        <v>13707</v>
      </c>
      <c r="K3486" s="169">
        <f>IFERROR(MATCH(J3486,'Final List'!$B$4:$B$252,0),0)</f>
        <v>0</v>
      </c>
      <c r="L3486" s="169">
        <f>IFERROR(MATCH(J3486,'Final List'!$D$4:$D$252,0),0)</f>
        <v>0</v>
      </c>
      <c r="M3486" s="169">
        <f>IFERROR(MATCH(J3486,'Final List'!$F$4:$F$251,0),0)</f>
        <v>0</v>
      </c>
      <c r="N3486" s="169">
        <f>IFERROR(MATCH(J3486,'Final List'!$H$4:$H$252,0),0)</f>
        <v>0</v>
      </c>
      <c r="O3486" s="169">
        <f>IFERROR(MATCH(J3486,'Final List'!$J$4:$J$252,0),0)</f>
        <v>0</v>
      </c>
      <c r="P3486" s="169">
        <f>IFERROR(MATCH(J3486,'Final List'!$L$4:$L$252,0),0)</f>
        <v>0</v>
      </c>
      <c r="Q3486" s="169">
        <f>IFERROR(MATCH(J3486,'Final List'!$N$4:$N$252,0),0)</f>
        <v>0</v>
      </c>
      <c r="R3486" s="169">
        <f>IFERROR(MATCH(J3486,'Final List'!$P$4:$P$252,0),0)</f>
        <v>0</v>
      </c>
      <c r="S3486" s="169">
        <f t="shared" si="215"/>
        <v>0</v>
      </c>
      <c r="V3486" s="169" t="str">
        <f t="shared" si="216"/>
        <v>OLIVEROS 6</v>
      </c>
      <c r="W3486" s="169" t="s">
        <v>8896</v>
      </c>
    </row>
    <row r="3487" spans="2:23" x14ac:dyDescent="0.25">
      <c r="B3487" s="169" t="s">
        <v>95</v>
      </c>
      <c r="C3487" s="169" t="s">
        <v>45</v>
      </c>
      <c r="D3487" s="169" t="s">
        <v>7301</v>
      </c>
      <c r="E3487" s="169" t="s">
        <v>6154</v>
      </c>
      <c r="F3487" s="245" t="str">
        <f t="shared" si="217"/>
        <v>Dhoz 71</v>
      </c>
      <c r="G3487" s="169" t="s">
        <v>526</v>
      </c>
      <c r="I3487" s="169" t="str">
        <f t="shared" si="218"/>
        <v>L08_DPVE_010W_DW_ISL</v>
      </c>
      <c r="J3487" s="169" t="s">
        <v>13709</v>
      </c>
      <c r="K3487" s="169">
        <f>IFERROR(MATCH(J3487,'Final List'!$B$4:$B$252,0),0)</f>
        <v>0</v>
      </c>
      <c r="L3487" s="169">
        <f>IFERROR(MATCH(J3487,'Final List'!$D$4:$D$252,0),0)</f>
        <v>0</v>
      </c>
      <c r="M3487" s="169">
        <f>IFERROR(MATCH(J3487,'Final List'!$F$4:$F$251,0),0)</f>
        <v>0</v>
      </c>
      <c r="N3487" s="169">
        <f>IFERROR(MATCH(J3487,'Final List'!$H$4:$H$252,0),0)</f>
        <v>0</v>
      </c>
      <c r="O3487" s="169">
        <f>IFERROR(MATCH(J3487,'Final List'!$J$4:$J$252,0),0)</f>
        <v>0</v>
      </c>
      <c r="P3487" s="169">
        <f>IFERROR(MATCH(J3487,'Final List'!$L$4:$L$252,0),0)</f>
        <v>0</v>
      </c>
      <c r="Q3487" s="169">
        <f>IFERROR(MATCH(J3487,'Final List'!$N$4:$N$252,0),0)</f>
        <v>0</v>
      </c>
      <c r="R3487" s="169">
        <f>IFERROR(MATCH(J3487,'Final List'!$P$4:$P$252,0),0)</f>
        <v>0</v>
      </c>
      <c r="S3487" s="169">
        <f t="shared" si="215"/>
        <v>0</v>
      </c>
      <c r="V3487" s="169" t="str">
        <f t="shared" si="216"/>
        <v>CARIKITAN 2</v>
      </c>
      <c r="W3487" s="169" t="s">
        <v>2708</v>
      </c>
    </row>
    <row r="3488" spans="2:23" x14ac:dyDescent="0.25">
      <c r="B3488" s="169" t="s">
        <v>12320</v>
      </c>
      <c r="C3488" s="169" t="s">
        <v>39</v>
      </c>
      <c r="D3488" s="169" t="s">
        <v>172</v>
      </c>
      <c r="E3488" s="169" t="s">
        <v>211</v>
      </c>
      <c r="F3488" s="245" t="str">
        <f t="shared" si="217"/>
        <v>StpS 77</v>
      </c>
      <c r="G3488" s="169" t="s">
        <v>455</v>
      </c>
      <c r="I3488" s="169" t="str">
        <f t="shared" si="218"/>
        <v>L425_JVHW_045E_STOPE PREP</v>
      </c>
      <c r="J3488" s="169" t="s">
        <v>13781</v>
      </c>
      <c r="K3488" s="169">
        <f>IFERROR(MATCH(J3488,'Final List'!$B$4:$B$252,0),0)</f>
        <v>0</v>
      </c>
      <c r="L3488" s="169">
        <f>IFERROR(MATCH(J3488,'Final List'!$D$4:$D$252,0),0)</f>
        <v>0</v>
      </c>
      <c r="M3488" s="169">
        <f>IFERROR(MATCH(J3488,'Final List'!$F$4:$F$251,0),0)</f>
        <v>0</v>
      </c>
      <c r="N3488" s="169">
        <f>IFERROR(MATCH(J3488,'Final List'!$H$4:$H$252,0),0)</f>
        <v>0</v>
      </c>
      <c r="O3488" s="169">
        <f>IFERROR(MATCH(J3488,'Final List'!$J$4:$J$252,0),0)</f>
        <v>0</v>
      </c>
      <c r="P3488" s="169">
        <f>IFERROR(MATCH(J3488,'Final List'!$L$4:$L$252,0),0)</f>
        <v>0</v>
      </c>
      <c r="Q3488" s="169">
        <f>IFERROR(MATCH(J3488,'Final List'!$N$4:$N$252,0),0)</f>
        <v>0</v>
      </c>
      <c r="R3488" s="169">
        <f>IFERROR(MATCH(J3488,'Final List'!$P$4:$P$252,0),0)</f>
        <v>0</v>
      </c>
      <c r="S3488" s="169">
        <f t="shared" si="215"/>
        <v>0</v>
      </c>
      <c r="T3488" s="169" t="s">
        <v>68</v>
      </c>
      <c r="V3488" s="169" t="str">
        <f t="shared" si="216"/>
        <v>BABOR 4</v>
      </c>
      <c r="W3488" s="169" t="s">
        <v>2712</v>
      </c>
    </row>
    <row r="3489" spans="2:23" x14ac:dyDescent="0.25">
      <c r="B3489" s="169" t="s">
        <v>95</v>
      </c>
      <c r="C3489" s="169" t="s">
        <v>43</v>
      </c>
      <c r="D3489" s="169" t="s">
        <v>133</v>
      </c>
      <c r="E3489" s="169" t="s">
        <v>62</v>
      </c>
      <c r="F3489" s="245" t="str">
        <f t="shared" si="217"/>
        <v>RobS 79</v>
      </c>
      <c r="G3489" s="169" t="s">
        <v>1507</v>
      </c>
      <c r="I3489" s="169" t="str">
        <f t="shared" si="218"/>
        <v>L08_GHVSPLIT_037E_ROBBING</v>
      </c>
      <c r="J3489" s="169" t="s">
        <v>13714</v>
      </c>
      <c r="K3489" s="169">
        <f>IFERROR(MATCH(J3489,'Final List'!$B$4:$B$252,0),0)</f>
        <v>0</v>
      </c>
      <c r="L3489" s="169">
        <f>IFERROR(MATCH(J3489,'Final List'!$D$4:$D$252,0),0)</f>
        <v>0</v>
      </c>
      <c r="M3489" s="169">
        <f>IFERROR(MATCH(J3489,'Final List'!$F$4:$F$251,0),0)</f>
        <v>0</v>
      </c>
      <c r="N3489" s="169">
        <f>IFERROR(MATCH(J3489,'Final List'!$H$4:$H$252,0),0)</f>
        <v>0</v>
      </c>
      <c r="O3489" s="169">
        <f>IFERROR(MATCH(J3489,'Final List'!$J$4:$J$252,0),0)</f>
        <v>0</v>
      </c>
      <c r="P3489" s="169">
        <f>IFERROR(MATCH(J3489,'Final List'!$L$4:$L$252,0),0)</f>
        <v>0</v>
      </c>
      <c r="Q3489" s="169">
        <f>IFERROR(MATCH(J3489,'Final List'!$N$4:$N$252,0),0)</f>
        <v>0</v>
      </c>
      <c r="R3489" s="169">
        <f>IFERROR(MATCH(J3489,'Final List'!$P$4:$P$252,0),0)</f>
        <v>0</v>
      </c>
      <c r="S3489" s="169">
        <f t="shared" ref="S3489:S3522" si="219">SUM(K3489:R3489)</f>
        <v>0</v>
      </c>
      <c r="T3489" s="169" t="s">
        <v>68</v>
      </c>
      <c r="V3489" s="169" t="str">
        <f t="shared" si="216"/>
        <v>FERNANDEZ 1</v>
      </c>
      <c r="W3489" s="169" t="s">
        <v>2707</v>
      </c>
    </row>
    <row r="3490" spans="2:23" x14ac:dyDescent="0.25">
      <c r="B3490" s="169" t="s">
        <v>95</v>
      </c>
      <c r="C3490" s="169" t="s">
        <v>57</v>
      </c>
      <c r="D3490" s="169" t="s">
        <v>116</v>
      </c>
      <c r="E3490" s="169" t="s">
        <v>6154</v>
      </c>
      <c r="F3490" s="245" t="str">
        <f t="shared" si="217"/>
        <v>Dhoz 71</v>
      </c>
      <c r="G3490" t="s">
        <v>9753</v>
      </c>
      <c r="I3490" s="169" t="str">
        <f t="shared" si="218"/>
        <v>L08_JVSPLIT_021W_DW_ISL</v>
      </c>
      <c r="J3490" s="169" t="s">
        <v>13715</v>
      </c>
      <c r="K3490" s="169">
        <f>IFERROR(MATCH(J3490,'Final List'!$B$4:$B$252,0),0)</f>
        <v>0</v>
      </c>
      <c r="L3490" s="169">
        <f>IFERROR(MATCH(J3490,'Final List'!$D$4:$D$252,0),0)</f>
        <v>0</v>
      </c>
      <c r="M3490" s="169">
        <f>IFERROR(MATCH(J3490,'Final List'!$F$4:$F$251,0),0)</f>
        <v>0</v>
      </c>
      <c r="N3490" s="169">
        <f>IFERROR(MATCH(J3490,'Final List'!$H$4:$H$252,0),0)</f>
        <v>0</v>
      </c>
      <c r="O3490" s="169">
        <f>IFERROR(MATCH(J3490,'Final List'!$J$4:$J$252,0),0)</f>
        <v>0</v>
      </c>
      <c r="P3490" s="169">
        <f>IFERROR(MATCH(J3490,'Final List'!$L$4:$L$252,0),0)</f>
        <v>0</v>
      </c>
      <c r="Q3490" s="169">
        <f>IFERROR(MATCH(J3490,'Final List'!$N$4:$N$252,0),0)</f>
        <v>0</v>
      </c>
      <c r="R3490" s="169">
        <f>IFERROR(MATCH(J3490,'Final List'!$P$4:$P$252,0),0)</f>
        <v>0</v>
      </c>
      <c r="S3490" s="169">
        <f t="shared" si="219"/>
        <v>0</v>
      </c>
      <c r="V3490" s="169" t="str">
        <f t="shared" si="216"/>
        <v>CAPUYAN 2</v>
      </c>
      <c r="W3490" s="169" t="s">
        <v>2708</v>
      </c>
    </row>
    <row r="3491" spans="2:23" x14ac:dyDescent="0.25">
      <c r="B3491" s="169" t="s">
        <v>95</v>
      </c>
      <c r="C3491" s="169" t="s">
        <v>87</v>
      </c>
      <c r="D3491" s="169" t="s">
        <v>5742</v>
      </c>
      <c r="E3491" s="169" t="s">
        <v>63</v>
      </c>
      <c r="F3491" s="245" t="str">
        <f t="shared" si="217"/>
        <v>Dhoz 71</v>
      </c>
      <c r="G3491" t="s">
        <v>9753</v>
      </c>
      <c r="I3491" s="169" t="str">
        <f t="shared" si="218"/>
        <v>L08_NONE_040E_XCS</v>
      </c>
      <c r="J3491" s="169" t="s">
        <v>13716</v>
      </c>
      <c r="K3491" s="169">
        <f>IFERROR(MATCH(J3491,'Final List'!$B$4:$B$252,0),0)</f>
        <v>0</v>
      </c>
      <c r="L3491" s="169">
        <f>IFERROR(MATCH(J3491,'Final List'!$D$4:$D$252,0),0)</f>
        <v>0</v>
      </c>
      <c r="M3491" s="169">
        <f>IFERROR(MATCH(J3491,'Final List'!$F$4:$F$251,0),0)</f>
        <v>0</v>
      </c>
      <c r="N3491" s="169">
        <f>IFERROR(MATCH(J3491,'Final List'!$H$4:$H$252,0),0)</f>
        <v>0</v>
      </c>
      <c r="O3491" s="169">
        <f>IFERROR(MATCH(J3491,'Final List'!$J$4:$J$252,0),0)</f>
        <v>0</v>
      </c>
      <c r="P3491" s="169">
        <f>IFERROR(MATCH(J3491,'Final List'!$L$4:$L$252,0),0)</f>
        <v>0</v>
      </c>
      <c r="Q3491" s="169">
        <f>IFERROR(MATCH(J3491,'Final List'!$N$4:$N$252,0),0)</f>
        <v>0</v>
      </c>
      <c r="R3491" s="169">
        <f>IFERROR(MATCH(J3491,'Final List'!$P$4:$P$252,0),0)</f>
        <v>0</v>
      </c>
      <c r="S3491" s="169">
        <f t="shared" si="219"/>
        <v>0</v>
      </c>
      <c r="V3491" s="169" t="str">
        <f t="shared" si="216"/>
        <v>CAPUYAN 2</v>
      </c>
      <c r="W3491" s="169" t="s">
        <v>8897</v>
      </c>
    </row>
    <row r="3492" spans="2:23" x14ac:dyDescent="0.25">
      <c r="B3492" s="169" t="s">
        <v>96</v>
      </c>
      <c r="C3492" s="169" t="s">
        <v>38</v>
      </c>
      <c r="D3492" s="169" t="s">
        <v>129</v>
      </c>
      <c r="E3492" s="169" t="s">
        <v>20</v>
      </c>
      <c r="F3492" s="245" t="str">
        <f t="shared" si="217"/>
        <v>DVW 74</v>
      </c>
      <c r="G3492" t="s">
        <v>12528</v>
      </c>
      <c r="H3492" s="169" t="s">
        <v>350</v>
      </c>
      <c r="I3492" s="169" t="str">
        <f t="shared" si="218"/>
        <v>L09_GHV_010E_WINZE</v>
      </c>
      <c r="J3492" s="169" t="s">
        <v>13720</v>
      </c>
      <c r="K3492" s="169">
        <f>IFERROR(MATCH(J3492,'Final List'!$B$4:$B$252,0),0)</f>
        <v>0</v>
      </c>
      <c r="L3492" s="169">
        <f>IFERROR(MATCH(J3492,'Final List'!$D$4:$D$252,0),0)</f>
        <v>0</v>
      </c>
      <c r="M3492" s="169">
        <f>IFERROR(MATCH(J3492,'Final List'!$F$4:$F$251,0),0)</f>
        <v>0</v>
      </c>
      <c r="N3492" s="169">
        <f>IFERROR(MATCH(J3492,'Final List'!$H$4:$H$252,0),0)</f>
        <v>0</v>
      </c>
      <c r="O3492" s="169">
        <f>IFERROR(MATCH(J3492,'Final List'!$J$4:$J$252,0),0)</f>
        <v>0</v>
      </c>
      <c r="P3492" s="169">
        <f>IFERROR(MATCH(J3492,'Final List'!$L$4:$L$252,0),0)</f>
        <v>0</v>
      </c>
      <c r="Q3492" s="169">
        <f>IFERROR(MATCH(J3492,'Final List'!$N$4:$N$252,0),0)</f>
        <v>0</v>
      </c>
      <c r="R3492" s="169">
        <f>IFERROR(MATCH(J3492,'Final List'!$P$4:$P$252,0),0)</f>
        <v>0</v>
      </c>
      <c r="S3492" s="169">
        <f t="shared" si="219"/>
        <v>0</v>
      </c>
      <c r="V3492" s="169" t="str">
        <f t="shared" si="216"/>
        <v>QUIJANO 1</v>
      </c>
      <c r="W3492" s="169" t="s">
        <v>2706</v>
      </c>
    </row>
    <row r="3493" spans="2:23" x14ac:dyDescent="0.25">
      <c r="B3493" s="169" t="s">
        <v>1167</v>
      </c>
      <c r="C3493" s="169" t="s">
        <v>38</v>
      </c>
      <c r="D3493" s="169" t="s">
        <v>870</v>
      </c>
      <c r="E3493" s="169" t="s">
        <v>62</v>
      </c>
      <c r="F3493" s="245" t="str">
        <f t="shared" si="217"/>
        <v>RobS 79</v>
      </c>
      <c r="G3493" s="169" t="s">
        <v>6216</v>
      </c>
      <c r="I3493" s="169" t="str">
        <f t="shared" si="218"/>
        <v>L12_GHV_073E_ROBBING</v>
      </c>
      <c r="J3493" s="169" t="s">
        <v>13721</v>
      </c>
      <c r="K3493" s="169">
        <f>IFERROR(MATCH(J3493,'Final List'!$B$4:$B$252,0),0)</f>
        <v>0</v>
      </c>
      <c r="L3493" s="169">
        <f>IFERROR(MATCH(J3493,'Final List'!$D$4:$D$252,0),0)</f>
        <v>0</v>
      </c>
      <c r="M3493" s="169">
        <f>IFERROR(MATCH(J3493,'Final List'!$F$4:$F$251,0),0)</f>
        <v>0</v>
      </c>
      <c r="N3493" s="169">
        <f>IFERROR(MATCH(J3493,'Final List'!$H$4:$H$252,0),0)</f>
        <v>0</v>
      </c>
      <c r="O3493" s="169">
        <f>IFERROR(MATCH(J3493,'Final List'!$J$4:$J$252,0),0)</f>
        <v>0</v>
      </c>
      <c r="P3493" s="169">
        <f>IFERROR(MATCH(J3493,'Final List'!$L$4:$L$252,0),0)</f>
        <v>0</v>
      </c>
      <c r="Q3493" s="169">
        <f>IFERROR(MATCH(J3493,'Final List'!$N$4:$N$252,0),0)</f>
        <v>0</v>
      </c>
      <c r="R3493" s="169">
        <f>IFERROR(MATCH(J3493,'Final List'!$P$4:$P$252,0),0)</f>
        <v>0</v>
      </c>
      <c r="S3493" s="169">
        <f t="shared" si="219"/>
        <v>0</v>
      </c>
      <c r="T3493" s="169" t="s">
        <v>68</v>
      </c>
      <c r="V3493" s="169" t="str">
        <f t="shared" si="216"/>
        <v>FERNANDEZ</v>
      </c>
      <c r="W3493" s="169" t="s">
        <v>2707</v>
      </c>
    </row>
    <row r="3494" spans="2:23" x14ac:dyDescent="0.25">
      <c r="B3494" s="169" t="s">
        <v>1166</v>
      </c>
      <c r="C3494" s="169" t="s">
        <v>42</v>
      </c>
      <c r="D3494" s="169" t="s">
        <v>145</v>
      </c>
      <c r="E3494" s="169" t="s">
        <v>61</v>
      </c>
      <c r="F3494" s="245" t="str">
        <f t="shared" si="217"/>
        <v>Dhoz 71</v>
      </c>
      <c r="G3494" s="169" t="s">
        <v>13403</v>
      </c>
      <c r="I3494" s="169" t="str">
        <f t="shared" si="218"/>
        <v>L11_JV_009E_DW</v>
      </c>
      <c r="J3494" s="169" t="s">
        <v>13723</v>
      </c>
      <c r="K3494" s="169">
        <f>IFERROR(MATCH(J3494,'Final List'!$B$4:$B$252,0),0)</f>
        <v>0</v>
      </c>
      <c r="L3494" s="169">
        <f>IFERROR(MATCH(J3494,'Final List'!$D$4:$D$252,0),0)</f>
        <v>0</v>
      </c>
      <c r="M3494" s="169">
        <f>IFERROR(MATCH(J3494,'Final List'!$F$4:$F$251,0),0)</f>
        <v>0</v>
      </c>
      <c r="N3494" s="169">
        <f>IFERROR(MATCH(J3494,'Final List'!$H$4:$H$252,0),0)</f>
        <v>0</v>
      </c>
      <c r="O3494" s="169">
        <f>IFERROR(MATCH(J3494,'Final List'!$J$4:$J$252,0),0)</f>
        <v>0</v>
      </c>
      <c r="P3494" s="169">
        <f>IFERROR(MATCH(J3494,'Final List'!$L$4:$L$252,0),0)</f>
        <v>0</v>
      </c>
      <c r="Q3494" s="169">
        <f>IFERROR(MATCH(J3494,'Final List'!$N$4:$N$252,0),0)</f>
        <v>0</v>
      </c>
      <c r="R3494" s="169">
        <f>IFERROR(MATCH(J3494,'Final List'!$P$4:$P$252,0),0)</f>
        <v>0</v>
      </c>
      <c r="S3494" s="169">
        <f t="shared" si="219"/>
        <v>0</v>
      </c>
      <c r="V3494" s="169" t="str">
        <f t="shared" si="216"/>
        <v>ALEÑAR</v>
      </c>
      <c r="W3494" s="169" t="s">
        <v>8896</v>
      </c>
    </row>
    <row r="3495" spans="2:23" x14ac:dyDescent="0.25">
      <c r="B3495" s="169" t="s">
        <v>1166</v>
      </c>
      <c r="C3495" s="169" t="s">
        <v>43</v>
      </c>
      <c r="D3495" s="169" t="s">
        <v>5912</v>
      </c>
      <c r="E3495" s="169" t="s">
        <v>60</v>
      </c>
      <c r="F3495" s="245" t="str">
        <f t="shared" si="217"/>
        <v>Dhoz 71</v>
      </c>
      <c r="G3495" s="169" t="s">
        <v>6954</v>
      </c>
      <c r="I3495" s="169" t="str">
        <f t="shared" si="218"/>
        <v>L11_GHVSPLIT_019E_DE</v>
      </c>
      <c r="J3495" s="169" t="s">
        <v>13729</v>
      </c>
      <c r="K3495" s="169">
        <f>IFERROR(MATCH(J3495,'Final List'!$B$4:$B$252,0),0)</f>
        <v>0</v>
      </c>
      <c r="L3495" s="169">
        <f>IFERROR(MATCH(J3495,'Final List'!$D$4:$D$252,0),0)</f>
        <v>0</v>
      </c>
      <c r="M3495" s="169">
        <f>IFERROR(MATCH(J3495,'Final List'!$F$4:$F$251,0),0)</f>
        <v>0</v>
      </c>
      <c r="N3495" s="169">
        <f>IFERROR(MATCH(J3495,'Final List'!$H$4:$H$252,0),0)</f>
        <v>0</v>
      </c>
      <c r="O3495" s="169">
        <f>IFERROR(MATCH(J3495,'Final List'!$J$4:$J$252,0),0)</f>
        <v>0</v>
      </c>
      <c r="P3495" s="169">
        <f>IFERROR(MATCH(J3495,'Final List'!$L$4:$L$252,0),0)</f>
        <v>0</v>
      </c>
      <c r="Q3495" s="169">
        <f>IFERROR(MATCH(J3495,'Final List'!$N$4:$N$252,0),0)</f>
        <v>0</v>
      </c>
      <c r="R3495" s="169">
        <f>IFERROR(MATCH(J3495,'Final List'!$P$4:$P$252,0),0)</f>
        <v>0</v>
      </c>
      <c r="S3495" s="169">
        <f t="shared" si="219"/>
        <v>0</v>
      </c>
      <c r="V3495" s="169" t="str">
        <f t="shared" si="216"/>
        <v>BADBADON</v>
      </c>
      <c r="W3495" s="169" t="s">
        <v>8896</v>
      </c>
    </row>
    <row r="3496" spans="2:23" x14ac:dyDescent="0.25">
      <c r="B3496" s="169" t="s">
        <v>96</v>
      </c>
      <c r="C3496" s="169" t="s">
        <v>38</v>
      </c>
      <c r="D3496" s="169" t="s">
        <v>100</v>
      </c>
      <c r="E3496" s="169" t="s">
        <v>60</v>
      </c>
      <c r="F3496" s="245" t="str">
        <f t="shared" si="217"/>
        <v>Dhoz 71</v>
      </c>
      <c r="G3496" s="169" t="s">
        <v>6621</v>
      </c>
      <c r="I3496" s="169" t="str">
        <f t="shared" si="218"/>
        <v>L09_GHV_020W_DE</v>
      </c>
      <c r="J3496" s="169" t="s">
        <v>13738</v>
      </c>
      <c r="K3496" s="169">
        <f>IFERROR(MATCH(J3496,'Final List'!$B$4:$B$252,0),0)</f>
        <v>0</v>
      </c>
      <c r="L3496" s="169">
        <f>IFERROR(MATCH(J3496,'Final List'!$D$4:$D$252,0),0)</f>
        <v>0</v>
      </c>
      <c r="M3496" s="169">
        <f>IFERROR(MATCH(J3496,'Final List'!$F$4:$F$251,0),0)</f>
        <v>0</v>
      </c>
      <c r="N3496" s="169">
        <f>IFERROR(MATCH(J3496,'Final List'!$H$4:$H$252,0),0)</f>
        <v>0</v>
      </c>
      <c r="O3496" s="169">
        <f>IFERROR(MATCH(J3496,'Final List'!$J$4:$J$252,0),0)</f>
        <v>0</v>
      </c>
      <c r="P3496" s="169">
        <f>IFERROR(MATCH(J3496,'Final List'!$L$4:$L$252,0),0)</f>
        <v>0</v>
      </c>
      <c r="Q3496" s="169">
        <f>IFERROR(MATCH(J3496,'Final List'!$N$4:$N$252,0),0)</f>
        <v>0</v>
      </c>
      <c r="R3496" s="169">
        <f>IFERROR(MATCH(J3496,'Final List'!$P$4:$P$252,0),0)</f>
        <v>0</v>
      </c>
      <c r="S3496" s="169">
        <f t="shared" si="219"/>
        <v>0</v>
      </c>
      <c r="V3496" s="169" t="str">
        <f t="shared" si="216"/>
        <v>DELOS REYES V1</v>
      </c>
      <c r="W3496" s="169" t="s">
        <v>8896</v>
      </c>
    </row>
    <row r="3497" spans="2:23" x14ac:dyDescent="0.25">
      <c r="B3497" s="169" t="s">
        <v>96</v>
      </c>
      <c r="C3497" s="169" t="s">
        <v>38</v>
      </c>
      <c r="D3497" s="169" t="s">
        <v>115</v>
      </c>
      <c r="E3497" s="169" t="s">
        <v>61</v>
      </c>
      <c r="F3497" s="245" t="str">
        <f t="shared" si="217"/>
        <v>Dhoz 71</v>
      </c>
      <c r="G3497" s="169" t="s">
        <v>5101</v>
      </c>
      <c r="I3497" s="169" t="str">
        <f t="shared" si="218"/>
        <v>L09_GHV_019W_DW</v>
      </c>
      <c r="J3497" s="169" t="s">
        <v>13739</v>
      </c>
      <c r="K3497" s="169">
        <f>IFERROR(MATCH(J3497,'Final List'!$B$4:$B$252,0),0)</f>
        <v>0</v>
      </c>
      <c r="L3497" s="169">
        <f>IFERROR(MATCH(J3497,'Final List'!$D$4:$D$252,0),0)</f>
        <v>0</v>
      </c>
      <c r="M3497" s="169">
        <f>IFERROR(MATCH(J3497,'Final List'!$F$4:$F$251,0),0)</f>
        <v>0</v>
      </c>
      <c r="N3497" s="169">
        <f>IFERROR(MATCH(J3497,'Final List'!$H$4:$H$252,0),0)</f>
        <v>0</v>
      </c>
      <c r="O3497" s="169">
        <f>IFERROR(MATCH(J3497,'Final List'!$J$4:$J$252,0),0)</f>
        <v>0</v>
      </c>
      <c r="P3497" s="169">
        <f>IFERROR(MATCH(J3497,'Final List'!$L$4:$L$252,0),0)</f>
        <v>0</v>
      </c>
      <c r="Q3497" s="169">
        <f>IFERROR(MATCH(J3497,'Final List'!$N$4:$N$252,0),0)</f>
        <v>0</v>
      </c>
      <c r="R3497" s="169">
        <f>IFERROR(MATCH(J3497,'Final List'!$P$4:$P$252,0),0)</f>
        <v>0</v>
      </c>
      <c r="S3497" s="169">
        <f t="shared" si="219"/>
        <v>0</v>
      </c>
      <c r="V3497" s="169" t="str">
        <f t="shared" si="216"/>
        <v>DELOS REYES V3</v>
      </c>
      <c r="W3497" s="169" t="s">
        <v>8896</v>
      </c>
    </row>
    <row r="3498" spans="2:23" x14ac:dyDescent="0.25">
      <c r="B3498" s="169" t="s">
        <v>1166</v>
      </c>
      <c r="C3498" s="169" t="s">
        <v>55</v>
      </c>
      <c r="D3498" s="169" t="s">
        <v>175</v>
      </c>
      <c r="E3498" s="169" t="s">
        <v>36</v>
      </c>
      <c r="F3498" s="245" t="str">
        <f t="shared" si="217"/>
        <v>StpS 77</v>
      </c>
      <c r="G3498" s="169" t="s">
        <v>12071</v>
      </c>
      <c r="I3498" s="169" t="str">
        <f t="shared" si="218"/>
        <v>L11_JVFW_060E_STOPE</v>
      </c>
      <c r="J3498" s="169" t="s">
        <v>13943</v>
      </c>
      <c r="K3498" s="169">
        <f>IFERROR(MATCH(J3498,'Final List'!$B$4:$B$252,0),0)</f>
        <v>0</v>
      </c>
      <c r="L3498" s="169">
        <f>IFERROR(MATCH(J3498,'Final List'!$D$4:$D$252,0),0)</f>
        <v>0</v>
      </c>
      <c r="M3498" s="169">
        <f>IFERROR(MATCH(J3498,'Final List'!$F$4:$F$251,0),0)</f>
        <v>0</v>
      </c>
      <c r="N3498" s="169">
        <f>IFERROR(MATCH(J3498,'Final List'!$H$4:$H$252,0),0)</f>
        <v>0</v>
      </c>
      <c r="O3498" s="169">
        <f>IFERROR(MATCH(J3498,'Final List'!$J$4:$J$252,0),0)</f>
        <v>0</v>
      </c>
      <c r="P3498" s="169">
        <f>IFERROR(MATCH(J3498,'Final List'!$L$4:$L$252,0),0)</f>
        <v>0</v>
      </c>
      <c r="Q3498" s="169">
        <f>IFERROR(MATCH(J3498,'Final List'!$N$4:$N$252,0),0)</f>
        <v>0</v>
      </c>
      <c r="R3498" s="169">
        <f>IFERROR(MATCH(J3498,'Final List'!$P$4:$P$252,0),0)</f>
        <v>0</v>
      </c>
      <c r="S3498" s="169">
        <f t="shared" si="219"/>
        <v>0</v>
      </c>
      <c r="T3498" s="169" t="s">
        <v>68</v>
      </c>
      <c r="V3498" s="169" t="str">
        <f t="shared" si="216"/>
        <v>NITRO BB 2</v>
      </c>
      <c r="W3498" s="169" t="s">
        <v>2713</v>
      </c>
    </row>
    <row r="3499" spans="2:23" x14ac:dyDescent="0.25">
      <c r="B3499" s="169" t="s">
        <v>1166</v>
      </c>
      <c r="C3499" s="169" t="s">
        <v>59</v>
      </c>
      <c r="D3499" s="169" t="s">
        <v>595</v>
      </c>
      <c r="E3499" s="169" t="s">
        <v>62</v>
      </c>
      <c r="F3499" s="245" t="str">
        <f t="shared" si="217"/>
        <v>RobS 79</v>
      </c>
      <c r="G3499" s="169" t="s">
        <v>6216</v>
      </c>
      <c r="H3499" s="169" t="s">
        <v>12547</v>
      </c>
      <c r="I3499" s="169" t="str">
        <f t="shared" si="218"/>
        <v>L11_GHVHW_072E_ROBBING</v>
      </c>
      <c r="J3499" s="169" t="s">
        <v>13744</v>
      </c>
      <c r="K3499" s="169">
        <f>IFERROR(MATCH(J3499,'Final List'!$B$4:$B$252,0),0)</f>
        <v>0</v>
      </c>
      <c r="L3499" s="169">
        <f>IFERROR(MATCH(J3499,'Final List'!$D$4:$D$252,0),0)</f>
        <v>0</v>
      </c>
      <c r="M3499" s="169">
        <f>IFERROR(MATCH(J3499,'Final List'!$F$4:$F$251,0),0)</f>
        <v>0</v>
      </c>
      <c r="N3499" s="169">
        <f>IFERROR(MATCH(J3499,'Final List'!$H$4:$H$252,0),0)</f>
        <v>0</v>
      </c>
      <c r="O3499" s="169">
        <f>IFERROR(MATCH(J3499,'Final List'!$J$4:$J$252,0),0)</f>
        <v>0</v>
      </c>
      <c r="P3499" s="169">
        <f>IFERROR(MATCH(J3499,'Final List'!$L$4:$L$252,0),0)</f>
        <v>0</v>
      </c>
      <c r="Q3499" s="169">
        <f>IFERROR(MATCH(J3499,'Final List'!$N$4:$N$252,0),0)</f>
        <v>0</v>
      </c>
      <c r="R3499" s="169">
        <f>IFERROR(MATCH(J3499,'Final List'!$P$4:$P$252,0),0)</f>
        <v>0</v>
      </c>
      <c r="S3499" s="169">
        <f t="shared" si="219"/>
        <v>0</v>
      </c>
      <c r="T3499" s="169" t="s">
        <v>68</v>
      </c>
      <c r="V3499" s="169" t="str">
        <f t="shared" si="216"/>
        <v>NITRO BN</v>
      </c>
      <c r="W3499" s="169" t="s">
        <v>2707</v>
      </c>
    </row>
    <row r="3500" spans="2:23" x14ac:dyDescent="0.25">
      <c r="B3500" s="169" t="s">
        <v>95</v>
      </c>
      <c r="C3500" s="169" t="s">
        <v>45</v>
      </c>
      <c r="D3500" s="169" t="s">
        <v>98</v>
      </c>
      <c r="E3500" s="169" t="s">
        <v>60</v>
      </c>
      <c r="F3500" s="245" t="str">
        <f t="shared" si="217"/>
        <v>Dhoz 71</v>
      </c>
      <c r="G3500" s="169" t="s">
        <v>13626</v>
      </c>
      <c r="I3500" s="169" t="str">
        <f t="shared" si="218"/>
        <v>L08_DPVE_014W_DE</v>
      </c>
      <c r="J3500" s="169" t="s">
        <v>13746</v>
      </c>
      <c r="K3500" s="169">
        <f>IFERROR(MATCH(J3500,'Final List'!$B$4:$B$252,0),0)</f>
        <v>0</v>
      </c>
      <c r="L3500" s="169">
        <f>IFERROR(MATCH(J3500,'Final List'!$D$4:$D$252,0),0)</f>
        <v>0</v>
      </c>
      <c r="M3500" s="169">
        <f>IFERROR(MATCH(J3500,'Final List'!$F$4:$F$251,0),0)</f>
        <v>0</v>
      </c>
      <c r="N3500" s="169">
        <f>IFERROR(MATCH(J3500,'Final List'!$H$4:$H$252,0),0)</f>
        <v>0</v>
      </c>
      <c r="O3500" s="169">
        <f>IFERROR(MATCH(J3500,'Final List'!$J$4:$J$252,0),0)</f>
        <v>0</v>
      </c>
      <c r="P3500" s="169">
        <f>IFERROR(MATCH(J3500,'Final List'!$L$4:$L$252,0),0)</f>
        <v>0</v>
      </c>
      <c r="Q3500" s="169">
        <f>IFERROR(MATCH(J3500,'Final List'!$N$4:$N$252,0),0)</f>
        <v>0</v>
      </c>
      <c r="R3500" s="169">
        <f>IFERROR(MATCH(J3500,'Final List'!$P$4:$P$252,0),0)</f>
        <v>0</v>
      </c>
      <c r="S3500" s="169">
        <f t="shared" si="219"/>
        <v>0</v>
      </c>
      <c r="V3500" s="169" t="str">
        <f t="shared" si="216"/>
        <v>NITRO BZ 2</v>
      </c>
      <c r="W3500" s="169" t="s">
        <v>8895</v>
      </c>
    </row>
    <row r="3501" spans="2:23" x14ac:dyDescent="0.25">
      <c r="B3501" s="169" t="s">
        <v>258</v>
      </c>
      <c r="C3501" s="169" t="s">
        <v>45</v>
      </c>
      <c r="D3501" s="169" t="s">
        <v>10429</v>
      </c>
      <c r="E3501" s="169" t="s">
        <v>62</v>
      </c>
      <c r="F3501" s="245" t="str">
        <f t="shared" si="217"/>
        <v>RobS 79</v>
      </c>
      <c r="G3501" s="169" t="s">
        <v>13277</v>
      </c>
      <c r="I3501" s="169" t="str">
        <f t="shared" si="218"/>
        <v>L10_DPVE_098E_ROBBING</v>
      </c>
      <c r="J3501" s="169" t="s">
        <v>13747</v>
      </c>
      <c r="K3501" s="169">
        <f>IFERROR(MATCH(J3501,'Final List'!$B$4:$B$252,0),0)</f>
        <v>0</v>
      </c>
      <c r="L3501" s="169">
        <f>IFERROR(MATCH(J3501,'Final List'!$D$4:$D$252,0),0)</f>
        <v>0</v>
      </c>
      <c r="M3501" s="169">
        <f>IFERROR(MATCH(J3501,'Final List'!$F$4:$F$251,0),0)</f>
        <v>0</v>
      </c>
      <c r="N3501" s="169">
        <f>IFERROR(MATCH(J3501,'Final List'!$H$4:$H$252,0),0)</f>
        <v>0</v>
      </c>
      <c r="O3501" s="169">
        <f>IFERROR(MATCH(J3501,'Final List'!$J$4:$J$252,0),0)</f>
        <v>0</v>
      </c>
      <c r="P3501" s="169">
        <f>IFERROR(MATCH(J3501,'Final List'!$L$4:$L$252,0),0)</f>
        <v>0</v>
      </c>
      <c r="Q3501" s="169">
        <f>IFERROR(MATCH(J3501,'Final List'!$N$4:$N$252,0),0)</f>
        <v>0</v>
      </c>
      <c r="R3501" s="169">
        <f>IFERROR(MATCH(J3501,'Final List'!$P$4:$P$252,0),0)</f>
        <v>0</v>
      </c>
      <c r="S3501" s="169">
        <f t="shared" si="219"/>
        <v>0</v>
      </c>
      <c r="T3501" s="169" t="s">
        <v>68</v>
      </c>
      <c r="V3501" s="169" t="str">
        <f t="shared" si="216"/>
        <v>NITRO CC</v>
      </c>
      <c r="W3501" s="169" t="s">
        <v>2707</v>
      </c>
    </row>
    <row r="3502" spans="2:23" x14ac:dyDescent="0.25">
      <c r="B3502" s="169" t="s">
        <v>96</v>
      </c>
      <c r="C3502" s="169" t="s">
        <v>45</v>
      </c>
      <c r="D3502" s="169" t="s">
        <v>144</v>
      </c>
      <c r="E3502" s="169" t="s">
        <v>60</v>
      </c>
      <c r="F3502" s="245" t="str">
        <f t="shared" si="217"/>
        <v>Dhoz 71</v>
      </c>
      <c r="G3502" s="169" t="s">
        <v>13105</v>
      </c>
      <c r="H3502" s="169" t="s">
        <v>6878</v>
      </c>
      <c r="I3502" s="169" t="str">
        <f t="shared" si="218"/>
        <v>L09_DPVE_043E_DE</v>
      </c>
      <c r="J3502" s="169" t="s">
        <v>13750</v>
      </c>
      <c r="K3502" s="169">
        <f>IFERROR(MATCH(J3502,'Final List'!$B$4:$B$252,0),0)</f>
        <v>0</v>
      </c>
      <c r="L3502" s="169">
        <f>IFERROR(MATCH(J3502,'Final List'!$D$4:$D$252,0),0)</f>
        <v>0</v>
      </c>
      <c r="M3502" s="169">
        <f>IFERROR(MATCH(J3502,'Final List'!$F$4:$F$251,0),0)</f>
        <v>0</v>
      </c>
      <c r="N3502" s="169">
        <f>IFERROR(MATCH(J3502,'Final List'!$H$4:$H$252,0),0)</f>
        <v>0</v>
      </c>
      <c r="O3502" s="169">
        <f>IFERROR(MATCH(J3502,'Final List'!$J$4:$J$252,0),0)</f>
        <v>0</v>
      </c>
      <c r="P3502" s="169">
        <f>IFERROR(MATCH(J3502,'Final List'!$L$4:$L$252,0),0)</f>
        <v>0</v>
      </c>
      <c r="Q3502" s="169">
        <f>IFERROR(MATCH(J3502,'Final List'!$N$4:$N$252,0),0)</f>
        <v>0</v>
      </c>
      <c r="R3502" s="169">
        <f>IFERROR(MATCH(J3502,'Final List'!$P$4:$P$252,0),0)</f>
        <v>0</v>
      </c>
      <c r="S3502" s="169">
        <f t="shared" si="219"/>
        <v>0</v>
      </c>
      <c r="V3502" s="169" t="str">
        <f t="shared" si="216"/>
        <v>BALANGHIG</v>
      </c>
      <c r="W3502" s="169" t="s">
        <v>8896</v>
      </c>
    </row>
    <row r="3503" spans="2:23" x14ac:dyDescent="0.25">
      <c r="B3503" s="169" t="s">
        <v>1167</v>
      </c>
      <c r="C3503" s="169" t="s">
        <v>11298</v>
      </c>
      <c r="D3503" s="169" t="s">
        <v>284</v>
      </c>
      <c r="E3503" s="169" t="s">
        <v>19</v>
      </c>
      <c r="F3503" s="245" t="str">
        <f t="shared" si="217"/>
        <v>DVR 72</v>
      </c>
      <c r="G3503" s="169" t="s">
        <v>13633</v>
      </c>
      <c r="I3503" s="169" t="str">
        <f t="shared" si="218"/>
        <v>L12_JVS_061E_RAISE</v>
      </c>
      <c r="J3503" s="169" t="s">
        <v>13856</v>
      </c>
      <c r="K3503" s="169">
        <f>IFERROR(MATCH(J3503,'Final List'!$B$4:$B$252,0),0)</f>
        <v>0</v>
      </c>
      <c r="L3503" s="169">
        <f>IFERROR(MATCH(J3503,'Final List'!$D$4:$D$252,0),0)</f>
        <v>0</v>
      </c>
      <c r="M3503" s="169">
        <f>IFERROR(MATCH(J3503,'Final List'!$F$4:$F$251,0),0)</f>
        <v>0</v>
      </c>
      <c r="N3503" s="169">
        <f>IFERROR(MATCH(J3503,'Final List'!$H$4:$H$252,0),0)</f>
        <v>0</v>
      </c>
      <c r="O3503" s="169">
        <f>IFERROR(MATCH(J3503,'Final List'!$J$4:$J$252,0),0)</f>
        <v>0</v>
      </c>
      <c r="P3503" s="169">
        <f>IFERROR(MATCH(J3503,'Final List'!$L$4:$L$252,0),0)</f>
        <v>0</v>
      </c>
      <c r="Q3503" s="169">
        <f>IFERROR(MATCH(J3503,'Final List'!$N$4:$N$252,0),0)</f>
        <v>0</v>
      </c>
      <c r="R3503" s="169">
        <f>IFERROR(MATCH(J3503,'Final List'!$P$4:$P$252,0),0)</f>
        <v>0</v>
      </c>
      <c r="S3503" s="169">
        <f t="shared" si="219"/>
        <v>0</v>
      </c>
      <c r="V3503" s="169" t="str">
        <f t="shared" si="216"/>
        <v>CAYMAN</v>
      </c>
      <c r="W3503" s="169" t="s">
        <v>2715</v>
      </c>
    </row>
    <row r="3504" spans="2:23" x14ac:dyDescent="0.25">
      <c r="B3504" s="169" t="s">
        <v>1167</v>
      </c>
      <c r="C3504" s="169" t="s">
        <v>43</v>
      </c>
      <c r="D3504" s="169" t="s">
        <v>164</v>
      </c>
      <c r="E3504" s="169" t="s">
        <v>61</v>
      </c>
      <c r="F3504" s="245" t="str">
        <f t="shared" si="217"/>
        <v>Dhoz 71</v>
      </c>
      <c r="G3504" s="169" t="s">
        <v>12565</v>
      </c>
      <c r="I3504" s="169" t="str">
        <f t="shared" si="218"/>
        <v>L12_GHVSPLIT_064E_DW</v>
      </c>
      <c r="J3504" s="169" t="s">
        <v>13758</v>
      </c>
      <c r="K3504" s="169">
        <f>IFERROR(MATCH(J3504,'Final List'!$B$4:$B$252,0),0)</f>
        <v>0</v>
      </c>
      <c r="L3504" s="169">
        <f>IFERROR(MATCH(J3504,'Final List'!$D$4:$D$252,0),0)</f>
        <v>0</v>
      </c>
      <c r="M3504" s="169">
        <f>IFERROR(MATCH(J3504,'Final List'!$F$4:$F$251,0),0)</f>
        <v>0</v>
      </c>
      <c r="N3504" s="169">
        <f>IFERROR(MATCH(J3504,'Final List'!$H$4:$H$252,0),0)</f>
        <v>0</v>
      </c>
      <c r="O3504" s="169">
        <f>IFERROR(MATCH(J3504,'Final List'!$J$4:$J$252,0),0)</f>
        <v>0</v>
      </c>
      <c r="P3504" s="169">
        <f>IFERROR(MATCH(J3504,'Final List'!$L$4:$L$252,0),0)</f>
        <v>0</v>
      </c>
      <c r="Q3504" s="169">
        <f>IFERROR(MATCH(J3504,'Final List'!$N$4:$N$252,0),0)</f>
        <v>0</v>
      </c>
      <c r="R3504" s="169">
        <f>IFERROR(MATCH(J3504,'Final List'!$P$4:$P$252,0),0)</f>
        <v>0</v>
      </c>
      <c r="S3504" s="169">
        <f t="shared" si="219"/>
        <v>0</v>
      </c>
      <c r="V3504" s="169" t="str">
        <f t="shared" si="216"/>
        <v>NITRO BO</v>
      </c>
      <c r="W3504" s="169" t="s">
        <v>8896</v>
      </c>
    </row>
    <row r="3505" spans="2:23" x14ac:dyDescent="0.25">
      <c r="B3505" s="169" t="s">
        <v>1167</v>
      </c>
      <c r="C3505" s="169" t="s">
        <v>55</v>
      </c>
      <c r="D3505" s="169" t="s">
        <v>161</v>
      </c>
      <c r="E3505" s="169" t="s">
        <v>19</v>
      </c>
      <c r="F3505" s="245" t="str">
        <f t="shared" si="217"/>
        <v>DVR 72</v>
      </c>
      <c r="G3505" s="169" t="s">
        <v>12548</v>
      </c>
      <c r="I3505" s="169" t="str">
        <f t="shared" si="218"/>
        <v>L12_JVFW_044E_RAISE</v>
      </c>
      <c r="J3505" s="169" t="s">
        <v>13759</v>
      </c>
      <c r="K3505" s="169">
        <f>IFERROR(MATCH(J3505,'Final List'!$B$4:$B$252,0),0)</f>
        <v>0</v>
      </c>
      <c r="L3505" s="169">
        <f>IFERROR(MATCH(J3505,'Final List'!$D$4:$D$252,0),0)</f>
        <v>0</v>
      </c>
      <c r="M3505" s="169">
        <f>IFERROR(MATCH(J3505,'Final List'!$F$4:$F$251,0),0)</f>
        <v>0</v>
      </c>
      <c r="N3505" s="169">
        <f>IFERROR(MATCH(J3505,'Final List'!$H$4:$H$252,0),0)</f>
        <v>0</v>
      </c>
      <c r="O3505" s="169">
        <f>IFERROR(MATCH(J3505,'Final List'!$J$4:$J$252,0),0)</f>
        <v>0</v>
      </c>
      <c r="P3505" s="169">
        <f>IFERROR(MATCH(J3505,'Final List'!$L$4:$L$252,0),0)</f>
        <v>0</v>
      </c>
      <c r="Q3505" s="169">
        <f>IFERROR(MATCH(J3505,'Final List'!$N$4:$N$252,0),0)</f>
        <v>0</v>
      </c>
      <c r="R3505" s="169">
        <f>IFERROR(MATCH(J3505,'Final List'!$P$4:$P$252,0),0)</f>
        <v>0</v>
      </c>
      <c r="S3505" s="169">
        <f t="shared" si="219"/>
        <v>0</v>
      </c>
      <c r="V3505" s="169" t="str">
        <f t="shared" si="216"/>
        <v>NITRO BM</v>
      </c>
      <c r="W3505" s="169" t="s">
        <v>2715</v>
      </c>
    </row>
    <row r="3506" spans="2:23" x14ac:dyDescent="0.25">
      <c r="B3506" s="169" t="s">
        <v>1167</v>
      </c>
      <c r="C3506" s="169" t="s">
        <v>39</v>
      </c>
      <c r="D3506" s="169" t="s">
        <v>5602</v>
      </c>
      <c r="E3506" s="169" t="s">
        <v>19</v>
      </c>
      <c r="F3506" s="245" t="str">
        <f t="shared" si="217"/>
        <v>DVR 72</v>
      </c>
      <c r="G3506" s="169" t="s">
        <v>14133</v>
      </c>
      <c r="I3506" s="169" t="str">
        <f t="shared" si="218"/>
        <v>L12_JVHW_053E_RAISE</v>
      </c>
      <c r="J3506" s="169" t="s">
        <v>13760</v>
      </c>
      <c r="K3506" s="169">
        <f>IFERROR(MATCH(J3506,'Final List'!$B$4:$B$252,0),0)</f>
        <v>0</v>
      </c>
      <c r="L3506" s="169">
        <f>IFERROR(MATCH(J3506,'Final List'!$D$4:$D$252,0),0)</f>
        <v>0</v>
      </c>
      <c r="M3506" s="169">
        <f>IFERROR(MATCH(J3506,'Final List'!$F$4:$F$251,0),0)</f>
        <v>0</v>
      </c>
      <c r="N3506" s="169">
        <f>IFERROR(MATCH(J3506,'Final List'!$H$4:$H$252,0),0)</f>
        <v>0</v>
      </c>
      <c r="O3506" s="169">
        <f>IFERROR(MATCH(J3506,'Final List'!$J$4:$J$252,0),0)</f>
        <v>0</v>
      </c>
      <c r="P3506" s="169">
        <f>IFERROR(MATCH(J3506,'Final List'!$L$4:$L$252,0),0)</f>
        <v>0</v>
      </c>
      <c r="Q3506" s="169">
        <f>IFERROR(MATCH(J3506,'Final List'!$N$4:$N$252,0),0)</f>
        <v>0</v>
      </c>
      <c r="R3506" s="169">
        <f>IFERROR(MATCH(J3506,'Final List'!$P$4:$P$252,0),0)</f>
        <v>0</v>
      </c>
      <c r="S3506" s="169">
        <f t="shared" si="219"/>
        <v>0</v>
      </c>
      <c r="V3506" s="169" t="str">
        <f t="shared" si="216"/>
        <v>NITRO CG</v>
      </c>
      <c r="W3506" s="169" t="s">
        <v>2715</v>
      </c>
    </row>
    <row r="3507" spans="2:23" x14ac:dyDescent="0.25">
      <c r="B3507" s="169" t="s">
        <v>12320</v>
      </c>
      <c r="C3507" s="169" t="s">
        <v>59</v>
      </c>
      <c r="D3507" s="169" t="s">
        <v>165</v>
      </c>
      <c r="E3507" s="169" t="s">
        <v>19</v>
      </c>
      <c r="F3507" s="245" t="str">
        <f t="shared" si="217"/>
        <v>DVR 72</v>
      </c>
      <c r="G3507" s="169" t="s">
        <v>1376</v>
      </c>
      <c r="I3507" s="169" t="str">
        <f t="shared" si="218"/>
        <v>L425_GHVHW_056E_RAISE</v>
      </c>
      <c r="J3507" s="169" t="s">
        <v>13762</v>
      </c>
      <c r="K3507" s="169">
        <f>IFERROR(MATCH(J3507,'Final List'!$B$4:$B$252,0),0)</f>
        <v>0</v>
      </c>
      <c r="L3507" s="169">
        <f>IFERROR(MATCH(J3507,'Final List'!$D$4:$D$252,0),0)</f>
        <v>0</v>
      </c>
      <c r="M3507" s="169">
        <f>IFERROR(MATCH(J3507,'Final List'!$F$4:$F$251,0),0)</f>
        <v>0</v>
      </c>
      <c r="N3507" s="169">
        <f>IFERROR(MATCH(J3507,'Final List'!$H$4:$H$252,0),0)</f>
        <v>0</v>
      </c>
      <c r="O3507" s="169">
        <f>IFERROR(MATCH(J3507,'Final List'!$J$4:$J$252,0),0)</f>
        <v>0</v>
      </c>
      <c r="P3507" s="169">
        <f>IFERROR(MATCH(J3507,'Final List'!$L$4:$L$252,0),0)</f>
        <v>0</v>
      </c>
      <c r="Q3507" s="169">
        <f>IFERROR(MATCH(J3507,'Final List'!$N$4:$N$252,0),0)</f>
        <v>0</v>
      </c>
      <c r="R3507" s="169">
        <f>IFERROR(MATCH(J3507,'Final List'!$P$4:$P$252,0),0)</f>
        <v>0</v>
      </c>
      <c r="S3507" s="169">
        <f t="shared" si="219"/>
        <v>0</v>
      </c>
      <c r="V3507" s="169" t="str">
        <f t="shared" si="216"/>
        <v>LERIO</v>
      </c>
      <c r="W3507" s="169" t="s">
        <v>2715</v>
      </c>
    </row>
    <row r="3508" spans="2:23" x14ac:dyDescent="0.25">
      <c r="B3508" s="169" t="s">
        <v>12320</v>
      </c>
      <c r="C3508" s="169" t="s">
        <v>55</v>
      </c>
      <c r="D3508" s="169" t="s">
        <v>5723</v>
      </c>
      <c r="E3508" s="169" t="s">
        <v>19</v>
      </c>
      <c r="F3508" s="245" t="str">
        <f t="shared" si="217"/>
        <v>DVR 72</v>
      </c>
      <c r="G3508" s="169" t="s">
        <v>13763</v>
      </c>
      <c r="I3508" t="s">
        <v>13783</v>
      </c>
      <c r="J3508" s="169" t="s">
        <v>13783</v>
      </c>
      <c r="K3508" s="169">
        <f>IFERROR(MATCH(J3508,'Final List'!$B$4:$B$252,0),0)</f>
        <v>0</v>
      </c>
      <c r="L3508" s="169">
        <f>IFERROR(MATCH(J3508,'Final List'!$D$4:$D$252,0),0)</f>
        <v>0</v>
      </c>
      <c r="M3508" s="169">
        <f>IFERROR(MATCH(J3508,'Final List'!$F$4:$F$251,0),0)</f>
        <v>0</v>
      </c>
      <c r="N3508" s="169">
        <f>IFERROR(MATCH(J3508,'Final List'!$H$4:$H$252,0),0)</f>
        <v>0</v>
      </c>
      <c r="O3508" s="169">
        <f>IFERROR(MATCH(J3508,'Final List'!$J$4:$J$252,0),0)</f>
        <v>0</v>
      </c>
      <c r="P3508" s="169">
        <f>IFERROR(MATCH(J3508,'Final List'!$L$4:$L$252,0),0)</f>
        <v>0</v>
      </c>
      <c r="Q3508" s="169">
        <f>IFERROR(MATCH(J3508,'Final List'!$N$4:$N$252,0),0)</f>
        <v>0</v>
      </c>
      <c r="R3508" s="169">
        <f>IFERROR(MATCH(J3508,'Final List'!$P$4:$P$252,0),0)</f>
        <v>0</v>
      </c>
      <c r="S3508" s="169">
        <f t="shared" si="219"/>
        <v>0</v>
      </c>
      <c r="V3508" s="169" t="str">
        <f t="shared" si="216"/>
        <v>BANEZ</v>
      </c>
      <c r="W3508" s="169" t="s">
        <v>2715</v>
      </c>
    </row>
    <row r="3509" spans="2:23" x14ac:dyDescent="0.25">
      <c r="B3509" s="169" t="s">
        <v>12320</v>
      </c>
      <c r="C3509" s="169" t="s">
        <v>45</v>
      </c>
      <c r="D3509" s="169" t="s">
        <v>148</v>
      </c>
      <c r="E3509" s="169" t="s">
        <v>19</v>
      </c>
      <c r="F3509" s="245" t="str">
        <f t="shared" si="217"/>
        <v>DVR 72</v>
      </c>
      <c r="G3509" s="169" t="s">
        <v>8695</v>
      </c>
      <c r="I3509" s="169" t="str">
        <f t="shared" si="218"/>
        <v>L425_DPVE_039E_RAISE</v>
      </c>
      <c r="J3509" s="169" t="s">
        <v>13784</v>
      </c>
      <c r="K3509" s="169">
        <f>IFERROR(MATCH(J3509,'Final List'!$B$4:$B$252,0),0)</f>
        <v>0</v>
      </c>
      <c r="L3509" s="169">
        <f>IFERROR(MATCH(J3509,'Final List'!$D$4:$D$252,0),0)</f>
        <v>0</v>
      </c>
      <c r="M3509" s="169">
        <f>IFERROR(MATCH(J3509,'Final List'!$F$4:$F$251,0),0)</f>
        <v>0</v>
      </c>
      <c r="N3509" s="169">
        <f>IFERROR(MATCH(J3509,'Final List'!$H$4:$H$252,0),0)</f>
        <v>0</v>
      </c>
      <c r="O3509" s="169">
        <f>IFERROR(MATCH(J3509,'Final List'!$J$4:$J$252,0),0)</f>
        <v>0</v>
      </c>
      <c r="P3509" s="169">
        <f>IFERROR(MATCH(J3509,'Final List'!$L$4:$L$252,0),0)</f>
        <v>0</v>
      </c>
      <c r="Q3509" s="169">
        <f>IFERROR(MATCH(J3509,'Final List'!$N$4:$N$252,0),0)</f>
        <v>0</v>
      </c>
      <c r="R3509" s="169">
        <f>IFERROR(MATCH(J3509,'Final List'!$P$4:$P$252,0),0)</f>
        <v>0</v>
      </c>
      <c r="S3509" s="169">
        <f t="shared" si="219"/>
        <v>0</v>
      </c>
      <c r="V3509" s="169" t="str">
        <f t="shared" si="216"/>
        <v xml:space="preserve">OLIVEROS 4 </v>
      </c>
      <c r="W3509" s="169" t="s">
        <v>2715</v>
      </c>
    </row>
    <row r="3510" spans="2:23" x14ac:dyDescent="0.25">
      <c r="B3510" s="169" t="s">
        <v>12320</v>
      </c>
      <c r="C3510" s="169" t="s">
        <v>43</v>
      </c>
      <c r="D3510" s="169" t="s">
        <v>5604</v>
      </c>
      <c r="E3510" s="169" t="s">
        <v>19</v>
      </c>
      <c r="F3510" s="245" t="str">
        <f t="shared" si="217"/>
        <v>DVR 72</v>
      </c>
      <c r="G3510" s="169" t="s">
        <v>11884</v>
      </c>
      <c r="H3510" s="169" t="s">
        <v>12197</v>
      </c>
      <c r="I3510" s="169" t="str">
        <f t="shared" si="218"/>
        <v>L425_GHVSPLIT_063E_RAISE</v>
      </c>
      <c r="J3510" s="169" t="s">
        <v>13960</v>
      </c>
      <c r="K3510" s="169">
        <f>IFERROR(MATCH(J3510,'Final List'!$B$4:$B$252,0),0)</f>
        <v>0</v>
      </c>
      <c r="L3510" s="169">
        <f>IFERROR(MATCH(J3510,'Final List'!$D$4:$D$252,0),0)</f>
        <v>0</v>
      </c>
      <c r="M3510" s="169">
        <f>IFERROR(MATCH(J3510,'Final List'!$F$4:$F$251,0),0)</f>
        <v>0</v>
      </c>
      <c r="N3510" s="169">
        <f>IFERROR(MATCH(J3510,'Final List'!$H$4:$H$252,0),0)</f>
        <v>0</v>
      </c>
      <c r="O3510" s="169">
        <f>IFERROR(MATCH(J3510,'Final List'!$J$4:$J$252,0),0)</f>
        <v>0</v>
      </c>
      <c r="P3510" s="169">
        <f>IFERROR(MATCH(J3510,'Final List'!$L$4:$L$252,0),0)</f>
        <v>0</v>
      </c>
      <c r="Q3510" s="169">
        <f>IFERROR(MATCH(J3510,'Final List'!$N$4:$N$252,0),0)</f>
        <v>0</v>
      </c>
      <c r="R3510" s="169">
        <f>IFERROR(MATCH(J3510,'Final List'!$P$4:$P$252,0),0)</f>
        <v>0</v>
      </c>
      <c r="S3510" s="169">
        <f t="shared" si="219"/>
        <v>0</v>
      </c>
      <c r="V3510" s="169" t="str">
        <f t="shared" si="216"/>
        <v>NITRO BF 2</v>
      </c>
      <c r="W3510" s="169" t="s">
        <v>2715</v>
      </c>
    </row>
    <row r="3511" spans="2:23" x14ac:dyDescent="0.25">
      <c r="B3511" s="169" t="s">
        <v>12320</v>
      </c>
      <c r="C3511" s="169" t="s">
        <v>55</v>
      </c>
      <c r="D3511" s="169" t="s">
        <v>178</v>
      </c>
      <c r="E3511" s="169" t="s">
        <v>19</v>
      </c>
      <c r="F3511" s="245" t="str">
        <f t="shared" si="217"/>
        <v>DVR 72</v>
      </c>
      <c r="G3511" s="169" t="s">
        <v>1510</v>
      </c>
      <c r="I3511" s="169" t="str">
        <f t="shared" si="218"/>
        <v>L425_JVFW_048E_RAISE</v>
      </c>
      <c r="J3511" s="169" t="s">
        <v>13769</v>
      </c>
      <c r="K3511" s="169">
        <f>IFERROR(MATCH(J3511,'Final List'!$B$4:$B$252,0),0)</f>
        <v>0</v>
      </c>
      <c r="L3511" s="169">
        <f>IFERROR(MATCH(J3511,'Final List'!$D$4:$D$252,0),0)</f>
        <v>0</v>
      </c>
      <c r="M3511" s="169">
        <f>IFERROR(MATCH(J3511,'Final List'!$F$4:$F$251,0),0)</f>
        <v>0</v>
      </c>
      <c r="N3511" s="169">
        <f>IFERROR(MATCH(J3511,'Final List'!$H$4:$H$252,0),0)</f>
        <v>0</v>
      </c>
      <c r="O3511" s="169">
        <f>IFERROR(MATCH(J3511,'Final List'!$J$4:$J$252,0),0)</f>
        <v>0</v>
      </c>
      <c r="P3511" s="169">
        <f>IFERROR(MATCH(J3511,'Final List'!$L$4:$L$252,0),0)</f>
        <v>0</v>
      </c>
      <c r="Q3511" s="169">
        <f>IFERROR(MATCH(J3511,'Final List'!$N$4:$N$252,0),0)</f>
        <v>0</v>
      </c>
      <c r="R3511" s="169">
        <f>IFERROR(MATCH(J3511,'Final List'!$P$4:$P$252,0),0)</f>
        <v>0</v>
      </c>
      <c r="S3511" s="169">
        <f t="shared" si="219"/>
        <v>0</v>
      </c>
      <c r="V3511" s="169" t="str">
        <f t="shared" si="216"/>
        <v>DELOS REYES</v>
      </c>
      <c r="W3511" s="169" t="s">
        <v>2715</v>
      </c>
    </row>
    <row r="3512" spans="2:23" x14ac:dyDescent="0.25">
      <c r="B3512" s="169" t="s">
        <v>12320</v>
      </c>
      <c r="C3512" s="169" t="s">
        <v>45</v>
      </c>
      <c r="D3512" s="169" t="s">
        <v>132</v>
      </c>
      <c r="E3512" s="169" t="s">
        <v>19</v>
      </c>
      <c r="F3512" s="245" t="str">
        <f t="shared" si="217"/>
        <v>DVR 72</v>
      </c>
      <c r="G3512" s="169" t="s">
        <v>5697</v>
      </c>
      <c r="I3512" s="169" t="str">
        <f t="shared" si="218"/>
        <v>L425_DPVE_033E_RAISE</v>
      </c>
      <c r="J3512" s="169" t="s">
        <v>13770</v>
      </c>
      <c r="K3512" s="169">
        <f>IFERROR(MATCH(J3512,'Final List'!$B$4:$B$252,0),0)</f>
        <v>0</v>
      </c>
      <c r="L3512" s="169">
        <f>IFERROR(MATCH(J3512,'Final List'!$D$4:$D$252,0),0)</f>
        <v>0</v>
      </c>
      <c r="M3512" s="169">
        <f>IFERROR(MATCH(J3512,'Final List'!$F$4:$F$251,0),0)</f>
        <v>0</v>
      </c>
      <c r="N3512" s="169">
        <f>IFERROR(MATCH(J3512,'Final List'!$H$4:$H$252,0),0)</f>
        <v>0</v>
      </c>
      <c r="O3512" s="169">
        <f>IFERROR(MATCH(J3512,'Final List'!$J$4:$J$252,0),0)</f>
        <v>0</v>
      </c>
      <c r="P3512" s="169">
        <f>IFERROR(MATCH(J3512,'Final List'!$L$4:$L$252,0),0)</f>
        <v>0</v>
      </c>
      <c r="Q3512" s="169">
        <f>IFERROR(MATCH(J3512,'Final List'!$N$4:$N$252,0),0)</f>
        <v>0</v>
      </c>
      <c r="R3512" s="169">
        <f>IFERROR(MATCH(J3512,'Final List'!$P$4:$P$252,0),0)</f>
        <v>0</v>
      </c>
      <c r="S3512" s="169">
        <f t="shared" si="219"/>
        <v>0</v>
      </c>
      <c r="V3512" s="169" t="str">
        <f t="shared" ref="V3512:V3530" si="220">IF(H3512="",G3512,H3512)</f>
        <v>OLIVEROS 1</v>
      </c>
      <c r="W3512" s="169" t="s">
        <v>2715</v>
      </c>
    </row>
    <row r="3513" spans="2:23" x14ac:dyDescent="0.25">
      <c r="B3513" s="169" t="s">
        <v>12320</v>
      </c>
      <c r="C3513" s="169" t="s">
        <v>38</v>
      </c>
      <c r="D3513" s="169" t="s">
        <v>201</v>
      </c>
      <c r="E3513" s="169" t="s">
        <v>60</v>
      </c>
      <c r="F3513" s="245" t="str">
        <f t="shared" si="217"/>
        <v>Dhoz 71</v>
      </c>
      <c r="G3513" s="169" t="s">
        <v>2459</v>
      </c>
      <c r="I3513" s="169" t="str">
        <f t="shared" si="218"/>
        <v>L425_GHV_067E_DE</v>
      </c>
      <c r="J3513" s="169" t="s">
        <v>13771</v>
      </c>
      <c r="K3513" s="169">
        <f>IFERROR(MATCH(J3513,'Final List'!$B$4:$B$252,0),0)</f>
        <v>0</v>
      </c>
      <c r="L3513" s="169">
        <f>IFERROR(MATCH(J3513,'Final List'!$D$4:$D$252,0),0)</f>
        <v>0</v>
      </c>
      <c r="M3513" s="169">
        <f>IFERROR(MATCH(J3513,'Final List'!$F$4:$F$251,0),0)</f>
        <v>0</v>
      </c>
      <c r="N3513" s="169">
        <f>IFERROR(MATCH(J3513,'Final List'!$H$4:$H$252,0),0)</f>
        <v>0</v>
      </c>
      <c r="O3513" s="169">
        <f>IFERROR(MATCH(J3513,'Final List'!$J$4:$J$252,0),0)</f>
        <v>0</v>
      </c>
      <c r="P3513" s="169">
        <f>IFERROR(MATCH(J3513,'Final List'!$L$4:$L$252,0),0)</f>
        <v>0</v>
      </c>
      <c r="Q3513" s="169">
        <f>IFERROR(MATCH(J3513,'Final List'!$N$4:$N$252,0),0)</f>
        <v>0</v>
      </c>
      <c r="R3513" s="169">
        <f>IFERROR(MATCH(J3513,'Final List'!$P$4:$P$252,0),0)</f>
        <v>0</v>
      </c>
      <c r="S3513" s="169">
        <f t="shared" si="219"/>
        <v>0</v>
      </c>
      <c r="V3513" s="169" t="str">
        <f t="shared" si="220"/>
        <v>REBOTE 3</v>
      </c>
      <c r="W3513" s="169" t="s">
        <v>8896</v>
      </c>
    </row>
    <row r="3514" spans="2:23" x14ac:dyDescent="0.25">
      <c r="B3514" s="169" t="s">
        <v>96</v>
      </c>
      <c r="C3514" s="169" t="s">
        <v>43</v>
      </c>
      <c r="D3514" s="169" t="s">
        <v>6036</v>
      </c>
      <c r="E3514" s="169" t="s">
        <v>20</v>
      </c>
      <c r="F3514" s="245" t="str">
        <f t="shared" si="217"/>
        <v>DVW 74</v>
      </c>
      <c r="G3514" s="169" t="s">
        <v>3416</v>
      </c>
      <c r="H3514" s="169" t="s">
        <v>348</v>
      </c>
      <c r="I3514" s="169" t="str">
        <f t="shared" si="218"/>
        <v>L09_GHVSPLIT_017E_WINZE</v>
      </c>
      <c r="J3514" s="169" t="s">
        <v>13772</v>
      </c>
      <c r="K3514" s="169">
        <f>IFERROR(MATCH(J3514,'Final List'!$B$4:$B$252,0),0)</f>
        <v>0</v>
      </c>
      <c r="L3514" s="169">
        <f>IFERROR(MATCH(J3514,'Final List'!$D$4:$D$252,0),0)</f>
        <v>0</v>
      </c>
      <c r="M3514" s="169">
        <f>IFERROR(MATCH(J3514,'Final List'!$F$4:$F$251,0),0)</f>
        <v>0</v>
      </c>
      <c r="N3514" s="169">
        <f>IFERROR(MATCH(J3514,'Final List'!$H$4:$H$252,0),0)</f>
        <v>0</v>
      </c>
      <c r="O3514" s="169">
        <f>IFERROR(MATCH(J3514,'Final List'!$J$4:$J$252,0),0)</f>
        <v>0</v>
      </c>
      <c r="P3514" s="169">
        <f>IFERROR(MATCH(J3514,'Final List'!$L$4:$L$252,0),0)</f>
        <v>0</v>
      </c>
      <c r="Q3514" s="169">
        <f>IFERROR(MATCH(J3514,'Final List'!$N$4:$N$252,0),0)</f>
        <v>0</v>
      </c>
      <c r="R3514" s="169">
        <f>IFERROR(MATCH(J3514,'Final List'!$P$4:$P$252,0),0)</f>
        <v>0</v>
      </c>
      <c r="S3514" s="169">
        <f t="shared" si="219"/>
        <v>0</v>
      </c>
      <c r="V3514" s="169" t="str">
        <f t="shared" si="220"/>
        <v>QUIJANO 3</v>
      </c>
      <c r="W3514" s="169" t="s">
        <v>2706</v>
      </c>
    </row>
    <row r="3515" spans="2:23" x14ac:dyDescent="0.25">
      <c r="B3515" s="169" t="s">
        <v>258</v>
      </c>
      <c r="C3515" s="169" t="s">
        <v>38</v>
      </c>
      <c r="D3515" s="169" t="s">
        <v>5888</v>
      </c>
      <c r="E3515" s="169" t="s">
        <v>60</v>
      </c>
      <c r="F3515" s="245" t="str">
        <f t="shared" si="217"/>
        <v>Dhoz 71</v>
      </c>
      <c r="G3515" s="169" t="s">
        <v>12888</v>
      </c>
      <c r="I3515" s="169" t="str">
        <f t="shared" si="218"/>
        <v>L10_GHV_024W_DE</v>
      </c>
      <c r="J3515" s="169" t="s">
        <v>13773</v>
      </c>
      <c r="K3515" s="169">
        <f>IFERROR(MATCH(J3515,'Final List'!$B$4:$B$252,0),0)</f>
        <v>0</v>
      </c>
      <c r="L3515" s="169">
        <f>IFERROR(MATCH(J3515,'Final List'!$D$4:$D$252,0),0)</f>
        <v>0</v>
      </c>
      <c r="M3515" s="169">
        <f>IFERROR(MATCH(J3515,'Final List'!$F$4:$F$251,0),0)</f>
        <v>0</v>
      </c>
      <c r="N3515" s="169">
        <f>IFERROR(MATCH(J3515,'Final List'!$H$4:$H$252,0),0)</f>
        <v>0</v>
      </c>
      <c r="O3515" s="169">
        <f>IFERROR(MATCH(J3515,'Final List'!$J$4:$J$252,0),0)</f>
        <v>0</v>
      </c>
      <c r="P3515" s="169">
        <f>IFERROR(MATCH(J3515,'Final List'!$L$4:$L$252,0),0)</f>
        <v>0</v>
      </c>
      <c r="Q3515" s="169">
        <f>IFERROR(MATCH(J3515,'Final List'!$N$4:$N$252,0),0)</f>
        <v>0</v>
      </c>
      <c r="R3515" s="169">
        <f>IFERROR(MATCH(J3515,'Final List'!$P$4:$P$252,0),0)</f>
        <v>0</v>
      </c>
      <c r="S3515" s="169">
        <f t="shared" si="219"/>
        <v>0</v>
      </c>
      <c r="V3515" s="169" t="str">
        <f t="shared" si="220"/>
        <v>NITRO BD</v>
      </c>
      <c r="W3515" s="169" t="s">
        <v>8896</v>
      </c>
    </row>
    <row r="3516" spans="2:23" x14ac:dyDescent="0.25">
      <c r="B3516" s="169" t="s">
        <v>258</v>
      </c>
      <c r="C3516" s="169" t="s">
        <v>56</v>
      </c>
      <c r="D3516" s="169" t="s">
        <v>99</v>
      </c>
      <c r="E3516" s="169" t="s">
        <v>19</v>
      </c>
      <c r="F3516" s="245" t="str">
        <f t="shared" si="217"/>
        <v>DVR 72</v>
      </c>
      <c r="G3516" t="s">
        <v>368</v>
      </c>
      <c r="H3516" s="169" t="s">
        <v>12888</v>
      </c>
      <c r="I3516" s="169" t="str">
        <f t="shared" si="218"/>
        <v>L10_GHVFW_028W_RAISE</v>
      </c>
      <c r="J3516" s="169" t="s">
        <v>13774</v>
      </c>
      <c r="K3516" s="169">
        <f>IFERROR(MATCH(J3516,'Final List'!$B$4:$B$252,0),0)</f>
        <v>0</v>
      </c>
      <c r="L3516" s="169">
        <f>IFERROR(MATCH(J3516,'Final List'!$D$4:$D$252,0),0)</f>
        <v>0</v>
      </c>
      <c r="M3516" s="169">
        <f>IFERROR(MATCH(J3516,'Final List'!$F$4:$F$251,0),0)</f>
        <v>0</v>
      </c>
      <c r="N3516" s="169">
        <f>IFERROR(MATCH(J3516,'Final List'!$H$4:$H$252,0),0)</f>
        <v>0</v>
      </c>
      <c r="O3516" s="169">
        <f>IFERROR(MATCH(J3516,'Final List'!$J$4:$J$252,0),0)</f>
        <v>0</v>
      </c>
      <c r="P3516" s="169">
        <f>IFERROR(MATCH(J3516,'Final List'!$L$4:$L$252,0),0)</f>
        <v>0</v>
      </c>
      <c r="Q3516" s="169">
        <f>IFERROR(MATCH(J3516,'Final List'!$N$4:$N$252,0),0)</f>
        <v>0</v>
      </c>
      <c r="R3516" s="169">
        <f>IFERROR(MATCH(J3516,'Final List'!$P$4:$P$252,0),0)</f>
        <v>0</v>
      </c>
      <c r="S3516" s="169">
        <f t="shared" si="219"/>
        <v>0</v>
      </c>
      <c r="V3516" s="169" t="str">
        <f t="shared" si="220"/>
        <v>NITRO BD</v>
      </c>
      <c r="W3516" s="169" t="s">
        <v>2715</v>
      </c>
    </row>
    <row r="3517" spans="2:23" x14ac:dyDescent="0.25">
      <c r="B3517" s="169" t="s">
        <v>1167</v>
      </c>
      <c r="C3517" s="169" t="s">
        <v>45</v>
      </c>
      <c r="D3517" s="169" t="s">
        <v>112</v>
      </c>
      <c r="E3517" s="169" t="s">
        <v>61</v>
      </c>
      <c r="F3517" s="245" t="str">
        <f t="shared" si="217"/>
        <v>Dhoz 71</v>
      </c>
      <c r="G3517" s="169" t="s">
        <v>14129</v>
      </c>
      <c r="H3517" s="169" t="s">
        <v>12548</v>
      </c>
      <c r="I3517" s="169" t="str">
        <f t="shared" si="218"/>
        <v>L12_DPVE_018E_DW</v>
      </c>
      <c r="J3517" s="169" t="s">
        <v>13776</v>
      </c>
      <c r="K3517" s="169">
        <f>IFERROR(MATCH(J3517,'Final List'!$B$4:$B$252,0),0)</f>
        <v>0</v>
      </c>
      <c r="L3517" s="169">
        <f>IFERROR(MATCH(J3517,'Final List'!$D$4:$D$252,0),0)</f>
        <v>0</v>
      </c>
      <c r="M3517" s="169">
        <f>IFERROR(MATCH(J3517,'Final List'!$F$4:$F$251,0),0)</f>
        <v>0</v>
      </c>
      <c r="N3517" s="169">
        <f>IFERROR(MATCH(J3517,'Final List'!$H$4:$H$252,0),0)</f>
        <v>0</v>
      </c>
      <c r="O3517" s="169">
        <f>IFERROR(MATCH(J3517,'Final List'!$J$4:$J$252,0),0)</f>
        <v>0</v>
      </c>
      <c r="P3517" s="169">
        <f>IFERROR(MATCH(J3517,'Final List'!$L$4:$L$252,0),0)</f>
        <v>0</v>
      </c>
      <c r="Q3517" s="169">
        <f>IFERROR(MATCH(J3517,'Final List'!$N$4:$N$252,0),0)</f>
        <v>0</v>
      </c>
      <c r="R3517" s="169">
        <f>IFERROR(MATCH(J3517,'Final List'!$P$4:$P$252,0),0)</f>
        <v>0</v>
      </c>
      <c r="S3517" s="169">
        <f t="shared" si="219"/>
        <v>0</v>
      </c>
      <c r="V3517" s="169" t="str">
        <f t="shared" si="220"/>
        <v>NITRO BM</v>
      </c>
      <c r="W3517" s="169" t="s">
        <v>8896</v>
      </c>
    </row>
    <row r="3518" spans="2:23" x14ac:dyDescent="0.25">
      <c r="B3518" s="169" t="s">
        <v>96</v>
      </c>
      <c r="C3518" s="169" t="s">
        <v>87</v>
      </c>
      <c r="D3518" s="169" t="s">
        <v>121</v>
      </c>
      <c r="E3518" s="169" t="s">
        <v>63</v>
      </c>
      <c r="F3518" s="245" t="str">
        <f t="shared" si="217"/>
        <v>Dhoz 71</v>
      </c>
      <c r="G3518" s="169" t="s">
        <v>6621</v>
      </c>
      <c r="I3518" s="169" t="str">
        <f t="shared" si="218"/>
        <v>L09_NONE_022E_XCS</v>
      </c>
      <c r="J3518" s="169" t="s">
        <v>13778</v>
      </c>
      <c r="K3518" s="169">
        <f>IFERROR(MATCH(J3518,'Final List'!$B$4:$B$252,0),0)</f>
        <v>0</v>
      </c>
      <c r="L3518" s="169">
        <f>IFERROR(MATCH(J3518,'Final List'!$D$4:$D$252,0),0)</f>
        <v>0</v>
      </c>
      <c r="M3518" s="169">
        <f>IFERROR(MATCH(J3518,'Final List'!$F$4:$F$251,0),0)</f>
        <v>0</v>
      </c>
      <c r="N3518" s="169">
        <f>IFERROR(MATCH(J3518,'Final List'!$H$4:$H$252,0),0)</f>
        <v>0</v>
      </c>
      <c r="O3518" s="169">
        <f>IFERROR(MATCH(J3518,'Final List'!$J$4:$J$252,0),0)</f>
        <v>0</v>
      </c>
      <c r="P3518" s="169">
        <f>IFERROR(MATCH(J3518,'Final List'!$L$4:$L$252,0),0)</f>
        <v>0</v>
      </c>
      <c r="Q3518" s="169">
        <f>IFERROR(MATCH(J3518,'Final List'!$N$4:$N$252,0),0)</f>
        <v>0</v>
      </c>
      <c r="R3518" s="169">
        <f>IFERROR(MATCH(J3518,'Final List'!$P$4:$P$252,0),0)</f>
        <v>0</v>
      </c>
      <c r="S3518" s="169">
        <f t="shared" si="219"/>
        <v>0</v>
      </c>
      <c r="V3518" s="169" t="str">
        <f t="shared" si="220"/>
        <v>DELOS REYES V1</v>
      </c>
      <c r="W3518" s="169" t="s">
        <v>8898</v>
      </c>
    </row>
    <row r="3519" spans="2:23" x14ac:dyDescent="0.25">
      <c r="B3519" s="169" t="s">
        <v>1166</v>
      </c>
      <c r="C3519" s="169" t="s">
        <v>39</v>
      </c>
      <c r="D3519" s="169" t="s">
        <v>5689</v>
      </c>
      <c r="E3519" s="169" t="s">
        <v>60</v>
      </c>
      <c r="F3519" s="245" t="str">
        <f t="shared" si="217"/>
        <v>Dhoz 71</v>
      </c>
      <c r="G3519" s="169" t="s">
        <v>6954</v>
      </c>
      <c r="I3519" s="169" t="str">
        <f t="shared" si="218"/>
        <v>L11_JVHW_003E_DE</v>
      </c>
      <c r="J3519" s="169" t="s">
        <v>13779</v>
      </c>
      <c r="K3519" s="169">
        <f>IFERROR(MATCH(J3519,'Final List'!$B$4:$B$252,0),0)</f>
        <v>0</v>
      </c>
      <c r="L3519" s="169">
        <f>IFERROR(MATCH(J3519,'Final List'!$D$4:$D$252,0),0)</f>
        <v>0</v>
      </c>
      <c r="M3519" s="169">
        <f>IFERROR(MATCH(J3519,'Final List'!$F$4:$F$251,0),0)</f>
        <v>0</v>
      </c>
      <c r="N3519" s="169">
        <f>IFERROR(MATCH(J3519,'Final List'!$H$4:$H$252,0),0)</f>
        <v>0</v>
      </c>
      <c r="O3519" s="169">
        <f>IFERROR(MATCH(J3519,'Final List'!$J$4:$J$252,0),0)</f>
        <v>0</v>
      </c>
      <c r="P3519" s="169">
        <f>IFERROR(MATCH(J3519,'Final List'!$L$4:$L$252,0),0)</f>
        <v>0</v>
      </c>
      <c r="Q3519" s="169">
        <f>IFERROR(MATCH(J3519,'Final List'!$N$4:$N$252,0),0)</f>
        <v>0</v>
      </c>
      <c r="R3519" s="169">
        <f>IFERROR(MATCH(J3519,'Final List'!$P$4:$P$252,0),0)</f>
        <v>0</v>
      </c>
      <c r="S3519" s="169">
        <f t="shared" si="219"/>
        <v>0</v>
      </c>
      <c r="V3519" s="169" t="str">
        <f t="shared" si="220"/>
        <v>BADBADON</v>
      </c>
      <c r="W3519" s="169" t="s">
        <v>8896</v>
      </c>
    </row>
    <row r="3520" spans="2:23" x14ac:dyDescent="0.25">
      <c r="B3520" s="169" t="s">
        <v>96</v>
      </c>
      <c r="C3520" s="169" t="s">
        <v>45</v>
      </c>
      <c r="D3520" s="169" t="s">
        <v>5887</v>
      </c>
      <c r="E3520" s="169" t="s">
        <v>62</v>
      </c>
      <c r="F3520" s="245" t="str">
        <f t="shared" si="217"/>
        <v>RobC 80</v>
      </c>
      <c r="G3520" s="169" t="s">
        <v>349</v>
      </c>
      <c r="I3520" s="169" t="str">
        <f t="shared" si="218"/>
        <v>L09_DPVE_085E_ROBBING</v>
      </c>
      <c r="J3520" s="169" t="s">
        <v>13780</v>
      </c>
      <c r="K3520" s="169">
        <f>IFERROR(MATCH(J3520,'Final List'!$B$4:$B$252,0),0)</f>
        <v>0</v>
      </c>
      <c r="L3520" s="169">
        <f>IFERROR(MATCH(J3520,'Final List'!$D$4:$D$252,0),0)</f>
        <v>0</v>
      </c>
      <c r="M3520" s="169">
        <f>IFERROR(MATCH(J3520,'Final List'!$F$4:$F$251,0),0)</f>
        <v>0</v>
      </c>
      <c r="N3520" s="169">
        <f>IFERROR(MATCH(J3520,'Final List'!$H$4:$H$252,0),0)</f>
        <v>0</v>
      </c>
      <c r="O3520" s="169">
        <f>IFERROR(MATCH(J3520,'Final List'!$J$4:$J$252,0),0)</f>
        <v>0</v>
      </c>
      <c r="P3520" s="169">
        <f>IFERROR(MATCH(J3520,'Final List'!$L$4:$L$252,0),0)</f>
        <v>0</v>
      </c>
      <c r="Q3520" s="169">
        <f>IFERROR(MATCH(J3520,'Final List'!$N$4:$N$252,0),0)</f>
        <v>0</v>
      </c>
      <c r="R3520" s="169">
        <f>IFERROR(MATCH(J3520,'Final List'!$P$4:$P$252,0),0)</f>
        <v>0</v>
      </c>
      <c r="S3520" s="169">
        <f t="shared" si="219"/>
        <v>0</v>
      </c>
      <c r="T3520" s="169" t="s">
        <v>48</v>
      </c>
      <c r="V3520" s="169" t="str">
        <f t="shared" si="220"/>
        <v>QUIJANO 2</v>
      </c>
      <c r="W3520" s="169" t="s">
        <v>236</v>
      </c>
    </row>
    <row r="3521" spans="2:23" x14ac:dyDescent="0.25">
      <c r="B3521" s="169" t="s">
        <v>1167</v>
      </c>
      <c r="C3521" s="169" t="s">
        <v>13764</v>
      </c>
      <c r="D3521" s="169" t="s">
        <v>205</v>
      </c>
      <c r="E3521" s="169" t="s">
        <v>19</v>
      </c>
      <c r="F3521" s="245" t="str">
        <f t="shared" si="217"/>
        <v>DVR 72</v>
      </c>
      <c r="G3521" s="169" t="s">
        <v>965</v>
      </c>
      <c r="I3521" s="169" t="str">
        <f t="shared" si="218"/>
        <v>L12_GHVS_066E_RAISE</v>
      </c>
      <c r="J3521" s="169" t="s">
        <v>13782</v>
      </c>
      <c r="K3521" s="169">
        <f>IFERROR(MATCH(J3521,'Final List'!$B$4:$B$252,0),0)</f>
        <v>0</v>
      </c>
      <c r="L3521" s="169">
        <f>IFERROR(MATCH(J3521,'Final List'!$D$4:$D$252,0),0)</f>
        <v>0</v>
      </c>
      <c r="M3521" s="169">
        <f>IFERROR(MATCH(J3521,'Final List'!$F$4:$F$251,0),0)</f>
        <v>0</v>
      </c>
      <c r="N3521" s="169">
        <f>IFERROR(MATCH(J3521,'Final List'!$H$4:$H$252,0),0)</f>
        <v>0</v>
      </c>
      <c r="O3521" s="169">
        <f>IFERROR(MATCH(J3521,'Final List'!$J$4:$J$252,0),0)</f>
        <v>0</v>
      </c>
      <c r="P3521" s="169">
        <f>IFERROR(MATCH(J3521,'Final List'!$L$4:$L$252,0),0)</f>
        <v>0</v>
      </c>
      <c r="Q3521" s="169">
        <f>IFERROR(MATCH(J3521,'Final List'!$N$4:$N$252,0),0)</f>
        <v>0</v>
      </c>
      <c r="R3521" s="169">
        <f>IFERROR(MATCH(J3521,'Final List'!$P$4:$P$252,0),0)</f>
        <v>0</v>
      </c>
      <c r="S3521" s="169">
        <f t="shared" si="219"/>
        <v>0</v>
      </c>
      <c r="V3521" s="169" t="str">
        <f t="shared" si="220"/>
        <v>DUHIG</v>
      </c>
      <c r="W3521" s="169" t="s">
        <v>2715</v>
      </c>
    </row>
    <row r="3522" spans="2:23" x14ac:dyDescent="0.25">
      <c r="B3522" s="169" t="s">
        <v>1166</v>
      </c>
      <c r="C3522" s="169" t="s">
        <v>56</v>
      </c>
      <c r="D3522" s="169" t="s">
        <v>147</v>
      </c>
      <c r="E3522" s="169" t="s">
        <v>60</v>
      </c>
      <c r="F3522" s="245" t="str">
        <f t="shared" si="217"/>
        <v>Dhoz 71</v>
      </c>
      <c r="G3522" s="169" t="s">
        <v>4068</v>
      </c>
      <c r="I3522" s="169" t="str">
        <f t="shared" si="218"/>
        <v>L11_GHVFW_024E_DE</v>
      </c>
      <c r="J3522" s="169" t="s">
        <v>13786</v>
      </c>
      <c r="K3522" s="169">
        <f>IFERROR(MATCH(J3522,'Final List'!$B$4:$B$252,0),0)</f>
        <v>0</v>
      </c>
      <c r="L3522" s="169">
        <f>IFERROR(MATCH(J3522,'Final List'!$D$4:$D$252,0),0)</f>
        <v>0</v>
      </c>
      <c r="M3522" s="169">
        <f>IFERROR(MATCH(J3522,'Final List'!$F$4:$F$251,0),0)</f>
        <v>0</v>
      </c>
      <c r="N3522" s="169">
        <f>IFERROR(MATCH(J3522,'Final List'!$H$4:$H$252,0),0)</f>
        <v>0</v>
      </c>
      <c r="O3522" s="169">
        <f>IFERROR(MATCH(J3522,'Final List'!$J$4:$J$252,0),0)</f>
        <v>0</v>
      </c>
      <c r="P3522" s="169">
        <f>IFERROR(MATCH(J3522,'Final List'!$L$4:$L$252,0),0)</f>
        <v>0</v>
      </c>
      <c r="Q3522" s="169">
        <f>IFERROR(MATCH(J3522,'Final List'!$N$4:$N$252,0),0)</f>
        <v>0</v>
      </c>
      <c r="R3522" s="169">
        <f>IFERROR(MATCH(J3522,'Final List'!$P$4:$P$252,0),0)</f>
        <v>0</v>
      </c>
      <c r="S3522" s="169">
        <f t="shared" si="219"/>
        <v>0</v>
      </c>
      <c r="V3522" s="169" t="str">
        <f t="shared" si="220"/>
        <v>MAPAYO</v>
      </c>
      <c r="W3522" s="169" t="s">
        <v>8896</v>
      </c>
    </row>
    <row r="3523" spans="2:23" x14ac:dyDescent="0.25">
      <c r="B3523" s="169" t="s">
        <v>12320</v>
      </c>
      <c r="C3523" s="169" t="s">
        <v>43</v>
      </c>
      <c r="D3523" s="169" t="s">
        <v>5781</v>
      </c>
      <c r="E3523" s="169" t="s">
        <v>36</v>
      </c>
      <c r="F3523" s="245" t="str">
        <f t="shared" ref="F3523:F3586" si="221">IF(OR(E3523="XCN",E3523="DE",E3523="DW",E3523="DN",E3523="XCS",E3523="XCE",E3523="XCW",E3523="SUMP",E3523="BYPASS",E3523="CHAMBER",E3523="DRAIN HOLE",E3523="DRILLING CHAMBER",E3523="DE_ISL",E3523="DW_ISL",E3523="REHAB"),"Dhoz 71",IF(OR(E3523="RAISE",E3523="RAISE_ISL"),"DVR 72",IF(E3523="ALIMAK","DVA 73",IF(E3523="WINZE","DVW 74",IF(E3523="SHAFT","DVS 75",IF(AND(E3523="WINZE STOPE",T3523="S"),"RobC 80",IF(AND(E3523="STOPE",T3523="S"),"StpS 77",IF(AND(E3523="WINZE STOPE",T3523="L"),"RobC 80",IF(AND(E3523="STOPE",T3523="L"),"StpL 78",IF(AND(E3523="WINZE STOPE PREP",T3523="S"),"RobC 80",IF(AND(E3523="STOPE PREP",T3523="S"),"StpS 77",IF(AND(E3523="WINZE STOPE PREP",T3523="L"),"RobC 80",IF(AND(E3523="STOPE PREP",T3523="L"),"StpL 78",IF(AND(E3523="ROBBING",T3523="L"),"RobC 80",IF(AND(E3523="ROBBING",T3523="S"),"RobS 79",0)))))))))))))))</f>
        <v>StpS 77</v>
      </c>
      <c r="G3523" s="169" t="s">
        <v>455</v>
      </c>
      <c r="I3523" s="169" t="str">
        <f t="shared" si="218"/>
        <v>L425_GHVSPLIT_051E_STOPE</v>
      </c>
      <c r="J3523" s="169" t="s">
        <v>13789</v>
      </c>
      <c r="K3523" s="169">
        <f>IFERROR(MATCH(J3523,'Final List'!$B$4:$B$252,0),0)</f>
        <v>0</v>
      </c>
      <c r="L3523" s="169">
        <f>IFERROR(MATCH(J3523,'Final List'!$D$4:$D$252,0),0)</f>
        <v>0</v>
      </c>
      <c r="M3523" s="169">
        <f>IFERROR(MATCH(J3523,'Final List'!$F$4:$F$251,0),0)</f>
        <v>0</v>
      </c>
      <c r="N3523" s="169">
        <f>IFERROR(MATCH(J3523,'Final List'!$H$4:$H$252,0),0)</f>
        <v>0</v>
      </c>
      <c r="O3523" s="169">
        <f>IFERROR(MATCH(J3523,'Final List'!$J$4:$J$252,0),0)</f>
        <v>0</v>
      </c>
      <c r="P3523" s="169">
        <f>IFERROR(MATCH(J3523,'Final List'!$L$4:$L$252,0),0)</f>
        <v>0</v>
      </c>
      <c r="Q3523" s="169">
        <f>IFERROR(MATCH(J3523,'Final List'!$N$4:$N$252,0),0)</f>
        <v>0</v>
      </c>
      <c r="R3523" s="169">
        <f>IFERROR(MATCH(J3523,'Final List'!$P$4:$P$252,0),0)</f>
        <v>0</v>
      </c>
      <c r="S3523" s="169">
        <f t="shared" ref="S3523:S3586" si="222">SUM(K3523:R3523)</f>
        <v>0</v>
      </c>
      <c r="T3523" s="169" t="s">
        <v>68</v>
      </c>
      <c r="V3523" s="169" t="str">
        <f t="shared" si="220"/>
        <v>BABOR 4</v>
      </c>
      <c r="W3523" s="169" t="s">
        <v>2713</v>
      </c>
    </row>
    <row r="3524" spans="2:23" x14ac:dyDescent="0.25">
      <c r="B3524" s="169" t="s">
        <v>12320</v>
      </c>
      <c r="C3524" s="169" t="s">
        <v>43</v>
      </c>
      <c r="D3524" s="169" t="s">
        <v>5723</v>
      </c>
      <c r="E3524" s="169" t="s">
        <v>19</v>
      </c>
      <c r="F3524" s="245" t="str">
        <f t="shared" si="221"/>
        <v>DVR 72</v>
      </c>
      <c r="G3524" s="169" t="s">
        <v>13763</v>
      </c>
      <c r="H3524" s="169" t="s">
        <v>355</v>
      </c>
      <c r="I3524" s="169" t="str">
        <f t="shared" si="218"/>
        <v>L425_GHVSPLIT_046E_RAISE</v>
      </c>
      <c r="J3524" s="169" t="s">
        <v>13790</v>
      </c>
      <c r="K3524" s="169">
        <f>IFERROR(MATCH(J3524,'Final List'!$B$4:$B$252,0),0)</f>
        <v>0</v>
      </c>
      <c r="L3524" s="169">
        <f>IFERROR(MATCH(J3524,'Final List'!$D$4:$D$252,0),0)</f>
        <v>0</v>
      </c>
      <c r="M3524" s="169">
        <f>IFERROR(MATCH(J3524,'Final List'!$F$4:$F$251,0),0)</f>
        <v>0</v>
      </c>
      <c r="N3524" s="169">
        <f>IFERROR(MATCH(J3524,'Final List'!$H$4:$H$252,0),0)</f>
        <v>0</v>
      </c>
      <c r="O3524" s="169">
        <f>IFERROR(MATCH(J3524,'Final List'!$J$4:$J$252,0),0)</f>
        <v>0</v>
      </c>
      <c r="P3524" s="169">
        <f>IFERROR(MATCH(J3524,'Final List'!$L$4:$L$252,0),0)</f>
        <v>0</v>
      </c>
      <c r="Q3524" s="169">
        <f>IFERROR(MATCH(J3524,'Final List'!$N$4:$N$252,0),0)</f>
        <v>0</v>
      </c>
      <c r="R3524" s="169">
        <f>IFERROR(MATCH(J3524,'Final List'!$P$4:$P$252,0),0)</f>
        <v>0</v>
      </c>
      <c r="S3524" s="169">
        <f t="shared" si="222"/>
        <v>0</v>
      </c>
      <c r="V3524" s="169" t="str">
        <f t="shared" si="220"/>
        <v>BAÑEZ 2</v>
      </c>
      <c r="W3524" s="169" t="s">
        <v>2715</v>
      </c>
    </row>
    <row r="3525" spans="2:23" x14ac:dyDescent="0.25">
      <c r="B3525" s="169" t="s">
        <v>12320</v>
      </c>
      <c r="C3525" s="169" t="s">
        <v>11298</v>
      </c>
      <c r="D3525" s="169" t="s">
        <v>174</v>
      </c>
      <c r="E3525" s="169" t="s">
        <v>60</v>
      </c>
      <c r="F3525" s="245" t="str">
        <f t="shared" si="221"/>
        <v>Dhoz 71</v>
      </c>
      <c r="G3525" s="169" t="s">
        <v>389</v>
      </c>
      <c r="I3525" s="169" t="str">
        <f t="shared" si="218"/>
        <v>L425_JVS_052E_DE</v>
      </c>
      <c r="J3525" s="169" t="s">
        <v>13791</v>
      </c>
      <c r="K3525" s="169">
        <f>IFERROR(MATCH(J3525,'Final List'!$B$4:$B$252,0),0)</f>
        <v>0</v>
      </c>
      <c r="L3525" s="169">
        <f>IFERROR(MATCH(J3525,'Final List'!$D$4:$D$252,0),0)</f>
        <v>0</v>
      </c>
      <c r="M3525" s="169">
        <f>IFERROR(MATCH(J3525,'Final List'!$F$4:$F$251,0),0)</f>
        <v>0</v>
      </c>
      <c r="N3525" s="169">
        <f>IFERROR(MATCH(J3525,'Final List'!$H$4:$H$252,0),0)</f>
        <v>0</v>
      </c>
      <c r="O3525" s="169">
        <f>IFERROR(MATCH(J3525,'Final List'!$J$4:$J$252,0),0)</f>
        <v>0</v>
      </c>
      <c r="P3525" s="169">
        <f>IFERROR(MATCH(J3525,'Final List'!$L$4:$L$252,0),0)</f>
        <v>0</v>
      </c>
      <c r="Q3525" s="169">
        <f>IFERROR(MATCH(J3525,'Final List'!$N$4:$N$252,0),0)</f>
        <v>0</v>
      </c>
      <c r="R3525" s="169">
        <f>IFERROR(MATCH(J3525,'Final List'!$P$4:$P$252,0),0)</f>
        <v>0</v>
      </c>
      <c r="S3525" s="169">
        <f t="shared" si="222"/>
        <v>0</v>
      </c>
      <c r="V3525" s="169" t="str">
        <f t="shared" si="220"/>
        <v>CAPPUYO 1</v>
      </c>
      <c r="W3525" s="169" t="s">
        <v>8896</v>
      </c>
    </row>
    <row r="3526" spans="2:23" x14ac:dyDescent="0.25">
      <c r="B3526" s="169" t="s">
        <v>12320</v>
      </c>
      <c r="C3526" s="169" t="s">
        <v>42</v>
      </c>
      <c r="D3526" s="169" t="s">
        <v>170</v>
      </c>
      <c r="E3526" s="169" t="s">
        <v>60</v>
      </c>
      <c r="F3526" s="245" t="str">
        <f t="shared" si="221"/>
        <v>Dhoz 71</v>
      </c>
      <c r="G3526" s="169" t="s">
        <v>1510</v>
      </c>
      <c r="I3526" s="169" t="str">
        <f t="shared" si="218"/>
        <v>L425_JV_071E_DE</v>
      </c>
      <c r="J3526" s="169" t="s">
        <v>13794</v>
      </c>
      <c r="K3526" s="169">
        <f>IFERROR(MATCH(J3526,'Final List'!$B$4:$B$252,0),0)</f>
        <v>0</v>
      </c>
      <c r="L3526" s="169">
        <f>IFERROR(MATCH(J3526,'Final List'!$D$4:$D$252,0),0)</f>
        <v>0</v>
      </c>
      <c r="M3526" s="169">
        <f>IFERROR(MATCH(J3526,'Final List'!$F$4:$F$251,0),0)</f>
        <v>0</v>
      </c>
      <c r="N3526" s="169">
        <f>IFERROR(MATCH(J3526,'Final List'!$H$4:$H$252,0),0)</f>
        <v>0</v>
      </c>
      <c r="O3526" s="169">
        <f>IFERROR(MATCH(J3526,'Final List'!$J$4:$J$252,0),0)</f>
        <v>0</v>
      </c>
      <c r="P3526" s="169">
        <f>IFERROR(MATCH(J3526,'Final List'!$L$4:$L$252,0),0)</f>
        <v>0</v>
      </c>
      <c r="Q3526" s="169">
        <f>IFERROR(MATCH(J3526,'Final List'!$N$4:$N$252,0),0)</f>
        <v>0</v>
      </c>
      <c r="R3526" s="169">
        <f>IFERROR(MATCH(J3526,'Final List'!$P$4:$P$252,0),0)</f>
        <v>0</v>
      </c>
      <c r="S3526" s="169">
        <f t="shared" si="222"/>
        <v>0</v>
      </c>
      <c r="V3526" s="169" t="str">
        <f t="shared" si="220"/>
        <v>DELOS REYES</v>
      </c>
      <c r="W3526" s="169" t="s">
        <v>8896</v>
      </c>
    </row>
    <row r="3527" spans="2:23" x14ac:dyDescent="0.25">
      <c r="B3527" s="169" t="s">
        <v>1167</v>
      </c>
      <c r="C3527" s="169" t="s">
        <v>59</v>
      </c>
      <c r="D3527" s="169" t="s">
        <v>5614</v>
      </c>
      <c r="E3527" s="169" t="s">
        <v>19</v>
      </c>
      <c r="F3527" s="245" t="str">
        <f t="shared" si="221"/>
        <v>DVR 72</v>
      </c>
      <c r="G3527" s="169" t="s">
        <v>12568</v>
      </c>
      <c r="I3527" s="169" t="str">
        <f t="shared" si="218"/>
        <v>L12_GHVHW_055E_RAISE</v>
      </c>
      <c r="J3527" s="169" t="s">
        <v>13824</v>
      </c>
      <c r="K3527" s="169">
        <f>IFERROR(MATCH(J3527,'Final List'!$B$4:$B$252,0),0)</f>
        <v>0</v>
      </c>
      <c r="L3527" s="169">
        <f>IFERROR(MATCH(J3527,'Final List'!$D$4:$D$252,0),0)</f>
        <v>0</v>
      </c>
      <c r="M3527" s="169">
        <f>IFERROR(MATCH(J3527,'Final List'!$F$4:$F$251,0),0)</f>
        <v>0</v>
      </c>
      <c r="N3527" s="169">
        <f>IFERROR(MATCH(J3527,'Final List'!$H$4:$H$252,0),0)</f>
        <v>0</v>
      </c>
      <c r="O3527" s="169">
        <f>IFERROR(MATCH(J3527,'Final List'!$J$4:$J$252,0),0)</f>
        <v>0</v>
      </c>
      <c r="P3527" s="169">
        <f>IFERROR(MATCH(J3527,'Final List'!$L$4:$L$252,0),0)</f>
        <v>0</v>
      </c>
      <c r="Q3527" s="169">
        <f>IFERROR(MATCH(J3527,'Final List'!$N$4:$N$252,0),0)</f>
        <v>0</v>
      </c>
      <c r="R3527" s="169">
        <f>IFERROR(MATCH(J3527,'Final List'!$P$4:$P$252,0),0)</f>
        <v>0</v>
      </c>
      <c r="S3527" s="169">
        <f t="shared" si="222"/>
        <v>0</v>
      </c>
      <c r="V3527" s="169" t="str">
        <f t="shared" si="220"/>
        <v>NITRO BP</v>
      </c>
      <c r="W3527" s="169" t="s">
        <v>2715</v>
      </c>
    </row>
    <row r="3528" spans="2:23" x14ac:dyDescent="0.25">
      <c r="B3528" s="169" t="s">
        <v>12320</v>
      </c>
      <c r="C3528" s="169" t="s">
        <v>57</v>
      </c>
      <c r="D3528" s="169" t="s">
        <v>5602</v>
      </c>
      <c r="E3528" s="169" t="s">
        <v>60</v>
      </c>
      <c r="F3528" s="245" t="str">
        <f t="shared" si="221"/>
        <v>Dhoz 71</v>
      </c>
      <c r="G3528" s="169" t="s">
        <v>13792</v>
      </c>
      <c r="H3528" s="169" t="s">
        <v>1510</v>
      </c>
      <c r="I3528" s="169" t="str">
        <f t="shared" ref="I3528:I3549" si="223">CONCATENATE(B3528,"_",C3528,"_",D3528,"_",E3528)</f>
        <v>L425_JVSPLIT_053E_DE</v>
      </c>
      <c r="J3528" s="169" t="s">
        <v>14051</v>
      </c>
      <c r="K3528" s="169">
        <f>IFERROR(MATCH(J3528,'Final List'!$B$4:$B$252,0),0)</f>
        <v>0</v>
      </c>
      <c r="L3528" s="169">
        <f>IFERROR(MATCH(J3528,'Final List'!$D$4:$D$252,0),0)</f>
        <v>0</v>
      </c>
      <c r="M3528" s="169">
        <f>IFERROR(MATCH(J3528,'Final List'!$F$4:$F$251,0),0)</f>
        <v>0</v>
      </c>
      <c r="N3528" s="169">
        <f>IFERROR(MATCH(J3528,'Final List'!$H$4:$H$252,0),0)</f>
        <v>0</v>
      </c>
      <c r="O3528" s="169">
        <f>IFERROR(MATCH(J3528,'Final List'!$J$4:$J$252,0),0)</f>
        <v>0</v>
      </c>
      <c r="P3528" s="169">
        <f>IFERROR(MATCH(J3528,'Final List'!$L$4:$L$252,0),0)</f>
        <v>0</v>
      </c>
      <c r="Q3528" s="169">
        <f>IFERROR(MATCH(J3528,'Final List'!$N$4:$N$252,0),0)</f>
        <v>0</v>
      </c>
      <c r="R3528" s="169">
        <f>IFERROR(MATCH(J3528,'Final List'!$P$4:$P$252,0),0)</f>
        <v>0</v>
      </c>
      <c r="S3528" s="169">
        <f t="shared" si="222"/>
        <v>0</v>
      </c>
      <c r="V3528" s="169" t="str">
        <f t="shared" si="220"/>
        <v>DELOS REYES</v>
      </c>
      <c r="W3528" s="169" t="s">
        <v>8896</v>
      </c>
    </row>
    <row r="3529" spans="2:23" x14ac:dyDescent="0.25">
      <c r="B3529" s="169" t="s">
        <v>95</v>
      </c>
      <c r="C3529" s="169" t="s">
        <v>38</v>
      </c>
      <c r="D3529" s="169" t="s">
        <v>142</v>
      </c>
      <c r="E3529" s="169" t="s">
        <v>62</v>
      </c>
      <c r="F3529" s="245" t="str">
        <f t="shared" si="221"/>
        <v>RobS 79</v>
      </c>
      <c r="G3529" s="169" t="s">
        <v>6216</v>
      </c>
      <c r="I3529" s="169" t="str">
        <f t="shared" si="223"/>
        <v>L08_GHV_038E_ROBBING</v>
      </c>
      <c r="J3529" s="169" t="s">
        <v>13796</v>
      </c>
      <c r="K3529" s="169">
        <f>IFERROR(MATCH(J3529,'Final List'!$B$4:$B$252,0),0)</f>
        <v>0</v>
      </c>
      <c r="L3529" s="169">
        <f>IFERROR(MATCH(J3529,'Final List'!$D$4:$D$252,0),0)</f>
        <v>0</v>
      </c>
      <c r="M3529" s="169">
        <f>IFERROR(MATCH(J3529,'Final List'!$F$4:$F$251,0),0)</f>
        <v>0</v>
      </c>
      <c r="N3529" s="169">
        <f>IFERROR(MATCH(J3529,'Final List'!$H$4:$H$252,0),0)</f>
        <v>0</v>
      </c>
      <c r="O3529" s="169">
        <f>IFERROR(MATCH(J3529,'Final List'!$J$4:$J$252,0),0)</f>
        <v>0</v>
      </c>
      <c r="P3529" s="169">
        <f>IFERROR(MATCH(J3529,'Final List'!$L$4:$L$252,0),0)</f>
        <v>0</v>
      </c>
      <c r="Q3529" s="169">
        <f>IFERROR(MATCH(J3529,'Final List'!$N$4:$N$252,0),0)</f>
        <v>0</v>
      </c>
      <c r="R3529" s="169">
        <f>IFERROR(MATCH(J3529,'Final List'!$P$4:$P$252,0),0)</f>
        <v>0</v>
      </c>
      <c r="S3529" s="169">
        <f t="shared" si="222"/>
        <v>0</v>
      </c>
      <c r="T3529" s="169" t="s">
        <v>68</v>
      </c>
      <c r="V3529" s="169" t="str">
        <f t="shared" si="220"/>
        <v>FERNANDEZ</v>
      </c>
      <c r="W3529" s="169" t="s">
        <v>2707</v>
      </c>
    </row>
    <row r="3530" spans="2:23" x14ac:dyDescent="0.25">
      <c r="B3530" s="169" t="s">
        <v>12320</v>
      </c>
      <c r="C3530" s="169" t="s">
        <v>87</v>
      </c>
      <c r="D3530" s="169" t="s">
        <v>198</v>
      </c>
      <c r="E3530" s="169" t="s">
        <v>37</v>
      </c>
      <c r="F3530" s="245" t="str">
        <f t="shared" si="221"/>
        <v>Dhoz 71</v>
      </c>
      <c r="G3530" s="169" t="s">
        <v>13763</v>
      </c>
      <c r="I3530" s="169" t="str">
        <f t="shared" si="223"/>
        <v>L425_NONE_069E_XCN</v>
      </c>
      <c r="J3530" s="169" t="s">
        <v>13799</v>
      </c>
      <c r="K3530" s="169">
        <f>IFERROR(MATCH(J3530,'Final List'!$B$4:$B$252,0),0)</f>
        <v>0</v>
      </c>
      <c r="L3530" s="169">
        <f>IFERROR(MATCH(J3530,'Final List'!$D$4:$D$252,0),0)</f>
        <v>0</v>
      </c>
      <c r="M3530" s="169">
        <f>IFERROR(MATCH(J3530,'Final List'!$F$4:$F$251,0),0)</f>
        <v>0</v>
      </c>
      <c r="N3530" s="169">
        <f>IFERROR(MATCH(J3530,'Final List'!$H$4:$H$252,0),0)</f>
        <v>0</v>
      </c>
      <c r="O3530" s="169">
        <f>IFERROR(MATCH(J3530,'Final List'!$J$4:$J$252,0),0)</f>
        <v>0</v>
      </c>
      <c r="P3530" s="169">
        <f>IFERROR(MATCH(J3530,'Final List'!$L$4:$L$252,0),0)</f>
        <v>0</v>
      </c>
      <c r="Q3530" s="169">
        <f>IFERROR(MATCH(J3530,'Final List'!$N$4:$N$252,0),0)</f>
        <v>0</v>
      </c>
      <c r="R3530" s="169">
        <f>IFERROR(MATCH(J3530,'Final List'!$P$4:$P$252,0),0)</f>
        <v>0</v>
      </c>
      <c r="S3530" s="169">
        <f t="shared" si="222"/>
        <v>0</v>
      </c>
      <c r="V3530" s="169" t="str">
        <f t="shared" si="220"/>
        <v>BANEZ</v>
      </c>
      <c r="W3530" s="169" t="s">
        <v>8898</v>
      </c>
    </row>
    <row r="3531" spans="2:23" x14ac:dyDescent="0.25">
      <c r="B3531" s="169" t="s">
        <v>12320</v>
      </c>
      <c r="C3531" s="169" t="s">
        <v>42</v>
      </c>
      <c r="D3531" s="169" t="s">
        <v>123</v>
      </c>
      <c r="E3531" s="169" t="s">
        <v>61</v>
      </c>
      <c r="F3531" s="245" t="str">
        <f t="shared" si="221"/>
        <v>Dhoz 71</v>
      </c>
      <c r="G3531" s="169" t="s">
        <v>353</v>
      </c>
      <c r="H3531" s="169" t="s">
        <v>7984</v>
      </c>
      <c r="I3531" s="169" t="str">
        <f t="shared" si="223"/>
        <v>L425_JV_031E_DW</v>
      </c>
      <c r="J3531" s="169" t="s">
        <v>13801</v>
      </c>
      <c r="K3531" s="169">
        <f>IFERROR(MATCH(J3531,'Final List'!$B$4:$B$252,0),0)</f>
        <v>0</v>
      </c>
      <c r="L3531" s="169">
        <f>IFERROR(MATCH(J3531,'Final List'!$D$4:$D$252,0),0)</f>
        <v>0</v>
      </c>
      <c r="M3531" s="169">
        <f>IFERROR(MATCH(J3531,'Final List'!$F$4:$F$251,0),0)</f>
        <v>0</v>
      </c>
      <c r="N3531" s="169">
        <f>IFERROR(MATCH(J3531,'Final List'!$H$4:$H$252,0),0)</f>
        <v>0</v>
      </c>
      <c r="O3531" s="169">
        <f>IFERROR(MATCH(J3531,'Final List'!$J$4:$J$252,0),0)</f>
        <v>0</v>
      </c>
      <c r="P3531" s="169">
        <f>IFERROR(MATCH(J3531,'Final List'!$L$4:$L$252,0),0)</f>
        <v>0</v>
      </c>
      <c r="Q3531" s="169">
        <f>IFERROR(MATCH(J3531,'Final List'!$N$4:$N$252,0),0)</f>
        <v>0</v>
      </c>
      <c r="R3531" s="169">
        <f>IFERROR(MATCH(J3531,'Final List'!$P$4:$P$252,0),0)</f>
        <v>0</v>
      </c>
      <c r="S3531" s="169">
        <f t="shared" si="222"/>
        <v>0</v>
      </c>
      <c r="V3531" s="169" t="str">
        <f>IF(H3531="",G3531,H3531)</f>
        <v>OLIVEROS</v>
      </c>
      <c r="W3531" s="169" t="s">
        <v>8896</v>
      </c>
    </row>
    <row r="3532" spans="2:23" x14ac:dyDescent="0.25">
      <c r="B3532" s="169" t="s">
        <v>12320</v>
      </c>
      <c r="C3532" s="169" t="s">
        <v>87</v>
      </c>
      <c r="D3532" s="169" t="s">
        <v>201</v>
      </c>
      <c r="E3532" s="169" t="s">
        <v>63</v>
      </c>
      <c r="F3532" s="245" t="str">
        <f t="shared" si="221"/>
        <v>Dhoz 71</v>
      </c>
      <c r="G3532" s="169" t="s">
        <v>2459</v>
      </c>
      <c r="I3532" s="169" t="str">
        <f t="shared" si="223"/>
        <v>L425_NONE_067E_XCS</v>
      </c>
      <c r="J3532" s="169" t="s">
        <v>13802</v>
      </c>
      <c r="K3532" s="169">
        <f>IFERROR(MATCH(J3532,'Final List'!$B$4:$B$252,0),0)</f>
        <v>0</v>
      </c>
      <c r="L3532" s="169">
        <f>IFERROR(MATCH(J3532,'Final List'!$D$4:$D$252,0),0)</f>
        <v>0</v>
      </c>
      <c r="M3532" s="169">
        <f>IFERROR(MATCH(J3532,'Final List'!$F$4:$F$251,0),0)</f>
        <v>0</v>
      </c>
      <c r="N3532" s="169">
        <f>IFERROR(MATCH(J3532,'Final List'!$H$4:$H$252,0),0)</f>
        <v>0</v>
      </c>
      <c r="O3532" s="169">
        <f>IFERROR(MATCH(J3532,'Final List'!$J$4:$J$252,0),0)</f>
        <v>0</v>
      </c>
      <c r="P3532" s="169">
        <f>IFERROR(MATCH(J3532,'Final List'!$L$4:$L$252,0),0)</f>
        <v>0</v>
      </c>
      <c r="Q3532" s="169">
        <f>IFERROR(MATCH(J3532,'Final List'!$N$4:$N$252,0),0)</f>
        <v>0</v>
      </c>
      <c r="R3532" s="169">
        <f>IFERROR(MATCH(J3532,'Final List'!$P$4:$P$252,0),0)</f>
        <v>0</v>
      </c>
      <c r="S3532" s="169">
        <f t="shared" si="222"/>
        <v>0</v>
      </c>
      <c r="V3532" s="169" t="str">
        <f t="shared" ref="V3532:V3601" si="224">IF(H3532="",G3532,H3532)</f>
        <v>REBOTE 3</v>
      </c>
      <c r="W3532" s="169" t="s">
        <v>8898</v>
      </c>
    </row>
    <row r="3533" spans="2:23" x14ac:dyDescent="0.25">
      <c r="B3533" s="169" t="s">
        <v>96</v>
      </c>
      <c r="C3533" s="169" t="s">
        <v>45</v>
      </c>
      <c r="D3533" s="169" t="s">
        <v>198</v>
      </c>
      <c r="E3533" s="169" t="s">
        <v>20</v>
      </c>
      <c r="F3533" s="245" t="str">
        <f t="shared" si="221"/>
        <v>DVW 74</v>
      </c>
      <c r="G3533" s="169" t="s">
        <v>485</v>
      </c>
      <c r="I3533" s="169" t="str">
        <f t="shared" si="223"/>
        <v>L09_DPVE_069E_WINZE</v>
      </c>
      <c r="J3533" s="169" t="s">
        <v>13803</v>
      </c>
      <c r="K3533" s="169">
        <f>IFERROR(MATCH(J3533,'Final List'!$B$4:$B$252,0),0)</f>
        <v>0</v>
      </c>
      <c r="L3533" s="169">
        <f>IFERROR(MATCH(J3533,'Final List'!$D$4:$D$252,0),0)</f>
        <v>0</v>
      </c>
      <c r="M3533" s="169">
        <f>IFERROR(MATCH(J3533,'Final List'!$F$4:$F$251,0),0)</f>
        <v>0</v>
      </c>
      <c r="N3533" s="169">
        <f>IFERROR(MATCH(J3533,'Final List'!$H$4:$H$252,0),0)</f>
        <v>0</v>
      </c>
      <c r="O3533" s="169">
        <f>IFERROR(MATCH(J3533,'Final List'!$J$4:$J$252,0),0)</f>
        <v>0</v>
      </c>
      <c r="P3533" s="169">
        <f>IFERROR(MATCH(J3533,'Final List'!$L$4:$L$252,0),0)</f>
        <v>0</v>
      </c>
      <c r="Q3533" s="169">
        <f>IFERROR(MATCH(J3533,'Final List'!$N$4:$N$252,0),0)</f>
        <v>0</v>
      </c>
      <c r="R3533" s="169">
        <f>IFERROR(MATCH(J3533,'Final List'!$P$4:$P$252,0),0)</f>
        <v>0</v>
      </c>
      <c r="S3533" s="169">
        <f t="shared" si="222"/>
        <v>0</v>
      </c>
      <c r="V3533" s="169" t="str">
        <f t="shared" si="224"/>
        <v>BALANGHIG 3</v>
      </c>
      <c r="W3533" s="169" t="s">
        <v>2706</v>
      </c>
    </row>
    <row r="3534" spans="2:23" x14ac:dyDescent="0.25">
      <c r="B3534" s="169" t="s">
        <v>258</v>
      </c>
      <c r="C3534" s="169" t="s">
        <v>87</v>
      </c>
      <c r="D3534" s="169" t="s">
        <v>114</v>
      </c>
      <c r="E3534" s="169" t="s">
        <v>37</v>
      </c>
      <c r="F3534" s="245" t="str">
        <f>IF(OR(E3534="XCN",E3534="DE",E3534="DW",E3534="DN",E3534="XCS",E3534="XCE",E3534="XCW",E3534="SUMP",E3534="BYPASS",E3534="CHAMBER",E3534="DRAIN HOLE",E3534="DRILLING CHAMBER",E3534="DE_ISL",E3534="DW_ISL",E3534="REHAB",E3534="MAINLINE_CLEANING"),"Dhoz 71",IF(OR(E3534="RAISE",E3534="RAISE_ISL"),"DVR 72",IF(E3534="ALIMAK","DVA 73",IF(E3534="WINZE","DVW 74",IF(E3534="SHAFT","DVS 75",IF(AND(E3534="WINZE STOPE",T3534="S"),"RobC 80",IF(AND(E3534="STOPE",T3534="S"),"StpS 77",IF(AND(E3534="WINZE STOPE",T3534="L"),"RobC 80",IF(AND(E3534="STOPE",T3534="L"),"StpL 78",IF(AND(E3534="WINZE STOPE PREP",T3534="S"),"RobC 80",IF(AND(E3534="STOPE PREP",T3534="S"),"StpS 77",IF(AND(E3534="WINZE STOPE PREP",T3534="L"),"RobC 80",IF(AND(E3534="STOPE PREP",T3534="L"),"StpL 78",IF(AND(E3534="ROBBING",T3534="L"),"RobC 80",IF(AND(E3534="ROBBING",T3534="S"),"RobS 79",0)))))))))))))))</f>
        <v>Dhoz 71</v>
      </c>
      <c r="G3534" s="169" t="s">
        <v>13277</v>
      </c>
      <c r="I3534" s="169" t="str">
        <f t="shared" si="223"/>
        <v>L10_NONE_025W_XCN</v>
      </c>
      <c r="J3534" s="169" t="s">
        <v>13807</v>
      </c>
      <c r="K3534" s="169">
        <f>IFERROR(MATCH(J3534,'Final List'!$B$4:$B$252,0),0)</f>
        <v>0</v>
      </c>
      <c r="L3534" s="169">
        <f>IFERROR(MATCH(J3534,'Final List'!$D$4:$D$252,0),0)</f>
        <v>0</v>
      </c>
      <c r="M3534" s="169">
        <f>IFERROR(MATCH(J3534,'Final List'!$F$4:$F$251,0),0)</f>
        <v>0</v>
      </c>
      <c r="N3534" s="169">
        <f>IFERROR(MATCH(J3534,'Final List'!$H$4:$H$252,0),0)</f>
        <v>0</v>
      </c>
      <c r="O3534" s="169">
        <f>IFERROR(MATCH(J3534,'Final List'!$J$4:$J$252,0),0)</f>
        <v>0</v>
      </c>
      <c r="P3534" s="169">
        <f>IFERROR(MATCH(J3534,'Final List'!$L$4:$L$252,0),0)</f>
        <v>0</v>
      </c>
      <c r="Q3534" s="169">
        <f>IFERROR(MATCH(J3534,'Final List'!$N$4:$N$252,0),0)</f>
        <v>0</v>
      </c>
      <c r="R3534" s="169">
        <f>IFERROR(MATCH(J3534,'Final List'!$P$4:$P$252,0),0)</f>
        <v>0</v>
      </c>
      <c r="S3534" s="169">
        <f t="shared" si="222"/>
        <v>0</v>
      </c>
      <c r="V3534" s="169" t="str">
        <f t="shared" si="224"/>
        <v>NITRO CC</v>
      </c>
      <c r="W3534" s="169" t="s">
        <v>8898</v>
      </c>
    </row>
    <row r="3535" spans="2:23" x14ac:dyDescent="0.25">
      <c r="B3535" s="169" t="s">
        <v>8904</v>
      </c>
      <c r="C3535" s="169" t="s">
        <v>87</v>
      </c>
      <c r="D3535" s="169" t="s">
        <v>10459</v>
      </c>
      <c r="E3535" s="169" t="s">
        <v>13813</v>
      </c>
      <c r="F3535" s="245" t="str">
        <f>IF(OR(E3535="XCN",E3535="DE",E3535="DW",E3535="DN",E3535="XCS",E3535="XCE",E3535="XCW",E3535="SUMP",E3535="BYPASS",E3535="CHAMBER",E3535="DRAIN HOLE",E3535="DRILLING CHAMBER",E3535="DE_ISL",E3535="DW_ISL",E3535="REHAB",E3535="MAINLINE_CLEANING"),"Dhoz 71",IF(OR(E3535="RAISE",E3535="RAISE_ISL"),"DVR 72",IF(E3535="ALIMAK","DVA 73",IF(E3535="WINZE","DVW 74",IF(E3535="SHAFT","DVS 75",IF(AND(E3535="WINZE STOPE",T3535="S"),"RobC 80",IF(AND(E3535="STOPE",T3535="S"),"StpS 77",IF(AND(E3535="WINZE STOPE",T3535="L"),"RobC 80",IF(AND(E3535="STOPE",T3535="L"),"StpL 78",IF(AND(E3535="WINZE STOPE PREP",T3535="S"),"RobC 80",IF(AND(E3535="STOPE PREP",T3535="S"),"StpS 77",IF(AND(E3535="WINZE STOPE PREP",T3535="L"),"RobC 80",IF(AND(E3535="STOPE PREP",T3535="L"),"StpL 78",IF(AND(E3535="ROBBING",T3535="L"),"RobC 80",IF(AND(E3535="ROBBING",T3535="S"),"RobS 79",0)))))))))))))))</f>
        <v>Dhoz 71</v>
      </c>
      <c r="G3535" s="169" t="s">
        <v>11449</v>
      </c>
      <c r="I3535" s="169" t="str">
        <f t="shared" si="223"/>
        <v>L03_NONE_045W_MAINLINE_CLEANING</v>
      </c>
      <c r="J3535" s="169" t="s">
        <v>13811</v>
      </c>
      <c r="K3535" s="169">
        <f>IFERROR(MATCH(J3535,'Final List'!$B$4:$B$252,0),0)</f>
        <v>0</v>
      </c>
      <c r="L3535" s="169">
        <f>IFERROR(MATCH(J3535,'Final List'!$D$4:$D$252,0),0)</f>
        <v>0</v>
      </c>
      <c r="M3535" s="169">
        <f>IFERROR(MATCH(J3535,'Final List'!$F$4:$F$251,0),0)</f>
        <v>0</v>
      </c>
      <c r="N3535" s="169">
        <f>IFERROR(MATCH(J3535,'Final List'!$H$4:$H$252,0),0)</f>
        <v>0</v>
      </c>
      <c r="O3535" s="169">
        <f>IFERROR(MATCH(J3535,'Final List'!$J$4:$J$252,0),0)</f>
        <v>0</v>
      </c>
      <c r="P3535" s="169">
        <f>IFERROR(MATCH(J3535,'Final List'!$L$4:$L$252,0),0)</f>
        <v>0</v>
      </c>
      <c r="Q3535" s="169">
        <f>IFERROR(MATCH(J3535,'Final List'!$N$4:$N$252,0),0)</f>
        <v>0</v>
      </c>
      <c r="R3535" s="169">
        <f>IFERROR(MATCH(J3535,'Final List'!$P$4:$P$252,0),0)</f>
        <v>0</v>
      </c>
      <c r="S3535" s="169">
        <f t="shared" si="222"/>
        <v>0</v>
      </c>
      <c r="V3535" s="169" t="str">
        <f t="shared" si="224"/>
        <v>FERNANDEZ, RM</v>
      </c>
      <c r="W3535" s="169" t="s">
        <v>2714</v>
      </c>
    </row>
    <row r="3536" spans="2:23" x14ac:dyDescent="0.25">
      <c r="B3536" s="169" t="s">
        <v>1166</v>
      </c>
      <c r="C3536" s="169" t="s">
        <v>56</v>
      </c>
      <c r="D3536" s="169" t="s">
        <v>5975</v>
      </c>
      <c r="E3536" s="169" t="s">
        <v>60</v>
      </c>
      <c r="F3536" s="245" t="str">
        <f t="shared" si="221"/>
        <v>Dhoz 71</v>
      </c>
      <c r="G3536" s="169" t="s">
        <v>13816</v>
      </c>
      <c r="I3536" s="169" t="str">
        <f t="shared" si="223"/>
        <v>L11_GHVFW_028E_DE</v>
      </c>
      <c r="J3536" s="169" t="s">
        <v>13815</v>
      </c>
      <c r="K3536" s="169">
        <f>IFERROR(MATCH(J3536,'Final List'!$B$4:$B$252,0),0)</f>
        <v>0</v>
      </c>
      <c r="L3536" s="169">
        <f>IFERROR(MATCH(J3536,'Final List'!$D$4:$D$252,0),0)</f>
        <v>0</v>
      </c>
      <c r="M3536" s="169">
        <f>IFERROR(MATCH(J3536,'Final List'!$F$4:$F$251,0),0)</f>
        <v>0</v>
      </c>
      <c r="N3536" s="169">
        <f>IFERROR(MATCH(J3536,'Final List'!$H$4:$H$252,0),0)</f>
        <v>0</v>
      </c>
      <c r="O3536" s="169">
        <f>IFERROR(MATCH(J3536,'Final List'!$J$4:$J$252,0),0)</f>
        <v>0</v>
      </c>
      <c r="P3536" s="169">
        <f>IFERROR(MATCH(J3536,'Final List'!$L$4:$L$252,0),0)</f>
        <v>0</v>
      </c>
      <c r="Q3536" s="169">
        <f>IFERROR(MATCH(J3536,'Final List'!$N$4:$N$252,0),0)</f>
        <v>0</v>
      </c>
      <c r="R3536" s="169">
        <f>IFERROR(MATCH(J3536,'Final List'!$P$4:$P$252,0),0)</f>
        <v>0</v>
      </c>
      <c r="S3536" s="169">
        <f t="shared" si="222"/>
        <v>0</v>
      </c>
      <c r="V3536" s="169" t="str">
        <f t="shared" si="224"/>
        <v> MAPAYO</v>
      </c>
      <c r="W3536" s="169" t="s">
        <v>8896</v>
      </c>
    </row>
    <row r="3537" spans="2:23" x14ac:dyDescent="0.25">
      <c r="B3537" s="169" t="s">
        <v>1167</v>
      </c>
      <c r="C3537" s="169" t="s">
        <v>39</v>
      </c>
      <c r="D3537" s="169" t="s">
        <v>167</v>
      </c>
      <c r="E3537" s="169" t="s">
        <v>36</v>
      </c>
      <c r="F3537" s="245" t="str">
        <f t="shared" si="221"/>
        <v>StpS 77</v>
      </c>
      <c r="G3537" s="169" t="s">
        <v>14126</v>
      </c>
      <c r="I3537" s="169" t="str">
        <f t="shared" si="223"/>
        <v>L12_JVHW_058E_STOPE</v>
      </c>
      <c r="J3537" s="169" t="s">
        <v>13947</v>
      </c>
      <c r="K3537" s="169">
        <f>IFERROR(MATCH(J3537,'Final List'!$B$4:$B$252,0),0)</f>
        <v>0</v>
      </c>
      <c r="L3537" s="169">
        <f>IFERROR(MATCH(J3537,'Final List'!$D$4:$D$252,0),0)</f>
        <v>0</v>
      </c>
      <c r="M3537" s="169">
        <f>IFERROR(MATCH(J3537,'Final List'!$F$4:$F$251,0),0)</f>
        <v>0</v>
      </c>
      <c r="N3537" s="169">
        <f>IFERROR(MATCH(J3537,'Final List'!$H$4:$H$252,0),0)</f>
        <v>0</v>
      </c>
      <c r="O3537" s="169">
        <f>IFERROR(MATCH(J3537,'Final List'!$J$4:$J$252,0),0)</f>
        <v>0</v>
      </c>
      <c r="P3537" s="169">
        <f>IFERROR(MATCH(J3537,'Final List'!$L$4:$L$252,0),0)</f>
        <v>0</v>
      </c>
      <c r="Q3537" s="169">
        <f>IFERROR(MATCH(J3537,'Final List'!$N$4:$N$252,0),0)</f>
        <v>0</v>
      </c>
      <c r="R3537" s="169">
        <f>IFERROR(MATCH(J3537,'Final List'!$P$4:$P$252,0),0)</f>
        <v>0</v>
      </c>
      <c r="S3537" s="169">
        <f t="shared" si="222"/>
        <v>0</v>
      </c>
      <c r="T3537" s="169" t="s">
        <v>68</v>
      </c>
      <c r="V3537" s="169" t="str">
        <f t="shared" si="224"/>
        <v>HAGANAS</v>
      </c>
      <c r="W3537" s="169" t="s">
        <v>2713</v>
      </c>
    </row>
    <row r="3538" spans="2:23" x14ac:dyDescent="0.25">
      <c r="B3538" s="169" t="s">
        <v>95</v>
      </c>
      <c r="C3538" s="169" t="s">
        <v>45</v>
      </c>
      <c r="D3538" s="169" t="s">
        <v>100</v>
      </c>
      <c r="E3538" s="169" t="s">
        <v>60</v>
      </c>
      <c r="F3538" s="245" t="str">
        <f t="shared" si="221"/>
        <v>Dhoz 71</v>
      </c>
      <c r="G3538" s="169" t="s">
        <v>13664</v>
      </c>
      <c r="I3538" s="169" t="str">
        <f t="shared" si="223"/>
        <v>L08_DPVE_020W_DE</v>
      </c>
      <c r="J3538" s="169" t="s">
        <v>13820</v>
      </c>
      <c r="K3538" s="169">
        <f>IFERROR(MATCH(J3538,'Final List'!$B$4:$B$252,0),0)</f>
        <v>0</v>
      </c>
      <c r="L3538" s="169">
        <f>IFERROR(MATCH(J3538,'Final List'!$D$4:$D$252,0),0)</f>
        <v>0</v>
      </c>
      <c r="M3538" s="169">
        <f>IFERROR(MATCH(J3538,'Final List'!$F$4:$F$251,0),0)</f>
        <v>0</v>
      </c>
      <c r="N3538" s="169">
        <f>IFERROR(MATCH(J3538,'Final List'!$H$4:$H$252,0),0)</f>
        <v>0</v>
      </c>
      <c r="O3538" s="169">
        <f>IFERROR(MATCH(J3538,'Final List'!$J$4:$J$252,0),0)</f>
        <v>0</v>
      </c>
      <c r="P3538" s="169">
        <f>IFERROR(MATCH(J3538,'Final List'!$L$4:$L$252,0),0)</f>
        <v>0</v>
      </c>
      <c r="Q3538" s="169">
        <f>IFERROR(MATCH(J3538,'Final List'!$N$4:$N$252,0),0)</f>
        <v>0</v>
      </c>
      <c r="R3538" s="169">
        <f>IFERROR(MATCH(J3538,'Final List'!$P$4:$P$252,0),0)</f>
        <v>0</v>
      </c>
      <c r="S3538" s="169">
        <f t="shared" si="222"/>
        <v>0</v>
      </c>
      <c r="V3538" s="169" t="str">
        <f t="shared" si="224"/>
        <v>CAPUYAN 4</v>
      </c>
      <c r="W3538" s="169" t="s">
        <v>8895</v>
      </c>
    </row>
    <row r="3539" spans="2:23" x14ac:dyDescent="0.25">
      <c r="B3539" s="169" t="s">
        <v>258</v>
      </c>
      <c r="C3539" s="169" t="s">
        <v>57</v>
      </c>
      <c r="D3539" s="169" t="s">
        <v>166</v>
      </c>
      <c r="E3539" s="169" t="s">
        <v>221</v>
      </c>
      <c r="F3539" s="245" t="str">
        <f t="shared" si="221"/>
        <v>RobC 80</v>
      </c>
      <c r="G3539" s="169" t="s">
        <v>12409</v>
      </c>
      <c r="H3539" s="169" t="s">
        <v>5700</v>
      </c>
      <c r="I3539" s="169" t="str">
        <f t="shared" si="223"/>
        <v>L10_JVSPLIT_068E_WINZE STOPE</v>
      </c>
      <c r="J3539" s="169" t="s">
        <v>14004</v>
      </c>
      <c r="K3539" s="169">
        <f>IFERROR(MATCH(J3539,'Final List'!$B$4:$B$252,0),0)</f>
        <v>0</v>
      </c>
      <c r="L3539" s="169">
        <f>IFERROR(MATCH(J3539,'Final List'!$D$4:$D$252,0),0)</f>
        <v>0</v>
      </c>
      <c r="M3539" s="169">
        <f>IFERROR(MATCH(J3539,'Final List'!$F$4:$F$251,0),0)</f>
        <v>0</v>
      </c>
      <c r="N3539" s="169">
        <f>IFERROR(MATCH(J3539,'Final List'!$H$4:$H$252,0),0)</f>
        <v>0</v>
      </c>
      <c r="O3539" s="169">
        <f>IFERROR(MATCH(J3539,'Final List'!$J$4:$J$252,0),0)</f>
        <v>0</v>
      </c>
      <c r="P3539" s="169">
        <f>IFERROR(MATCH(J3539,'Final List'!$L$4:$L$252,0),0)</f>
        <v>0</v>
      </c>
      <c r="Q3539" s="169">
        <f>IFERROR(MATCH(J3539,'Final List'!$N$4:$N$252,0),0)</f>
        <v>0</v>
      </c>
      <c r="R3539" s="169">
        <f>IFERROR(MATCH(J3539,'Final List'!$P$4:$P$252,0),0)</f>
        <v>0</v>
      </c>
      <c r="S3539" s="169">
        <f t="shared" si="222"/>
        <v>0</v>
      </c>
      <c r="T3539" s="169" t="s">
        <v>68</v>
      </c>
      <c r="V3539" s="169" t="str">
        <f t="shared" si="224"/>
        <v>LARGO 1</v>
      </c>
      <c r="W3539" s="169" t="s">
        <v>2713</v>
      </c>
    </row>
    <row r="3540" spans="2:23" x14ac:dyDescent="0.25">
      <c r="B3540" s="169" t="s">
        <v>258</v>
      </c>
      <c r="C3540" s="169" t="s">
        <v>45</v>
      </c>
      <c r="D3540" s="169" t="s">
        <v>108</v>
      </c>
      <c r="E3540" s="169" t="s">
        <v>61</v>
      </c>
      <c r="F3540" s="245" t="str">
        <f t="shared" si="221"/>
        <v>Dhoz 71</v>
      </c>
      <c r="G3540" s="169" t="s">
        <v>12244</v>
      </c>
      <c r="H3540" s="169" t="s">
        <v>5701</v>
      </c>
      <c r="I3540" s="169" t="str">
        <f t="shared" si="223"/>
        <v>L10_DPVE_007W_DW</v>
      </c>
      <c r="J3540" s="169" t="s">
        <v>13826</v>
      </c>
      <c r="K3540" s="169">
        <f>IFERROR(MATCH(J3540,'Final List'!$B$4:$B$252,0),0)</f>
        <v>0</v>
      </c>
      <c r="L3540" s="169">
        <f>IFERROR(MATCH(J3540,'Final List'!$D$4:$D$252,0),0)</f>
        <v>0</v>
      </c>
      <c r="M3540" s="169">
        <f>IFERROR(MATCH(J3540,'Final List'!$F$4:$F$251,0),0)</f>
        <v>0</v>
      </c>
      <c r="N3540" s="169">
        <f>IFERROR(MATCH(J3540,'Final List'!$H$4:$H$252,0),0)</f>
        <v>0</v>
      </c>
      <c r="O3540" s="169">
        <f>IFERROR(MATCH(J3540,'Final List'!$J$4:$J$252,0),0)</f>
        <v>0</v>
      </c>
      <c r="P3540" s="169">
        <f>IFERROR(MATCH(J3540,'Final List'!$L$4:$L$252,0),0)</f>
        <v>0</v>
      </c>
      <c r="Q3540" s="169">
        <f>IFERROR(MATCH(J3540,'Final List'!$N$4:$N$252,0),0)</f>
        <v>0</v>
      </c>
      <c r="R3540" s="169">
        <f>IFERROR(MATCH(J3540,'Final List'!$P$4:$P$252,0),0)</f>
        <v>0</v>
      </c>
      <c r="S3540" s="169">
        <f t="shared" si="222"/>
        <v>0</v>
      </c>
      <c r="V3540" s="169" t="str">
        <f t="shared" si="224"/>
        <v>LARGO 2</v>
      </c>
      <c r="W3540" s="169" t="s">
        <v>8896</v>
      </c>
    </row>
    <row r="3541" spans="2:23" x14ac:dyDescent="0.25">
      <c r="B3541" s="169" t="s">
        <v>8904</v>
      </c>
      <c r="C3541" s="169" t="s">
        <v>42</v>
      </c>
      <c r="D3541" s="169" t="s">
        <v>98</v>
      </c>
      <c r="E3541" s="169" t="s">
        <v>62</v>
      </c>
      <c r="F3541" s="245" t="str">
        <f t="shared" si="221"/>
        <v>RobC 80</v>
      </c>
      <c r="G3541" s="169" t="s">
        <v>11449</v>
      </c>
      <c r="I3541" s="169" t="str">
        <f t="shared" si="223"/>
        <v>L03_JV_014W_ROBBING</v>
      </c>
      <c r="J3541" s="169" t="s">
        <v>13828</v>
      </c>
      <c r="K3541" s="169">
        <f>IFERROR(MATCH(J3541,'Final List'!$B$4:$B$252,0),0)</f>
        <v>0</v>
      </c>
      <c r="L3541" s="169">
        <f>IFERROR(MATCH(J3541,'Final List'!$D$4:$D$252,0),0)</f>
        <v>0</v>
      </c>
      <c r="M3541" s="169">
        <f>IFERROR(MATCH(J3541,'Final List'!$F$4:$F$251,0),0)</f>
        <v>0</v>
      </c>
      <c r="N3541" s="169">
        <f>IFERROR(MATCH(J3541,'Final List'!$H$4:$H$252,0),0)</f>
        <v>0</v>
      </c>
      <c r="O3541" s="169">
        <f>IFERROR(MATCH(J3541,'Final List'!$J$4:$J$252,0),0)</f>
        <v>0</v>
      </c>
      <c r="P3541" s="169">
        <f>IFERROR(MATCH(J3541,'Final List'!$L$4:$L$252,0),0)</f>
        <v>0</v>
      </c>
      <c r="Q3541" s="169">
        <f>IFERROR(MATCH(J3541,'Final List'!$N$4:$N$252,0),0)</f>
        <v>0</v>
      </c>
      <c r="R3541" s="169">
        <f>IFERROR(MATCH(J3541,'Final List'!$P$4:$P$252,0),0)</f>
        <v>0</v>
      </c>
      <c r="S3541" s="169">
        <f t="shared" si="222"/>
        <v>0</v>
      </c>
      <c r="T3541" s="169" t="s">
        <v>48</v>
      </c>
      <c r="V3541" s="169" t="str">
        <f t="shared" si="224"/>
        <v>FERNANDEZ, RM</v>
      </c>
      <c r="W3541" s="169" t="s">
        <v>236</v>
      </c>
    </row>
    <row r="3542" spans="2:23" ht="15.75" x14ac:dyDescent="0.25">
      <c r="B3542" s="169" t="s">
        <v>1167</v>
      </c>
      <c r="C3542" s="169" t="s">
        <v>45</v>
      </c>
      <c r="D3542" s="169" t="s">
        <v>130</v>
      </c>
      <c r="E3542" s="169" t="s">
        <v>19</v>
      </c>
      <c r="F3542" s="245" t="str">
        <f t="shared" si="221"/>
        <v>DVR 72</v>
      </c>
      <c r="G3542" s="107" t="s">
        <v>12945</v>
      </c>
      <c r="I3542" s="169" t="str">
        <f t="shared" si="223"/>
        <v>L12_DPVE_036E_RAISE</v>
      </c>
      <c r="J3542" s="169" t="s">
        <v>13830</v>
      </c>
      <c r="K3542" s="169">
        <f>IFERROR(MATCH(J3542,'Final List'!$B$4:$B$252,0),0)</f>
        <v>0</v>
      </c>
      <c r="L3542" s="169">
        <f>IFERROR(MATCH(J3542,'Final List'!$D$4:$D$252,0),0)</f>
        <v>0</v>
      </c>
      <c r="M3542" s="169">
        <f>IFERROR(MATCH(J3542,'Final List'!$F$4:$F$251,0),0)</f>
        <v>0</v>
      </c>
      <c r="N3542" s="169">
        <f>IFERROR(MATCH(J3542,'Final List'!$H$4:$H$252,0),0)</f>
        <v>0</v>
      </c>
      <c r="O3542" s="169">
        <f>IFERROR(MATCH(J3542,'Final List'!$J$4:$J$252,0),0)</f>
        <v>0</v>
      </c>
      <c r="P3542" s="169">
        <f>IFERROR(MATCH(J3542,'Final List'!$L$4:$L$252,0),0)</f>
        <v>0</v>
      </c>
      <c r="Q3542" s="169">
        <f>IFERROR(MATCH(J3542,'Final List'!$N$4:$N$252,0),0)</f>
        <v>0</v>
      </c>
      <c r="R3542" s="169">
        <f>IFERROR(MATCH(J3542,'Final List'!$P$4:$P$252,0),0)</f>
        <v>0</v>
      </c>
      <c r="S3542" s="169">
        <f t="shared" si="222"/>
        <v>0</v>
      </c>
      <c r="V3542" s="169" t="str">
        <f t="shared" si="224"/>
        <v>NITRO BM 2</v>
      </c>
      <c r="W3542" s="169" t="s">
        <v>2715</v>
      </c>
    </row>
    <row r="3543" spans="2:23" x14ac:dyDescent="0.25">
      <c r="B3543" s="169" t="s">
        <v>12320</v>
      </c>
      <c r="C3543" s="169" t="s">
        <v>38</v>
      </c>
      <c r="D3543" s="169" t="s">
        <v>143</v>
      </c>
      <c r="E3543" s="169" t="s">
        <v>61</v>
      </c>
      <c r="F3543" s="245" t="str">
        <f t="shared" si="221"/>
        <v>Dhoz 71</v>
      </c>
      <c r="G3543" s="169" t="s">
        <v>747</v>
      </c>
      <c r="I3543" s="169" t="str">
        <f t="shared" si="223"/>
        <v>L425_GHV_032E_DW</v>
      </c>
      <c r="J3543" s="169" t="s">
        <v>13832</v>
      </c>
      <c r="K3543" s="169">
        <f>IFERROR(MATCH(J3543,'Final List'!$B$4:$B$252,0),0)</f>
        <v>0</v>
      </c>
      <c r="L3543" s="169">
        <f>IFERROR(MATCH(J3543,'Final List'!$D$4:$D$252,0),0)</f>
        <v>0</v>
      </c>
      <c r="M3543" s="169">
        <f>IFERROR(MATCH(J3543,'Final List'!$F$4:$F$251,0),0)</f>
        <v>0</v>
      </c>
      <c r="N3543" s="169">
        <f>IFERROR(MATCH(J3543,'Final List'!$H$4:$H$252,0),0)</f>
        <v>0</v>
      </c>
      <c r="O3543" s="169">
        <f>IFERROR(MATCH(J3543,'Final List'!$J$4:$J$252,0),0)</f>
        <v>0</v>
      </c>
      <c r="P3543" s="169">
        <f>IFERROR(MATCH(J3543,'Final List'!$L$4:$L$252,0),0)</f>
        <v>0</v>
      </c>
      <c r="Q3543" s="169">
        <f>IFERROR(MATCH(J3543,'Final List'!$N$4:$N$252,0),0)</f>
        <v>0</v>
      </c>
      <c r="R3543" s="169">
        <f>IFERROR(MATCH(J3543,'Final List'!$P$4:$P$252,0),0)</f>
        <v>0</v>
      </c>
      <c r="S3543" s="169">
        <f t="shared" si="222"/>
        <v>0</v>
      </c>
      <c r="V3543" s="169" t="str">
        <f t="shared" si="224"/>
        <v>REBOTE</v>
      </c>
      <c r="W3543" s="169" t="s">
        <v>8896</v>
      </c>
    </row>
    <row r="3544" spans="2:23" x14ac:dyDescent="0.25">
      <c r="B3544" s="169" t="s">
        <v>96</v>
      </c>
      <c r="C3544" s="169" t="s">
        <v>87</v>
      </c>
      <c r="D3544" s="169" t="s">
        <v>7223</v>
      </c>
      <c r="E3544" s="169" t="s">
        <v>37</v>
      </c>
      <c r="F3544" s="245" t="str">
        <f t="shared" si="221"/>
        <v>Dhoz 71</v>
      </c>
      <c r="G3544" s="169" t="s">
        <v>6878</v>
      </c>
      <c r="I3544" s="169" t="str">
        <f t="shared" si="223"/>
        <v>L09_NONE_002E_XCN</v>
      </c>
      <c r="J3544" s="169" t="s">
        <v>13835</v>
      </c>
      <c r="K3544" s="169">
        <f>IFERROR(MATCH(J3544,'Final List'!$B$4:$B$252,0),0)</f>
        <v>0</v>
      </c>
      <c r="L3544" s="169">
        <f>IFERROR(MATCH(J3544,'Final List'!$D$4:$D$252,0),0)</f>
        <v>0</v>
      </c>
      <c r="M3544" s="169">
        <f>IFERROR(MATCH(J3544,'Final List'!$F$4:$F$251,0),0)</f>
        <v>0</v>
      </c>
      <c r="N3544" s="169">
        <f>IFERROR(MATCH(J3544,'Final List'!$H$4:$H$252,0),0)</f>
        <v>0</v>
      </c>
      <c r="O3544" s="169">
        <f>IFERROR(MATCH(J3544,'Final List'!$J$4:$J$252,0),0)</f>
        <v>0</v>
      </c>
      <c r="P3544" s="169">
        <f>IFERROR(MATCH(J3544,'Final List'!$L$4:$L$252,0),0)</f>
        <v>0</v>
      </c>
      <c r="Q3544" s="169">
        <f>IFERROR(MATCH(J3544,'Final List'!$N$4:$N$252,0),0)</f>
        <v>0</v>
      </c>
      <c r="R3544" s="169">
        <f>IFERROR(MATCH(J3544,'Final List'!$P$4:$P$252,0),0)</f>
        <v>0</v>
      </c>
      <c r="S3544" s="169">
        <f t="shared" si="222"/>
        <v>0</v>
      </c>
      <c r="V3544" s="169" t="str">
        <f t="shared" si="224"/>
        <v>BALANGHIG</v>
      </c>
      <c r="W3544" s="169" t="s">
        <v>8898</v>
      </c>
    </row>
    <row r="3545" spans="2:23" x14ac:dyDescent="0.25">
      <c r="B3545" s="169" t="s">
        <v>1167</v>
      </c>
      <c r="C3545" s="169" t="s">
        <v>43</v>
      </c>
      <c r="D3545" s="169" t="s">
        <v>166</v>
      </c>
      <c r="E3545" s="169" t="s">
        <v>61</v>
      </c>
      <c r="F3545" s="245" t="str">
        <f t="shared" si="221"/>
        <v>Dhoz 71</v>
      </c>
      <c r="G3545" s="169" t="s">
        <v>10002</v>
      </c>
      <c r="I3545" s="169" t="str">
        <f t="shared" si="223"/>
        <v>L12_GHVSPLIT_068E_DW</v>
      </c>
      <c r="J3545" s="169" t="s">
        <v>13837</v>
      </c>
      <c r="K3545" s="169">
        <f>IFERROR(MATCH(J3545,'Final List'!$B$4:$B$252,0),0)</f>
        <v>0</v>
      </c>
      <c r="L3545" s="169">
        <f>IFERROR(MATCH(J3545,'Final List'!$D$4:$D$252,0),0)</f>
        <v>0</v>
      </c>
      <c r="M3545" s="169">
        <f>IFERROR(MATCH(J3545,'Final List'!$F$4:$F$251,0),0)</f>
        <v>0</v>
      </c>
      <c r="N3545" s="169">
        <f>IFERROR(MATCH(J3545,'Final List'!$H$4:$H$252,0),0)</f>
        <v>0</v>
      </c>
      <c r="O3545" s="169">
        <f>IFERROR(MATCH(J3545,'Final List'!$J$4:$J$252,0),0)</f>
        <v>0</v>
      </c>
      <c r="P3545" s="169">
        <f>IFERROR(MATCH(J3545,'Final List'!$L$4:$L$252,0),0)</f>
        <v>0</v>
      </c>
      <c r="Q3545" s="169">
        <f>IFERROR(MATCH(J3545,'Final List'!$N$4:$N$252,0),0)</f>
        <v>0</v>
      </c>
      <c r="R3545" s="169">
        <f>IFERROR(MATCH(J3545,'Final List'!$P$4:$P$252,0),0)</f>
        <v>0</v>
      </c>
      <c r="S3545" s="169">
        <f t="shared" si="222"/>
        <v>0</v>
      </c>
      <c r="V3545" s="169" t="str">
        <f t="shared" si="224"/>
        <v>CAYMAN 3</v>
      </c>
      <c r="W3545" s="169" t="s">
        <v>8896</v>
      </c>
    </row>
    <row r="3546" spans="2:23" x14ac:dyDescent="0.25">
      <c r="B3546" s="169" t="s">
        <v>95</v>
      </c>
      <c r="C3546" s="169" t="s">
        <v>56</v>
      </c>
      <c r="D3546" s="169" t="s">
        <v>5975</v>
      </c>
      <c r="E3546" s="169" t="s">
        <v>19</v>
      </c>
      <c r="F3546" s="245" t="str">
        <f t="shared" si="221"/>
        <v>DVR 72</v>
      </c>
      <c r="G3546" s="169" t="s">
        <v>13666</v>
      </c>
      <c r="I3546" s="169" t="str">
        <f t="shared" si="223"/>
        <v>L08_GHVFW_028E_RAISE</v>
      </c>
      <c r="J3546" s="169" t="s">
        <v>13839</v>
      </c>
      <c r="K3546" s="169">
        <f>IFERROR(MATCH(J3546,'Final List'!$B$4:$B$252,0),0)</f>
        <v>0</v>
      </c>
      <c r="L3546" s="169">
        <f>IFERROR(MATCH(J3546,'Final List'!$D$4:$D$252,0),0)</f>
        <v>0</v>
      </c>
      <c r="M3546" s="169">
        <f>IFERROR(MATCH(J3546,'Final List'!$F$4:$F$251,0),0)</f>
        <v>0</v>
      </c>
      <c r="N3546" s="169">
        <f>IFERROR(MATCH(J3546,'Final List'!$H$4:$H$252,0),0)</f>
        <v>0</v>
      </c>
      <c r="O3546" s="169">
        <f>IFERROR(MATCH(J3546,'Final List'!$J$4:$J$252,0),0)</f>
        <v>0</v>
      </c>
      <c r="P3546" s="169">
        <f>IFERROR(MATCH(J3546,'Final List'!$L$4:$L$252,0),0)</f>
        <v>0</v>
      </c>
      <c r="Q3546" s="169">
        <f>IFERROR(MATCH(J3546,'Final List'!$N$4:$N$252,0),0)</f>
        <v>0</v>
      </c>
      <c r="R3546" s="169">
        <f>IFERROR(MATCH(J3546,'Final List'!$P$4:$P$252,0),0)</f>
        <v>0</v>
      </c>
      <c r="S3546" s="169">
        <f t="shared" si="222"/>
        <v>0</v>
      </c>
      <c r="V3546" s="169" t="str">
        <f t="shared" si="224"/>
        <v>NITRO BZ 1</v>
      </c>
      <c r="W3546" s="169" t="s">
        <v>2715</v>
      </c>
    </row>
    <row r="3547" spans="2:23" x14ac:dyDescent="0.25">
      <c r="B3547" s="169" t="s">
        <v>1166</v>
      </c>
      <c r="C3547" s="169" t="s">
        <v>87</v>
      </c>
      <c r="D3547" s="169" t="s">
        <v>13845</v>
      </c>
      <c r="E3547" s="169" t="s">
        <v>72</v>
      </c>
      <c r="F3547" s="245" t="str">
        <f t="shared" si="221"/>
        <v>Dhoz 71</v>
      </c>
      <c r="G3547" s="169" t="s">
        <v>12070</v>
      </c>
      <c r="I3547" s="169" t="str">
        <f t="shared" si="223"/>
        <v>L11_NONE_08W_CHAMBER</v>
      </c>
      <c r="J3547" s="169" t="s">
        <v>13846</v>
      </c>
      <c r="K3547" s="169">
        <f>IFERROR(MATCH(J3547,'Final List'!$B$4:$B$252,0),0)</f>
        <v>0</v>
      </c>
      <c r="L3547" s="169">
        <f>IFERROR(MATCH(J3547,'Final List'!$D$4:$D$252,0),0)</f>
        <v>0</v>
      </c>
      <c r="M3547" s="169">
        <f>IFERROR(MATCH(J3547,'Final List'!$F$4:$F$251,0),0)</f>
        <v>0</v>
      </c>
      <c r="N3547" s="169">
        <f>IFERROR(MATCH(J3547,'Final List'!$H$4:$H$252,0),0)</f>
        <v>0</v>
      </c>
      <c r="O3547" s="169">
        <f>IFERROR(MATCH(J3547,'Final List'!$J$4:$J$252,0),0)</f>
        <v>0</v>
      </c>
      <c r="P3547" s="169">
        <f>IFERROR(MATCH(J3547,'Final List'!$L$4:$L$252,0),0)</f>
        <v>0</v>
      </c>
      <c r="Q3547" s="169">
        <f>IFERROR(MATCH(J3547,'Final List'!$N$4:$N$252,0),0)</f>
        <v>0</v>
      </c>
      <c r="R3547" s="169">
        <f>IFERROR(MATCH(J3547,'Final List'!$P$4:$P$252,0),0)</f>
        <v>0</v>
      </c>
      <c r="S3547" s="169">
        <f t="shared" si="222"/>
        <v>0</v>
      </c>
      <c r="V3547" s="169" t="str">
        <f t="shared" si="224"/>
        <v>NITRO BB</v>
      </c>
      <c r="W3547" s="169" t="s">
        <v>2714</v>
      </c>
    </row>
    <row r="3548" spans="2:23" x14ac:dyDescent="0.25">
      <c r="B3548" s="169" t="s">
        <v>1167</v>
      </c>
      <c r="C3548" s="169" t="s">
        <v>45</v>
      </c>
      <c r="D3548" s="169" t="s">
        <v>170</v>
      </c>
      <c r="E3548" s="169" t="s">
        <v>61</v>
      </c>
      <c r="F3548" s="245" t="str">
        <f t="shared" si="221"/>
        <v>Dhoz 71</v>
      </c>
      <c r="G3548" s="169" t="s">
        <v>13633</v>
      </c>
      <c r="I3548" s="169" t="str">
        <f t="shared" si="223"/>
        <v>L12_DPVE_071E_DW</v>
      </c>
      <c r="J3548" s="169" t="s">
        <v>13860</v>
      </c>
      <c r="K3548" s="169">
        <f>IFERROR(MATCH(J3548,'Final List'!$B$4:$B$252,0),0)</f>
        <v>0</v>
      </c>
      <c r="L3548" s="169">
        <f>IFERROR(MATCH(J3548,'Final List'!$D$4:$D$252,0),0)</f>
        <v>0</v>
      </c>
      <c r="M3548" s="169">
        <f>IFERROR(MATCH(J3548,'Final List'!$F$4:$F$251,0),0)</f>
        <v>0</v>
      </c>
      <c r="N3548" s="169">
        <f>IFERROR(MATCH(J3548,'Final List'!$H$4:$H$252,0),0)</f>
        <v>173</v>
      </c>
      <c r="O3548" s="169">
        <f>IFERROR(MATCH(J3548,'Final List'!$J$4:$J$252,0),0)</f>
        <v>0</v>
      </c>
      <c r="P3548" s="169">
        <f>IFERROR(MATCH(J3548,'Final List'!$L$4:$L$252,0),0)</f>
        <v>0</v>
      </c>
      <c r="Q3548" s="169">
        <f>IFERROR(MATCH(J3548,'Final List'!$N$4:$N$252,0),0)</f>
        <v>0</v>
      </c>
      <c r="R3548" s="169">
        <f>IFERROR(MATCH(J3548,'Final List'!$P$4:$P$252,0),0)</f>
        <v>0</v>
      </c>
      <c r="S3548" s="169">
        <f t="shared" si="222"/>
        <v>173</v>
      </c>
      <c r="V3548" s="169" t="str">
        <f t="shared" si="224"/>
        <v>CAYMAN</v>
      </c>
      <c r="W3548" s="169" t="s">
        <v>8896</v>
      </c>
    </row>
    <row r="3549" spans="2:23" x14ac:dyDescent="0.25">
      <c r="B3549" s="169" t="s">
        <v>1167</v>
      </c>
      <c r="C3549" s="169" t="s">
        <v>11298</v>
      </c>
      <c r="D3549" s="169" t="s">
        <v>180</v>
      </c>
      <c r="E3549" s="169" t="s">
        <v>61</v>
      </c>
      <c r="F3549" s="245" t="str">
        <f t="shared" si="221"/>
        <v>Dhoz 71</v>
      </c>
      <c r="G3549" s="169" t="s">
        <v>6930</v>
      </c>
      <c r="I3549" s="169" t="str">
        <f t="shared" si="223"/>
        <v>L12_JVS_041E_DW</v>
      </c>
      <c r="J3549" s="169" t="s">
        <v>13855</v>
      </c>
      <c r="K3549" s="169">
        <f>IFERROR(MATCH(J3549,'Final List'!$B$4:$B$252,0),0)</f>
        <v>0</v>
      </c>
      <c r="L3549" s="169">
        <f>IFERROR(MATCH(J3549,'Final List'!$D$4:$D$252,0),0)</f>
        <v>0</v>
      </c>
      <c r="M3549" s="169">
        <f>IFERROR(MATCH(J3549,'Final List'!$F$4:$F$251,0),0)</f>
        <v>0</v>
      </c>
      <c r="N3549" s="169">
        <f>IFERROR(MATCH(J3549,'Final List'!$H$4:$H$252,0),0)</f>
        <v>0</v>
      </c>
      <c r="O3549" s="169">
        <f>IFERROR(MATCH(J3549,'Final List'!$J$4:$J$252,0),0)</f>
        <v>0</v>
      </c>
      <c r="P3549" s="169">
        <f>IFERROR(MATCH(J3549,'Final List'!$L$4:$L$252,0),0)</f>
        <v>0</v>
      </c>
      <c r="Q3549" s="169">
        <f>IFERROR(MATCH(J3549,'Final List'!$N$4:$N$252,0),0)</f>
        <v>0</v>
      </c>
      <c r="R3549" s="169">
        <f>IFERROR(MATCH(J3549,'Final List'!$P$4:$P$252,0),0)</f>
        <v>0</v>
      </c>
      <c r="S3549" s="169">
        <f t="shared" si="222"/>
        <v>0</v>
      </c>
      <c r="V3549" s="169" t="str">
        <f t="shared" si="224"/>
        <v>DUHIG, P1</v>
      </c>
      <c r="W3549" s="169" t="s">
        <v>8896</v>
      </c>
    </row>
    <row r="3550" spans="2:23" ht="15.75" x14ac:dyDescent="0.25">
      <c r="B3550" s="169" t="s">
        <v>258</v>
      </c>
      <c r="C3550" s="169" t="s">
        <v>38</v>
      </c>
      <c r="D3550" s="169" t="s">
        <v>5669</v>
      </c>
      <c r="E3550" s="169" t="s">
        <v>61</v>
      </c>
      <c r="F3550" s="245" t="str">
        <f t="shared" si="221"/>
        <v>Dhoz 71</v>
      </c>
      <c r="G3550" s="107" t="s">
        <v>13851</v>
      </c>
      <c r="I3550" s="169" t="str">
        <f t="shared" ref="I3550:I3562" si="225">CONCATENATE(B3550,"_",C3550,"_",D3550,"_",E3550)</f>
        <v>L10_GHV_027W_DW</v>
      </c>
      <c r="J3550" s="169" t="s">
        <v>13850</v>
      </c>
      <c r="K3550" s="169">
        <f>IFERROR(MATCH(J3550,'Final List'!$B$4:$B$252,0),0)</f>
        <v>0</v>
      </c>
      <c r="L3550" s="169">
        <f>IFERROR(MATCH(J3550,'Final List'!$D$4:$D$252,0),0)</f>
        <v>0</v>
      </c>
      <c r="M3550" s="169">
        <f>IFERROR(MATCH(J3550,'Final List'!$F$4:$F$251,0),0)</f>
        <v>0</v>
      </c>
      <c r="N3550" s="169">
        <f>IFERROR(MATCH(J3550,'Final List'!$H$4:$H$252,0),0)</f>
        <v>0</v>
      </c>
      <c r="O3550" s="169">
        <f>IFERROR(MATCH(J3550,'Final List'!$J$4:$J$252,0),0)</f>
        <v>0</v>
      </c>
      <c r="P3550" s="169">
        <f>IFERROR(MATCH(J3550,'Final List'!$L$4:$L$252,0),0)</f>
        <v>0</v>
      </c>
      <c r="Q3550" s="169">
        <f>IFERROR(MATCH(J3550,'Final List'!$N$4:$N$252,0),0)</f>
        <v>0</v>
      </c>
      <c r="R3550" s="169">
        <f>IFERROR(MATCH(J3550,'Final List'!$P$4:$P$252,0),0)</f>
        <v>0</v>
      </c>
      <c r="S3550" s="169">
        <f t="shared" si="222"/>
        <v>0</v>
      </c>
      <c r="V3550" s="169" t="str">
        <f t="shared" si="224"/>
        <v>NITRO CC 1</v>
      </c>
      <c r="W3550" s="169" t="s">
        <v>8896</v>
      </c>
    </row>
    <row r="3551" spans="2:23" x14ac:dyDescent="0.25">
      <c r="B3551" s="169" t="s">
        <v>1166</v>
      </c>
      <c r="C3551" s="169" t="s">
        <v>59</v>
      </c>
      <c r="D3551" s="169" t="s">
        <v>226</v>
      </c>
      <c r="E3551" s="169" t="s">
        <v>61</v>
      </c>
      <c r="F3551" s="245" t="str">
        <f t="shared" si="221"/>
        <v>Dhoz 71</v>
      </c>
      <c r="G3551" s="169" t="s">
        <v>4068</v>
      </c>
      <c r="I3551" s="169" t="str">
        <f t="shared" si="225"/>
        <v>L11_GHVHW_074E_DW</v>
      </c>
      <c r="J3551" s="169" t="s">
        <v>13852</v>
      </c>
      <c r="K3551" s="169">
        <f>IFERROR(MATCH(J3551,'Final List'!$B$4:$B$252,0),0)</f>
        <v>0</v>
      </c>
      <c r="L3551" s="169">
        <f>IFERROR(MATCH(J3551,'Final List'!$D$4:$D$252,0),0)</f>
        <v>0</v>
      </c>
      <c r="M3551" s="169">
        <f>IFERROR(MATCH(J3551,'Final List'!$F$4:$F$251,0),0)</f>
        <v>0</v>
      </c>
      <c r="N3551" s="169">
        <f>IFERROR(MATCH(J3551,'Final List'!$H$4:$H$252,0),0)</f>
        <v>0</v>
      </c>
      <c r="O3551" s="169">
        <f>IFERROR(MATCH(J3551,'Final List'!$J$4:$J$252,0),0)</f>
        <v>0</v>
      </c>
      <c r="P3551" s="169">
        <f>IFERROR(MATCH(J3551,'Final List'!$L$4:$L$252,0),0)</f>
        <v>0</v>
      </c>
      <c r="Q3551" s="169">
        <f>IFERROR(MATCH(J3551,'Final List'!$N$4:$N$252,0),0)</f>
        <v>0</v>
      </c>
      <c r="R3551" s="169">
        <f>IFERROR(MATCH(J3551,'Final List'!$P$4:$P$252,0),0)</f>
        <v>0</v>
      </c>
      <c r="S3551" s="169">
        <f t="shared" si="222"/>
        <v>0</v>
      </c>
      <c r="V3551" s="169" t="str">
        <f t="shared" si="224"/>
        <v>MAPAYO</v>
      </c>
      <c r="W3551" s="169" t="s">
        <v>8896</v>
      </c>
    </row>
    <row r="3552" spans="2:23" x14ac:dyDescent="0.25">
      <c r="B3552" s="169" t="s">
        <v>1166</v>
      </c>
      <c r="C3552" s="169" t="s">
        <v>39</v>
      </c>
      <c r="D3552" s="169" t="s">
        <v>6983</v>
      </c>
      <c r="E3552" s="169" t="s">
        <v>60</v>
      </c>
      <c r="F3552" s="245" t="str">
        <f t="shared" si="221"/>
        <v>Dhoz 71</v>
      </c>
      <c r="G3552" s="169" t="s">
        <v>341</v>
      </c>
      <c r="I3552" s="169" t="str">
        <f t="shared" si="225"/>
        <v>L11_JVHW_001E_DE</v>
      </c>
      <c r="J3552" s="169" t="s">
        <v>13858</v>
      </c>
      <c r="K3552" s="169">
        <f>IFERROR(MATCH(J3552,'Final List'!$B$4:$B$252,0),0)</f>
        <v>0</v>
      </c>
      <c r="L3552" s="169">
        <f>IFERROR(MATCH(J3552,'Final List'!$D$4:$D$252,0),0)</f>
        <v>0</v>
      </c>
      <c r="M3552" s="169">
        <f>IFERROR(MATCH(J3552,'Final List'!$F$4:$F$251,0),0)</f>
        <v>0</v>
      </c>
      <c r="N3552" s="169">
        <f>IFERROR(MATCH(J3552,'Final List'!$H$4:$H$252,0),0)</f>
        <v>0</v>
      </c>
      <c r="O3552" s="169">
        <f>IFERROR(MATCH(J3552,'Final List'!$J$4:$J$252,0),0)</f>
        <v>0</v>
      </c>
      <c r="P3552" s="169">
        <f>IFERROR(MATCH(J3552,'Final List'!$L$4:$L$252,0),0)</f>
        <v>0</v>
      </c>
      <c r="Q3552" s="169">
        <f>IFERROR(MATCH(J3552,'Final List'!$N$4:$N$252,0),0)</f>
        <v>0</v>
      </c>
      <c r="R3552" s="169">
        <f>IFERROR(MATCH(J3552,'Final List'!$P$4:$P$252,0),0)</f>
        <v>0</v>
      </c>
      <c r="S3552" s="169">
        <f t="shared" si="222"/>
        <v>0</v>
      </c>
      <c r="V3552" s="169" t="str">
        <f t="shared" si="224"/>
        <v>BADBADON 1</v>
      </c>
      <c r="W3552" s="169" t="s">
        <v>8896</v>
      </c>
    </row>
    <row r="3553" spans="2:23" x14ac:dyDescent="0.25">
      <c r="B3553" s="169" t="s">
        <v>96</v>
      </c>
      <c r="C3553" s="169" t="s">
        <v>38</v>
      </c>
      <c r="D3553" s="169" t="s">
        <v>5888</v>
      </c>
      <c r="E3553" s="169" t="s">
        <v>19</v>
      </c>
      <c r="F3553" s="245" t="str">
        <f t="shared" si="221"/>
        <v>DVR 72</v>
      </c>
      <c r="G3553" t="s">
        <v>5101</v>
      </c>
      <c r="I3553" s="169" t="str">
        <f t="shared" si="225"/>
        <v>L09_GHV_024W_RAISE</v>
      </c>
      <c r="J3553" s="169" t="s">
        <v>13859</v>
      </c>
      <c r="K3553" s="169">
        <f>IFERROR(MATCH(J3553,'Final List'!$B$4:$B$252,0),0)</f>
        <v>0</v>
      </c>
      <c r="L3553" s="169">
        <f>IFERROR(MATCH(J3553,'Final List'!$D$4:$D$252,0),0)</f>
        <v>0</v>
      </c>
      <c r="M3553" s="169">
        <f>IFERROR(MATCH(J3553,'Final List'!$F$4:$F$251,0),0)</f>
        <v>0</v>
      </c>
      <c r="N3553" s="169">
        <f>IFERROR(MATCH(J3553,'Final List'!$H$4:$H$252,0),0)</f>
        <v>0</v>
      </c>
      <c r="O3553" s="169">
        <f>IFERROR(MATCH(J3553,'Final List'!$J$4:$J$252,0),0)</f>
        <v>0</v>
      </c>
      <c r="P3553" s="169">
        <f>IFERROR(MATCH(J3553,'Final List'!$L$4:$L$252,0),0)</f>
        <v>0</v>
      </c>
      <c r="Q3553" s="169">
        <f>IFERROR(MATCH(J3553,'Final List'!$N$4:$N$252,0),0)</f>
        <v>0</v>
      </c>
      <c r="R3553" s="169">
        <f>IFERROR(MATCH(J3553,'Final List'!$P$4:$P$252,0),0)</f>
        <v>0</v>
      </c>
      <c r="S3553" s="169">
        <f t="shared" si="222"/>
        <v>0</v>
      </c>
      <c r="V3553" s="169" t="str">
        <f t="shared" si="224"/>
        <v>DELOS REYES V3</v>
      </c>
      <c r="W3553" s="169" t="s">
        <v>2715</v>
      </c>
    </row>
    <row r="3554" spans="2:23" x14ac:dyDescent="0.25">
      <c r="B3554" s="169" t="s">
        <v>95</v>
      </c>
      <c r="C3554" s="169" t="s">
        <v>38</v>
      </c>
      <c r="D3554" s="169" t="s">
        <v>176</v>
      </c>
      <c r="E3554" s="169" t="s">
        <v>62</v>
      </c>
      <c r="F3554" s="245" t="str">
        <f t="shared" si="221"/>
        <v>RobS 79</v>
      </c>
      <c r="G3554" s="169" t="s">
        <v>1507</v>
      </c>
      <c r="I3554" s="169" t="str">
        <f t="shared" si="225"/>
        <v>L08_GHV_057E_ROBBING</v>
      </c>
      <c r="J3554" s="169" t="s">
        <v>13864</v>
      </c>
      <c r="K3554" s="169">
        <f>IFERROR(MATCH(J3554,'Final List'!$B$4:$B$252,0),0)</f>
        <v>0</v>
      </c>
      <c r="L3554" s="169">
        <f>IFERROR(MATCH(J3554,'Final List'!$D$4:$D$252,0),0)</f>
        <v>0</v>
      </c>
      <c r="M3554" s="169">
        <f>IFERROR(MATCH(J3554,'Final List'!$F$4:$F$251,0),0)</f>
        <v>0</v>
      </c>
      <c r="N3554" s="169">
        <f>IFERROR(MATCH(J3554,'Final List'!$H$4:$H$252,0),0)</f>
        <v>0</v>
      </c>
      <c r="O3554" s="169">
        <f>IFERROR(MATCH(J3554,'Final List'!$J$4:$J$252,0),0)</f>
        <v>0</v>
      </c>
      <c r="P3554" s="169">
        <f>IFERROR(MATCH(J3554,'Final List'!$L$4:$L$252,0),0)</f>
        <v>0</v>
      </c>
      <c r="Q3554" s="169">
        <f>IFERROR(MATCH(J3554,'Final List'!$N$4:$N$252,0),0)</f>
        <v>0</v>
      </c>
      <c r="R3554" s="169">
        <f>IFERROR(MATCH(J3554,'Final List'!$P$4:$P$252,0),0)</f>
        <v>0</v>
      </c>
      <c r="S3554" s="169">
        <f t="shared" si="222"/>
        <v>0</v>
      </c>
      <c r="T3554" s="169" t="s">
        <v>68</v>
      </c>
      <c r="V3554" s="169" t="str">
        <f t="shared" si="224"/>
        <v>FERNANDEZ 1</v>
      </c>
      <c r="W3554" s="169" t="s">
        <v>2707</v>
      </c>
    </row>
    <row r="3555" spans="2:23" x14ac:dyDescent="0.25">
      <c r="B3555" s="169" t="s">
        <v>95</v>
      </c>
      <c r="C3555" s="169" t="s">
        <v>45</v>
      </c>
      <c r="D3555" s="169" t="s">
        <v>128</v>
      </c>
      <c r="E3555" s="169" t="s">
        <v>19</v>
      </c>
      <c r="F3555" s="245" t="str">
        <f t="shared" si="221"/>
        <v>DVR 72</v>
      </c>
      <c r="G3555" s="169" t="s">
        <v>12303</v>
      </c>
      <c r="H3555" s="169" t="s">
        <v>14379</v>
      </c>
      <c r="I3555" s="169" t="str">
        <f t="shared" si="225"/>
        <v>L08_DPVE_027E_RAISE</v>
      </c>
      <c r="J3555" s="169" t="s">
        <v>13867</v>
      </c>
      <c r="K3555" s="169">
        <f>IFERROR(MATCH(J3555,'Final List'!$B$4:$B$252,0),0)</f>
        <v>0</v>
      </c>
      <c r="L3555" s="169">
        <f>IFERROR(MATCH(J3555,'Final List'!$D$4:$D$252,0),0)</f>
        <v>0</v>
      </c>
      <c r="M3555" s="169">
        <f>IFERROR(MATCH(J3555,'Final List'!$F$4:$F$251,0),0)</f>
        <v>0</v>
      </c>
      <c r="N3555" s="169">
        <f>IFERROR(MATCH(J3555,'Final List'!$H$4:$H$252,0),0)</f>
        <v>0</v>
      </c>
      <c r="O3555" s="169">
        <f>IFERROR(MATCH(J3555,'Final List'!$J$4:$J$252,0),0)</f>
        <v>0</v>
      </c>
      <c r="P3555" s="169">
        <f>IFERROR(MATCH(J3555,'Final List'!$L$4:$L$252,0),0)</f>
        <v>0</v>
      </c>
      <c r="Q3555" s="169">
        <f>IFERROR(MATCH(J3555,'Final List'!$N$4:$N$252,0),0)</f>
        <v>0</v>
      </c>
      <c r="R3555" s="169">
        <f>IFERROR(MATCH(J3555,'Final List'!$P$4:$P$252,0),0)</f>
        <v>0</v>
      </c>
      <c r="S3555" s="169">
        <f t="shared" si="222"/>
        <v>0</v>
      </c>
      <c r="V3555" s="169" t="str">
        <f t="shared" si="224"/>
        <v>NITRO CF 3</v>
      </c>
      <c r="W3555" s="169" t="s">
        <v>2715</v>
      </c>
    </row>
    <row r="3556" spans="2:23" x14ac:dyDescent="0.25">
      <c r="B3556" s="169" t="s">
        <v>1166</v>
      </c>
      <c r="C3556" s="169" t="s">
        <v>87</v>
      </c>
      <c r="D3556" s="169" t="s">
        <v>9971</v>
      </c>
      <c r="E3556" s="169" t="s">
        <v>37</v>
      </c>
      <c r="F3556" s="245" t="str">
        <f t="shared" si="221"/>
        <v>Dhoz 71</v>
      </c>
      <c r="G3556" s="169" t="s">
        <v>341</v>
      </c>
      <c r="I3556" s="169" t="str">
        <f t="shared" si="225"/>
        <v>L11_NONE_096E_XCN</v>
      </c>
      <c r="J3556" s="169" t="s">
        <v>14619</v>
      </c>
      <c r="K3556" s="169">
        <f>IFERROR(MATCH(J3556,'Final List'!$B$4:$B$252,0),0)</f>
        <v>0</v>
      </c>
      <c r="L3556" s="169">
        <f>IFERROR(MATCH(J3556,'Final List'!$D$4:$D$252,0),0)</f>
        <v>0</v>
      </c>
      <c r="M3556" s="169">
        <f>IFERROR(MATCH(J3556,'Final List'!$F$4:$F$251,0),0)</f>
        <v>0</v>
      </c>
      <c r="N3556" s="169">
        <f>IFERROR(MATCH(J3556,'Final List'!$H$4:$H$252,0),0)</f>
        <v>0</v>
      </c>
      <c r="O3556" s="169">
        <f>IFERROR(MATCH(J3556,'Final List'!$J$4:$J$252,0),0)</f>
        <v>0</v>
      </c>
      <c r="P3556" s="169">
        <f>IFERROR(MATCH(J3556,'Final List'!$L$4:$L$252,0),0)</f>
        <v>0</v>
      </c>
      <c r="Q3556" s="169">
        <f>IFERROR(MATCH(J3556,'Final List'!$N$4:$N$252,0),0)</f>
        <v>0</v>
      </c>
      <c r="R3556" s="169">
        <f>IFERROR(MATCH(J3556,'Final List'!$P$4:$P$252,0),0)</f>
        <v>0</v>
      </c>
      <c r="S3556" s="169">
        <f t="shared" si="222"/>
        <v>0</v>
      </c>
      <c r="V3556" s="169" t="str">
        <f t="shared" si="224"/>
        <v>BADBADON 1</v>
      </c>
      <c r="W3556" s="169" t="s">
        <v>8898</v>
      </c>
    </row>
    <row r="3557" spans="2:23" x14ac:dyDescent="0.25">
      <c r="B3557" s="169" t="s">
        <v>1166</v>
      </c>
      <c r="C3557" s="169" t="s">
        <v>45</v>
      </c>
      <c r="D3557" s="169" t="s">
        <v>10249</v>
      </c>
      <c r="E3557" s="169" t="s">
        <v>60</v>
      </c>
      <c r="F3557" s="245" t="str">
        <f t="shared" si="221"/>
        <v>Dhoz 71</v>
      </c>
      <c r="G3557" s="169" t="s">
        <v>4155</v>
      </c>
      <c r="H3557" s="169" t="s">
        <v>6954</v>
      </c>
      <c r="I3557" s="169" t="str">
        <f t="shared" si="225"/>
        <v>L11_DPVE_097E_DE</v>
      </c>
      <c r="J3557" s="169" t="s">
        <v>13870</v>
      </c>
      <c r="K3557" s="169">
        <f>IFERROR(MATCH(J3557,'Final List'!$B$4:$B$252,0),0)</f>
        <v>0</v>
      </c>
      <c r="L3557" s="169">
        <f>IFERROR(MATCH(J3557,'Final List'!$D$4:$D$252,0),0)</f>
        <v>0</v>
      </c>
      <c r="M3557" s="169">
        <f>IFERROR(MATCH(J3557,'Final List'!$F$4:$F$251,0),0)</f>
        <v>0</v>
      </c>
      <c r="N3557" s="169">
        <f>IFERROR(MATCH(J3557,'Final List'!$H$4:$H$252,0),0)</f>
        <v>0</v>
      </c>
      <c r="O3557" s="169">
        <f>IFERROR(MATCH(J3557,'Final List'!$J$4:$J$252,0),0)</f>
        <v>0</v>
      </c>
      <c r="P3557" s="169">
        <f>IFERROR(MATCH(J3557,'Final List'!$L$4:$L$252,0),0)</f>
        <v>0</v>
      </c>
      <c r="Q3557" s="169">
        <f>IFERROR(MATCH(J3557,'Final List'!$N$4:$N$252,0),0)</f>
        <v>0</v>
      </c>
      <c r="R3557" s="169">
        <f>IFERROR(MATCH(J3557,'Final List'!$P$4:$P$252,0),0)</f>
        <v>0</v>
      </c>
      <c r="S3557" s="169">
        <f t="shared" si="222"/>
        <v>0</v>
      </c>
      <c r="V3557" s="169" t="str">
        <f t="shared" si="224"/>
        <v>BADBADON</v>
      </c>
      <c r="W3557" s="169" t="s">
        <v>8896</v>
      </c>
    </row>
    <row r="3558" spans="2:23" x14ac:dyDescent="0.25">
      <c r="B3558" s="169" t="s">
        <v>96</v>
      </c>
      <c r="C3558" s="169" t="s">
        <v>38</v>
      </c>
      <c r="D3558" s="169" t="s">
        <v>101</v>
      </c>
      <c r="E3558" s="169" t="s">
        <v>61</v>
      </c>
      <c r="F3558" s="245" t="str">
        <f t="shared" si="221"/>
        <v>Dhoz 71</v>
      </c>
      <c r="G3558" t="s">
        <v>6621</v>
      </c>
      <c r="I3558" s="169" t="str">
        <f t="shared" si="225"/>
        <v>L09_GHV_023W_DW</v>
      </c>
      <c r="J3558" s="169" t="s">
        <v>13876</v>
      </c>
      <c r="K3558" s="169">
        <f>IFERROR(MATCH(J3558,'Final List'!$B$4:$B$252,0),0)</f>
        <v>0</v>
      </c>
      <c r="L3558" s="169">
        <f>IFERROR(MATCH(J3558,'Final List'!$D$4:$D$252,0),0)</f>
        <v>0</v>
      </c>
      <c r="M3558" s="169">
        <f>IFERROR(MATCH(J3558,'Final List'!$F$4:$F$251,0),0)</f>
        <v>0</v>
      </c>
      <c r="N3558" s="169">
        <f>IFERROR(MATCH(J3558,'Final List'!$H$4:$H$252,0),0)</f>
        <v>0</v>
      </c>
      <c r="O3558" s="169">
        <f>IFERROR(MATCH(J3558,'Final List'!$J$4:$J$252,0),0)</f>
        <v>0</v>
      </c>
      <c r="P3558" s="169">
        <f>IFERROR(MATCH(J3558,'Final List'!$L$4:$L$252,0),0)</f>
        <v>0</v>
      </c>
      <c r="Q3558" s="169">
        <f>IFERROR(MATCH(J3558,'Final List'!$N$4:$N$252,0),0)</f>
        <v>0</v>
      </c>
      <c r="R3558" s="169">
        <f>IFERROR(MATCH(J3558,'Final List'!$P$4:$P$252,0),0)</f>
        <v>0</v>
      </c>
      <c r="S3558" s="169">
        <f t="shared" si="222"/>
        <v>0</v>
      </c>
      <c r="V3558" s="169" t="str">
        <f t="shared" si="224"/>
        <v>DELOS REYES V1</v>
      </c>
      <c r="W3558" s="169" t="s">
        <v>8896</v>
      </c>
    </row>
    <row r="3559" spans="2:23" x14ac:dyDescent="0.25">
      <c r="B3559" s="169" t="s">
        <v>258</v>
      </c>
      <c r="C3559" s="169" t="s">
        <v>45</v>
      </c>
      <c r="D3559" s="169" t="s">
        <v>121</v>
      </c>
      <c r="E3559" s="169" t="s">
        <v>60</v>
      </c>
      <c r="F3559" s="245" t="str">
        <f t="shared" si="221"/>
        <v>Dhoz 71</v>
      </c>
      <c r="G3559" s="169" t="s">
        <v>5700</v>
      </c>
      <c r="I3559" s="169" t="str">
        <f t="shared" si="225"/>
        <v>L10_DPVE_022E_DE</v>
      </c>
      <c r="J3559" s="169" t="s">
        <v>13878</v>
      </c>
      <c r="K3559" s="169">
        <f>IFERROR(MATCH(J3559,'Final List'!$B$4:$B$252,0),0)</f>
        <v>0</v>
      </c>
      <c r="L3559" s="169">
        <f>IFERROR(MATCH(J3559,'Final List'!$D$4:$D$252,0),0)</f>
        <v>0</v>
      </c>
      <c r="M3559" s="169">
        <f>IFERROR(MATCH(J3559,'Final List'!$F$4:$F$251,0),0)</f>
        <v>0</v>
      </c>
      <c r="N3559" s="169">
        <f>IFERROR(MATCH(J3559,'Final List'!$H$4:$H$252,0),0)</f>
        <v>0</v>
      </c>
      <c r="O3559" s="169">
        <f>IFERROR(MATCH(J3559,'Final List'!$J$4:$J$252,0),0)</f>
        <v>0</v>
      </c>
      <c r="P3559" s="169">
        <f>IFERROR(MATCH(J3559,'Final List'!$L$4:$L$252,0),0)</f>
        <v>0</v>
      </c>
      <c r="Q3559" s="169">
        <f>IFERROR(MATCH(J3559,'Final List'!$N$4:$N$252,0),0)</f>
        <v>0</v>
      </c>
      <c r="R3559" s="169">
        <f>IFERROR(MATCH(J3559,'Final List'!$P$4:$P$252,0),0)</f>
        <v>0</v>
      </c>
      <c r="S3559" s="169">
        <f t="shared" si="222"/>
        <v>0</v>
      </c>
      <c r="V3559" s="169" t="str">
        <f t="shared" si="224"/>
        <v>LARGO 1</v>
      </c>
      <c r="W3559" s="169" t="s">
        <v>8896</v>
      </c>
    </row>
    <row r="3560" spans="2:23" x14ac:dyDescent="0.25">
      <c r="B3560" s="169" t="s">
        <v>95</v>
      </c>
      <c r="C3560" s="169" t="s">
        <v>57</v>
      </c>
      <c r="D3560" s="169" t="s">
        <v>104</v>
      </c>
      <c r="E3560" s="169" t="s">
        <v>36</v>
      </c>
      <c r="F3560" s="245" t="str">
        <f t="shared" si="221"/>
        <v>StpS 77</v>
      </c>
      <c r="G3560" s="169" t="s">
        <v>13664</v>
      </c>
      <c r="I3560" s="169" t="str">
        <f t="shared" si="225"/>
        <v>L08_JVSPLIT_029W_STOPE</v>
      </c>
      <c r="J3560" s="169" t="s">
        <v>13987</v>
      </c>
      <c r="K3560" s="169">
        <f>IFERROR(MATCH(J3560,'Final List'!$B$4:$B$252,0),0)</f>
        <v>0</v>
      </c>
      <c r="L3560" s="169">
        <f>IFERROR(MATCH(J3560,'Final List'!$D$4:$D$252,0),0)</f>
        <v>0</v>
      </c>
      <c r="M3560" s="169">
        <f>IFERROR(MATCH(J3560,'Final List'!$F$4:$F$251,0),0)</f>
        <v>0</v>
      </c>
      <c r="N3560" s="169">
        <f>IFERROR(MATCH(J3560,'Final List'!$H$4:$H$252,0),0)</f>
        <v>0</v>
      </c>
      <c r="O3560" s="169">
        <f>IFERROR(MATCH(J3560,'Final List'!$J$4:$J$252,0),0)</f>
        <v>0</v>
      </c>
      <c r="P3560" s="169">
        <f>IFERROR(MATCH(J3560,'Final List'!$L$4:$L$252,0),0)</f>
        <v>0</v>
      </c>
      <c r="Q3560" s="169">
        <f>IFERROR(MATCH(J3560,'Final List'!$N$4:$N$252,0),0)</f>
        <v>0</v>
      </c>
      <c r="R3560" s="169">
        <f>IFERROR(MATCH(J3560,'Final List'!$P$4:$P$252,0),0)</f>
        <v>0</v>
      </c>
      <c r="S3560" s="169">
        <f t="shared" si="222"/>
        <v>0</v>
      </c>
      <c r="T3560" s="169" t="s">
        <v>68</v>
      </c>
      <c r="V3560" s="169" t="str">
        <f t="shared" si="224"/>
        <v>CAPUYAN 4</v>
      </c>
      <c r="W3560" s="169" t="s">
        <v>2711</v>
      </c>
    </row>
    <row r="3561" spans="2:23" x14ac:dyDescent="0.25">
      <c r="B3561" s="169" t="s">
        <v>1166</v>
      </c>
      <c r="C3561" s="169" t="s">
        <v>39</v>
      </c>
      <c r="D3561" s="169" t="s">
        <v>110</v>
      </c>
      <c r="E3561" s="169" t="s">
        <v>60</v>
      </c>
      <c r="F3561" s="245" t="str">
        <f t="shared" si="221"/>
        <v>Dhoz 71</v>
      </c>
      <c r="G3561" s="169" t="s">
        <v>342</v>
      </c>
      <c r="I3561" s="169" t="str">
        <f t="shared" si="225"/>
        <v>L11_JVHW_004E_DE</v>
      </c>
      <c r="J3561" s="169" t="s">
        <v>13884</v>
      </c>
      <c r="K3561" s="169">
        <f>IFERROR(MATCH(J3561,'Final List'!$B$4:$B$252,0),0)</f>
        <v>0</v>
      </c>
      <c r="L3561" s="169">
        <f>IFERROR(MATCH(J3561,'Final List'!$D$4:$D$252,0),0)</f>
        <v>0</v>
      </c>
      <c r="M3561" s="169">
        <f>IFERROR(MATCH(J3561,'Final List'!$F$4:$F$251,0),0)</f>
        <v>0</v>
      </c>
      <c r="N3561" s="169">
        <f>IFERROR(MATCH(J3561,'Final List'!$H$4:$H$252,0),0)</f>
        <v>0</v>
      </c>
      <c r="O3561" s="169">
        <f>IFERROR(MATCH(J3561,'Final List'!$J$4:$J$252,0),0)</f>
        <v>0</v>
      </c>
      <c r="P3561" s="169">
        <f>IFERROR(MATCH(J3561,'Final List'!$L$4:$L$252,0),0)</f>
        <v>0</v>
      </c>
      <c r="Q3561" s="169">
        <f>IFERROR(MATCH(J3561,'Final List'!$N$4:$N$252,0),0)</f>
        <v>0</v>
      </c>
      <c r="R3561" s="169">
        <f>IFERROR(MATCH(J3561,'Final List'!$P$4:$P$252,0),0)</f>
        <v>0</v>
      </c>
      <c r="S3561" s="169">
        <f t="shared" si="222"/>
        <v>0</v>
      </c>
      <c r="V3561" s="169" t="str">
        <f t="shared" si="224"/>
        <v>BADBADON 2</v>
      </c>
      <c r="W3561" s="169" t="s">
        <v>8896</v>
      </c>
    </row>
    <row r="3562" spans="2:23" x14ac:dyDescent="0.25">
      <c r="B3562" s="169" t="s">
        <v>1166</v>
      </c>
      <c r="C3562" s="169" t="s">
        <v>43</v>
      </c>
      <c r="D3562" s="169" t="s">
        <v>112</v>
      </c>
      <c r="E3562" s="169" t="s">
        <v>61</v>
      </c>
      <c r="F3562" s="245" t="str">
        <f t="shared" si="221"/>
        <v>Dhoz 71</v>
      </c>
      <c r="G3562" s="169" t="s">
        <v>6980</v>
      </c>
      <c r="I3562" s="169" t="str">
        <f t="shared" si="225"/>
        <v>L11_GHVSPLIT_018E_DW</v>
      </c>
      <c r="J3562" s="169" t="s">
        <v>13885</v>
      </c>
      <c r="K3562" s="169">
        <f>IFERROR(MATCH(J3562,'Final List'!$B$4:$B$252,0),0)</f>
        <v>0</v>
      </c>
      <c r="L3562" s="169">
        <f>IFERROR(MATCH(J3562,'Final List'!$D$4:$D$252,0),0)</f>
        <v>0</v>
      </c>
      <c r="M3562" s="169">
        <f>IFERROR(MATCH(J3562,'Final List'!$F$4:$F$251,0),0)</f>
        <v>0</v>
      </c>
      <c r="N3562" s="169">
        <f>IFERROR(MATCH(J3562,'Final List'!$H$4:$H$252,0),0)</f>
        <v>0</v>
      </c>
      <c r="O3562" s="169">
        <f>IFERROR(MATCH(J3562,'Final List'!$J$4:$J$252,0),0)</f>
        <v>0</v>
      </c>
      <c r="P3562" s="169">
        <f>IFERROR(MATCH(J3562,'Final List'!$L$4:$L$252,0),0)</f>
        <v>0</v>
      </c>
      <c r="Q3562" s="169">
        <f>IFERROR(MATCH(J3562,'Final List'!$N$4:$N$252,0),0)</f>
        <v>0</v>
      </c>
      <c r="R3562" s="169">
        <f>IFERROR(MATCH(J3562,'Final List'!$P$4:$P$252,0),0)</f>
        <v>0</v>
      </c>
      <c r="S3562" s="169">
        <f t="shared" si="222"/>
        <v>0</v>
      </c>
      <c r="V3562" s="169" t="str">
        <f t="shared" si="224"/>
        <v>BADBADON 3</v>
      </c>
      <c r="W3562" s="169" t="s">
        <v>8896</v>
      </c>
    </row>
    <row r="3563" spans="2:23" x14ac:dyDescent="0.25">
      <c r="B3563" s="169" t="s">
        <v>12320</v>
      </c>
      <c r="C3563" s="169" t="s">
        <v>87</v>
      </c>
      <c r="D3563" s="169" t="s">
        <v>180</v>
      </c>
      <c r="E3563" s="169" t="s">
        <v>63</v>
      </c>
      <c r="F3563" s="245" t="str">
        <f t="shared" si="221"/>
        <v>Dhoz 71</v>
      </c>
      <c r="G3563" t="s">
        <v>1510</v>
      </c>
      <c r="I3563" s="169" t="str">
        <f t="shared" ref="I3563:I3587" si="226">CONCATENATE(B3563,"_",C3563,"_",D3563,"_",E3563)</f>
        <v>L425_NONE_041E_XCS</v>
      </c>
      <c r="J3563" s="169" t="s">
        <v>13887</v>
      </c>
      <c r="K3563" s="169">
        <f>IFERROR(MATCH(J3563,'Final List'!$B$4:$B$252,0),0)</f>
        <v>0</v>
      </c>
      <c r="L3563" s="169">
        <f>IFERROR(MATCH(J3563,'Final List'!$D$4:$D$252,0),0)</f>
        <v>0</v>
      </c>
      <c r="M3563" s="169">
        <f>IFERROR(MATCH(J3563,'Final List'!$F$4:$F$251,0),0)</f>
        <v>0</v>
      </c>
      <c r="N3563" s="169">
        <f>IFERROR(MATCH(J3563,'Final List'!$H$4:$H$252,0),0)</f>
        <v>0</v>
      </c>
      <c r="O3563" s="169">
        <f>IFERROR(MATCH(J3563,'Final List'!$J$4:$J$252,0),0)</f>
        <v>0</v>
      </c>
      <c r="P3563" s="169">
        <f>IFERROR(MATCH(J3563,'Final List'!$L$4:$L$252,0),0)</f>
        <v>0</v>
      </c>
      <c r="Q3563" s="169">
        <f>IFERROR(MATCH(J3563,'Final List'!$N$4:$N$252,0),0)</f>
        <v>0</v>
      </c>
      <c r="R3563" s="169">
        <f>IFERROR(MATCH(J3563,'Final List'!$P$4:$P$252,0),0)</f>
        <v>0</v>
      </c>
      <c r="S3563" s="169">
        <f t="shared" si="222"/>
        <v>0</v>
      </c>
      <c r="V3563" s="169" t="str">
        <f t="shared" si="224"/>
        <v>DELOS REYES</v>
      </c>
      <c r="W3563" s="169" t="s">
        <v>8898</v>
      </c>
    </row>
    <row r="3564" spans="2:23" x14ac:dyDescent="0.25">
      <c r="B3564" s="169" t="s">
        <v>12320</v>
      </c>
      <c r="C3564" s="169" t="s">
        <v>43</v>
      </c>
      <c r="D3564" s="169" t="s">
        <v>870</v>
      </c>
      <c r="E3564" s="169" t="s">
        <v>60</v>
      </c>
      <c r="F3564" s="245" t="str">
        <f t="shared" si="221"/>
        <v>Dhoz 71</v>
      </c>
      <c r="G3564" s="169" t="s">
        <v>1510</v>
      </c>
      <c r="I3564" s="169" t="str">
        <f t="shared" si="226"/>
        <v>L425_GHVSPLIT_073E_DE</v>
      </c>
      <c r="J3564" s="169" t="s">
        <v>14052</v>
      </c>
      <c r="K3564" s="169">
        <f>IFERROR(MATCH(J3564,'Final List'!$B$4:$B$252,0),0)</f>
        <v>0</v>
      </c>
      <c r="L3564" s="169">
        <f>IFERROR(MATCH(J3564,'Final List'!$D$4:$D$252,0),0)</f>
        <v>0</v>
      </c>
      <c r="M3564" s="169">
        <f>IFERROR(MATCH(J3564,'Final List'!$F$4:$F$251,0),0)</f>
        <v>0</v>
      </c>
      <c r="N3564" s="169">
        <f>IFERROR(MATCH(J3564,'Final List'!$H$4:$H$252,0),0)</f>
        <v>0</v>
      </c>
      <c r="O3564" s="169">
        <f>IFERROR(MATCH(J3564,'Final List'!$J$4:$J$252,0),0)</f>
        <v>0</v>
      </c>
      <c r="P3564" s="169">
        <f>IFERROR(MATCH(J3564,'Final List'!$L$4:$L$252,0),0)</f>
        <v>0</v>
      </c>
      <c r="Q3564" s="169">
        <f>IFERROR(MATCH(J3564,'Final List'!$N$4:$N$252,0),0)</f>
        <v>0</v>
      </c>
      <c r="R3564" s="169">
        <f>IFERROR(MATCH(J3564,'Final List'!$P$4:$P$252,0),0)</f>
        <v>0</v>
      </c>
      <c r="S3564" s="169">
        <f t="shared" si="222"/>
        <v>0</v>
      </c>
      <c r="V3564" s="169" t="str">
        <f t="shared" si="224"/>
        <v>DELOS REYES</v>
      </c>
      <c r="W3564" s="169" t="s">
        <v>8896</v>
      </c>
    </row>
    <row r="3565" spans="2:23" x14ac:dyDescent="0.25">
      <c r="B3565" s="169" t="s">
        <v>12320</v>
      </c>
      <c r="C3565" s="169" t="s">
        <v>45</v>
      </c>
      <c r="D3565" s="169" t="s">
        <v>144</v>
      </c>
      <c r="E3565" s="169" t="s">
        <v>60</v>
      </c>
      <c r="F3565" s="245" t="str">
        <f t="shared" si="221"/>
        <v>Dhoz 71</v>
      </c>
      <c r="G3565" s="169" t="s">
        <v>5705</v>
      </c>
      <c r="I3565" s="169" t="str">
        <f t="shared" si="226"/>
        <v>L425_DPVE_043E_DE</v>
      </c>
      <c r="J3565" s="169" t="s">
        <v>13890</v>
      </c>
      <c r="K3565" s="169">
        <f>IFERROR(MATCH(J3565,'Final List'!$B$4:$B$252,0),0)</f>
        <v>0</v>
      </c>
      <c r="L3565" s="169">
        <f>IFERROR(MATCH(J3565,'Final List'!$D$4:$D$252,0),0)</f>
        <v>0</v>
      </c>
      <c r="M3565" s="169">
        <f>IFERROR(MATCH(J3565,'Final List'!$F$4:$F$251,0),0)</f>
        <v>0</v>
      </c>
      <c r="N3565" s="169">
        <f>IFERROR(MATCH(J3565,'Final List'!$H$4:$H$252,0),0)</f>
        <v>0</v>
      </c>
      <c r="O3565" s="169">
        <f>IFERROR(MATCH(J3565,'Final List'!$J$4:$J$252,0),0)</f>
        <v>0</v>
      </c>
      <c r="P3565" s="169">
        <f>IFERROR(MATCH(J3565,'Final List'!$L$4:$L$252,0),0)</f>
        <v>0</v>
      </c>
      <c r="Q3565" s="169">
        <f>IFERROR(MATCH(J3565,'Final List'!$N$4:$N$252,0),0)</f>
        <v>0</v>
      </c>
      <c r="R3565" s="169">
        <f>IFERROR(MATCH(J3565,'Final List'!$P$4:$P$252,0),0)</f>
        <v>0</v>
      </c>
      <c r="S3565" s="169">
        <f t="shared" si="222"/>
        <v>0</v>
      </c>
      <c r="V3565" s="169" t="str">
        <f t="shared" si="224"/>
        <v>OLIVEROS 4</v>
      </c>
      <c r="W3565" s="169" t="s">
        <v>8896</v>
      </c>
    </row>
    <row r="3566" spans="2:23" x14ac:dyDescent="0.25">
      <c r="B3566" s="169" t="s">
        <v>12320</v>
      </c>
      <c r="C3566" s="169" t="s">
        <v>57</v>
      </c>
      <c r="D3566" s="169" t="s">
        <v>168</v>
      </c>
      <c r="E3566" s="169" t="s">
        <v>61</v>
      </c>
      <c r="F3566" s="245" t="str">
        <f t="shared" si="221"/>
        <v>Dhoz 71</v>
      </c>
      <c r="G3566" s="169" t="s">
        <v>389</v>
      </c>
      <c r="H3566" s="169" t="s">
        <v>390</v>
      </c>
      <c r="I3566" s="169" t="str">
        <f t="shared" si="226"/>
        <v>L425_JVSPLIT_047E_DW</v>
      </c>
      <c r="J3566" s="169" t="s">
        <v>14050</v>
      </c>
      <c r="K3566" s="169">
        <f>IFERROR(MATCH(J3566,'Final List'!$B$4:$B$252,0),0)</f>
        <v>0</v>
      </c>
      <c r="L3566" s="169">
        <f>IFERROR(MATCH(J3566,'Final List'!$D$4:$D$252,0),0)</f>
        <v>0</v>
      </c>
      <c r="M3566" s="169">
        <f>IFERROR(MATCH(J3566,'Final List'!$F$4:$F$251,0),0)</f>
        <v>0</v>
      </c>
      <c r="N3566" s="169">
        <f>IFERROR(MATCH(J3566,'Final List'!$H$4:$H$252,0),0)</f>
        <v>0</v>
      </c>
      <c r="O3566" s="169">
        <f>IFERROR(MATCH(J3566,'Final List'!$J$4:$J$252,0),0)</f>
        <v>0</v>
      </c>
      <c r="P3566" s="169">
        <f>IFERROR(MATCH(J3566,'Final List'!$L$4:$L$252,0),0)</f>
        <v>0</v>
      </c>
      <c r="Q3566" s="169">
        <f>IFERROR(MATCH(J3566,'Final List'!$N$4:$N$252,0),0)</f>
        <v>0</v>
      </c>
      <c r="R3566" s="169">
        <f>IFERROR(MATCH(J3566,'Final List'!$P$4:$P$252,0),0)</f>
        <v>0</v>
      </c>
      <c r="S3566" s="169">
        <f t="shared" si="222"/>
        <v>0</v>
      </c>
      <c r="V3566" s="169" t="str">
        <f t="shared" si="224"/>
        <v>CAPPUYO 2</v>
      </c>
      <c r="W3566" s="169" t="s">
        <v>8896</v>
      </c>
    </row>
    <row r="3567" spans="2:23" x14ac:dyDescent="0.25">
      <c r="B3567" s="169" t="s">
        <v>12320</v>
      </c>
      <c r="C3567" s="169" t="s">
        <v>39</v>
      </c>
      <c r="D3567" s="169" t="s">
        <v>172</v>
      </c>
      <c r="E3567" s="169" t="s">
        <v>36</v>
      </c>
      <c r="F3567" s="245" t="str">
        <f t="shared" si="221"/>
        <v>StpS 77</v>
      </c>
      <c r="G3567" s="169" t="s">
        <v>363</v>
      </c>
      <c r="I3567" s="169" t="str">
        <f t="shared" si="226"/>
        <v>L425_JVHW_045E_STOPE</v>
      </c>
      <c r="J3567" s="169" t="s">
        <v>13892</v>
      </c>
      <c r="K3567" s="169">
        <f>IFERROR(MATCH(J3567,'Final List'!$B$4:$B$252,0),0)</f>
        <v>0</v>
      </c>
      <c r="L3567" s="169">
        <f>IFERROR(MATCH(J3567,'Final List'!$D$4:$D$252,0),0)</f>
        <v>0</v>
      </c>
      <c r="M3567" s="169">
        <f>IFERROR(MATCH(J3567,'Final List'!$F$4:$F$251,0),0)</f>
        <v>0</v>
      </c>
      <c r="N3567" s="169">
        <f>IFERROR(MATCH(J3567,'Final List'!$H$4:$H$252,0),0)</f>
        <v>0</v>
      </c>
      <c r="O3567" s="169">
        <f>IFERROR(MATCH(J3567,'Final List'!$J$4:$J$252,0),0)</f>
        <v>0</v>
      </c>
      <c r="P3567" s="169">
        <f>IFERROR(MATCH(J3567,'Final List'!$L$4:$L$252,0),0)</f>
        <v>0</v>
      </c>
      <c r="Q3567" s="169">
        <f>IFERROR(MATCH(J3567,'Final List'!$N$4:$N$252,0),0)</f>
        <v>0</v>
      </c>
      <c r="R3567" s="169">
        <f>IFERROR(MATCH(J3567,'Final List'!$P$4:$P$252,0),0)</f>
        <v>0</v>
      </c>
      <c r="S3567" s="169">
        <f t="shared" si="222"/>
        <v>0</v>
      </c>
      <c r="T3567" s="169" t="s">
        <v>68</v>
      </c>
      <c r="V3567" s="169" t="str">
        <f t="shared" si="224"/>
        <v>BABOR 2</v>
      </c>
      <c r="W3567" s="169" t="s">
        <v>2713</v>
      </c>
    </row>
    <row r="3568" spans="2:23" x14ac:dyDescent="0.25">
      <c r="B3568" s="169" t="s">
        <v>12320</v>
      </c>
      <c r="C3568" s="169" t="s">
        <v>13764</v>
      </c>
      <c r="D3568" s="169" t="s">
        <v>289</v>
      </c>
      <c r="E3568" s="169" t="s">
        <v>19</v>
      </c>
      <c r="F3568" s="245" t="str">
        <f t="shared" si="221"/>
        <v>DVR 72</v>
      </c>
      <c r="G3568" s="169" t="s">
        <v>474</v>
      </c>
      <c r="I3568" s="169" t="str">
        <f t="shared" si="226"/>
        <v>L425_GHVS_059E_RAISE</v>
      </c>
      <c r="J3568" s="169" t="s">
        <v>13897</v>
      </c>
      <c r="K3568" s="169">
        <f>IFERROR(MATCH(J3568,'Final List'!$B$4:$B$252,0),0)</f>
        <v>0</v>
      </c>
      <c r="L3568" s="169">
        <f>IFERROR(MATCH(J3568,'Final List'!$D$4:$D$252,0),0)</f>
        <v>0</v>
      </c>
      <c r="M3568" s="169">
        <f>IFERROR(MATCH(J3568,'Final List'!$F$4:$F$251,0),0)</f>
        <v>0</v>
      </c>
      <c r="N3568" s="169">
        <f>IFERROR(MATCH(J3568,'Final List'!$H$4:$H$252,0),0)</f>
        <v>0</v>
      </c>
      <c r="O3568" s="169">
        <f>IFERROR(MATCH(J3568,'Final List'!$J$4:$J$252,0),0)</f>
        <v>0</v>
      </c>
      <c r="P3568" s="169">
        <f>IFERROR(MATCH(J3568,'Final List'!$L$4:$L$252,0),0)</f>
        <v>0</v>
      </c>
      <c r="Q3568" s="169">
        <f>IFERROR(MATCH(J3568,'Final List'!$N$4:$N$252,0),0)</f>
        <v>0</v>
      </c>
      <c r="R3568" s="169">
        <f>IFERROR(MATCH(J3568,'Final List'!$P$4:$P$252,0),0)</f>
        <v>0</v>
      </c>
      <c r="S3568" s="169">
        <f t="shared" si="222"/>
        <v>0</v>
      </c>
      <c r="V3568" s="169" t="str">
        <f t="shared" si="224"/>
        <v>TORMIS 1</v>
      </c>
      <c r="W3568" s="169" t="s">
        <v>2715</v>
      </c>
    </row>
    <row r="3569" spans="2:23" x14ac:dyDescent="0.25">
      <c r="B3569" s="169" t="s">
        <v>1166</v>
      </c>
      <c r="C3569" s="169" t="s">
        <v>45</v>
      </c>
      <c r="D3569" s="169" t="s">
        <v>5723</v>
      </c>
      <c r="E3569" s="169" t="s">
        <v>61</v>
      </c>
      <c r="F3569" s="245" t="str">
        <f t="shared" si="221"/>
        <v>Dhoz 71</v>
      </c>
      <c r="G3569" t="s">
        <v>6954</v>
      </c>
      <c r="I3569" s="169" t="str">
        <f t="shared" si="226"/>
        <v>L11_DPVE_046E_DW</v>
      </c>
      <c r="J3569" s="169" t="s">
        <v>13903</v>
      </c>
      <c r="K3569" s="169">
        <f>IFERROR(MATCH(J3569,'Final List'!$B$4:$B$252,0),0)</f>
        <v>0</v>
      </c>
      <c r="L3569" s="169">
        <f>IFERROR(MATCH(J3569,'Final List'!$D$4:$D$252,0),0)</f>
        <v>0</v>
      </c>
      <c r="M3569" s="169">
        <f>IFERROR(MATCH(J3569,'Final List'!$F$4:$F$251,0),0)</f>
        <v>0</v>
      </c>
      <c r="N3569" s="169">
        <f>IFERROR(MATCH(J3569,'Final List'!$H$4:$H$252,0),0)</f>
        <v>0</v>
      </c>
      <c r="O3569" s="169">
        <f>IFERROR(MATCH(J3569,'Final List'!$J$4:$J$252,0),0)</f>
        <v>0</v>
      </c>
      <c r="P3569" s="169">
        <f>IFERROR(MATCH(J3569,'Final List'!$L$4:$L$252,0),0)</f>
        <v>0</v>
      </c>
      <c r="Q3569" s="169">
        <f>IFERROR(MATCH(J3569,'Final List'!$N$4:$N$252,0),0)</f>
        <v>0</v>
      </c>
      <c r="R3569" s="169">
        <f>IFERROR(MATCH(J3569,'Final List'!$P$4:$P$252,0),0)</f>
        <v>0</v>
      </c>
      <c r="S3569" s="169">
        <f t="shared" si="222"/>
        <v>0</v>
      </c>
      <c r="V3569" s="169" t="str">
        <f t="shared" si="224"/>
        <v>BADBADON</v>
      </c>
      <c r="W3569" s="169" t="s">
        <v>8896</v>
      </c>
    </row>
    <row r="3570" spans="2:23" x14ac:dyDescent="0.25">
      <c r="B3570" s="169" t="s">
        <v>95</v>
      </c>
      <c r="C3570" s="169" t="s">
        <v>45</v>
      </c>
      <c r="D3570" s="169" t="s">
        <v>5612</v>
      </c>
      <c r="E3570" s="169" t="s">
        <v>6143</v>
      </c>
      <c r="F3570" s="245" t="str">
        <f t="shared" si="221"/>
        <v>Dhoz 71</v>
      </c>
      <c r="G3570" s="169" t="s">
        <v>526</v>
      </c>
      <c r="I3570" s="169" t="str">
        <f t="shared" si="226"/>
        <v>L08_DPVE_011W_DE_ISL</v>
      </c>
      <c r="J3570" s="169" t="s">
        <v>13983</v>
      </c>
      <c r="K3570" s="169">
        <f>IFERROR(MATCH(J3570,'Final List'!$B$4:$B$252,0),0)</f>
        <v>0</v>
      </c>
      <c r="L3570" s="169">
        <f>IFERROR(MATCH(J3570,'Final List'!$D$4:$D$252,0),0)</f>
        <v>0</v>
      </c>
      <c r="M3570" s="169">
        <f>IFERROR(MATCH(J3570,'Final List'!$F$4:$F$251,0),0)</f>
        <v>0</v>
      </c>
      <c r="N3570" s="169">
        <f>IFERROR(MATCH(J3570,'Final List'!$H$4:$H$252,0),0)</f>
        <v>0</v>
      </c>
      <c r="O3570" s="169">
        <f>IFERROR(MATCH(J3570,'Final List'!$J$4:$J$252,0),0)</f>
        <v>0</v>
      </c>
      <c r="P3570" s="169">
        <f>IFERROR(MATCH(J3570,'Final List'!$L$4:$L$252,0),0)</f>
        <v>0</v>
      </c>
      <c r="Q3570" s="169">
        <f>IFERROR(MATCH(J3570,'Final List'!$N$4:$N$252,0),0)</f>
        <v>0</v>
      </c>
      <c r="R3570" s="169">
        <f>IFERROR(MATCH(J3570,'Final List'!$P$4:$P$252,0),0)</f>
        <v>0</v>
      </c>
      <c r="S3570" s="169">
        <f t="shared" si="222"/>
        <v>0</v>
      </c>
      <c r="V3570" s="169" t="str">
        <f t="shared" si="224"/>
        <v>CARIKITAN 2</v>
      </c>
      <c r="W3570" s="169" t="s">
        <v>2708</v>
      </c>
    </row>
    <row r="3571" spans="2:23" x14ac:dyDescent="0.25">
      <c r="B3571" s="169" t="s">
        <v>1166</v>
      </c>
      <c r="C3571" s="169" t="s">
        <v>59</v>
      </c>
      <c r="D3571" s="169" t="s">
        <v>6864</v>
      </c>
      <c r="E3571" s="169" t="s">
        <v>61</v>
      </c>
      <c r="F3571" s="245" t="str">
        <f t="shared" si="221"/>
        <v>Dhoz 71</v>
      </c>
      <c r="G3571" s="169" t="s">
        <v>6954</v>
      </c>
      <c r="I3571" s="169" t="str">
        <f t="shared" si="226"/>
        <v>L11_GHVHW_006E_DW</v>
      </c>
      <c r="J3571" s="169" t="s">
        <v>13905</v>
      </c>
      <c r="K3571" s="169">
        <f>IFERROR(MATCH(J3571,'Final List'!$B$4:$B$252,0),0)</f>
        <v>0</v>
      </c>
      <c r="L3571" s="169">
        <f>IFERROR(MATCH(J3571,'Final List'!$D$4:$D$252,0),0)</f>
        <v>0</v>
      </c>
      <c r="M3571" s="169">
        <f>IFERROR(MATCH(J3571,'Final List'!$F$4:$F$251,0),0)</f>
        <v>0</v>
      </c>
      <c r="N3571" s="169">
        <f>IFERROR(MATCH(J3571,'Final List'!$H$4:$H$252,0),0)</f>
        <v>0</v>
      </c>
      <c r="O3571" s="169">
        <f>IFERROR(MATCH(J3571,'Final List'!$J$4:$J$252,0),0)</f>
        <v>0</v>
      </c>
      <c r="P3571" s="169">
        <f>IFERROR(MATCH(J3571,'Final List'!$L$4:$L$252,0),0)</f>
        <v>0</v>
      </c>
      <c r="Q3571" s="169">
        <f>IFERROR(MATCH(J3571,'Final List'!$N$4:$N$252,0),0)</f>
        <v>0</v>
      </c>
      <c r="R3571" s="169">
        <f>IFERROR(MATCH(J3571,'Final List'!$P$4:$P$252,0),0)</f>
        <v>0</v>
      </c>
      <c r="S3571" s="169">
        <f t="shared" si="222"/>
        <v>0</v>
      </c>
      <c r="V3571" s="169" t="str">
        <f t="shared" si="224"/>
        <v>BADBADON</v>
      </c>
      <c r="W3571" s="169" t="s">
        <v>8896</v>
      </c>
    </row>
    <row r="3572" spans="2:23" x14ac:dyDescent="0.25">
      <c r="B3572" s="169" t="s">
        <v>95</v>
      </c>
      <c r="C3572" s="169" t="s">
        <v>56</v>
      </c>
      <c r="D3572" s="169" t="s">
        <v>123</v>
      </c>
      <c r="E3572" s="169" t="s">
        <v>60</v>
      </c>
      <c r="F3572" s="245" t="str">
        <f t="shared" si="221"/>
        <v>Dhoz 71</v>
      </c>
      <c r="G3572" s="169" t="s">
        <v>13066</v>
      </c>
      <c r="I3572" s="169" t="str">
        <f t="shared" si="226"/>
        <v>L08_GHVFW_031E_DE</v>
      </c>
      <c r="J3572" s="169" t="s">
        <v>13908</v>
      </c>
      <c r="K3572" s="169">
        <f>IFERROR(MATCH(J3572,'Final List'!$B$4:$B$252,0),0)</f>
        <v>0</v>
      </c>
      <c r="L3572" s="169">
        <f>IFERROR(MATCH(J3572,'Final List'!$D$4:$D$252,0),0)</f>
        <v>0</v>
      </c>
      <c r="M3572" s="169">
        <f>IFERROR(MATCH(J3572,'Final List'!$F$4:$F$251,0),0)</f>
        <v>0</v>
      </c>
      <c r="N3572" s="169">
        <f>IFERROR(MATCH(J3572,'Final List'!$H$4:$H$252,0),0)</f>
        <v>0</v>
      </c>
      <c r="O3572" s="169">
        <f>IFERROR(MATCH(J3572,'Final List'!$J$4:$J$252,0),0)</f>
        <v>0</v>
      </c>
      <c r="P3572" s="169">
        <f>IFERROR(MATCH(J3572,'Final List'!$L$4:$L$252,0),0)</f>
        <v>0</v>
      </c>
      <c r="Q3572" s="169">
        <f>IFERROR(MATCH(J3572,'Final List'!$N$4:$N$252,0),0)</f>
        <v>0</v>
      </c>
      <c r="R3572" s="169">
        <f>IFERROR(MATCH(J3572,'Final List'!$P$4:$P$252,0),0)</f>
        <v>0</v>
      </c>
      <c r="S3572" s="169">
        <f t="shared" si="222"/>
        <v>0</v>
      </c>
      <c r="V3572" s="169" t="str">
        <f t="shared" si="224"/>
        <v>NITRO BZ</v>
      </c>
      <c r="W3572" s="169" t="s">
        <v>8895</v>
      </c>
    </row>
    <row r="3573" spans="2:23" x14ac:dyDescent="0.25">
      <c r="B3573" s="169" t="s">
        <v>1166</v>
      </c>
      <c r="C3573" s="169" t="s">
        <v>13764</v>
      </c>
      <c r="D3573" s="169" t="s">
        <v>164</v>
      </c>
      <c r="E3573" s="169" t="s">
        <v>60</v>
      </c>
      <c r="F3573" s="245" t="str">
        <f t="shared" si="221"/>
        <v>Dhoz 71</v>
      </c>
      <c r="G3573" s="169" t="s">
        <v>12070</v>
      </c>
      <c r="I3573" s="169" t="str">
        <f t="shared" si="226"/>
        <v>L11_GHVS_064E_DE</v>
      </c>
      <c r="J3573" s="169" t="s">
        <v>13910</v>
      </c>
      <c r="K3573" s="169">
        <f>IFERROR(MATCH(J3573,'Final List'!$B$4:$B$252,0),0)</f>
        <v>0</v>
      </c>
      <c r="L3573" s="169">
        <f>IFERROR(MATCH(J3573,'Final List'!$D$4:$D$252,0),0)</f>
        <v>0</v>
      </c>
      <c r="M3573" s="169">
        <f>IFERROR(MATCH(J3573,'Final List'!$F$4:$F$251,0),0)</f>
        <v>0</v>
      </c>
      <c r="N3573" s="169">
        <f>IFERROR(MATCH(J3573,'Final List'!$H$4:$H$252,0),0)</f>
        <v>0</v>
      </c>
      <c r="O3573" s="169">
        <f>IFERROR(MATCH(J3573,'Final List'!$J$4:$J$252,0),0)</f>
        <v>0</v>
      </c>
      <c r="P3573" s="169">
        <f>IFERROR(MATCH(J3573,'Final List'!$L$4:$L$252,0),0)</f>
        <v>0</v>
      </c>
      <c r="Q3573" s="169">
        <f>IFERROR(MATCH(J3573,'Final List'!$N$4:$N$252,0),0)</f>
        <v>0</v>
      </c>
      <c r="R3573" s="169">
        <f>IFERROR(MATCH(J3573,'Final List'!$P$4:$P$252,0),0)</f>
        <v>0</v>
      </c>
      <c r="S3573" s="169">
        <f t="shared" si="222"/>
        <v>0</v>
      </c>
      <c r="V3573" s="169" t="str">
        <f t="shared" si="224"/>
        <v>NITRO BB</v>
      </c>
      <c r="W3573" s="169" t="s">
        <v>8896</v>
      </c>
    </row>
    <row r="3574" spans="2:23" x14ac:dyDescent="0.25">
      <c r="B3574" s="169" t="s">
        <v>12320</v>
      </c>
      <c r="C3574" s="169" t="s">
        <v>87</v>
      </c>
      <c r="D3574" s="169" t="s">
        <v>161</v>
      </c>
      <c r="E3574" s="169" t="s">
        <v>63</v>
      </c>
      <c r="F3574" s="245" t="str">
        <f t="shared" si="221"/>
        <v>Dhoz 71</v>
      </c>
      <c r="G3574" s="169" t="s">
        <v>7984</v>
      </c>
      <c r="I3574" s="169" t="str">
        <f t="shared" si="226"/>
        <v>L425_NONE_044E_XCS</v>
      </c>
      <c r="J3574" s="169" t="s">
        <v>13912</v>
      </c>
      <c r="K3574" s="169">
        <f>IFERROR(MATCH(J3574,'Final List'!$B$4:$B$252,0),0)</f>
        <v>0</v>
      </c>
      <c r="L3574" s="169">
        <f>IFERROR(MATCH(J3574,'Final List'!$D$4:$D$252,0),0)</f>
        <v>0</v>
      </c>
      <c r="M3574" s="169">
        <f>IFERROR(MATCH(J3574,'Final List'!$F$4:$F$251,0),0)</f>
        <v>0</v>
      </c>
      <c r="N3574" s="169">
        <f>IFERROR(MATCH(J3574,'Final List'!$H$4:$H$252,0),0)</f>
        <v>0</v>
      </c>
      <c r="O3574" s="169">
        <f>IFERROR(MATCH(J3574,'Final List'!$J$4:$J$252,0),0)</f>
        <v>0</v>
      </c>
      <c r="P3574" s="169">
        <f>IFERROR(MATCH(J3574,'Final List'!$L$4:$L$252,0),0)</f>
        <v>0</v>
      </c>
      <c r="Q3574" s="169">
        <f>IFERROR(MATCH(J3574,'Final List'!$N$4:$N$252,0),0)</f>
        <v>0</v>
      </c>
      <c r="R3574" s="169">
        <f>IFERROR(MATCH(J3574,'Final List'!$P$4:$P$252,0),0)</f>
        <v>0</v>
      </c>
      <c r="S3574" s="169">
        <f t="shared" si="222"/>
        <v>0</v>
      </c>
      <c r="V3574" s="169" t="str">
        <f t="shared" si="224"/>
        <v>OLIVEROS</v>
      </c>
      <c r="W3574" s="169" t="s">
        <v>8898</v>
      </c>
    </row>
    <row r="3575" spans="2:23" x14ac:dyDescent="0.25">
      <c r="B3575" s="169" t="s">
        <v>96</v>
      </c>
      <c r="C3575" s="169" t="s">
        <v>11298</v>
      </c>
      <c r="D3575" s="169" t="s">
        <v>9640</v>
      </c>
      <c r="E3575" s="169" t="s">
        <v>61</v>
      </c>
      <c r="F3575" s="245" t="str">
        <f t="shared" si="221"/>
        <v>Dhoz 71</v>
      </c>
      <c r="G3575" s="169" t="s">
        <v>1661</v>
      </c>
      <c r="I3575" s="169" t="str">
        <f t="shared" si="226"/>
        <v>L09_JVS_094E_DW</v>
      </c>
      <c r="J3575" s="169" t="s">
        <v>13914</v>
      </c>
      <c r="K3575" s="169">
        <f>IFERROR(MATCH(J3575,'Final List'!$B$4:$B$252,0),0)</f>
        <v>0</v>
      </c>
      <c r="L3575" s="169">
        <f>IFERROR(MATCH(J3575,'Final List'!$D$4:$D$252,0),0)</f>
        <v>0</v>
      </c>
      <c r="M3575" s="169">
        <f>IFERROR(MATCH(J3575,'Final List'!$F$4:$F$251,0),0)</f>
        <v>0</v>
      </c>
      <c r="N3575" s="169">
        <f>IFERROR(MATCH(J3575,'Final List'!$H$4:$H$252,0),0)</f>
        <v>0</v>
      </c>
      <c r="O3575" s="169">
        <f>IFERROR(MATCH(J3575,'Final List'!$J$4:$J$252,0),0)</f>
        <v>0</v>
      </c>
      <c r="P3575" s="169">
        <f>IFERROR(MATCH(J3575,'Final List'!$L$4:$L$252,0),0)</f>
        <v>0</v>
      </c>
      <c r="Q3575" s="169">
        <f>IFERROR(MATCH(J3575,'Final List'!$N$4:$N$252,0),0)</f>
        <v>0</v>
      </c>
      <c r="R3575" s="169">
        <f>IFERROR(MATCH(J3575,'Final List'!$P$4:$P$252,0),0)</f>
        <v>0</v>
      </c>
      <c r="S3575" s="169">
        <f t="shared" si="222"/>
        <v>0</v>
      </c>
      <c r="V3575" s="169" t="str">
        <f t="shared" si="224"/>
        <v>DELOS REYES V2</v>
      </c>
      <c r="W3575" s="169" t="s">
        <v>8896</v>
      </c>
    </row>
    <row r="3576" spans="2:23" x14ac:dyDescent="0.25">
      <c r="B3576" s="169" t="s">
        <v>1167</v>
      </c>
      <c r="C3576" s="169" t="s">
        <v>45</v>
      </c>
      <c r="D3576" s="169" t="s">
        <v>173</v>
      </c>
      <c r="E3576" s="169" t="s">
        <v>6154</v>
      </c>
      <c r="F3576" s="245" t="str">
        <f t="shared" si="221"/>
        <v>Dhoz 71</v>
      </c>
      <c r="G3576" s="169" t="s">
        <v>75</v>
      </c>
      <c r="I3576" s="169" t="str">
        <f t="shared" si="226"/>
        <v>L12_DPVE_049E_DW_ISL</v>
      </c>
      <c r="J3576" s="169" t="s">
        <v>13915</v>
      </c>
      <c r="K3576" s="169">
        <f>IFERROR(MATCH(J3576,'Final List'!$B$4:$B$252,0),0)</f>
        <v>0</v>
      </c>
      <c r="L3576" s="169">
        <f>IFERROR(MATCH(J3576,'Final List'!$D$4:$D$252,0),0)</f>
        <v>0</v>
      </c>
      <c r="M3576" s="169">
        <f>IFERROR(MATCH(J3576,'Final List'!$F$4:$F$251,0),0)</f>
        <v>0</v>
      </c>
      <c r="N3576" s="169">
        <f>IFERROR(MATCH(J3576,'Final List'!$H$4:$H$252,0),0)</f>
        <v>0</v>
      </c>
      <c r="O3576" s="169">
        <f>IFERROR(MATCH(J3576,'Final List'!$J$4:$J$252,0),0)</f>
        <v>0</v>
      </c>
      <c r="P3576" s="169">
        <f>IFERROR(MATCH(J3576,'Final List'!$L$4:$L$252,0),0)</f>
        <v>0</v>
      </c>
      <c r="Q3576" s="169">
        <f>IFERROR(MATCH(J3576,'Final List'!$N$4:$N$252,0),0)</f>
        <v>0</v>
      </c>
      <c r="R3576" s="169">
        <f>IFERROR(MATCH(J3576,'Final List'!$P$4:$P$252,0),0)</f>
        <v>0</v>
      </c>
      <c r="S3576" s="169">
        <f t="shared" si="222"/>
        <v>0</v>
      </c>
      <c r="V3576" s="169" t="str">
        <f t="shared" si="224"/>
        <v>BABOR</v>
      </c>
      <c r="W3576" s="169" t="s">
        <v>2708</v>
      </c>
    </row>
    <row r="3577" spans="2:23" x14ac:dyDescent="0.25">
      <c r="B3577" s="169" t="s">
        <v>1167</v>
      </c>
      <c r="C3577" s="169" t="s">
        <v>43</v>
      </c>
      <c r="D3577" s="169" t="s">
        <v>177</v>
      </c>
      <c r="E3577" s="169" t="s">
        <v>62</v>
      </c>
      <c r="F3577" s="245" t="str">
        <f t="shared" si="221"/>
        <v>RobS 79</v>
      </c>
      <c r="G3577" s="169" t="s">
        <v>6216</v>
      </c>
      <c r="H3577" s="169" t="s">
        <v>13633</v>
      </c>
      <c r="I3577" s="169" t="str">
        <f t="shared" si="226"/>
        <v>L12_GHVSPLIT_054E_ROBBING</v>
      </c>
      <c r="J3577" s="169" t="s">
        <v>14049</v>
      </c>
      <c r="K3577" s="169">
        <f>IFERROR(MATCH(J3577,'Final List'!$B$4:$B$252,0),0)</f>
        <v>0</v>
      </c>
      <c r="L3577" s="169">
        <f>IFERROR(MATCH(J3577,'Final List'!$D$4:$D$252,0),0)</f>
        <v>0</v>
      </c>
      <c r="M3577" s="169">
        <f>IFERROR(MATCH(J3577,'Final List'!$F$4:$F$251,0),0)</f>
        <v>0</v>
      </c>
      <c r="N3577" s="169">
        <f>IFERROR(MATCH(J3577,'Final List'!$H$4:$H$252,0),0)</f>
        <v>0</v>
      </c>
      <c r="O3577" s="169">
        <f>IFERROR(MATCH(J3577,'Final List'!$J$4:$J$252,0),0)</f>
        <v>0</v>
      </c>
      <c r="P3577" s="169">
        <f>IFERROR(MATCH(J3577,'Final List'!$L$4:$L$252,0),0)</f>
        <v>0</v>
      </c>
      <c r="Q3577" s="169">
        <f>IFERROR(MATCH(J3577,'Final List'!$N$4:$N$252,0),0)</f>
        <v>0</v>
      </c>
      <c r="R3577" s="169">
        <f>IFERROR(MATCH(J3577,'Final List'!$P$4:$P$252,0),0)</f>
        <v>0</v>
      </c>
      <c r="S3577" s="169">
        <f t="shared" si="222"/>
        <v>0</v>
      </c>
      <c r="T3577" s="169" t="s">
        <v>68</v>
      </c>
      <c r="V3577" s="169" t="str">
        <f t="shared" si="224"/>
        <v>CAYMAN</v>
      </c>
      <c r="W3577" s="169" t="s">
        <v>2707</v>
      </c>
    </row>
    <row r="3578" spans="2:23" x14ac:dyDescent="0.25">
      <c r="B3578" s="169" t="s">
        <v>1167</v>
      </c>
      <c r="C3578" s="169" t="s">
        <v>87</v>
      </c>
      <c r="D3578" s="169" t="s">
        <v>160</v>
      </c>
      <c r="E3578" s="169" t="s">
        <v>37</v>
      </c>
      <c r="F3578" s="245" t="str">
        <f t="shared" si="221"/>
        <v>Dhoz 71</v>
      </c>
      <c r="G3578" s="169" t="s">
        <v>14047</v>
      </c>
      <c r="I3578" s="169" t="str">
        <f t="shared" si="226"/>
        <v>L12_NONE_042E_XCN</v>
      </c>
      <c r="J3578" s="169" t="s">
        <v>13922</v>
      </c>
      <c r="K3578" s="169">
        <f>IFERROR(MATCH(J3578,'Final List'!$B$4:$B$252,0),0)</f>
        <v>0</v>
      </c>
      <c r="L3578" s="169">
        <f>IFERROR(MATCH(J3578,'Final List'!$D$4:$D$252,0),0)</f>
        <v>0</v>
      </c>
      <c r="M3578" s="169">
        <f>IFERROR(MATCH(J3578,'Final List'!$F$4:$F$251,0),0)</f>
        <v>0</v>
      </c>
      <c r="N3578" s="169">
        <f>IFERROR(MATCH(J3578,'Final List'!$H$4:$H$252,0),0)</f>
        <v>0</v>
      </c>
      <c r="O3578" s="169">
        <f>IFERROR(MATCH(J3578,'Final List'!$J$4:$J$252,0),0)</f>
        <v>0</v>
      </c>
      <c r="P3578" s="169">
        <f>IFERROR(MATCH(J3578,'Final List'!$L$4:$L$252,0),0)</f>
        <v>0</v>
      </c>
      <c r="Q3578" s="169">
        <f>IFERROR(MATCH(J3578,'Final List'!$N$4:$N$252,0),0)</f>
        <v>0</v>
      </c>
      <c r="R3578" s="169">
        <f>IFERROR(MATCH(J3578,'Final List'!$P$4:$P$252,0),0)</f>
        <v>0</v>
      </c>
      <c r="S3578" s="169">
        <f t="shared" si="222"/>
        <v>0</v>
      </c>
      <c r="V3578" s="169" t="str">
        <f t="shared" si="224"/>
        <v>DUHIG, P.</v>
      </c>
      <c r="W3578" s="169" t="s">
        <v>8898</v>
      </c>
    </row>
    <row r="3579" spans="2:23" x14ac:dyDescent="0.25">
      <c r="B3579" s="169" t="s">
        <v>12320</v>
      </c>
      <c r="C3579" s="169" t="s">
        <v>55</v>
      </c>
      <c r="D3579" s="169" t="s">
        <v>161</v>
      </c>
      <c r="E3579" s="169" t="s">
        <v>19</v>
      </c>
      <c r="F3579" s="245" t="str">
        <f t="shared" si="221"/>
        <v>DVR 72</v>
      </c>
      <c r="G3579" s="169" t="s">
        <v>1510</v>
      </c>
      <c r="I3579" s="169" t="str">
        <f t="shared" si="226"/>
        <v>L425_JVFW_044E_RAISE</v>
      </c>
      <c r="J3579" s="169" t="s">
        <v>13933</v>
      </c>
      <c r="K3579" s="169">
        <f>IFERROR(MATCH(J3579,'Final List'!$B$4:$B$252,0),0)</f>
        <v>0</v>
      </c>
      <c r="L3579" s="169">
        <f>IFERROR(MATCH(J3579,'Final List'!$D$4:$D$252,0),0)</f>
        <v>0</v>
      </c>
      <c r="M3579" s="169">
        <f>IFERROR(MATCH(J3579,'Final List'!$F$4:$F$251,0),0)</f>
        <v>0</v>
      </c>
      <c r="N3579" s="169">
        <f>IFERROR(MATCH(J3579,'Final List'!$H$4:$H$252,0),0)</f>
        <v>0</v>
      </c>
      <c r="O3579" s="169">
        <f>IFERROR(MATCH(J3579,'Final List'!$J$4:$J$252,0),0)</f>
        <v>0</v>
      </c>
      <c r="P3579" s="169">
        <f>IFERROR(MATCH(J3579,'Final List'!$L$4:$L$252,0),0)</f>
        <v>0</v>
      </c>
      <c r="Q3579" s="169">
        <f>IFERROR(MATCH(J3579,'Final List'!$N$4:$N$252,0),0)</f>
        <v>0</v>
      </c>
      <c r="R3579" s="169">
        <f>IFERROR(MATCH(J3579,'Final List'!$P$4:$P$252,0),0)</f>
        <v>0</v>
      </c>
      <c r="S3579" s="169">
        <f t="shared" si="222"/>
        <v>0</v>
      </c>
      <c r="V3579" s="169" t="str">
        <f t="shared" si="224"/>
        <v>DELOS REYES</v>
      </c>
      <c r="W3579" s="169" t="s">
        <v>2715</v>
      </c>
    </row>
    <row r="3580" spans="2:23" ht="14.25" customHeight="1" x14ac:dyDescent="0.25">
      <c r="B3580" s="169" t="s">
        <v>95</v>
      </c>
      <c r="C3580" s="169" t="s">
        <v>45</v>
      </c>
      <c r="D3580" s="169" t="s">
        <v>171</v>
      </c>
      <c r="E3580" s="169" t="s">
        <v>19</v>
      </c>
      <c r="F3580" s="245" t="str">
        <f t="shared" si="221"/>
        <v>DVR 72</v>
      </c>
      <c r="G3580" s="169" t="s">
        <v>14140</v>
      </c>
      <c r="I3580" s="169" t="str">
        <f t="shared" si="226"/>
        <v>L08_DPVE_015W_RAISE</v>
      </c>
      <c r="J3580" s="169" t="s">
        <v>13925</v>
      </c>
      <c r="K3580" s="169">
        <f>IFERROR(MATCH(J3580,'Final List'!$B$4:$B$252,0),0)</f>
        <v>0</v>
      </c>
      <c r="L3580" s="169">
        <f>IFERROR(MATCH(J3580,'Final List'!$D$4:$D$252,0),0)</f>
        <v>0</v>
      </c>
      <c r="M3580" s="169">
        <f>IFERROR(MATCH(J3580,'Final List'!$F$4:$F$251,0),0)</f>
        <v>0</v>
      </c>
      <c r="N3580" s="169">
        <f>IFERROR(MATCH(J3580,'Final List'!$H$4:$H$252,0),0)</f>
        <v>0</v>
      </c>
      <c r="O3580" s="169">
        <f>IFERROR(MATCH(J3580,'Final List'!$J$4:$J$252,0),0)</f>
        <v>0</v>
      </c>
      <c r="P3580" s="169">
        <f>IFERROR(MATCH(J3580,'Final List'!$L$4:$L$252,0),0)</f>
        <v>0</v>
      </c>
      <c r="Q3580" s="169">
        <f>IFERROR(MATCH(J3580,'Final List'!$N$4:$N$252,0),0)</f>
        <v>0</v>
      </c>
      <c r="R3580" s="169">
        <f>IFERROR(MATCH(J3580,'Final List'!$P$4:$P$252,0),0)</f>
        <v>0</v>
      </c>
      <c r="S3580" s="169">
        <f t="shared" si="222"/>
        <v>0</v>
      </c>
      <c r="V3580" s="169" t="str">
        <f t="shared" si="224"/>
        <v>CANTAGO 2</v>
      </c>
      <c r="W3580" s="169" t="s">
        <v>2715</v>
      </c>
    </row>
    <row r="3581" spans="2:23" x14ac:dyDescent="0.25">
      <c r="B3581" s="169" t="s">
        <v>12320</v>
      </c>
      <c r="C3581" s="169" t="s">
        <v>13926</v>
      </c>
      <c r="D3581" s="169" t="s">
        <v>13927</v>
      </c>
      <c r="E3581" s="169" t="s">
        <v>13390</v>
      </c>
      <c r="F3581" s="245" t="str">
        <f>IF(OR(E3581="XCN",E3581="DE",E3581="DW",E3581="DN",E3581="XCS",E3581="XCE",E3581="XCW",E3581="SUMP",E3581="BYPASS",E3581="CHAMBER",E3581="DRAIN HOLE",E3581="DRILLING CHAMBER",E3581="DE_ISL",E3581="DW_ISL",E3581="REHAB"),"Dhoz 71",IF(OR(E3581="RAISE",E3581="RAISE_ISL"),"DVR 72",IF(E3581="ALIMAK","DVA 73",IF(E3581="ALIMAK_RAISE","DVA 73",IF(E3581="WINZE","DVW 74",IF(E3581="SHAFT","DVS 75",IF(AND(E3581="WINZE STOPE",T3581="S"),"RobC 80",IF(AND(E3581="STOPE",T3581="S"),"StpS 77",IF(AND(E3581="WINZE STOPE",T3581="L"),"RobC 80",IF(AND(E3581="STOPE",T3581="L"),"StpL 78",IF(AND(E3581="WINZE STOPE PREP",T3581="S"),"RobC 80",IF(AND(E3581="STOPE PREP",T3581="S"),"StpS 77",IF(AND(E3581="WINZE STOPE PREP",T3581="L"),"RobC 80",IF(AND(E3581="STOPE PREP",T3581="L"),"StpL 78",IF(AND(E3581="ROBBING",T3581="L"),"RobC 80",IF(AND(E3581="ROBBING",T3581="S"),"RobS 79",0))))))))))))))))</f>
        <v>DVA 73</v>
      </c>
      <c r="G3581" s="169" t="s">
        <v>1606</v>
      </c>
      <c r="I3581" s="169" t="str">
        <f t="shared" si="226"/>
        <v>L425_DSP_31B_ALIMAK_RAISE</v>
      </c>
      <c r="J3581" s="169" t="s">
        <v>14167</v>
      </c>
      <c r="K3581" s="169">
        <f>IFERROR(MATCH(J3581,'Final List'!$B$4:$B$252,0),0)</f>
        <v>0</v>
      </c>
      <c r="L3581" s="169">
        <f>IFERROR(MATCH(J3581,'Final List'!$D$4:$D$252,0),0)</f>
        <v>0</v>
      </c>
      <c r="M3581" s="169">
        <f>IFERROR(MATCH(J3581,'Final List'!$F$4:$F$251,0),0)</f>
        <v>0</v>
      </c>
      <c r="N3581" s="169">
        <f>IFERROR(MATCH(J3581,'Final List'!$H$4:$H$252,0),0)</f>
        <v>0</v>
      </c>
      <c r="O3581" s="169">
        <f>IFERROR(MATCH(J3581,'Final List'!$J$4:$J$252,0),0)</f>
        <v>0</v>
      </c>
      <c r="P3581" s="169">
        <f>IFERROR(MATCH(J3581,'Final List'!$L$4:$L$252,0),0)</f>
        <v>0</v>
      </c>
      <c r="Q3581" s="169">
        <f>IFERROR(MATCH(J3581,'Final List'!$N$4:$N$252,0),0)</f>
        <v>0</v>
      </c>
      <c r="R3581" s="169">
        <f>IFERROR(MATCH(J3581,'Final List'!$P$4:$P$252,0),0)</f>
        <v>0</v>
      </c>
      <c r="S3581" s="169">
        <f t="shared" si="222"/>
        <v>0</v>
      </c>
      <c r="V3581" s="169" t="str">
        <f t="shared" si="224"/>
        <v>PMC MINERS</v>
      </c>
      <c r="W3581" s="169" t="s">
        <v>2714</v>
      </c>
    </row>
    <row r="3582" spans="2:23" x14ac:dyDescent="0.25">
      <c r="B3582" s="169" t="s">
        <v>1166</v>
      </c>
      <c r="C3582" s="169" t="s">
        <v>59</v>
      </c>
      <c r="D3582" s="169" t="s">
        <v>201</v>
      </c>
      <c r="E3582" s="169" t="s">
        <v>61</v>
      </c>
      <c r="F3582" s="245" t="str">
        <f t="shared" si="221"/>
        <v>Dhoz 71</v>
      </c>
      <c r="G3582" s="169" t="s">
        <v>4068</v>
      </c>
      <c r="I3582" s="169" t="str">
        <f t="shared" si="226"/>
        <v>L11_GHVHW_067E_DW</v>
      </c>
      <c r="J3582" s="169" t="s">
        <v>13929</v>
      </c>
      <c r="K3582" s="169">
        <f>IFERROR(MATCH(J3582,'Final List'!$B$4:$B$252,0),0)</f>
        <v>0</v>
      </c>
      <c r="L3582" s="169">
        <f>IFERROR(MATCH(J3582,'Final List'!$D$4:$D$252,0),0)</f>
        <v>0</v>
      </c>
      <c r="M3582" s="169">
        <f>IFERROR(MATCH(J3582,'Final List'!$F$4:$F$251,0),0)</f>
        <v>0</v>
      </c>
      <c r="N3582" s="169">
        <f>IFERROR(MATCH(J3582,'Final List'!$H$4:$H$252,0),0)</f>
        <v>0</v>
      </c>
      <c r="O3582" s="169">
        <f>IFERROR(MATCH(J3582,'Final List'!$J$4:$J$252,0),0)</f>
        <v>0</v>
      </c>
      <c r="P3582" s="169">
        <f>IFERROR(MATCH(J3582,'Final List'!$L$4:$L$252,0),0)</f>
        <v>0</v>
      </c>
      <c r="Q3582" s="169">
        <f>IFERROR(MATCH(J3582,'Final List'!$N$4:$N$252,0),0)</f>
        <v>0</v>
      </c>
      <c r="R3582" s="169">
        <f>IFERROR(MATCH(J3582,'Final List'!$P$4:$P$252,0),0)</f>
        <v>0</v>
      </c>
      <c r="S3582" s="169">
        <f t="shared" si="222"/>
        <v>0</v>
      </c>
      <c r="V3582" s="169" t="str">
        <f t="shared" si="224"/>
        <v>MAPAYO</v>
      </c>
      <c r="W3582" s="169" t="s">
        <v>8896</v>
      </c>
    </row>
    <row r="3583" spans="2:23" x14ac:dyDescent="0.25">
      <c r="B3583" s="169" t="s">
        <v>1166</v>
      </c>
      <c r="C3583" s="169" t="s">
        <v>39</v>
      </c>
      <c r="D3583" s="169" t="s">
        <v>170</v>
      </c>
      <c r="E3583" s="169" t="s">
        <v>36</v>
      </c>
      <c r="F3583" s="245" t="str">
        <f t="shared" si="221"/>
        <v>StpS 77</v>
      </c>
      <c r="G3583" s="169" t="s">
        <v>5</v>
      </c>
      <c r="I3583" s="169" t="str">
        <f t="shared" si="226"/>
        <v>L11_JVHW_071E_STOPE</v>
      </c>
      <c r="J3583" s="169" t="s">
        <v>14289</v>
      </c>
      <c r="K3583" s="169">
        <f>IFERROR(MATCH(J3583,'Final List'!$B$4:$B$252,0),0)</f>
        <v>0</v>
      </c>
      <c r="L3583" s="169">
        <f>IFERROR(MATCH(J3583,'Final List'!$D$4:$D$252,0),0)</f>
        <v>0</v>
      </c>
      <c r="M3583" s="169">
        <f>IFERROR(MATCH(J3583,'Final List'!$F$4:$F$251,0),0)</f>
        <v>0</v>
      </c>
      <c r="N3583" s="169">
        <f>IFERROR(MATCH(J3583,'Final List'!$H$4:$H$252,0),0)</f>
        <v>0</v>
      </c>
      <c r="O3583" s="169">
        <f>IFERROR(MATCH(J3583,'Final List'!$J$4:$J$252,0),0)</f>
        <v>0</v>
      </c>
      <c r="P3583" s="169">
        <f>IFERROR(MATCH(J3583,'Final List'!$L$4:$L$252,0),0)</f>
        <v>0</v>
      </c>
      <c r="Q3583" s="169">
        <f>IFERROR(MATCH(J3583,'Final List'!$N$4:$N$252,0),0)</f>
        <v>0</v>
      </c>
      <c r="R3583" s="169">
        <f>IFERROR(MATCH(J3583,'Final List'!$P$4:$P$252,0),0)</f>
        <v>0</v>
      </c>
      <c r="S3583" s="169">
        <f t="shared" si="222"/>
        <v>0</v>
      </c>
      <c r="T3583" s="169" t="s">
        <v>68</v>
      </c>
      <c r="V3583" s="169" t="str">
        <f t="shared" si="224"/>
        <v>BELICAN</v>
      </c>
      <c r="W3583" s="169" t="s">
        <v>2713</v>
      </c>
    </row>
    <row r="3584" spans="2:23" x14ac:dyDescent="0.25">
      <c r="B3584" s="169" t="s">
        <v>1166</v>
      </c>
      <c r="C3584" s="169" t="s">
        <v>87</v>
      </c>
      <c r="D3584" s="169" t="s">
        <v>146</v>
      </c>
      <c r="E3584" s="169" t="s">
        <v>13813</v>
      </c>
      <c r="F3584" s="245" t="str">
        <f>IF(OR(E3584="XCN",E3584="DE",E3584="DW",E3584="DN",E3584="XCS",E3584="XCE",E3584="XCW",E3584="SUMP",E3584="BYPASS",E3584="CHAMBER",E3584="DRAIN HOLE",E3584="DRILLING CHAMBER",E3584="DE_ISL",E3584="DW_ISL",E3584="REHAB",E3584="MAINLINE_CLEANING"),"Dhoz 71",IF(OR(E3584="RAISE",E3584="RAISE_ISL"),"DVR 72",IF(E3584="ALIMAK","DVA 73",IF(E3584="WINZE","DVW 74",IF(E3584="SHAFT","DVS 75",IF(AND(E3584="WINZE STOPE",T3584="S"),"RobC 80",IF(AND(E3584="STOPE",T3584="S"),"StpS 77",IF(AND(E3584="WINZE STOPE",T3584="L"),"RobC 80",IF(AND(E3584="STOPE",T3584="L"),"StpL 78",IF(AND(E3584="WINZE STOPE PREP",T3584="S"),"RobC 80",IF(AND(E3584="STOPE PREP",T3584="S"),"StpS 77",IF(AND(E3584="WINZE STOPE PREP",T3584="L"),"RobC 80",IF(AND(E3584="STOPE PREP",T3584="L"),"StpL 78",IF(AND(E3584="ROBBING",T3584="L"),"RobC 80",IF(AND(E3584="ROBBING",T3584="S"),"RobS 79",0)))))))))))))))</f>
        <v>Dhoz 71</v>
      </c>
      <c r="G3584" s="169" t="s">
        <v>6216</v>
      </c>
      <c r="I3584" s="169" t="str">
        <f t="shared" si="226"/>
        <v>L11_NONE_030E_MAINLINE_CLEANING</v>
      </c>
      <c r="J3584" s="169" t="s">
        <v>13931</v>
      </c>
      <c r="K3584" s="169">
        <f>IFERROR(MATCH(J3584,'Final List'!$B$4:$B$252,0),0)</f>
        <v>0</v>
      </c>
      <c r="L3584" s="169">
        <f>IFERROR(MATCH(J3584,'Final List'!$D$4:$D$252,0),0)</f>
        <v>0</v>
      </c>
      <c r="M3584" s="169">
        <f>IFERROR(MATCH(J3584,'Final List'!$F$4:$F$251,0),0)</f>
        <v>0</v>
      </c>
      <c r="N3584" s="169">
        <f>IFERROR(MATCH(J3584,'Final List'!$H$4:$H$252,0),0)</f>
        <v>0</v>
      </c>
      <c r="O3584" s="169">
        <f>IFERROR(MATCH(J3584,'Final List'!$J$4:$J$252,0),0)</f>
        <v>0</v>
      </c>
      <c r="P3584" s="169">
        <f>IFERROR(MATCH(J3584,'Final List'!$L$4:$L$252,0),0)</f>
        <v>0</v>
      </c>
      <c r="Q3584" s="169">
        <f>IFERROR(MATCH(J3584,'Final List'!$N$4:$N$252,0),0)</f>
        <v>0</v>
      </c>
      <c r="R3584" s="169">
        <f>IFERROR(MATCH(J3584,'Final List'!$P$4:$P$252,0),0)</f>
        <v>0</v>
      </c>
      <c r="S3584" s="169">
        <f t="shared" si="222"/>
        <v>0</v>
      </c>
      <c r="V3584" s="169" t="str">
        <f t="shared" si="224"/>
        <v>FERNANDEZ</v>
      </c>
      <c r="W3584" s="169" t="s">
        <v>2714</v>
      </c>
    </row>
    <row r="3585" spans="2:23" x14ac:dyDescent="0.25">
      <c r="B3585" s="169" t="s">
        <v>1167</v>
      </c>
      <c r="C3585" s="169" t="s">
        <v>59</v>
      </c>
      <c r="D3585" s="169" t="s">
        <v>284</v>
      </c>
      <c r="E3585" s="169" t="s">
        <v>19</v>
      </c>
      <c r="F3585" s="245" t="str">
        <f t="shared" si="221"/>
        <v>DVR 72</v>
      </c>
      <c r="G3585" s="169" t="s">
        <v>337</v>
      </c>
      <c r="I3585" s="169" t="str">
        <f t="shared" si="226"/>
        <v>L12_GHVHW_061E_RAISE</v>
      </c>
      <c r="J3585" s="169" t="s">
        <v>13932</v>
      </c>
      <c r="K3585" s="169">
        <f>IFERROR(MATCH(J3585,'Final List'!$B$4:$B$252,0),0)</f>
        <v>0</v>
      </c>
      <c r="L3585" s="169">
        <f>IFERROR(MATCH(J3585,'Final List'!$D$4:$D$252,0),0)</f>
        <v>0</v>
      </c>
      <c r="M3585" s="169">
        <f>IFERROR(MATCH(J3585,'Final List'!$F$4:$F$251,0),0)</f>
        <v>0</v>
      </c>
      <c r="N3585" s="169">
        <f>IFERROR(MATCH(J3585,'Final List'!$H$4:$H$252,0),0)</f>
        <v>0</v>
      </c>
      <c r="O3585" s="169">
        <f>IFERROR(MATCH(J3585,'Final List'!$J$4:$J$252,0),0)</f>
        <v>0</v>
      </c>
      <c r="P3585" s="169">
        <f>IFERROR(MATCH(J3585,'Final List'!$L$4:$L$252,0),0)</f>
        <v>0</v>
      </c>
      <c r="Q3585" s="169">
        <f>IFERROR(MATCH(J3585,'Final List'!$N$4:$N$252,0),0)</f>
        <v>0</v>
      </c>
      <c r="R3585" s="169">
        <f>IFERROR(MATCH(J3585,'Final List'!$P$4:$P$252,0),0)</f>
        <v>0</v>
      </c>
      <c r="S3585" s="169">
        <f t="shared" si="222"/>
        <v>0</v>
      </c>
      <c r="V3585" s="169" t="str">
        <f t="shared" si="224"/>
        <v>BALANGHIG 2</v>
      </c>
      <c r="W3585" s="169" t="s">
        <v>2715</v>
      </c>
    </row>
    <row r="3586" spans="2:23" ht="15.75" x14ac:dyDescent="0.25">
      <c r="B3586" s="169" t="s">
        <v>12320</v>
      </c>
      <c r="C3586" s="169" t="s">
        <v>43</v>
      </c>
      <c r="D3586" s="169" t="s">
        <v>173</v>
      </c>
      <c r="E3586" s="169" t="s">
        <v>19</v>
      </c>
      <c r="F3586" s="245" t="str">
        <f t="shared" si="221"/>
        <v>DVR 72</v>
      </c>
      <c r="G3586" s="107" t="s">
        <v>5697</v>
      </c>
      <c r="I3586" s="169" t="str">
        <f t="shared" si="226"/>
        <v>L425_GHVSPLIT_049E_RAISE</v>
      </c>
      <c r="J3586" s="169" t="s">
        <v>13937</v>
      </c>
      <c r="K3586" s="169">
        <f>IFERROR(MATCH(J3586,'Final List'!$B$4:$B$252,0),0)</f>
        <v>0</v>
      </c>
      <c r="L3586" s="169">
        <f>IFERROR(MATCH(J3586,'Final List'!$D$4:$D$252,0),0)</f>
        <v>0</v>
      </c>
      <c r="M3586" s="169">
        <f>IFERROR(MATCH(J3586,'Final List'!$F$4:$F$251,0),0)</f>
        <v>0</v>
      </c>
      <c r="N3586" s="169">
        <f>IFERROR(MATCH(J3586,'Final List'!$H$4:$H$252,0),0)</f>
        <v>0</v>
      </c>
      <c r="O3586" s="169">
        <f>IFERROR(MATCH(J3586,'Final List'!$J$4:$J$252,0),0)</f>
        <v>0</v>
      </c>
      <c r="P3586" s="169">
        <f>IFERROR(MATCH(J3586,'Final List'!$L$4:$L$252,0),0)</f>
        <v>0</v>
      </c>
      <c r="Q3586" s="169">
        <f>IFERROR(MATCH(J3586,'Final List'!$N$4:$N$252,0),0)</f>
        <v>0</v>
      </c>
      <c r="R3586" s="169">
        <f>IFERROR(MATCH(J3586,'Final List'!$P$4:$P$252,0),0)</f>
        <v>0</v>
      </c>
      <c r="S3586" s="169">
        <f t="shared" si="222"/>
        <v>0</v>
      </c>
      <c r="V3586" s="169" t="str">
        <f t="shared" si="224"/>
        <v>OLIVEROS 1</v>
      </c>
      <c r="W3586" s="169" t="s">
        <v>2715</v>
      </c>
    </row>
    <row r="3587" spans="2:23" x14ac:dyDescent="0.25">
      <c r="B3587" s="169" t="s">
        <v>1167</v>
      </c>
      <c r="C3587" s="169" t="s">
        <v>59</v>
      </c>
      <c r="D3587" s="169" t="s">
        <v>178</v>
      </c>
      <c r="E3587" s="169" t="s">
        <v>60</v>
      </c>
      <c r="F3587" s="245" t="str">
        <f t="shared" ref="F3587:F3650" si="227">IF(OR(E3587="XCN",E3587="DE",E3587="DW",E3587="DN",E3587="XCS",E3587="XCE",E3587="XCW",E3587="SUMP",E3587="BYPASS",E3587="CHAMBER",E3587="DRAIN HOLE",E3587="DRILLING CHAMBER",E3587="DE_ISL",E3587="DW_ISL",E3587="REHAB"),"Dhoz 71",IF(OR(E3587="RAISE",E3587="RAISE_ISL"),"DVR 72",IF(E3587="ALIMAK","DVA 73",IF(E3587="WINZE","DVW 74",IF(E3587="SHAFT","DVS 75",IF(AND(E3587="WINZE STOPE",T3587="S"),"RobC 80",IF(AND(E3587="STOPE",T3587="S"),"StpS 77",IF(AND(E3587="WINZE STOPE",T3587="L"),"RobC 80",IF(AND(E3587="STOPE",T3587="L"),"StpL 78",IF(AND(E3587="WINZE STOPE PREP",T3587="S"),"RobC 80",IF(AND(E3587="STOPE PREP",T3587="S"),"StpS 77",IF(AND(E3587="WINZE STOPE PREP",T3587="L"),"RobC 80",IF(AND(E3587="STOPE PREP",T3587="L"),"StpL 78",IF(AND(E3587="ROBBING",T3587="L"),"RobC 80",IF(AND(E3587="ROBBING",T3587="S"),"RobS 79",0)))))))))))))))</f>
        <v>Dhoz 71</v>
      </c>
      <c r="G3587" s="169" t="s">
        <v>13939</v>
      </c>
      <c r="I3587" s="169" t="str">
        <f t="shared" si="226"/>
        <v>L12_GHVHW_048E_DE</v>
      </c>
      <c r="J3587" s="169" t="s">
        <v>13940</v>
      </c>
      <c r="K3587" s="169">
        <f>IFERROR(MATCH(J3587,'Final List'!$B$4:$B$252,0),0)</f>
        <v>0</v>
      </c>
      <c r="L3587" s="169">
        <f>IFERROR(MATCH(J3587,'Final List'!$D$4:$D$252,0),0)</f>
        <v>0</v>
      </c>
      <c r="M3587" s="169">
        <f>IFERROR(MATCH(J3587,'Final List'!$F$4:$F$251,0),0)</f>
        <v>0</v>
      </c>
      <c r="N3587" s="169">
        <f>IFERROR(MATCH(J3587,'Final List'!$H$4:$H$252,0),0)</f>
        <v>0</v>
      </c>
      <c r="O3587" s="169">
        <f>IFERROR(MATCH(J3587,'Final List'!$J$4:$J$252,0),0)</f>
        <v>0</v>
      </c>
      <c r="P3587" s="169">
        <f>IFERROR(MATCH(J3587,'Final List'!$L$4:$L$252,0),0)</f>
        <v>0</v>
      </c>
      <c r="Q3587" s="169">
        <f>IFERROR(MATCH(J3587,'Final List'!$N$4:$N$252,0),0)</f>
        <v>0</v>
      </c>
      <c r="R3587" s="169">
        <f>IFERROR(MATCH(J3587,'Final List'!$P$4:$P$252,0),0)</f>
        <v>0</v>
      </c>
      <c r="S3587" s="169">
        <f t="shared" ref="S3587:S3650" si="228">SUM(K3587:R3587)</f>
        <v>0</v>
      </c>
      <c r="V3587" s="169" t="str">
        <f t="shared" si="224"/>
        <v>DUHIG P.</v>
      </c>
      <c r="W3587" s="169" t="s">
        <v>8896</v>
      </c>
    </row>
    <row r="3588" spans="2:23" ht="15.75" x14ac:dyDescent="0.25">
      <c r="B3588" s="169" t="s">
        <v>95</v>
      </c>
      <c r="C3588" s="169" t="s">
        <v>87</v>
      </c>
      <c r="D3588" s="169" t="s">
        <v>129</v>
      </c>
      <c r="E3588" s="169" t="s">
        <v>37</v>
      </c>
      <c r="F3588" s="245" t="str">
        <f t="shared" si="227"/>
        <v>Dhoz 71</v>
      </c>
      <c r="G3588" s="152" t="s">
        <v>13666</v>
      </c>
      <c r="I3588" s="169" t="str">
        <f>CONCATENATE(B3588,"_",C3588,"_",D3588,"_",E3588)</f>
        <v>L08_NONE_010E_XCN</v>
      </c>
      <c r="J3588" s="169" t="s">
        <v>13945</v>
      </c>
      <c r="K3588" s="169">
        <f>IFERROR(MATCH(J3588,'Final List'!$B$4:$B$252,0),0)</f>
        <v>0</v>
      </c>
      <c r="L3588" s="169">
        <f>IFERROR(MATCH(J3588,'Final List'!$D$4:$D$252,0),0)</f>
        <v>0</v>
      </c>
      <c r="M3588" s="169">
        <f>IFERROR(MATCH(J3588,'Final List'!$F$4:$F$251,0),0)</f>
        <v>0</v>
      </c>
      <c r="N3588" s="169">
        <f>IFERROR(MATCH(J3588,'Final List'!$H$4:$H$252,0),0)</f>
        <v>0</v>
      </c>
      <c r="O3588" s="169">
        <f>IFERROR(MATCH(J3588,'Final List'!$J$4:$J$252,0),0)</f>
        <v>0</v>
      </c>
      <c r="P3588" s="169">
        <f>IFERROR(MATCH(J3588,'Final List'!$L$4:$L$252,0),0)</f>
        <v>0</v>
      </c>
      <c r="Q3588" s="169">
        <f>IFERROR(MATCH(J3588,'Final List'!$N$4:$N$252,0),0)</f>
        <v>0</v>
      </c>
      <c r="R3588" s="169">
        <f>IFERROR(MATCH(J3588,'Final List'!$P$4:$P$252,0),0)</f>
        <v>0</v>
      </c>
      <c r="S3588" s="169">
        <f t="shared" si="228"/>
        <v>0</v>
      </c>
      <c r="V3588" s="169" t="str">
        <f t="shared" si="224"/>
        <v>NITRO BZ 1</v>
      </c>
      <c r="W3588" s="169" t="s">
        <v>8897</v>
      </c>
    </row>
    <row r="3589" spans="2:23" x14ac:dyDescent="0.25">
      <c r="B3589" s="169" t="s">
        <v>1167</v>
      </c>
      <c r="C3589" s="169" t="s">
        <v>39</v>
      </c>
      <c r="D3589" s="169" t="s">
        <v>1230</v>
      </c>
      <c r="E3589" s="169" t="s">
        <v>61</v>
      </c>
      <c r="F3589" s="245" t="str">
        <f t="shared" si="227"/>
        <v>Dhoz 71</v>
      </c>
      <c r="G3589" s="169" t="s">
        <v>12549</v>
      </c>
      <c r="I3589" s="169" t="str">
        <f t="shared" ref="I3589:I3664" si="229">CONCATENATE(B3589,"_",C3589,"_",D3589,"_",E3589)</f>
        <v>L12_JVHW_075E_DW</v>
      </c>
      <c r="J3589" s="169" t="s">
        <v>13949</v>
      </c>
      <c r="K3589" s="169">
        <f>IFERROR(MATCH(J3589,'Final List'!$B$4:$B$252,0),0)</f>
        <v>0</v>
      </c>
      <c r="L3589" s="169">
        <f>IFERROR(MATCH(J3589,'Final List'!$D$4:$D$252,0),0)</f>
        <v>0</v>
      </c>
      <c r="M3589" s="169">
        <f>IFERROR(MATCH(J3589,'Final List'!$F$4:$F$251,0),0)</f>
        <v>0</v>
      </c>
      <c r="N3589" s="169">
        <f>IFERROR(MATCH(J3589,'Final List'!$H$4:$H$252,0),0)</f>
        <v>0</v>
      </c>
      <c r="O3589" s="169">
        <f>IFERROR(MATCH(J3589,'Final List'!$J$4:$J$252,0),0)</f>
        <v>0</v>
      </c>
      <c r="P3589" s="169">
        <f>IFERROR(MATCH(J3589,'Final List'!$L$4:$L$252,0),0)</f>
        <v>0</v>
      </c>
      <c r="Q3589" s="169">
        <f>IFERROR(MATCH(J3589,'Final List'!$N$4:$N$252,0),0)</f>
        <v>0</v>
      </c>
      <c r="R3589" s="169">
        <f>IFERROR(MATCH(J3589,'Final List'!$P$4:$P$252,0),0)</f>
        <v>0</v>
      </c>
      <c r="S3589" s="169">
        <f t="shared" si="228"/>
        <v>0</v>
      </c>
      <c r="V3589" s="169" t="str">
        <f t="shared" si="224"/>
        <v>NITRO BR</v>
      </c>
      <c r="W3589" s="169" t="s">
        <v>8896</v>
      </c>
    </row>
    <row r="3590" spans="2:23" x14ac:dyDescent="0.25">
      <c r="B3590" s="169" t="s">
        <v>258</v>
      </c>
      <c r="C3590" s="169" t="s">
        <v>87</v>
      </c>
      <c r="D3590" s="169" t="s">
        <v>161</v>
      </c>
      <c r="E3590" s="169" t="s">
        <v>63</v>
      </c>
      <c r="F3590" s="245" t="str">
        <f t="shared" si="227"/>
        <v>Dhoz 71</v>
      </c>
      <c r="G3590" s="169" t="s">
        <v>13951</v>
      </c>
      <c r="I3590" s="169" t="str">
        <f t="shared" si="229"/>
        <v>L10_NONE_044E_XCS</v>
      </c>
      <c r="J3590" s="169" t="s">
        <v>13948</v>
      </c>
      <c r="K3590" s="169">
        <f>IFERROR(MATCH(J3590,'Final List'!$B$4:$B$252,0),0)</f>
        <v>0</v>
      </c>
      <c r="L3590" s="169">
        <f>IFERROR(MATCH(J3590,'Final List'!$D$4:$D$252,0),0)</f>
        <v>0</v>
      </c>
      <c r="M3590" s="169">
        <f>IFERROR(MATCH(J3590,'Final List'!$F$4:$F$251,0),0)</f>
        <v>0</v>
      </c>
      <c r="N3590" s="169">
        <f>IFERROR(MATCH(J3590,'Final List'!$H$4:$H$252,0),0)</f>
        <v>0</v>
      </c>
      <c r="O3590" s="169">
        <f>IFERROR(MATCH(J3590,'Final List'!$J$4:$J$252,0),0)</f>
        <v>0</v>
      </c>
      <c r="P3590" s="169">
        <f>IFERROR(MATCH(J3590,'Final List'!$L$4:$L$252,0),0)</f>
        <v>0</v>
      </c>
      <c r="Q3590" s="169">
        <f>IFERROR(MATCH(J3590,'Final List'!$N$4:$N$252,0),0)</f>
        <v>0</v>
      </c>
      <c r="R3590" s="169">
        <f>IFERROR(MATCH(J3590,'Final List'!$P$4:$P$252,0),0)</f>
        <v>0</v>
      </c>
      <c r="S3590" s="169">
        <f t="shared" si="228"/>
        <v>0</v>
      </c>
      <c r="V3590" s="169" t="str">
        <f t="shared" si="224"/>
        <v>PMC MINER 1</v>
      </c>
      <c r="W3590" s="169" t="s">
        <v>8898</v>
      </c>
    </row>
    <row r="3591" spans="2:23" x14ac:dyDescent="0.25">
      <c r="B3591" s="169" t="s">
        <v>96</v>
      </c>
      <c r="C3591" s="169" t="s">
        <v>59</v>
      </c>
      <c r="D3591" s="169" t="s">
        <v>131</v>
      </c>
      <c r="E3591" s="169" t="s">
        <v>60</v>
      </c>
      <c r="F3591" s="245" t="str">
        <f t="shared" si="227"/>
        <v>Dhoz 71</v>
      </c>
      <c r="G3591" s="169" t="s">
        <v>6621</v>
      </c>
      <c r="I3591" s="169" t="str">
        <f t="shared" si="229"/>
        <v>L09_GHVHW_011E_DE</v>
      </c>
      <c r="J3591" s="169" t="s">
        <v>13998</v>
      </c>
      <c r="K3591" s="169">
        <f>IFERROR(MATCH(J3591,'Final List'!$B$4:$B$252,0),0)</f>
        <v>0</v>
      </c>
      <c r="L3591" s="169">
        <f>IFERROR(MATCH(J3591,'Final List'!$D$4:$D$252,0),0)</f>
        <v>0</v>
      </c>
      <c r="M3591" s="169">
        <f>IFERROR(MATCH(J3591,'Final List'!$F$4:$F$251,0),0)</f>
        <v>0</v>
      </c>
      <c r="N3591" s="169">
        <f>IFERROR(MATCH(J3591,'Final List'!$H$4:$H$252,0),0)</f>
        <v>0</v>
      </c>
      <c r="O3591" s="169">
        <f>IFERROR(MATCH(J3591,'Final List'!$J$4:$J$252,0),0)</f>
        <v>0</v>
      </c>
      <c r="P3591" s="169">
        <f>IFERROR(MATCH(J3591,'Final List'!$L$4:$L$252,0),0)</f>
        <v>0</v>
      </c>
      <c r="Q3591" s="169">
        <f>IFERROR(MATCH(J3591,'Final List'!$N$4:$N$252,0),0)</f>
        <v>0</v>
      </c>
      <c r="R3591" s="169">
        <f>IFERROR(MATCH(J3591,'Final List'!$P$4:$P$252,0),0)</f>
        <v>0</v>
      </c>
      <c r="S3591" s="169">
        <f t="shared" si="228"/>
        <v>0</v>
      </c>
      <c r="V3591" s="169" t="str">
        <f t="shared" si="224"/>
        <v>DELOS REYES V1</v>
      </c>
      <c r="W3591" s="169" t="s">
        <v>8896</v>
      </c>
    </row>
    <row r="3592" spans="2:23" x14ac:dyDescent="0.25">
      <c r="B3592" s="169" t="s">
        <v>12320</v>
      </c>
      <c r="C3592" s="169" t="s">
        <v>38</v>
      </c>
      <c r="D3592" s="169" t="s">
        <v>146</v>
      </c>
      <c r="E3592" s="169" t="s">
        <v>19</v>
      </c>
      <c r="F3592" s="245" t="str">
        <f t="shared" si="227"/>
        <v>DVR 72</v>
      </c>
      <c r="G3592" s="169" t="s">
        <v>747</v>
      </c>
      <c r="I3592" s="169" t="str">
        <f t="shared" si="229"/>
        <v>L425_GHV_030E_RAISE</v>
      </c>
      <c r="J3592" s="169" t="s">
        <v>13950</v>
      </c>
      <c r="K3592" s="169">
        <f>IFERROR(MATCH(J3592,'Final List'!$B$4:$B$252,0),0)</f>
        <v>0</v>
      </c>
      <c r="L3592" s="169">
        <f>IFERROR(MATCH(J3592,'Final List'!$D$4:$D$252,0),0)</f>
        <v>0</v>
      </c>
      <c r="M3592" s="169">
        <f>IFERROR(MATCH(J3592,'Final List'!$F$4:$F$251,0),0)</f>
        <v>0</v>
      </c>
      <c r="N3592" s="169">
        <f>IFERROR(MATCH(J3592,'Final List'!$H$4:$H$252,0),0)</f>
        <v>0</v>
      </c>
      <c r="O3592" s="169">
        <f>IFERROR(MATCH(J3592,'Final List'!$J$4:$J$252,0),0)</f>
        <v>0</v>
      </c>
      <c r="P3592" s="169">
        <f>IFERROR(MATCH(J3592,'Final List'!$L$4:$L$252,0),0)</f>
        <v>0</v>
      </c>
      <c r="Q3592" s="169">
        <f>IFERROR(MATCH(J3592,'Final List'!$N$4:$N$252,0),0)</f>
        <v>0</v>
      </c>
      <c r="R3592" s="169">
        <f>IFERROR(MATCH(J3592,'Final List'!$P$4:$P$252,0),0)</f>
        <v>0</v>
      </c>
      <c r="S3592" s="169">
        <f t="shared" si="228"/>
        <v>0</v>
      </c>
      <c r="V3592" s="169" t="str">
        <f t="shared" si="224"/>
        <v>REBOTE</v>
      </c>
      <c r="W3592" s="169" t="s">
        <v>2715</v>
      </c>
    </row>
    <row r="3593" spans="2:23" x14ac:dyDescent="0.25">
      <c r="B3593" s="169" t="s">
        <v>1166</v>
      </c>
      <c r="C3593" s="169" t="s">
        <v>39</v>
      </c>
      <c r="D3593" s="169" t="s">
        <v>6518</v>
      </c>
      <c r="E3593" s="169" t="s">
        <v>61</v>
      </c>
      <c r="F3593" s="245" t="str">
        <f t="shared" si="227"/>
        <v>Dhoz 71</v>
      </c>
      <c r="G3593" s="169" t="s">
        <v>342</v>
      </c>
      <c r="I3593" s="169" t="str">
        <f t="shared" si="229"/>
        <v>L11_JVHW_007E_DW</v>
      </c>
      <c r="J3593" s="169" t="s">
        <v>13958</v>
      </c>
      <c r="K3593" s="169">
        <f>IFERROR(MATCH(J3593,'Final List'!$B$4:$B$252,0),0)</f>
        <v>0</v>
      </c>
      <c r="L3593" s="169">
        <f>IFERROR(MATCH(J3593,'Final List'!$D$4:$D$252,0),0)</f>
        <v>0</v>
      </c>
      <c r="M3593" s="169">
        <f>IFERROR(MATCH(J3593,'Final List'!$F$4:$F$251,0),0)</f>
        <v>0</v>
      </c>
      <c r="N3593" s="169">
        <f>IFERROR(MATCH(J3593,'Final List'!$H$4:$H$252,0),0)</f>
        <v>0</v>
      </c>
      <c r="O3593" s="169">
        <f>IFERROR(MATCH(J3593,'Final List'!$J$4:$J$252,0),0)</f>
        <v>0</v>
      </c>
      <c r="P3593" s="169">
        <f>IFERROR(MATCH(J3593,'Final List'!$L$4:$L$252,0),0)</f>
        <v>0</v>
      </c>
      <c r="Q3593" s="169">
        <f>IFERROR(MATCH(J3593,'Final List'!$N$4:$N$252,0),0)</f>
        <v>0</v>
      </c>
      <c r="R3593" s="169">
        <f>IFERROR(MATCH(J3593,'Final List'!$P$4:$P$252,0),0)</f>
        <v>0</v>
      </c>
      <c r="S3593" s="169">
        <f t="shared" si="228"/>
        <v>0</v>
      </c>
      <c r="V3593" s="169" t="str">
        <f t="shared" si="224"/>
        <v>BADBADON 2</v>
      </c>
      <c r="W3593" s="169" t="s">
        <v>8896</v>
      </c>
    </row>
    <row r="3594" spans="2:23" x14ac:dyDescent="0.25">
      <c r="B3594" s="169" t="s">
        <v>95</v>
      </c>
      <c r="C3594" s="169" t="s">
        <v>38</v>
      </c>
      <c r="D3594" s="169" t="s">
        <v>6518</v>
      </c>
      <c r="E3594" s="169" t="s">
        <v>62</v>
      </c>
      <c r="F3594" s="245" t="str">
        <f t="shared" si="227"/>
        <v>RobS 79</v>
      </c>
      <c r="G3594" s="169" t="s">
        <v>13952</v>
      </c>
      <c r="I3594" s="169" t="str">
        <f t="shared" si="229"/>
        <v>L08_GHV_007E_ROBBING</v>
      </c>
      <c r="J3594" s="169" t="s">
        <v>13963</v>
      </c>
      <c r="K3594" s="169">
        <f>IFERROR(MATCH(J3594,'Final List'!$B$4:$B$252,0),0)</f>
        <v>0</v>
      </c>
      <c r="L3594" s="169">
        <f>IFERROR(MATCH(J3594,'Final List'!$D$4:$D$252,0),0)</f>
        <v>0</v>
      </c>
      <c r="M3594" s="169">
        <f>IFERROR(MATCH(J3594,'Final List'!$F$4:$F$251,0),0)</f>
        <v>0</v>
      </c>
      <c r="N3594" s="169">
        <f>IFERROR(MATCH(J3594,'Final List'!$H$4:$H$252,0),0)</f>
        <v>0</v>
      </c>
      <c r="O3594" s="169">
        <f>IFERROR(MATCH(J3594,'Final List'!$J$4:$J$252,0),0)</f>
        <v>0</v>
      </c>
      <c r="P3594" s="169">
        <f>IFERROR(MATCH(J3594,'Final List'!$L$4:$L$252,0),0)</f>
        <v>0</v>
      </c>
      <c r="Q3594" s="169">
        <f>IFERROR(MATCH(J3594,'Final List'!$N$4:$N$252,0),0)</f>
        <v>0</v>
      </c>
      <c r="R3594" s="169">
        <f>IFERROR(MATCH(J3594,'Final List'!$P$4:$P$252,0),0)</f>
        <v>0</v>
      </c>
      <c r="S3594" s="169">
        <f t="shared" si="228"/>
        <v>0</v>
      </c>
      <c r="T3594" s="169" t="s">
        <v>68</v>
      </c>
      <c r="V3594" s="169" t="str">
        <f t="shared" si="224"/>
        <v>FERNANDEZ 5</v>
      </c>
      <c r="W3594" s="169" t="s">
        <v>2707</v>
      </c>
    </row>
    <row r="3595" spans="2:23" x14ac:dyDescent="0.25">
      <c r="B3595" s="169" t="s">
        <v>95</v>
      </c>
      <c r="C3595" s="169" t="s">
        <v>87</v>
      </c>
      <c r="D3595" s="169" t="s">
        <v>114</v>
      </c>
      <c r="E3595" s="169" t="s">
        <v>37</v>
      </c>
      <c r="F3595" s="245" t="str">
        <f t="shared" si="227"/>
        <v>Dhoz 71</v>
      </c>
      <c r="G3595" s="169" t="s">
        <v>13666</v>
      </c>
      <c r="I3595" s="169" t="str">
        <f t="shared" si="229"/>
        <v>L08_NONE_025W_XCN</v>
      </c>
      <c r="J3595" s="169" t="s">
        <v>13965</v>
      </c>
      <c r="K3595" s="169">
        <f>IFERROR(MATCH(J3595,'Final List'!$B$4:$B$252,0),0)</f>
        <v>0</v>
      </c>
      <c r="L3595" s="169">
        <f>IFERROR(MATCH(J3595,'Final List'!$D$4:$D$252,0),0)</f>
        <v>0</v>
      </c>
      <c r="M3595" s="169">
        <f>IFERROR(MATCH(J3595,'Final List'!$F$4:$F$251,0),0)</f>
        <v>0</v>
      </c>
      <c r="N3595" s="169">
        <f>IFERROR(MATCH(J3595,'Final List'!$H$4:$H$252,0),0)</f>
        <v>0</v>
      </c>
      <c r="O3595" s="169">
        <f>IFERROR(MATCH(J3595,'Final List'!$J$4:$J$252,0),0)</f>
        <v>0</v>
      </c>
      <c r="P3595" s="169">
        <f>IFERROR(MATCH(J3595,'Final List'!$L$4:$L$252,0),0)</f>
        <v>0</v>
      </c>
      <c r="Q3595" s="169">
        <f>IFERROR(MATCH(J3595,'Final List'!$N$4:$N$252,0),0)</f>
        <v>0</v>
      </c>
      <c r="R3595" s="169">
        <f>IFERROR(MATCH(J3595,'Final List'!$P$4:$P$252,0),0)</f>
        <v>0</v>
      </c>
      <c r="S3595" s="169">
        <f t="shared" si="228"/>
        <v>0</v>
      </c>
      <c r="V3595" s="169" t="str">
        <f t="shared" si="224"/>
        <v>NITRO BZ 1</v>
      </c>
      <c r="W3595" s="169" t="s">
        <v>8897</v>
      </c>
    </row>
    <row r="3596" spans="2:23" x14ac:dyDescent="0.25">
      <c r="B3596" s="169" t="s">
        <v>96</v>
      </c>
      <c r="C3596" s="169" t="s">
        <v>59</v>
      </c>
      <c r="D3596" s="169" t="s">
        <v>5689</v>
      </c>
      <c r="E3596" s="169" t="s">
        <v>61</v>
      </c>
      <c r="F3596" s="245" t="str">
        <f t="shared" si="227"/>
        <v>Dhoz 71</v>
      </c>
      <c r="G3596" s="169" t="s">
        <v>13105</v>
      </c>
      <c r="H3596" s="169" t="s">
        <v>6878</v>
      </c>
      <c r="I3596" s="169" t="str">
        <f t="shared" si="229"/>
        <v>L09_GHVHW_003E_DW</v>
      </c>
      <c r="J3596" s="169" t="s">
        <v>13959</v>
      </c>
      <c r="K3596" s="169">
        <f>IFERROR(MATCH(J3596,'Final List'!$B$4:$B$252,0),0)</f>
        <v>0</v>
      </c>
      <c r="L3596" s="169">
        <f>IFERROR(MATCH(J3596,'Final List'!$D$4:$D$252,0),0)</f>
        <v>0</v>
      </c>
      <c r="M3596" s="169">
        <f>IFERROR(MATCH(J3596,'Final List'!$F$4:$F$251,0),0)</f>
        <v>0</v>
      </c>
      <c r="N3596" s="169">
        <f>IFERROR(MATCH(J3596,'Final List'!$H$4:$H$252,0),0)</f>
        <v>0</v>
      </c>
      <c r="O3596" s="169">
        <f>IFERROR(MATCH(J3596,'Final List'!$J$4:$J$252,0),0)</f>
        <v>0</v>
      </c>
      <c r="P3596" s="169">
        <f>IFERROR(MATCH(J3596,'Final List'!$L$4:$L$252,0),0)</f>
        <v>0</v>
      </c>
      <c r="Q3596" s="169">
        <f>IFERROR(MATCH(J3596,'Final List'!$N$4:$N$252,0),0)</f>
        <v>0</v>
      </c>
      <c r="R3596" s="169">
        <f>IFERROR(MATCH(J3596,'Final List'!$P$4:$P$252,0),0)</f>
        <v>0</v>
      </c>
      <c r="S3596" s="169">
        <f t="shared" si="228"/>
        <v>0</v>
      </c>
      <c r="V3596" s="169" t="str">
        <f t="shared" si="224"/>
        <v>BALANGHIG</v>
      </c>
      <c r="W3596" s="169" t="s">
        <v>8896</v>
      </c>
    </row>
    <row r="3597" spans="2:23" x14ac:dyDescent="0.25">
      <c r="B3597" s="169" t="s">
        <v>1166</v>
      </c>
      <c r="C3597" s="169" t="s">
        <v>45</v>
      </c>
      <c r="D3597" s="169" t="s">
        <v>6387</v>
      </c>
      <c r="E3597" s="169" t="s">
        <v>60</v>
      </c>
      <c r="F3597" s="245" t="str">
        <f t="shared" si="227"/>
        <v>Dhoz 71</v>
      </c>
      <c r="G3597" s="169" t="s">
        <v>401</v>
      </c>
      <c r="I3597" s="169" t="str">
        <f t="shared" si="229"/>
        <v>L11_DPVE_079E_DE</v>
      </c>
      <c r="J3597" s="169" t="s">
        <v>13967</v>
      </c>
      <c r="K3597" s="169">
        <f>IFERROR(MATCH(J3597,'Final List'!$B$4:$B$252,0),0)</f>
        <v>0</v>
      </c>
      <c r="L3597" s="169">
        <f>IFERROR(MATCH(J3597,'Final List'!$D$4:$D$252,0),0)</f>
        <v>0</v>
      </c>
      <c r="M3597" s="169">
        <f>IFERROR(MATCH(J3597,'Final List'!$F$4:$F$251,0),0)</f>
        <v>0</v>
      </c>
      <c r="N3597" s="169">
        <f>IFERROR(MATCH(J3597,'Final List'!$H$4:$H$252,0),0)</f>
        <v>0</v>
      </c>
      <c r="O3597" s="169">
        <f>IFERROR(MATCH(J3597,'Final List'!$J$4:$J$252,0),0)</f>
        <v>0</v>
      </c>
      <c r="P3597" s="169">
        <f>IFERROR(MATCH(J3597,'Final List'!$L$4:$L$252,0),0)</f>
        <v>0</v>
      </c>
      <c r="Q3597" s="169">
        <f>IFERROR(MATCH(J3597,'Final List'!$N$4:$N$252,0),0)</f>
        <v>0</v>
      </c>
      <c r="R3597" s="169">
        <f>IFERROR(MATCH(J3597,'Final List'!$P$4:$P$252,0),0)</f>
        <v>0</v>
      </c>
      <c r="S3597" s="169">
        <f t="shared" si="228"/>
        <v>0</v>
      </c>
      <c r="V3597" s="169" t="str">
        <f t="shared" si="224"/>
        <v>MAPAYO 2</v>
      </c>
      <c r="W3597" s="169" t="s">
        <v>8896</v>
      </c>
    </row>
    <row r="3598" spans="2:23" x14ac:dyDescent="0.25">
      <c r="B3598" s="169" t="s">
        <v>258</v>
      </c>
      <c r="C3598" s="169" t="s">
        <v>59</v>
      </c>
      <c r="D3598" s="169" t="s">
        <v>140</v>
      </c>
      <c r="E3598" s="169" t="s">
        <v>61</v>
      </c>
      <c r="F3598" s="245" t="str">
        <f t="shared" si="227"/>
        <v>Dhoz 71</v>
      </c>
      <c r="G3598" s="169" t="s">
        <v>5701</v>
      </c>
      <c r="I3598" s="169" t="str">
        <f t="shared" si="229"/>
        <v>L10_GHVHW_005W_DW</v>
      </c>
      <c r="J3598" s="169" t="s">
        <v>13972</v>
      </c>
      <c r="K3598" s="169">
        <f>IFERROR(MATCH(J3598,'Final List'!$B$4:$B$252,0),0)</f>
        <v>0</v>
      </c>
      <c r="L3598" s="169">
        <f>IFERROR(MATCH(J3598,'Final List'!$D$4:$D$252,0),0)</f>
        <v>0</v>
      </c>
      <c r="M3598" s="169">
        <f>IFERROR(MATCH(J3598,'Final List'!$F$4:$F$251,0),0)</f>
        <v>0</v>
      </c>
      <c r="N3598" s="169">
        <f>IFERROR(MATCH(J3598,'Final List'!$H$4:$H$252,0),0)</f>
        <v>0</v>
      </c>
      <c r="O3598" s="169">
        <f>IFERROR(MATCH(J3598,'Final List'!$J$4:$J$252,0),0)</f>
        <v>0</v>
      </c>
      <c r="P3598" s="169">
        <f>IFERROR(MATCH(J3598,'Final List'!$L$4:$L$252,0),0)</f>
        <v>0</v>
      </c>
      <c r="Q3598" s="169">
        <f>IFERROR(MATCH(J3598,'Final List'!$N$4:$N$252,0),0)</f>
        <v>0</v>
      </c>
      <c r="R3598" s="169">
        <f>IFERROR(MATCH(J3598,'Final List'!$P$4:$P$252,0),0)</f>
        <v>0</v>
      </c>
      <c r="S3598" s="169">
        <f t="shared" si="228"/>
        <v>0</v>
      </c>
      <c r="V3598" s="169" t="str">
        <f t="shared" si="224"/>
        <v>LARGO 2</v>
      </c>
      <c r="W3598" s="169" t="s">
        <v>8896</v>
      </c>
    </row>
    <row r="3599" spans="2:23" x14ac:dyDescent="0.25">
      <c r="B3599" s="169" t="s">
        <v>96</v>
      </c>
      <c r="C3599" s="169" t="s">
        <v>87</v>
      </c>
      <c r="D3599" s="169" t="s">
        <v>10459</v>
      </c>
      <c r="E3599" s="169" t="s">
        <v>37</v>
      </c>
      <c r="F3599" s="245" t="str">
        <f t="shared" si="227"/>
        <v>Dhoz 71</v>
      </c>
      <c r="G3599" s="169" t="s">
        <v>13976</v>
      </c>
      <c r="I3599" s="169" t="str">
        <f t="shared" si="229"/>
        <v>L09_NONE_045W_XCN</v>
      </c>
      <c r="J3599" s="169" t="s">
        <v>13975</v>
      </c>
      <c r="K3599" s="169">
        <f>IFERROR(MATCH(J3599,'Final List'!$B$4:$B$252,0),0)</f>
        <v>0</v>
      </c>
      <c r="L3599" s="169">
        <f>IFERROR(MATCH(J3599,'Final List'!$D$4:$D$252,0),0)</f>
        <v>0</v>
      </c>
      <c r="M3599" s="169">
        <f>IFERROR(MATCH(J3599,'Final List'!$F$4:$F$251,0),0)</f>
        <v>0</v>
      </c>
      <c r="N3599" s="169">
        <f>IFERROR(MATCH(J3599,'Final List'!$H$4:$H$252,0),0)</f>
        <v>0</v>
      </c>
      <c r="O3599" s="169">
        <f>IFERROR(MATCH(J3599,'Final List'!$J$4:$J$252,0),0)</f>
        <v>0</v>
      </c>
      <c r="P3599" s="169">
        <f>IFERROR(MATCH(J3599,'Final List'!$L$4:$L$252,0),0)</f>
        <v>0</v>
      </c>
      <c r="Q3599" s="169">
        <f>IFERROR(MATCH(J3599,'Final List'!$N$4:$N$252,0),0)</f>
        <v>0</v>
      </c>
      <c r="R3599" s="169">
        <f>IFERROR(MATCH(J3599,'Final List'!$P$4:$P$252,0),0)</f>
        <v>0</v>
      </c>
      <c r="S3599" s="169">
        <f t="shared" si="228"/>
        <v>0</v>
      </c>
      <c r="V3599" s="169" t="str">
        <f t="shared" si="224"/>
        <v>DELOS REYES </v>
      </c>
      <c r="W3599" s="169" t="s">
        <v>8898</v>
      </c>
    </row>
    <row r="3600" spans="2:23" x14ac:dyDescent="0.25">
      <c r="B3600" s="169" t="s">
        <v>1167</v>
      </c>
      <c r="C3600" s="169" t="s">
        <v>45</v>
      </c>
      <c r="D3600" s="169" t="s">
        <v>5850</v>
      </c>
      <c r="E3600" s="169" t="s">
        <v>19</v>
      </c>
      <c r="F3600" s="245" t="str">
        <f t="shared" si="227"/>
        <v>DVR 72</v>
      </c>
      <c r="G3600" s="169" t="s">
        <v>14131</v>
      </c>
      <c r="I3600" s="169" t="str">
        <f t="shared" si="229"/>
        <v>L12_DPVE_016E_RAISE</v>
      </c>
      <c r="J3600" s="169" t="s">
        <v>13977</v>
      </c>
      <c r="K3600" s="169">
        <f>IFERROR(MATCH(J3600,'Final List'!$B$4:$B$252,0),0)</f>
        <v>0</v>
      </c>
      <c r="L3600" s="169">
        <f>IFERROR(MATCH(J3600,'Final List'!$D$4:$D$252,0),0)</f>
        <v>0</v>
      </c>
      <c r="M3600" s="169">
        <f>IFERROR(MATCH(J3600,'Final List'!$F$4:$F$251,0),0)</f>
        <v>0</v>
      </c>
      <c r="N3600" s="169">
        <f>IFERROR(MATCH(J3600,'Final List'!$H$4:$H$252,0),0)</f>
        <v>0</v>
      </c>
      <c r="O3600" s="169">
        <f>IFERROR(MATCH(J3600,'Final List'!$J$4:$J$252,0),0)</f>
        <v>0</v>
      </c>
      <c r="P3600" s="169">
        <f>IFERROR(MATCH(J3600,'Final List'!$L$4:$L$252,0),0)</f>
        <v>0</v>
      </c>
      <c r="Q3600" s="169">
        <f>IFERROR(MATCH(J3600,'Final List'!$N$4:$N$252,0),0)</f>
        <v>0</v>
      </c>
      <c r="R3600" s="169">
        <f>IFERROR(MATCH(J3600,'Final List'!$P$4:$P$252,0),0)</f>
        <v>0</v>
      </c>
      <c r="S3600" s="169">
        <f t="shared" si="228"/>
        <v>0</v>
      </c>
      <c r="V3600" s="169" t="str">
        <f t="shared" si="224"/>
        <v>DURANGO 2</v>
      </c>
      <c r="W3600" s="169" t="s">
        <v>2715</v>
      </c>
    </row>
    <row r="3601" spans="2:23" x14ac:dyDescent="0.25">
      <c r="B3601" s="169" t="s">
        <v>1167</v>
      </c>
      <c r="C3601" s="169" t="s">
        <v>45</v>
      </c>
      <c r="D3601" s="169" t="s">
        <v>595</v>
      </c>
      <c r="E3601" s="169" t="s">
        <v>19</v>
      </c>
      <c r="F3601" s="245" t="str">
        <f t="shared" si="227"/>
        <v>DVR 72</v>
      </c>
      <c r="G3601" s="169" t="s">
        <v>6930</v>
      </c>
      <c r="I3601" s="169" t="str">
        <f t="shared" si="229"/>
        <v>L12_DPVE_072E_RAISE</v>
      </c>
      <c r="J3601" s="169" t="s">
        <v>13978</v>
      </c>
      <c r="K3601" s="169">
        <f>IFERROR(MATCH(J3601,'Final List'!$B$4:$B$252,0),0)</f>
        <v>0</v>
      </c>
      <c r="L3601" s="169">
        <f>IFERROR(MATCH(J3601,'Final List'!$D$4:$D$252,0),0)</f>
        <v>0</v>
      </c>
      <c r="M3601" s="169">
        <f>IFERROR(MATCH(J3601,'Final List'!$F$4:$F$251,0),0)</f>
        <v>0</v>
      </c>
      <c r="N3601" s="169">
        <f>IFERROR(MATCH(J3601,'Final List'!$H$4:$H$252,0),0)</f>
        <v>0</v>
      </c>
      <c r="O3601" s="169">
        <f>IFERROR(MATCH(J3601,'Final List'!$J$4:$J$252,0),0)</f>
        <v>0</v>
      </c>
      <c r="P3601" s="169">
        <f>IFERROR(MATCH(J3601,'Final List'!$L$4:$L$252,0),0)</f>
        <v>0</v>
      </c>
      <c r="Q3601" s="169">
        <f>IFERROR(MATCH(J3601,'Final List'!$N$4:$N$252,0),0)</f>
        <v>0</v>
      </c>
      <c r="R3601" s="169">
        <f>IFERROR(MATCH(J3601,'Final List'!$P$4:$P$252,0),0)</f>
        <v>0</v>
      </c>
      <c r="S3601" s="169">
        <f t="shared" si="228"/>
        <v>0</v>
      </c>
      <c r="V3601" s="169" t="str">
        <f t="shared" si="224"/>
        <v>DUHIG, P1</v>
      </c>
      <c r="W3601" s="169" t="s">
        <v>2715</v>
      </c>
    </row>
    <row r="3602" spans="2:23" x14ac:dyDescent="0.25">
      <c r="B3602" s="169" t="s">
        <v>95</v>
      </c>
      <c r="C3602" s="169" t="s">
        <v>45</v>
      </c>
      <c r="D3602" s="169" t="s">
        <v>6833</v>
      </c>
      <c r="E3602" s="169" t="s">
        <v>19</v>
      </c>
      <c r="F3602" s="245" t="str">
        <f t="shared" si="227"/>
        <v>DVR 72</v>
      </c>
      <c r="G3602" s="169" t="s">
        <v>6925</v>
      </c>
      <c r="I3602" s="169" t="str">
        <f t="shared" si="229"/>
        <v>L08_DPVE_017W_RAISE</v>
      </c>
      <c r="J3602" s="169" t="s">
        <v>13990</v>
      </c>
      <c r="K3602" s="169">
        <f>IFERROR(MATCH(J3602,'Final List'!$B$4:$B$252,0),0)</f>
        <v>0</v>
      </c>
      <c r="L3602" s="169">
        <f>IFERROR(MATCH(J3602,'Final List'!$D$4:$D$252,0),0)</f>
        <v>0</v>
      </c>
      <c r="M3602" s="169">
        <f>IFERROR(MATCH(J3602,'Final List'!$F$4:$F$251,0),0)</f>
        <v>0</v>
      </c>
      <c r="N3602" s="169">
        <f>IFERROR(MATCH(J3602,'Final List'!$H$4:$H$252,0),0)</f>
        <v>0</v>
      </c>
      <c r="O3602" s="169">
        <f>IFERROR(MATCH(J3602,'Final List'!$J$4:$J$252,0),0)</f>
        <v>0</v>
      </c>
      <c r="P3602" s="169">
        <f>IFERROR(MATCH(J3602,'Final List'!$L$4:$L$252,0),0)</f>
        <v>0</v>
      </c>
      <c r="Q3602" s="169">
        <f>IFERROR(MATCH(J3602,'Final List'!$N$4:$N$252,0),0)</f>
        <v>0</v>
      </c>
      <c r="R3602" s="169">
        <f>IFERROR(MATCH(J3602,'Final List'!$P$4:$P$252,0),0)</f>
        <v>0</v>
      </c>
      <c r="S3602" s="169">
        <f t="shared" si="228"/>
        <v>0</v>
      </c>
      <c r="V3602" s="169" t="str">
        <f t="shared" ref="V3602:V3665" si="230">IF(H3602="",G3602,H3602)</f>
        <v>CAPUYAN 1</v>
      </c>
      <c r="W3602" s="169" t="s">
        <v>2715</v>
      </c>
    </row>
    <row r="3603" spans="2:23" x14ac:dyDescent="0.25">
      <c r="B3603" s="169" t="s">
        <v>12320</v>
      </c>
      <c r="C3603" s="169" t="s">
        <v>87</v>
      </c>
      <c r="D3603" s="169" t="s">
        <v>5742</v>
      </c>
      <c r="E3603" s="169" t="s">
        <v>37</v>
      </c>
      <c r="F3603" s="245" t="str">
        <f t="shared" si="227"/>
        <v>Dhoz 71</v>
      </c>
      <c r="G3603" s="169" t="s">
        <v>474</v>
      </c>
      <c r="I3603" s="169" t="str">
        <f t="shared" si="229"/>
        <v>L425_NONE_040E_XCN</v>
      </c>
      <c r="J3603" s="169" t="s">
        <v>14001</v>
      </c>
      <c r="K3603" s="169">
        <f>IFERROR(MATCH(J3603,'Final List'!$B$4:$B$252,0),0)</f>
        <v>0</v>
      </c>
      <c r="L3603" s="169">
        <f>IFERROR(MATCH(J3603,'Final List'!$D$4:$D$252,0),0)</f>
        <v>0</v>
      </c>
      <c r="M3603" s="169">
        <f>IFERROR(MATCH(J3603,'Final List'!$F$4:$F$251,0),0)</f>
        <v>0</v>
      </c>
      <c r="N3603" s="169">
        <f>IFERROR(MATCH(J3603,'Final List'!$H$4:$H$252,0),0)</f>
        <v>0</v>
      </c>
      <c r="O3603" s="169">
        <f>IFERROR(MATCH(J3603,'Final List'!$J$4:$J$252,0),0)</f>
        <v>0</v>
      </c>
      <c r="P3603" s="169">
        <f>IFERROR(MATCH(J3603,'Final List'!$L$4:$L$252,0),0)</f>
        <v>0</v>
      </c>
      <c r="Q3603" s="169">
        <f>IFERROR(MATCH(J3603,'Final List'!$N$4:$N$252,0),0)</f>
        <v>0</v>
      </c>
      <c r="R3603" s="169">
        <f>IFERROR(MATCH(J3603,'Final List'!$P$4:$P$252,0),0)</f>
        <v>0</v>
      </c>
      <c r="S3603" s="169">
        <f t="shared" si="228"/>
        <v>0</v>
      </c>
      <c r="V3603" s="169" t="str">
        <f t="shared" si="230"/>
        <v>TORMIS 1</v>
      </c>
      <c r="W3603" s="169" t="s">
        <v>8898</v>
      </c>
    </row>
    <row r="3604" spans="2:23" x14ac:dyDescent="0.25">
      <c r="B3604" s="169" t="s">
        <v>1167</v>
      </c>
      <c r="C3604" s="169" t="s">
        <v>38</v>
      </c>
      <c r="D3604" s="169" t="s">
        <v>201</v>
      </c>
      <c r="E3604" s="169" t="s">
        <v>62</v>
      </c>
      <c r="F3604" s="245" t="str">
        <f t="shared" si="227"/>
        <v>RobS 79</v>
      </c>
      <c r="G3604" s="169" t="s">
        <v>13989</v>
      </c>
      <c r="I3604" s="169" t="str">
        <f t="shared" si="229"/>
        <v>L12_GHV_067E_ROBBING</v>
      </c>
      <c r="J3604" s="169" t="s">
        <v>13988</v>
      </c>
      <c r="K3604" s="169">
        <f>IFERROR(MATCH(J3604,'Final List'!$B$4:$B$252,0),0)</f>
        <v>0</v>
      </c>
      <c r="L3604" s="169">
        <f>IFERROR(MATCH(J3604,'Final List'!$D$4:$D$252,0),0)</f>
        <v>0</v>
      </c>
      <c r="M3604" s="169">
        <f>IFERROR(MATCH(J3604,'Final List'!$F$4:$F$251,0),0)</f>
        <v>0</v>
      </c>
      <c r="N3604" s="169">
        <f>IFERROR(MATCH(J3604,'Final List'!$H$4:$H$252,0),0)</f>
        <v>0</v>
      </c>
      <c r="O3604" s="169">
        <f>IFERROR(MATCH(J3604,'Final List'!$J$4:$J$252,0),0)</f>
        <v>0</v>
      </c>
      <c r="P3604" s="169">
        <f>IFERROR(MATCH(J3604,'Final List'!$L$4:$L$252,0),0)</f>
        <v>0</v>
      </c>
      <c r="Q3604" s="169">
        <f>IFERROR(MATCH(J3604,'Final List'!$N$4:$N$252,0),0)</f>
        <v>0</v>
      </c>
      <c r="R3604" s="169">
        <f>IFERROR(MATCH(J3604,'Final List'!$P$4:$P$252,0),0)</f>
        <v>0</v>
      </c>
      <c r="S3604" s="169">
        <f t="shared" si="228"/>
        <v>0</v>
      </c>
      <c r="T3604" s="169" t="s">
        <v>68</v>
      </c>
      <c r="V3604" s="169" t="str">
        <f t="shared" si="230"/>
        <v>FERNANDEZ 7</v>
      </c>
      <c r="W3604" s="169" t="s">
        <v>2707</v>
      </c>
    </row>
    <row r="3605" spans="2:23" x14ac:dyDescent="0.25">
      <c r="B3605" s="169" t="s">
        <v>95</v>
      </c>
      <c r="C3605" s="169" t="s">
        <v>56</v>
      </c>
      <c r="D3605" s="169" t="s">
        <v>5601</v>
      </c>
      <c r="E3605" s="169" t="s">
        <v>19</v>
      </c>
      <c r="F3605" s="245" t="str">
        <f t="shared" si="227"/>
        <v>DVR 72</v>
      </c>
      <c r="G3605" s="169" t="s">
        <v>13066</v>
      </c>
      <c r="I3605" s="169" t="str">
        <f t="shared" si="229"/>
        <v>L08_GHVFW_026E_RAISE</v>
      </c>
      <c r="J3605" s="169" t="s">
        <v>637</v>
      </c>
      <c r="K3605" s="169">
        <f>IFERROR(MATCH(J3605,'Final List'!$B$4:$B$252,0),0)</f>
        <v>0</v>
      </c>
      <c r="L3605" s="169">
        <f>IFERROR(MATCH(J3605,'Final List'!$D$4:$D$252,0),0)</f>
        <v>0</v>
      </c>
      <c r="M3605" s="169">
        <f>IFERROR(MATCH(J3605,'Final List'!$F$4:$F$251,0),0)</f>
        <v>0</v>
      </c>
      <c r="N3605" s="169">
        <f>IFERROR(MATCH(J3605,'Final List'!$H$4:$H$252,0),0)</f>
        <v>0</v>
      </c>
      <c r="O3605" s="169">
        <f>IFERROR(MATCH(J3605,'Final List'!$J$4:$J$252,0),0)</f>
        <v>0</v>
      </c>
      <c r="P3605" s="169">
        <f>IFERROR(MATCH(J3605,'Final List'!$L$4:$L$252,0),0)</f>
        <v>0</v>
      </c>
      <c r="Q3605" s="169">
        <f>IFERROR(MATCH(J3605,'Final List'!$N$4:$N$252,0),0)</f>
        <v>0</v>
      </c>
      <c r="R3605" s="169">
        <f>IFERROR(MATCH(J3605,'Final List'!$P$4:$P$252,0),0)</f>
        <v>0</v>
      </c>
      <c r="S3605" s="169">
        <f t="shared" si="228"/>
        <v>0</v>
      </c>
      <c r="V3605" s="169" t="str">
        <f t="shared" si="230"/>
        <v>NITRO BZ</v>
      </c>
      <c r="W3605" s="169" t="s">
        <v>2715</v>
      </c>
    </row>
    <row r="3606" spans="2:23" x14ac:dyDescent="0.25">
      <c r="B3606" s="169" t="s">
        <v>1167</v>
      </c>
      <c r="C3606" s="169" t="s">
        <v>43</v>
      </c>
      <c r="D3606" s="169" t="s">
        <v>175</v>
      </c>
      <c r="E3606" s="169" t="s">
        <v>19</v>
      </c>
      <c r="F3606" s="245" t="str">
        <f t="shared" si="227"/>
        <v>DVR 72</v>
      </c>
      <c r="G3606" s="169" t="s">
        <v>12565</v>
      </c>
      <c r="I3606" s="169" t="str">
        <f t="shared" si="229"/>
        <v>L12_GHVSPLIT_060E_RAISE</v>
      </c>
      <c r="J3606" s="169" t="s">
        <v>13993</v>
      </c>
      <c r="K3606" s="169">
        <f>IFERROR(MATCH(J3606,'Final List'!$B$4:$B$252,0),0)</f>
        <v>0</v>
      </c>
      <c r="L3606" s="169">
        <f>IFERROR(MATCH(J3606,'Final List'!$D$4:$D$252,0),0)</f>
        <v>0</v>
      </c>
      <c r="M3606" s="169">
        <f>IFERROR(MATCH(J3606,'Final List'!$F$4:$F$251,0),0)</f>
        <v>0</v>
      </c>
      <c r="N3606" s="169">
        <f>IFERROR(MATCH(J3606,'Final List'!$H$4:$H$252,0),0)</f>
        <v>0</v>
      </c>
      <c r="O3606" s="169">
        <f>IFERROR(MATCH(J3606,'Final List'!$J$4:$J$252,0),0)</f>
        <v>0</v>
      </c>
      <c r="P3606" s="169">
        <f>IFERROR(MATCH(J3606,'Final List'!$L$4:$L$252,0),0)</f>
        <v>0</v>
      </c>
      <c r="Q3606" s="169">
        <f>IFERROR(MATCH(J3606,'Final List'!$N$4:$N$252,0),0)</f>
        <v>0</v>
      </c>
      <c r="R3606" s="169">
        <f>IFERROR(MATCH(J3606,'Final List'!$P$4:$P$252,0),0)</f>
        <v>0</v>
      </c>
      <c r="S3606" s="169">
        <f t="shared" si="228"/>
        <v>0</v>
      </c>
      <c r="V3606" s="169" t="str">
        <f t="shared" si="230"/>
        <v>NITRO BO</v>
      </c>
      <c r="W3606" s="169" t="s">
        <v>2715</v>
      </c>
    </row>
    <row r="3607" spans="2:23" x14ac:dyDescent="0.25">
      <c r="B3607" s="169" t="s">
        <v>95</v>
      </c>
      <c r="C3607" s="169" t="s">
        <v>45</v>
      </c>
      <c r="D3607" s="169" t="s">
        <v>5742</v>
      </c>
      <c r="E3607" s="169" t="s">
        <v>60</v>
      </c>
      <c r="F3607" s="245" t="str">
        <f t="shared" si="227"/>
        <v>Dhoz 71</v>
      </c>
      <c r="G3607" s="169" t="s">
        <v>12303</v>
      </c>
      <c r="I3607" s="169" t="str">
        <f t="shared" si="229"/>
        <v>L08_DPVE_040E_DE</v>
      </c>
      <c r="J3607" s="169" t="s">
        <v>13996</v>
      </c>
      <c r="K3607" s="169">
        <f>IFERROR(MATCH(J3607,'Final List'!$B$4:$B$252,0),0)</f>
        <v>0</v>
      </c>
      <c r="L3607" s="169">
        <f>IFERROR(MATCH(J3607,'Final List'!$D$4:$D$252,0),0)</f>
        <v>0</v>
      </c>
      <c r="M3607" s="169">
        <f>IFERROR(MATCH(J3607,'Final List'!$F$4:$F$251,0),0)</f>
        <v>0</v>
      </c>
      <c r="N3607" s="169">
        <f>IFERROR(MATCH(J3607,'Final List'!$H$4:$H$252,0),0)</f>
        <v>0</v>
      </c>
      <c r="O3607" s="169">
        <f>IFERROR(MATCH(J3607,'Final List'!$J$4:$J$252,0),0)</f>
        <v>0</v>
      </c>
      <c r="P3607" s="169">
        <f>IFERROR(MATCH(J3607,'Final List'!$L$4:$L$252,0),0)</f>
        <v>0</v>
      </c>
      <c r="Q3607" s="169">
        <f>IFERROR(MATCH(J3607,'Final List'!$N$4:$N$252,0),0)</f>
        <v>0</v>
      </c>
      <c r="R3607" s="169">
        <f>IFERROR(MATCH(J3607,'Final List'!$P$4:$P$252,0),0)</f>
        <v>0</v>
      </c>
      <c r="S3607" s="169">
        <f t="shared" si="228"/>
        <v>0</v>
      </c>
      <c r="V3607" s="169" t="str">
        <f t="shared" si="230"/>
        <v>CAPUYAN 3</v>
      </c>
      <c r="W3607" s="169" t="s">
        <v>8895</v>
      </c>
    </row>
    <row r="3608" spans="2:23" x14ac:dyDescent="0.25">
      <c r="B3608" s="169" t="s">
        <v>1166</v>
      </c>
      <c r="C3608" s="169" t="s">
        <v>56</v>
      </c>
      <c r="D3608" s="169" t="s">
        <v>289</v>
      </c>
      <c r="E3608" s="169" t="s">
        <v>13269</v>
      </c>
      <c r="F3608" s="245">
        <f t="shared" si="227"/>
        <v>0</v>
      </c>
      <c r="G3608" s="169" t="s">
        <v>13403</v>
      </c>
      <c r="I3608" s="169" t="str">
        <f t="shared" si="229"/>
        <v>L11_GHVFW_059E_FILL WINZE</v>
      </c>
      <c r="J3608" s="169" t="s">
        <v>13997</v>
      </c>
      <c r="K3608" s="169">
        <f>IFERROR(MATCH(J3608,'Final List'!$B$4:$B$252,0),0)</f>
        <v>0</v>
      </c>
      <c r="L3608" s="169">
        <f>IFERROR(MATCH(J3608,'Final List'!$D$4:$D$252,0),0)</f>
        <v>0</v>
      </c>
      <c r="M3608" s="169">
        <f>IFERROR(MATCH(J3608,'Final List'!$F$4:$F$251,0),0)</f>
        <v>0</v>
      </c>
      <c r="N3608" s="169">
        <f>IFERROR(MATCH(J3608,'Final List'!$H$4:$H$252,0),0)</f>
        <v>0</v>
      </c>
      <c r="O3608" s="169">
        <f>IFERROR(MATCH(J3608,'Final List'!$J$4:$J$252,0),0)</f>
        <v>0</v>
      </c>
      <c r="P3608" s="169">
        <f>IFERROR(MATCH(J3608,'Final List'!$L$4:$L$252,0),0)</f>
        <v>0</v>
      </c>
      <c r="Q3608" s="169">
        <f>IFERROR(MATCH(J3608,'Final List'!$N$4:$N$252,0),0)</f>
        <v>0</v>
      </c>
      <c r="R3608" s="169">
        <f>IFERROR(MATCH(J3608,'Final List'!$P$4:$P$252,0),0)</f>
        <v>0</v>
      </c>
      <c r="S3608" s="169">
        <f t="shared" si="228"/>
        <v>0</v>
      </c>
      <c r="V3608" s="169" t="str">
        <f t="shared" si="230"/>
        <v>ALEÑAR</v>
      </c>
      <c r="W3608" s="169" t="s">
        <v>2717</v>
      </c>
    </row>
    <row r="3609" spans="2:23" x14ac:dyDescent="0.25">
      <c r="B3609" s="169" t="s">
        <v>1167</v>
      </c>
      <c r="C3609" s="169" t="s">
        <v>43</v>
      </c>
      <c r="D3609" s="169" t="s">
        <v>169</v>
      </c>
      <c r="E3609" s="169" t="s">
        <v>62</v>
      </c>
      <c r="F3609" s="245" t="str">
        <f t="shared" si="227"/>
        <v>RobS 79</v>
      </c>
      <c r="G3609" s="169" t="s">
        <v>1507</v>
      </c>
      <c r="I3609" s="169" t="str">
        <f t="shared" si="229"/>
        <v>L12_GHVSPLIT_065E_ROBBING</v>
      </c>
      <c r="J3609" s="169" t="s">
        <v>14000</v>
      </c>
      <c r="K3609" s="169">
        <f>IFERROR(MATCH(J3609,'Final List'!$B$4:$B$252,0),0)</f>
        <v>0</v>
      </c>
      <c r="L3609" s="169">
        <f>IFERROR(MATCH(J3609,'Final List'!$D$4:$D$252,0),0)</f>
        <v>0</v>
      </c>
      <c r="M3609" s="169">
        <f>IFERROR(MATCH(J3609,'Final List'!$F$4:$F$251,0),0)</f>
        <v>0</v>
      </c>
      <c r="N3609" s="169">
        <f>IFERROR(MATCH(J3609,'Final List'!$H$4:$H$252,0),0)</f>
        <v>0</v>
      </c>
      <c r="O3609" s="169">
        <f>IFERROR(MATCH(J3609,'Final List'!$J$4:$J$252,0),0)</f>
        <v>0</v>
      </c>
      <c r="P3609" s="169">
        <f>IFERROR(MATCH(J3609,'Final List'!$L$4:$L$252,0),0)</f>
        <v>0</v>
      </c>
      <c r="Q3609" s="169">
        <f>IFERROR(MATCH(J3609,'Final List'!$N$4:$N$252,0),0)</f>
        <v>0</v>
      </c>
      <c r="R3609" s="169">
        <f>IFERROR(MATCH(J3609,'Final List'!$P$4:$P$252,0),0)</f>
        <v>0</v>
      </c>
      <c r="S3609" s="169">
        <f t="shared" si="228"/>
        <v>0</v>
      </c>
      <c r="T3609" s="169" t="s">
        <v>68</v>
      </c>
      <c r="V3609" s="169" t="str">
        <f t="shared" si="230"/>
        <v>FERNANDEZ 1</v>
      </c>
      <c r="W3609" s="169" t="s">
        <v>2707</v>
      </c>
    </row>
    <row r="3610" spans="2:23" x14ac:dyDescent="0.25">
      <c r="B3610" s="169" t="s">
        <v>1166</v>
      </c>
      <c r="C3610" s="169" t="s">
        <v>45</v>
      </c>
      <c r="D3610" s="169" t="s">
        <v>146</v>
      </c>
      <c r="E3610" s="169" t="s">
        <v>62</v>
      </c>
      <c r="F3610" s="245" t="str">
        <f t="shared" si="227"/>
        <v>RobS 79</v>
      </c>
      <c r="G3610" s="169" t="s">
        <v>14243</v>
      </c>
      <c r="I3610" s="169" t="str">
        <f t="shared" si="229"/>
        <v>L11_DPVE_030E_ROBBING</v>
      </c>
      <c r="J3610" s="169" t="s">
        <v>14002</v>
      </c>
      <c r="K3610" s="169">
        <f>IFERROR(MATCH(J3610,'Final List'!$B$4:$B$252,0),0)</f>
        <v>0</v>
      </c>
      <c r="L3610" s="169">
        <f>IFERROR(MATCH(J3610,'Final List'!$D$4:$D$252,0),0)</f>
        <v>0</v>
      </c>
      <c r="M3610" s="169">
        <f>IFERROR(MATCH(J3610,'Final List'!$F$4:$F$251,0),0)</f>
        <v>0</v>
      </c>
      <c r="N3610" s="169">
        <f>IFERROR(MATCH(J3610,'Final List'!$H$4:$H$252,0),0)</f>
        <v>0</v>
      </c>
      <c r="O3610" s="169">
        <f>IFERROR(MATCH(J3610,'Final List'!$J$4:$J$252,0),0)</f>
        <v>0</v>
      </c>
      <c r="P3610" s="169">
        <f>IFERROR(MATCH(J3610,'Final List'!$L$4:$L$252,0),0)</f>
        <v>0</v>
      </c>
      <c r="Q3610" s="169">
        <f>IFERROR(MATCH(J3610,'Final List'!$N$4:$N$252,0),0)</f>
        <v>0</v>
      </c>
      <c r="R3610" s="169">
        <f>IFERROR(MATCH(J3610,'Final List'!$P$4:$P$252,0),0)</f>
        <v>0</v>
      </c>
      <c r="S3610" s="169">
        <f t="shared" si="228"/>
        <v>0</v>
      </c>
      <c r="T3610" s="169" t="s">
        <v>68</v>
      </c>
      <c r="V3610" s="169" t="str">
        <f t="shared" si="230"/>
        <v>FERNANDEZ 9</v>
      </c>
      <c r="W3610" s="169" t="s">
        <v>2707</v>
      </c>
    </row>
    <row r="3611" spans="2:23" x14ac:dyDescent="0.25">
      <c r="B3611" s="169" t="s">
        <v>1166</v>
      </c>
      <c r="C3611" s="169" t="s">
        <v>45</v>
      </c>
      <c r="D3611" s="169" t="s">
        <v>178</v>
      </c>
      <c r="E3611" s="169" t="s">
        <v>62</v>
      </c>
      <c r="F3611" s="245" t="str">
        <f t="shared" si="227"/>
        <v>RobS 79</v>
      </c>
      <c r="G3611" s="169" t="s">
        <v>12547</v>
      </c>
      <c r="I3611" s="169" t="str">
        <f t="shared" si="229"/>
        <v>L11_DPVE_048E_ROBBING</v>
      </c>
      <c r="J3611" s="169" t="s">
        <v>14006</v>
      </c>
      <c r="K3611" s="169">
        <f>IFERROR(MATCH(J3611,'Final List'!$B$4:$B$252,0),0)</f>
        <v>0</v>
      </c>
      <c r="L3611" s="169">
        <f>IFERROR(MATCH(J3611,'Final List'!$D$4:$D$252,0),0)</f>
        <v>0</v>
      </c>
      <c r="M3611" s="169">
        <f>IFERROR(MATCH(J3611,'Final List'!$F$4:$F$251,0),0)</f>
        <v>0</v>
      </c>
      <c r="N3611" s="169">
        <f>IFERROR(MATCH(J3611,'Final List'!$H$4:$H$252,0),0)</f>
        <v>0</v>
      </c>
      <c r="O3611" s="169">
        <f>IFERROR(MATCH(J3611,'Final List'!$J$4:$J$252,0),0)</f>
        <v>0</v>
      </c>
      <c r="P3611" s="169">
        <f>IFERROR(MATCH(J3611,'Final List'!$L$4:$L$252,0),0)</f>
        <v>0</v>
      </c>
      <c r="Q3611" s="169">
        <f>IFERROR(MATCH(J3611,'Final List'!$N$4:$N$252,0),0)</f>
        <v>0</v>
      </c>
      <c r="R3611" s="169">
        <f>IFERROR(MATCH(J3611,'Final List'!$P$4:$P$252,0),0)</f>
        <v>0</v>
      </c>
      <c r="S3611" s="169">
        <f t="shared" si="228"/>
        <v>0</v>
      </c>
      <c r="T3611" s="169" t="s">
        <v>68</v>
      </c>
      <c r="V3611" s="169" t="str">
        <f t="shared" si="230"/>
        <v>NITRO BN</v>
      </c>
      <c r="W3611" s="169" t="s">
        <v>2707</v>
      </c>
    </row>
    <row r="3612" spans="2:23" x14ac:dyDescent="0.25">
      <c r="B3612" s="169" t="s">
        <v>1166</v>
      </c>
      <c r="C3612" s="169" t="s">
        <v>56</v>
      </c>
      <c r="D3612" s="169" t="s">
        <v>141</v>
      </c>
      <c r="E3612" s="169" t="s">
        <v>60</v>
      </c>
      <c r="F3612" s="245" t="str">
        <f t="shared" si="227"/>
        <v>Dhoz 71</v>
      </c>
      <c r="G3612" s="169" t="s">
        <v>4068</v>
      </c>
      <c r="I3612" s="169" t="str">
        <f t="shared" si="229"/>
        <v>L11_GHVFW_029E_DE</v>
      </c>
      <c r="J3612" s="169" t="s">
        <v>14008</v>
      </c>
      <c r="K3612" s="169">
        <f>IFERROR(MATCH(J3612,'Final List'!$B$4:$B$252,0),0)</f>
        <v>0</v>
      </c>
      <c r="L3612" s="169">
        <f>IFERROR(MATCH(J3612,'Final List'!$D$4:$D$252,0),0)</f>
        <v>0</v>
      </c>
      <c r="M3612" s="169">
        <f>IFERROR(MATCH(J3612,'Final List'!$F$4:$F$251,0),0)</f>
        <v>0</v>
      </c>
      <c r="N3612" s="169">
        <f>IFERROR(MATCH(J3612,'Final List'!$H$4:$H$252,0),0)</f>
        <v>0</v>
      </c>
      <c r="O3612" s="169">
        <f>IFERROR(MATCH(J3612,'Final List'!$J$4:$J$252,0),0)</f>
        <v>0</v>
      </c>
      <c r="P3612" s="169">
        <f>IFERROR(MATCH(J3612,'Final List'!$L$4:$L$252,0),0)</f>
        <v>0</v>
      </c>
      <c r="Q3612" s="169">
        <f>IFERROR(MATCH(J3612,'Final List'!$N$4:$N$252,0),0)</f>
        <v>0</v>
      </c>
      <c r="R3612" s="169">
        <f>IFERROR(MATCH(J3612,'Final List'!$P$4:$P$252,0),0)</f>
        <v>0</v>
      </c>
      <c r="S3612" s="169">
        <f t="shared" si="228"/>
        <v>0</v>
      </c>
      <c r="V3612" s="169" t="str">
        <f t="shared" si="230"/>
        <v>MAPAYO</v>
      </c>
      <c r="W3612" s="169" t="s">
        <v>8896</v>
      </c>
    </row>
    <row r="3613" spans="2:23" x14ac:dyDescent="0.25">
      <c r="B3613" s="169" t="s">
        <v>1167</v>
      </c>
      <c r="C3613" s="169" t="s">
        <v>45</v>
      </c>
      <c r="D3613" s="169" t="s">
        <v>123</v>
      </c>
      <c r="E3613" s="169" t="s">
        <v>19</v>
      </c>
      <c r="F3613" s="245" t="str">
        <f t="shared" si="227"/>
        <v>DVR 72</v>
      </c>
      <c r="G3613" s="169" t="s">
        <v>14132</v>
      </c>
      <c r="I3613" s="169" t="str">
        <f t="shared" si="229"/>
        <v>L12_DPVE_031E_RAISE</v>
      </c>
      <c r="J3613" s="169" t="s">
        <v>14010</v>
      </c>
      <c r="K3613" s="169">
        <f>IFERROR(MATCH(J3613,'Final List'!$B$4:$B$252,0),0)</f>
        <v>0</v>
      </c>
      <c r="L3613" s="169">
        <f>IFERROR(MATCH(J3613,'Final List'!$D$4:$D$252,0),0)</f>
        <v>0</v>
      </c>
      <c r="M3613" s="169">
        <f>IFERROR(MATCH(J3613,'Final List'!$F$4:$F$251,0),0)</f>
        <v>0</v>
      </c>
      <c r="N3613" s="169">
        <f>IFERROR(MATCH(J3613,'Final List'!$H$4:$H$252,0),0)</f>
        <v>0</v>
      </c>
      <c r="O3613" s="169">
        <f>IFERROR(MATCH(J3613,'Final List'!$J$4:$J$252,0),0)</f>
        <v>0</v>
      </c>
      <c r="P3613" s="169">
        <f>IFERROR(MATCH(J3613,'Final List'!$L$4:$L$252,0),0)</f>
        <v>0</v>
      </c>
      <c r="Q3613" s="169">
        <f>IFERROR(MATCH(J3613,'Final List'!$N$4:$N$252,0),0)</f>
        <v>0</v>
      </c>
      <c r="R3613" s="169">
        <f>IFERROR(MATCH(J3613,'Final List'!$P$4:$P$252,0),0)</f>
        <v>0</v>
      </c>
      <c r="S3613" s="169">
        <f t="shared" si="228"/>
        <v>0</v>
      </c>
      <c r="V3613" s="169" t="str">
        <f t="shared" si="230"/>
        <v>LANTACA</v>
      </c>
      <c r="W3613" s="169" t="s">
        <v>2715</v>
      </c>
    </row>
    <row r="3614" spans="2:23" x14ac:dyDescent="0.25">
      <c r="B3614" s="169" t="s">
        <v>12320</v>
      </c>
      <c r="C3614" s="169" t="s">
        <v>43</v>
      </c>
      <c r="D3614" s="169" t="s">
        <v>180</v>
      </c>
      <c r="E3614" s="169" t="s">
        <v>19</v>
      </c>
      <c r="F3614" s="245" t="str">
        <f t="shared" si="227"/>
        <v>DVR 72</v>
      </c>
      <c r="G3614" s="169" t="s">
        <v>12797</v>
      </c>
      <c r="I3614" s="169" t="str">
        <f t="shared" si="229"/>
        <v>L425_GHVSPLIT_041E_RAISE</v>
      </c>
      <c r="J3614" s="169" t="s">
        <v>14012</v>
      </c>
      <c r="K3614" s="169">
        <f>IFERROR(MATCH(J3614,'Final List'!$B$4:$B$252,0),0)</f>
        <v>0</v>
      </c>
      <c r="L3614" s="169">
        <f>IFERROR(MATCH(J3614,'Final List'!$D$4:$D$252,0),0)</f>
        <v>0</v>
      </c>
      <c r="M3614" s="169">
        <f>IFERROR(MATCH(J3614,'Final List'!$F$4:$F$251,0),0)</f>
        <v>0</v>
      </c>
      <c r="N3614" s="169">
        <f>IFERROR(MATCH(J3614,'Final List'!$H$4:$H$252,0),0)</f>
        <v>0</v>
      </c>
      <c r="O3614" s="169">
        <f>IFERROR(MATCH(J3614,'Final List'!$J$4:$J$252,0),0)</f>
        <v>0</v>
      </c>
      <c r="P3614" s="169">
        <f>IFERROR(MATCH(J3614,'Final List'!$L$4:$L$252,0),0)</f>
        <v>0</v>
      </c>
      <c r="Q3614" s="169">
        <f>IFERROR(MATCH(J3614,'Final List'!$N$4:$N$252,0),0)</f>
        <v>0</v>
      </c>
      <c r="R3614" s="169">
        <f>IFERROR(MATCH(J3614,'Final List'!$P$4:$P$252,0),0)</f>
        <v>0</v>
      </c>
      <c r="S3614" s="169">
        <f t="shared" si="228"/>
        <v>0</v>
      </c>
      <c r="V3614" s="169" t="str">
        <f t="shared" si="230"/>
        <v>NITRO BF</v>
      </c>
      <c r="W3614" s="169" t="s">
        <v>2715</v>
      </c>
    </row>
    <row r="3615" spans="2:23" x14ac:dyDescent="0.25">
      <c r="B3615" s="169" t="s">
        <v>1167</v>
      </c>
      <c r="C3615" s="169" t="s">
        <v>59</v>
      </c>
      <c r="D3615" s="169" t="s">
        <v>198</v>
      </c>
      <c r="E3615" s="169" t="s">
        <v>61</v>
      </c>
      <c r="F3615" s="245" t="str">
        <f t="shared" si="227"/>
        <v>Dhoz 71</v>
      </c>
      <c r="G3615" s="169" t="s">
        <v>13633</v>
      </c>
      <c r="I3615" s="169" t="str">
        <f t="shared" si="229"/>
        <v>L12_GHVHW_069E_DW</v>
      </c>
      <c r="J3615" s="169" t="s">
        <v>14013</v>
      </c>
      <c r="K3615" s="169">
        <f>IFERROR(MATCH(J3615,'Final List'!$B$4:$B$252,0),0)</f>
        <v>0</v>
      </c>
      <c r="L3615" s="169">
        <f>IFERROR(MATCH(J3615,'Final List'!$D$4:$D$252,0),0)</f>
        <v>0</v>
      </c>
      <c r="M3615" s="169">
        <f>IFERROR(MATCH(J3615,'Final List'!$F$4:$F$251,0),0)</f>
        <v>0</v>
      </c>
      <c r="N3615" s="169">
        <f>IFERROR(MATCH(J3615,'Final List'!$H$4:$H$252,0),0)</f>
        <v>0</v>
      </c>
      <c r="O3615" s="169">
        <f>IFERROR(MATCH(J3615,'Final List'!$J$4:$J$252,0),0)</f>
        <v>0</v>
      </c>
      <c r="P3615" s="169">
        <f>IFERROR(MATCH(J3615,'Final List'!$L$4:$L$252,0),0)</f>
        <v>0</v>
      </c>
      <c r="Q3615" s="169">
        <f>IFERROR(MATCH(J3615,'Final List'!$N$4:$N$252,0),0)</f>
        <v>0</v>
      </c>
      <c r="R3615" s="169">
        <f>IFERROR(MATCH(J3615,'Final List'!$P$4:$P$252,0),0)</f>
        <v>0</v>
      </c>
      <c r="S3615" s="169">
        <f t="shared" si="228"/>
        <v>0</v>
      </c>
      <c r="V3615" s="169" t="str">
        <f t="shared" si="230"/>
        <v>CAYMAN</v>
      </c>
      <c r="W3615" s="169" t="s">
        <v>8896</v>
      </c>
    </row>
    <row r="3616" spans="2:23" x14ac:dyDescent="0.25">
      <c r="B3616" s="169" t="s">
        <v>96</v>
      </c>
      <c r="C3616" s="169" t="s">
        <v>45</v>
      </c>
      <c r="D3616" s="169" t="s">
        <v>122</v>
      </c>
      <c r="E3616" s="169" t="s">
        <v>62</v>
      </c>
      <c r="F3616" s="245" t="str">
        <f t="shared" si="227"/>
        <v>RobS 79</v>
      </c>
      <c r="G3616" s="169" t="s">
        <v>14018</v>
      </c>
      <c r="I3616" s="169" t="str">
        <f t="shared" si="229"/>
        <v>L09_DPVE_025E_ROBBING</v>
      </c>
      <c r="J3616" s="169" t="s">
        <v>14017</v>
      </c>
      <c r="K3616" s="169">
        <f>IFERROR(MATCH(J3616,'Final List'!$B$4:$B$252,0),0)</f>
        <v>0</v>
      </c>
      <c r="L3616" s="169">
        <f>IFERROR(MATCH(J3616,'Final List'!$D$4:$D$252,0),0)</f>
        <v>0</v>
      </c>
      <c r="M3616" s="169">
        <f>IFERROR(MATCH(J3616,'Final List'!$F$4:$F$251,0),0)</f>
        <v>0</v>
      </c>
      <c r="N3616" s="169">
        <f>IFERROR(MATCH(J3616,'Final List'!$H$4:$H$252,0),0)</f>
        <v>0</v>
      </c>
      <c r="O3616" s="169">
        <f>IFERROR(MATCH(J3616,'Final List'!$J$4:$J$252,0),0)</f>
        <v>0</v>
      </c>
      <c r="P3616" s="169">
        <f>IFERROR(MATCH(J3616,'Final List'!$L$4:$L$252,0),0)</f>
        <v>0</v>
      </c>
      <c r="Q3616" s="169">
        <f>IFERROR(MATCH(J3616,'Final List'!$N$4:$N$252,0),0)</f>
        <v>0</v>
      </c>
      <c r="R3616" s="169">
        <f>IFERROR(MATCH(J3616,'Final List'!$P$4:$P$252,0),0)</f>
        <v>0</v>
      </c>
      <c r="S3616" s="169">
        <f t="shared" si="228"/>
        <v>0</v>
      </c>
      <c r="T3616" s="169" t="s">
        <v>68</v>
      </c>
      <c r="V3616" s="169" t="str">
        <f t="shared" si="230"/>
        <v>FERNANDEZ 8</v>
      </c>
      <c r="W3616" s="169" t="s">
        <v>2707</v>
      </c>
    </row>
    <row r="3617" spans="2:23" x14ac:dyDescent="0.25">
      <c r="B3617" s="169" t="s">
        <v>1166</v>
      </c>
      <c r="C3617" s="169" t="s">
        <v>43</v>
      </c>
      <c r="D3617" s="169" t="s">
        <v>112</v>
      </c>
      <c r="E3617" s="169" t="s">
        <v>19</v>
      </c>
      <c r="F3617" s="245" t="str">
        <f t="shared" si="227"/>
        <v>DVR 72</v>
      </c>
      <c r="G3617" s="169" t="s">
        <v>6980</v>
      </c>
      <c r="I3617" s="169" t="str">
        <f t="shared" si="229"/>
        <v>L11_GHVSPLIT_018E_RAISE</v>
      </c>
      <c r="J3617" s="169" t="s">
        <v>14021</v>
      </c>
      <c r="K3617" s="169">
        <f>IFERROR(MATCH(J3617,'Final List'!$B$4:$B$252,0),0)</f>
        <v>0</v>
      </c>
      <c r="L3617" s="169">
        <f>IFERROR(MATCH(J3617,'Final List'!$D$4:$D$252,0),0)</f>
        <v>0</v>
      </c>
      <c r="M3617" s="169">
        <f>IFERROR(MATCH(J3617,'Final List'!$F$4:$F$251,0),0)</f>
        <v>0</v>
      </c>
      <c r="N3617" s="169">
        <f>IFERROR(MATCH(J3617,'Final List'!$H$4:$H$252,0),0)</f>
        <v>0</v>
      </c>
      <c r="O3617" s="169">
        <f>IFERROR(MATCH(J3617,'Final List'!$J$4:$J$252,0),0)</f>
        <v>0</v>
      </c>
      <c r="P3617" s="169">
        <f>IFERROR(MATCH(J3617,'Final List'!$L$4:$L$252,0),0)</f>
        <v>0</v>
      </c>
      <c r="Q3617" s="169">
        <f>IFERROR(MATCH(J3617,'Final List'!$N$4:$N$252,0),0)</f>
        <v>0</v>
      </c>
      <c r="R3617" s="169">
        <f>IFERROR(MATCH(J3617,'Final List'!$P$4:$P$252,0),0)</f>
        <v>0</v>
      </c>
      <c r="S3617" s="169">
        <f t="shared" si="228"/>
        <v>0</v>
      </c>
      <c r="V3617" s="169" t="str">
        <f t="shared" si="230"/>
        <v>BADBADON 3</v>
      </c>
      <c r="W3617" s="169" t="s">
        <v>2715</v>
      </c>
    </row>
    <row r="3618" spans="2:23" x14ac:dyDescent="0.25">
      <c r="B3618" s="169" t="s">
        <v>1166</v>
      </c>
      <c r="C3618" s="169" t="s">
        <v>45</v>
      </c>
      <c r="D3618" s="169" t="s">
        <v>6114</v>
      </c>
      <c r="E3618" s="169" t="s">
        <v>19</v>
      </c>
      <c r="F3618" s="245" t="str">
        <f t="shared" si="227"/>
        <v>DVR 72</v>
      </c>
      <c r="G3618" s="169" t="s">
        <v>342</v>
      </c>
      <c r="I3618" s="169" t="str">
        <f t="shared" si="229"/>
        <v>L11_DPVE_078E_RAISE</v>
      </c>
      <c r="J3618" s="169" t="s">
        <v>14022</v>
      </c>
      <c r="K3618" s="169">
        <f>IFERROR(MATCH(J3618,'Final List'!$B$4:$B$252,0),0)</f>
        <v>0</v>
      </c>
      <c r="L3618" s="169">
        <f>IFERROR(MATCH(J3618,'Final List'!$D$4:$D$252,0),0)</f>
        <v>0</v>
      </c>
      <c r="M3618" s="169">
        <f>IFERROR(MATCH(J3618,'Final List'!$F$4:$F$251,0),0)</f>
        <v>0</v>
      </c>
      <c r="N3618" s="169">
        <f>IFERROR(MATCH(J3618,'Final List'!$H$4:$H$252,0),0)</f>
        <v>0</v>
      </c>
      <c r="O3618" s="169">
        <f>IFERROR(MATCH(J3618,'Final List'!$J$4:$J$252,0),0)</f>
        <v>0</v>
      </c>
      <c r="P3618" s="169">
        <f>IFERROR(MATCH(J3618,'Final List'!$L$4:$L$252,0),0)</f>
        <v>0</v>
      </c>
      <c r="Q3618" s="169">
        <f>IFERROR(MATCH(J3618,'Final List'!$N$4:$N$252,0),0)</f>
        <v>0</v>
      </c>
      <c r="R3618" s="169">
        <f>IFERROR(MATCH(J3618,'Final List'!$P$4:$P$252,0),0)</f>
        <v>0</v>
      </c>
      <c r="S3618" s="169">
        <f t="shared" si="228"/>
        <v>0</v>
      </c>
      <c r="V3618" s="169" t="str">
        <f t="shared" si="230"/>
        <v>BADBADON 2</v>
      </c>
      <c r="W3618" s="169" t="s">
        <v>2715</v>
      </c>
    </row>
    <row r="3619" spans="2:23" x14ac:dyDescent="0.25">
      <c r="B3619" s="169" t="s">
        <v>1166</v>
      </c>
      <c r="C3619" s="169" t="s">
        <v>45</v>
      </c>
      <c r="D3619" s="169" t="s">
        <v>198</v>
      </c>
      <c r="E3619" s="169" t="s">
        <v>61</v>
      </c>
      <c r="F3619" s="245" t="str">
        <f t="shared" si="227"/>
        <v>Dhoz 71</v>
      </c>
      <c r="G3619" s="169" t="s">
        <v>12070</v>
      </c>
      <c r="H3619" s="169" t="s">
        <v>6954</v>
      </c>
      <c r="I3619" s="169" t="str">
        <f t="shared" si="229"/>
        <v>L11_DPVE_069E_DW</v>
      </c>
      <c r="J3619" s="169" t="s">
        <v>14023</v>
      </c>
      <c r="K3619" s="169">
        <f>IFERROR(MATCH(J3619,'Final List'!$B$4:$B$252,0),0)</f>
        <v>0</v>
      </c>
      <c r="L3619" s="169">
        <f>IFERROR(MATCH(J3619,'Final List'!$D$4:$D$252,0),0)</f>
        <v>0</v>
      </c>
      <c r="M3619" s="169">
        <f>IFERROR(MATCH(J3619,'Final List'!$F$4:$F$251,0),0)</f>
        <v>0</v>
      </c>
      <c r="N3619" s="169">
        <f>IFERROR(MATCH(J3619,'Final List'!$H$4:$H$252,0),0)</f>
        <v>0</v>
      </c>
      <c r="O3619" s="169">
        <f>IFERROR(MATCH(J3619,'Final List'!$J$4:$J$252,0),0)</f>
        <v>0</v>
      </c>
      <c r="P3619" s="169">
        <f>IFERROR(MATCH(J3619,'Final List'!$L$4:$L$252,0),0)</f>
        <v>0</v>
      </c>
      <c r="Q3619" s="169">
        <f>IFERROR(MATCH(J3619,'Final List'!$N$4:$N$252,0),0)</f>
        <v>0</v>
      </c>
      <c r="R3619" s="169">
        <f>IFERROR(MATCH(J3619,'Final List'!$P$4:$P$252,0),0)</f>
        <v>0</v>
      </c>
      <c r="S3619" s="169">
        <f t="shared" si="228"/>
        <v>0</v>
      </c>
      <c r="V3619" s="169" t="str">
        <f t="shared" si="230"/>
        <v>BADBADON</v>
      </c>
      <c r="W3619" s="169" t="s">
        <v>8896</v>
      </c>
    </row>
    <row r="3620" spans="2:23" x14ac:dyDescent="0.25">
      <c r="B3620" s="169" t="s">
        <v>8904</v>
      </c>
      <c r="C3620" s="169" t="s">
        <v>38</v>
      </c>
      <c r="D3620" s="169" t="s">
        <v>14084</v>
      </c>
      <c r="E3620" s="169" t="s">
        <v>19</v>
      </c>
      <c r="F3620" s="245" t="str">
        <f t="shared" si="227"/>
        <v>DVR 72</v>
      </c>
      <c r="G3620" s="169" t="s">
        <v>14242</v>
      </c>
      <c r="I3620" s="169" t="str">
        <f t="shared" si="229"/>
        <v>L03_GHV_051W_RAISE</v>
      </c>
      <c r="J3620" s="169" t="s">
        <v>14083</v>
      </c>
      <c r="K3620" s="169">
        <f>IFERROR(MATCH(J3620,'Final List'!$B$4:$B$252,0),0)</f>
        <v>0</v>
      </c>
      <c r="L3620" s="169">
        <f>IFERROR(MATCH(J3620,'Final List'!$D$4:$D$252,0),0)</f>
        <v>0</v>
      </c>
      <c r="M3620" s="169">
        <f>IFERROR(MATCH(J3620,'Final List'!$F$4:$F$251,0),0)</f>
        <v>0</v>
      </c>
      <c r="N3620" s="169">
        <f>IFERROR(MATCH(J3620,'Final List'!$H$4:$H$252,0),0)</f>
        <v>0</v>
      </c>
      <c r="O3620" s="169">
        <f>IFERROR(MATCH(J3620,'Final List'!$J$4:$J$252,0),0)</f>
        <v>0</v>
      </c>
      <c r="P3620" s="169">
        <f>IFERROR(MATCH(J3620,'Final List'!$L$4:$L$252,0),0)</f>
        <v>0</v>
      </c>
      <c r="Q3620" s="169">
        <f>IFERROR(MATCH(J3620,'Final List'!$N$4:$N$252,0),0)</f>
        <v>0</v>
      </c>
      <c r="R3620" s="169">
        <f>IFERROR(MATCH(J3620,'Final List'!$P$4:$P$252,0),0)</f>
        <v>0</v>
      </c>
      <c r="S3620" s="169">
        <f t="shared" si="228"/>
        <v>0</v>
      </c>
      <c r="V3620" s="169" t="str">
        <f t="shared" si="230"/>
        <v>FERNANDEZ 6</v>
      </c>
      <c r="W3620" s="169" t="s">
        <v>2715</v>
      </c>
    </row>
    <row r="3621" spans="2:23" x14ac:dyDescent="0.25">
      <c r="B3621" s="169" t="s">
        <v>1166</v>
      </c>
      <c r="C3621" s="169" t="s">
        <v>42</v>
      </c>
      <c r="D3621" s="169" t="s">
        <v>119</v>
      </c>
      <c r="E3621" s="169" t="s">
        <v>19</v>
      </c>
      <c r="F3621" s="245" t="str">
        <f t="shared" si="227"/>
        <v>DVR 72</v>
      </c>
      <c r="G3621" s="169" t="s">
        <v>340</v>
      </c>
      <c r="H3621" s="169" t="s">
        <v>4068</v>
      </c>
      <c r="I3621" s="169" t="str">
        <f t="shared" si="229"/>
        <v>L11_JV_012E_RAISE</v>
      </c>
      <c r="J3621" s="169" t="s">
        <v>14026</v>
      </c>
      <c r="K3621" s="169">
        <f>IFERROR(MATCH(J3621,'Final List'!$B$4:$B$252,0),0)</f>
        <v>0</v>
      </c>
      <c r="L3621" s="169">
        <f>IFERROR(MATCH(J3621,'Final List'!$D$4:$D$252,0),0)</f>
        <v>0</v>
      </c>
      <c r="M3621" s="169">
        <f>IFERROR(MATCH(J3621,'Final List'!$F$4:$F$251,0),0)</f>
        <v>0</v>
      </c>
      <c r="N3621" s="169">
        <f>IFERROR(MATCH(J3621,'Final List'!$H$4:$H$252,0),0)</f>
        <v>0</v>
      </c>
      <c r="O3621" s="169">
        <f>IFERROR(MATCH(J3621,'Final List'!$J$4:$J$252,0),0)</f>
        <v>0</v>
      </c>
      <c r="P3621" s="169">
        <f>IFERROR(MATCH(J3621,'Final List'!$L$4:$L$252,0),0)</f>
        <v>0</v>
      </c>
      <c r="Q3621" s="169">
        <f>IFERROR(MATCH(J3621,'Final List'!$N$4:$N$252,0),0)</f>
        <v>0</v>
      </c>
      <c r="R3621" s="169">
        <f>IFERROR(MATCH(J3621,'Final List'!$P$4:$P$252,0),0)</f>
        <v>0</v>
      </c>
      <c r="S3621" s="169">
        <f t="shared" si="228"/>
        <v>0</v>
      </c>
      <c r="V3621" s="169" t="str">
        <f t="shared" si="230"/>
        <v>MAPAYO</v>
      </c>
      <c r="W3621" s="169" t="s">
        <v>2715</v>
      </c>
    </row>
    <row r="3622" spans="2:23" x14ac:dyDescent="0.25">
      <c r="B3622" s="169" t="s">
        <v>1166</v>
      </c>
      <c r="C3622" s="169" t="s">
        <v>45</v>
      </c>
      <c r="D3622" s="169" t="s">
        <v>9847</v>
      </c>
      <c r="E3622" s="169" t="s">
        <v>19</v>
      </c>
      <c r="F3622" s="245" t="str">
        <f t="shared" si="227"/>
        <v>DVR 72</v>
      </c>
      <c r="G3622" s="169" t="s">
        <v>12070</v>
      </c>
      <c r="I3622" s="169" t="str">
        <f t="shared" si="229"/>
        <v>L11_DPVE_095E_RAISE</v>
      </c>
      <c r="J3622" s="169" t="s">
        <v>14027</v>
      </c>
      <c r="K3622" s="169">
        <f>IFERROR(MATCH(J3622,'Final List'!$B$4:$B$252,0),0)</f>
        <v>0</v>
      </c>
      <c r="L3622" s="169">
        <f>IFERROR(MATCH(J3622,'Final List'!$D$4:$D$252,0),0)</f>
        <v>0</v>
      </c>
      <c r="M3622" s="169">
        <f>IFERROR(MATCH(J3622,'Final List'!$F$4:$F$251,0),0)</f>
        <v>0</v>
      </c>
      <c r="N3622" s="169">
        <f>IFERROR(MATCH(J3622,'Final List'!$H$4:$H$252,0),0)</f>
        <v>0</v>
      </c>
      <c r="O3622" s="169">
        <f>IFERROR(MATCH(J3622,'Final List'!$J$4:$J$252,0),0)</f>
        <v>0</v>
      </c>
      <c r="P3622" s="169">
        <f>IFERROR(MATCH(J3622,'Final List'!$L$4:$L$252,0),0)</f>
        <v>0</v>
      </c>
      <c r="Q3622" s="169">
        <f>IFERROR(MATCH(J3622,'Final List'!$N$4:$N$252,0),0)</f>
        <v>0</v>
      </c>
      <c r="R3622" s="169">
        <f>IFERROR(MATCH(J3622,'Final List'!$P$4:$P$252,0),0)</f>
        <v>0</v>
      </c>
      <c r="S3622" s="169">
        <f t="shared" si="228"/>
        <v>0</v>
      </c>
      <c r="V3622" s="169" t="str">
        <f t="shared" si="230"/>
        <v>NITRO BB</v>
      </c>
      <c r="W3622" s="169" t="s">
        <v>2715</v>
      </c>
    </row>
    <row r="3623" spans="2:23" x14ac:dyDescent="0.25">
      <c r="B3623" s="169" t="s">
        <v>1166</v>
      </c>
      <c r="C3623" s="169" t="s">
        <v>39</v>
      </c>
      <c r="D3623" s="169" t="s">
        <v>110</v>
      </c>
      <c r="E3623" s="169" t="s">
        <v>19</v>
      </c>
      <c r="F3623" s="245" t="str">
        <f t="shared" si="227"/>
        <v>DVR 72</v>
      </c>
      <c r="G3623" s="169" t="s">
        <v>342</v>
      </c>
      <c r="I3623" s="169" t="str">
        <f t="shared" si="229"/>
        <v>L11_JVHW_004E_RAISE</v>
      </c>
      <c r="J3623" s="169" t="s">
        <v>14028</v>
      </c>
      <c r="K3623" s="169">
        <f>IFERROR(MATCH(J3623,'Final List'!$B$4:$B$252,0),0)</f>
        <v>0</v>
      </c>
      <c r="L3623" s="169">
        <f>IFERROR(MATCH(J3623,'Final List'!$D$4:$D$252,0),0)</f>
        <v>0</v>
      </c>
      <c r="M3623" s="169">
        <f>IFERROR(MATCH(J3623,'Final List'!$F$4:$F$251,0),0)</f>
        <v>0</v>
      </c>
      <c r="N3623" s="169">
        <f>IFERROR(MATCH(J3623,'Final List'!$H$4:$H$252,0),0)</f>
        <v>0</v>
      </c>
      <c r="O3623" s="169">
        <f>IFERROR(MATCH(J3623,'Final List'!$J$4:$J$252,0),0)</f>
        <v>0</v>
      </c>
      <c r="P3623" s="169">
        <f>IFERROR(MATCH(J3623,'Final List'!$L$4:$L$252,0),0)</f>
        <v>0</v>
      </c>
      <c r="Q3623" s="169">
        <f>IFERROR(MATCH(J3623,'Final List'!$N$4:$N$252,0),0)</f>
        <v>0</v>
      </c>
      <c r="R3623" s="169">
        <f>IFERROR(MATCH(J3623,'Final List'!$P$4:$P$252,0),0)</f>
        <v>0</v>
      </c>
      <c r="S3623" s="169">
        <f t="shared" si="228"/>
        <v>0</v>
      </c>
      <c r="V3623" s="169" t="str">
        <f t="shared" si="230"/>
        <v>BADBADON 2</v>
      </c>
      <c r="W3623" s="169" t="s">
        <v>2715</v>
      </c>
    </row>
    <row r="3624" spans="2:23" x14ac:dyDescent="0.25">
      <c r="B3624" s="169" t="s">
        <v>95</v>
      </c>
      <c r="C3624" s="169" t="s">
        <v>42</v>
      </c>
      <c r="D3624" s="169" t="s">
        <v>5912</v>
      </c>
      <c r="E3624" s="169" t="s">
        <v>19</v>
      </c>
      <c r="F3624" s="245" t="str">
        <f t="shared" si="227"/>
        <v>DVR 72</v>
      </c>
      <c r="G3624" s="169" t="s">
        <v>13989</v>
      </c>
      <c r="I3624" s="169" t="str">
        <f t="shared" si="229"/>
        <v>L08_JV_019E_RAISE</v>
      </c>
      <c r="J3624" s="169" t="s">
        <v>14029</v>
      </c>
      <c r="K3624" s="169">
        <f>IFERROR(MATCH(J3624,'Final List'!$B$4:$B$252,0),0)</f>
        <v>0</v>
      </c>
      <c r="L3624" s="169">
        <f>IFERROR(MATCH(J3624,'Final List'!$D$4:$D$252,0),0)</f>
        <v>0</v>
      </c>
      <c r="M3624" s="169">
        <f>IFERROR(MATCH(J3624,'Final List'!$F$4:$F$251,0),0)</f>
        <v>0</v>
      </c>
      <c r="N3624" s="169">
        <f>IFERROR(MATCH(J3624,'Final List'!$H$4:$H$252,0),0)</f>
        <v>0</v>
      </c>
      <c r="O3624" s="169">
        <f>IFERROR(MATCH(J3624,'Final List'!$J$4:$J$252,0),0)</f>
        <v>0</v>
      </c>
      <c r="P3624" s="169">
        <f>IFERROR(MATCH(J3624,'Final List'!$L$4:$L$252,0),0)</f>
        <v>0</v>
      </c>
      <c r="Q3624" s="169">
        <f>IFERROR(MATCH(J3624,'Final List'!$N$4:$N$252,0),0)</f>
        <v>0</v>
      </c>
      <c r="R3624" s="169">
        <f>IFERROR(MATCH(J3624,'Final List'!$P$4:$P$252,0),0)</f>
        <v>0</v>
      </c>
      <c r="S3624" s="169">
        <f t="shared" si="228"/>
        <v>0</v>
      </c>
      <c r="V3624" s="169" t="str">
        <f t="shared" si="230"/>
        <v>FERNANDEZ 7</v>
      </c>
      <c r="W3624" s="169" t="s">
        <v>2715</v>
      </c>
    </row>
    <row r="3625" spans="2:23" x14ac:dyDescent="0.25">
      <c r="B3625" s="169" t="s">
        <v>12320</v>
      </c>
      <c r="C3625" s="169" t="s">
        <v>57</v>
      </c>
      <c r="D3625" s="169" t="s">
        <v>6387</v>
      </c>
      <c r="E3625" s="169" t="s">
        <v>60</v>
      </c>
      <c r="F3625" s="245" t="str">
        <f t="shared" si="227"/>
        <v>Dhoz 71</v>
      </c>
      <c r="G3625" s="169" t="s">
        <v>1260</v>
      </c>
      <c r="I3625" s="169" t="str">
        <f t="shared" si="229"/>
        <v>L425_JVSPLIT_079E_DE</v>
      </c>
      <c r="J3625" s="169" t="s">
        <v>14968</v>
      </c>
      <c r="K3625" s="169">
        <f>IFERROR(MATCH(J3625,'Final List'!$B$4:$B$252,0),0)</f>
        <v>0</v>
      </c>
      <c r="L3625" s="169">
        <f>IFERROR(MATCH(J3625,'Final List'!$D$4:$D$252,0),0)</f>
        <v>0</v>
      </c>
      <c r="M3625" s="169">
        <f>IFERROR(MATCH(J3625,'Final List'!$F$4:$F$251,0),0)</f>
        <v>0</v>
      </c>
      <c r="N3625" s="169">
        <f>IFERROR(MATCH(J3625,'Final List'!$H$4:$H$252,0),0)</f>
        <v>0</v>
      </c>
      <c r="O3625" s="169">
        <f>IFERROR(MATCH(J3625,'Final List'!$J$4:$J$252,0),0)</f>
        <v>0</v>
      </c>
      <c r="P3625" s="169">
        <f>IFERROR(MATCH(J3625,'Final List'!$L$4:$L$252,0),0)</f>
        <v>0</v>
      </c>
      <c r="Q3625" s="169">
        <f>IFERROR(MATCH(J3625,'Final List'!$N$4:$N$252,0),0)</f>
        <v>0</v>
      </c>
      <c r="R3625" s="169">
        <f>IFERROR(MATCH(J3625,'Final List'!$P$4:$P$252,0),0)</f>
        <v>0</v>
      </c>
      <c r="S3625" s="169">
        <f t="shared" si="228"/>
        <v>0</v>
      </c>
      <c r="V3625" s="169" t="str">
        <f t="shared" si="230"/>
        <v>DELOS REYES 5</v>
      </c>
      <c r="W3625" s="169" t="s">
        <v>8896</v>
      </c>
    </row>
    <row r="3626" spans="2:23" x14ac:dyDescent="0.25">
      <c r="B3626" s="169" t="s">
        <v>96</v>
      </c>
      <c r="C3626" s="169" t="s">
        <v>87</v>
      </c>
      <c r="D3626" s="169" t="s">
        <v>149</v>
      </c>
      <c r="E3626" s="169" t="s">
        <v>37</v>
      </c>
      <c r="F3626" s="245" t="str">
        <f t="shared" si="227"/>
        <v>Dhoz 71</v>
      </c>
      <c r="G3626" s="169" t="s">
        <v>6621</v>
      </c>
      <c r="I3626" s="169" t="str">
        <f t="shared" si="229"/>
        <v>L09_NONE_021E_XCN</v>
      </c>
      <c r="J3626" s="169" t="s">
        <v>4206</v>
      </c>
      <c r="K3626" s="169">
        <f>IFERROR(MATCH(J3626,'Final List'!$B$4:$B$252,0),0)</f>
        <v>0</v>
      </c>
      <c r="L3626" s="169">
        <f>IFERROR(MATCH(J3626,'Final List'!$D$4:$D$252,0),0)</f>
        <v>0</v>
      </c>
      <c r="M3626" s="169">
        <f>IFERROR(MATCH(J3626,'Final List'!$F$4:$F$251,0),0)</f>
        <v>0</v>
      </c>
      <c r="N3626" s="169">
        <f>IFERROR(MATCH(J3626,'Final List'!$H$4:$H$252,0),0)</f>
        <v>0</v>
      </c>
      <c r="O3626" s="169">
        <f>IFERROR(MATCH(J3626,'Final List'!$J$4:$J$252,0),0)</f>
        <v>0</v>
      </c>
      <c r="P3626" s="169">
        <f>IFERROR(MATCH(J3626,'Final List'!$L$4:$L$252,0),0)</f>
        <v>0</v>
      </c>
      <c r="Q3626" s="169">
        <f>IFERROR(MATCH(J3626,'Final List'!$N$4:$N$252,0),0)</f>
        <v>0</v>
      </c>
      <c r="R3626" s="169">
        <f>IFERROR(MATCH(J3626,'Final List'!$P$4:$P$252,0),0)</f>
        <v>0</v>
      </c>
      <c r="S3626" s="169">
        <f t="shared" si="228"/>
        <v>0</v>
      </c>
      <c r="V3626" s="169" t="str">
        <f t="shared" si="230"/>
        <v>DELOS REYES V1</v>
      </c>
      <c r="W3626" s="169" t="s">
        <v>8898</v>
      </c>
    </row>
    <row r="3627" spans="2:23" x14ac:dyDescent="0.25">
      <c r="B3627" s="169" t="s">
        <v>1167</v>
      </c>
      <c r="C3627" s="169" t="s">
        <v>39</v>
      </c>
      <c r="D3627" s="169" t="s">
        <v>5614</v>
      </c>
      <c r="E3627" s="169" t="s">
        <v>19</v>
      </c>
      <c r="F3627" s="245" t="str">
        <f t="shared" si="227"/>
        <v>DVR 72</v>
      </c>
      <c r="G3627" s="169" t="s">
        <v>14126</v>
      </c>
      <c r="I3627" s="169" t="str">
        <f t="shared" si="229"/>
        <v>L12_JVHW_055E_RAISE</v>
      </c>
      <c r="J3627" s="169" t="s">
        <v>14046</v>
      </c>
      <c r="K3627" s="169">
        <f>IFERROR(MATCH(J3627,'Final List'!$B$4:$B$252,0),0)</f>
        <v>0</v>
      </c>
      <c r="L3627" s="169">
        <f>IFERROR(MATCH(J3627,'Final List'!$D$4:$D$252,0),0)</f>
        <v>0</v>
      </c>
      <c r="M3627" s="169">
        <f>IFERROR(MATCH(J3627,'Final List'!$F$4:$F$251,0),0)</f>
        <v>0</v>
      </c>
      <c r="N3627" s="169">
        <f>IFERROR(MATCH(J3627,'Final List'!$H$4:$H$252,0),0)</f>
        <v>0</v>
      </c>
      <c r="O3627" s="169">
        <f>IFERROR(MATCH(J3627,'Final List'!$J$4:$J$252,0),0)</f>
        <v>0</v>
      </c>
      <c r="P3627" s="169">
        <f>IFERROR(MATCH(J3627,'Final List'!$L$4:$L$252,0),0)</f>
        <v>0</v>
      </c>
      <c r="Q3627" s="169">
        <f>IFERROR(MATCH(J3627,'Final List'!$N$4:$N$252,0),0)</f>
        <v>0</v>
      </c>
      <c r="R3627" s="169">
        <f>IFERROR(MATCH(J3627,'Final List'!$P$4:$P$252,0),0)</f>
        <v>0</v>
      </c>
      <c r="S3627" s="169">
        <f t="shared" si="228"/>
        <v>0</v>
      </c>
      <c r="V3627" s="169" t="str">
        <f t="shared" si="230"/>
        <v>HAGANAS</v>
      </c>
      <c r="W3627" s="169" t="s">
        <v>2715</v>
      </c>
    </row>
    <row r="3628" spans="2:23" x14ac:dyDescent="0.25">
      <c r="B3628" s="169" t="s">
        <v>12320</v>
      </c>
      <c r="C3628" s="169" t="s">
        <v>43</v>
      </c>
      <c r="D3628" s="169" t="s">
        <v>5723</v>
      </c>
      <c r="E3628" s="169" t="s">
        <v>36</v>
      </c>
      <c r="F3628" s="245" t="str">
        <f t="shared" si="227"/>
        <v>StpL 78</v>
      </c>
      <c r="G3628" s="169" t="s">
        <v>356</v>
      </c>
      <c r="I3628" s="169" t="str">
        <f t="shared" si="229"/>
        <v>L425_GHVSPLIT_046E_STOPE</v>
      </c>
      <c r="J3628" s="169" t="s">
        <v>14194</v>
      </c>
      <c r="K3628" s="169">
        <f>IFERROR(MATCH(J3628,'Final List'!$B$4:$B$252,0),0)</f>
        <v>0</v>
      </c>
      <c r="L3628" s="169">
        <f>IFERROR(MATCH(J3628,'Final List'!$D$4:$D$252,0),0)</f>
        <v>0</v>
      </c>
      <c r="M3628" s="169">
        <f>IFERROR(MATCH(J3628,'Final List'!$F$4:$F$251,0),0)</f>
        <v>0</v>
      </c>
      <c r="N3628" s="169">
        <f>IFERROR(MATCH(J3628,'Final List'!$H$4:$H$252,0),0)</f>
        <v>0</v>
      </c>
      <c r="O3628" s="169">
        <f>IFERROR(MATCH(J3628,'Final List'!$J$4:$J$252,0),0)</f>
        <v>0</v>
      </c>
      <c r="P3628" s="169">
        <f>IFERROR(MATCH(J3628,'Final List'!$L$4:$L$252,0),0)</f>
        <v>0</v>
      </c>
      <c r="Q3628" s="169">
        <f>IFERROR(MATCH(J3628,'Final List'!$N$4:$N$252,0),0)</f>
        <v>0</v>
      </c>
      <c r="R3628" s="169">
        <f>IFERROR(MATCH(J3628,'Final List'!$P$4:$P$252,0),0)</f>
        <v>0</v>
      </c>
      <c r="S3628" s="169">
        <f t="shared" si="228"/>
        <v>0</v>
      </c>
      <c r="T3628" s="169" t="s">
        <v>48</v>
      </c>
      <c r="V3628" s="169" t="str">
        <f t="shared" si="230"/>
        <v>BAÑEZ 1</v>
      </c>
      <c r="W3628" s="169" t="s">
        <v>2713</v>
      </c>
    </row>
    <row r="3629" spans="2:23" x14ac:dyDescent="0.25">
      <c r="B3629" s="169" t="s">
        <v>1167</v>
      </c>
      <c r="C3629" s="169" t="s">
        <v>56</v>
      </c>
      <c r="D3629" s="169" t="s">
        <v>197</v>
      </c>
      <c r="E3629" s="169" t="s">
        <v>61</v>
      </c>
      <c r="F3629" s="245" t="str">
        <f t="shared" si="227"/>
        <v>Dhoz 71</v>
      </c>
      <c r="G3629" s="169" t="s">
        <v>9885</v>
      </c>
      <c r="I3629" s="169" t="str">
        <f t="shared" si="229"/>
        <v>L12_GHVFW_070E_DW</v>
      </c>
      <c r="J3629" s="169" t="s">
        <v>14038</v>
      </c>
      <c r="K3629" s="169">
        <f>IFERROR(MATCH(J3629,'Final List'!$B$4:$B$252,0),0)</f>
        <v>0</v>
      </c>
      <c r="L3629" s="169">
        <f>IFERROR(MATCH(J3629,'Final List'!$D$4:$D$252,0),0)</f>
        <v>0</v>
      </c>
      <c r="M3629" s="169">
        <f>IFERROR(MATCH(J3629,'Final List'!$F$4:$F$251,0),0)</f>
        <v>0</v>
      </c>
      <c r="N3629" s="169">
        <f>IFERROR(MATCH(J3629,'Final List'!$H$4:$H$252,0),0)</f>
        <v>0</v>
      </c>
      <c r="O3629" s="169">
        <f>IFERROR(MATCH(J3629,'Final List'!$J$4:$J$252,0),0)</f>
        <v>0</v>
      </c>
      <c r="P3629" s="169">
        <f>IFERROR(MATCH(J3629,'Final List'!$L$4:$L$252,0),0)</f>
        <v>0</v>
      </c>
      <c r="Q3629" s="169">
        <f>IFERROR(MATCH(J3629,'Final List'!$N$4:$N$252,0),0)</f>
        <v>0</v>
      </c>
      <c r="R3629" s="169">
        <f>IFERROR(MATCH(J3629,'Final List'!$P$4:$P$252,0),0)</f>
        <v>0</v>
      </c>
      <c r="S3629" s="169">
        <f t="shared" si="228"/>
        <v>0</v>
      </c>
      <c r="V3629" s="169" t="str">
        <f t="shared" si="230"/>
        <v>CAYMAN 2</v>
      </c>
      <c r="W3629" s="169" t="s">
        <v>8896</v>
      </c>
    </row>
    <row r="3630" spans="2:23" x14ac:dyDescent="0.25">
      <c r="B3630" s="169" t="s">
        <v>95</v>
      </c>
      <c r="C3630" s="169" t="s">
        <v>45</v>
      </c>
      <c r="D3630" s="169" t="s">
        <v>5844</v>
      </c>
      <c r="E3630" s="169" t="s">
        <v>6154</v>
      </c>
      <c r="F3630" s="245" t="str">
        <f t="shared" si="227"/>
        <v>Dhoz 71</v>
      </c>
      <c r="G3630" s="169" t="s">
        <v>14136</v>
      </c>
      <c r="I3630" s="169" t="str">
        <f t="shared" si="229"/>
        <v>L08_DPVE_009W_DW_ISL</v>
      </c>
      <c r="J3630" s="169" t="s">
        <v>14066</v>
      </c>
      <c r="K3630" s="169">
        <f>IFERROR(MATCH(J3630,'Final List'!$B$4:$B$252,0),0)</f>
        <v>0</v>
      </c>
      <c r="L3630" s="169">
        <f>IFERROR(MATCH(J3630,'Final List'!$D$4:$D$252,0),0)</f>
        <v>0</v>
      </c>
      <c r="M3630" s="169">
        <f>IFERROR(MATCH(J3630,'Final List'!$F$4:$F$251,0),0)</f>
        <v>0</v>
      </c>
      <c r="N3630" s="169">
        <f>IFERROR(MATCH(J3630,'Final List'!$H$4:$H$252,0),0)</f>
        <v>0</v>
      </c>
      <c r="O3630" s="169">
        <f>IFERROR(MATCH(J3630,'Final List'!$J$4:$J$252,0),0)</f>
        <v>0</v>
      </c>
      <c r="P3630" s="169">
        <f>IFERROR(MATCH(J3630,'Final List'!$L$4:$L$252,0),0)</f>
        <v>0</v>
      </c>
      <c r="Q3630" s="169">
        <f>IFERROR(MATCH(J3630,'Final List'!$N$4:$N$252,0),0)</f>
        <v>0</v>
      </c>
      <c r="R3630" s="169">
        <f>IFERROR(MATCH(J3630,'Final List'!$P$4:$P$252,0),0)</f>
        <v>0</v>
      </c>
      <c r="S3630" s="169">
        <f t="shared" si="228"/>
        <v>0</v>
      </c>
      <c r="V3630" s="169" t="str">
        <f t="shared" si="230"/>
        <v>NITRO CF 2</v>
      </c>
      <c r="W3630" s="169" t="s">
        <v>2708</v>
      </c>
    </row>
    <row r="3631" spans="2:23" x14ac:dyDescent="0.25">
      <c r="B3631" s="169" t="s">
        <v>95</v>
      </c>
      <c r="C3631" s="169" t="s">
        <v>45</v>
      </c>
      <c r="D3631" s="169" t="s">
        <v>6710</v>
      </c>
      <c r="E3631" s="169" t="s">
        <v>61</v>
      </c>
      <c r="F3631" s="245" t="str">
        <f t="shared" si="227"/>
        <v>Dhoz 71</v>
      </c>
      <c r="G3631" s="169" t="s">
        <v>12303</v>
      </c>
      <c r="I3631" s="169" t="str">
        <f t="shared" si="229"/>
        <v>L08_DPVE_018W_DW</v>
      </c>
      <c r="J3631" s="169" t="s">
        <v>14065</v>
      </c>
      <c r="K3631" s="169">
        <f>IFERROR(MATCH(J3631,'Final List'!$B$4:$B$252,0),0)</f>
        <v>0</v>
      </c>
      <c r="L3631" s="169">
        <f>IFERROR(MATCH(J3631,'Final List'!$D$4:$D$252,0),0)</f>
        <v>0</v>
      </c>
      <c r="M3631" s="169">
        <f>IFERROR(MATCH(J3631,'Final List'!$F$4:$F$251,0),0)</f>
        <v>0</v>
      </c>
      <c r="N3631" s="169">
        <f>IFERROR(MATCH(J3631,'Final List'!$H$4:$H$252,0),0)</f>
        <v>0</v>
      </c>
      <c r="O3631" s="169">
        <f>IFERROR(MATCH(J3631,'Final List'!$J$4:$J$252,0),0)</f>
        <v>0</v>
      </c>
      <c r="P3631" s="169">
        <f>IFERROR(MATCH(J3631,'Final List'!$L$4:$L$252,0),0)</f>
        <v>0</v>
      </c>
      <c r="Q3631" s="169">
        <f>IFERROR(MATCH(J3631,'Final List'!$N$4:$N$252,0),0)</f>
        <v>0</v>
      </c>
      <c r="R3631" s="169">
        <f>IFERROR(MATCH(J3631,'Final List'!$P$4:$P$252,0),0)</f>
        <v>0</v>
      </c>
      <c r="S3631" s="169">
        <f t="shared" si="228"/>
        <v>0</v>
      </c>
      <c r="V3631" s="169" t="str">
        <f t="shared" si="230"/>
        <v>CAPUYAN 3</v>
      </c>
      <c r="W3631" s="169" t="s">
        <v>8895</v>
      </c>
    </row>
    <row r="3632" spans="2:23" x14ac:dyDescent="0.25">
      <c r="B3632" s="169" t="s">
        <v>1167</v>
      </c>
      <c r="C3632" s="169" t="s">
        <v>56</v>
      </c>
      <c r="D3632" s="169" t="s">
        <v>5601</v>
      </c>
      <c r="E3632" s="169" t="s">
        <v>61</v>
      </c>
      <c r="F3632" s="245" t="str">
        <f t="shared" si="227"/>
        <v>Dhoz 71</v>
      </c>
      <c r="G3632" s="169" t="s">
        <v>14130</v>
      </c>
      <c r="I3632" s="169" t="str">
        <f t="shared" si="229"/>
        <v>L12_GHVFW_026E_DW</v>
      </c>
      <c r="J3632" s="169" t="s">
        <v>14048</v>
      </c>
      <c r="K3632" s="169">
        <f>IFERROR(MATCH(J3632,'Final List'!$B$4:$B$252,0),0)</f>
        <v>0</v>
      </c>
      <c r="L3632" s="169">
        <f>IFERROR(MATCH(J3632,'Final List'!$D$4:$D$252,0),0)</f>
        <v>0</v>
      </c>
      <c r="M3632" s="169">
        <f>IFERROR(MATCH(J3632,'Final List'!$F$4:$F$251,0),0)</f>
        <v>0</v>
      </c>
      <c r="N3632" s="169">
        <f>IFERROR(MATCH(J3632,'Final List'!$H$4:$H$252,0),0)</f>
        <v>0</v>
      </c>
      <c r="O3632" s="169">
        <f>IFERROR(MATCH(J3632,'Final List'!$J$4:$J$252,0),0)</f>
        <v>0</v>
      </c>
      <c r="P3632" s="169">
        <f>IFERROR(MATCH(J3632,'Final List'!$L$4:$L$252,0),0)</f>
        <v>0</v>
      </c>
      <c r="Q3632" s="169">
        <f>IFERROR(MATCH(J3632,'Final List'!$N$4:$N$252,0),0)</f>
        <v>0</v>
      </c>
      <c r="R3632" s="169">
        <f>IFERROR(MATCH(J3632,'Final List'!$P$4:$P$252,0),0)</f>
        <v>0</v>
      </c>
      <c r="S3632" s="169">
        <f t="shared" si="228"/>
        <v>0</v>
      </c>
      <c r="V3632" s="169" t="str">
        <f t="shared" si="230"/>
        <v>DURANGO</v>
      </c>
      <c r="W3632" s="169" t="s">
        <v>8896</v>
      </c>
    </row>
    <row r="3633" spans="2:23" x14ac:dyDescent="0.25">
      <c r="B3633" s="169" t="s">
        <v>1166</v>
      </c>
      <c r="C3633" s="169" t="s">
        <v>45</v>
      </c>
      <c r="D3633" s="169" t="s">
        <v>172</v>
      </c>
      <c r="E3633" s="169" t="s">
        <v>61</v>
      </c>
      <c r="F3633" s="245" t="str">
        <f t="shared" si="227"/>
        <v>Dhoz 71</v>
      </c>
      <c r="G3633" s="169" t="s">
        <v>342</v>
      </c>
      <c r="I3633" s="169" t="str">
        <f t="shared" si="229"/>
        <v>L11_DPVE_045E_DW</v>
      </c>
      <c r="J3633" s="169" t="s">
        <v>14053</v>
      </c>
      <c r="K3633" s="169">
        <f>IFERROR(MATCH(J3633,'Final List'!$B$4:$B$252,0),0)</f>
        <v>0</v>
      </c>
      <c r="L3633" s="169">
        <f>IFERROR(MATCH(J3633,'Final List'!$D$4:$D$252,0),0)</f>
        <v>0</v>
      </c>
      <c r="M3633" s="169">
        <f>IFERROR(MATCH(J3633,'Final List'!$F$4:$F$251,0),0)</f>
        <v>0</v>
      </c>
      <c r="N3633" s="169">
        <f>IFERROR(MATCH(J3633,'Final List'!$H$4:$H$252,0),0)</f>
        <v>0</v>
      </c>
      <c r="O3633" s="169">
        <f>IFERROR(MATCH(J3633,'Final List'!$J$4:$J$252,0),0)</f>
        <v>0</v>
      </c>
      <c r="P3633" s="169">
        <f>IFERROR(MATCH(J3633,'Final List'!$L$4:$L$252,0),0)</f>
        <v>0</v>
      </c>
      <c r="Q3633" s="169">
        <f>IFERROR(MATCH(J3633,'Final List'!$N$4:$N$252,0),0)</f>
        <v>0</v>
      </c>
      <c r="R3633" s="169">
        <f>IFERROR(MATCH(J3633,'Final List'!$P$4:$P$252,0),0)</f>
        <v>0</v>
      </c>
      <c r="S3633" s="169">
        <f t="shared" si="228"/>
        <v>0</v>
      </c>
      <c r="V3633" s="169" t="str">
        <f t="shared" si="230"/>
        <v>BADBADON 2</v>
      </c>
      <c r="W3633" s="169" t="s">
        <v>8896</v>
      </c>
    </row>
    <row r="3634" spans="2:23" x14ac:dyDescent="0.25">
      <c r="B3634" s="169" t="s">
        <v>1167</v>
      </c>
      <c r="C3634" s="169" t="s">
        <v>57</v>
      </c>
      <c r="D3634" s="169" t="s">
        <v>160</v>
      </c>
      <c r="E3634" s="169" t="s">
        <v>19</v>
      </c>
      <c r="F3634" s="245" t="str">
        <f t="shared" si="227"/>
        <v>DVR 72</v>
      </c>
      <c r="G3634" s="169" t="s">
        <v>6930</v>
      </c>
      <c r="I3634" s="169" t="str">
        <f t="shared" si="229"/>
        <v>L12_JVSPLIT_042E_RAISE</v>
      </c>
      <c r="J3634" s="169" t="s">
        <v>14054</v>
      </c>
      <c r="K3634" s="169">
        <f>IFERROR(MATCH(J3634,'Final List'!$B$4:$B$252,0),0)</f>
        <v>0</v>
      </c>
      <c r="L3634" s="169">
        <f>IFERROR(MATCH(J3634,'Final List'!$D$4:$D$252,0),0)</f>
        <v>0</v>
      </c>
      <c r="M3634" s="169">
        <f>IFERROR(MATCH(J3634,'Final List'!$F$4:$F$251,0),0)</f>
        <v>0</v>
      </c>
      <c r="N3634" s="169">
        <f>IFERROR(MATCH(J3634,'Final List'!$H$4:$H$252,0),0)</f>
        <v>0</v>
      </c>
      <c r="O3634" s="169">
        <f>IFERROR(MATCH(J3634,'Final List'!$J$4:$J$252,0),0)</f>
        <v>0</v>
      </c>
      <c r="P3634" s="169">
        <f>IFERROR(MATCH(J3634,'Final List'!$L$4:$L$252,0),0)</f>
        <v>0</v>
      </c>
      <c r="Q3634" s="169">
        <f>IFERROR(MATCH(J3634,'Final List'!$N$4:$N$252,0),0)</f>
        <v>0</v>
      </c>
      <c r="R3634" s="169">
        <f>IFERROR(MATCH(J3634,'Final List'!$P$4:$P$252,0),0)</f>
        <v>0</v>
      </c>
      <c r="S3634" s="169">
        <f t="shared" si="228"/>
        <v>0</v>
      </c>
      <c r="V3634" s="169" t="str">
        <f t="shared" si="230"/>
        <v>DUHIG, P1</v>
      </c>
      <c r="W3634" s="169" t="s">
        <v>2715</v>
      </c>
    </row>
    <row r="3635" spans="2:23" x14ac:dyDescent="0.25">
      <c r="B3635" s="169" t="s">
        <v>95</v>
      </c>
      <c r="C3635" s="169" t="s">
        <v>45</v>
      </c>
      <c r="D3635" s="169" t="s">
        <v>142</v>
      </c>
      <c r="E3635" s="169" t="s">
        <v>6154</v>
      </c>
      <c r="F3635" s="245" t="str">
        <f t="shared" si="227"/>
        <v>Dhoz 71</v>
      </c>
      <c r="G3635" s="169" t="s">
        <v>14139</v>
      </c>
      <c r="I3635" s="169" t="str">
        <f t="shared" si="229"/>
        <v>L08_DPVE_038E_DW_ISL</v>
      </c>
      <c r="J3635" s="169" t="s">
        <v>14111</v>
      </c>
      <c r="K3635" s="169">
        <f>IFERROR(MATCH(J3635,'Final List'!$B$4:$B$252,0),0)</f>
        <v>0</v>
      </c>
      <c r="L3635" s="169">
        <f>IFERROR(MATCH(J3635,'Final List'!$D$4:$D$252,0),0)</f>
        <v>0</v>
      </c>
      <c r="M3635" s="169">
        <f>IFERROR(MATCH(J3635,'Final List'!$F$4:$F$251,0),0)</f>
        <v>0</v>
      </c>
      <c r="N3635" s="169">
        <f>IFERROR(MATCH(J3635,'Final List'!$H$4:$H$252,0),0)</f>
        <v>0</v>
      </c>
      <c r="O3635" s="169">
        <f>IFERROR(MATCH(J3635,'Final List'!$J$4:$J$252,0),0)</f>
        <v>0</v>
      </c>
      <c r="P3635" s="169">
        <f>IFERROR(MATCH(J3635,'Final List'!$L$4:$L$252,0),0)</f>
        <v>0</v>
      </c>
      <c r="Q3635" s="169">
        <f>IFERROR(MATCH(J3635,'Final List'!$N$4:$N$252,0),0)</f>
        <v>0</v>
      </c>
      <c r="R3635" s="169">
        <f>IFERROR(MATCH(J3635,'Final List'!$P$4:$P$252,0),0)</f>
        <v>0</v>
      </c>
      <c r="S3635" s="169">
        <f t="shared" si="228"/>
        <v>0</v>
      </c>
      <c r="V3635" s="169" t="str">
        <f t="shared" si="230"/>
        <v>CANTAGO</v>
      </c>
      <c r="W3635" s="169" t="s">
        <v>8895</v>
      </c>
    </row>
    <row r="3636" spans="2:23" x14ac:dyDescent="0.25">
      <c r="B3636" s="169" t="s">
        <v>96</v>
      </c>
      <c r="C3636" s="169" t="s">
        <v>45</v>
      </c>
      <c r="D3636" s="169" t="s">
        <v>870</v>
      </c>
      <c r="E3636" s="169" t="s">
        <v>20</v>
      </c>
      <c r="F3636" s="245" t="str">
        <f t="shared" si="227"/>
        <v>DVW 74</v>
      </c>
      <c r="G3636" s="169" t="s">
        <v>349</v>
      </c>
      <c r="H3636" s="169" t="s">
        <v>1510</v>
      </c>
      <c r="I3636" s="169" t="str">
        <f t="shared" si="229"/>
        <v>L09_DPVE_073E_WINZE</v>
      </c>
      <c r="J3636" s="169" t="s">
        <v>14057</v>
      </c>
      <c r="K3636" s="169">
        <f>IFERROR(MATCH(J3636,'Final List'!$B$4:$B$252,0),0)</f>
        <v>0</v>
      </c>
      <c r="L3636" s="169">
        <f>IFERROR(MATCH(J3636,'Final List'!$D$4:$D$252,0),0)</f>
        <v>0</v>
      </c>
      <c r="M3636" s="169">
        <f>IFERROR(MATCH(J3636,'Final List'!$F$4:$F$251,0),0)</f>
        <v>0</v>
      </c>
      <c r="N3636" s="169">
        <f>IFERROR(MATCH(J3636,'Final List'!$H$4:$H$252,0),0)</f>
        <v>0</v>
      </c>
      <c r="O3636" s="169">
        <f>IFERROR(MATCH(J3636,'Final List'!$J$4:$J$252,0),0)</f>
        <v>0</v>
      </c>
      <c r="P3636" s="169">
        <f>IFERROR(MATCH(J3636,'Final List'!$L$4:$L$252,0),0)</f>
        <v>0</v>
      </c>
      <c r="Q3636" s="169">
        <f>IFERROR(MATCH(J3636,'Final List'!$N$4:$N$252,0),0)</f>
        <v>0</v>
      </c>
      <c r="R3636" s="169">
        <f>IFERROR(MATCH(J3636,'Final List'!$P$4:$P$252,0),0)</f>
        <v>0</v>
      </c>
      <c r="S3636" s="169">
        <f t="shared" si="228"/>
        <v>0</v>
      </c>
      <c r="V3636" s="169" t="str">
        <f t="shared" si="230"/>
        <v>DELOS REYES</v>
      </c>
      <c r="W3636" s="169" t="s">
        <v>2706</v>
      </c>
    </row>
    <row r="3637" spans="2:23" x14ac:dyDescent="0.25">
      <c r="B3637" s="169" t="s">
        <v>96</v>
      </c>
      <c r="C3637" s="169" t="s">
        <v>42</v>
      </c>
      <c r="D3637" s="169" t="s">
        <v>284</v>
      </c>
      <c r="E3637" s="169" t="s">
        <v>20</v>
      </c>
      <c r="F3637" s="245" t="str">
        <f t="shared" si="227"/>
        <v>DVW 74</v>
      </c>
      <c r="G3637" s="169" t="s">
        <v>348</v>
      </c>
      <c r="I3637" s="169" t="str">
        <f t="shared" si="229"/>
        <v>L09_JV_061E_WINZE</v>
      </c>
      <c r="J3637" s="169" t="s">
        <v>14058</v>
      </c>
      <c r="K3637" s="169">
        <f>IFERROR(MATCH(J3637,'Final List'!$B$4:$B$252,0),0)</f>
        <v>0</v>
      </c>
      <c r="L3637" s="169">
        <f>IFERROR(MATCH(J3637,'Final List'!$D$4:$D$252,0),0)</f>
        <v>0</v>
      </c>
      <c r="M3637" s="169">
        <f>IFERROR(MATCH(J3637,'Final List'!$F$4:$F$251,0),0)</f>
        <v>0</v>
      </c>
      <c r="N3637" s="169">
        <f>IFERROR(MATCH(J3637,'Final List'!$H$4:$H$252,0),0)</f>
        <v>0</v>
      </c>
      <c r="O3637" s="169">
        <f>IFERROR(MATCH(J3637,'Final List'!$J$4:$J$252,0),0)</f>
        <v>0</v>
      </c>
      <c r="P3637" s="169">
        <f>IFERROR(MATCH(J3637,'Final List'!$L$4:$L$252,0),0)</f>
        <v>0</v>
      </c>
      <c r="Q3637" s="169">
        <f>IFERROR(MATCH(J3637,'Final List'!$N$4:$N$252,0),0)</f>
        <v>0</v>
      </c>
      <c r="R3637" s="169">
        <f>IFERROR(MATCH(J3637,'Final List'!$P$4:$P$252,0),0)</f>
        <v>0</v>
      </c>
      <c r="S3637" s="169">
        <f t="shared" si="228"/>
        <v>0</v>
      </c>
      <c r="V3637" s="169" t="str">
        <f t="shared" si="230"/>
        <v>QUIJANO 3</v>
      </c>
      <c r="W3637" s="169" t="s">
        <v>2706</v>
      </c>
    </row>
    <row r="3638" spans="2:23" x14ac:dyDescent="0.25">
      <c r="B3638" s="169" t="s">
        <v>95</v>
      </c>
      <c r="C3638" s="169" t="s">
        <v>45</v>
      </c>
      <c r="D3638" s="169" t="s">
        <v>5742</v>
      </c>
      <c r="E3638" s="169" t="s">
        <v>6143</v>
      </c>
      <c r="F3638" s="245" t="str">
        <f t="shared" si="227"/>
        <v>Dhoz 71</v>
      </c>
      <c r="G3638" s="169" t="s">
        <v>13066</v>
      </c>
      <c r="I3638" s="169" t="str">
        <f t="shared" si="229"/>
        <v>L08_DPVE_040E_DE_ISL</v>
      </c>
      <c r="J3638" s="169" t="s">
        <v>14076</v>
      </c>
      <c r="K3638" s="169">
        <f>IFERROR(MATCH(J3638,'Final List'!$B$4:$B$252,0),0)</f>
        <v>0</v>
      </c>
      <c r="L3638" s="169">
        <f>IFERROR(MATCH(J3638,'Final List'!$D$4:$D$252,0),0)</f>
        <v>0</v>
      </c>
      <c r="M3638" s="169">
        <f>IFERROR(MATCH(J3638,'Final List'!$F$4:$F$251,0),0)</f>
        <v>0</v>
      </c>
      <c r="N3638" s="169">
        <f>IFERROR(MATCH(J3638,'Final List'!$H$4:$H$252,0),0)</f>
        <v>0</v>
      </c>
      <c r="O3638" s="169">
        <f>IFERROR(MATCH(J3638,'Final List'!$J$4:$J$252,0),0)</f>
        <v>0</v>
      </c>
      <c r="P3638" s="169">
        <f>IFERROR(MATCH(J3638,'Final List'!$L$4:$L$252,0),0)</f>
        <v>0</v>
      </c>
      <c r="Q3638" s="169">
        <f>IFERROR(MATCH(J3638,'Final List'!$N$4:$N$252,0),0)</f>
        <v>0</v>
      </c>
      <c r="R3638" s="169">
        <f>IFERROR(MATCH(J3638,'Final List'!$P$4:$P$252,0),0)</f>
        <v>0</v>
      </c>
      <c r="S3638" s="169">
        <f t="shared" si="228"/>
        <v>0</v>
      </c>
      <c r="V3638" s="169" t="str">
        <f t="shared" si="230"/>
        <v>NITRO BZ</v>
      </c>
      <c r="W3638" s="169" t="s">
        <v>8895</v>
      </c>
    </row>
    <row r="3639" spans="2:23" x14ac:dyDescent="0.25">
      <c r="B3639" s="169" t="s">
        <v>12320</v>
      </c>
      <c r="C3639" s="169" t="s">
        <v>57</v>
      </c>
      <c r="D3639" s="169" t="s">
        <v>197</v>
      </c>
      <c r="E3639" s="169" t="s">
        <v>61</v>
      </c>
      <c r="F3639" s="245" t="str">
        <f t="shared" si="227"/>
        <v>Dhoz 71</v>
      </c>
      <c r="G3639" s="169" t="s">
        <v>4155</v>
      </c>
      <c r="I3639" s="169" t="str">
        <f t="shared" si="229"/>
        <v>L425_JVSPLIT_070E_DW</v>
      </c>
      <c r="J3639" s="169" t="s">
        <v>14075</v>
      </c>
      <c r="K3639" s="169">
        <f>IFERROR(MATCH(J3639,'Final List'!$B$4:$B$252,0),0)</f>
        <v>0</v>
      </c>
      <c r="L3639" s="169">
        <f>IFERROR(MATCH(J3639,'Final List'!$D$4:$D$252,0),0)</f>
        <v>0</v>
      </c>
      <c r="M3639" s="169">
        <f>IFERROR(MATCH(J3639,'Final List'!$F$4:$F$251,0),0)</f>
        <v>0</v>
      </c>
      <c r="N3639" s="169">
        <f>IFERROR(MATCH(J3639,'Final List'!$H$4:$H$252,0),0)</f>
        <v>0</v>
      </c>
      <c r="O3639" s="169">
        <f>IFERROR(MATCH(J3639,'Final List'!$J$4:$J$252,0),0)</f>
        <v>0</v>
      </c>
      <c r="P3639" s="169">
        <f>IFERROR(MATCH(J3639,'Final List'!$L$4:$L$252,0),0)</f>
        <v>0</v>
      </c>
      <c r="Q3639" s="169">
        <f>IFERROR(MATCH(J3639,'Final List'!$N$4:$N$252,0),0)</f>
        <v>0</v>
      </c>
      <c r="R3639" s="169">
        <f>IFERROR(MATCH(J3639,'Final List'!$P$4:$P$252,0),0)</f>
        <v>0</v>
      </c>
      <c r="S3639" s="169">
        <f t="shared" si="228"/>
        <v>0</v>
      </c>
      <c r="V3639" s="169" t="str">
        <f t="shared" si="230"/>
        <v>BAÑEZ</v>
      </c>
      <c r="W3639" s="169" t="s">
        <v>8896</v>
      </c>
    </row>
    <row r="3640" spans="2:23" x14ac:dyDescent="0.25">
      <c r="B3640" s="169" t="s">
        <v>12320</v>
      </c>
      <c r="C3640" s="169" t="s">
        <v>38</v>
      </c>
      <c r="D3640" s="169" t="s">
        <v>289</v>
      </c>
      <c r="E3640" s="169" t="s">
        <v>211</v>
      </c>
      <c r="F3640" s="245" t="str">
        <f t="shared" si="227"/>
        <v>StpL 78</v>
      </c>
      <c r="G3640" s="169" t="s">
        <v>75</v>
      </c>
      <c r="I3640" s="169" t="str">
        <f t="shared" si="229"/>
        <v>L425_GHV_059E_STOPE PREP</v>
      </c>
      <c r="J3640" s="169" t="s">
        <v>14068</v>
      </c>
      <c r="K3640" s="169">
        <f>IFERROR(MATCH(J3640,'Final List'!$B$4:$B$252,0),0)</f>
        <v>0</v>
      </c>
      <c r="L3640" s="169">
        <f>IFERROR(MATCH(J3640,'Final List'!$D$4:$D$252,0),0)</f>
        <v>0</v>
      </c>
      <c r="M3640" s="169">
        <f>IFERROR(MATCH(J3640,'Final List'!$F$4:$F$251,0),0)</f>
        <v>0</v>
      </c>
      <c r="N3640" s="169">
        <f>IFERROR(MATCH(J3640,'Final List'!$H$4:$H$252,0),0)</f>
        <v>0</v>
      </c>
      <c r="O3640" s="169">
        <f>IFERROR(MATCH(J3640,'Final List'!$J$4:$J$252,0),0)</f>
        <v>0</v>
      </c>
      <c r="P3640" s="169">
        <f>IFERROR(MATCH(J3640,'Final List'!$L$4:$L$252,0),0)</f>
        <v>0</v>
      </c>
      <c r="Q3640" s="169">
        <f>IFERROR(MATCH(J3640,'Final List'!$N$4:$N$252,0),0)</f>
        <v>0</v>
      </c>
      <c r="R3640" s="169">
        <f>IFERROR(MATCH(J3640,'Final List'!$P$4:$P$252,0),0)</f>
        <v>0</v>
      </c>
      <c r="S3640" s="169">
        <f t="shared" si="228"/>
        <v>0</v>
      </c>
      <c r="T3640" s="169" t="s">
        <v>48</v>
      </c>
      <c r="V3640" s="169" t="str">
        <f t="shared" si="230"/>
        <v>BABOR</v>
      </c>
      <c r="W3640" s="169" t="s">
        <v>2712</v>
      </c>
    </row>
    <row r="3641" spans="2:23" x14ac:dyDescent="0.25">
      <c r="B3641" s="169" t="s">
        <v>1166</v>
      </c>
      <c r="C3641" s="169" t="s">
        <v>56</v>
      </c>
      <c r="D3641" s="169" t="s">
        <v>141</v>
      </c>
      <c r="E3641" s="169" t="s">
        <v>61</v>
      </c>
      <c r="F3641" s="245" t="str">
        <f t="shared" si="227"/>
        <v>Dhoz 71</v>
      </c>
      <c r="G3641" s="169" t="s">
        <v>4068</v>
      </c>
      <c r="I3641" s="169" t="str">
        <f t="shared" si="229"/>
        <v>L11_GHVFW_029E_DW</v>
      </c>
      <c r="J3641" s="169" t="s">
        <v>14071</v>
      </c>
      <c r="K3641" s="169">
        <f>IFERROR(MATCH(J3641,'Final List'!$B$4:$B$252,0),0)</f>
        <v>0</v>
      </c>
      <c r="L3641" s="169">
        <f>IFERROR(MATCH(J3641,'Final List'!$D$4:$D$252,0),0)</f>
        <v>0</v>
      </c>
      <c r="M3641" s="169">
        <f>IFERROR(MATCH(J3641,'Final List'!$F$4:$F$251,0),0)</f>
        <v>0</v>
      </c>
      <c r="N3641" s="169">
        <f>IFERROR(MATCH(J3641,'Final List'!$H$4:$H$252,0),0)</f>
        <v>0</v>
      </c>
      <c r="O3641" s="169">
        <f>IFERROR(MATCH(J3641,'Final List'!$J$4:$J$252,0),0)</f>
        <v>0</v>
      </c>
      <c r="P3641" s="169">
        <f>IFERROR(MATCH(J3641,'Final List'!$L$4:$L$252,0),0)</f>
        <v>0</v>
      </c>
      <c r="Q3641" s="169">
        <f>IFERROR(MATCH(J3641,'Final List'!$N$4:$N$252,0),0)</f>
        <v>0</v>
      </c>
      <c r="R3641" s="169">
        <f>IFERROR(MATCH(J3641,'Final List'!$P$4:$P$252,0),0)</f>
        <v>0</v>
      </c>
      <c r="S3641" s="169">
        <f t="shared" si="228"/>
        <v>0</v>
      </c>
      <c r="V3641" s="169" t="str">
        <f t="shared" si="230"/>
        <v>MAPAYO</v>
      </c>
      <c r="W3641" s="169" t="s">
        <v>8896</v>
      </c>
    </row>
    <row r="3642" spans="2:23" x14ac:dyDescent="0.25">
      <c r="B3642" s="169" t="s">
        <v>12320</v>
      </c>
      <c r="C3642" s="169" t="s">
        <v>42</v>
      </c>
      <c r="D3642" s="169" t="s">
        <v>166</v>
      </c>
      <c r="E3642" s="169" t="s">
        <v>19</v>
      </c>
      <c r="F3642" s="245" t="str">
        <f t="shared" si="227"/>
        <v>DVR 72</v>
      </c>
      <c r="G3642" s="169" t="s">
        <v>1510</v>
      </c>
      <c r="I3642" s="169" t="str">
        <f t="shared" si="229"/>
        <v>L425_JV_068E_RAISE</v>
      </c>
      <c r="J3642" s="169" t="s">
        <v>14079</v>
      </c>
      <c r="K3642" s="169">
        <f>IFERROR(MATCH(J3642,'Final List'!$B$4:$B$252,0),0)</f>
        <v>0</v>
      </c>
      <c r="L3642" s="169">
        <f>IFERROR(MATCH(J3642,'Final List'!$D$4:$D$252,0),0)</f>
        <v>0</v>
      </c>
      <c r="M3642" s="169">
        <f>IFERROR(MATCH(J3642,'Final List'!$F$4:$F$251,0),0)</f>
        <v>0</v>
      </c>
      <c r="N3642" s="169">
        <f>IFERROR(MATCH(J3642,'Final List'!$H$4:$H$252,0),0)</f>
        <v>0</v>
      </c>
      <c r="O3642" s="169">
        <f>IFERROR(MATCH(J3642,'Final List'!$J$4:$J$252,0),0)</f>
        <v>0</v>
      </c>
      <c r="P3642" s="169">
        <f>IFERROR(MATCH(J3642,'Final List'!$L$4:$L$252,0),0)</f>
        <v>0</v>
      </c>
      <c r="Q3642" s="169">
        <f>IFERROR(MATCH(J3642,'Final List'!$N$4:$N$252,0),0)</f>
        <v>0</v>
      </c>
      <c r="R3642" s="169">
        <f>IFERROR(MATCH(J3642,'Final List'!$P$4:$P$252,0),0)</f>
        <v>0</v>
      </c>
      <c r="S3642" s="169">
        <f t="shared" si="228"/>
        <v>0</v>
      </c>
      <c r="V3642" s="169" t="str">
        <f t="shared" si="230"/>
        <v>DELOS REYES</v>
      </c>
      <c r="W3642" s="169" t="s">
        <v>2715</v>
      </c>
    </row>
    <row r="3643" spans="2:23" x14ac:dyDescent="0.25">
      <c r="B3643" s="169" t="s">
        <v>12320</v>
      </c>
      <c r="C3643" s="169" t="s">
        <v>57</v>
      </c>
      <c r="D3643" s="169" t="s">
        <v>173</v>
      </c>
      <c r="E3643" s="169" t="s">
        <v>19</v>
      </c>
      <c r="F3643" s="245" t="str">
        <f t="shared" si="227"/>
        <v>DVR 72</v>
      </c>
      <c r="G3643" t="s">
        <v>12197</v>
      </c>
      <c r="I3643" s="169" t="str">
        <f t="shared" si="229"/>
        <v>L425_JVSPLIT_049E_RAISE</v>
      </c>
      <c r="J3643" s="169" t="s">
        <v>14081</v>
      </c>
      <c r="K3643" s="169">
        <f>IFERROR(MATCH(J3643,'Final List'!$B$4:$B$252,0),0)</f>
        <v>0</v>
      </c>
      <c r="L3643" s="169">
        <f>IFERROR(MATCH(J3643,'Final List'!$D$4:$D$252,0),0)</f>
        <v>0</v>
      </c>
      <c r="M3643" s="169">
        <f>IFERROR(MATCH(J3643,'Final List'!$F$4:$F$251,0),0)</f>
        <v>0</v>
      </c>
      <c r="N3643" s="169">
        <f>IFERROR(MATCH(J3643,'Final List'!$H$4:$H$252,0),0)</f>
        <v>0</v>
      </c>
      <c r="O3643" s="169">
        <f>IFERROR(MATCH(J3643,'Final List'!$J$4:$J$252,0),0)</f>
        <v>0</v>
      </c>
      <c r="P3643" s="169">
        <f>IFERROR(MATCH(J3643,'Final List'!$L$4:$L$252,0),0)</f>
        <v>0</v>
      </c>
      <c r="Q3643" s="169">
        <f>IFERROR(MATCH(J3643,'Final List'!$N$4:$N$252,0),0)</f>
        <v>0</v>
      </c>
      <c r="R3643" s="169">
        <f>IFERROR(MATCH(J3643,'Final List'!$P$4:$P$252,0),0)</f>
        <v>0</v>
      </c>
      <c r="S3643" s="169">
        <f t="shared" si="228"/>
        <v>0</v>
      </c>
      <c r="V3643" s="169" t="str">
        <f t="shared" si="230"/>
        <v>NITRO BF 2</v>
      </c>
      <c r="W3643" s="169" t="s">
        <v>2715</v>
      </c>
    </row>
    <row r="3644" spans="2:23" x14ac:dyDescent="0.25">
      <c r="B3644" s="169" t="s">
        <v>12320</v>
      </c>
      <c r="C3644" s="169" t="s">
        <v>59</v>
      </c>
      <c r="D3644" s="169" t="s">
        <v>178</v>
      </c>
      <c r="E3644" s="169" t="s">
        <v>36</v>
      </c>
      <c r="F3644" s="245" t="str">
        <f t="shared" si="227"/>
        <v>StpL 78</v>
      </c>
      <c r="G3644" s="169" t="s">
        <v>1376</v>
      </c>
      <c r="I3644" s="169" t="str">
        <f t="shared" si="229"/>
        <v>L425_GHVHW_048E_STOPE</v>
      </c>
      <c r="J3644" s="169" t="s">
        <v>14206</v>
      </c>
      <c r="K3644" s="169">
        <f>IFERROR(MATCH(J3644,'Final List'!$B$4:$B$252,0),0)</f>
        <v>0</v>
      </c>
      <c r="L3644" s="169">
        <f>IFERROR(MATCH(J3644,'Final List'!$D$4:$D$252,0),0)</f>
        <v>0</v>
      </c>
      <c r="M3644" s="169">
        <f>IFERROR(MATCH(J3644,'Final List'!$F$4:$F$251,0),0)</f>
        <v>0</v>
      </c>
      <c r="N3644" s="169">
        <f>IFERROR(MATCH(J3644,'Final List'!$H$4:$H$252,0),0)</f>
        <v>0</v>
      </c>
      <c r="O3644" s="169">
        <f>IFERROR(MATCH(J3644,'Final List'!$J$4:$J$252,0),0)</f>
        <v>0</v>
      </c>
      <c r="P3644" s="169">
        <f>IFERROR(MATCH(J3644,'Final List'!$L$4:$L$252,0),0)</f>
        <v>0</v>
      </c>
      <c r="Q3644" s="169">
        <f>IFERROR(MATCH(J3644,'Final List'!$N$4:$N$252,0),0)</f>
        <v>0</v>
      </c>
      <c r="R3644" s="169">
        <f>IFERROR(MATCH(J3644,'Final List'!$P$4:$P$252,0),0)</f>
        <v>0</v>
      </c>
      <c r="S3644" s="169">
        <f t="shared" si="228"/>
        <v>0</v>
      </c>
      <c r="T3644" s="169" t="s">
        <v>48</v>
      </c>
      <c r="V3644" s="169" t="str">
        <f t="shared" si="230"/>
        <v>LERIO</v>
      </c>
      <c r="W3644" s="169" t="s">
        <v>2713</v>
      </c>
    </row>
    <row r="3645" spans="2:23" x14ac:dyDescent="0.25">
      <c r="B3645" s="169" t="s">
        <v>96</v>
      </c>
      <c r="C3645" s="169" t="s">
        <v>87</v>
      </c>
      <c r="D3645" s="169" t="s">
        <v>161</v>
      </c>
      <c r="E3645" s="169" t="s">
        <v>14087</v>
      </c>
      <c r="F3645" s="245" t="s">
        <v>14362</v>
      </c>
      <c r="G3645" s="169" t="s">
        <v>14086</v>
      </c>
      <c r="H3645" s="169" t="s">
        <v>11</v>
      </c>
      <c r="I3645" s="169" t="str">
        <f t="shared" si="229"/>
        <v>L09_NONE_044E_OREPASS</v>
      </c>
      <c r="J3645" s="169" t="s">
        <v>14085</v>
      </c>
      <c r="K3645" s="169">
        <f>IFERROR(MATCH(J3645,'Final List'!$B$4:$B$252,0),0)</f>
        <v>0</v>
      </c>
      <c r="L3645" s="169">
        <f>IFERROR(MATCH(J3645,'Final List'!$D$4:$D$252,0),0)</f>
        <v>0</v>
      </c>
      <c r="M3645" s="169">
        <f>IFERROR(MATCH(J3645,'Final List'!$F$4:$F$251,0),0)</f>
        <v>0</v>
      </c>
      <c r="N3645" s="169">
        <f>IFERROR(MATCH(J3645,'Final List'!$H$4:$H$252,0),0)</f>
        <v>0</v>
      </c>
      <c r="O3645" s="169">
        <f>IFERROR(MATCH(J3645,'Final List'!$J$4:$J$252,0),0)</f>
        <v>0</v>
      </c>
      <c r="P3645" s="169">
        <f>IFERROR(MATCH(J3645,'Final List'!$L$4:$L$252,0),0)</f>
        <v>0</v>
      </c>
      <c r="Q3645" s="169">
        <f>IFERROR(MATCH(J3645,'Final List'!$N$4:$N$252,0),0)</f>
        <v>0</v>
      </c>
      <c r="R3645" s="169">
        <f>IFERROR(MATCH(J3645,'Final List'!$P$4:$P$252,0),0)</f>
        <v>0</v>
      </c>
      <c r="S3645" s="169">
        <f t="shared" si="228"/>
        <v>0</v>
      </c>
      <c r="V3645" s="169" t="str">
        <f t="shared" si="230"/>
        <v>QUIJANO</v>
      </c>
      <c r="W3645" s="169" t="s">
        <v>2714</v>
      </c>
    </row>
    <row r="3646" spans="2:23" x14ac:dyDescent="0.25">
      <c r="B3646" s="169" t="s">
        <v>258</v>
      </c>
      <c r="C3646" s="169" t="s">
        <v>42</v>
      </c>
      <c r="D3646" s="169" t="s">
        <v>6710</v>
      </c>
      <c r="E3646" s="169" t="s">
        <v>61</v>
      </c>
      <c r="F3646" s="245" t="str">
        <f t="shared" si="227"/>
        <v>Dhoz 71</v>
      </c>
      <c r="G3646" s="169" t="s">
        <v>12888</v>
      </c>
      <c r="I3646" s="169" t="str">
        <f t="shared" si="229"/>
        <v>L10_JV_018W_DW</v>
      </c>
      <c r="J3646" s="169" t="s">
        <v>14089</v>
      </c>
      <c r="K3646" s="169">
        <f>IFERROR(MATCH(J3646,'Final List'!$B$4:$B$252,0),0)</f>
        <v>0</v>
      </c>
      <c r="L3646" s="169">
        <f>IFERROR(MATCH(J3646,'Final List'!$D$4:$D$252,0),0)</f>
        <v>0</v>
      </c>
      <c r="M3646" s="169">
        <f>IFERROR(MATCH(J3646,'Final List'!$F$4:$F$251,0),0)</f>
        <v>0</v>
      </c>
      <c r="N3646" s="169">
        <f>IFERROR(MATCH(J3646,'Final List'!$H$4:$H$252,0),0)</f>
        <v>0</v>
      </c>
      <c r="O3646" s="169">
        <f>IFERROR(MATCH(J3646,'Final List'!$J$4:$J$252,0),0)</f>
        <v>0</v>
      </c>
      <c r="P3646" s="169">
        <f>IFERROR(MATCH(J3646,'Final List'!$L$4:$L$252,0),0)</f>
        <v>0</v>
      </c>
      <c r="Q3646" s="169">
        <f>IFERROR(MATCH(J3646,'Final List'!$N$4:$N$252,0),0)</f>
        <v>0</v>
      </c>
      <c r="R3646" s="169">
        <f>IFERROR(MATCH(J3646,'Final List'!$P$4:$P$252,0),0)</f>
        <v>0</v>
      </c>
      <c r="S3646" s="169">
        <f t="shared" si="228"/>
        <v>0</v>
      </c>
      <c r="V3646" s="169" t="str">
        <f t="shared" si="230"/>
        <v>NITRO BD</v>
      </c>
      <c r="W3646" s="169" t="s">
        <v>8896</v>
      </c>
    </row>
    <row r="3647" spans="2:23" x14ac:dyDescent="0.25">
      <c r="B3647" s="169" t="s">
        <v>95</v>
      </c>
      <c r="C3647" s="169" t="s">
        <v>42</v>
      </c>
      <c r="D3647" s="169" t="s">
        <v>5741</v>
      </c>
      <c r="E3647" s="169" t="s">
        <v>61</v>
      </c>
      <c r="F3647" s="245" t="str">
        <f t="shared" si="227"/>
        <v>Dhoz 71</v>
      </c>
      <c r="G3647" s="169" t="s">
        <v>14138</v>
      </c>
      <c r="I3647" s="169" t="str">
        <f t="shared" si="229"/>
        <v>L08_JV_035E_DW</v>
      </c>
      <c r="J3647" s="169" t="s">
        <v>14091</v>
      </c>
      <c r="K3647" s="169">
        <f>IFERROR(MATCH(J3647,'Final List'!$B$4:$B$252,0),0)</f>
        <v>0</v>
      </c>
      <c r="L3647" s="169">
        <f>IFERROR(MATCH(J3647,'Final List'!$D$4:$D$252,0),0)</f>
        <v>0</v>
      </c>
      <c r="M3647" s="169">
        <f>IFERROR(MATCH(J3647,'Final List'!$F$4:$F$251,0),0)</f>
        <v>0</v>
      </c>
      <c r="N3647" s="169">
        <f>IFERROR(MATCH(J3647,'Final List'!$H$4:$H$252,0),0)</f>
        <v>0</v>
      </c>
      <c r="O3647" s="169">
        <f>IFERROR(MATCH(J3647,'Final List'!$J$4:$J$252,0),0)</f>
        <v>0</v>
      </c>
      <c r="P3647" s="169">
        <f>IFERROR(MATCH(J3647,'Final List'!$L$4:$L$252,0),0)</f>
        <v>0</v>
      </c>
      <c r="Q3647" s="169">
        <f>IFERROR(MATCH(J3647,'Final List'!$N$4:$N$252,0),0)</f>
        <v>0</v>
      </c>
      <c r="R3647" s="169">
        <f>IFERROR(MATCH(J3647,'Final List'!$P$4:$P$252,0),0)</f>
        <v>0</v>
      </c>
      <c r="S3647" s="169">
        <f t="shared" si="228"/>
        <v>0</v>
      </c>
      <c r="V3647" s="169" t="str">
        <f t="shared" si="230"/>
        <v>CANTAGO 3</v>
      </c>
      <c r="W3647" s="169" t="s">
        <v>8895</v>
      </c>
    </row>
    <row r="3648" spans="2:23" x14ac:dyDescent="0.25">
      <c r="B3648" s="169" t="s">
        <v>12320</v>
      </c>
      <c r="C3648" s="169" t="s">
        <v>59</v>
      </c>
      <c r="D3648" s="169" t="s">
        <v>170</v>
      </c>
      <c r="E3648" s="169" t="s">
        <v>19</v>
      </c>
      <c r="F3648" s="245" t="str">
        <f t="shared" si="227"/>
        <v>DVR 72</v>
      </c>
      <c r="G3648" s="169" t="s">
        <v>363</v>
      </c>
      <c r="I3648" s="169" t="str">
        <f t="shared" si="229"/>
        <v>L425_GHVHW_071E_RAISE</v>
      </c>
      <c r="J3648" s="169" t="s">
        <v>14104</v>
      </c>
      <c r="K3648" s="169">
        <f>IFERROR(MATCH(J3648,'Final List'!$B$4:$B$252,0),0)</f>
        <v>0</v>
      </c>
      <c r="L3648" s="169">
        <f>IFERROR(MATCH(J3648,'Final List'!$D$4:$D$252,0),0)</f>
        <v>0</v>
      </c>
      <c r="M3648" s="169">
        <f>IFERROR(MATCH(J3648,'Final List'!$F$4:$F$251,0),0)</f>
        <v>0</v>
      </c>
      <c r="N3648" s="169">
        <f>IFERROR(MATCH(J3648,'Final List'!$H$4:$H$252,0),0)</f>
        <v>0</v>
      </c>
      <c r="O3648" s="169">
        <f>IFERROR(MATCH(J3648,'Final List'!$J$4:$J$252,0),0)</f>
        <v>0</v>
      </c>
      <c r="P3648" s="169">
        <f>IFERROR(MATCH(J3648,'Final List'!$L$4:$L$252,0),0)</f>
        <v>0</v>
      </c>
      <c r="Q3648" s="169">
        <f>IFERROR(MATCH(J3648,'Final List'!$N$4:$N$252,0),0)</f>
        <v>0</v>
      </c>
      <c r="R3648" s="169">
        <f>IFERROR(MATCH(J3648,'Final List'!$P$4:$P$252,0),0)</f>
        <v>0</v>
      </c>
      <c r="S3648" s="169">
        <f t="shared" si="228"/>
        <v>0</v>
      </c>
      <c r="V3648" s="169" t="str">
        <f t="shared" si="230"/>
        <v>BABOR 2</v>
      </c>
      <c r="W3648" s="169" t="s">
        <v>2715</v>
      </c>
    </row>
    <row r="3649" spans="2:23" x14ac:dyDescent="0.25">
      <c r="B3649" s="169" t="s">
        <v>12320</v>
      </c>
      <c r="C3649" s="169" t="s">
        <v>57</v>
      </c>
      <c r="D3649" s="169" t="s">
        <v>179</v>
      </c>
      <c r="E3649" s="169" t="s">
        <v>19</v>
      </c>
      <c r="F3649" s="245" t="str">
        <f t="shared" si="227"/>
        <v>DVR 72</v>
      </c>
      <c r="G3649" s="169" t="s">
        <v>390</v>
      </c>
      <c r="H3649" s="169" t="s">
        <v>1510</v>
      </c>
      <c r="I3649" s="169" t="str">
        <f t="shared" si="229"/>
        <v>L425_JVSPLIT_050E_RAISE</v>
      </c>
      <c r="J3649" s="169" t="s">
        <v>14107</v>
      </c>
      <c r="K3649" s="169">
        <f>IFERROR(MATCH(J3649,'Final List'!$B$4:$B$252,0),0)</f>
        <v>0</v>
      </c>
      <c r="L3649" s="169">
        <f>IFERROR(MATCH(J3649,'Final List'!$D$4:$D$252,0),0)</f>
        <v>0</v>
      </c>
      <c r="M3649" s="169">
        <f>IFERROR(MATCH(J3649,'Final List'!$F$4:$F$251,0),0)</f>
        <v>0</v>
      </c>
      <c r="N3649" s="169">
        <f>IFERROR(MATCH(J3649,'Final List'!$H$4:$H$252,0),0)</f>
        <v>0</v>
      </c>
      <c r="O3649" s="169">
        <f>IFERROR(MATCH(J3649,'Final List'!$J$4:$J$252,0),0)</f>
        <v>0</v>
      </c>
      <c r="P3649" s="169">
        <f>IFERROR(MATCH(J3649,'Final List'!$L$4:$L$252,0),0)</f>
        <v>0</v>
      </c>
      <c r="Q3649" s="169">
        <f>IFERROR(MATCH(J3649,'Final List'!$N$4:$N$252,0),0)</f>
        <v>0</v>
      </c>
      <c r="R3649" s="169">
        <f>IFERROR(MATCH(J3649,'Final List'!$P$4:$P$252,0),0)</f>
        <v>0</v>
      </c>
      <c r="S3649" s="169">
        <f t="shared" si="228"/>
        <v>0</v>
      </c>
      <c r="V3649" s="169" t="str">
        <f t="shared" si="230"/>
        <v>DELOS REYES</v>
      </c>
      <c r="W3649" s="169" t="s">
        <v>2715</v>
      </c>
    </row>
    <row r="3650" spans="2:23" x14ac:dyDescent="0.25">
      <c r="B3650" s="169" t="s">
        <v>12320</v>
      </c>
      <c r="C3650" s="169" t="s">
        <v>57</v>
      </c>
      <c r="D3650" s="169" t="s">
        <v>284</v>
      </c>
      <c r="E3650" s="169" t="s">
        <v>60</v>
      </c>
      <c r="F3650" s="245" t="str">
        <f t="shared" si="227"/>
        <v>Dhoz 71</v>
      </c>
      <c r="G3650" s="169" t="s">
        <v>389</v>
      </c>
      <c r="H3650" s="169" t="s">
        <v>1510</v>
      </c>
      <c r="I3650" s="169" t="str">
        <f t="shared" si="229"/>
        <v>L425_JVSPLIT_061E_DE</v>
      </c>
      <c r="J3650" s="169" t="s">
        <v>14108</v>
      </c>
      <c r="K3650" s="169">
        <f>IFERROR(MATCH(J3650,'Final List'!$B$4:$B$252,0),0)</f>
        <v>0</v>
      </c>
      <c r="L3650" s="169">
        <f>IFERROR(MATCH(J3650,'Final List'!$D$4:$D$252,0),0)</f>
        <v>0</v>
      </c>
      <c r="M3650" s="169">
        <f>IFERROR(MATCH(J3650,'Final List'!$F$4:$F$251,0),0)</f>
        <v>0</v>
      </c>
      <c r="N3650" s="169">
        <f>IFERROR(MATCH(J3650,'Final List'!$H$4:$H$252,0),0)</f>
        <v>0</v>
      </c>
      <c r="O3650" s="169">
        <f>IFERROR(MATCH(J3650,'Final List'!$J$4:$J$252,0),0)</f>
        <v>0</v>
      </c>
      <c r="P3650" s="169">
        <f>IFERROR(MATCH(J3650,'Final List'!$L$4:$L$252,0),0)</f>
        <v>0</v>
      </c>
      <c r="Q3650" s="169">
        <f>IFERROR(MATCH(J3650,'Final List'!$N$4:$N$252,0),0)</f>
        <v>0</v>
      </c>
      <c r="R3650" s="169">
        <f>IFERROR(MATCH(J3650,'Final List'!$P$4:$P$252,0),0)</f>
        <v>0</v>
      </c>
      <c r="S3650" s="169">
        <f t="shared" si="228"/>
        <v>0</v>
      </c>
      <c r="V3650" s="169" t="str">
        <f t="shared" si="230"/>
        <v>DELOS REYES</v>
      </c>
      <c r="W3650" s="169" t="s">
        <v>8896</v>
      </c>
    </row>
    <row r="3651" spans="2:23" x14ac:dyDescent="0.25">
      <c r="B3651" s="169" t="s">
        <v>1166</v>
      </c>
      <c r="C3651" s="169" t="s">
        <v>87</v>
      </c>
      <c r="D3651" s="169" t="s">
        <v>10429</v>
      </c>
      <c r="E3651" s="169" t="s">
        <v>19</v>
      </c>
      <c r="F3651" s="245" t="str">
        <f t="shared" ref="F3651:F3714" si="231">IF(OR(E3651="XCN",E3651="DE",E3651="DW",E3651="DN",E3651="XCS",E3651="XCE",E3651="XCW",E3651="SUMP",E3651="BYPASS",E3651="CHAMBER",E3651="DRAIN HOLE",E3651="DRILLING CHAMBER",E3651="DE_ISL",E3651="DW_ISL",E3651="REHAB"),"Dhoz 71",IF(OR(E3651="RAISE",E3651="RAISE_ISL"),"DVR 72",IF(E3651="ALIMAK","DVA 73",IF(E3651="WINZE","DVW 74",IF(E3651="SHAFT","DVS 75",IF(AND(E3651="WINZE STOPE",T3651="S"),"RobC 80",IF(AND(E3651="STOPE",T3651="S"),"StpS 77",IF(AND(E3651="WINZE STOPE",T3651="L"),"RobC 80",IF(AND(E3651="STOPE",T3651="L"),"StpL 78",IF(AND(E3651="WINZE STOPE PREP",T3651="S"),"RobC 80",IF(AND(E3651="STOPE PREP",T3651="S"),"StpS 77",IF(AND(E3651="WINZE STOPE PREP",T3651="L"),"RobC 80",IF(AND(E3651="STOPE PREP",T3651="L"),"StpL 78",IF(AND(E3651="ROBBING",T3651="L"),"RobC 80",IF(AND(E3651="ROBBING",T3651="S"),"RobS 79",0)))))))))))))))</f>
        <v>DVR 72</v>
      </c>
      <c r="G3651" s="169" t="s">
        <v>6954</v>
      </c>
      <c r="I3651" s="169" t="str">
        <f t="shared" si="229"/>
        <v>L11_NONE_098E_RAISE</v>
      </c>
      <c r="J3651" s="169" t="s">
        <v>14568</v>
      </c>
      <c r="K3651" s="169">
        <f>IFERROR(MATCH(J3651,'Final List'!$B$4:$B$252,0),0)</f>
        <v>0</v>
      </c>
      <c r="L3651" s="169">
        <f>IFERROR(MATCH(J3651,'Final List'!$D$4:$D$252,0),0)</f>
        <v>0</v>
      </c>
      <c r="M3651" s="169">
        <f>IFERROR(MATCH(J3651,'Final List'!$F$4:$F$251,0),0)</f>
        <v>0</v>
      </c>
      <c r="N3651" s="169">
        <f>IFERROR(MATCH(J3651,'Final List'!$H$4:$H$252,0),0)</f>
        <v>0</v>
      </c>
      <c r="O3651" s="169">
        <f>IFERROR(MATCH(J3651,'Final List'!$J$4:$J$252,0),0)</f>
        <v>0</v>
      </c>
      <c r="P3651" s="169">
        <f>IFERROR(MATCH(J3651,'Final List'!$L$4:$L$252,0),0)</f>
        <v>0</v>
      </c>
      <c r="Q3651" s="169">
        <f>IFERROR(MATCH(J3651,'Final List'!$N$4:$N$252,0),0)</f>
        <v>0</v>
      </c>
      <c r="R3651" s="169">
        <f>IFERROR(MATCH(J3651,'Final List'!$P$4:$P$252,0),0)</f>
        <v>0</v>
      </c>
      <c r="S3651" s="169">
        <f t="shared" ref="S3651:S3714" si="232">SUM(K3651:R3651)</f>
        <v>0</v>
      </c>
      <c r="V3651" s="169" t="str">
        <f t="shared" si="230"/>
        <v>BADBADON</v>
      </c>
      <c r="W3651" s="169" t="s">
        <v>2715</v>
      </c>
    </row>
    <row r="3652" spans="2:23" x14ac:dyDescent="0.25">
      <c r="B3652" s="169" t="s">
        <v>95</v>
      </c>
      <c r="C3652" s="169" t="s">
        <v>45</v>
      </c>
      <c r="D3652" s="169" t="s">
        <v>116</v>
      </c>
      <c r="E3652" s="169" t="s">
        <v>6143</v>
      </c>
      <c r="F3652" s="245" t="str">
        <f t="shared" si="231"/>
        <v>Dhoz 71</v>
      </c>
      <c r="G3652" s="169" t="s">
        <v>14136</v>
      </c>
      <c r="I3652" s="169" t="str">
        <f t="shared" si="229"/>
        <v>L08_DPVE_021W_DE_ISL</v>
      </c>
      <c r="J3652" s="169" t="s">
        <v>14110</v>
      </c>
      <c r="K3652" s="169">
        <f>IFERROR(MATCH(J3652,'Final List'!$B$4:$B$252,0),0)</f>
        <v>0</v>
      </c>
      <c r="L3652" s="169">
        <f>IFERROR(MATCH(J3652,'Final List'!$D$4:$D$252,0),0)</f>
        <v>0</v>
      </c>
      <c r="M3652" s="169">
        <f>IFERROR(MATCH(J3652,'Final List'!$F$4:$F$251,0),0)</f>
        <v>0</v>
      </c>
      <c r="N3652" s="169">
        <f>IFERROR(MATCH(J3652,'Final List'!$H$4:$H$252,0),0)</f>
        <v>0</v>
      </c>
      <c r="O3652" s="169">
        <f>IFERROR(MATCH(J3652,'Final List'!$J$4:$J$252,0),0)</f>
        <v>0</v>
      </c>
      <c r="P3652" s="169">
        <f>IFERROR(MATCH(J3652,'Final List'!$L$4:$L$252,0),0)</f>
        <v>0</v>
      </c>
      <c r="Q3652" s="169">
        <f>IFERROR(MATCH(J3652,'Final List'!$N$4:$N$252,0),0)</f>
        <v>0</v>
      </c>
      <c r="R3652" s="169">
        <f>IFERROR(MATCH(J3652,'Final List'!$P$4:$P$252,0),0)</f>
        <v>0</v>
      </c>
      <c r="S3652" s="169">
        <f t="shared" si="232"/>
        <v>0</v>
      </c>
      <c r="V3652" s="169" t="str">
        <f t="shared" si="230"/>
        <v>NITRO CF 2</v>
      </c>
      <c r="W3652" s="169" t="s">
        <v>8895</v>
      </c>
    </row>
    <row r="3653" spans="2:23" x14ac:dyDescent="0.25">
      <c r="B3653" s="169" t="s">
        <v>95</v>
      </c>
      <c r="C3653" s="169" t="s">
        <v>45</v>
      </c>
      <c r="D3653" s="169" t="s">
        <v>5940</v>
      </c>
      <c r="E3653" s="169" t="s">
        <v>6154</v>
      </c>
      <c r="F3653" s="245" t="str">
        <f t="shared" si="231"/>
        <v>Dhoz 71</v>
      </c>
      <c r="G3653" s="169" t="s">
        <v>14136</v>
      </c>
      <c r="I3653" s="169" t="str">
        <f t="shared" si="229"/>
        <v>L08_DPVE_022W_DW_ISL</v>
      </c>
      <c r="J3653" s="169" t="s">
        <v>14112</v>
      </c>
      <c r="K3653" s="169">
        <f>IFERROR(MATCH(J3653,'Final List'!$B$4:$B$252,0),0)</f>
        <v>0</v>
      </c>
      <c r="L3653" s="169">
        <f>IFERROR(MATCH(J3653,'Final List'!$D$4:$D$252,0),0)</f>
        <v>0</v>
      </c>
      <c r="M3653" s="169">
        <f>IFERROR(MATCH(J3653,'Final List'!$F$4:$F$251,0),0)</f>
        <v>0</v>
      </c>
      <c r="N3653" s="169">
        <f>IFERROR(MATCH(J3653,'Final List'!$H$4:$H$252,0),0)</f>
        <v>0</v>
      </c>
      <c r="O3653" s="169">
        <f>IFERROR(MATCH(J3653,'Final List'!$J$4:$J$252,0),0)</f>
        <v>0</v>
      </c>
      <c r="P3653" s="169">
        <f>IFERROR(MATCH(J3653,'Final List'!$L$4:$L$252,0),0)</f>
        <v>0</v>
      </c>
      <c r="Q3653" s="169">
        <f>IFERROR(MATCH(J3653,'Final List'!$N$4:$N$252,0),0)</f>
        <v>0</v>
      </c>
      <c r="R3653" s="169">
        <f>IFERROR(MATCH(J3653,'Final List'!$P$4:$P$252,0),0)</f>
        <v>0</v>
      </c>
      <c r="S3653" s="169">
        <f t="shared" si="232"/>
        <v>0</v>
      </c>
      <c r="V3653" s="169" t="str">
        <f t="shared" si="230"/>
        <v>NITRO CF 2</v>
      </c>
      <c r="W3653" s="169" t="s">
        <v>8895</v>
      </c>
    </row>
    <row r="3654" spans="2:23" x14ac:dyDescent="0.25">
      <c r="B3654" s="169" t="s">
        <v>1166</v>
      </c>
      <c r="C3654" s="169" t="s">
        <v>45</v>
      </c>
      <c r="D3654" s="169" t="s">
        <v>11794</v>
      </c>
      <c r="E3654" s="169" t="s">
        <v>60</v>
      </c>
      <c r="F3654" s="245" t="str">
        <f t="shared" si="231"/>
        <v>Dhoz 71</v>
      </c>
      <c r="G3654" s="169" t="s">
        <v>4155</v>
      </c>
      <c r="I3654" s="169" t="str">
        <f t="shared" si="229"/>
        <v>L11_DPVE_102E_DE</v>
      </c>
      <c r="J3654" s="169" t="s">
        <v>14120</v>
      </c>
      <c r="K3654" s="169">
        <f>IFERROR(MATCH(J3654,'Final List'!$B$4:$B$252,0),0)</f>
        <v>0</v>
      </c>
      <c r="L3654" s="169">
        <f>IFERROR(MATCH(J3654,'Final List'!$D$4:$D$252,0),0)</f>
        <v>0</v>
      </c>
      <c r="M3654" s="169">
        <f>IFERROR(MATCH(J3654,'Final List'!$F$4:$F$251,0),0)</f>
        <v>0</v>
      </c>
      <c r="N3654" s="169">
        <f>IFERROR(MATCH(J3654,'Final List'!$H$4:$H$252,0),0)</f>
        <v>0</v>
      </c>
      <c r="O3654" s="169">
        <f>IFERROR(MATCH(J3654,'Final List'!$J$4:$J$252,0),0)</f>
        <v>0</v>
      </c>
      <c r="P3654" s="169">
        <f>IFERROR(MATCH(J3654,'Final List'!$L$4:$L$252,0),0)</f>
        <v>0</v>
      </c>
      <c r="Q3654" s="169">
        <f>IFERROR(MATCH(J3654,'Final List'!$N$4:$N$252,0),0)</f>
        <v>0</v>
      </c>
      <c r="R3654" s="169">
        <f>IFERROR(MATCH(J3654,'Final List'!$P$4:$P$252,0),0)</f>
        <v>0</v>
      </c>
      <c r="S3654" s="169">
        <f t="shared" si="232"/>
        <v>0</v>
      </c>
      <c r="V3654" s="169" t="str">
        <f t="shared" si="230"/>
        <v>BAÑEZ</v>
      </c>
      <c r="W3654" s="169" t="s">
        <v>8896</v>
      </c>
    </row>
    <row r="3655" spans="2:23" ht="15.75" x14ac:dyDescent="0.25">
      <c r="B3655" s="169" t="s">
        <v>12320</v>
      </c>
      <c r="C3655" s="169" t="s">
        <v>38</v>
      </c>
      <c r="D3655" s="169" t="s">
        <v>169</v>
      </c>
      <c r="E3655" s="169" t="s">
        <v>61</v>
      </c>
      <c r="F3655" s="245" t="str">
        <f t="shared" si="231"/>
        <v>Dhoz 71</v>
      </c>
      <c r="G3655" s="106" t="s">
        <v>2459</v>
      </c>
      <c r="I3655" s="169" t="str">
        <f t="shared" si="229"/>
        <v>L425_GHV_065E_DW</v>
      </c>
      <c r="J3655" s="169" t="s">
        <v>14114</v>
      </c>
      <c r="K3655" s="169">
        <f>IFERROR(MATCH(J3655,'Final List'!$B$4:$B$252,0),0)</f>
        <v>0</v>
      </c>
      <c r="L3655" s="169">
        <f>IFERROR(MATCH(J3655,'Final List'!$D$4:$D$252,0),0)</f>
        <v>0</v>
      </c>
      <c r="M3655" s="169">
        <f>IFERROR(MATCH(J3655,'Final List'!$F$4:$F$251,0),0)</f>
        <v>0</v>
      </c>
      <c r="N3655" s="169">
        <f>IFERROR(MATCH(J3655,'Final List'!$H$4:$H$252,0),0)</f>
        <v>0</v>
      </c>
      <c r="O3655" s="169">
        <f>IFERROR(MATCH(J3655,'Final List'!$J$4:$J$252,0),0)</f>
        <v>0</v>
      </c>
      <c r="P3655" s="169">
        <f>IFERROR(MATCH(J3655,'Final List'!$L$4:$L$252,0),0)</f>
        <v>0</v>
      </c>
      <c r="Q3655" s="169">
        <f>IFERROR(MATCH(J3655,'Final List'!$N$4:$N$252,0),0)</f>
        <v>0</v>
      </c>
      <c r="R3655" s="169">
        <f>IFERROR(MATCH(J3655,'Final List'!$P$4:$P$252,0),0)</f>
        <v>0</v>
      </c>
      <c r="S3655" s="169">
        <f t="shared" si="232"/>
        <v>0</v>
      </c>
      <c r="V3655" s="169" t="str">
        <f t="shared" si="230"/>
        <v>REBOTE 3</v>
      </c>
      <c r="W3655" s="169" t="s">
        <v>8896</v>
      </c>
    </row>
    <row r="3656" spans="2:23" x14ac:dyDescent="0.25">
      <c r="B3656" s="169" t="s">
        <v>1167</v>
      </c>
      <c r="C3656" s="169" t="s">
        <v>45</v>
      </c>
      <c r="D3656" s="169" t="s">
        <v>121</v>
      </c>
      <c r="E3656" s="169" t="s">
        <v>19</v>
      </c>
      <c r="F3656" s="245" t="str">
        <f t="shared" si="231"/>
        <v>DVR 72</v>
      </c>
      <c r="G3656" s="169" t="s">
        <v>6930</v>
      </c>
      <c r="H3656" s="169" t="s">
        <v>14132</v>
      </c>
      <c r="I3656" s="169" t="str">
        <f t="shared" si="229"/>
        <v>L12_DPVE_022E_RAISE</v>
      </c>
      <c r="J3656" s="169" t="s">
        <v>14118</v>
      </c>
      <c r="K3656" s="169">
        <f>IFERROR(MATCH(J3656,'Final List'!$B$4:$B$252,0),0)</f>
        <v>0</v>
      </c>
      <c r="L3656" s="169">
        <f>IFERROR(MATCH(J3656,'Final List'!$D$4:$D$252,0),0)</f>
        <v>0</v>
      </c>
      <c r="M3656" s="169">
        <f>IFERROR(MATCH(J3656,'Final List'!$F$4:$F$251,0),0)</f>
        <v>0</v>
      </c>
      <c r="N3656" s="169">
        <f>IFERROR(MATCH(J3656,'Final List'!$H$4:$H$252,0),0)</f>
        <v>0</v>
      </c>
      <c r="O3656" s="169">
        <f>IFERROR(MATCH(J3656,'Final List'!$J$4:$J$252,0),0)</f>
        <v>0</v>
      </c>
      <c r="P3656" s="169">
        <f>IFERROR(MATCH(J3656,'Final List'!$L$4:$L$252,0),0)</f>
        <v>0</v>
      </c>
      <c r="Q3656" s="169">
        <f>IFERROR(MATCH(J3656,'Final List'!$N$4:$N$252,0),0)</f>
        <v>0</v>
      </c>
      <c r="R3656" s="169">
        <f>IFERROR(MATCH(J3656,'Final List'!$P$4:$P$252,0),0)</f>
        <v>0</v>
      </c>
      <c r="S3656" s="169">
        <f t="shared" si="232"/>
        <v>0</v>
      </c>
      <c r="V3656" s="169" t="str">
        <f t="shared" si="230"/>
        <v>LANTACA</v>
      </c>
      <c r="W3656" s="169" t="s">
        <v>2715</v>
      </c>
    </row>
    <row r="3657" spans="2:23" x14ac:dyDescent="0.25">
      <c r="B3657" s="169" t="s">
        <v>1167</v>
      </c>
      <c r="C3657" s="169" t="s">
        <v>55</v>
      </c>
      <c r="D3657" s="169" t="s">
        <v>178</v>
      </c>
      <c r="E3657" s="169" t="s">
        <v>19</v>
      </c>
      <c r="F3657" s="245" t="str">
        <f t="shared" si="231"/>
        <v>DVR 72</v>
      </c>
      <c r="G3657" s="169" t="s">
        <v>14128</v>
      </c>
      <c r="I3657" s="169" t="str">
        <f t="shared" si="229"/>
        <v>L12_JVFW_048E_RAISE</v>
      </c>
      <c r="J3657" s="169" t="s">
        <v>14287</v>
      </c>
      <c r="K3657" s="169">
        <f>IFERROR(MATCH(J3657,'Final List'!$B$4:$B$252,0),0)</f>
        <v>0</v>
      </c>
      <c r="L3657" s="169">
        <f>IFERROR(MATCH(J3657,'Final List'!$D$4:$D$252,0),0)</f>
        <v>0</v>
      </c>
      <c r="M3657" s="169">
        <f>IFERROR(MATCH(J3657,'Final List'!$F$4:$F$251,0),0)</f>
        <v>0</v>
      </c>
      <c r="N3657" s="169">
        <f>IFERROR(MATCH(J3657,'Final List'!$H$4:$H$252,0),0)</f>
        <v>0</v>
      </c>
      <c r="O3657" s="169">
        <f>IFERROR(MATCH(J3657,'Final List'!$J$4:$J$252,0),0)</f>
        <v>0</v>
      </c>
      <c r="P3657" s="169">
        <f>IFERROR(MATCH(J3657,'Final List'!$L$4:$L$252,0),0)</f>
        <v>0</v>
      </c>
      <c r="Q3657" s="169">
        <f>IFERROR(MATCH(J3657,'Final List'!$N$4:$N$252,0),0)</f>
        <v>0</v>
      </c>
      <c r="R3657" s="169">
        <f>IFERROR(MATCH(J3657,'Final List'!$P$4:$P$252,0),0)</f>
        <v>0</v>
      </c>
      <c r="S3657" s="169">
        <f t="shared" si="232"/>
        <v>0</v>
      </c>
      <c r="V3657" s="169" t="str">
        <f t="shared" si="230"/>
        <v>BACLAS 2</v>
      </c>
      <c r="W3657" s="169" t="s">
        <v>2715</v>
      </c>
    </row>
    <row r="3658" spans="2:23" x14ac:dyDescent="0.25">
      <c r="B3658" s="169" t="s">
        <v>1166</v>
      </c>
      <c r="C3658" s="169" t="s">
        <v>87</v>
      </c>
      <c r="D3658" s="169" t="s">
        <v>201</v>
      </c>
      <c r="E3658" s="169" t="s">
        <v>37</v>
      </c>
      <c r="F3658" s="245" t="str">
        <f t="shared" si="231"/>
        <v>Dhoz 71</v>
      </c>
      <c r="G3658" s="169" t="s">
        <v>6954</v>
      </c>
      <c r="I3658" s="169" t="str">
        <f t="shared" si="229"/>
        <v>L11_NONE_067E_XCN</v>
      </c>
      <c r="J3658" s="169" t="s">
        <v>14122</v>
      </c>
      <c r="K3658" s="169">
        <f>IFERROR(MATCH(J3658,'Final List'!$B$4:$B$252,0),0)</f>
        <v>0</v>
      </c>
      <c r="L3658" s="169">
        <f>IFERROR(MATCH(J3658,'Final List'!$D$4:$D$252,0),0)</f>
        <v>0</v>
      </c>
      <c r="M3658" s="169">
        <f>IFERROR(MATCH(J3658,'Final List'!$F$4:$F$251,0),0)</f>
        <v>0</v>
      </c>
      <c r="N3658" s="169">
        <f>IFERROR(MATCH(J3658,'Final List'!$H$4:$H$252,0),0)</f>
        <v>0</v>
      </c>
      <c r="O3658" s="169">
        <f>IFERROR(MATCH(J3658,'Final List'!$J$4:$J$252,0),0)</f>
        <v>0</v>
      </c>
      <c r="P3658" s="169">
        <f>IFERROR(MATCH(J3658,'Final List'!$L$4:$L$252,0),0)</f>
        <v>0</v>
      </c>
      <c r="Q3658" s="169">
        <f>IFERROR(MATCH(J3658,'Final List'!$N$4:$N$252,0),0)</f>
        <v>0</v>
      </c>
      <c r="R3658" s="169">
        <f>IFERROR(MATCH(J3658,'Final List'!$P$4:$P$252,0),0)</f>
        <v>0</v>
      </c>
      <c r="S3658" s="169">
        <f t="shared" si="232"/>
        <v>0</v>
      </c>
      <c r="V3658" s="169" t="str">
        <f t="shared" si="230"/>
        <v>BADBADON</v>
      </c>
      <c r="W3658" s="169" t="s">
        <v>8898</v>
      </c>
    </row>
    <row r="3659" spans="2:23" x14ac:dyDescent="0.25">
      <c r="B3659" s="169" t="s">
        <v>1167</v>
      </c>
      <c r="C3659" s="169" t="s">
        <v>43</v>
      </c>
      <c r="D3659" s="169" t="s">
        <v>205</v>
      </c>
      <c r="E3659" s="169" t="s">
        <v>61</v>
      </c>
      <c r="F3659" s="245" t="str">
        <f t="shared" si="231"/>
        <v>Dhoz 71</v>
      </c>
      <c r="G3659" s="169" t="s">
        <v>13633</v>
      </c>
      <c r="I3659" s="169" t="str">
        <f>CONCATENATE(B3659,"_",C3659,"_",D3659,"_",E3659)</f>
        <v>L12_GHVSPLIT_066E_DW</v>
      </c>
      <c r="J3659" s="169" t="s">
        <v>14124</v>
      </c>
      <c r="K3659" s="169">
        <f>IFERROR(MATCH(J3659,'Final List'!$B$4:$B$252,0),0)</f>
        <v>0</v>
      </c>
      <c r="L3659" s="169">
        <f>IFERROR(MATCH(J3659,'Final List'!$D$4:$D$252,0),0)</f>
        <v>0</v>
      </c>
      <c r="M3659" s="169">
        <f>IFERROR(MATCH(J3659,'Final List'!$F$4:$F$251,0),0)</f>
        <v>0</v>
      </c>
      <c r="N3659" s="169">
        <f>IFERROR(MATCH(J3659,'Final List'!$H$4:$H$252,0),0)</f>
        <v>0</v>
      </c>
      <c r="O3659" s="169">
        <f>IFERROR(MATCH(J3659,'Final List'!$J$4:$J$252,0),0)</f>
        <v>0</v>
      </c>
      <c r="P3659" s="169">
        <f>IFERROR(MATCH(J3659,'Final List'!$L$4:$L$252,0),0)</f>
        <v>0</v>
      </c>
      <c r="Q3659" s="169">
        <f>IFERROR(MATCH(J3659,'Final List'!$N$4:$N$252,0),0)</f>
        <v>0</v>
      </c>
      <c r="R3659" s="169">
        <f>IFERROR(MATCH(J3659,'Final List'!$P$4:$P$252,0),0)</f>
        <v>0</v>
      </c>
      <c r="S3659" s="169">
        <f t="shared" si="232"/>
        <v>0</v>
      </c>
      <c r="V3659" s="169" t="str">
        <f>IF(H3659="",G3659,H3659)</f>
        <v>CAYMAN</v>
      </c>
      <c r="W3659" s="169" t="s">
        <v>8896</v>
      </c>
    </row>
    <row r="3660" spans="2:23" x14ac:dyDescent="0.25">
      <c r="B3660" s="169" t="s">
        <v>95</v>
      </c>
      <c r="C3660" s="169" t="s">
        <v>87</v>
      </c>
      <c r="D3660" s="169" t="s">
        <v>113</v>
      </c>
      <c r="E3660" s="169" t="s">
        <v>19</v>
      </c>
      <c r="F3660" s="245" t="str">
        <f t="shared" si="231"/>
        <v>DVR 72</v>
      </c>
      <c r="G3660" s="169" t="s">
        <v>13952</v>
      </c>
      <c r="I3660" s="169" t="str">
        <f>CONCATENATE(B3660,"_",C3660,"_",D3660,"_",E3660)</f>
        <v>L08_NONE_001W_RAISE</v>
      </c>
      <c r="J3660" s="169" t="s">
        <v>14134</v>
      </c>
      <c r="K3660" s="169">
        <f>IFERROR(MATCH(J3660,'Final List'!$B$4:$B$252,0),0)</f>
        <v>0</v>
      </c>
      <c r="L3660" s="169">
        <f>IFERROR(MATCH(J3660,'Final List'!$D$4:$D$252,0),0)</f>
        <v>0</v>
      </c>
      <c r="M3660" s="169">
        <f>IFERROR(MATCH(J3660,'Final List'!$F$4:$F$251,0),0)</f>
        <v>0</v>
      </c>
      <c r="N3660" s="169">
        <f>IFERROR(MATCH(J3660,'Final List'!$H$4:$H$252,0),0)</f>
        <v>0</v>
      </c>
      <c r="O3660" s="169">
        <f>IFERROR(MATCH(J3660,'Final List'!$J$4:$J$252,0),0)</f>
        <v>0</v>
      </c>
      <c r="P3660" s="169">
        <f>IFERROR(MATCH(J3660,'Final List'!$L$4:$L$252,0),0)</f>
        <v>0</v>
      </c>
      <c r="Q3660" s="169">
        <f>IFERROR(MATCH(J3660,'Final List'!$N$4:$N$252,0),0)</f>
        <v>0</v>
      </c>
      <c r="R3660" s="169">
        <f>IFERROR(MATCH(J3660,'Final List'!$P$4:$P$252,0),0)</f>
        <v>0</v>
      </c>
      <c r="S3660" s="169">
        <f t="shared" si="232"/>
        <v>0</v>
      </c>
      <c r="V3660" s="169" t="str">
        <f>IF(H3660="",G3660,H3660)</f>
        <v>FERNANDEZ 5</v>
      </c>
      <c r="W3660" s="169" t="s">
        <v>2714</v>
      </c>
    </row>
    <row r="3661" spans="2:23" x14ac:dyDescent="0.25">
      <c r="B3661" s="169" t="s">
        <v>12320</v>
      </c>
      <c r="C3661" s="169" t="s">
        <v>42</v>
      </c>
      <c r="D3661" s="169" t="s">
        <v>142</v>
      </c>
      <c r="E3661" s="169" t="s">
        <v>61</v>
      </c>
      <c r="F3661" s="245" t="str">
        <f t="shared" si="231"/>
        <v>Dhoz 71</v>
      </c>
      <c r="G3661" s="169" t="s">
        <v>7984</v>
      </c>
      <c r="I3661" s="169" t="str">
        <f t="shared" si="229"/>
        <v>L425_JV_038E_DW</v>
      </c>
      <c r="J3661" s="169" t="s">
        <v>14147</v>
      </c>
      <c r="K3661" s="169">
        <f>IFERROR(MATCH(J3661,'Final List'!$B$4:$B$252,0),0)</f>
        <v>0</v>
      </c>
      <c r="L3661" s="169">
        <f>IFERROR(MATCH(J3661,'Final List'!$D$4:$D$252,0),0)</f>
        <v>0</v>
      </c>
      <c r="M3661" s="169">
        <f>IFERROR(MATCH(J3661,'Final List'!$F$4:$F$251,0),0)</f>
        <v>0</v>
      </c>
      <c r="N3661" s="169">
        <f>IFERROR(MATCH(J3661,'Final List'!$H$4:$H$252,0),0)</f>
        <v>0</v>
      </c>
      <c r="O3661" s="169">
        <f>IFERROR(MATCH(J3661,'Final List'!$J$4:$J$252,0),0)</f>
        <v>0</v>
      </c>
      <c r="P3661" s="169">
        <f>IFERROR(MATCH(J3661,'Final List'!$L$4:$L$252,0),0)</f>
        <v>0</v>
      </c>
      <c r="Q3661" s="169">
        <f>IFERROR(MATCH(J3661,'Final List'!$N$4:$N$252,0),0)</f>
        <v>0</v>
      </c>
      <c r="R3661" s="169">
        <f>IFERROR(MATCH(J3661,'Final List'!$P$4:$P$252,0),0)</f>
        <v>0</v>
      </c>
      <c r="S3661" s="169">
        <f t="shared" si="232"/>
        <v>0</v>
      </c>
      <c r="V3661" s="169" t="str">
        <f>IF(H3661="",G3661,H3661)</f>
        <v>OLIVEROS</v>
      </c>
      <c r="W3661" s="169" t="s">
        <v>8896</v>
      </c>
    </row>
    <row r="3662" spans="2:23" x14ac:dyDescent="0.25">
      <c r="B3662" s="169" t="s">
        <v>95</v>
      </c>
      <c r="C3662" s="169" t="s">
        <v>87</v>
      </c>
      <c r="D3662" s="169" t="s">
        <v>195</v>
      </c>
      <c r="E3662" s="169" t="s">
        <v>19</v>
      </c>
      <c r="F3662" s="245" t="str">
        <f t="shared" si="231"/>
        <v>DVR 72</v>
      </c>
      <c r="G3662" s="169" t="s">
        <v>5718</v>
      </c>
      <c r="H3662" s="169" t="s">
        <v>15076</v>
      </c>
      <c r="I3662" s="169" t="str">
        <f t="shared" si="229"/>
        <v>L08_NONE_008W_RAISE</v>
      </c>
      <c r="J3662" s="169" t="s">
        <v>14153</v>
      </c>
      <c r="K3662" s="169">
        <f>IFERROR(MATCH(J3662,'Final List'!$B$4:$B$252,0),0)</f>
        <v>0</v>
      </c>
      <c r="L3662" s="169">
        <f>IFERROR(MATCH(J3662,'Final List'!$D$4:$D$252,0),0)</f>
        <v>0</v>
      </c>
      <c r="M3662" s="169">
        <f>IFERROR(MATCH(J3662,'Final List'!$F$4:$F$251,0),0)</f>
        <v>0</v>
      </c>
      <c r="N3662" s="169">
        <f>IFERROR(MATCH(J3662,'Final List'!$H$4:$H$252,0),0)</f>
        <v>0</v>
      </c>
      <c r="O3662" s="169">
        <f>IFERROR(MATCH(J3662,'Final List'!$J$4:$J$252,0),0)</f>
        <v>0</v>
      </c>
      <c r="P3662" s="169">
        <f>IFERROR(MATCH(J3662,'Final List'!$L$4:$L$252,0),0)</f>
        <v>0</v>
      </c>
      <c r="Q3662" s="169">
        <f>IFERROR(MATCH(J3662,'Final List'!$N$4:$N$252,0),0)</f>
        <v>0</v>
      </c>
      <c r="R3662" s="169">
        <f>IFERROR(MATCH(J3662,'Final List'!$P$4:$P$252,0),0)</f>
        <v>0</v>
      </c>
      <c r="S3662" s="169">
        <f t="shared" si="232"/>
        <v>0</v>
      </c>
      <c r="V3662" s="169" t="str">
        <f t="shared" si="230"/>
        <v>NITRO CQ</v>
      </c>
      <c r="W3662" s="169" t="s">
        <v>2714</v>
      </c>
    </row>
    <row r="3663" spans="2:23" x14ac:dyDescent="0.25">
      <c r="B3663" s="169" t="s">
        <v>12320</v>
      </c>
      <c r="C3663" s="169" t="s">
        <v>43</v>
      </c>
      <c r="D3663" s="169" t="s">
        <v>160</v>
      </c>
      <c r="E3663" s="169" t="s">
        <v>60</v>
      </c>
      <c r="F3663" s="245" t="str">
        <f t="shared" si="231"/>
        <v>Dhoz 71</v>
      </c>
      <c r="G3663" s="169" t="s">
        <v>4155</v>
      </c>
      <c r="I3663" s="169" t="str">
        <f t="shared" si="229"/>
        <v>L425_GHVSPLIT_042E_DE</v>
      </c>
      <c r="J3663" s="169" t="s">
        <v>14307</v>
      </c>
      <c r="K3663" s="169">
        <f>IFERROR(MATCH(J3663,'Final List'!$B$4:$B$252,0),0)</f>
        <v>0</v>
      </c>
      <c r="L3663" s="169">
        <f>IFERROR(MATCH(J3663,'Final List'!$D$4:$D$252,0),0)</f>
        <v>0</v>
      </c>
      <c r="M3663" s="169">
        <f>IFERROR(MATCH(J3663,'Final List'!$F$4:$F$251,0),0)</f>
        <v>0</v>
      </c>
      <c r="N3663" s="169">
        <f>IFERROR(MATCH(J3663,'Final List'!$H$4:$H$252,0),0)</f>
        <v>0</v>
      </c>
      <c r="O3663" s="169">
        <f>IFERROR(MATCH(J3663,'Final List'!$J$4:$J$252,0),0)</f>
        <v>0</v>
      </c>
      <c r="P3663" s="169">
        <f>IFERROR(MATCH(J3663,'Final List'!$L$4:$L$252,0),0)</f>
        <v>0</v>
      </c>
      <c r="Q3663" s="169">
        <f>IFERROR(MATCH(J3663,'Final List'!$N$4:$N$252,0),0)</f>
        <v>0</v>
      </c>
      <c r="R3663" s="169">
        <f>IFERROR(MATCH(J3663,'Final List'!$P$4:$P$252,0),0)</f>
        <v>0</v>
      </c>
      <c r="S3663" s="169">
        <f t="shared" si="232"/>
        <v>0</v>
      </c>
      <c r="V3663" s="169" t="str">
        <f t="shared" si="230"/>
        <v>BAÑEZ</v>
      </c>
      <c r="W3663" s="169" t="s">
        <v>8896</v>
      </c>
    </row>
    <row r="3664" spans="2:23" x14ac:dyDescent="0.25">
      <c r="B3664" s="169" t="s">
        <v>95</v>
      </c>
      <c r="C3664" s="169" t="s">
        <v>45</v>
      </c>
      <c r="D3664" s="169" t="s">
        <v>7301</v>
      </c>
      <c r="E3664" s="169" t="s">
        <v>6143</v>
      </c>
      <c r="F3664" s="245" t="str">
        <f t="shared" si="231"/>
        <v>Dhoz 71</v>
      </c>
      <c r="G3664" s="169" t="s">
        <v>14152</v>
      </c>
      <c r="I3664" s="169" t="str">
        <f t="shared" si="229"/>
        <v>L08_DPVE_010W_DE_ISL</v>
      </c>
      <c r="J3664" s="169" t="s">
        <v>14151</v>
      </c>
      <c r="K3664" s="169">
        <f>IFERROR(MATCH(J3664,'Final List'!$B$4:$B$252,0),0)</f>
        <v>0</v>
      </c>
      <c r="L3664" s="169">
        <f>IFERROR(MATCH(J3664,'Final List'!$D$4:$D$252,0),0)</f>
        <v>0</v>
      </c>
      <c r="M3664" s="169">
        <f>IFERROR(MATCH(J3664,'Final List'!$F$4:$F$251,0),0)</f>
        <v>0</v>
      </c>
      <c r="N3664" s="169">
        <f>IFERROR(MATCH(J3664,'Final List'!$H$4:$H$252,0),0)</f>
        <v>0</v>
      </c>
      <c r="O3664" s="169">
        <f>IFERROR(MATCH(J3664,'Final List'!$J$4:$J$252,0),0)</f>
        <v>0</v>
      </c>
      <c r="P3664" s="169">
        <f>IFERROR(MATCH(J3664,'Final List'!$L$4:$L$252,0),0)</f>
        <v>0</v>
      </c>
      <c r="Q3664" s="169">
        <f>IFERROR(MATCH(J3664,'Final List'!$N$4:$N$252,0),0)</f>
        <v>0</v>
      </c>
      <c r="R3664" s="169">
        <f>IFERROR(MATCH(J3664,'Final List'!$P$4:$P$252,0),0)</f>
        <v>0</v>
      </c>
      <c r="S3664" s="169">
        <f t="shared" si="232"/>
        <v>0</v>
      </c>
      <c r="V3664" s="169" t="str">
        <f t="shared" si="230"/>
        <v>NITRO CF1</v>
      </c>
      <c r="W3664" s="169" t="s">
        <v>2708</v>
      </c>
    </row>
    <row r="3665" spans="2:23" x14ac:dyDescent="0.25">
      <c r="B3665" s="169" t="s">
        <v>12320</v>
      </c>
      <c r="C3665" s="169" t="s">
        <v>43</v>
      </c>
      <c r="D3665" s="169" t="s">
        <v>165</v>
      </c>
      <c r="E3665" s="169" t="s">
        <v>20</v>
      </c>
      <c r="F3665" s="245" t="str">
        <f t="shared" si="231"/>
        <v>DVW 74</v>
      </c>
      <c r="G3665" s="169" t="s">
        <v>14317</v>
      </c>
      <c r="I3665" s="169" t="str">
        <f>CONCATENATE(B3665,"_",C3665,"_",D3665,"_",E3665)</f>
        <v>L425_GHVSPLIT_056E_WINZE</v>
      </c>
      <c r="J3665" s="169" t="s">
        <v>14154</v>
      </c>
      <c r="K3665" s="169">
        <f>IFERROR(MATCH(J3665,'Final List'!$B$4:$B$252,0),0)</f>
        <v>0</v>
      </c>
      <c r="L3665" s="169">
        <f>IFERROR(MATCH(J3665,'Final List'!$D$4:$D$252,0),0)</f>
        <v>0</v>
      </c>
      <c r="M3665" s="169">
        <f>IFERROR(MATCH(J3665,'Final List'!$F$4:$F$251,0),0)</f>
        <v>0</v>
      </c>
      <c r="N3665" s="169">
        <f>IFERROR(MATCH(J3665,'Final List'!$H$4:$H$252,0),0)</f>
        <v>0</v>
      </c>
      <c r="O3665" s="169">
        <f>IFERROR(MATCH(J3665,'Final List'!$J$4:$J$252,0),0)</f>
        <v>0</v>
      </c>
      <c r="P3665" s="169">
        <f>IFERROR(MATCH(J3665,'Final List'!$L$4:$L$252,0),0)</f>
        <v>0</v>
      </c>
      <c r="Q3665" s="169">
        <f>IFERROR(MATCH(J3665,'Final List'!$N$4:$N$252,0),0)</f>
        <v>0</v>
      </c>
      <c r="R3665" s="169">
        <f>IFERROR(MATCH(J3665,'Final List'!$P$4:$P$252,0),0)</f>
        <v>0</v>
      </c>
      <c r="S3665" s="169">
        <f t="shared" si="232"/>
        <v>0</v>
      </c>
      <c r="V3665" s="169" t="str">
        <f t="shared" si="230"/>
        <v>ESPINOSA</v>
      </c>
      <c r="W3665" s="169" t="s">
        <v>2706</v>
      </c>
    </row>
    <row r="3666" spans="2:23" x14ac:dyDescent="0.25">
      <c r="B3666" s="169" t="s">
        <v>258</v>
      </c>
      <c r="C3666" s="169" t="s">
        <v>45</v>
      </c>
      <c r="D3666" s="169" t="s">
        <v>97</v>
      </c>
      <c r="E3666" s="169" t="s">
        <v>61</v>
      </c>
      <c r="F3666" s="245" t="str">
        <f t="shared" si="231"/>
        <v>Dhoz 71</v>
      </c>
      <c r="G3666" s="169" t="s">
        <v>5702</v>
      </c>
      <c r="H3666" s="169" t="s">
        <v>1510</v>
      </c>
      <c r="I3666" s="169" t="str">
        <f>CONCATENATE(B3666,"_",C3666,"_",D3666,"_",E3666)</f>
        <v>L10_DPVE_012W_DW</v>
      </c>
      <c r="J3666" s="169" t="s">
        <v>14213</v>
      </c>
      <c r="K3666" s="169">
        <f>IFERROR(MATCH(J3666,'Final List'!$B$4:$B$252,0),0)</f>
        <v>0</v>
      </c>
      <c r="L3666" s="169">
        <f>IFERROR(MATCH(J3666,'Final List'!$D$4:$D$252,0),0)</f>
        <v>0</v>
      </c>
      <c r="M3666" s="169">
        <f>IFERROR(MATCH(J3666,'Final List'!$F$4:$F$251,0),0)</f>
        <v>0</v>
      </c>
      <c r="N3666" s="169">
        <f>IFERROR(MATCH(J3666,'Final List'!$H$4:$H$252,0),0)</f>
        <v>0</v>
      </c>
      <c r="O3666" s="169">
        <f>IFERROR(MATCH(J3666,'Final List'!$J$4:$J$252,0),0)</f>
        <v>0</v>
      </c>
      <c r="P3666" s="169">
        <f>IFERROR(MATCH(J3666,'Final List'!$L$4:$L$252,0),0)</f>
        <v>0</v>
      </c>
      <c r="Q3666" s="169">
        <f>IFERROR(MATCH(J3666,'Final List'!$N$4:$N$252,0),0)</f>
        <v>0</v>
      </c>
      <c r="R3666" s="169">
        <f>IFERROR(MATCH(J3666,'Final List'!$P$4:$P$252,0),0)</f>
        <v>0</v>
      </c>
      <c r="S3666" s="169">
        <f t="shared" si="232"/>
        <v>0</v>
      </c>
      <c r="V3666" s="169" t="str">
        <f t="shared" ref="V3666:V3729" si="233">IF(H3666="",G3666,H3666)</f>
        <v>DELOS REYES</v>
      </c>
      <c r="W3666" s="169" t="s">
        <v>8896</v>
      </c>
    </row>
    <row r="3667" spans="2:23" x14ac:dyDescent="0.25">
      <c r="B3667" s="169" t="s">
        <v>14095</v>
      </c>
      <c r="C3667" s="169" t="s">
        <v>13926</v>
      </c>
      <c r="D3667" s="169" t="s">
        <v>132</v>
      </c>
      <c r="E3667" s="169" t="s">
        <v>13390</v>
      </c>
      <c r="F3667" s="245" t="str">
        <f>IF(OR(E3667="XCN",E3667="DE",E3667="DW",E3667="DN",E3667="XCS",E3667="XCE",E3667="XCW",E3667="SUMP",E3667="BYPASS",E3667="CHAMBER",E3667="DRAIN HOLE",E3667="DRILLING CHAMBER",E3667="DE_ISL",E3667="DW_ISL",E3667="REHAB"),"Dhoz 71",IF(OR(E3667="RAISE",E3667="RAISE_ISL"),"DVR 72",IF(E3667="ALIMAK","DVA 73",IF(E3667="ALIMAK_RAISE","DVA 73",IF(E3667="WINZE","DVW 74",IF(E3667="SHAFT","DVS 75",IF(AND(E3667="WINZE STOPE",T3667="S"),"RobC 80",IF(AND(E3667="STOPE",T3667="S"),"StpS 77",IF(AND(E3667="WINZE STOPE",T3667="L"),"RobC 80",IF(AND(E3667="STOPE",T3667="L"),"StpL 78",IF(AND(E3667="WINZE STOPE PREP",T3667="S"),"RobC 80",IF(AND(E3667="STOPE PREP",T3667="S"),"StpS 77",IF(AND(E3667="WINZE STOPE PREP",T3667="L"),"RobC 80",IF(AND(E3667="STOPE PREP",T3667="L"),"StpL 78",IF(AND(E3667="ROBBING",T3667="L"),"RobC 80",IF(AND(E3667="ROBBING",T3667="S"),"RobS 79",0))))))))))))))))</f>
        <v>DVA 73</v>
      </c>
      <c r="G3667" s="169" t="s">
        <v>1606</v>
      </c>
      <c r="I3667" s="169" t="str">
        <f>CONCATENATE(B3667,"_",C3667,"_",D3667,"_",E3667)</f>
        <v>L460_DSP_033E_ALIMAK_RAISE</v>
      </c>
      <c r="J3667" s="169" t="s">
        <v>14156</v>
      </c>
      <c r="K3667" s="169">
        <f>IFERROR(MATCH(J3667,'Final List'!$B$4:$B$252,0),0)</f>
        <v>0</v>
      </c>
      <c r="L3667" s="169">
        <f>IFERROR(MATCH(J3667,'Final List'!$D$4:$D$252,0),0)</f>
        <v>0</v>
      </c>
      <c r="M3667" s="169">
        <f>IFERROR(MATCH(J3667,'Final List'!$F$4:$F$251,0),0)</f>
        <v>0</v>
      </c>
      <c r="N3667" s="169">
        <f>IFERROR(MATCH(J3667,'Final List'!$H$4:$H$252,0),0)</f>
        <v>0</v>
      </c>
      <c r="O3667" s="169">
        <f>IFERROR(MATCH(J3667,'Final List'!$J$4:$J$252,0),0)</f>
        <v>0</v>
      </c>
      <c r="P3667" s="169">
        <f>IFERROR(MATCH(J3667,'Final List'!$L$4:$L$252,0),0)</f>
        <v>0</v>
      </c>
      <c r="Q3667" s="169">
        <f>IFERROR(MATCH(J3667,'Final List'!$N$4:$N$252,0),0)</f>
        <v>0</v>
      </c>
      <c r="R3667" s="169">
        <f>IFERROR(MATCH(J3667,'Final List'!$P$4:$P$252,0),0)</f>
        <v>0</v>
      </c>
      <c r="S3667" s="169">
        <f t="shared" si="232"/>
        <v>0</v>
      </c>
      <c r="V3667" s="169" t="str">
        <f>IF(H3667="",G3667,H3667)</f>
        <v>PMC MINERS</v>
      </c>
      <c r="W3667" s="169" t="s">
        <v>2714</v>
      </c>
    </row>
    <row r="3668" spans="2:23" x14ac:dyDescent="0.25">
      <c r="B3668" s="169" t="s">
        <v>1166</v>
      </c>
      <c r="C3668" s="169" t="s">
        <v>45</v>
      </c>
      <c r="D3668" s="169" t="s">
        <v>11401</v>
      </c>
      <c r="E3668" s="169" t="s">
        <v>61</v>
      </c>
      <c r="F3668" s="245" t="str">
        <f t="shared" si="231"/>
        <v>Dhoz 71</v>
      </c>
      <c r="G3668" s="169" t="s">
        <v>4155</v>
      </c>
      <c r="I3668" s="169" t="str">
        <f>CONCATENATE(B3668,"_",C3668,"_",D3668,"_",E3668)</f>
        <v>L11_DPVE_101E_DW</v>
      </c>
      <c r="J3668" s="169" t="s">
        <v>14157</v>
      </c>
      <c r="K3668" s="169">
        <f>IFERROR(MATCH(J3668,'Final List'!$B$4:$B$252,0),0)</f>
        <v>0</v>
      </c>
      <c r="L3668" s="169">
        <f>IFERROR(MATCH(J3668,'Final List'!$D$4:$D$252,0),0)</f>
        <v>0</v>
      </c>
      <c r="M3668" s="169">
        <f>IFERROR(MATCH(J3668,'Final List'!$F$4:$F$251,0),0)</f>
        <v>0</v>
      </c>
      <c r="N3668" s="169">
        <f>IFERROR(MATCH(J3668,'Final List'!$H$4:$H$252,0),0)</f>
        <v>0</v>
      </c>
      <c r="O3668" s="169">
        <f>IFERROR(MATCH(J3668,'Final List'!$J$4:$J$252,0),0)</f>
        <v>0</v>
      </c>
      <c r="P3668" s="169">
        <f>IFERROR(MATCH(J3668,'Final List'!$L$4:$L$252,0),0)</f>
        <v>0</v>
      </c>
      <c r="Q3668" s="169">
        <f>IFERROR(MATCH(J3668,'Final List'!$N$4:$N$252,0),0)</f>
        <v>0</v>
      </c>
      <c r="R3668" s="169">
        <f>IFERROR(MATCH(J3668,'Final List'!$P$4:$P$252,0),0)</f>
        <v>0</v>
      </c>
      <c r="S3668" s="169">
        <f t="shared" si="232"/>
        <v>0</v>
      </c>
      <c r="V3668" s="169" t="str">
        <f t="shared" si="233"/>
        <v>BAÑEZ</v>
      </c>
      <c r="W3668" s="169" t="s">
        <v>8896</v>
      </c>
    </row>
    <row r="3669" spans="2:23" x14ac:dyDescent="0.25">
      <c r="B3669" s="169" t="s">
        <v>96</v>
      </c>
      <c r="C3669" s="169" t="s">
        <v>87</v>
      </c>
      <c r="D3669" s="169" t="s">
        <v>180</v>
      </c>
      <c r="E3669" s="169" t="s">
        <v>63</v>
      </c>
      <c r="F3669" s="245" t="str">
        <f t="shared" si="231"/>
        <v>Dhoz 71</v>
      </c>
      <c r="G3669" s="169" t="s">
        <v>1510</v>
      </c>
      <c r="I3669" s="169" t="str">
        <f t="shared" ref="I3669:I3704" si="234">CONCATENATE(B3669,"_",C3669,"_",D3669,"_",E3669)</f>
        <v>L09_NONE_041E_XCS</v>
      </c>
      <c r="J3669" s="169" t="s">
        <v>14159</v>
      </c>
      <c r="K3669" s="169">
        <f>IFERROR(MATCH(J3669,'Final List'!$B$4:$B$252,0),0)</f>
        <v>0</v>
      </c>
      <c r="L3669" s="169">
        <f>IFERROR(MATCH(J3669,'Final List'!$D$4:$D$252,0),0)</f>
        <v>0</v>
      </c>
      <c r="M3669" s="169">
        <f>IFERROR(MATCH(J3669,'Final List'!$F$4:$F$251,0),0)</f>
        <v>0</v>
      </c>
      <c r="N3669" s="169">
        <f>IFERROR(MATCH(J3669,'Final List'!$H$4:$H$252,0),0)</f>
        <v>0</v>
      </c>
      <c r="O3669" s="169">
        <f>IFERROR(MATCH(J3669,'Final List'!$J$4:$J$252,0),0)</f>
        <v>0</v>
      </c>
      <c r="P3669" s="169">
        <f>IFERROR(MATCH(J3669,'Final List'!$L$4:$L$252,0),0)</f>
        <v>0</v>
      </c>
      <c r="Q3669" s="169">
        <f>IFERROR(MATCH(J3669,'Final List'!$N$4:$N$252,0),0)</f>
        <v>0</v>
      </c>
      <c r="R3669" s="169">
        <f>IFERROR(MATCH(J3669,'Final List'!$P$4:$P$252,0),0)</f>
        <v>0</v>
      </c>
      <c r="S3669" s="169">
        <f t="shared" si="232"/>
        <v>0</v>
      </c>
      <c r="V3669" s="169" t="str">
        <f t="shared" si="233"/>
        <v>DELOS REYES</v>
      </c>
      <c r="W3669" s="169" t="s">
        <v>8898</v>
      </c>
    </row>
    <row r="3670" spans="2:23" x14ac:dyDescent="0.25">
      <c r="B3670" s="169" t="s">
        <v>1166</v>
      </c>
      <c r="C3670" s="169" t="s">
        <v>45</v>
      </c>
      <c r="D3670" s="169" t="s">
        <v>247</v>
      </c>
      <c r="E3670" s="169" t="s">
        <v>19</v>
      </c>
      <c r="F3670" s="245" t="str">
        <f t="shared" si="231"/>
        <v>DVR 72</v>
      </c>
      <c r="G3670" s="169" t="s">
        <v>655</v>
      </c>
      <c r="I3670" s="169" t="str">
        <f t="shared" si="234"/>
        <v>L11_DPVE_080E_RAISE</v>
      </c>
      <c r="J3670" s="169" t="s">
        <v>14160</v>
      </c>
      <c r="K3670" s="169">
        <f>IFERROR(MATCH(J3670,'Final List'!$B$4:$B$252,0),0)</f>
        <v>0</v>
      </c>
      <c r="L3670" s="169">
        <f>IFERROR(MATCH(J3670,'Final List'!$D$4:$D$252,0),0)</f>
        <v>0</v>
      </c>
      <c r="M3670" s="169">
        <f>IFERROR(MATCH(J3670,'Final List'!$F$4:$F$251,0),0)</f>
        <v>0</v>
      </c>
      <c r="N3670" s="169">
        <f>IFERROR(MATCH(J3670,'Final List'!$H$4:$H$252,0),0)</f>
        <v>0</v>
      </c>
      <c r="O3670" s="169">
        <f>IFERROR(MATCH(J3670,'Final List'!$J$4:$J$252,0),0)</f>
        <v>0</v>
      </c>
      <c r="P3670" s="169">
        <f>IFERROR(MATCH(J3670,'Final List'!$L$4:$L$252,0),0)</f>
        <v>0</v>
      </c>
      <c r="Q3670" s="169">
        <f>IFERROR(MATCH(J3670,'Final List'!$N$4:$N$252,0),0)</f>
        <v>0</v>
      </c>
      <c r="R3670" s="169">
        <f>IFERROR(MATCH(J3670,'Final List'!$P$4:$P$252,0),0)</f>
        <v>0</v>
      </c>
      <c r="S3670" s="169">
        <f t="shared" si="232"/>
        <v>0</v>
      </c>
      <c r="V3670" s="169" t="str">
        <f t="shared" si="233"/>
        <v>MAPAYO 3</v>
      </c>
      <c r="W3670" s="169" t="s">
        <v>2715</v>
      </c>
    </row>
    <row r="3671" spans="2:23" x14ac:dyDescent="0.25">
      <c r="B3671" s="169" t="s">
        <v>95</v>
      </c>
      <c r="C3671" s="169" t="s">
        <v>45</v>
      </c>
      <c r="D3671" s="169" t="s">
        <v>5612</v>
      </c>
      <c r="E3671" s="169" t="s">
        <v>19</v>
      </c>
      <c r="F3671" s="245" t="str">
        <f t="shared" si="231"/>
        <v>DVR 72</v>
      </c>
      <c r="G3671" s="169" t="s">
        <v>14140</v>
      </c>
      <c r="I3671" s="169" t="str">
        <f t="shared" si="234"/>
        <v>L08_DPVE_011W_RAISE</v>
      </c>
      <c r="J3671" s="169" t="s">
        <v>14162</v>
      </c>
      <c r="K3671" s="169">
        <f>IFERROR(MATCH(J3671,'Final List'!$B$4:$B$252,0),0)</f>
        <v>0</v>
      </c>
      <c r="L3671" s="169">
        <f>IFERROR(MATCH(J3671,'Final List'!$D$4:$D$252,0),0)</f>
        <v>0</v>
      </c>
      <c r="M3671" s="169">
        <f>IFERROR(MATCH(J3671,'Final List'!$F$4:$F$251,0),0)</f>
        <v>0</v>
      </c>
      <c r="N3671" s="169">
        <f>IFERROR(MATCH(J3671,'Final List'!$H$4:$H$252,0),0)</f>
        <v>0</v>
      </c>
      <c r="O3671" s="169">
        <f>IFERROR(MATCH(J3671,'Final List'!$J$4:$J$252,0),0)</f>
        <v>0</v>
      </c>
      <c r="P3671" s="169">
        <f>IFERROR(MATCH(J3671,'Final List'!$L$4:$L$252,0),0)</f>
        <v>0</v>
      </c>
      <c r="Q3671" s="169">
        <f>IFERROR(MATCH(J3671,'Final List'!$N$4:$N$252,0),0)</f>
        <v>0</v>
      </c>
      <c r="R3671" s="169">
        <f>IFERROR(MATCH(J3671,'Final List'!$P$4:$P$252,0),0)</f>
        <v>0</v>
      </c>
      <c r="S3671" s="169">
        <f t="shared" si="232"/>
        <v>0</v>
      </c>
      <c r="V3671" s="169" t="str">
        <f t="shared" si="233"/>
        <v>CANTAGO 2</v>
      </c>
      <c r="W3671" s="169" t="s">
        <v>2715</v>
      </c>
    </row>
    <row r="3672" spans="2:23" x14ac:dyDescent="0.25">
      <c r="B3672" s="169" t="s">
        <v>12320</v>
      </c>
      <c r="C3672" s="169" t="s">
        <v>59</v>
      </c>
      <c r="D3672" s="169" t="s">
        <v>1230</v>
      </c>
      <c r="E3672" s="169" t="s">
        <v>60</v>
      </c>
      <c r="F3672" s="245" t="str">
        <f t="shared" si="231"/>
        <v>Dhoz 71</v>
      </c>
      <c r="G3672" s="169" t="s">
        <v>364</v>
      </c>
      <c r="I3672" s="169" t="str">
        <f t="shared" si="234"/>
        <v>L425_GHVHW_075E_DE</v>
      </c>
      <c r="J3672" s="169" t="s">
        <v>14165</v>
      </c>
      <c r="K3672" s="169">
        <f>IFERROR(MATCH(J3672,'Final List'!$B$4:$B$252,0),0)</f>
        <v>0</v>
      </c>
      <c r="L3672" s="169">
        <f>IFERROR(MATCH(J3672,'Final List'!$D$4:$D$252,0),0)</f>
        <v>0</v>
      </c>
      <c r="M3672" s="169">
        <f>IFERROR(MATCH(J3672,'Final List'!$F$4:$F$251,0),0)</f>
        <v>0</v>
      </c>
      <c r="N3672" s="169">
        <f>IFERROR(MATCH(J3672,'Final List'!$H$4:$H$252,0),0)</f>
        <v>0</v>
      </c>
      <c r="O3672" s="169">
        <f>IFERROR(MATCH(J3672,'Final List'!$J$4:$J$252,0),0)</f>
        <v>0</v>
      </c>
      <c r="P3672" s="169">
        <f>IFERROR(MATCH(J3672,'Final List'!$L$4:$L$252,0),0)</f>
        <v>0</v>
      </c>
      <c r="Q3672" s="169">
        <f>IFERROR(MATCH(J3672,'Final List'!$N$4:$N$252,0),0)</f>
        <v>0</v>
      </c>
      <c r="R3672" s="169">
        <f>IFERROR(MATCH(J3672,'Final List'!$P$4:$P$252,0),0)</f>
        <v>0</v>
      </c>
      <c r="S3672" s="169">
        <f t="shared" si="232"/>
        <v>0</v>
      </c>
      <c r="V3672" s="169" t="str">
        <f t="shared" si="233"/>
        <v>BABOR 3</v>
      </c>
      <c r="W3672" s="169" t="s">
        <v>8896</v>
      </c>
    </row>
    <row r="3673" spans="2:23" x14ac:dyDescent="0.25">
      <c r="B3673" s="169" t="s">
        <v>12320</v>
      </c>
      <c r="C3673" s="169" t="s">
        <v>38</v>
      </c>
      <c r="D3673" s="169" t="s">
        <v>5604</v>
      </c>
      <c r="E3673" s="169" t="s">
        <v>60</v>
      </c>
      <c r="F3673" s="245" t="str">
        <f t="shared" si="231"/>
        <v>Dhoz 71</v>
      </c>
      <c r="G3673" s="169" t="s">
        <v>747</v>
      </c>
      <c r="I3673" s="169" t="str">
        <f t="shared" si="234"/>
        <v>L425_GHV_063E_DE</v>
      </c>
      <c r="J3673" s="169" t="s">
        <v>14166</v>
      </c>
      <c r="K3673" s="169">
        <f>IFERROR(MATCH(J3673,'Final List'!$B$4:$B$252,0),0)</f>
        <v>0</v>
      </c>
      <c r="L3673" s="169">
        <f>IFERROR(MATCH(J3673,'Final List'!$D$4:$D$252,0),0)</f>
        <v>0</v>
      </c>
      <c r="M3673" s="169">
        <f>IFERROR(MATCH(J3673,'Final List'!$F$4:$F$251,0),0)</f>
        <v>0</v>
      </c>
      <c r="N3673" s="169">
        <f>IFERROR(MATCH(J3673,'Final List'!$H$4:$H$252,0),0)</f>
        <v>0</v>
      </c>
      <c r="O3673" s="169">
        <f>IFERROR(MATCH(J3673,'Final List'!$J$4:$J$252,0),0)</f>
        <v>0</v>
      </c>
      <c r="P3673" s="169">
        <f>IFERROR(MATCH(J3673,'Final List'!$L$4:$L$252,0),0)</f>
        <v>0</v>
      </c>
      <c r="Q3673" s="169">
        <f>IFERROR(MATCH(J3673,'Final List'!$N$4:$N$252,0),0)</f>
        <v>0</v>
      </c>
      <c r="R3673" s="169">
        <f>IFERROR(MATCH(J3673,'Final List'!$P$4:$P$252,0),0)</f>
        <v>0</v>
      </c>
      <c r="S3673" s="169">
        <f t="shared" si="232"/>
        <v>0</v>
      </c>
      <c r="V3673" s="169" t="str">
        <f t="shared" si="233"/>
        <v>REBOTE</v>
      </c>
      <c r="W3673" s="169" t="s">
        <v>8896</v>
      </c>
    </row>
    <row r="3674" spans="2:23" x14ac:dyDescent="0.25">
      <c r="B3674" s="169" t="s">
        <v>95</v>
      </c>
      <c r="C3674" s="169" t="s">
        <v>38</v>
      </c>
      <c r="D3674" s="169" t="s">
        <v>134</v>
      </c>
      <c r="E3674" s="169" t="s">
        <v>62</v>
      </c>
      <c r="F3674" s="245" t="str">
        <f t="shared" si="231"/>
        <v>RobS 79</v>
      </c>
      <c r="G3674" s="169" t="s">
        <v>14241</v>
      </c>
      <c r="I3674" s="169" t="str">
        <f t="shared" si="234"/>
        <v>L08_GHV_016W_ROBBING</v>
      </c>
      <c r="J3674" s="169" t="s">
        <v>14171</v>
      </c>
      <c r="K3674" s="169">
        <f>IFERROR(MATCH(J3674,'Final List'!$B$4:$B$252,0),0)</f>
        <v>0</v>
      </c>
      <c r="L3674" s="169">
        <f>IFERROR(MATCH(J3674,'Final List'!$D$4:$D$252,0),0)</f>
        <v>0</v>
      </c>
      <c r="M3674" s="169">
        <f>IFERROR(MATCH(J3674,'Final List'!$F$4:$F$251,0),0)</f>
        <v>0</v>
      </c>
      <c r="N3674" s="169">
        <f>IFERROR(MATCH(J3674,'Final List'!$H$4:$H$252,0),0)</f>
        <v>0</v>
      </c>
      <c r="O3674" s="169">
        <f>IFERROR(MATCH(J3674,'Final List'!$J$4:$J$252,0),0)</f>
        <v>0</v>
      </c>
      <c r="P3674" s="169">
        <f>IFERROR(MATCH(J3674,'Final List'!$L$4:$L$252,0),0)</f>
        <v>0</v>
      </c>
      <c r="Q3674" s="169">
        <f>IFERROR(MATCH(J3674,'Final List'!$N$4:$N$252,0),0)</f>
        <v>0</v>
      </c>
      <c r="R3674" s="169">
        <f>IFERROR(MATCH(J3674,'Final List'!$P$4:$P$252,0),0)</f>
        <v>0</v>
      </c>
      <c r="S3674" s="169">
        <f t="shared" si="232"/>
        <v>0</v>
      </c>
      <c r="T3674" s="169" t="s">
        <v>68</v>
      </c>
      <c r="V3674" s="169" t="str">
        <f t="shared" si="233"/>
        <v>FERNANDEZ 3</v>
      </c>
      <c r="W3674" s="169" t="s">
        <v>2707</v>
      </c>
    </row>
    <row r="3675" spans="2:23" x14ac:dyDescent="0.25">
      <c r="B3675" s="169" t="s">
        <v>96</v>
      </c>
      <c r="C3675" s="169" t="s">
        <v>43</v>
      </c>
      <c r="D3675" s="169" t="s">
        <v>7223</v>
      </c>
      <c r="E3675" s="169" t="s">
        <v>20</v>
      </c>
      <c r="F3675" s="245" t="str">
        <f t="shared" si="231"/>
        <v>DVW 74</v>
      </c>
      <c r="G3675" s="169" t="s">
        <v>349</v>
      </c>
      <c r="I3675" s="169" t="str">
        <f t="shared" si="234"/>
        <v>L09_GHVSPLIT_002E_WINZE</v>
      </c>
      <c r="J3675" s="169" t="s">
        <v>14172</v>
      </c>
      <c r="K3675" s="169">
        <f>IFERROR(MATCH(J3675,'Final List'!$B$4:$B$252,0),0)</f>
        <v>0</v>
      </c>
      <c r="L3675" s="169">
        <f>IFERROR(MATCH(J3675,'Final List'!$D$4:$D$252,0),0)</f>
        <v>0</v>
      </c>
      <c r="M3675" s="169">
        <f>IFERROR(MATCH(J3675,'Final List'!$F$4:$F$251,0),0)</f>
        <v>0</v>
      </c>
      <c r="N3675" s="169">
        <f>IFERROR(MATCH(J3675,'Final List'!$H$4:$H$252,0),0)</f>
        <v>0</v>
      </c>
      <c r="O3675" s="169">
        <f>IFERROR(MATCH(J3675,'Final List'!$J$4:$J$252,0),0)</f>
        <v>0</v>
      </c>
      <c r="P3675" s="169">
        <f>IFERROR(MATCH(J3675,'Final List'!$L$4:$L$252,0),0)</f>
        <v>0</v>
      </c>
      <c r="Q3675" s="169">
        <f>IFERROR(MATCH(J3675,'Final List'!$N$4:$N$252,0),0)</f>
        <v>0</v>
      </c>
      <c r="R3675" s="169">
        <f>IFERROR(MATCH(J3675,'Final List'!$P$4:$P$252,0),0)</f>
        <v>0</v>
      </c>
      <c r="S3675" s="169">
        <f t="shared" si="232"/>
        <v>0</v>
      </c>
      <c r="V3675" s="169" t="str">
        <f t="shared" si="233"/>
        <v>QUIJANO 2</v>
      </c>
      <c r="W3675" s="169" t="s">
        <v>2706</v>
      </c>
    </row>
    <row r="3676" spans="2:23" x14ac:dyDescent="0.25">
      <c r="B3676" s="169" t="s">
        <v>1167</v>
      </c>
      <c r="C3676" s="169" t="s">
        <v>39</v>
      </c>
      <c r="D3676" s="169" t="s">
        <v>5602</v>
      </c>
      <c r="E3676" s="169" t="s">
        <v>6154</v>
      </c>
      <c r="F3676" s="245" t="str">
        <f t="shared" si="231"/>
        <v>Dhoz 71</v>
      </c>
      <c r="G3676" s="169" t="s">
        <v>14133</v>
      </c>
      <c r="I3676" s="169" t="str">
        <f t="shared" si="234"/>
        <v>L12_JVHW_053E_DW_ISL</v>
      </c>
      <c r="J3676" s="169" t="s">
        <v>14173</v>
      </c>
      <c r="K3676" s="169">
        <f>IFERROR(MATCH(J3676,'Final List'!$B$4:$B$252,0),0)</f>
        <v>0</v>
      </c>
      <c r="L3676" s="169">
        <f>IFERROR(MATCH(J3676,'Final List'!$D$4:$D$252,0),0)</f>
        <v>0</v>
      </c>
      <c r="M3676" s="169">
        <f>IFERROR(MATCH(J3676,'Final List'!$F$4:$F$251,0),0)</f>
        <v>0</v>
      </c>
      <c r="N3676" s="169">
        <f>IFERROR(MATCH(J3676,'Final List'!$H$4:$H$252,0),0)</f>
        <v>0</v>
      </c>
      <c r="O3676" s="169">
        <f>IFERROR(MATCH(J3676,'Final List'!$J$4:$J$252,0),0)</f>
        <v>0</v>
      </c>
      <c r="P3676" s="169">
        <f>IFERROR(MATCH(J3676,'Final List'!$L$4:$L$252,0),0)</f>
        <v>0</v>
      </c>
      <c r="Q3676" s="169">
        <f>IFERROR(MATCH(J3676,'Final List'!$N$4:$N$252,0),0)</f>
        <v>0</v>
      </c>
      <c r="R3676" s="169">
        <f>IFERROR(MATCH(J3676,'Final List'!$P$4:$P$252,0),0)</f>
        <v>0</v>
      </c>
      <c r="S3676" s="169">
        <f t="shared" si="232"/>
        <v>0</v>
      </c>
      <c r="V3676" s="169" t="str">
        <f t="shared" si="233"/>
        <v>NITRO CG</v>
      </c>
      <c r="W3676" s="169" t="s">
        <v>8896</v>
      </c>
    </row>
    <row r="3677" spans="2:23" x14ac:dyDescent="0.25">
      <c r="B3677" s="169" t="s">
        <v>1166</v>
      </c>
      <c r="C3677" s="169" t="s">
        <v>87</v>
      </c>
      <c r="D3677" s="169" t="s">
        <v>10249</v>
      </c>
      <c r="E3677" s="169" t="s">
        <v>37</v>
      </c>
      <c r="F3677" s="245" t="str">
        <f t="shared" si="231"/>
        <v>Dhoz 71</v>
      </c>
      <c r="G3677" s="169" t="s">
        <v>6954</v>
      </c>
      <c r="I3677" s="169" t="str">
        <f t="shared" si="234"/>
        <v>L11_NONE_097E_XCN</v>
      </c>
      <c r="J3677" s="169" t="s">
        <v>14436</v>
      </c>
      <c r="K3677" s="169">
        <f>IFERROR(MATCH(J3677,'Final List'!$B$4:$B$252,0),0)</f>
        <v>0</v>
      </c>
      <c r="L3677" s="169">
        <f>IFERROR(MATCH(J3677,'Final List'!$D$4:$D$252,0),0)</f>
        <v>0</v>
      </c>
      <c r="M3677" s="169">
        <f>IFERROR(MATCH(J3677,'Final List'!$F$4:$F$251,0),0)</f>
        <v>0</v>
      </c>
      <c r="N3677" s="169">
        <f>IFERROR(MATCH(J3677,'Final List'!$H$4:$H$252,0),0)</f>
        <v>0</v>
      </c>
      <c r="O3677" s="169">
        <f>IFERROR(MATCH(J3677,'Final List'!$J$4:$J$252,0),0)</f>
        <v>0</v>
      </c>
      <c r="P3677" s="169">
        <f>IFERROR(MATCH(J3677,'Final List'!$L$4:$L$252,0),0)</f>
        <v>0</v>
      </c>
      <c r="Q3677" s="169">
        <f>IFERROR(MATCH(J3677,'Final List'!$N$4:$N$252,0),0)</f>
        <v>0</v>
      </c>
      <c r="R3677" s="169">
        <f>IFERROR(MATCH(J3677,'Final List'!$P$4:$P$252,0),0)</f>
        <v>0</v>
      </c>
      <c r="S3677" s="169">
        <f t="shared" si="232"/>
        <v>0</v>
      </c>
      <c r="V3677" s="169" t="str">
        <f t="shared" si="233"/>
        <v>BADBADON</v>
      </c>
      <c r="W3677" s="169" t="s">
        <v>8898</v>
      </c>
    </row>
    <row r="3678" spans="2:23" x14ac:dyDescent="0.25">
      <c r="B3678" s="169" t="s">
        <v>96</v>
      </c>
      <c r="C3678" s="169" t="s">
        <v>56</v>
      </c>
      <c r="D3678" s="169" t="s">
        <v>159</v>
      </c>
      <c r="E3678" s="169" t="s">
        <v>60</v>
      </c>
      <c r="F3678" s="245" t="str">
        <f t="shared" si="231"/>
        <v>Dhoz 71</v>
      </c>
      <c r="G3678" s="169" t="s">
        <v>6621</v>
      </c>
      <c r="I3678" s="169" t="str">
        <f t="shared" si="234"/>
        <v>L09_GHVFW_023E_DE</v>
      </c>
      <c r="J3678" s="169" t="s">
        <v>14178</v>
      </c>
      <c r="K3678" s="169">
        <f>IFERROR(MATCH(J3678,'Final List'!$B$4:$B$252,0),0)</f>
        <v>0</v>
      </c>
      <c r="L3678" s="169">
        <f>IFERROR(MATCH(J3678,'Final List'!$D$4:$D$252,0),0)</f>
        <v>0</v>
      </c>
      <c r="M3678" s="169">
        <f>IFERROR(MATCH(J3678,'Final List'!$F$4:$F$251,0),0)</f>
        <v>0</v>
      </c>
      <c r="N3678" s="169">
        <f>IFERROR(MATCH(J3678,'Final List'!$H$4:$H$252,0),0)</f>
        <v>0</v>
      </c>
      <c r="O3678" s="169">
        <f>IFERROR(MATCH(J3678,'Final List'!$J$4:$J$252,0),0)</f>
        <v>0</v>
      </c>
      <c r="P3678" s="169">
        <f>IFERROR(MATCH(J3678,'Final List'!$L$4:$L$252,0),0)</f>
        <v>0</v>
      </c>
      <c r="Q3678" s="169">
        <f>IFERROR(MATCH(J3678,'Final List'!$N$4:$N$252,0),0)</f>
        <v>0</v>
      </c>
      <c r="R3678" s="169">
        <f>IFERROR(MATCH(J3678,'Final List'!$P$4:$P$252,0),0)</f>
        <v>0</v>
      </c>
      <c r="S3678" s="169">
        <f t="shared" si="232"/>
        <v>0</v>
      </c>
      <c r="V3678" s="169" t="str">
        <f t="shared" si="233"/>
        <v>DELOS REYES V1</v>
      </c>
      <c r="W3678" s="169" t="s">
        <v>8896</v>
      </c>
    </row>
    <row r="3679" spans="2:23" x14ac:dyDescent="0.25">
      <c r="B3679" s="169" t="s">
        <v>95</v>
      </c>
      <c r="C3679" s="169" t="s">
        <v>42</v>
      </c>
      <c r="D3679" s="169" t="s">
        <v>5741</v>
      </c>
      <c r="E3679" s="169" t="s">
        <v>19</v>
      </c>
      <c r="F3679" s="245" t="str">
        <f t="shared" si="231"/>
        <v>DVR 72</v>
      </c>
      <c r="G3679" s="169" t="s">
        <v>14138</v>
      </c>
      <c r="I3679" s="169" t="str">
        <f t="shared" si="234"/>
        <v>L08_JV_035E_RAISE</v>
      </c>
      <c r="J3679" s="169" t="s">
        <v>185</v>
      </c>
      <c r="K3679" s="169">
        <f>IFERROR(MATCH(J3679,'Final List'!$B$4:$B$252,0),0)</f>
        <v>0</v>
      </c>
      <c r="L3679" s="169">
        <f>IFERROR(MATCH(J3679,'Final List'!$D$4:$D$252,0),0)</f>
        <v>0</v>
      </c>
      <c r="M3679" s="169">
        <f>IFERROR(MATCH(J3679,'Final List'!$F$4:$F$251,0),0)</f>
        <v>0</v>
      </c>
      <c r="N3679" s="169">
        <f>IFERROR(MATCH(J3679,'Final List'!$H$4:$H$252,0),0)</f>
        <v>0</v>
      </c>
      <c r="O3679" s="169">
        <f>IFERROR(MATCH(J3679,'Final List'!$J$4:$J$252,0),0)</f>
        <v>0</v>
      </c>
      <c r="P3679" s="169">
        <f>IFERROR(MATCH(J3679,'Final List'!$L$4:$L$252,0),0)</f>
        <v>0</v>
      </c>
      <c r="Q3679" s="169">
        <f>IFERROR(MATCH(J3679,'Final List'!$N$4:$N$252,0),0)</f>
        <v>0</v>
      </c>
      <c r="R3679" s="169">
        <f>IFERROR(MATCH(J3679,'Final List'!$P$4:$P$252,0),0)</f>
        <v>0</v>
      </c>
      <c r="S3679" s="169">
        <f t="shared" si="232"/>
        <v>0</v>
      </c>
      <c r="V3679" s="169" t="str">
        <f t="shared" si="233"/>
        <v>CANTAGO 3</v>
      </c>
      <c r="W3679" s="169" t="s">
        <v>2715</v>
      </c>
    </row>
    <row r="3680" spans="2:23" x14ac:dyDescent="0.25">
      <c r="B3680" s="169" t="s">
        <v>96</v>
      </c>
      <c r="C3680" s="169" t="s">
        <v>45</v>
      </c>
      <c r="D3680" s="169" t="s">
        <v>5742</v>
      </c>
      <c r="E3680" s="169" t="s">
        <v>61</v>
      </c>
      <c r="F3680" s="245" t="str">
        <f t="shared" si="231"/>
        <v>Dhoz 71</v>
      </c>
      <c r="G3680" s="169" t="s">
        <v>1510</v>
      </c>
      <c r="I3680" s="169" t="str">
        <f t="shared" si="234"/>
        <v>L09_DPVE_040E_DW</v>
      </c>
      <c r="J3680" s="169" t="s">
        <v>14180</v>
      </c>
      <c r="K3680" s="169">
        <f>IFERROR(MATCH(J3680,'Final List'!$B$4:$B$252,0),0)</f>
        <v>0</v>
      </c>
      <c r="L3680" s="169">
        <f>IFERROR(MATCH(J3680,'Final List'!$D$4:$D$252,0),0)</f>
        <v>0</v>
      </c>
      <c r="M3680" s="169">
        <f>IFERROR(MATCH(J3680,'Final List'!$F$4:$F$251,0),0)</f>
        <v>0</v>
      </c>
      <c r="N3680" s="169">
        <f>IFERROR(MATCH(J3680,'Final List'!$H$4:$H$252,0),0)</f>
        <v>0</v>
      </c>
      <c r="O3680" s="169">
        <f>IFERROR(MATCH(J3680,'Final List'!$J$4:$J$252,0),0)</f>
        <v>0</v>
      </c>
      <c r="P3680" s="169">
        <f>IFERROR(MATCH(J3680,'Final List'!$L$4:$L$252,0),0)</f>
        <v>0</v>
      </c>
      <c r="Q3680" s="169">
        <f>IFERROR(MATCH(J3680,'Final List'!$N$4:$N$252,0),0)</f>
        <v>0</v>
      </c>
      <c r="R3680" s="169">
        <f>IFERROR(MATCH(J3680,'Final List'!$P$4:$P$252,0),0)</f>
        <v>0</v>
      </c>
      <c r="S3680" s="169">
        <f t="shared" si="232"/>
        <v>0</v>
      </c>
      <c r="V3680" s="169" t="str">
        <f t="shared" si="233"/>
        <v>DELOS REYES</v>
      </c>
      <c r="W3680" s="169" t="s">
        <v>8896</v>
      </c>
    </row>
    <row r="3681" spans="2:23" x14ac:dyDescent="0.25">
      <c r="B3681" s="169" t="s">
        <v>1166</v>
      </c>
      <c r="C3681" s="169" t="s">
        <v>45</v>
      </c>
      <c r="D3681" s="169" t="s">
        <v>9971</v>
      </c>
      <c r="E3681" s="169" t="s">
        <v>60</v>
      </c>
      <c r="F3681" s="245" t="str">
        <f t="shared" si="231"/>
        <v>Dhoz 71</v>
      </c>
      <c r="G3681" s="169" t="s">
        <v>12070</v>
      </c>
      <c r="I3681" s="169" t="str">
        <f t="shared" si="234"/>
        <v>L11_DPVE_096E_DE</v>
      </c>
      <c r="J3681" s="169" t="s">
        <v>14176</v>
      </c>
      <c r="K3681" s="169">
        <f>IFERROR(MATCH(J3681,'Final List'!$B$4:$B$252,0),0)</f>
        <v>0</v>
      </c>
      <c r="L3681" s="169">
        <f>IFERROR(MATCH(J3681,'Final List'!$D$4:$D$252,0),0)</f>
        <v>0</v>
      </c>
      <c r="M3681" s="169">
        <f>IFERROR(MATCH(J3681,'Final List'!$F$4:$F$251,0),0)</f>
        <v>0</v>
      </c>
      <c r="N3681" s="169">
        <f>IFERROR(MATCH(J3681,'Final List'!$H$4:$H$252,0),0)</f>
        <v>0</v>
      </c>
      <c r="O3681" s="169">
        <f>IFERROR(MATCH(J3681,'Final List'!$J$4:$J$252,0),0)</f>
        <v>0</v>
      </c>
      <c r="P3681" s="169">
        <f>IFERROR(MATCH(J3681,'Final List'!$L$4:$L$252,0),0)</f>
        <v>0</v>
      </c>
      <c r="Q3681" s="169">
        <f>IFERROR(MATCH(J3681,'Final List'!$N$4:$N$252,0),0)</f>
        <v>0</v>
      </c>
      <c r="R3681" s="169">
        <f>IFERROR(MATCH(J3681,'Final List'!$P$4:$P$252,0),0)</f>
        <v>0</v>
      </c>
      <c r="S3681" s="169">
        <f t="shared" si="232"/>
        <v>0</v>
      </c>
      <c r="V3681" s="169" t="str">
        <f t="shared" si="233"/>
        <v>NITRO BB</v>
      </c>
      <c r="W3681" s="169" t="s">
        <v>8896</v>
      </c>
    </row>
    <row r="3682" spans="2:23" x14ac:dyDescent="0.25">
      <c r="B3682" s="169" t="s">
        <v>1166</v>
      </c>
      <c r="C3682" s="169" t="s">
        <v>45</v>
      </c>
      <c r="D3682" s="169" t="s">
        <v>166</v>
      </c>
      <c r="E3682" s="169" t="s">
        <v>61</v>
      </c>
      <c r="F3682" s="245" t="str">
        <f t="shared" si="231"/>
        <v>Dhoz 71</v>
      </c>
      <c r="G3682" s="169" t="s">
        <v>6954</v>
      </c>
      <c r="I3682" s="169" t="str">
        <f t="shared" si="234"/>
        <v>L11_DPVE_068E_DW</v>
      </c>
      <c r="J3682" s="169" t="s">
        <v>14182</v>
      </c>
      <c r="K3682" s="169">
        <f>IFERROR(MATCH(J3682,'Final List'!$B$4:$B$252,0),0)</f>
        <v>0</v>
      </c>
      <c r="L3682" s="169">
        <f>IFERROR(MATCH(J3682,'Final List'!$D$4:$D$252,0),0)</f>
        <v>0</v>
      </c>
      <c r="M3682" s="169">
        <f>IFERROR(MATCH(J3682,'Final List'!$F$4:$F$251,0),0)</f>
        <v>0</v>
      </c>
      <c r="N3682" s="169">
        <f>IFERROR(MATCH(J3682,'Final List'!$H$4:$H$252,0),0)</f>
        <v>0</v>
      </c>
      <c r="O3682" s="169">
        <f>IFERROR(MATCH(J3682,'Final List'!$J$4:$J$252,0),0)</f>
        <v>0</v>
      </c>
      <c r="P3682" s="169">
        <f>IFERROR(MATCH(J3682,'Final List'!$L$4:$L$252,0),0)</f>
        <v>0</v>
      </c>
      <c r="Q3682" s="169">
        <f>IFERROR(MATCH(J3682,'Final List'!$N$4:$N$252,0),0)</f>
        <v>0</v>
      </c>
      <c r="R3682" s="169">
        <f>IFERROR(MATCH(J3682,'Final List'!$P$4:$P$252,0),0)</f>
        <v>0</v>
      </c>
      <c r="S3682" s="169">
        <f t="shared" si="232"/>
        <v>0</v>
      </c>
      <c r="V3682" s="169" t="str">
        <f t="shared" si="233"/>
        <v>BADBADON</v>
      </c>
      <c r="W3682" s="169" t="s">
        <v>8896</v>
      </c>
    </row>
    <row r="3683" spans="2:23" x14ac:dyDescent="0.25">
      <c r="B3683" s="169" t="s">
        <v>96</v>
      </c>
      <c r="C3683" s="169" t="s">
        <v>56</v>
      </c>
      <c r="D3683" s="169" t="s">
        <v>5631</v>
      </c>
      <c r="E3683" s="169" t="s">
        <v>61</v>
      </c>
      <c r="F3683" s="245" t="str">
        <f t="shared" si="231"/>
        <v>Dhoz 71</v>
      </c>
      <c r="G3683" s="169" t="s">
        <v>1510</v>
      </c>
      <c r="I3683" s="169" t="str">
        <f t="shared" si="234"/>
        <v>L09_GHVFW_020E_DW</v>
      </c>
      <c r="J3683" s="169" t="s">
        <v>14189</v>
      </c>
      <c r="K3683" s="169">
        <f>IFERROR(MATCH(J3683,'Final List'!$B$4:$B$252,0),0)</f>
        <v>0</v>
      </c>
      <c r="L3683" s="169">
        <f>IFERROR(MATCH(J3683,'Final List'!$D$4:$D$252,0),0)</f>
        <v>0</v>
      </c>
      <c r="M3683" s="169">
        <f>IFERROR(MATCH(J3683,'Final List'!$F$4:$F$251,0),0)</f>
        <v>0</v>
      </c>
      <c r="N3683" s="169">
        <f>IFERROR(MATCH(J3683,'Final List'!$H$4:$H$252,0),0)</f>
        <v>0</v>
      </c>
      <c r="O3683" s="169">
        <f>IFERROR(MATCH(J3683,'Final List'!$J$4:$J$252,0),0)</f>
        <v>0</v>
      </c>
      <c r="P3683" s="169">
        <f>IFERROR(MATCH(J3683,'Final List'!$L$4:$L$252,0),0)</f>
        <v>0</v>
      </c>
      <c r="Q3683" s="169">
        <f>IFERROR(MATCH(J3683,'Final List'!$N$4:$N$252,0),0)</f>
        <v>0</v>
      </c>
      <c r="R3683" s="169">
        <f>IFERROR(MATCH(J3683,'Final List'!$P$4:$P$252,0),0)</f>
        <v>0</v>
      </c>
      <c r="S3683" s="169">
        <f t="shared" si="232"/>
        <v>0</v>
      </c>
      <c r="V3683" s="169" t="str">
        <f t="shared" si="233"/>
        <v>DELOS REYES</v>
      </c>
      <c r="W3683" s="169" t="s">
        <v>8896</v>
      </c>
    </row>
    <row r="3684" spans="2:23" x14ac:dyDescent="0.25">
      <c r="B3684" s="169" t="s">
        <v>96</v>
      </c>
      <c r="C3684" s="169" t="s">
        <v>87</v>
      </c>
      <c r="D3684" s="169" t="s">
        <v>8279</v>
      </c>
      <c r="E3684" s="169" t="s">
        <v>37</v>
      </c>
      <c r="F3684" s="245" t="str">
        <f t="shared" si="231"/>
        <v>Dhoz 71</v>
      </c>
      <c r="G3684" s="169" t="s">
        <v>350</v>
      </c>
      <c r="H3684" s="169" t="s">
        <v>377</v>
      </c>
      <c r="I3684" s="169" t="str">
        <f t="shared" si="234"/>
        <v>L09_NONE_090E_XCN</v>
      </c>
      <c r="J3684" s="169" t="s">
        <v>14190</v>
      </c>
      <c r="K3684" s="169">
        <f>IFERROR(MATCH(J3684,'Final List'!$B$4:$B$252,0),0)</f>
        <v>0</v>
      </c>
      <c r="L3684" s="169">
        <f>IFERROR(MATCH(J3684,'Final List'!$D$4:$D$252,0),0)</f>
        <v>0</v>
      </c>
      <c r="M3684" s="169">
        <f>IFERROR(MATCH(J3684,'Final List'!$F$4:$F$251,0),0)</f>
        <v>0</v>
      </c>
      <c r="N3684" s="169">
        <f>IFERROR(MATCH(J3684,'Final List'!$H$4:$H$252,0),0)</f>
        <v>0</v>
      </c>
      <c r="O3684" s="169">
        <f>IFERROR(MATCH(J3684,'Final List'!$J$4:$J$252,0),0)</f>
        <v>0</v>
      </c>
      <c r="P3684" s="169">
        <f>IFERROR(MATCH(J3684,'Final List'!$L$4:$L$252,0),0)</f>
        <v>0</v>
      </c>
      <c r="Q3684" s="169">
        <f>IFERROR(MATCH(J3684,'Final List'!$N$4:$N$252,0),0)</f>
        <v>0</v>
      </c>
      <c r="R3684" s="169">
        <f>IFERROR(MATCH(J3684,'Final List'!$P$4:$P$252,0),0)</f>
        <v>0</v>
      </c>
      <c r="S3684" s="169">
        <f t="shared" si="232"/>
        <v>0</v>
      </c>
      <c r="V3684" s="169" t="str">
        <f t="shared" si="233"/>
        <v>DELOS REYES 1</v>
      </c>
      <c r="W3684" s="169" t="s">
        <v>8898</v>
      </c>
    </row>
    <row r="3685" spans="2:23" x14ac:dyDescent="0.25">
      <c r="B3685" s="169" t="s">
        <v>1167</v>
      </c>
      <c r="C3685" s="169" t="s">
        <v>43</v>
      </c>
      <c r="D3685" s="169" t="s">
        <v>168</v>
      </c>
      <c r="E3685" s="169" t="s">
        <v>61</v>
      </c>
      <c r="F3685" s="245" t="str">
        <f t="shared" si="231"/>
        <v>Dhoz 71</v>
      </c>
      <c r="G3685" t="s">
        <v>13633</v>
      </c>
      <c r="I3685" s="169" t="str">
        <f t="shared" si="234"/>
        <v>L12_GHVSPLIT_047E_DW</v>
      </c>
      <c r="J3685" s="169" t="s">
        <v>14312</v>
      </c>
      <c r="K3685" s="169">
        <f>IFERROR(MATCH(J3685,'Final List'!$B$4:$B$252,0),0)</f>
        <v>0</v>
      </c>
      <c r="L3685" s="169">
        <f>IFERROR(MATCH(J3685,'Final List'!$D$4:$D$252,0),0)</f>
        <v>0</v>
      </c>
      <c r="M3685" s="169">
        <f>IFERROR(MATCH(J3685,'Final List'!$F$4:$F$251,0),0)</f>
        <v>0</v>
      </c>
      <c r="N3685" s="169">
        <f>IFERROR(MATCH(J3685,'Final List'!$H$4:$H$252,0),0)</f>
        <v>0</v>
      </c>
      <c r="O3685" s="169">
        <f>IFERROR(MATCH(J3685,'Final List'!$J$4:$J$252,0),0)</f>
        <v>0</v>
      </c>
      <c r="P3685" s="169">
        <f>IFERROR(MATCH(J3685,'Final List'!$L$4:$L$252,0),0)</f>
        <v>0</v>
      </c>
      <c r="Q3685" s="169">
        <f>IFERROR(MATCH(J3685,'Final List'!$N$4:$N$252,0),0)</f>
        <v>0</v>
      </c>
      <c r="R3685" s="169">
        <f>IFERROR(MATCH(J3685,'Final List'!$P$4:$P$252,0),0)</f>
        <v>0</v>
      </c>
      <c r="S3685" s="169">
        <f t="shared" si="232"/>
        <v>0</v>
      </c>
      <c r="V3685" s="169" t="str">
        <f t="shared" si="233"/>
        <v>CAYMAN</v>
      </c>
      <c r="W3685" s="169" t="s">
        <v>8896</v>
      </c>
    </row>
    <row r="3686" spans="2:23" x14ac:dyDescent="0.25">
      <c r="B3686" s="169" t="s">
        <v>95</v>
      </c>
      <c r="C3686" s="169" t="s">
        <v>42</v>
      </c>
      <c r="D3686" s="169" t="s">
        <v>147</v>
      </c>
      <c r="E3686" s="169" t="s">
        <v>6154</v>
      </c>
      <c r="F3686" s="245" t="str">
        <f t="shared" si="231"/>
        <v>Dhoz 71</v>
      </c>
      <c r="G3686" s="169" t="s">
        <v>8045</v>
      </c>
      <c r="I3686" s="169" t="str">
        <f t="shared" si="234"/>
        <v>L08_JV_024E_DW_ISL</v>
      </c>
      <c r="J3686" s="169" t="s">
        <v>14204</v>
      </c>
      <c r="K3686" s="169">
        <f>IFERROR(MATCH(J3686,'Final List'!$B$4:$B$252,0),0)</f>
        <v>0</v>
      </c>
      <c r="L3686" s="169">
        <f>IFERROR(MATCH(J3686,'Final List'!$D$4:$D$252,0),0)</f>
        <v>0</v>
      </c>
      <c r="M3686" s="169">
        <f>IFERROR(MATCH(J3686,'Final List'!$F$4:$F$251,0),0)</f>
        <v>0</v>
      </c>
      <c r="N3686" s="169">
        <f>IFERROR(MATCH(J3686,'Final List'!$H$4:$H$252,0),0)</f>
        <v>0</v>
      </c>
      <c r="O3686" s="169">
        <f>IFERROR(MATCH(J3686,'Final List'!$J$4:$J$252,0),0)</f>
        <v>0</v>
      </c>
      <c r="P3686" s="169">
        <f>IFERROR(MATCH(J3686,'Final List'!$L$4:$L$252,0),0)</f>
        <v>0</v>
      </c>
      <c r="Q3686" s="169">
        <f>IFERROR(MATCH(J3686,'Final List'!$N$4:$N$252,0),0)</f>
        <v>0</v>
      </c>
      <c r="R3686" s="169">
        <f>IFERROR(MATCH(J3686,'Final List'!$P$4:$P$252,0),0)</f>
        <v>0</v>
      </c>
      <c r="S3686" s="169">
        <f t="shared" si="232"/>
        <v>0</v>
      </c>
      <c r="V3686" s="169" t="str">
        <f t="shared" si="233"/>
        <v>CAPUYAN</v>
      </c>
      <c r="W3686" s="169" t="s">
        <v>8895</v>
      </c>
    </row>
    <row r="3687" spans="2:23" x14ac:dyDescent="0.25">
      <c r="B3687" s="169" t="s">
        <v>95</v>
      </c>
      <c r="C3687" s="169" t="s">
        <v>38</v>
      </c>
      <c r="D3687" s="169" t="s">
        <v>166</v>
      </c>
      <c r="E3687" s="169" t="s">
        <v>62</v>
      </c>
      <c r="F3687" s="245" t="str">
        <f t="shared" si="231"/>
        <v>RobS 79</v>
      </c>
      <c r="G3687" s="169" t="s">
        <v>12545</v>
      </c>
      <c r="I3687" s="169" t="str">
        <f t="shared" si="234"/>
        <v>L08_GHV_068E_ROBBING</v>
      </c>
      <c r="J3687" s="169" t="s">
        <v>14205</v>
      </c>
      <c r="K3687" s="169">
        <f>IFERROR(MATCH(J3687,'Final List'!$B$4:$B$252,0),0)</f>
        <v>0</v>
      </c>
      <c r="L3687" s="169">
        <f>IFERROR(MATCH(J3687,'Final List'!$D$4:$D$252,0),0)</f>
        <v>0</v>
      </c>
      <c r="M3687" s="169">
        <f>IFERROR(MATCH(J3687,'Final List'!$F$4:$F$251,0),0)</f>
        <v>0</v>
      </c>
      <c r="N3687" s="169">
        <f>IFERROR(MATCH(J3687,'Final List'!$H$4:$H$252,0),0)</f>
        <v>0</v>
      </c>
      <c r="O3687" s="169">
        <f>IFERROR(MATCH(J3687,'Final List'!$J$4:$J$252,0),0)</f>
        <v>0</v>
      </c>
      <c r="P3687" s="169">
        <f>IFERROR(MATCH(J3687,'Final List'!$L$4:$L$252,0),0)</f>
        <v>0</v>
      </c>
      <c r="Q3687" s="169">
        <f>IFERROR(MATCH(J3687,'Final List'!$N$4:$N$252,0),0)</f>
        <v>0</v>
      </c>
      <c r="R3687" s="169">
        <f>IFERROR(MATCH(J3687,'Final List'!$P$4:$P$252,0),0)</f>
        <v>0</v>
      </c>
      <c r="S3687" s="169">
        <f t="shared" si="232"/>
        <v>0</v>
      </c>
      <c r="T3687" s="169" t="s">
        <v>68</v>
      </c>
      <c r="V3687" s="169" t="str">
        <f t="shared" si="233"/>
        <v>FERNANDEZ 4</v>
      </c>
      <c r="W3687" s="169" t="s">
        <v>2707</v>
      </c>
    </row>
    <row r="3688" spans="2:23" x14ac:dyDescent="0.25">
      <c r="B3688" s="169" t="s">
        <v>1167</v>
      </c>
      <c r="C3688" s="169" t="s">
        <v>55</v>
      </c>
      <c r="D3688" s="169" t="s">
        <v>180</v>
      </c>
      <c r="E3688" s="169" t="s">
        <v>211</v>
      </c>
      <c r="F3688" s="245" t="str">
        <f t="shared" si="231"/>
        <v>StpL 78</v>
      </c>
      <c r="G3688" s="169" t="s">
        <v>14208</v>
      </c>
      <c r="I3688" s="169" t="str">
        <f t="shared" si="234"/>
        <v>L12_JVFW_041E_STOPE PREP</v>
      </c>
      <c r="J3688" s="169" t="s">
        <v>14345</v>
      </c>
      <c r="K3688" s="169">
        <f>IFERROR(MATCH(J3688,'Final List'!$B$4:$B$252,0),0)</f>
        <v>0</v>
      </c>
      <c r="L3688" s="169">
        <f>IFERROR(MATCH(J3688,'Final List'!$D$4:$D$252,0),0)</f>
        <v>0</v>
      </c>
      <c r="M3688" s="169">
        <f>IFERROR(MATCH(J3688,'Final List'!$F$4:$F$251,0),0)</f>
        <v>0</v>
      </c>
      <c r="N3688" s="169">
        <f>IFERROR(MATCH(J3688,'Final List'!$H$4:$H$252,0),0)</f>
        <v>0</v>
      </c>
      <c r="O3688" s="169">
        <f>IFERROR(MATCH(J3688,'Final List'!$J$4:$J$252,0),0)</f>
        <v>0</v>
      </c>
      <c r="P3688" s="169">
        <f>IFERROR(MATCH(J3688,'Final List'!$L$4:$L$252,0),0)</f>
        <v>0</v>
      </c>
      <c r="Q3688" s="169">
        <f>IFERROR(MATCH(J3688,'Final List'!$N$4:$N$252,0),0)</f>
        <v>0</v>
      </c>
      <c r="R3688" s="169">
        <f>IFERROR(MATCH(J3688,'Final List'!$P$4:$P$252,0),0)</f>
        <v>0</v>
      </c>
      <c r="S3688" s="169">
        <f t="shared" si="232"/>
        <v>0</v>
      </c>
      <c r="T3688" s="169" t="s">
        <v>48</v>
      </c>
      <c r="V3688" s="169" t="str">
        <f t="shared" si="233"/>
        <v>DUHIG,P</v>
      </c>
      <c r="W3688" s="169" t="s">
        <v>2712</v>
      </c>
    </row>
    <row r="3689" spans="2:23" x14ac:dyDescent="0.25">
      <c r="B3689" s="169" t="s">
        <v>1166</v>
      </c>
      <c r="C3689" s="169" t="s">
        <v>45</v>
      </c>
      <c r="D3689" s="169" t="s">
        <v>11794</v>
      </c>
      <c r="E3689" s="169" t="s">
        <v>19</v>
      </c>
      <c r="F3689" s="245" t="str">
        <f t="shared" si="231"/>
        <v>DVR 72</v>
      </c>
      <c r="G3689" s="169" t="s">
        <v>4155</v>
      </c>
      <c r="I3689" s="169" t="str">
        <f t="shared" si="234"/>
        <v>L11_DPVE_102E_RAISE</v>
      </c>
      <c r="J3689" s="169" t="s">
        <v>14210</v>
      </c>
      <c r="K3689" s="169">
        <f>IFERROR(MATCH(J3689,'Final List'!$B$4:$B$252,0),0)</f>
        <v>0</v>
      </c>
      <c r="L3689" s="169">
        <f>IFERROR(MATCH(J3689,'Final List'!$D$4:$D$252,0),0)</f>
        <v>0</v>
      </c>
      <c r="M3689" s="169">
        <f>IFERROR(MATCH(J3689,'Final List'!$F$4:$F$251,0),0)</f>
        <v>0</v>
      </c>
      <c r="N3689" s="169">
        <f>IFERROR(MATCH(J3689,'Final List'!$H$4:$H$252,0),0)</f>
        <v>0</v>
      </c>
      <c r="O3689" s="169">
        <f>IFERROR(MATCH(J3689,'Final List'!$J$4:$J$252,0),0)</f>
        <v>0</v>
      </c>
      <c r="P3689" s="169">
        <f>IFERROR(MATCH(J3689,'Final List'!$L$4:$L$252,0),0)</f>
        <v>0</v>
      </c>
      <c r="Q3689" s="169">
        <f>IFERROR(MATCH(J3689,'Final List'!$N$4:$N$252,0),0)</f>
        <v>0</v>
      </c>
      <c r="R3689" s="169">
        <f>IFERROR(MATCH(J3689,'Final List'!$P$4:$P$252,0),0)</f>
        <v>0</v>
      </c>
      <c r="S3689" s="169">
        <f t="shared" si="232"/>
        <v>0</v>
      </c>
      <c r="V3689" s="169" t="str">
        <f t="shared" si="233"/>
        <v>BAÑEZ</v>
      </c>
      <c r="W3689" s="169" t="s">
        <v>2715</v>
      </c>
    </row>
    <row r="3690" spans="2:23" x14ac:dyDescent="0.25">
      <c r="B3690" s="169" t="s">
        <v>12320</v>
      </c>
      <c r="C3690" s="169" t="s">
        <v>38</v>
      </c>
      <c r="D3690" s="169" t="s">
        <v>174</v>
      </c>
      <c r="E3690" s="169" t="s">
        <v>20</v>
      </c>
      <c r="F3690" s="245" t="str">
        <f t="shared" si="231"/>
        <v>DVW 74</v>
      </c>
      <c r="G3690" s="169" t="s">
        <v>12745</v>
      </c>
      <c r="H3690" s="169" t="s">
        <v>15079</v>
      </c>
      <c r="I3690" s="169" t="str">
        <f t="shared" si="234"/>
        <v>L425_GHV_052E_WINZE</v>
      </c>
      <c r="J3690" s="169" t="s">
        <v>14207</v>
      </c>
      <c r="K3690" s="169">
        <f>IFERROR(MATCH(J3690,'Final List'!$B$4:$B$252,0),0)</f>
        <v>0</v>
      </c>
      <c r="L3690" s="169">
        <f>IFERROR(MATCH(J3690,'Final List'!$D$4:$D$252,0),0)</f>
        <v>0</v>
      </c>
      <c r="M3690" s="169">
        <f>IFERROR(MATCH(J3690,'Final List'!$F$4:$F$251,0),0)</f>
        <v>0</v>
      </c>
      <c r="N3690" s="169">
        <f>IFERROR(MATCH(J3690,'Final List'!$H$4:$H$252,0),0)</f>
        <v>0</v>
      </c>
      <c r="O3690" s="169">
        <f>IFERROR(MATCH(J3690,'Final List'!$J$4:$J$252,0),0)</f>
        <v>0</v>
      </c>
      <c r="P3690" s="169">
        <f>IFERROR(MATCH(J3690,'Final List'!$L$4:$L$252,0),0)</f>
        <v>0</v>
      </c>
      <c r="Q3690" s="169">
        <f>IFERROR(MATCH(J3690,'Final List'!$N$4:$N$252,0),0)</f>
        <v>0</v>
      </c>
      <c r="R3690" s="169">
        <f>IFERROR(MATCH(J3690,'Final List'!$P$4:$P$252,0),0)</f>
        <v>0</v>
      </c>
      <c r="S3690" s="169">
        <f t="shared" si="232"/>
        <v>0</v>
      </c>
      <c r="V3690" s="169" t="str">
        <f t="shared" si="233"/>
        <v>NITRO CP</v>
      </c>
      <c r="W3690" s="169" t="s">
        <v>2706</v>
      </c>
    </row>
    <row r="3691" spans="2:23" x14ac:dyDescent="0.25">
      <c r="B3691" s="169" t="s">
        <v>12320</v>
      </c>
      <c r="C3691" s="169" t="s">
        <v>38</v>
      </c>
      <c r="D3691" s="169" t="s">
        <v>226</v>
      </c>
      <c r="E3691" s="169" t="s">
        <v>60</v>
      </c>
      <c r="F3691" s="245" t="str">
        <f t="shared" si="231"/>
        <v>Dhoz 71</v>
      </c>
      <c r="G3691" s="169" t="s">
        <v>13888</v>
      </c>
      <c r="H3691" s="169" t="s">
        <v>15055</v>
      </c>
      <c r="I3691" s="169" t="str">
        <f t="shared" si="234"/>
        <v>L425_GHV_074E_DE</v>
      </c>
      <c r="J3691" s="169" t="s">
        <v>14215</v>
      </c>
      <c r="K3691" s="169">
        <f>IFERROR(MATCH(J3691,'Final List'!$B$4:$B$252,0),0)</f>
        <v>0</v>
      </c>
      <c r="L3691" s="169">
        <f>IFERROR(MATCH(J3691,'Final List'!$D$4:$D$252,0),0)</f>
        <v>0</v>
      </c>
      <c r="M3691" s="169">
        <f>IFERROR(MATCH(J3691,'Final List'!$F$4:$F$251,0),0)</f>
        <v>0</v>
      </c>
      <c r="N3691" s="169">
        <f>IFERROR(MATCH(J3691,'Final List'!$H$4:$H$252,0),0)</f>
        <v>0</v>
      </c>
      <c r="O3691" s="169">
        <f>IFERROR(MATCH(J3691,'Final List'!$J$4:$J$252,0),0)</f>
        <v>0</v>
      </c>
      <c r="P3691" s="169">
        <f>IFERROR(MATCH(J3691,'Final List'!$L$4:$L$252,0),0)</f>
        <v>0</v>
      </c>
      <c r="Q3691" s="169">
        <f>IFERROR(MATCH(J3691,'Final List'!$N$4:$N$252,0),0)</f>
        <v>0</v>
      </c>
      <c r="R3691" s="169">
        <f>IFERROR(MATCH(J3691,'Final List'!$P$4:$P$252,0),0)</f>
        <v>0</v>
      </c>
      <c r="S3691" s="169">
        <f t="shared" si="232"/>
        <v>0</v>
      </c>
      <c r="V3691" s="169" t="str">
        <f t="shared" si="233"/>
        <v>NITRO CL</v>
      </c>
      <c r="W3691" s="169" t="s">
        <v>8896</v>
      </c>
    </row>
    <row r="3692" spans="2:23" x14ac:dyDescent="0.25">
      <c r="B3692" s="169" t="s">
        <v>12320</v>
      </c>
      <c r="C3692" s="169" t="s">
        <v>57</v>
      </c>
      <c r="D3692" s="169" t="s">
        <v>197</v>
      </c>
      <c r="E3692" s="169" t="s">
        <v>19</v>
      </c>
      <c r="F3692" s="245" t="str">
        <f t="shared" si="231"/>
        <v>DVR 72</v>
      </c>
      <c r="G3692" s="169" t="s">
        <v>4155</v>
      </c>
      <c r="I3692" s="169" t="str">
        <f t="shared" si="234"/>
        <v>L425_JVSPLIT_070E_RAISE</v>
      </c>
      <c r="J3692" s="169" t="s">
        <v>14220</v>
      </c>
      <c r="K3692" s="169">
        <f>IFERROR(MATCH(J3692,'Final List'!$B$4:$B$252,0),0)</f>
        <v>0</v>
      </c>
      <c r="L3692" s="169">
        <f>IFERROR(MATCH(J3692,'Final List'!$D$4:$D$252,0),0)</f>
        <v>0</v>
      </c>
      <c r="M3692" s="169">
        <f>IFERROR(MATCH(J3692,'Final List'!$F$4:$F$251,0),0)</f>
        <v>0</v>
      </c>
      <c r="N3692" s="169">
        <f>IFERROR(MATCH(J3692,'Final List'!$H$4:$H$252,0),0)</f>
        <v>0</v>
      </c>
      <c r="O3692" s="169">
        <f>IFERROR(MATCH(J3692,'Final List'!$J$4:$J$252,0),0)</f>
        <v>0</v>
      </c>
      <c r="P3692" s="169">
        <f>IFERROR(MATCH(J3692,'Final List'!$L$4:$L$252,0),0)</f>
        <v>0</v>
      </c>
      <c r="Q3692" s="169">
        <f>IFERROR(MATCH(J3692,'Final List'!$N$4:$N$252,0),0)</f>
        <v>0</v>
      </c>
      <c r="R3692" s="169">
        <f>IFERROR(MATCH(J3692,'Final List'!$P$4:$P$252,0),0)</f>
        <v>0</v>
      </c>
      <c r="S3692" s="169">
        <f t="shared" si="232"/>
        <v>0</v>
      </c>
      <c r="V3692" s="169" t="str">
        <f t="shared" si="233"/>
        <v>BAÑEZ</v>
      </c>
      <c r="W3692" s="169" t="s">
        <v>2715</v>
      </c>
    </row>
    <row r="3693" spans="2:23" x14ac:dyDescent="0.25">
      <c r="B3693" s="169" t="s">
        <v>12320</v>
      </c>
      <c r="C3693" s="169" t="s">
        <v>57</v>
      </c>
      <c r="D3693" s="169" t="s">
        <v>5872</v>
      </c>
      <c r="E3693" s="169" t="s">
        <v>60</v>
      </c>
      <c r="F3693" s="245" t="str">
        <f t="shared" si="231"/>
        <v>Dhoz 71</v>
      </c>
      <c r="G3693" s="169" t="s">
        <v>4155</v>
      </c>
      <c r="I3693" s="169" t="str">
        <f t="shared" si="234"/>
        <v>L425_JVSPLIT_076E_DE</v>
      </c>
      <c r="J3693" s="169" t="s">
        <v>14221</v>
      </c>
      <c r="K3693" s="169">
        <f>IFERROR(MATCH(J3693,'Final List'!$B$4:$B$252,0),0)</f>
        <v>0</v>
      </c>
      <c r="L3693" s="169">
        <f>IFERROR(MATCH(J3693,'Final List'!$D$4:$D$252,0),0)</f>
        <v>0</v>
      </c>
      <c r="M3693" s="169">
        <f>IFERROR(MATCH(J3693,'Final List'!$F$4:$F$251,0),0)</f>
        <v>0</v>
      </c>
      <c r="N3693" s="169">
        <f>IFERROR(MATCH(J3693,'Final List'!$H$4:$H$252,0),0)</f>
        <v>0</v>
      </c>
      <c r="O3693" s="169">
        <f>IFERROR(MATCH(J3693,'Final List'!$J$4:$J$252,0),0)</f>
        <v>0</v>
      </c>
      <c r="P3693" s="169">
        <f>IFERROR(MATCH(J3693,'Final List'!$L$4:$L$252,0),0)</f>
        <v>0</v>
      </c>
      <c r="Q3693" s="169">
        <f>IFERROR(MATCH(J3693,'Final List'!$N$4:$N$252,0),0)</f>
        <v>0</v>
      </c>
      <c r="R3693" s="169">
        <f>IFERROR(MATCH(J3693,'Final List'!$P$4:$P$252,0),0)</f>
        <v>0</v>
      </c>
      <c r="S3693" s="169">
        <f t="shared" si="232"/>
        <v>0</v>
      </c>
      <c r="V3693" s="169" t="str">
        <f t="shared" si="233"/>
        <v>BAÑEZ</v>
      </c>
      <c r="W3693" s="169" t="s">
        <v>8896</v>
      </c>
    </row>
    <row r="3694" spans="2:23" x14ac:dyDescent="0.25">
      <c r="B3694" s="169" t="s">
        <v>1167</v>
      </c>
      <c r="C3694" s="169" t="s">
        <v>57</v>
      </c>
      <c r="D3694" s="169" t="s">
        <v>144</v>
      </c>
      <c r="E3694" s="169" t="s">
        <v>61</v>
      </c>
      <c r="F3694" s="245" t="str">
        <f t="shared" si="231"/>
        <v>Dhoz 71</v>
      </c>
      <c r="G3694" s="169" t="s">
        <v>14223</v>
      </c>
      <c r="I3694" s="169" t="str">
        <f t="shared" si="234"/>
        <v>L12_JVSPLIT_043E_DW</v>
      </c>
      <c r="J3694" s="169" t="s">
        <v>14222</v>
      </c>
      <c r="K3694" s="169">
        <f>IFERROR(MATCH(J3694,'Final List'!$B$4:$B$252,0),0)</f>
        <v>0</v>
      </c>
      <c r="L3694" s="169">
        <f>IFERROR(MATCH(J3694,'Final List'!$D$4:$D$252,0),0)</f>
        <v>0</v>
      </c>
      <c r="M3694" s="169">
        <f>IFERROR(MATCH(J3694,'Final List'!$F$4:$F$251,0),0)</f>
        <v>0</v>
      </c>
      <c r="N3694" s="169">
        <f>IFERROR(MATCH(J3694,'Final List'!$H$4:$H$252,0),0)</f>
        <v>0</v>
      </c>
      <c r="O3694" s="169">
        <f>IFERROR(MATCH(J3694,'Final List'!$J$4:$J$252,0),0)</f>
        <v>0</v>
      </c>
      <c r="P3694" s="169">
        <f>IFERROR(MATCH(J3694,'Final List'!$L$4:$L$252,0),0)</f>
        <v>0</v>
      </c>
      <c r="Q3694" s="169">
        <f>IFERROR(MATCH(J3694,'Final List'!$N$4:$N$252,0),0)</f>
        <v>0</v>
      </c>
      <c r="R3694" s="169">
        <f>IFERROR(MATCH(J3694,'Final List'!$P$4:$P$252,0),0)</f>
        <v>0</v>
      </c>
      <c r="S3694" s="169">
        <f t="shared" si="232"/>
        <v>0</v>
      </c>
      <c r="V3694" s="169" t="str">
        <f t="shared" si="233"/>
        <v>DUHIG P,</v>
      </c>
      <c r="W3694" s="169" t="s">
        <v>8896</v>
      </c>
    </row>
    <row r="3695" spans="2:23" x14ac:dyDescent="0.25">
      <c r="B3695" s="169" t="s">
        <v>1167</v>
      </c>
      <c r="C3695" s="169" t="s">
        <v>87</v>
      </c>
      <c r="D3695" s="169" t="s">
        <v>175</v>
      </c>
      <c r="E3695" s="169" t="s">
        <v>13269</v>
      </c>
      <c r="F3695" s="245">
        <f t="shared" si="231"/>
        <v>0</v>
      </c>
      <c r="G3695" s="169" t="s">
        <v>14228</v>
      </c>
      <c r="H3695" s="169" t="s">
        <v>14130</v>
      </c>
      <c r="I3695" s="169" t="str">
        <f t="shared" si="234"/>
        <v>L12_NONE_060E_FILL WINZE</v>
      </c>
      <c r="J3695" s="169" t="s">
        <v>14229</v>
      </c>
      <c r="K3695" s="169">
        <f>IFERROR(MATCH(J3695,'Final List'!$B$4:$B$252,0),0)</f>
        <v>0</v>
      </c>
      <c r="L3695" s="169">
        <f>IFERROR(MATCH(J3695,'Final List'!$D$4:$D$252,0),0)</f>
        <v>0</v>
      </c>
      <c r="M3695" s="169">
        <f>IFERROR(MATCH(J3695,'Final List'!$F$4:$F$251,0),0)</f>
        <v>0</v>
      </c>
      <c r="N3695" s="169">
        <f>IFERROR(MATCH(J3695,'Final List'!$H$4:$H$252,0),0)</f>
        <v>0</v>
      </c>
      <c r="O3695" s="169">
        <f>IFERROR(MATCH(J3695,'Final List'!$J$4:$J$252,0),0)</f>
        <v>0</v>
      </c>
      <c r="P3695" s="169">
        <f>IFERROR(MATCH(J3695,'Final List'!$L$4:$L$252,0),0)</f>
        <v>0</v>
      </c>
      <c r="Q3695" s="169">
        <f>IFERROR(MATCH(J3695,'Final List'!$N$4:$N$252,0),0)</f>
        <v>0</v>
      </c>
      <c r="R3695" s="169">
        <f>IFERROR(MATCH(J3695,'Final List'!$P$4:$P$252,0),0)</f>
        <v>0</v>
      </c>
      <c r="S3695" s="169">
        <f t="shared" si="232"/>
        <v>0</v>
      </c>
      <c r="V3695" s="169" t="str">
        <f t="shared" si="233"/>
        <v>DURANGO</v>
      </c>
      <c r="W3695" s="169" t="s">
        <v>2717</v>
      </c>
    </row>
    <row r="3696" spans="2:23" x14ac:dyDescent="0.25">
      <c r="B3696" s="169" t="s">
        <v>12320</v>
      </c>
      <c r="C3696" s="169" t="s">
        <v>42</v>
      </c>
      <c r="D3696" s="169" t="s">
        <v>176</v>
      </c>
      <c r="E3696" s="169" t="s">
        <v>211</v>
      </c>
      <c r="F3696" s="245" t="str">
        <f t="shared" si="231"/>
        <v>StpS 77</v>
      </c>
      <c r="G3696" s="169" t="s">
        <v>14317</v>
      </c>
      <c r="I3696" s="169" t="str">
        <f t="shared" si="234"/>
        <v>L425_JV_057E_STOPE PREP</v>
      </c>
      <c r="J3696" s="169" t="s">
        <v>14224</v>
      </c>
      <c r="K3696" s="169">
        <f>IFERROR(MATCH(J3696,'Final List'!$B$4:$B$252,0),0)</f>
        <v>0</v>
      </c>
      <c r="L3696" s="169">
        <f>IFERROR(MATCH(J3696,'Final List'!$D$4:$D$252,0),0)</f>
        <v>0</v>
      </c>
      <c r="M3696" s="169">
        <f>IFERROR(MATCH(J3696,'Final List'!$F$4:$F$251,0),0)</f>
        <v>0</v>
      </c>
      <c r="N3696" s="169">
        <f>IFERROR(MATCH(J3696,'Final List'!$H$4:$H$252,0),0)</f>
        <v>0</v>
      </c>
      <c r="O3696" s="169">
        <f>IFERROR(MATCH(J3696,'Final List'!$J$4:$J$252,0),0)</f>
        <v>0</v>
      </c>
      <c r="P3696" s="169">
        <f>IFERROR(MATCH(J3696,'Final List'!$L$4:$L$252,0),0)</f>
        <v>0</v>
      </c>
      <c r="Q3696" s="169">
        <f>IFERROR(MATCH(J3696,'Final List'!$N$4:$N$252,0),0)</f>
        <v>0</v>
      </c>
      <c r="R3696" s="169">
        <f>IFERROR(MATCH(J3696,'Final List'!$P$4:$P$252,0),0)</f>
        <v>0</v>
      </c>
      <c r="S3696" s="169">
        <f t="shared" si="232"/>
        <v>0</v>
      </c>
      <c r="T3696" s="169" t="s">
        <v>68</v>
      </c>
      <c r="V3696" s="169" t="str">
        <f t="shared" si="233"/>
        <v>ESPINOSA</v>
      </c>
      <c r="W3696" s="169" t="s">
        <v>2712</v>
      </c>
    </row>
    <row r="3697" spans="2:23" x14ac:dyDescent="0.25">
      <c r="B3697" s="169" t="s">
        <v>95</v>
      </c>
      <c r="C3697" s="169" t="s">
        <v>45</v>
      </c>
      <c r="D3697" s="169" t="s">
        <v>5844</v>
      </c>
      <c r="E3697" s="169" t="s">
        <v>19</v>
      </c>
      <c r="F3697" s="245" t="str">
        <f t="shared" si="231"/>
        <v>DVR 72</v>
      </c>
      <c r="G3697" s="169" t="s">
        <v>14152</v>
      </c>
      <c r="I3697" s="169" t="str">
        <f t="shared" si="234"/>
        <v>L08_DPVE_009W_RAISE</v>
      </c>
      <c r="J3697" s="169" t="s">
        <v>14230</v>
      </c>
      <c r="K3697" s="169">
        <f>IFERROR(MATCH(J3697,'Final List'!$B$4:$B$252,0),0)</f>
        <v>0</v>
      </c>
      <c r="L3697" s="169">
        <f>IFERROR(MATCH(J3697,'Final List'!$D$4:$D$252,0),0)</f>
        <v>0</v>
      </c>
      <c r="M3697" s="169">
        <f>IFERROR(MATCH(J3697,'Final List'!$F$4:$F$251,0),0)</f>
        <v>0</v>
      </c>
      <c r="N3697" s="169">
        <f>IFERROR(MATCH(J3697,'Final List'!$H$4:$H$252,0),0)</f>
        <v>0</v>
      </c>
      <c r="O3697" s="169">
        <f>IFERROR(MATCH(J3697,'Final List'!$J$4:$J$252,0),0)</f>
        <v>0</v>
      </c>
      <c r="P3697" s="169">
        <f>IFERROR(MATCH(J3697,'Final List'!$L$4:$L$252,0),0)</f>
        <v>0</v>
      </c>
      <c r="Q3697" s="169">
        <f>IFERROR(MATCH(J3697,'Final List'!$N$4:$N$252,0),0)</f>
        <v>0</v>
      </c>
      <c r="R3697" s="169">
        <f>IFERROR(MATCH(J3697,'Final List'!$P$4:$P$252,0),0)</f>
        <v>0</v>
      </c>
      <c r="S3697" s="169">
        <f t="shared" si="232"/>
        <v>0</v>
      </c>
      <c r="V3697" s="169" t="str">
        <f t="shared" si="233"/>
        <v>NITRO CF1</v>
      </c>
      <c r="W3697" s="169" t="s">
        <v>2715</v>
      </c>
    </row>
    <row r="3698" spans="2:23" x14ac:dyDescent="0.25">
      <c r="B3698" s="169" t="s">
        <v>95</v>
      </c>
      <c r="C3698" s="169" t="s">
        <v>45</v>
      </c>
      <c r="D3698" s="169" t="s">
        <v>108</v>
      </c>
      <c r="E3698" s="169" t="s">
        <v>6143</v>
      </c>
      <c r="F3698" s="245" t="str">
        <f t="shared" si="231"/>
        <v>Dhoz 71</v>
      </c>
      <c r="G3698" s="169" t="s">
        <v>14231</v>
      </c>
      <c r="H3698" s="169" t="s">
        <v>14259</v>
      </c>
      <c r="I3698" s="169" t="str">
        <f t="shared" si="234"/>
        <v>L08_DPVE_007W_DE_ISL</v>
      </c>
      <c r="J3698" s="169" t="s">
        <v>14244</v>
      </c>
      <c r="K3698" s="169">
        <f>IFERROR(MATCH(J3698,'Final List'!$B$4:$B$252,0),0)</f>
        <v>0</v>
      </c>
      <c r="L3698" s="169">
        <f>IFERROR(MATCH(J3698,'Final List'!$D$4:$D$252,0),0)</f>
        <v>0</v>
      </c>
      <c r="M3698" s="169">
        <f>IFERROR(MATCH(J3698,'Final List'!$F$4:$F$251,0),0)</f>
        <v>0</v>
      </c>
      <c r="N3698" s="169">
        <f>IFERROR(MATCH(J3698,'Final List'!$H$4:$H$252,0),0)</f>
        <v>0</v>
      </c>
      <c r="O3698" s="169">
        <f>IFERROR(MATCH(J3698,'Final List'!$J$4:$J$252,0),0)</f>
        <v>0</v>
      </c>
      <c r="P3698" s="169">
        <f>IFERROR(MATCH(J3698,'Final List'!$L$4:$L$252,0),0)</f>
        <v>0</v>
      </c>
      <c r="Q3698" s="169">
        <f>IFERROR(MATCH(J3698,'Final List'!$N$4:$N$252,0),0)</f>
        <v>0</v>
      </c>
      <c r="R3698" s="169">
        <f>IFERROR(MATCH(J3698,'Final List'!$P$4:$P$252,0),0)</f>
        <v>0</v>
      </c>
      <c r="S3698" s="169">
        <f t="shared" si="232"/>
        <v>0</v>
      </c>
      <c r="V3698" s="169" t="str">
        <f t="shared" si="233"/>
        <v>NITRO CF3</v>
      </c>
      <c r="W3698" s="169" t="s">
        <v>2708</v>
      </c>
    </row>
    <row r="3699" spans="2:23" x14ac:dyDescent="0.25">
      <c r="B3699" s="169" t="s">
        <v>12320</v>
      </c>
      <c r="C3699" s="169" t="s">
        <v>87</v>
      </c>
      <c r="D3699" s="169" t="s">
        <v>146</v>
      </c>
      <c r="E3699" s="169" t="s">
        <v>63</v>
      </c>
      <c r="F3699" s="245" t="str">
        <f t="shared" si="231"/>
        <v>Dhoz 71</v>
      </c>
      <c r="G3699" s="169" t="s">
        <v>5703</v>
      </c>
      <c r="H3699" s="169" t="s">
        <v>747</v>
      </c>
      <c r="I3699" s="169" t="str">
        <f t="shared" si="234"/>
        <v>L425_NONE_030E_XCS</v>
      </c>
      <c r="J3699" s="169" t="s">
        <v>14232</v>
      </c>
      <c r="K3699" s="169">
        <f>IFERROR(MATCH(J3699,'Final List'!$B$4:$B$252,0),0)</f>
        <v>0</v>
      </c>
      <c r="L3699" s="169">
        <f>IFERROR(MATCH(J3699,'Final List'!$D$4:$D$252,0),0)</f>
        <v>0</v>
      </c>
      <c r="M3699" s="169">
        <f>IFERROR(MATCH(J3699,'Final List'!$F$4:$F$251,0),0)</f>
        <v>0</v>
      </c>
      <c r="N3699" s="169">
        <f>IFERROR(MATCH(J3699,'Final List'!$H$4:$H$252,0),0)</f>
        <v>0</v>
      </c>
      <c r="O3699" s="169">
        <f>IFERROR(MATCH(J3699,'Final List'!$J$4:$J$252,0),0)</f>
        <v>0</v>
      </c>
      <c r="P3699" s="169">
        <f>IFERROR(MATCH(J3699,'Final List'!$L$4:$L$252,0),0)</f>
        <v>0</v>
      </c>
      <c r="Q3699" s="169">
        <f>IFERROR(MATCH(J3699,'Final List'!$N$4:$N$252,0),0)</f>
        <v>0</v>
      </c>
      <c r="R3699" s="169">
        <f>IFERROR(MATCH(J3699,'Final List'!$P$4:$P$252,0),0)</f>
        <v>0</v>
      </c>
      <c r="S3699" s="169">
        <f t="shared" si="232"/>
        <v>0</v>
      </c>
      <c r="V3699" s="169" t="str">
        <f t="shared" si="233"/>
        <v>REBOTE</v>
      </c>
      <c r="W3699" s="169" t="s">
        <v>8898</v>
      </c>
    </row>
    <row r="3700" spans="2:23" x14ac:dyDescent="0.25">
      <c r="B3700" s="169" t="s">
        <v>1167</v>
      </c>
      <c r="C3700" s="169" t="s">
        <v>45</v>
      </c>
      <c r="D3700" s="169" t="s">
        <v>177</v>
      </c>
      <c r="E3700" s="169" t="s">
        <v>19</v>
      </c>
      <c r="F3700" s="245" t="str">
        <f t="shared" si="231"/>
        <v>DVR 72</v>
      </c>
      <c r="G3700" s="169" t="s">
        <v>14132</v>
      </c>
      <c r="H3700" s="169" t="s">
        <v>14127</v>
      </c>
      <c r="I3700" s="169" t="str">
        <f t="shared" si="234"/>
        <v>L12_DPVE_054E_RAISE</v>
      </c>
      <c r="J3700" s="169" t="s">
        <v>14236</v>
      </c>
      <c r="K3700" s="169">
        <f>IFERROR(MATCH(J3700,'Final List'!$B$4:$B$252,0),0)</f>
        <v>0</v>
      </c>
      <c r="L3700" s="169">
        <f>IFERROR(MATCH(J3700,'Final List'!$D$4:$D$252,0),0)</f>
        <v>0</v>
      </c>
      <c r="M3700" s="169">
        <f>IFERROR(MATCH(J3700,'Final List'!$F$4:$F$251,0),0)</f>
        <v>0</v>
      </c>
      <c r="N3700" s="169">
        <f>IFERROR(MATCH(J3700,'Final List'!$H$4:$H$252,0),0)</f>
        <v>0</v>
      </c>
      <c r="O3700" s="169">
        <f>IFERROR(MATCH(J3700,'Final List'!$J$4:$J$252,0),0)</f>
        <v>0</v>
      </c>
      <c r="P3700" s="169">
        <f>IFERROR(MATCH(J3700,'Final List'!$L$4:$L$252,0),0)</f>
        <v>0</v>
      </c>
      <c r="Q3700" s="169">
        <f>IFERROR(MATCH(J3700,'Final List'!$N$4:$N$252,0),0)</f>
        <v>0</v>
      </c>
      <c r="R3700" s="169">
        <f>IFERROR(MATCH(J3700,'Final List'!$P$4:$P$252,0),0)</f>
        <v>0</v>
      </c>
      <c r="S3700" s="169">
        <f t="shared" si="232"/>
        <v>0</v>
      </c>
      <c r="V3700" s="169" t="str">
        <f t="shared" si="233"/>
        <v>BACLAS</v>
      </c>
      <c r="W3700" s="169" t="s">
        <v>2715</v>
      </c>
    </row>
    <row r="3701" spans="2:23" x14ac:dyDescent="0.25">
      <c r="B3701" s="169" t="s">
        <v>258</v>
      </c>
      <c r="C3701" s="169" t="s">
        <v>38</v>
      </c>
      <c r="D3701" s="169" t="s">
        <v>114</v>
      </c>
      <c r="E3701" s="169" t="s">
        <v>19</v>
      </c>
      <c r="F3701" s="245" t="str">
        <f t="shared" si="231"/>
        <v>DVR 72</v>
      </c>
      <c r="G3701" s="169" t="s">
        <v>10889</v>
      </c>
      <c r="H3701" t="s">
        <v>12888</v>
      </c>
      <c r="I3701" s="169" t="str">
        <f t="shared" si="234"/>
        <v>L10_GHV_025W_RAISE</v>
      </c>
      <c r="J3701" s="169" t="s">
        <v>14737</v>
      </c>
      <c r="K3701" s="169">
        <f>IFERROR(MATCH(J3701,'Final List'!$B$4:$B$252,0),0)</f>
        <v>0</v>
      </c>
      <c r="L3701" s="169">
        <f>IFERROR(MATCH(J3701,'Final List'!$D$4:$D$252,0),0)</f>
        <v>0</v>
      </c>
      <c r="M3701" s="169">
        <f>IFERROR(MATCH(J3701,'Final List'!$F$4:$F$251,0),0)</f>
        <v>0</v>
      </c>
      <c r="N3701" s="169">
        <f>IFERROR(MATCH(J3701,'Final List'!$H$4:$H$252,0),0)</f>
        <v>0</v>
      </c>
      <c r="O3701" s="169">
        <f>IFERROR(MATCH(J3701,'Final List'!$J$4:$J$252,0),0)</f>
        <v>0</v>
      </c>
      <c r="P3701" s="169">
        <f>IFERROR(MATCH(J3701,'Final List'!$L$4:$L$252,0),0)</f>
        <v>0</v>
      </c>
      <c r="Q3701" s="169">
        <f>IFERROR(MATCH(J3701,'Final List'!$N$4:$N$252,0),0)</f>
        <v>0</v>
      </c>
      <c r="R3701" s="169">
        <f>IFERROR(MATCH(J3701,'Final List'!$P$4:$P$252,0),0)</f>
        <v>0</v>
      </c>
      <c r="S3701" s="169">
        <f t="shared" si="232"/>
        <v>0</v>
      </c>
      <c r="V3701" s="169" t="str">
        <f t="shared" si="233"/>
        <v>NITRO BD</v>
      </c>
      <c r="W3701" s="169" t="s">
        <v>2715</v>
      </c>
    </row>
    <row r="3702" spans="2:23" x14ac:dyDescent="0.25">
      <c r="B3702" s="169" t="s">
        <v>1166</v>
      </c>
      <c r="C3702" s="169" t="s">
        <v>45</v>
      </c>
      <c r="D3702" s="169" t="s">
        <v>197</v>
      </c>
      <c r="E3702" s="169" t="s">
        <v>61</v>
      </c>
      <c r="F3702" s="245" t="str">
        <f t="shared" si="231"/>
        <v>Dhoz 71</v>
      </c>
      <c r="G3702" s="169" t="s">
        <v>341</v>
      </c>
      <c r="I3702" s="169" t="str">
        <f t="shared" si="234"/>
        <v>L11_DPVE_070E_DW</v>
      </c>
      <c r="J3702" s="169" t="s">
        <v>14240</v>
      </c>
      <c r="K3702" s="169">
        <f>IFERROR(MATCH(J3702,'Final List'!$B$4:$B$252,0),0)</f>
        <v>0</v>
      </c>
      <c r="L3702" s="169">
        <f>IFERROR(MATCH(J3702,'Final List'!$D$4:$D$252,0),0)</f>
        <v>0</v>
      </c>
      <c r="M3702" s="169">
        <f>IFERROR(MATCH(J3702,'Final List'!$F$4:$F$251,0),0)</f>
        <v>0</v>
      </c>
      <c r="N3702" s="169">
        <f>IFERROR(MATCH(J3702,'Final List'!$H$4:$H$252,0),0)</f>
        <v>0</v>
      </c>
      <c r="O3702" s="169">
        <f>IFERROR(MATCH(J3702,'Final List'!$J$4:$J$252,0),0)</f>
        <v>0</v>
      </c>
      <c r="P3702" s="169">
        <f>IFERROR(MATCH(J3702,'Final List'!$L$4:$L$252,0),0)</f>
        <v>0</v>
      </c>
      <c r="Q3702" s="169">
        <f>IFERROR(MATCH(J3702,'Final List'!$N$4:$N$252,0),0)</f>
        <v>0</v>
      </c>
      <c r="R3702" s="169">
        <f>IFERROR(MATCH(J3702,'Final List'!$P$4:$P$252,0),0)</f>
        <v>0</v>
      </c>
      <c r="S3702" s="169">
        <f t="shared" si="232"/>
        <v>0</v>
      </c>
      <c r="V3702" s="169" t="str">
        <f t="shared" si="233"/>
        <v>BADBADON 1</v>
      </c>
      <c r="W3702" s="169" t="s">
        <v>2713</v>
      </c>
    </row>
    <row r="3703" spans="2:23" x14ac:dyDescent="0.25">
      <c r="B3703" s="169" t="s">
        <v>12320</v>
      </c>
      <c r="C3703" s="169" t="s">
        <v>38</v>
      </c>
      <c r="D3703" s="169" t="s">
        <v>201</v>
      </c>
      <c r="E3703" s="169" t="s">
        <v>211</v>
      </c>
      <c r="F3703" s="245" t="str">
        <f t="shared" si="231"/>
        <v>StpS 77</v>
      </c>
      <c r="G3703" s="169" t="s">
        <v>747</v>
      </c>
      <c r="I3703" s="169" t="str">
        <f t="shared" si="234"/>
        <v>L425_GHV_067E_STOPE PREP</v>
      </c>
      <c r="J3703" s="169" t="s">
        <v>14252</v>
      </c>
      <c r="K3703" s="169">
        <f>IFERROR(MATCH(J3703,'Final List'!$B$4:$B$252,0),0)</f>
        <v>0</v>
      </c>
      <c r="L3703" s="169">
        <f>IFERROR(MATCH(J3703,'Final List'!$D$4:$D$252,0),0)</f>
        <v>0</v>
      </c>
      <c r="M3703" s="169">
        <f>IFERROR(MATCH(J3703,'Final List'!$F$4:$F$251,0),0)</f>
        <v>0</v>
      </c>
      <c r="N3703" s="169">
        <f>IFERROR(MATCH(J3703,'Final List'!$H$4:$H$252,0),0)</f>
        <v>0</v>
      </c>
      <c r="O3703" s="169">
        <f>IFERROR(MATCH(J3703,'Final List'!$J$4:$J$252,0),0)</f>
        <v>0</v>
      </c>
      <c r="P3703" s="169">
        <f>IFERROR(MATCH(J3703,'Final List'!$L$4:$L$252,0),0)</f>
        <v>0</v>
      </c>
      <c r="Q3703" s="169">
        <f>IFERROR(MATCH(J3703,'Final List'!$N$4:$N$252,0),0)</f>
        <v>0</v>
      </c>
      <c r="R3703" s="169">
        <f>IFERROR(MATCH(J3703,'Final List'!$P$4:$P$252,0),0)</f>
        <v>0</v>
      </c>
      <c r="S3703" s="169">
        <f t="shared" si="232"/>
        <v>0</v>
      </c>
      <c r="T3703" s="169" t="s">
        <v>68</v>
      </c>
      <c r="V3703" s="169" t="str">
        <f t="shared" si="233"/>
        <v>REBOTE</v>
      </c>
      <c r="W3703" s="169" t="s">
        <v>2712</v>
      </c>
    </row>
    <row r="3704" spans="2:23" x14ac:dyDescent="0.25">
      <c r="B3704" s="169" t="s">
        <v>12320</v>
      </c>
      <c r="C3704" s="169" t="s">
        <v>45</v>
      </c>
      <c r="D3704" s="169" t="s">
        <v>135</v>
      </c>
      <c r="E3704" s="169" t="s">
        <v>36</v>
      </c>
      <c r="F3704" s="245" t="str">
        <f t="shared" si="231"/>
        <v>StpS 77</v>
      </c>
      <c r="G3704" s="169" t="s">
        <v>7984</v>
      </c>
      <c r="I3704" s="169" t="str">
        <f t="shared" si="234"/>
        <v>L425_DPVE_034E_STOPE</v>
      </c>
      <c r="J3704" s="169" t="s">
        <v>14443</v>
      </c>
      <c r="K3704" s="169">
        <f>IFERROR(MATCH(J3704,'Final List'!$B$4:$B$252,0),0)</f>
        <v>0</v>
      </c>
      <c r="L3704" s="169">
        <f>IFERROR(MATCH(J3704,'Final List'!$D$4:$D$252,0),0)</f>
        <v>0</v>
      </c>
      <c r="M3704" s="169">
        <f>IFERROR(MATCH(J3704,'Final List'!$F$4:$F$251,0),0)</f>
        <v>0</v>
      </c>
      <c r="N3704" s="169">
        <f>IFERROR(MATCH(J3704,'Final List'!$H$4:$H$252,0),0)</f>
        <v>0</v>
      </c>
      <c r="O3704" s="169">
        <f>IFERROR(MATCH(J3704,'Final List'!$J$4:$J$252,0),0)</f>
        <v>0</v>
      </c>
      <c r="P3704" s="169">
        <f>IFERROR(MATCH(J3704,'Final List'!$L$4:$L$252,0),0)</f>
        <v>0</v>
      </c>
      <c r="Q3704" s="169">
        <f>IFERROR(MATCH(J3704,'Final List'!$N$4:$N$252,0),0)</f>
        <v>0</v>
      </c>
      <c r="R3704" s="169">
        <f>IFERROR(MATCH(J3704,'Final List'!$P$4:$P$252,0),0)</f>
        <v>0</v>
      </c>
      <c r="S3704" s="169">
        <f t="shared" si="232"/>
        <v>0</v>
      </c>
      <c r="T3704" s="169" t="s">
        <v>68</v>
      </c>
      <c r="V3704" s="169" t="str">
        <f t="shared" si="233"/>
        <v>OLIVEROS</v>
      </c>
      <c r="W3704" s="169" t="s">
        <v>2713</v>
      </c>
    </row>
    <row r="3705" spans="2:23" x14ac:dyDescent="0.25">
      <c r="B3705" s="169" t="s">
        <v>12320</v>
      </c>
      <c r="C3705" s="169" t="s">
        <v>45</v>
      </c>
      <c r="D3705" s="169" t="s">
        <v>132</v>
      </c>
      <c r="E3705" s="169" t="s">
        <v>211</v>
      </c>
      <c r="F3705" s="245" t="str">
        <f t="shared" si="231"/>
        <v>StpS 77</v>
      </c>
      <c r="G3705" s="169" t="s">
        <v>7984</v>
      </c>
      <c r="I3705" s="169" t="str">
        <f t="shared" ref="I3705:I3746" si="235">CONCATENATE(B3705,"_",C3705,"_",D3705,"_",E3705)</f>
        <v>L425_DPVE_033E_STOPE PREP</v>
      </c>
      <c r="J3705" s="169" t="s">
        <v>14250</v>
      </c>
      <c r="K3705" s="169">
        <f>IFERROR(MATCH(J3705,'Final List'!$B$4:$B$252,0),0)</f>
        <v>0</v>
      </c>
      <c r="L3705" s="169">
        <f>IFERROR(MATCH(J3705,'Final List'!$D$4:$D$252,0),0)</f>
        <v>0</v>
      </c>
      <c r="M3705" s="169">
        <f>IFERROR(MATCH(J3705,'Final List'!$F$4:$F$251,0),0)</f>
        <v>0</v>
      </c>
      <c r="N3705" s="169">
        <f>IFERROR(MATCH(J3705,'Final List'!$H$4:$H$252,0),0)</f>
        <v>0</v>
      </c>
      <c r="O3705" s="169">
        <f>IFERROR(MATCH(J3705,'Final List'!$J$4:$J$252,0),0)</f>
        <v>0</v>
      </c>
      <c r="P3705" s="169">
        <f>IFERROR(MATCH(J3705,'Final List'!$L$4:$L$252,0),0)</f>
        <v>0</v>
      </c>
      <c r="Q3705" s="169">
        <f>IFERROR(MATCH(J3705,'Final List'!$N$4:$N$252,0),0)</f>
        <v>0</v>
      </c>
      <c r="R3705" s="169">
        <f>IFERROR(MATCH(J3705,'Final List'!$P$4:$P$252,0),0)</f>
        <v>0</v>
      </c>
      <c r="S3705" s="169">
        <f t="shared" si="232"/>
        <v>0</v>
      </c>
      <c r="T3705" s="169" t="s">
        <v>68</v>
      </c>
      <c r="V3705" s="169" t="str">
        <f t="shared" si="233"/>
        <v>OLIVEROS</v>
      </c>
      <c r="W3705" s="169" t="s">
        <v>2712</v>
      </c>
    </row>
    <row r="3706" spans="2:23" x14ac:dyDescent="0.25">
      <c r="B3706" s="169" t="s">
        <v>12320</v>
      </c>
      <c r="C3706" s="169" t="s">
        <v>43</v>
      </c>
      <c r="D3706" s="169" t="s">
        <v>595</v>
      </c>
      <c r="E3706" s="169" t="s">
        <v>211</v>
      </c>
      <c r="F3706" s="245" t="str">
        <f t="shared" si="231"/>
        <v>StpS 77</v>
      </c>
      <c r="G3706" s="169" t="s">
        <v>4155</v>
      </c>
      <c r="I3706" s="169" t="str">
        <f t="shared" si="235"/>
        <v>L425_GHVSPLIT_072E_STOPE PREP</v>
      </c>
      <c r="J3706" s="169" t="s">
        <v>14251</v>
      </c>
      <c r="K3706" s="169">
        <f>IFERROR(MATCH(J3706,'Final List'!$B$4:$B$252,0),0)</f>
        <v>0</v>
      </c>
      <c r="L3706" s="169">
        <f>IFERROR(MATCH(J3706,'Final List'!$D$4:$D$252,0),0)</f>
        <v>0</v>
      </c>
      <c r="M3706" s="169">
        <f>IFERROR(MATCH(J3706,'Final List'!$F$4:$F$251,0),0)</f>
        <v>0</v>
      </c>
      <c r="N3706" s="169">
        <f>IFERROR(MATCH(J3706,'Final List'!$H$4:$H$252,0),0)</f>
        <v>0</v>
      </c>
      <c r="O3706" s="169">
        <f>IFERROR(MATCH(J3706,'Final List'!$J$4:$J$252,0),0)</f>
        <v>0</v>
      </c>
      <c r="P3706" s="169">
        <f>IFERROR(MATCH(J3706,'Final List'!$L$4:$L$252,0),0)</f>
        <v>0</v>
      </c>
      <c r="Q3706" s="169">
        <f>IFERROR(MATCH(J3706,'Final List'!$N$4:$N$252,0),0)</f>
        <v>0</v>
      </c>
      <c r="R3706" s="169">
        <f>IFERROR(MATCH(J3706,'Final List'!$P$4:$P$252,0),0)</f>
        <v>0</v>
      </c>
      <c r="S3706" s="169">
        <f t="shared" si="232"/>
        <v>0</v>
      </c>
      <c r="T3706" s="169" t="s">
        <v>68</v>
      </c>
      <c r="V3706" s="169" t="str">
        <f t="shared" si="233"/>
        <v>BAÑEZ</v>
      </c>
      <c r="W3706" s="169" t="s">
        <v>2712</v>
      </c>
    </row>
    <row r="3707" spans="2:23" x14ac:dyDescent="0.25">
      <c r="B3707" s="169" t="s">
        <v>12320</v>
      </c>
      <c r="C3707" s="169" t="s">
        <v>45</v>
      </c>
      <c r="D3707" s="169" t="s">
        <v>5742</v>
      </c>
      <c r="E3707" s="169" t="s">
        <v>19</v>
      </c>
      <c r="F3707" s="245" t="str">
        <f t="shared" si="231"/>
        <v>DVR 72</v>
      </c>
      <c r="G3707" s="169" t="s">
        <v>5705</v>
      </c>
      <c r="I3707" s="169" t="str">
        <f t="shared" si="235"/>
        <v>L425_DPVE_040E_RAISE</v>
      </c>
      <c r="J3707" s="169" t="s">
        <v>14253</v>
      </c>
      <c r="K3707" s="169">
        <f>IFERROR(MATCH(J3707,'Final List'!$B$4:$B$252,0),0)</f>
        <v>0</v>
      </c>
      <c r="L3707" s="169">
        <f>IFERROR(MATCH(J3707,'Final List'!$D$4:$D$252,0),0)</f>
        <v>0</v>
      </c>
      <c r="M3707" s="169">
        <f>IFERROR(MATCH(J3707,'Final List'!$F$4:$F$251,0),0)</f>
        <v>0</v>
      </c>
      <c r="N3707" s="169">
        <f>IFERROR(MATCH(J3707,'Final List'!$H$4:$H$252,0),0)</f>
        <v>0</v>
      </c>
      <c r="O3707" s="169">
        <f>IFERROR(MATCH(J3707,'Final List'!$J$4:$J$252,0),0)</f>
        <v>0</v>
      </c>
      <c r="P3707" s="169">
        <f>IFERROR(MATCH(J3707,'Final List'!$L$4:$L$252,0),0)</f>
        <v>0</v>
      </c>
      <c r="Q3707" s="169">
        <f>IFERROR(MATCH(J3707,'Final List'!$N$4:$N$252,0),0)</f>
        <v>0</v>
      </c>
      <c r="R3707" s="169">
        <f>IFERROR(MATCH(J3707,'Final List'!$P$4:$P$252,0),0)</f>
        <v>0</v>
      </c>
      <c r="S3707" s="169">
        <f t="shared" si="232"/>
        <v>0</v>
      </c>
      <c r="V3707" s="169" t="str">
        <f t="shared" si="233"/>
        <v>OLIVEROS 4</v>
      </c>
      <c r="W3707" s="169" t="s">
        <v>2715</v>
      </c>
    </row>
    <row r="3708" spans="2:23" x14ac:dyDescent="0.25">
      <c r="B3708" s="169" t="s">
        <v>1166</v>
      </c>
      <c r="C3708" s="169" t="s">
        <v>42</v>
      </c>
      <c r="D3708" s="169" t="s">
        <v>103</v>
      </c>
      <c r="E3708" s="169" t="s">
        <v>19</v>
      </c>
      <c r="F3708" s="245" t="str">
        <f t="shared" si="231"/>
        <v>DVR 72</v>
      </c>
      <c r="G3708" s="169" t="s">
        <v>14265</v>
      </c>
      <c r="I3708" s="169" t="str">
        <f t="shared" si="235"/>
        <v>L11_JV_005E_RAISE</v>
      </c>
      <c r="J3708" s="169" t="s">
        <v>14266</v>
      </c>
      <c r="K3708" s="169">
        <f>IFERROR(MATCH(J3708,'Final List'!$B$4:$B$252,0),0)</f>
        <v>0</v>
      </c>
      <c r="L3708" s="169">
        <f>IFERROR(MATCH(J3708,'Final List'!$D$4:$D$252,0),0)</f>
        <v>0</v>
      </c>
      <c r="M3708" s="169">
        <f>IFERROR(MATCH(J3708,'Final List'!$F$4:$F$251,0),0)</f>
        <v>0</v>
      </c>
      <c r="N3708" s="169">
        <f>IFERROR(MATCH(J3708,'Final List'!$H$4:$H$252,0),0)</f>
        <v>0</v>
      </c>
      <c r="O3708" s="169">
        <f>IFERROR(MATCH(J3708,'Final List'!$J$4:$J$252,0),0)</f>
        <v>0</v>
      </c>
      <c r="P3708" s="169">
        <f>IFERROR(MATCH(J3708,'Final List'!$L$4:$L$252,0),0)</f>
        <v>0</v>
      </c>
      <c r="Q3708" s="169">
        <f>IFERROR(MATCH(J3708,'Final List'!$N$4:$N$252,0),0)</f>
        <v>0</v>
      </c>
      <c r="R3708" s="169">
        <f>IFERROR(MATCH(J3708,'Final List'!$P$4:$P$252,0),0)</f>
        <v>0</v>
      </c>
      <c r="S3708" s="169">
        <f t="shared" si="232"/>
        <v>0</v>
      </c>
      <c r="V3708" s="169" t="str">
        <f t="shared" si="233"/>
        <v>NITRO BB1</v>
      </c>
      <c r="W3708" s="169" t="s">
        <v>2715</v>
      </c>
    </row>
    <row r="3709" spans="2:23" x14ac:dyDescent="0.25">
      <c r="B3709" s="169" t="s">
        <v>1166</v>
      </c>
      <c r="C3709" s="169" t="s">
        <v>45</v>
      </c>
      <c r="D3709" s="169" t="s">
        <v>9640</v>
      </c>
      <c r="E3709" s="169" t="s">
        <v>61</v>
      </c>
      <c r="F3709" s="245" t="str">
        <f t="shared" si="231"/>
        <v>Dhoz 71</v>
      </c>
      <c r="G3709" s="169" t="s">
        <v>14268</v>
      </c>
      <c r="I3709" s="169" t="str">
        <f t="shared" si="235"/>
        <v>L11_DPVE_094E_DW</v>
      </c>
      <c r="J3709" s="169" t="s">
        <v>14267</v>
      </c>
      <c r="K3709" s="169">
        <f>IFERROR(MATCH(J3709,'Final List'!$B$4:$B$252,0),0)</f>
        <v>0</v>
      </c>
      <c r="L3709" s="169">
        <f>IFERROR(MATCH(J3709,'Final List'!$D$4:$D$252,0),0)</f>
        <v>0</v>
      </c>
      <c r="M3709" s="169">
        <f>IFERROR(MATCH(J3709,'Final List'!$F$4:$F$251,0),0)</f>
        <v>0</v>
      </c>
      <c r="N3709" s="169">
        <f>IFERROR(MATCH(J3709,'Final List'!$H$4:$H$252,0),0)</f>
        <v>0</v>
      </c>
      <c r="O3709" s="169">
        <f>IFERROR(MATCH(J3709,'Final List'!$J$4:$J$252,0),0)</f>
        <v>0</v>
      </c>
      <c r="P3709" s="169">
        <f>IFERROR(MATCH(J3709,'Final List'!$L$4:$L$252,0),0)</f>
        <v>0</v>
      </c>
      <c r="Q3709" s="169">
        <f>IFERROR(MATCH(J3709,'Final List'!$N$4:$N$252,0),0)</f>
        <v>0</v>
      </c>
      <c r="R3709" s="169">
        <f>IFERROR(MATCH(J3709,'Final List'!$P$4:$P$252,0),0)</f>
        <v>0</v>
      </c>
      <c r="S3709" s="169">
        <f t="shared" si="232"/>
        <v>0</v>
      </c>
      <c r="V3709" s="169" t="str">
        <f t="shared" si="233"/>
        <v>NITRO BB2</v>
      </c>
      <c r="W3709" s="169" t="s">
        <v>8896</v>
      </c>
    </row>
    <row r="3710" spans="2:23" x14ac:dyDescent="0.25">
      <c r="B3710" s="169" t="s">
        <v>12320</v>
      </c>
      <c r="C3710" s="169" t="s">
        <v>38</v>
      </c>
      <c r="D3710" s="169" t="s">
        <v>870</v>
      </c>
      <c r="E3710" s="169" t="s">
        <v>19</v>
      </c>
      <c r="F3710" s="245" t="str">
        <f t="shared" si="231"/>
        <v>DVR 72</v>
      </c>
      <c r="G3710" s="169" t="s">
        <v>13888</v>
      </c>
      <c r="I3710" s="169" t="str">
        <f t="shared" si="235"/>
        <v>L425_GHV_073E_RAISE</v>
      </c>
      <c r="J3710" s="169" t="s">
        <v>14271</v>
      </c>
      <c r="K3710" s="169">
        <f>IFERROR(MATCH(J3710,'Final List'!$B$4:$B$252,0),0)</f>
        <v>0</v>
      </c>
      <c r="L3710" s="169">
        <f>IFERROR(MATCH(J3710,'Final List'!$D$4:$D$252,0),0)</f>
        <v>0</v>
      </c>
      <c r="M3710" s="169">
        <f>IFERROR(MATCH(J3710,'Final List'!$F$4:$F$251,0),0)</f>
        <v>0</v>
      </c>
      <c r="N3710" s="169">
        <f>IFERROR(MATCH(J3710,'Final List'!$H$4:$H$252,0),0)</f>
        <v>0</v>
      </c>
      <c r="O3710" s="169">
        <f>IFERROR(MATCH(J3710,'Final List'!$J$4:$J$252,0),0)</f>
        <v>0</v>
      </c>
      <c r="P3710" s="169">
        <f>IFERROR(MATCH(J3710,'Final List'!$L$4:$L$252,0),0)</f>
        <v>0</v>
      </c>
      <c r="Q3710" s="169">
        <f>IFERROR(MATCH(J3710,'Final List'!$N$4:$N$252,0),0)</f>
        <v>0</v>
      </c>
      <c r="R3710" s="169">
        <f>IFERROR(MATCH(J3710,'Final List'!$P$4:$P$252,0),0)</f>
        <v>0</v>
      </c>
      <c r="S3710" s="169">
        <f t="shared" si="232"/>
        <v>0</v>
      </c>
      <c r="V3710" s="169" t="str">
        <f t="shared" si="233"/>
        <v>DUHIG R. </v>
      </c>
      <c r="W3710" s="169" t="s">
        <v>2715</v>
      </c>
    </row>
    <row r="3711" spans="2:23" x14ac:dyDescent="0.25">
      <c r="B3711" s="169" t="s">
        <v>1167</v>
      </c>
      <c r="C3711" s="169" t="s">
        <v>43</v>
      </c>
      <c r="D3711" s="169" t="s">
        <v>205</v>
      </c>
      <c r="E3711" s="169" t="s">
        <v>19</v>
      </c>
      <c r="F3711" s="245" t="str">
        <f t="shared" si="231"/>
        <v>DVR 72</v>
      </c>
      <c r="G3711" s="169" t="s">
        <v>337</v>
      </c>
      <c r="I3711" s="169" t="str">
        <f t="shared" si="235"/>
        <v>L12_GHVSPLIT_066E_RAISE</v>
      </c>
      <c r="J3711" s="169" t="s">
        <v>14276</v>
      </c>
      <c r="K3711" s="169">
        <f>IFERROR(MATCH(J3711,'Final List'!$B$4:$B$252,0),0)</f>
        <v>0</v>
      </c>
      <c r="L3711" s="169">
        <f>IFERROR(MATCH(J3711,'Final List'!$D$4:$D$252,0),0)</f>
        <v>0</v>
      </c>
      <c r="M3711" s="169">
        <f>IFERROR(MATCH(J3711,'Final List'!$F$4:$F$251,0),0)</f>
        <v>0</v>
      </c>
      <c r="N3711" s="169">
        <f>IFERROR(MATCH(J3711,'Final List'!$H$4:$H$252,0),0)</f>
        <v>0</v>
      </c>
      <c r="O3711" s="169">
        <f>IFERROR(MATCH(J3711,'Final List'!$J$4:$J$252,0),0)</f>
        <v>0</v>
      </c>
      <c r="P3711" s="169">
        <f>IFERROR(MATCH(J3711,'Final List'!$L$4:$L$252,0),0)</f>
        <v>0</v>
      </c>
      <c r="Q3711" s="169">
        <f>IFERROR(MATCH(J3711,'Final List'!$N$4:$N$252,0),0)</f>
        <v>0</v>
      </c>
      <c r="R3711" s="169">
        <f>IFERROR(MATCH(J3711,'Final List'!$P$4:$P$252,0),0)</f>
        <v>0</v>
      </c>
      <c r="S3711" s="169">
        <f t="shared" si="232"/>
        <v>0</v>
      </c>
      <c r="V3711" s="169" t="str">
        <f t="shared" si="233"/>
        <v>BALANGHIG 2</v>
      </c>
      <c r="W3711" s="169" t="s">
        <v>2715</v>
      </c>
    </row>
    <row r="3712" spans="2:23" x14ac:dyDescent="0.25">
      <c r="B3712" s="169" t="s">
        <v>1167</v>
      </c>
      <c r="C3712" s="169" t="s">
        <v>39</v>
      </c>
      <c r="D3712" s="169" t="s">
        <v>289</v>
      </c>
      <c r="E3712" s="169" t="s">
        <v>211</v>
      </c>
      <c r="F3712" s="245" t="str">
        <f t="shared" si="231"/>
        <v>StpL 78</v>
      </c>
      <c r="G3712" s="169" t="s">
        <v>6930</v>
      </c>
      <c r="I3712" s="169" t="str">
        <f t="shared" si="235"/>
        <v>L12_JVHW_059E_STOPE PREP</v>
      </c>
      <c r="J3712" s="169" t="s">
        <v>14278</v>
      </c>
      <c r="K3712" s="169">
        <f>IFERROR(MATCH(J3712,'Final List'!$B$4:$B$252,0),0)</f>
        <v>0</v>
      </c>
      <c r="L3712" s="169">
        <f>IFERROR(MATCH(J3712,'Final List'!$D$4:$D$252,0),0)</f>
        <v>0</v>
      </c>
      <c r="M3712" s="169">
        <f>IFERROR(MATCH(J3712,'Final List'!$F$4:$F$251,0),0)</f>
        <v>0</v>
      </c>
      <c r="N3712" s="169">
        <f>IFERROR(MATCH(J3712,'Final List'!$H$4:$H$252,0),0)</f>
        <v>0</v>
      </c>
      <c r="O3712" s="169">
        <f>IFERROR(MATCH(J3712,'Final List'!$J$4:$J$252,0),0)</f>
        <v>0</v>
      </c>
      <c r="P3712" s="169">
        <f>IFERROR(MATCH(J3712,'Final List'!$L$4:$L$252,0),0)</f>
        <v>0</v>
      </c>
      <c r="Q3712" s="169">
        <f>IFERROR(MATCH(J3712,'Final List'!$N$4:$N$252,0),0)</f>
        <v>0</v>
      </c>
      <c r="R3712" s="169">
        <f>IFERROR(MATCH(J3712,'Final List'!$P$4:$P$252,0),0)</f>
        <v>0</v>
      </c>
      <c r="S3712" s="169">
        <f t="shared" si="232"/>
        <v>0</v>
      </c>
      <c r="T3712" s="169" t="s">
        <v>48</v>
      </c>
      <c r="V3712" s="169" t="str">
        <f t="shared" si="233"/>
        <v>DUHIG, P1</v>
      </c>
      <c r="W3712" s="169" t="s">
        <v>2712</v>
      </c>
    </row>
    <row r="3713" spans="2:23" x14ac:dyDescent="0.25">
      <c r="B3713" s="169" t="s">
        <v>1167</v>
      </c>
      <c r="C3713" s="169" t="s">
        <v>55</v>
      </c>
      <c r="D3713" s="169" t="s">
        <v>121</v>
      </c>
      <c r="E3713" s="169" t="s">
        <v>211</v>
      </c>
      <c r="F3713" s="245" t="str">
        <f t="shared" si="231"/>
        <v>StpS 77</v>
      </c>
      <c r="G3713" s="169" t="s">
        <v>14132</v>
      </c>
      <c r="I3713" s="169" t="str">
        <f t="shared" si="235"/>
        <v>L12_JVFW_022E_STOPE PREP</v>
      </c>
      <c r="J3713" s="169" t="s">
        <v>14357</v>
      </c>
      <c r="K3713" s="169">
        <f>IFERROR(MATCH(J3713,'Final List'!$B$4:$B$252,0),0)</f>
        <v>0</v>
      </c>
      <c r="L3713" s="169">
        <f>IFERROR(MATCH(J3713,'Final List'!$D$4:$D$252,0),0)</f>
        <v>0</v>
      </c>
      <c r="M3713" s="169">
        <f>IFERROR(MATCH(J3713,'Final List'!$F$4:$F$251,0),0)</f>
        <v>0</v>
      </c>
      <c r="N3713" s="169">
        <f>IFERROR(MATCH(J3713,'Final List'!$H$4:$H$252,0),0)</f>
        <v>0</v>
      </c>
      <c r="O3713" s="169">
        <f>IFERROR(MATCH(J3713,'Final List'!$J$4:$J$252,0),0)</f>
        <v>0</v>
      </c>
      <c r="P3713" s="169">
        <f>IFERROR(MATCH(J3713,'Final List'!$L$4:$L$252,0),0)</f>
        <v>0</v>
      </c>
      <c r="Q3713" s="169">
        <f>IFERROR(MATCH(J3713,'Final List'!$N$4:$N$252,0),0)</f>
        <v>0</v>
      </c>
      <c r="R3713" s="169">
        <f>IFERROR(MATCH(J3713,'Final List'!$P$4:$P$252,0),0)</f>
        <v>0</v>
      </c>
      <c r="S3713" s="169">
        <f t="shared" si="232"/>
        <v>0</v>
      </c>
      <c r="T3713" s="169" t="s">
        <v>68</v>
      </c>
      <c r="V3713" s="169" t="str">
        <f t="shared" si="233"/>
        <v>LANTACA</v>
      </c>
      <c r="W3713" s="169" t="s">
        <v>2712</v>
      </c>
    </row>
    <row r="3714" spans="2:23" x14ac:dyDescent="0.25">
      <c r="B3714" s="169" t="s">
        <v>1167</v>
      </c>
      <c r="C3714" s="169" t="s">
        <v>43</v>
      </c>
      <c r="D3714" s="169" t="s">
        <v>142</v>
      </c>
      <c r="E3714" s="169" t="s">
        <v>61</v>
      </c>
      <c r="F3714" s="245" t="str">
        <f t="shared" si="231"/>
        <v>Dhoz 71</v>
      </c>
      <c r="G3714" s="169" t="s">
        <v>14280</v>
      </c>
      <c r="I3714" s="169" t="str">
        <f t="shared" si="235"/>
        <v>L12_GHVSPLIT_038E_DW</v>
      </c>
      <c r="J3714" s="169" t="s">
        <v>14279</v>
      </c>
      <c r="K3714" s="169">
        <f>IFERROR(MATCH(J3714,'Final List'!$B$4:$B$252,0),0)</f>
        <v>0</v>
      </c>
      <c r="L3714" s="169">
        <f>IFERROR(MATCH(J3714,'Final List'!$D$4:$D$252,0),0)</f>
        <v>0</v>
      </c>
      <c r="M3714" s="169">
        <f>IFERROR(MATCH(J3714,'Final List'!$F$4:$F$251,0),0)</f>
        <v>0</v>
      </c>
      <c r="N3714" s="169">
        <f>IFERROR(MATCH(J3714,'Final List'!$H$4:$H$252,0),0)</f>
        <v>0</v>
      </c>
      <c r="O3714" s="169">
        <f>IFERROR(MATCH(J3714,'Final List'!$J$4:$J$252,0),0)</f>
        <v>0</v>
      </c>
      <c r="P3714" s="169">
        <f>IFERROR(MATCH(J3714,'Final List'!$L$4:$L$252,0),0)</f>
        <v>0</v>
      </c>
      <c r="Q3714" s="169">
        <f>IFERROR(MATCH(J3714,'Final List'!$N$4:$N$252,0),0)</f>
        <v>0</v>
      </c>
      <c r="R3714" s="169">
        <f>IFERROR(MATCH(J3714,'Final List'!$P$4:$P$252,0),0)</f>
        <v>0</v>
      </c>
      <c r="S3714" s="169">
        <f t="shared" si="232"/>
        <v>0</v>
      </c>
      <c r="V3714" s="169" t="str">
        <f t="shared" si="233"/>
        <v>DURANGO </v>
      </c>
      <c r="W3714" s="169" t="s">
        <v>8896</v>
      </c>
    </row>
    <row r="3715" spans="2:23" x14ac:dyDescent="0.25">
      <c r="B3715" s="169" t="s">
        <v>1167</v>
      </c>
      <c r="C3715" s="169" t="s">
        <v>43</v>
      </c>
      <c r="D3715" s="169" t="s">
        <v>176</v>
      </c>
      <c r="E3715" s="169" t="s">
        <v>61</v>
      </c>
      <c r="F3715" s="245" t="str">
        <f t="shared" ref="F3715:F3778" si="236">IF(OR(E3715="XCN",E3715="DE",E3715="DW",E3715="DN",E3715="XCS",E3715="XCE",E3715="XCW",E3715="SUMP",E3715="BYPASS",E3715="CHAMBER",E3715="DRAIN HOLE",E3715="DRILLING CHAMBER",E3715="DE_ISL",E3715="DW_ISL",E3715="REHAB"),"Dhoz 71",IF(OR(E3715="RAISE",E3715="RAISE_ISL"),"DVR 72",IF(E3715="ALIMAK","DVA 73",IF(E3715="WINZE","DVW 74",IF(E3715="SHAFT","DVS 75",IF(AND(E3715="WINZE STOPE",T3715="S"),"RobC 80",IF(AND(E3715="STOPE",T3715="S"),"StpS 77",IF(AND(E3715="WINZE STOPE",T3715="L"),"RobC 80",IF(AND(E3715="STOPE",T3715="L"),"StpL 78",IF(AND(E3715="WINZE STOPE PREP",T3715="S"),"RobC 80",IF(AND(E3715="STOPE PREP",T3715="S"),"StpS 77",IF(AND(E3715="WINZE STOPE PREP",T3715="L"),"RobC 80",IF(AND(E3715="STOPE PREP",T3715="L"),"StpL 78",IF(AND(E3715="ROBBING",T3715="L"),"RobC 80",IF(AND(E3715="ROBBING",T3715="S"),"RobS 79",0)))))))))))))))</f>
        <v>Dhoz 71</v>
      </c>
      <c r="G3715" s="169" t="s">
        <v>13633</v>
      </c>
      <c r="H3715" s="169" t="s">
        <v>14130</v>
      </c>
      <c r="I3715" s="169" t="str">
        <f t="shared" si="235"/>
        <v>L12_GHVSPLIT_057E_DW</v>
      </c>
      <c r="J3715" s="169" t="s">
        <v>14388</v>
      </c>
      <c r="K3715" s="169">
        <f>IFERROR(MATCH(J3715,'Final List'!$B$4:$B$252,0),0)</f>
        <v>0</v>
      </c>
      <c r="L3715" s="169">
        <f>IFERROR(MATCH(J3715,'Final List'!$D$4:$D$252,0),0)</f>
        <v>0</v>
      </c>
      <c r="M3715" s="169">
        <f>IFERROR(MATCH(J3715,'Final List'!$F$4:$F$251,0),0)</f>
        <v>0</v>
      </c>
      <c r="N3715" s="169">
        <f>IFERROR(MATCH(J3715,'Final List'!$H$4:$H$252,0),0)</f>
        <v>0</v>
      </c>
      <c r="O3715" s="169">
        <f>IFERROR(MATCH(J3715,'Final List'!$J$4:$J$252,0),0)</f>
        <v>0</v>
      </c>
      <c r="P3715" s="169">
        <f>IFERROR(MATCH(J3715,'Final List'!$L$4:$L$252,0),0)</f>
        <v>0</v>
      </c>
      <c r="Q3715" s="169">
        <f>IFERROR(MATCH(J3715,'Final List'!$N$4:$N$252,0),0)</f>
        <v>0</v>
      </c>
      <c r="R3715" s="169">
        <f>IFERROR(MATCH(J3715,'Final List'!$P$4:$P$252,0),0)</f>
        <v>0</v>
      </c>
      <c r="S3715" s="169">
        <f t="shared" ref="S3715:S3778" si="237">SUM(K3715:R3715)</f>
        <v>0</v>
      </c>
      <c r="V3715" s="169" t="str">
        <f t="shared" si="233"/>
        <v>DURANGO</v>
      </c>
      <c r="W3715" s="169" t="s">
        <v>8896</v>
      </c>
    </row>
    <row r="3716" spans="2:23" x14ac:dyDescent="0.25">
      <c r="B3716" s="169" t="s">
        <v>1167</v>
      </c>
      <c r="C3716" s="169" t="s">
        <v>45</v>
      </c>
      <c r="D3716" s="169" t="s">
        <v>179</v>
      </c>
      <c r="E3716" s="169" t="s">
        <v>19</v>
      </c>
      <c r="F3716" s="245" t="str">
        <f t="shared" si="236"/>
        <v>DVR 72</v>
      </c>
      <c r="G3716" s="169" t="s">
        <v>75</v>
      </c>
      <c r="I3716" s="169" t="str">
        <f t="shared" si="235"/>
        <v>L12_DPVE_050E_RAISE</v>
      </c>
      <c r="J3716" s="169" t="s">
        <v>14281</v>
      </c>
      <c r="K3716" s="169">
        <f>IFERROR(MATCH(J3716,'Final List'!$B$4:$B$252,0),0)</f>
        <v>0</v>
      </c>
      <c r="L3716" s="169">
        <f>IFERROR(MATCH(J3716,'Final List'!$D$4:$D$252,0),0)</f>
        <v>0</v>
      </c>
      <c r="M3716" s="169">
        <f>IFERROR(MATCH(J3716,'Final List'!$F$4:$F$251,0),0)</f>
        <v>0</v>
      </c>
      <c r="N3716" s="169">
        <f>IFERROR(MATCH(J3716,'Final List'!$H$4:$H$252,0),0)</f>
        <v>0</v>
      </c>
      <c r="O3716" s="169">
        <f>IFERROR(MATCH(J3716,'Final List'!$J$4:$J$252,0),0)</f>
        <v>0</v>
      </c>
      <c r="P3716" s="169">
        <f>IFERROR(MATCH(J3716,'Final List'!$L$4:$L$252,0),0)</f>
        <v>0</v>
      </c>
      <c r="Q3716" s="169">
        <f>IFERROR(MATCH(J3716,'Final List'!$N$4:$N$252,0),0)</f>
        <v>0</v>
      </c>
      <c r="R3716" s="169">
        <f>IFERROR(MATCH(J3716,'Final List'!$P$4:$P$252,0),0)</f>
        <v>0</v>
      </c>
      <c r="S3716" s="169">
        <f t="shared" si="237"/>
        <v>0</v>
      </c>
      <c r="V3716" s="169" t="str">
        <f t="shared" si="233"/>
        <v>BABOR</v>
      </c>
      <c r="W3716" s="169" t="s">
        <v>2715</v>
      </c>
    </row>
    <row r="3717" spans="2:23" x14ac:dyDescent="0.25">
      <c r="B3717" s="169" t="s">
        <v>95</v>
      </c>
      <c r="C3717" s="169" t="s">
        <v>45</v>
      </c>
      <c r="D3717" s="169" t="s">
        <v>114</v>
      </c>
      <c r="E3717" s="169" t="s">
        <v>19</v>
      </c>
      <c r="F3717" s="245" t="str">
        <f t="shared" si="236"/>
        <v>DVR 72</v>
      </c>
      <c r="G3717" s="169" t="s">
        <v>14137</v>
      </c>
      <c r="I3717" s="169" t="str">
        <f t="shared" si="235"/>
        <v>L08_DPVE_025W_RAISE</v>
      </c>
      <c r="J3717" s="169" t="s">
        <v>14282</v>
      </c>
      <c r="K3717" s="169">
        <f>IFERROR(MATCH(J3717,'Final List'!$B$4:$B$252,0),0)</f>
        <v>0</v>
      </c>
      <c r="L3717" s="169">
        <f>IFERROR(MATCH(J3717,'Final List'!$D$4:$D$252,0),0)</f>
        <v>0</v>
      </c>
      <c r="M3717" s="169">
        <f>IFERROR(MATCH(J3717,'Final List'!$F$4:$F$251,0),0)</f>
        <v>0</v>
      </c>
      <c r="N3717" s="169">
        <f>IFERROR(MATCH(J3717,'Final List'!$H$4:$H$252,0),0)</f>
        <v>0</v>
      </c>
      <c r="O3717" s="169">
        <f>IFERROR(MATCH(J3717,'Final List'!$J$4:$J$252,0),0)</f>
        <v>0</v>
      </c>
      <c r="P3717" s="169">
        <f>IFERROR(MATCH(J3717,'Final List'!$L$4:$L$252,0),0)</f>
        <v>0</v>
      </c>
      <c r="Q3717" s="169">
        <f>IFERROR(MATCH(J3717,'Final List'!$N$4:$N$252,0),0)</f>
        <v>0</v>
      </c>
      <c r="R3717" s="169">
        <f>IFERROR(MATCH(J3717,'Final List'!$P$4:$P$252,0),0)</f>
        <v>0</v>
      </c>
      <c r="S3717" s="169">
        <f t="shared" si="237"/>
        <v>0</v>
      </c>
      <c r="V3717" s="169" t="str">
        <f t="shared" si="233"/>
        <v>CANTAGO 1</v>
      </c>
      <c r="W3717" s="169" t="s">
        <v>2715</v>
      </c>
    </row>
    <row r="3718" spans="2:23" x14ac:dyDescent="0.25">
      <c r="B3718" s="169" t="s">
        <v>95</v>
      </c>
      <c r="C3718" s="169" t="s">
        <v>42</v>
      </c>
      <c r="D3718" s="169" t="s">
        <v>160</v>
      </c>
      <c r="E3718" s="169" t="s">
        <v>19</v>
      </c>
      <c r="F3718" s="245" t="str">
        <f t="shared" si="236"/>
        <v>DVR 72</v>
      </c>
      <c r="G3718" s="169" t="s">
        <v>12303</v>
      </c>
      <c r="I3718" s="169" t="str">
        <f t="shared" si="235"/>
        <v>L08_JV_042E_RAISE</v>
      </c>
      <c r="J3718" s="169" t="s">
        <v>14283</v>
      </c>
      <c r="K3718" s="169">
        <f>IFERROR(MATCH(J3718,'Final List'!$B$4:$B$252,0),0)</f>
        <v>0</v>
      </c>
      <c r="L3718" s="169">
        <f>IFERROR(MATCH(J3718,'Final List'!$D$4:$D$252,0),0)</f>
        <v>0</v>
      </c>
      <c r="M3718" s="169">
        <f>IFERROR(MATCH(J3718,'Final List'!$F$4:$F$251,0),0)</f>
        <v>0</v>
      </c>
      <c r="N3718" s="169">
        <f>IFERROR(MATCH(J3718,'Final List'!$H$4:$H$252,0),0)</f>
        <v>0</v>
      </c>
      <c r="O3718" s="169">
        <f>IFERROR(MATCH(J3718,'Final List'!$J$4:$J$252,0),0)</f>
        <v>0</v>
      </c>
      <c r="P3718" s="169">
        <f>IFERROR(MATCH(J3718,'Final List'!$L$4:$L$252,0),0)</f>
        <v>0</v>
      </c>
      <c r="Q3718" s="169">
        <f>IFERROR(MATCH(J3718,'Final List'!$N$4:$N$252,0),0)</f>
        <v>0</v>
      </c>
      <c r="R3718" s="169">
        <f>IFERROR(MATCH(J3718,'Final List'!$P$4:$P$252,0),0)</f>
        <v>0</v>
      </c>
      <c r="S3718" s="169">
        <f t="shared" si="237"/>
        <v>0</v>
      </c>
      <c r="V3718" s="169" t="str">
        <f t="shared" si="233"/>
        <v>CAPUYAN 3</v>
      </c>
      <c r="W3718" s="169" t="s">
        <v>2715</v>
      </c>
    </row>
    <row r="3719" spans="2:23" x14ac:dyDescent="0.25">
      <c r="B3719" s="169" t="s">
        <v>95</v>
      </c>
      <c r="C3719" s="169" t="s">
        <v>45</v>
      </c>
      <c r="D3719" s="169" t="s">
        <v>148</v>
      </c>
      <c r="E3719" s="169" t="s">
        <v>6154</v>
      </c>
      <c r="F3719" s="245" t="str">
        <f t="shared" si="236"/>
        <v>Dhoz 71</v>
      </c>
      <c r="G3719" s="169" t="s">
        <v>14285</v>
      </c>
      <c r="I3719" s="169" t="str">
        <f t="shared" si="235"/>
        <v>L08_DPVE_039E_DW_ISL</v>
      </c>
      <c r="J3719" s="169" t="s">
        <v>14284</v>
      </c>
      <c r="K3719" s="169">
        <f>IFERROR(MATCH(J3719,'Final List'!$B$4:$B$252,0),0)</f>
        <v>0</v>
      </c>
      <c r="L3719" s="169">
        <f>IFERROR(MATCH(J3719,'Final List'!$D$4:$D$252,0),0)</f>
        <v>0</v>
      </c>
      <c r="M3719" s="169">
        <f>IFERROR(MATCH(J3719,'Final List'!$F$4:$F$251,0),0)</f>
        <v>0</v>
      </c>
      <c r="N3719" s="169">
        <f>IFERROR(MATCH(J3719,'Final List'!$H$4:$H$252,0),0)</f>
        <v>0</v>
      </c>
      <c r="O3719" s="169">
        <f>IFERROR(MATCH(J3719,'Final List'!$J$4:$J$252,0),0)</f>
        <v>0</v>
      </c>
      <c r="P3719" s="169">
        <f>IFERROR(MATCH(J3719,'Final List'!$L$4:$L$252,0),0)</f>
        <v>0</v>
      </c>
      <c r="Q3719" s="169">
        <f>IFERROR(MATCH(J3719,'Final List'!$N$4:$N$252,0),0)</f>
        <v>0</v>
      </c>
      <c r="R3719" s="169">
        <f>IFERROR(MATCH(J3719,'Final List'!$P$4:$P$252,0),0)</f>
        <v>0</v>
      </c>
      <c r="S3719" s="169">
        <f t="shared" si="237"/>
        <v>0</v>
      </c>
      <c r="V3719" s="169" t="str">
        <f t="shared" si="233"/>
        <v>CANTAGO 4</v>
      </c>
      <c r="W3719" s="169" t="s">
        <v>8895</v>
      </c>
    </row>
    <row r="3720" spans="2:23" x14ac:dyDescent="0.25">
      <c r="B3720" s="169" t="s">
        <v>1167</v>
      </c>
      <c r="C3720" s="169" t="s">
        <v>57</v>
      </c>
      <c r="D3720" s="169" t="s">
        <v>5781</v>
      </c>
      <c r="E3720" s="169" t="s">
        <v>61</v>
      </c>
      <c r="F3720" s="245" t="str">
        <f t="shared" si="236"/>
        <v>Dhoz 71</v>
      </c>
      <c r="G3720" s="169" t="s">
        <v>14131</v>
      </c>
      <c r="I3720" s="169" t="str">
        <f t="shared" si="235"/>
        <v>L12_JVSPLIT_051E_DW</v>
      </c>
      <c r="J3720" s="169" t="s">
        <v>14291</v>
      </c>
      <c r="K3720" s="169">
        <f>IFERROR(MATCH(J3720,'Final List'!$B$4:$B$252,0),0)</f>
        <v>0</v>
      </c>
      <c r="L3720" s="169">
        <f>IFERROR(MATCH(J3720,'Final List'!$D$4:$D$252,0),0)</f>
        <v>0</v>
      </c>
      <c r="M3720" s="169">
        <f>IFERROR(MATCH(J3720,'Final List'!$F$4:$F$251,0),0)</f>
        <v>0</v>
      </c>
      <c r="N3720" s="169">
        <f>IFERROR(MATCH(J3720,'Final List'!$H$4:$H$252,0),0)</f>
        <v>0</v>
      </c>
      <c r="O3720" s="169">
        <f>IFERROR(MATCH(J3720,'Final List'!$J$4:$J$252,0),0)</f>
        <v>0</v>
      </c>
      <c r="P3720" s="169">
        <f>IFERROR(MATCH(J3720,'Final List'!$L$4:$L$252,0),0)</f>
        <v>0</v>
      </c>
      <c r="Q3720" s="169">
        <f>IFERROR(MATCH(J3720,'Final List'!$N$4:$N$252,0),0)</f>
        <v>0</v>
      </c>
      <c r="R3720" s="169">
        <f>IFERROR(MATCH(J3720,'Final List'!$P$4:$P$252,0),0)</f>
        <v>0</v>
      </c>
      <c r="S3720" s="169">
        <f t="shared" si="237"/>
        <v>0</v>
      </c>
      <c r="V3720" s="169" t="str">
        <f t="shared" si="233"/>
        <v>DURANGO 2</v>
      </c>
      <c r="W3720" s="169" t="s">
        <v>8896</v>
      </c>
    </row>
    <row r="3721" spans="2:23" x14ac:dyDescent="0.25">
      <c r="B3721" s="169" t="s">
        <v>1166</v>
      </c>
      <c r="C3721" s="169" t="s">
        <v>45</v>
      </c>
      <c r="D3721" s="169" t="s">
        <v>172</v>
      </c>
      <c r="E3721" s="169" t="s">
        <v>62</v>
      </c>
      <c r="F3721" s="245" t="str">
        <f t="shared" si="236"/>
        <v>RobS 79</v>
      </c>
      <c r="G3721" s="169" t="s">
        <v>1507</v>
      </c>
      <c r="I3721" s="169" t="str">
        <f t="shared" si="235"/>
        <v>L11_DPVE_045E_ROBBING</v>
      </c>
      <c r="J3721" s="169" t="s">
        <v>14288</v>
      </c>
      <c r="K3721" s="169">
        <f>IFERROR(MATCH(J3721,'Final List'!$B$4:$B$252,0),0)</f>
        <v>0</v>
      </c>
      <c r="L3721" s="169">
        <f>IFERROR(MATCH(J3721,'Final List'!$D$4:$D$252,0),0)</f>
        <v>0</v>
      </c>
      <c r="M3721" s="169">
        <f>IFERROR(MATCH(J3721,'Final List'!$F$4:$F$251,0),0)</f>
        <v>0</v>
      </c>
      <c r="N3721" s="169">
        <f>IFERROR(MATCH(J3721,'Final List'!$H$4:$H$252,0),0)</f>
        <v>0</v>
      </c>
      <c r="O3721" s="169">
        <f>IFERROR(MATCH(J3721,'Final List'!$J$4:$J$252,0),0)</f>
        <v>0</v>
      </c>
      <c r="P3721" s="169">
        <f>IFERROR(MATCH(J3721,'Final List'!$L$4:$L$252,0),0)</f>
        <v>0</v>
      </c>
      <c r="Q3721" s="169">
        <f>IFERROR(MATCH(J3721,'Final List'!$N$4:$N$252,0),0)</f>
        <v>0</v>
      </c>
      <c r="R3721" s="169">
        <f>IFERROR(MATCH(J3721,'Final List'!$P$4:$P$252,0),0)</f>
        <v>0</v>
      </c>
      <c r="S3721" s="169">
        <f t="shared" si="237"/>
        <v>0</v>
      </c>
      <c r="T3721" s="169" t="s">
        <v>68</v>
      </c>
      <c r="V3721" s="169" t="str">
        <f t="shared" si="233"/>
        <v>FERNANDEZ 1</v>
      </c>
      <c r="W3721" s="169" t="s">
        <v>2707</v>
      </c>
    </row>
    <row r="3722" spans="2:23" x14ac:dyDescent="0.25">
      <c r="B3722" s="169" t="s">
        <v>95</v>
      </c>
      <c r="C3722" s="169" t="s">
        <v>45</v>
      </c>
      <c r="D3722" s="169" t="s">
        <v>7301</v>
      </c>
      <c r="E3722" s="169" t="s">
        <v>211</v>
      </c>
      <c r="F3722" s="245" t="str">
        <f t="shared" si="236"/>
        <v>StpL 78</v>
      </c>
      <c r="G3722" s="169" t="s">
        <v>14152</v>
      </c>
      <c r="I3722" s="169" t="str">
        <f t="shared" si="235"/>
        <v>L08_DPVE_010W_STOPE PREP</v>
      </c>
      <c r="J3722" s="169" t="s">
        <v>14295</v>
      </c>
      <c r="K3722" s="169">
        <f>IFERROR(MATCH(J3722,'Final List'!$B$4:$B$252,0),0)</f>
        <v>0</v>
      </c>
      <c r="L3722" s="169">
        <f>IFERROR(MATCH(J3722,'Final List'!$D$4:$D$252,0),0)</f>
        <v>0</v>
      </c>
      <c r="M3722" s="169">
        <f>IFERROR(MATCH(J3722,'Final List'!$F$4:$F$251,0),0)</f>
        <v>0</v>
      </c>
      <c r="N3722" s="169">
        <f>IFERROR(MATCH(J3722,'Final List'!$H$4:$H$252,0),0)</f>
        <v>0</v>
      </c>
      <c r="O3722" s="169">
        <f>IFERROR(MATCH(J3722,'Final List'!$J$4:$J$252,0),0)</f>
        <v>0</v>
      </c>
      <c r="P3722" s="169">
        <f>IFERROR(MATCH(J3722,'Final List'!$L$4:$L$252,0),0)</f>
        <v>0</v>
      </c>
      <c r="Q3722" s="169">
        <f>IFERROR(MATCH(J3722,'Final List'!$N$4:$N$252,0),0)</f>
        <v>0</v>
      </c>
      <c r="R3722" s="169">
        <f>IFERROR(MATCH(J3722,'Final List'!$P$4:$P$252,0),0)</f>
        <v>0</v>
      </c>
      <c r="S3722" s="169">
        <f t="shared" si="237"/>
        <v>0</v>
      </c>
      <c r="T3722" s="169" t="s">
        <v>48</v>
      </c>
      <c r="V3722" s="169" t="str">
        <f t="shared" si="233"/>
        <v>NITRO CF1</v>
      </c>
      <c r="W3722" s="169" t="s">
        <v>2712</v>
      </c>
    </row>
    <row r="3723" spans="2:23" x14ac:dyDescent="0.25">
      <c r="B3723" s="169" t="s">
        <v>1166</v>
      </c>
      <c r="C3723" s="169" t="s">
        <v>39</v>
      </c>
      <c r="D3723" s="169" t="s">
        <v>169</v>
      </c>
      <c r="E3723" s="169" t="s">
        <v>19</v>
      </c>
      <c r="F3723" s="245" t="str">
        <f t="shared" si="236"/>
        <v>DVR 72</v>
      </c>
      <c r="G3723" s="169" t="s">
        <v>12547</v>
      </c>
      <c r="H3723" s="169" t="s">
        <v>14316</v>
      </c>
      <c r="I3723" s="169" t="str">
        <f t="shared" si="235"/>
        <v>L11_JVHW_065E_RAISE</v>
      </c>
      <c r="J3723" s="169" t="s">
        <v>14296</v>
      </c>
      <c r="K3723" s="169">
        <f>IFERROR(MATCH(J3723,'Final List'!$B$4:$B$252,0),0)</f>
        <v>0</v>
      </c>
      <c r="L3723" s="169">
        <f>IFERROR(MATCH(J3723,'Final List'!$D$4:$D$252,0),0)</f>
        <v>0</v>
      </c>
      <c r="M3723" s="169">
        <f>IFERROR(MATCH(J3723,'Final List'!$F$4:$F$251,0),0)</f>
        <v>0</v>
      </c>
      <c r="N3723" s="169">
        <f>IFERROR(MATCH(J3723,'Final List'!$H$4:$H$252,0),0)</f>
        <v>0</v>
      </c>
      <c r="O3723" s="169">
        <f>IFERROR(MATCH(J3723,'Final List'!$J$4:$J$252,0),0)</f>
        <v>0</v>
      </c>
      <c r="P3723" s="169">
        <f>IFERROR(MATCH(J3723,'Final List'!$L$4:$L$252,0),0)</f>
        <v>0</v>
      </c>
      <c r="Q3723" s="169">
        <f>IFERROR(MATCH(J3723,'Final List'!$N$4:$N$252,0),0)</f>
        <v>0</v>
      </c>
      <c r="R3723" s="169">
        <f>IFERROR(MATCH(J3723,'Final List'!$P$4:$P$252,0),0)</f>
        <v>0</v>
      </c>
      <c r="S3723" s="169">
        <f t="shared" si="237"/>
        <v>0</v>
      </c>
      <c r="V3723" s="169" t="str">
        <f t="shared" si="233"/>
        <v>GOC-ONG 1</v>
      </c>
      <c r="W3723" s="169" t="s">
        <v>2715</v>
      </c>
    </row>
    <row r="3724" spans="2:23" x14ac:dyDescent="0.25">
      <c r="B3724" s="169" t="s">
        <v>12320</v>
      </c>
      <c r="C3724" s="169" t="s">
        <v>38</v>
      </c>
      <c r="D3724" s="169" t="s">
        <v>6114</v>
      </c>
      <c r="E3724" s="169" t="s">
        <v>211</v>
      </c>
      <c r="F3724" s="245" t="str">
        <f t="shared" si="236"/>
        <v>StpS 77</v>
      </c>
      <c r="G3724" s="169" t="s">
        <v>14300</v>
      </c>
      <c r="H3724" s="169" t="s">
        <v>15149</v>
      </c>
      <c r="I3724" s="169" t="str">
        <f t="shared" si="235"/>
        <v>L425_GHV_078E_STOPE PREP</v>
      </c>
      <c r="J3724" s="169" t="s">
        <v>14299</v>
      </c>
      <c r="K3724" s="169">
        <f>IFERROR(MATCH(J3724,'Final List'!$B$4:$B$252,0),0)</f>
        <v>0</v>
      </c>
      <c r="L3724" s="169">
        <f>IFERROR(MATCH(J3724,'Final List'!$D$4:$D$252,0),0)</f>
        <v>0</v>
      </c>
      <c r="M3724" s="169">
        <f>IFERROR(MATCH(J3724,'Final List'!$F$4:$F$251,0),0)</f>
        <v>0</v>
      </c>
      <c r="N3724" s="169">
        <f>IFERROR(MATCH(J3724,'Final List'!$H$4:$H$252,0),0)</f>
        <v>0</v>
      </c>
      <c r="O3724" s="169">
        <f>IFERROR(MATCH(J3724,'Final List'!$J$4:$J$252,0),0)</f>
        <v>0</v>
      </c>
      <c r="P3724" s="169">
        <f>IFERROR(MATCH(J3724,'Final List'!$L$4:$L$252,0),0)</f>
        <v>0</v>
      </c>
      <c r="Q3724" s="169">
        <f>IFERROR(MATCH(J3724,'Final List'!$N$4:$N$252,0),0)</f>
        <v>0</v>
      </c>
      <c r="R3724" s="169">
        <f>IFERROR(MATCH(J3724,'Final List'!$P$4:$P$252,0),0)</f>
        <v>0</v>
      </c>
      <c r="S3724" s="169">
        <f t="shared" si="237"/>
        <v>0</v>
      </c>
      <c r="T3724" s="169" t="s">
        <v>68</v>
      </c>
      <c r="V3724" s="169" t="str">
        <f t="shared" si="233"/>
        <v>NITRO BV</v>
      </c>
      <c r="W3724" s="169" t="s">
        <v>2713</v>
      </c>
    </row>
    <row r="3725" spans="2:23" x14ac:dyDescent="0.25">
      <c r="B3725" s="169" t="s">
        <v>12320</v>
      </c>
      <c r="C3725" s="169" t="s">
        <v>57</v>
      </c>
      <c r="D3725" s="169" t="s">
        <v>172</v>
      </c>
      <c r="E3725" s="169" t="s">
        <v>60</v>
      </c>
      <c r="F3725" s="245" t="str">
        <f t="shared" si="236"/>
        <v>Dhoz 71</v>
      </c>
      <c r="G3725" s="169" t="s">
        <v>1369</v>
      </c>
      <c r="I3725" s="169" t="str">
        <f t="shared" si="235"/>
        <v>L425_JVSPLIT_045E_DE</v>
      </c>
      <c r="J3725" s="169" t="s">
        <v>14302</v>
      </c>
      <c r="K3725" s="169">
        <f>IFERROR(MATCH(J3725,'Final List'!$B$4:$B$252,0),0)</f>
        <v>0</v>
      </c>
      <c r="L3725" s="169">
        <f>IFERROR(MATCH(J3725,'Final List'!$D$4:$D$252,0),0)</f>
        <v>0</v>
      </c>
      <c r="M3725" s="169">
        <f>IFERROR(MATCH(J3725,'Final List'!$F$4:$F$251,0),0)</f>
        <v>0</v>
      </c>
      <c r="N3725" s="169">
        <f>IFERROR(MATCH(J3725,'Final List'!$H$4:$H$252,0),0)</f>
        <v>0</v>
      </c>
      <c r="O3725" s="169">
        <f>IFERROR(MATCH(J3725,'Final List'!$J$4:$J$252,0),0)</f>
        <v>0</v>
      </c>
      <c r="P3725" s="169">
        <f>IFERROR(MATCH(J3725,'Final List'!$L$4:$L$252,0),0)</f>
        <v>0</v>
      </c>
      <c r="Q3725" s="169">
        <f>IFERROR(MATCH(J3725,'Final List'!$N$4:$N$252,0),0)</f>
        <v>0</v>
      </c>
      <c r="R3725" s="169">
        <f>IFERROR(MATCH(J3725,'Final List'!$P$4:$P$252,0),0)</f>
        <v>0</v>
      </c>
      <c r="S3725" s="169">
        <f t="shared" si="237"/>
        <v>0</v>
      </c>
      <c r="V3725" s="169" t="str">
        <f t="shared" si="233"/>
        <v>TORMIS</v>
      </c>
      <c r="W3725" s="169" t="s">
        <v>8896</v>
      </c>
    </row>
    <row r="3726" spans="2:23" x14ac:dyDescent="0.25">
      <c r="B3726" s="169" t="s">
        <v>95</v>
      </c>
      <c r="C3726" s="169" t="s">
        <v>87</v>
      </c>
      <c r="D3726" s="169" t="s">
        <v>135</v>
      </c>
      <c r="E3726" s="169" t="s">
        <v>12171</v>
      </c>
      <c r="F3726" s="245" t="s">
        <v>14362</v>
      </c>
      <c r="G3726" s="169" t="s">
        <v>6925</v>
      </c>
      <c r="I3726" s="169" t="str">
        <f t="shared" si="235"/>
        <v>L08_NONE_034E_WIDENING</v>
      </c>
      <c r="J3726" s="169" t="s">
        <v>14304</v>
      </c>
      <c r="K3726" s="169">
        <f>IFERROR(MATCH(J3726,'Final List'!$B$4:$B$252,0),0)</f>
        <v>0</v>
      </c>
      <c r="L3726" s="169">
        <f>IFERROR(MATCH(J3726,'Final List'!$D$4:$D$252,0),0)</f>
        <v>0</v>
      </c>
      <c r="M3726" s="169">
        <f>IFERROR(MATCH(J3726,'Final List'!$F$4:$F$251,0),0)</f>
        <v>0</v>
      </c>
      <c r="N3726" s="169">
        <f>IFERROR(MATCH(J3726,'Final List'!$H$4:$H$252,0),0)</f>
        <v>0</v>
      </c>
      <c r="O3726" s="169">
        <f>IFERROR(MATCH(J3726,'Final List'!$J$4:$J$252,0),0)</f>
        <v>0</v>
      </c>
      <c r="P3726" s="169">
        <f>IFERROR(MATCH(J3726,'Final List'!$L$4:$L$252,0),0)</f>
        <v>0</v>
      </c>
      <c r="Q3726" s="169">
        <f>IFERROR(MATCH(J3726,'Final List'!$N$4:$N$252,0),0)</f>
        <v>0</v>
      </c>
      <c r="R3726" s="169">
        <f>IFERROR(MATCH(J3726,'Final List'!$P$4:$P$252,0),0)</f>
        <v>89</v>
      </c>
      <c r="S3726" s="169">
        <f t="shared" si="237"/>
        <v>89</v>
      </c>
      <c r="V3726" s="169" t="str">
        <f t="shared" si="233"/>
        <v>CAPUYAN 1</v>
      </c>
      <c r="W3726" s="169" t="s">
        <v>2714</v>
      </c>
    </row>
    <row r="3727" spans="2:23" x14ac:dyDescent="0.25">
      <c r="B3727" s="169" t="s">
        <v>96</v>
      </c>
      <c r="C3727" s="169" t="s">
        <v>38</v>
      </c>
      <c r="D3727" s="169" t="s">
        <v>6518</v>
      </c>
      <c r="E3727" s="169" t="s">
        <v>13813</v>
      </c>
      <c r="F3727" s="245" t="str">
        <f>IF(OR(E3727="XCN",E3727="DE",E3727="DW",E3727="DN",E3727="XCS",E3727="XCE",E3727="XCW",E3727="SUMP",E3727="BYPASS",E3727="CHAMBER",E3727="DRAIN HOLE",E3727="DRILLING CHAMBER",E3727="DE_ISL",E3727="DW_ISL",E3727="REHAB",E3727="MAINLINE_CLEANING"),"Dhoz 71",IF(OR(E3727="RAISE",E3727="RAISE_ISL"),"DVR 72",IF(E3727="ALIMAK","DVA 73",IF(E3727="WINZE","DVW 74",IF(E3727="SHAFT","DVS 75",IF(AND(E3727="WINZE STOPE",T3727="S"),"RobC 80",IF(AND(E3727="STOPE",T3727="S"),"StpS 77",IF(AND(E3727="WINZE STOPE",T3727="L"),"RobC 80",IF(AND(E3727="STOPE",T3727="L"),"StpL 78",IF(AND(E3727="WINZE STOPE PREP",T3727="S"),"RobC 80",IF(AND(E3727="STOPE PREP",T3727="S"),"StpS 77",IF(AND(E3727="WINZE STOPE PREP",T3727="L"),"RobC 80",IF(AND(E3727="STOPE PREP",T3727="L"),"StpL 78",IF(AND(E3727="ROBBING",T3727="L"),"RobC 80",IF(AND(E3727="ROBBING",T3727="S"),"RobS 79",0)))))))))))))))</f>
        <v>Dhoz 71</v>
      </c>
      <c r="G3727" s="169" t="s">
        <v>6216</v>
      </c>
      <c r="I3727" s="169" t="str">
        <f t="shared" si="235"/>
        <v>L09_GHV_007E_MAINLINE_CLEANING</v>
      </c>
      <c r="J3727" s="169" t="s">
        <v>14310</v>
      </c>
      <c r="K3727" s="169">
        <f>IFERROR(MATCH(J3727,'Final List'!$B$4:$B$252,0),0)</f>
        <v>0</v>
      </c>
      <c r="L3727" s="169">
        <f>IFERROR(MATCH(J3727,'Final List'!$D$4:$D$252,0),0)</f>
        <v>0</v>
      </c>
      <c r="M3727" s="169">
        <f>IFERROR(MATCH(J3727,'Final List'!$F$4:$F$251,0),0)</f>
        <v>0</v>
      </c>
      <c r="N3727" s="169">
        <f>IFERROR(MATCH(J3727,'Final List'!$H$4:$H$252,0),0)</f>
        <v>0</v>
      </c>
      <c r="O3727" s="169">
        <f>IFERROR(MATCH(J3727,'Final List'!$J$4:$J$252,0),0)</f>
        <v>0</v>
      </c>
      <c r="P3727" s="169">
        <f>IFERROR(MATCH(J3727,'Final List'!$L$4:$L$252,0),0)</f>
        <v>0</v>
      </c>
      <c r="Q3727" s="169">
        <f>IFERROR(MATCH(J3727,'Final List'!$N$4:$N$252,0),0)</f>
        <v>0</v>
      </c>
      <c r="R3727" s="169">
        <f>IFERROR(MATCH(J3727,'Final List'!$P$4:$P$252,0),0)</f>
        <v>0</v>
      </c>
      <c r="S3727" s="169">
        <f t="shared" si="237"/>
        <v>0</v>
      </c>
      <c r="V3727" s="169" t="str">
        <f t="shared" si="233"/>
        <v>FERNANDEZ</v>
      </c>
      <c r="W3727" s="169" t="s">
        <v>2714</v>
      </c>
    </row>
    <row r="3728" spans="2:23" x14ac:dyDescent="0.25">
      <c r="B3728" s="169" t="s">
        <v>96</v>
      </c>
      <c r="C3728" s="169" t="s">
        <v>45</v>
      </c>
      <c r="D3728" s="169" t="s">
        <v>5887</v>
      </c>
      <c r="E3728" s="169" t="s">
        <v>20</v>
      </c>
      <c r="F3728" s="245" t="str">
        <f t="shared" si="236"/>
        <v>DVW 74</v>
      </c>
      <c r="G3728" s="169" t="s">
        <v>6878</v>
      </c>
      <c r="H3728" s="169" t="s">
        <v>11</v>
      </c>
      <c r="I3728" s="169" t="str">
        <f t="shared" si="235"/>
        <v>L09_DPVE_085E_WINZE</v>
      </c>
      <c r="J3728" s="169" t="s">
        <v>14311</v>
      </c>
      <c r="K3728" s="169">
        <f>IFERROR(MATCH(J3728,'Final List'!$B$4:$B$252,0),0)</f>
        <v>0</v>
      </c>
      <c r="L3728" s="169">
        <f>IFERROR(MATCH(J3728,'Final List'!$D$4:$D$252,0),0)</f>
        <v>0</v>
      </c>
      <c r="M3728" s="169">
        <f>IFERROR(MATCH(J3728,'Final List'!$F$4:$F$251,0),0)</f>
        <v>0</v>
      </c>
      <c r="N3728" s="169">
        <f>IFERROR(MATCH(J3728,'Final List'!$H$4:$H$252,0),0)</f>
        <v>0</v>
      </c>
      <c r="O3728" s="169">
        <f>IFERROR(MATCH(J3728,'Final List'!$J$4:$J$252,0),0)</f>
        <v>0</v>
      </c>
      <c r="P3728" s="169">
        <f>IFERROR(MATCH(J3728,'Final List'!$L$4:$L$252,0),0)</f>
        <v>0</v>
      </c>
      <c r="Q3728" s="169">
        <f>IFERROR(MATCH(J3728,'Final List'!$N$4:$N$252,0),0)</f>
        <v>0</v>
      </c>
      <c r="R3728" s="169">
        <f>IFERROR(MATCH(J3728,'Final List'!$P$4:$P$252,0),0)</f>
        <v>0</v>
      </c>
      <c r="S3728" s="169">
        <f t="shared" si="237"/>
        <v>0</v>
      </c>
      <c r="V3728" s="169" t="str">
        <f t="shared" si="233"/>
        <v>QUIJANO</v>
      </c>
      <c r="W3728" s="169" t="s">
        <v>2706</v>
      </c>
    </row>
    <row r="3729" spans="2:23" x14ac:dyDescent="0.25">
      <c r="B3729" s="169" t="s">
        <v>12320</v>
      </c>
      <c r="C3729" s="169" t="s">
        <v>43</v>
      </c>
      <c r="D3729" s="169" t="s">
        <v>168</v>
      </c>
      <c r="E3729" s="169" t="s">
        <v>19</v>
      </c>
      <c r="F3729" s="245" t="str">
        <f t="shared" si="236"/>
        <v>DVR 72</v>
      </c>
      <c r="G3729" s="169" t="s">
        <v>14317</v>
      </c>
      <c r="I3729" s="169" t="str">
        <f t="shared" si="235"/>
        <v>L425_GHVSPLIT_047E_RAISE</v>
      </c>
      <c r="J3729" s="169" t="s">
        <v>14313</v>
      </c>
      <c r="K3729" s="169">
        <f>IFERROR(MATCH(J3729,'Final List'!$B$4:$B$252,0),0)</f>
        <v>0</v>
      </c>
      <c r="L3729" s="169">
        <f>IFERROR(MATCH(J3729,'Final List'!$D$4:$D$252,0),0)</f>
        <v>0</v>
      </c>
      <c r="M3729" s="169">
        <f>IFERROR(MATCH(J3729,'Final List'!$F$4:$F$251,0),0)</f>
        <v>0</v>
      </c>
      <c r="N3729" s="169">
        <f>IFERROR(MATCH(J3729,'Final List'!$H$4:$H$252,0),0)</f>
        <v>0</v>
      </c>
      <c r="O3729" s="169">
        <f>IFERROR(MATCH(J3729,'Final List'!$J$4:$J$252,0),0)</f>
        <v>0</v>
      </c>
      <c r="P3729" s="169">
        <f>IFERROR(MATCH(J3729,'Final List'!$L$4:$L$252,0),0)</f>
        <v>0</v>
      </c>
      <c r="Q3729" s="169">
        <f>IFERROR(MATCH(J3729,'Final List'!$N$4:$N$252,0),0)</f>
        <v>0</v>
      </c>
      <c r="R3729" s="169">
        <f>IFERROR(MATCH(J3729,'Final List'!$P$4:$P$252,0),0)</f>
        <v>0</v>
      </c>
      <c r="S3729" s="169">
        <f t="shared" si="237"/>
        <v>0</v>
      </c>
      <c r="V3729" s="169" t="str">
        <f t="shared" si="233"/>
        <v>ESPINOSA</v>
      </c>
      <c r="W3729" s="169" t="s">
        <v>2715</v>
      </c>
    </row>
    <row r="3730" spans="2:23" x14ac:dyDescent="0.25">
      <c r="B3730" s="169" t="s">
        <v>95</v>
      </c>
      <c r="C3730" s="169" t="s">
        <v>42</v>
      </c>
      <c r="D3730" s="169" t="s">
        <v>159</v>
      </c>
      <c r="E3730" s="169" t="s">
        <v>211</v>
      </c>
      <c r="F3730" s="245" t="str">
        <f t="shared" si="236"/>
        <v>StpL 78</v>
      </c>
      <c r="G3730" s="169" t="s">
        <v>8045</v>
      </c>
      <c r="I3730" s="169" t="str">
        <f t="shared" si="235"/>
        <v>L08_JV_023E_STOPE PREP</v>
      </c>
      <c r="J3730" s="169" t="s">
        <v>14315</v>
      </c>
      <c r="K3730" s="169">
        <f>IFERROR(MATCH(J3730,'Final List'!$B$4:$B$252,0),0)</f>
        <v>0</v>
      </c>
      <c r="L3730" s="169">
        <f>IFERROR(MATCH(J3730,'Final List'!$D$4:$D$252,0),0)</f>
        <v>0</v>
      </c>
      <c r="M3730" s="169">
        <f>IFERROR(MATCH(J3730,'Final List'!$F$4:$F$251,0),0)</f>
        <v>0</v>
      </c>
      <c r="N3730" s="169">
        <f>IFERROR(MATCH(J3730,'Final List'!$H$4:$H$252,0),0)</f>
        <v>0</v>
      </c>
      <c r="O3730" s="169">
        <f>IFERROR(MATCH(J3730,'Final List'!$J$4:$J$252,0),0)</f>
        <v>0</v>
      </c>
      <c r="P3730" s="169">
        <f>IFERROR(MATCH(J3730,'Final List'!$L$4:$L$252,0),0)</f>
        <v>0</v>
      </c>
      <c r="Q3730" s="169">
        <f>IFERROR(MATCH(J3730,'Final List'!$N$4:$N$252,0),0)</f>
        <v>0</v>
      </c>
      <c r="R3730" s="169">
        <f>IFERROR(MATCH(J3730,'Final List'!$P$4:$P$252,0),0)</f>
        <v>0</v>
      </c>
      <c r="S3730" s="169">
        <f t="shared" si="237"/>
        <v>0</v>
      </c>
      <c r="T3730" s="169" t="s">
        <v>48</v>
      </c>
      <c r="V3730" s="169" t="str">
        <f t="shared" ref="V3730:V3793" si="238">IF(H3730="",G3730,H3730)</f>
        <v>CAPUYAN</v>
      </c>
      <c r="W3730" s="169" t="s">
        <v>2712</v>
      </c>
    </row>
    <row r="3731" spans="2:23" x14ac:dyDescent="0.25">
      <c r="B3731" s="169" t="s">
        <v>96</v>
      </c>
      <c r="C3731" s="169" t="s">
        <v>87</v>
      </c>
      <c r="D3731" s="169" t="s">
        <v>110</v>
      </c>
      <c r="E3731" s="169" t="s">
        <v>63</v>
      </c>
      <c r="F3731" s="245" t="str">
        <f t="shared" si="236"/>
        <v>Dhoz 71</v>
      </c>
      <c r="G3731" s="169" t="s">
        <v>6216</v>
      </c>
      <c r="I3731" s="169" t="str">
        <f t="shared" si="235"/>
        <v>L09_NONE_004E_XCS</v>
      </c>
      <c r="J3731" s="169" t="s">
        <v>14322</v>
      </c>
      <c r="K3731" s="169">
        <f>IFERROR(MATCH(J3731,'Final List'!$B$4:$B$252,0),0)</f>
        <v>0</v>
      </c>
      <c r="L3731" s="169">
        <f>IFERROR(MATCH(J3731,'Final List'!$D$4:$D$252,0),0)</f>
        <v>0</v>
      </c>
      <c r="M3731" s="169">
        <f>IFERROR(MATCH(J3731,'Final List'!$F$4:$F$251,0),0)</f>
        <v>0</v>
      </c>
      <c r="N3731" s="169">
        <f>IFERROR(MATCH(J3731,'Final List'!$H$4:$H$252,0),0)</f>
        <v>0</v>
      </c>
      <c r="O3731" s="169">
        <f>IFERROR(MATCH(J3731,'Final List'!$J$4:$J$252,0),0)</f>
        <v>0</v>
      </c>
      <c r="P3731" s="169">
        <f>IFERROR(MATCH(J3731,'Final List'!$L$4:$L$252,0),0)</f>
        <v>0</v>
      </c>
      <c r="Q3731" s="169">
        <f>IFERROR(MATCH(J3731,'Final List'!$N$4:$N$252,0),0)</f>
        <v>0</v>
      </c>
      <c r="R3731" s="169">
        <f>IFERROR(MATCH(J3731,'Final List'!$P$4:$P$252,0),0)</f>
        <v>0</v>
      </c>
      <c r="S3731" s="169">
        <f t="shared" si="237"/>
        <v>0</v>
      </c>
      <c r="V3731" s="169" t="str">
        <f t="shared" si="238"/>
        <v>FERNANDEZ</v>
      </c>
      <c r="W3731" s="169" t="s">
        <v>2714</v>
      </c>
    </row>
    <row r="3732" spans="2:23" x14ac:dyDescent="0.25">
      <c r="B3732" s="169" t="s">
        <v>95</v>
      </c>
      <c r="C3732" s="169" t="s">
        <v>38</v>
      </c>
      <c r="D3732" s="169" t="s">
        <v>103</v>
      </c>
      <c r="E3732" s="169" t="s">
        <v>62</v>
      </c>
      <c r="F3732" s="245" t="str">
        <f t="shared" si="236"/>
        <v>RobS 79</v>
      </c>
      <c r="G3732" s="169" t="s">
        <v>13952</v>
      </c>
      <c r="I3732" s="169" t="str">
        <f t="shared" si="235"/>
        <v>L08_GHV_005E_ROBBING</v>
      </c>
      <c r="J3732" s="169" t="s">
        <v>14323</v>
      </c>
      <c r="K3732" s="169">
        <f>IFERROR(MATCH(J3732,'Final List'!$B$4:$B$252,0),0)</f>
        <v>0</v>
      </c>
      <c r="L3732" s="169">
        <f>IFERROR(MATCH(J3732,'Final List'!$D$4:$D$252,0),0)</f>
        <v>0</v>
      </c>
      <c r="M3732" s="169">
        <f>IFERROR(MATCH(J3732,'Final List'!$F$4:$F$251,0),0)</f>
        <v>0</v>
      </c>
      <c r="N3732" s="169">
        <f>IFERROR(MATCH(J3732,'Final List'!$H$4:$H$252,0),0)</f>
        <v>0</v>
      </c>
      <c r="O3732" s="169">
        <f>IFERROR(MATCH(J3732,'Final List'!$J$4:$J$252,0),0)</f>
        <v>0</v>
      </c>
      <c r="P3732" s="169">
        <f>IFERROR(MATCH(J3732,'Final List'!$L$4:$L$252,0),0)</f>
        <v>0</v>
      </c>
      <c r="Q3732" s="169">
        <f>IFERROR(MATCH(J3732,'Final List'!$N$4:$N$252,0),0)</f>
        <v>0</v>
      </c>
      <c r="R3732" s="169">
        <f>IFERROR(MATCH(J3732,'Final List'!$P$4:$P$252,0),0)</f>
        <v>0</v>
      </c>
      <c r="S3732" s="169">
        <f t="shared" si="237"/>
        <v>0</v>
      </c>
      <c r="T3732" s="169" t="s">
        <v>68</v>
      </c>
      <c r="V3732" s="169" t="str">
        <f t="shared" si="238"/>
        <v>FERNANDEZ 5</v>
      </c>
      <c r="W3732" s="169" t="s">
        <v>2707</v>
      </c>
    </row>
    <row r="3733" spans="2:23" x14ac:dyDescent="0.25">
      <c r="B3733" s="169" t="s">
        <v>96</v>
      </c>
      <c r="C3733" s="169" t="s">
        <v>56</v>
      </c>
      <c r="D3733" s="169" t="s">
        <v>149</v>
      </c>
      <c r="E3733" s="169" t="s">
        <v>60</v>
      </c>
      <c r="F3733" s="245" t="str">
        <f t="shared" si="236"/>
        <v>Dhoz 71</v>
      </c>
      <c r="G3733" s="169" t="s">
        <v>6621</v>
      </c>
      <c r="I3733" s="169" t="str">
        <f t="shared" si="235"/>
        <v>L09_GHVFW_021E_DE</v>
      </c>
      <c r="J3733" s="169" t="s">
        <v>14324</v>
      </c>
      <c r="K3733" s="169">
        <f>IFERROR(MATCH(J3733,'Final List'!$B$4:$B$252,0),0)</f>
        <v>0</v>
      </c>
      <c r="L3733" s="169">
        <f>IFERROR(MATCH(J3733,'Final List'!$D$4:$D$252,0),0)</f>
        <v>0</v>
      </c>
      <c r="M3733" s="169">
        <f>IFERROR(MATCH(J3733,'Final List'!$F$4:$F$251,0),0)</f>
        <v>0</v>
      </c>
      <c r="N3733" s="169">
        <f>IFERROR(MATCH(J3733,'Final List'!$H$4:$H$252,0),0)</f>
        <v>0</v>
      </c>
      <c r="O3733" s="169">
        <f>IFERROR(MATCH(J3733,'Final List'!$J$4:$J$252,0),0)</f>
        <v>0</v>
      </c>
      <c r="P3733" s="169">
        <f>IFERROR(MATCH(J3733,'Final List'!$L$4:$L$252,0),0)</f>
        <v>0</v>
      </c>
      <c r="Q3733" s="169">
        <f>IFERROR(MATCH(J3733,'Final List'!$N$4:$N$252,0),0)</f>
        <v>0</v>
      </c>
      <c r="R3733" s="169">
        <f>IFERROR(MATCH(J3733,'Final List'!$P$4:$P$252,0),0)</f>
        <v>0</v>
      </c>
      <c r="S3733" s="169">
        <f t="shared" si="237"/>
        <v>0</v>
      </c>
      <c r="V3733" s="169" t="str">
        <f t="shared" si="238"/>
        <v>DELOS REYES V1</v>
      </c>
      <c r="W3733" s="169" t="s">
        <v>8896</v>
      </c>
    </row>
    <row r="3734" spans="2:23" x14ac:dyDescent="0.25">
      <c r="B3734" s="169" t="s">
        <v>1167</v>
      </c>
      <c r="C3734" s="169" t="s">
        <v>39</v>
      </c>
      <c r="D3734" s="169" t="s">
        <v>159</v>
      </c>
      <c r="E3734" s="169" t="s">
        <v>60</v>
      </c>
      <c r="F3734" s="245" t="str">
        <f t="shared" si="236"/>
        <v>Dhoz 71</v>
      </c>
      <c r="G3734" s="169" t="s">
        <v>14223</v>
      </c>
      <c r="I3734" s="169" t="str">
        <f t="shared" si="235"/>
        <v>L12_JVHW_023E_DE</v>
      </c>
      <c r="J3734" s="169" t="s">
        <v>14536</v>
      </c>
      <c r="K3734" s="169">
        <f>IFERROR(MATCH(J3734,'Final List'!$B$4:$B$252,0),0)</f>
        <v>0</v>
      </c>
      <c r="L3734" s="169">
        <f>IFERROR(MATCH(J3734,'Final List'!$D$4:$D$252,0),0)</f>
        <v>0</v>
      </c>
      <c r="M3734" s="169">
        <f>IFERROR(MATCH(J3734,'Final List'!$F$4:$F$251,0),0)</f>
        <v>0</v>
      </c>
      <c r="N3734" s="169">
        <f>IFERROR(MATCH(J3734,'Final List'!$H$4:$H$252,0),0)</f>
        <v>0</v>
      </c>
      <c r="O3734" s="169">
        <f>IFERROR(MATCH(J3734,'Final List'!$J$4:$J$252,0),0)</f>
        <v>0</v>
      </c>
      <c r="P3734" s="169">
        <f>IFERROR(MATCH(J3734,'Final List'!$L$4:$L$252,0),0)</f>
        <v>0</v>
      </c>
      <c r="Q3734" s="169">
        <f>IFERROR(MATCH(J3734,'Final List'!$N$4:$N$252,0),0)</f>
        <v>0</v>
      </c>
      <c r="R3734" s="169">
        <f>IFERROR(MATCH(J3734,'Final List'!$P$4:$P$252,0),0)</f>
        <v>0</v>
      </c>
      <c r="S3734" s="169">
        <f t="shared" si="237"/>
        <v>0</v>
      </c>
      <c r="V3734" s="169" t="str">
        <f t="shared" si="238"/>
        <v>DUHIG P,</v>
      </c>
      <c r="W3734" s="169" t="s">
        <v>8896</v>
      </c>
    </row>
    <row r="3735" spans="2:23" x14ac:dyDescent="0.25">
      <c r="B3735" s="169" t="s">
        <v>96</v>
      </c>
      <c r="C3735" s="169" t="s">
        <v>39</v>
      </c>
      <c r="D3735" s="169" t="s">
        <v>177</v>
      </c>
      <c r="E3735" s="169" t="s">
        <v>61</v>
      </c>
      <c r="F3735" s="245" t="str">
        <f t="shared" si="236"/>
        <v>Dhoz 71</v>
      </c>
      <c r="G3735" s="169" t="s">
        <v>1661</v>
      </c>
      <c r="I3735" s="169" t="str">
        <f t="shared" si="235"/>
        <v>L09_JVHW_054E_DW</v>
      </c>
      <c r="J3735" s="169" t="s">
        <v>14330</v>
      </c>
      <c r="K3735" s="169">
        <f>IFERROR(MATCH(J3735,'Final List'!$B$4:$B$252,0),0)</f>
        <v>0</v>
      </c>
      <c r="L3735" s="169">
        <f>IFERROR(MATCH(J3735,'Final List'!$D$4:$D$252,0),0)</f>
        <v>0</v>
      </c>
      <c r="M3735" s="169">
        <f>IFERROR(MATCH(J3735,'Final List'!$F$4:$F$251,0),0)</f>
        <v>0</v>
      </c>
      <c r="N3735" s="169">
        <f>IFERROR(MATCH(J3735,'Final List'!$H$4:$H$252,0),0)</f>
        <v>0</v>
      </c>
      <c r="O3735" s="169">
        <f>IFERROR(MATCH(J3735,'Final List'!$J$4:$J$252,0),0)</f>
        <v>0</v>
      </c>
      <c r="P3735" s="169">
        <f>IFERROR(MATCH(J3735,'Final List'!$L$4:$L$252,0),0)</f>
        <v>0</v>
      </c>
      <c r="Q3735" s="169">
        <f>IFERROR(MATCH(J3735,'Final List'!$N$4:$N$252,0),0)</f>
        <v>0</v>
      </c>
      <c r="R3735" s="169">
        <f>IFERROR(MATCH(J3735,'Final List'!$P$4:$P$252,0),0)</f>
        <v>0</v>
      </c>
      <c r="S3735" s="169">
        <f t="shared" si="237"/>
        <v>0</v>
      </c>
      <c r="V3735" s="169" t="str">
        <f t="shared" si="238"/>
        <v>DELOS REYES V2</v>
      </c>
      <c r="W3735" s="169" t="s">
        <v>8896</v>
      </c>
    </row>
    <row r="3736" spans="2:23" x14ac:dyDescent="0.25">
      <c r="B3736" s="169" t="s">
        <v>95</v>
      </c>
      <c r="C3736" s="169" t="s">
        <v>45</v>
      </c>
      <c r="D3736" s="169" t="s">
        <v>5888</v>
      </c>
      <c r="E3736" s="169" t="s">
        <v>19</v>
      </c>
      <c r="F3736" s="245" t="str">
        <f t="shared" si="236"/>
        <v>DVR 72</v>
      </c>
      <c r="G3736" s="169" t="s">
        <v>14259</v>
      </c>
      <c r="I3736" s="169" t="str">
        <f t="shared" si="235"/>
        <v>L08_DPVE_024W_RAISE</v>
      </c>
      <c r="J3736" s="169" t="s">
        <v>14331</v>
      </c>
      <c r="K3736" s="169">
        <f>IFERROR(MATCH(J3736,'Final List'!$B$4:$B$252,0),0)</f>
        <v>0</v>
      </c>
      <c r="L3736" s="169">
        <f>IFERROR(MATCH(J3736,'Final List'!$D$4:$D$252,0),0)</f>
        <v>0</v>
      </c>
      <c r="M3736" s="169">
        <f>IFERROR(MATCH(J3736,'Final List'!$F$4:$F$251,0),0)</f>
        <v>0</v>
      </c>
      <c r="N3736" s="169">
        <f>IFERROR(MATCH(J3736,'Final List'!$H$4:$H$252,0),0)</f>
        <v>0</v>
      </c>
      <c r="O3736" s="169">
        <f>IFERROR(MATCH(J3736,'Final List'!$J$4:$J$252,0),0)</f>
        <v>0</v>
      </c>
      <c r="P3736" s="169">
        <f>IFERROR(MATCH(J3736,'Final List'!$L$4:$L$252,0),0)</f>
        <v>0</v>
      </c>
      <c r="Q3736" s="169">
        <f>IFERROR(MATCH(J3736,'Final List'!$N$4:$N$252,0),0)</f>
        <v>0</v>
      </c>
      <c r="R3736" s="169">
        <f>IFERROR(MATCH(J3736,'Final List'!$P$4:$P$252,0),0)</f>
        <v>0</v>
      </c>
      <c r="S3736" s="169">
        <f t="shared" si="237"/>
        <v>0</v>
      </c>
      <c r="V3736" s="169" t="str">
        <f t="shared" si="238"/>
        <v>NITRO CF3</v>
      </c>
      <c r="W3736" s="169" t="s">
        <v>2715</v>
      </c>
    </row>
    <row r="3737" spans="2:23" x14ac:dyDescent="0.25">
      <c r="B3737" s="169" t="s">
        <v>8904</v>
      </c>
      <c r="C3737" s="169" t="s">
        <v>38</v>
      </c>
      <c r="D3737" s="169" t="s">
        <v>8422</v>
      </c>
      <c r="E3737" s="169" t="s">
        <v>62</v>
      </c>
      <c r="F3737" s="245" t="str">
        <f t="shared" si="236"/>
        <v>RobS 79</v>
      </c>
      <c r="G3737" s="169" t="s">
        <v>14242</v>
      </c>
      <c r="I3737" s="169" t="str">
        <f t="shared" si="235"/>
        <v>L03_GHV_053W_ROBBING</v>
      </c>
      <c r="J3737" s="169" t="s">
        <v>14337</v>
      </c>
      <c r="K3737" s="169">
        <f>IFERROR(MATCH(J3737,'Final List'!$B$4:$B$252,0),0)</f>
        <v>0</v>
      </c>
      <c r="L3737" s="169">
        <f>IFERROR(MATCH(J3737,'Final List'!$D$4:$D$252,0),0)</f>
        <v>0</v>
      </c>
      <c r="M3737" s="169">
        <f>IFERROR(MATCH(J3737,'Final List'!$F$4:$F$251,0),0)</f>
        <v>0</v>
      </c>
      <c r="N3737" s="169">
        <f>IFERROR(MATCH(J3737,'Final List'!$H$4:$H$252,0),0)</f>
        <v>0</v>
      </c>
      <c r="O3737" s="169">
        <f>IFERROR(MATCH(J3737,'Final List'!$J$4:$J$252,0),0)</f>
        <v>0</v>
      </c>
      <c r="P3737" s="169">
        <f>IFERROR(MATCH(J3737,'Final List'!$L$4:$L$252,0),0)</f>
        <v>0</v>
      </c>
      <c r="Q3737" s="169">
        <f>IFERROR(MATCH(J3737,'Final List'!$N$4:$N$252,0),0)</f>
        <v>0</v>
      </c>
      <c r="R3737" s="169">
        <f>IFERROR(MATCH(J3737,'Final List'!$P$4:$P$252,0),0)</f>
        <v>1</v>
      </c>
      <c r="S3737" s="169">
        <f t="shared" si="237"/>
        <v>1</v>
      </c>
      <c r="T3737" s="169" t="s">
        <v>68</v>
      </c>
      <c r="V3737" s="169" t="str">
        <f t="shared" si="238"/>
        <v>FERNANDEZ 6</v>
      </c>
      <c r="W3737" s="169" t="s">
        <v>2707</v>
      </c>
    </row>
    <row r="3738" spans="2:23" x14ac:dyDescent="0.25">
      <c r="B3738" s="169" t="s">
        <v>1166</v>
      </c>
      <c r="C3738" s="169" t="s">
        <v>45</v>
      </c>
      <c r="D3738" s="169" t="s">
        <v>12655</v>
      </c>
      <c r="E3738" s="169" t="s">
        <v>61</v>
      </c>
      <c r="F3738" s="245" t="str">
        <f t="shared" si="236"/>
        <v>Dhoz 71</v>
      </c>
      <c r="G3738" s="169" t="s">
        <v>4155</v>
      </c>
      <c r="I3738" s="169" t="str">
        <f t="shared" si="235"/>
        <v>L11_DPVE_106E_DW</v>
      </c>
      <c r="J3738" s="169" t="s">
        <v>14339</v>
      </c>
      <c r="K3738" s="169">
        <f>IFERROR(MATCH(J3738,'Final List'!$B$4:$B$252,0),0)</f>
        <v>0</v>
      </c>
      <c r="L3738" s="169">
        <f>IFERROR(MATCH(J3738,'Final List'!$D$4:$D$252,0),0)</f>
        <v>0</v>
      </c>
      <c r="M3738" s="169">
        <f>IFERROR(MATCH(J3738,'Final List'!$F$4:$F$251,0),0)</f>
        <v>0</v>
      </c>
      <c r="N3738" s="169">
        <f>IFERROR(MATCH(J3738,'Final List'!$H$4:$H$252,0),0)</f>
        <v>0</v>
      </c>
      <c r="O3738" s="169">
        <f>IFERROR(MATCH(J3738,'Final List'!$J$4:$J$252,0),0)</f>
        <v>0</v>
      </c>
      <c r="P3738" s="169">
        <f>IFERROR(MATCH(J3738,'Final List'!$L$4:$L$252,0),0)</f>
        <v>0</v>
      </c>
      <c r="Q3738" s="169">
        <f>IFERROR(MATCH(J3738,'Final List'!$N$4:$N$252,0),0)</f>
        <v>0</v>
      </c>
      <c r="R3738" s="169">
        <f>IFERROR(MATCH(J3738,'Final List'!$P$4:$P$252,0),0)</f>
        <v>0</v>
      </c>
      <c r="S3738" s="169">
        <f t="shared" si="237"/>
        <v>0</v>
      </c>
      <c r="V3738" s="169" t="str">
        <f t="shared" si="238"/>
        <v>BAÑEZ</v>
      </c>
      <c r="W3738" s="169" t="s">
        <v>8896</v>
      </c>
    </row>
    <row r="3739" spans="2:23" x14ac:dyDescent="0.25">
      <c r="B3739" s="169" t="s">
        <v>1167</v>
      </c>
      <c r="C3739" s="169" t="s">
        <v>45</v>
      </c>
      <c r="D3739" s="169" t="s">
        <v>5975</v>
      </c>
      <c r="E3739" s="169" t="s">
        <v>211</v>
      </c>
      <c r="F3739" s="245" t="str">
        <f t="shared" si="236"/>
        <v>StpL 78</v>
      </c>
      <c r="G3739" s="169" t="s">
        <v>14126</v>
      </c>
      <c r="I3739" s="169" t="str">
        <f t="shared" si="235"/>
        <v>L12_DPVE_028E_STOPE PREP</v>
      </c>
      <c r="J3739" s="169" t="s">
        <v>14341</v>
      </c>
      <c r="K3739" s="169">
        <f>IFERROR(MATCH(J3739,'Final List'!$B$4:$B$252,0),0)</f>
        <v>0</v>
      </c>
      <c r="L3739" s="169">
        <f>IFERROR(MATCH(J3739,'Final List'!$D$4:$D$252,0),0)</f>
        <v>0</v>
      </c>
      <c r="M3739" s="169">
        <f>IFERROR(MATCH(J3739,'Final List'!$F$4:$F$251,0),0)</f>
        <v>0</v>
      </c>
      <c r="N3739" s="169">
        <f>IFERROR(MATCH(J3739,'Final List'!$H$4:$H$252,0),0)</f>
        <v>0</v>
      </c>
      <c r="O3739" s="169">
        <f>IFERROR(MATCH(J3739,'Final List'!$J$4:$J$252,0),0)</f>
        <v>0</v>
      </c>
      <c r="P3739" s="169">
        <f>IFERROR(MATCH(J3739,'Final List'!$L$4:$L$252,0),0)</f>
        <v>0</v>
      </c>
      <c r="Q3739" s="169">
        <f>IFERROR(MATCH(J3739,'Final List'!$N$4:$N$252,0),0)</f>
        <v>0</v>
      </c>
      <c r="R3739" s="169">
        <f>IFERROR(MATCH(J3739,'Final List'!$P$4:$P$252,0),0)</f>
        <v>0</v>
      </c>
      <c r="S3739" s="169">
        <f t="shared" si="237"/>
        <v>0</v>
      </c>
      <c r="T3739" s="169" t="s">
        <v>48</v>
      </c>
      <c r="V3739" s="169" t="str">
        <f t="shared" si="238"/>
        <v>HAGANAS</v>
      </c>
      <c r="W3739" s="169" t="s">
        <v>2712</v>
      </c>
    </row>
    <row r="3740" spans="2:23" x14ac:dyDescent="0.25">
      <c r="B3740" s="169" t="s">
        <v>12320</v>
      </c>
      <c r="C3740" s="169" t="s">
        <v>57</v>
      </c>
      <c r="D3740" s="169" t="s">
        <v>5872</v>
      </c>
      <c r="E3740" s="169" t="s">
        <v>19</v>
      </c>
      <c r="F3740" s="245" t="str">
        <f t="shared" si="236"/>
        <v>DVR 72</v>
      </c>
      <c r="G3740" s="169" t="s">
        <v>4155</v>
      </c>
      <c r="I3740" s="169" t="str">
        <f t="shared" si="235"/>
        <v>L425_JVSPLIT_076E_RAISE</v>
      </c>
      <c r="J3740" s="169" t="s">
        <v>14346</v>
      </c>
      <c r="K3740" s="169">
        <f>IFERROR(MATCH(J3740,'Final List'!$B$4:$B$252,0),0)</f>
        <v>0</v>
      </c>
      <c r="L3740" s="169">
        <f>IFERROR(MATCH(J3740,'Final List'!$D$4:$D$252,0),0)</f>
        <v>0</v>
      </c>
      <c r="M3740" s="169">
        <f>IFERROR(MATCH(J3740,'Final List'!$F$4:$F$251,0),0)</f>
        <v>0</v>
      </c>
      <c r="N3740" s="169">
        <f>IFERROR(MATCH(J3740,'Final List'!$H$4:$H$252,0),0)</f>
        <v>0</v>
      </c>
      <c r="O3740" s="169">
        <f>IFERROR(MATCH(J3740,'Final List'!$J$4:$J$252,0),0)</f>
        <v>0</v>
      </c>
      <c r="P3740" s="169">
        <f>IFERROR(MATCH(J3740,'Final List'!$L$4:$L$252,0),0)</f>
        <v>0</v>
      </c>
      <c r="Q3740" s="169">
        <f>IFERROR(MATCH(J3740,'Final List'!$N$4:$N$252,0),0)</f>
        <v>0</v>
      </c>
      <c r="R3740" s="169">
        <f>IFERROR(MATCH(J3740,'Final List'!$P$4:$P$252,0),0)</f>
        <v>0</v>
      </c>
      <c r="S3740" s="169">
        <f t="shared" si="237"/>
        <v>0</v>
      </c>
      <c r="V3740" s="169" t="str">
        <f t="shared" si="238"/>
        <v>BAÑEZ</v>
      </c>
      <c r="W3740" s="169" t="s">
        <v>2715</v>
      </c>
    </row>
    <row r="3741" spans="2:23" x14ac:dyDescent="0.25">
      <c r="B3741" s="169" t="s">
        <v>1167</v>
      </c>
      <c r="C3741" s="169" t="s">
        <v>45</v>
      </c>
      <c r="D3741" s="169" t="s">
        <v>201</v>
      </c>
      <c r="E3741" s="169" t="s">
        <v>19</v>
      </c>
      <c r="F3741" s="245" t="str">
        <f t="shared" si="236"/>
        <v>DVR 72</v>
      </c>
      <c r="G3741" s="169" t="s">
        <v>14127</v>
      </c>
      <c r="I3741" s="169" t="str">
        <f t="shared" si="235"/>
        <v>L12_DPVE_067E_RAISE</v>
      </c>
      <c r="J3741" s="169" t="s">
        <v>14347</v>
      </c>
      <c r="K3741" s="169">
        <f>IFERROR(MATCH(J3741,'Final List'!$B$4:$B$252,0),0)</f>
        <v>0</v>
      </c>
      <c r="L3741" s="169">
        <f>IFERROR(MATCH(J3741,'Final List'!$D$4:$D$252,0),0)</f>
        <v>0</v>
      </c>
      <c r="M3741" s="169">
        <f>IFERROR(MATCH(J3741,'Final List'!$F$4:$F$251,0),0)</f>
        <v>0</v>
      </c>
      <c r="N3741" s="169">
        <f>IFERROR(MATCH(J3741,'Final List'!$H$4:$H$252,0),0)</f>
        <v>0</v>
      </c>
      <c r="O3741" s="169">
        <f>IFERROR(MATCH(J3741,'Final List'!$J$4:$J$252,0),0)</f>
        <v>0</v>
      </c>
      <c r="P3741" s="169">
        <f>IFERROR(MATCH(J3741,'Final List'!$L$4:$L$252,0),0)</f>
        <v>0</v>
      </c>
      <c r="Q3741" s="169">
        <f>IFERROR(MATCH(J3741,'Final List'!$N$4:$N$252,0),0)</f>
        <v>0</v>
      </c>
      <c r="R3741" s="169">
        <f>IFERROR(MATCH(J3741,'Final List'!$P$4:$P$252,0),0)</f>
        <v>0</v>
      </c>
      <c r="S3741" s="169">
        <f t="shared" si="237"/>
        <v>0</v>
      </c>
      <c r="V3741" s="169" t="str">
        <f t="shared" si="238"/>
        <v>BACLAS</v>
      </c>
      <c r="W3741" s="169" t="s">
        <v>2715</v>
      </c>
    </row>
    <row r="3742" spans="2:23" x14ac:dyDescent="0.25">
      <c r="B3742" s="169" t="s">
        <v>1167</v>
      </c>
      <c r="C3742" s="169" t="s">
        <v>39</v>
      </c>
      <c r="D3742" s="169" t="s">
        <v>144</v>
      </c>
      <c r="E3742" s="169" t="s">
        <v>19</v>
      </c>
      <c r="F3742" s="245" t="str">
        <f t="shared" si="236"/>
        <v>DVR 72</v>
      </c>
      <c r="G3742" s="169" t="s">
        <v>14349</v>
      </c>
      <c r="I3742" s="169" t="str">
        <f t="shared" si="235"/>
        <v>L12_JVHW_043E_RAISE</v>
      </c>
      <c r="J3742" s="169" t="s">
        <v>14348</v>
      </c>
      <c r="K3742" s="169">
        <f>IFERROR(MATCH(J3742,'Final List'!$B$4:$B$252,0),0)</f>
        <v>0</v>
      </c>
      <c r="L3742" s="169">
        <f>IFERROR(MATCH(J3742,'Final List'!$D$4:$D$252,0),0)</f>
        <v>0</v>
      </c>
      <c r="M3742" s="169">
        <f>IFERROR(MATCH(J3742,'Final List'!$F$4:$F$251,0),0)</f>
        <v>0</v>
      </c>
      <c r="N3742" s="169">
        <f>IFERROR(MATCH(J3742,'Final List'!$H$4:$H$252,0),0)</f>
        <v>0</v>
      </c>
      <c r="O3742" s="169">
        <f>IFERROR(MATCH(J3742,'Final List'!$J$4:$J$252,0),0)</f>
        <v>0</v>
      </c>
      <c r="P3742" s="169">
        <f>IFERROR(MATCH(J3742,'Final List'!$L$4:$L$252,0),0)</f>
        <v>0</v>
      </c>
      <c r="Q3742" s="169">
        <f>IFERROR(MATCH(J3742,'Final List'!$N$4:$N$252,0),0)</f>
        <v>0</v>
      </c>
      <c r="R3742" s="169">
        <f>IFERROR(MATCH(J3742,'Final List'!$P$4:$P$252,0),0)</f>
        <v>0</v>
      </c>
      <c r="S3742" s="169">
        <f t="shared" si="237"/>
        <v>0</v>
      </c>
      <c r="V3742" s="169" t="str">
        <f t="shared" si="238"/>
        <v>DURANGO 2</v>
      </c>
      <c r="W3742" s="169" t="s">
        <v>2715</v>
      </c>
    </row>
    <row r="3743" spans="2:23" x14ac:dyDescent="0.25">
      <c r="B3743" s="169" t="s">
        <v>12320</v>
      </c>
      <c r="C3743" s="169" t="s">
        <v>42</v>
      </c>
      <c r="D3743" s="169" t="s">
        <v>130</v>
      </c>
      <c r="E3743" s="169" t="s">
        <v>61</v>
      </c>
      <c r="F3743" s="245" t="str">
        <f t="shared" si="236"/>
        <v>Dhoz 71</v>
      </c>
      <c r="G3743" s="169" t="s">
        <v>7984</v>
      </c>
      <c r="I3743" s="169" t="str">
        <f t="shared" si="235"/>
        <v>L425_JV_036E_DW</v>
      </c>
      <c r="J3743" s="169" t="s">
        <v>14350</v>
      </c>
      <c r="K3743" s="169">
        <f>IFERROR(MATCH(J3743,'Final List'!$B$4:$B$252,0),0)</f>
        <v>0</v>
      </c>
      <c r="L3743" s="169">
        <f>IFERROR(MATCH(J3743,'Final List'!$D$4:$D$252,0),0)</f>
        <v>0</v>
      </c>
      <c r="M3743" s="169">
        <f>IFERROR(MATCH(J3743,'Final List'!$F$4:$F$251,0),0)</f>
        <v>0</v>
      </c>
      <c r="N3743" s="169">
        <f>IFERROR(MATCH(J3743,'Final List'!$H$4:$H$252,0),0)</f>
        <v>190</v>
      </c>
      <c r="O3743" s="169">
        <f>IFERROR(MATCH(J3743,'Final List'!$J$4:$J$252,0),0)</f>
        <v>0</v>
      </c>
      <c r="P3743" s="169">
        <f>IFERROR(MATCH(J3743,'Final List'!$L$4:$L$252,0),0)</f>
        <v>0</v>
      </c>
      <c r="Q3743" s="169">
        <f>IFERROR(MATCH(J3743,'Final List'!$N$4:$N$252,0),0)</f>
        <v>0</v>
      </c>
      <c r="R3743" s="169">
        <f>IFERROR(MATCH(J3743,'Final List'!$P$4:$P$252,0),0)</f>
        <v>0</v>
      </c>
      <c r="S3743" s="169">
        <f t="shared" si="237"/>
        <v>190</v>
      </c>
      <c r="V3743" s="169" t="str">
        <f t="shared" si="238"/>
        <v>OLIVEROS</v>
      </c>
      <c r="W3743" s="169" t="s">
        <v>8896</v>
      </c>
    </row>
    <row r="3744" spans="2:23" x14ac:dyDescent="0.25">
      <c r="B3744" s="169" t="s">
        <v>258</v>
      </c>
      <c r="C3744" s="169" t="s">
        <v>45</v>
      </c>
      <c r="D3744" s="169" t="s">
        <v>9971</v>
      </c>
      <c r="E3744" s="169" t="s">
        <v>62</v>
      </c>
      <c r="F3744" s="245" t="str">
        <f t="shared" si="236"/>
        <v>RobS 79</v>
      </c>
      <c r="G3744" s="169" t="s">
        <v>75</v>
      </c>
      <c r="H3744" s="169" t="s">
        <v>6216</v>
      </c>
      <c r="I3744" s="169" t="str">
        <f t="shared" si="235"/>
        <v>L10_DPVE_096E_ROBBING</v>
      </c>
      <c r="J3744" s="169" t="s">
        <v>14354</v>
      </c>
      <c r="K3744" s="169">
        <f>IFERROR(MATCH(J3744,'Final List'!$B$4:$B$252,0),0)</f>
        <v>0</v>
      </c>
      <c r="L3744" s="169">
        <f>IFERROR(MATCH(J3744,'Final List'!$D$4:$D$252,0),0)</f>
        <v>0</v>
      </c>
      <c r="M3744" s="169">
        <f>IFERROR(MATCH(J3744,'Final List'!$F$4:$F$251,0),0)</f>
        <v>0</v>
      </c>
      <c r="N3744" s="169">
        <f>IFERROR(MATCH(J3744,'Final List'!$H$4:$H$252,0),0)</f>
        <v>0</v>
      </c>
      <c r="O3744" s="169">
        <f>IFERROR(MATCH(J3744,'Final List'!$J$4:$J$252,0),0)</f>
        <v>0</v>
      </c>
      <c r="P3744" s="169">
        <f>IFERROR(MATCH(J3744,'Final List'!$L$4:$L$252,0),0)</f>
        <v>0</v>
      </c>
      <c r="Q3744" s="169">
        <f>IFERROR(MATCH(J3744,'Final List'!$N$4:$N$252,0),0)</f>
        <v>0</v>
      </c>
      <c r="R3744" s="169">
        <f>IFERROR(MATCH(J3744,'Final List'!$P$4:$P$252,0),0)</f>
        <v>0</v>
      </c>
      <c r="S3744" s="169">
        <f t="shared" si="237"/>
        <v>0</v>
      </c>
      <c r="T3744" s="169" t="s">
        <v>68</v>
      </c>
      <c r="V3744" s="169" t="str">
        <f t="shared" si="238"/>
        <v>FERNANDEZ</v>
      </c>
      <c r="W3744" s="169" t="s">
        <v>2707</v>
      </c>
    </row>
    <row r="3745" spans="2:23" x14ac:dyDescent="0.25">
      <c r="B3745" s="169" t="s">
        <v>95</v>
      </c>
      <c r="C3745" s="169" t="s">
        <v>45</v>
      </c>
      <c r="D3745" s="169" t="s">
        <v>7301</v>
      </c>
      <c r="E3745" s="169" t="s">
        <v>36</v>
      </c>
      <c r="F3745" s="245" t="str">
        <f t="shared" si="236"/>
        <v>StpL 78</v>
      </c>
      <c r="G3745" s="169" t="s">
        <v>14152</v>
      </c>
      <c r="I3745" s="169" t="str">
        <f t="shared" si="235"/>
        <v>L08_DPVE_010W_STOPE</v>
      </c>
      <c r="J3745" s="169" t="s">
        <v>14353</v>
      </c>
      <c r="K3745" s="169">
        <f>IFERROR(MATCH(J3745,'Final List'!$B$4:$B$252,0),0)</f>
        <v>0</v>
      </c>
      <c r="L3745" s="169">
        <f>IFERROR(MATCH(J3745,'Final List'!$D$4:$D$252,0),0)</f>
        <v>0</v>
      </c>
      <c r="M3745" s="169">
        <f>IFERROR(MATCH(J3745,'Final List'!$F$4:$F$251,0),0)</f>
        <v>0</v>
      </c>
      <c r="N3745" s="169">
        <f>IFERROR(MATCH(J3745,'Final List'!$H$4:$H$252,0),0)</f>
        <v>0</v>
      </c>
      <c r="O3745" s="169">
        <f>IFERROR(MATCH(J3745,'Final List'!$J$4:$J$252,0),0)</f>
        <v>0</v>
      </c>
      <c r="P3745" s="169">
        <f>IFERROR(MATCH(J3745,'Final List'!$L$4:$L$252,0),0)</f>
        <v>0</v>
      </c>
      <c r="Q3745" s="169">
        <f>IFERROR(MATCH(J3745,'Final List'!$N$4:$N$252,0),0)</f>
        <v>0</v>
      </c>
      <c r="R3745" s="169">
        <f>IFERROR(MATCH(J3745,'Final List'!$P$4:$P$252,0),0)</f>
        <v>0</v>
      </c>
      <c r="S3745" s="169">
        <f t="shared" si="237"/>
        <v>0</v>
      </c>
      <c r="T3745" s="169" t="s">
        <v>48</v>
      </c>
      <c r="V3745" s="169" t="str">
        <f t="shared" si="238"/>
        <v>NITRO CF1</v>
      </c>
      <c r="W3745" s="169" t="s">
        <v>2711</v>
      </c>
    </row>
    <row r="3746" spans="2:23" x14ac:dyDescent="0.25">
      <c r="B3746" s="169" t="s">
        <v>1167</v>
      </c>
      <c r="C3746" s="169" t="s">
        <v>42</v>
      </c>
      <c r="D3746" s="169" t="s">
        <v>132</v>
      </c>
      <c r="E3746" s="169" t="s">
        <v>62</v>
      </c>
      <c r="F3746" s="245" t="str">
        <f t="shared" si="236"/>
        <v>RobS 79</v>
      </c>
      <c r="G3746" s="169" t="s">
        <v>13633</v>
      </c>
      <c r="I3746" s="169" t="str">
        <f t="shared" si="235"/>
        <v>L12_JV_033E_ROBBING</v>
      </c>
      <c r="J3746" s="169" t="s">
        <v>14358</v>
      </c>
      <c r="K3746" s="169">
        <f>IFERROR(MATCH(J3746,'Final List'!$B$4:$B$252,0),0)</f>
        <v>0</v>
      </c>
      <c r="L3746" s="169">
        <f>IFERROR(MATCH(J3746,'Final List'!$D$4:$D$252,0),0)</f>
        <v>0</v>
      </c>
      <c r="M3746" s="169">
        <f>IFERROR(MATCH(J3746,'Final List'!$F$4:$F$251,0),0)</f>
        <v>0</v>
      </c>
      <c r="N3746" s="169">
        <f>IFERROR(MATCH(J3746,'Final List'!$H$4:$H$252,0),0)</f>
        <v>0</v>
      </c>
      <c r="O3746" s="169">
        <f>IFERROR(MATCH(J3746,'Final List'!$J$4:$J$252,0),0)</f>
        <v>0</v>
      </c>
      <c r="P3746" s="169">
        <f>IFERROR(MATCH(J3746,'Final List'!$L$4:$L$252,0),0)</f>
        <v>0</v>
      </c>
      <c r="Q3746" s="169">
        <f>IFERROR(MATCH(J3746,'Final List'!$N$4:$N$252,0),0)</f>
        <v>0</v>
      </c>
      <c r="R3746" s="169">
        <f>IFERROR(MATCH(J3746,'Final List'!$P$4:$P$252,0),0)</f>
        <v>0</v>
      </c>
      <c r="S3746" s="169">
        <f t="shared" si="237"/>
        <v>0</v>
      </c>
      <c r="T3746" s="169" t="s">
        <v>68</v>
      </c>
      <c r="V3746" s="169" t="str">
        <f t="shared" si="238"/>
        <v>CAYMAN</v>
      </c>
      <c r="W3746" s="169" t="s">
        <v>2707</v>
      </c>
    </row>
    <row r="3747" spans="2:23" x14ac:dyDescent="0.25">
      <c r="B3747" s="169" t="s">
        <v>258</v>
      </c>
      <c r="C3747" s="169" t="s">
        <v>42</v>
      </c>
      <c r="D3747" s="169" t="s">
        <v>169</v>
      </c>
      <c r="E3747" s="169" t="s">
        <v>62</v>
      </c>
      <c r="F3747" s="245" t="str">
        <f t="shared" si="236"/>
        <v>RobS 79</v>
      </c>
      <c r="G3747" t="s">
        <v>362</v>
      </c>
      <c r="H3747" s="169" t="s">
        <v>6216</v>
      </c>
      <c r="I3747" s="169" t="str">
        <f t="shared" ref="I3747:I3788" si="239">CONCATENATE(B3747,"_",C3747,"_",D3747,"_",E3747)</f>
        <v>L10_JV_065E_ROBBING</v>
      </c>
      <c r="J3747" s="169" t="str">
        <f>CONCATENATE(B3747,"_",C3747,"_",D3747,"_",E3747)</f>
        <v>L10_JV_065E_ROBBING</v>
      </c>
      <c r="K3747" s="169">
        <f>IFERROR(MATCH(J3747,'Final List'!$B$4:$B$252,0),0)</f>
        <v>0</v>
      </c>
      <c r="L3747" s="169">
        <f>IFERROR(MATCH(J3747,'Final List'!$D$4:$D$252,0),0)</f>
        <v>0</v>
      </c>
      <c r="M3747" s="169">
        <f>IFERROR(MATCH(J3747,'Final List'!$F$4:$F$251,0),0)</f>
        <v>0</v>
      </c>
      <c r="N3747" s="169">
        <f>IFERROR(MATCH(J3747,'Final List'!$H$4:$H$252,0),0)</f>
        <v>0</v>
      </c>
      <c r="O3747" s="169">
        <f>IFERROR(MATCH(J3747,'Final List'!$J$4:$J$252,0),0)</f>
        <v>0</v>
      </c>
      <c r="P3747" s="169">
        <f>IFERROR(MATCH(J3747,'Final List'!$L$4:$L$252,0),0)</f>
        <v>0</v>
      </c>
      <c r="Q3747" s="169">
        <f>IFERROR(MATCH(J3747,'Final List'!$N$4:$N$252,0),0)</f>
        <v>0</v>
      </c>
      <c r="R3747" s="169">
        <f>IFERROR(MATCH(J3747,'Final List'!$P$4:$P$252,0),0)</f>
        <v>0</v>
      </c>
      <c r="S3747" s="169">
        <f t="shared" si="237"/>
        <v>0</v>
      </c>
      <c r="T3747" s="169" t="s">
        <v>68</v>
      </c>
      <c r="V3747" s="169" t="str">
        <f t="shared" si="238"/>
        <v>FERNANDEZ</v>
      </c>
      <c r="W3747" s="169" t="s">
        <v>2707</v>
      </c>
    </row>
    <row r="3748" spans="2:23" x14ac:dyDescent="0.25">
      <c r="B3748" s="169" t="s">
        <v>258</v>
      </c>
      <c r="C3748" s="169" t="s">
        <v>56</v>
      </c>
      <c r="D3748" s="169" t="s">
        <v>5940</v>
      </c>
      <c r="E3748" s="169" t="s">
        <v>19</v>
      </c>
      <c r="F3748" s="245" t="str">
        <f t="shared" si="236"/>
        <v>DVR 72</v>
      </c>
      <c r="G3748" t="s">
        <v>12888</v>
      </c>
      <c r="I3748" s="169" t="str">
        <f t="shared" si="239"/>
        <v>L10_GHVFW_022W_RAISE</v>
      </c>
      <c r="J3748" s="169" t="str">
        <f t="shared" ref="J3748:J3785" si="240">CONCATENATE(B3748,"_",C3748,"_",D3748,"_",E3748)</f>
        <v>L10_GHVFW_022W_RAISE</v>
      </c>
      <c r="K3748" s="169">
        <f>IFERROR(MATCH(J3748,'Final List'!$B$4:$B$252,0),0)</f>
        <v>0</v>
      </c>
      <c r="L3748" s="169">
        <f>IFERROR(MATCH(J3748,'Final List'!$D$4:$D$252,0),0)</f>
        <v>0</v>
      </c>
      <c r="M3748" s="169">
        <f>IFERROR(MATCH(J3748,'Final List'!$F$4:$F$251,0),0)</f>
        <v>0</v>
      </c>
      <c r="N3748" s="169">
        <f>IFERROR(MATCH(J3748,'Final List'!$H$4:$H$252,0),0)</f>
        <v>0</v>
      </c>
      <c r="O3748" s="169">
        <f>IFERROR(MATCH(J3748,'Final List'!$J$4:$J$252,0),0)</f>
        <v>0</v>
      </c>
      <c r="P3748" s="169">
        <f>IFERROR(MATCH(J3748,'Final List'!$L$4:$L$252,0),0)</f>
        <v>0</v>
      </c>
      <c r="Q3748" s="169">
        <f>IFERROR(MATCH(J3748,'Final List'!$N$4:$N$252,0),0)</f>
        <v>0</v>
      </c>
      <c r="R3748" s="169">
        <f>IFERROR(MATCH(J3748,'Final List'!$P$4:$P$252,0),0)</f>
        <v>0</v>
      </c>
      <c r="S3748" s="169">
        <f t="shared" si="237"/>
        <v>0</v>
      </c>
      <c r="V3748" s="169" t="str">
        <f t="shared" si="238"/>
        <v>NITRO BD</v>
      </c>
      <c r="W3748" s="169" t="s">
        <v>2715</v>
      </c>
    </row>
    <row r="3749" spans="2:23" x14ac:dyDescent="0.25">
      <c r="B3749" s="169" t="s">
        <v>12320</v>
      </c>
      <c r="C3749" s="169" t="s">
        <v>39</v>
      </c>
      <c r="D3749" s="169" t="s">
        <v>5602</v>
      </c>
      <c r="E3749" s="169" t="s">
        <v>19</v>
      </c>
      <c r="F3749" s="245" t="str">
        <f t="shared" si="236"/>
        <v>DVR 72</v>
      </c>
      <c r="G3749" s="169" t="s">
        <v>1510</v>
      </c>
      <c r="I3749" s="169" t="str">
        <f t="shared" si="239"/>
        <v>L425_JVHW_053E_RAISE</v>
      </c>
      <c r="J3749" s="169" t="str">
        <f t="shared" si="240"/>
        <v>L425_JVHW_053E_RAISE</v>
      </c>
      <c r="K3749" s="169">
        <f>IFERROR(MATCH(J3749,'Final List'!$B$4:$B$252,0),0)</f>
        <v>0</v>
      </c>
      <c r="L3749" s="169">
        <f>IFERROR(MATCH(J3749,'Final List'!$D$4:$D$252,0),0)</f>
        <v>0</v>
      </c>
      <c r="M3749" s="169">
        <f>IFERROR(MATCH(J3749,'Final List'!$F$4:$F$251,0),0)</f>
        <v>0</v>
      </c>
      <c r="N3749" s="169">
        <f>IFERROR(MATCH(J3749,'Final List'!$H$4:$H$252,0),0)</f>
        <v>0</v>
      </c>
      <c r="O3749" s="169">
        <f>IFERROR(MATCH(J3749,'Final List'!$J$4:$J$252,0),0)</f>
        <v>0</v>
      </c>
      <c r="P3749" s="169">
        <f>IFERROR(MATCH(J3749,'Final List'!$L$4:$L$252,0),0)</f>
        <v>0</v>
      </c>
      <c r="Q3749" s="169">
        <f>IFERROR(MATCH(J3749,'Final List'!$N$4:$N$252,0),0)</f>
        <v>0</v>
      </c>
      <c r="R3749" s="169">
        <f>IFERROR(MATCH(J3749,'Final List'!$P$4:$P$252,0),0)</f>
        <v>0</v>
      </c>
      <c r="S3749" s="169">
        <f t="shared" si="237"/>
        <v>0</v>
      </c>
      <c r="V3749" s="169" t="str">
        <f t="shared" si="238"/>
        <v>DELOS REYES</v>
      </c>
      <c r="W3749" s="169" t="s">
        <v>2715</v>
      </c>
    </row>
    <row r="3750" spans="2:23" x14ac:dyDescent="0.25">
      <c r="B3750" s="169" t="s">
        <v>95</v>
      </c>
      <c r="C3750" s="169" t="s">
        <v>45</v>
      </c>
      <c r="D3750" s="169" t="s">
        <v>148</v>
      </c>
      <c r="E3750" s="169" t="s">
        <v>6143</v>
      </c>
      <c r="F3750" s="245" t="str">
        <f t="shared" si="236"/>
        <v>Dhoz 71</v>
      </c>
      <c r="G3750" s="169" t="s">
        <v>14139</v>
      </c>
      <c r="I3750" s="169" t="str">
        <f t="shared" si="239"/>
        <v>L08_DPVE_039E_DE_ISL</v>
      </c>
      <c r="J3750" s="169" t="str">
        <f t="shared" si="240"/>
        <v>L08_DPVE_039E_DE_ISL</v>
      </c>
      <c r="K3750" s="169">
        <f>IFERROR(MATCH(J3750,'Final List'!$B$4:$B$252,0),0)</f>
        <v>0</v>
      </c>
      <c r="L3750" s="169">
        <f>IFERROR(MATCH(J3750,'Final List'!$D$4:$D$252,0),0)</f>
        <v>0</v>
      </c>
      <c r="M3750" s="169">
        <f>IFERROR(MATCH(J3750,'Final List'!$F$4:$F$251,0),0)</f>
        <v>0</v>
      </c>
      <c r="N3750" s="169">
        <f>IFERROR(MATCH(J3750,'Final List'!$H$4:$H$252,0),0)</f>
        <v>0</v>
      </c>
      <c r="O3750" s="169">
        <f>IFERROR(MATCH(J3750,'Final List'!$J$4:$J$252,0),0)</f>
        <v>0</v>
      </c>
      <c r="P3750" s="169">
        <f>IFERROR(MATCH(J3750,'Final List'!$L$4:$L$252,0),0)</f>
        <v>0</v>
      </c>
      <c r="Q3750" s="169">
        <f>IFERROR(MATCH(J3750,'Final List'!$N$4:$N$252,0),0)</f>
        <v>0</v>
      </c>
      <c r="R3750" s="169">
        <f>IFERROR(MATCH(J3750,'Final List'!$P$4:$P$252,0),0)</f>
        <v>0</v>
      </c>
      <c r="S3750" s="169">
        <f t="shared" si="237"/>
        <v>0</v>
      </c>
      <c r="V3750" s="169" t="str">
        <f t="shared" si="238"/>
        <v>CANTAGO</v>
      </c>
      <c r="W3750" s="169" t="s">
        <v>8895</v>
      </c>
    </row>
    <row r="3751" spans="2:23" x14ac:dyDescent="0.25">
      <c r="B3751" s="169" t="s">
        <v>95</v>
      </c>
      <c r="C3751" s="169" t="s">
        <v>42</v>
      </c>
      <c r="D3751" s="169" t="s">
        <v>131</v>
      </c>
      <c r="E3751" s="169" t="s">
        <v>62</v>
      </c>
      <c r="F3751" s="245" t="str">
        <f t="shared" si="236"/>
        <v>RobS 79</v>
      </c>
      <c r="G3751" s="169" t="s">
        <v>13989</v>
      </c>
      <c r="I3751" s="169" t="str">
        <f t="shared" si="239"/>
        <v>L08_JV_011E_ROBBING</v>
      </c>
      <c r="J3751" s="169" t="str">
        <f t="shared" si="240"/>
        <v>L08_JV_011E_ROBBING</v>
      </c>
      <c r="K3751" s="169">
        <f>IFERROR(MATCH(J3751,'Final List'!$B$4:$B$252,0),0)</f>
        <v>0</v>
      </c>
      <c r="L3751" s="169">
        <f>IFERROR(MATCH(J3751,'Final List'!$D$4:$D$252,0),0)</f>
        <v>0</v>
      </c>
      <c r="M3751" s="169">
        <f>IFERROR(MATCH(J3751,'Final List'!$F$4:$F$251,0),0)</f>
        <v>0</v>
      </c>
      <c r="N3751" s="169">
        <f>IFERROR(MATCH(J3751,'Final List'!$H$4:$H$252,0),0)</f>
        <v>0</v>
      </c>
      <c r="O3751" s="169">
        <f>IFERROR(MATCH(J3751,'Final List'!$J$4:$J$252,0),0)</f>
        <v>0</v>
      </c>
      <c r="P3751" s="169">
        <f>IFERROR(MATCH(J3751,'Final List'!$L$4:$L$252,0),0)</f>
        <v>0</v>
      </c>
      <c r="Q3751" s="169">
        <f>IFERROR(MATCH(J3751,'Final List'!$N$4:$N$252,0),0)</f>
        <v>0</v>
      </c>
      <c r="R3751" s="169">
        <f>IFERROR(MATCH(J3751,'Final List'!$P$4:$P$252,0),0)</f>
        <v>0</v>
      </c>
      <c r="S3751" s="169">
        <f t="shared" si="237"/>
        <v>0</v>
      </c>
      <c r="T3751" s="169" t="s">
        <v>68</v>
      </c>
      <c r="V3751" s="169" t="str">
        <f t="shared" si="238"/>
        <v>FERNANDEZ 7</v>
      </c>
      <c r="W3751" s="169" t="s">
        <v>2707</v>
      </c>
    </row>
    <row r="3752" spans="2:23" x14ac:dyDescent="0.25">
      <c r="B3752" s="169" t="s">
        <v>96</v>
      </c>
      <c r="C3752" s="169" t="s">
        <v>38</v>
      </c>
      <c r="D3752" s="169" t="s">
        <v>6518</v>
      </c>
      <c r="E3752" s="169" t="s">
        <v>62</v>
      </c>
      <c r="F3752" s="245" t="str">
        <f t="shared" si="236"/>
        <v>RobS 79</v>
      </c>
      <c r="G3752" s="169" t="s">
        <v>6216</v>
      </c>
      <c r="I3752" s="169" t="str">
        <f t="shared" si="239"/>
        <v>L09_GHV_007E_ROBBING</v>
      </c>
      <c r="J3752" s="169" t="str">
        <f t="shared" si="240"/>
        <v>L09_GHV_007E_ROBBING</v>
      </c>
      <c r="K3752" s="169">
        <f>IFERROR(MATCH(J3752,'Final List'!$B$4:$B$252,0),0)</f>
        <v>0</v>
      </c>
      <c r="L3752" s="169">
        <f>IFERROR(MATCH(J3752,'Final List'!$D$4:$D$252,0),0)</f>
        <v>0</v>
      </c>
      <c r="M3752" s="169">
        <f>IFERROR(MATCH(J3752,'Final List'!$F$4:$F$251,0),0)</f>
        <v>0</v>
      </c>
      <c r="N3752" s="169">
        <f>IFERROR(MATCH(J3752,'Final List'!$H$4:$H$252,0),0)</f>
        <v>0</v>
      </c>
      <c r="O3752" s="169">
        <f>IFERROR(MATCH(J3752,'Final List'!$J$4:$J$252,0),0)</f>
        <v>0</v>
      </c>
      <c r="P3752" s="169">
        <f>IFERROR(MATCH(J3752,'Final List'!$L$4:$L$252,0),0)</f>
        <v>0</v>
      </c>
      <c r="Q3752" s="169">
        <f>IFERROR(MATCH(J3752,'Final List'!$N$4:$N$252,0),0)</f>
        <v>0</v>
      </c>
      <c r="R3752" s="169">
        <f>IFERROR(MATCH(J3752,'Final List'!$P$4:$P$252,0),0)</f>
        <v>113</v>
      </c>
      <c r="S3752" s="169">
        <f t="shared" si="237"/>
        <v>113</v>
      </c>
      <c r="T3752" s="169" t="s">
        <v>68</v>
      </c>
      <c r="V3752" s="169" t="str">
        <f t="shared" si="238"/>
        <v>FERNANDEZ</v>
      </c>
      <c r="W3752" s="169" t="s">
        <v>2707</v>
      </c>
    </row>
    <row r="3753" spans="2:23" x14ac:dyDescent="0.25">
      <c r="B3753" s="169" t="s">
        <v>96</v>
      </c>
      <c r="C3753" s="169" t="s">
        <v>45</v>
      </c>
      <c r="D3753" s="169" t="s">
        <v>9640</v>
      </c>
      <c r="E3753" s="169" t="s">
        <v>60</v>
      </c>
      <c r="F3753" s="245" t="str">
        <f t="shared" si="236"/>
        <v>Dhoz 71</v>
      </c>
      <c r="G3753" s="169" t="s">
        <v>377</v>
      </c>
      <c r="I3753" s="169" t="str">
        <f t="shared" si="239"/>
        <v>L09_DPVE_094E_DE</v>
      </c>
      <c r="J3753" s="169" t="str">
        <f t="shared" si="240"/>
        <v>L09_DPVE_094E_DE</v>
      </c>
      <c r="K3753" s="169">
        <f>IFERROR(MATCH(J3753,'Final List'!$B$4:$B$252,0),0)</f>
        <v>0</v>
      </c>
      <c r="L3753" s="169">
        <f>IFERROR(MATCH(J3753,'Final List'!$D$4:$D$252,0),0)</f>
        <v>0</v>
      </c>
      <c r="M3753" s="169">
        <f>IFERROR(MATCH(J3753,'Final List'!$F$4:$F$251,0),0)</f>
        <v>0</v>
      </c>
      <c r="N3753" s="169">
        <f>IFERROR(MATCH(J3753,'Final List'!$H$4:$H$252,0),0)</f>
        <v>0</v>
      </c>
      <c r="O3753" s="169">
        <f>IFERROR(MATCH(J3753,'Final List'!$J$4:$J$252,0),0)</f>
        <v>0</v>
      </c>
      <c r="P3753" s="169">
        <f>IFERROR(MATCH(J3753,'Final List'!$L$4:$L$252,0),0)</f>
        <v>0</v>
      </c>
      <c r="Q3753" s="169">
        <f>IFERROR(MATCH(J3753,'Final List'!$N$4:$N$252,0),0)</f>
        <v>0</v>
      </c>
      <c r="R3753" s="169">
        <f>IFERROR(MATCH(J3753,'Final List'!$P$4:$P$252,0),0)</f>
        <v>0</v>
      </c>
      <c r="S3753" s="169">
        <f t="shared" si="237"/>
        <v>0</v>
      </c>
      <c r="V3753" s="169" t="str">
        <f t="shared" si="238"/>
        <v>DELOS REYES 1</v>
      </c>
      <c r="W3753" s="169" t="s">
        <v>8896</v>
      </c>
    </row>
    <row r="3754" spans="2:23" x14ac:dyDescent="0.25">
      <c r="B3754" s="169" t="s">
        <v>1166</v>
      </c>
      <c r="C3754" s="169" t="s">
        <v>87</v>
      </c>
      <c r="D3754" s="169" t="s">
        <v>132</v>
      </c>
      <c r="E3754" s="169" t="s">
        <v>19</v>
      </c>
      <c r="F3754" s="245" t="str">
        <f t="shared" si="236"/>
        <v>DVR 72</v>
      </c>
      <c r="G3754" s="169" t="s">
        <v>340</v>
      </c>
      <c r="I3754" s="169" t="str">
        <f t="shared" si="239"/>
        <v>L11_NONE_033E_RAISE</v>
      </c>
      <c r="J3754" s="169" t="str">
        <f t="shared" si="240"/>
        <v>L11_NONE_033E_RAISE</v>
      </c>
      <c r="K3754" s="169">
        <f>IFERROR(MATCH(J3754,'Final List'!$B$4:$B$252,0),0)</f>
        <v>0</v>
      </c>
      <c r="L3754" s="169">
        <f>IFERROR(MATCH(J3754,'Final List'!$D$4:$D$252,0),0)</f>
        <v>0</v>
      </c>
      <c r="M3754" s="169">
        <f>IFERROR(MATCH(J3754,'Final List'!$F$4:$F$251,0),0)</f>
        <v>0</v>
      </c>
      <c r="N3754" s="169">
        <f>IFERROR(MATCH(J3754,'Final List'!$H$4:$H$252,0),0)</f>
        <v>0</v>
      </c>
      <c r="O3754" s="169">
        <f>IFERROR(MATCH(J3754,'Final List'!$J$4:$J$252,0),0)</f>
        <v>0</v>
      </c>
      <c r="P3754" s="169">
        <f>IFERROR(MATCH(J3754,'Final List'!$L$4:$L$252,0),0)</f>
        <v>0</v>
      </c>
      <c r="Q3754" s="169">
        <f>IFERROR(MATCH(J3754,'Final List'!$N$4:$N$252,0),0)</f>
        <v>0</v>
      </c>
      <c r="R3754" s="169">
        <f>IFERROR(MATCH(J3754,'Final List'!$P$4:$P$252,0),0)</f>
        <v>0</v>
      </c>
      <c r="S3754" s="169">
        <f t="shared" si="237"/>
        <v>0</v>
      </c>
      <c r="V3754" s="169" t="str">
        <f t="shared" si="238"/>
        <v>COMAINGKING</v>
      </c>
      <c r="W3754" s="169" t="s">
        <v>2715</v>
      </c>
    </row>
    <row r="3755" spans="2:23" x14ac:dyDescent="0.25">
      <c r="B3755" s="169" t="s">
        <v>95</v>
      </c>
      <c r="C3755" s="169" t="s">
        <v>42</v>
      </c>
      <c r="D3755" s="169" t="s">
        <v>5912</v>
      </c>
      <c r="E3755" s="169" t="s">
        <v>62</v>
      </c>
      <c r="F3755" s="245" t="str">
        <f t="shared" si="236"/>
        <v>RobS 79</v>
      </c>
      <c r="G3755" s="169" t="s">
        <v>14381</v>
      </c>
      <c r="I3755" s="169" t="str">
        <f t="shared" si="239"/>
        <v>L08_JV_019E_ROBBING</v>
      </c>
      <c r="J3755" s="169" t="str">
        <f t="shared" si="240"/>
        <v>L08_JV_019E_ROBBING</v>
      </c>
      <c r="K3755" s="169">
        <f>IFERROR(MATCH(J3755,'Final List'!$B$4:$B$252,0),0)</f>
        <v>0</v>
      </c>
      <c r="L3755" s="169">
        <f>IFERROR(MATCH(J3755,'Final List'!$D$4:$D$252,0),0)</f>
        <v>0</v>
      </c>
      <c r="M3755" s="169">
        <f>IFERROR(MATCH(J3755,'Final List'!$F$4:$F$251,0),0)</f>
        <v>0</v>
      </c>
      <c r="N3755" s="169">
        <f>IFERROR(MATCH(J3755,'Final List'!$H$4:$H$252,0),0)</f>
        <v>0</v>
      </c>
      <c r="O3755" s="169">
        <f>IFERROR(MATCH(J3755,'Final List'!$J$4:$J$252,0),0)</f>
        <v>0</v>
      </c>
      <c r="P3755" s="169">
        <f>IFERROR(MATCH(J3755,'Final List'!$L$4:$L$252,0),0)</f>
        <v>0</v>
      </c>
      <c r="Q3755" s="169">
        <f>IFERROR(MATCH(J3755,'Final List'!$N$4:$N$252,0),0)</f>
        <v>0</v>
      </c>
      <c r="R3755" s="169">
        <f>IFERROR(MATCH(J3755,'Final List'!$P$4:$P$252,0),0)</f>
        <v>0</v>
      </c>
      <c r="S3755" s="169">
        <f t="shared" si="237"/>
        <v>0</v>
      </c>
      <c r="T3755" s="169" t="s">
        <v>68</v>
      </c>
      <c r="V3755" s="169" t="str">
        <f t="shared" si="238"/>
        <v>CAPUYAN 5</v>
      </c>
      <c r="W3755" s="169" t="s">
        <v>2707</v>
      </c>
    </row>
    <row r="3756" spans="2:23" x14ac:dyDescent="0.25">
      <c r="B3756" s="169" t="s">
        <v>1166</v>
      </c>
      <c r="C3756" s="169" t="s">
        <v>45</v>
      </c>
      <c r="D3756" s="169" t="s">
        <v>12821</v>
      </c>
      <c r="E3756" s="169" t="s">
        <v>60</v>
      </c>
      <c r="F3756" s="245" t="str">
        <f t="shared" si="236"/>
        <v>Dhoz 71</v>
      </c>
      <c r="G3756" s="169" t="s">
        <v>4155</v>
      </c>
      <c r="I3756" s="169" t="str">
        <f t="shared" si="239"/>
        <v>L11_DPVE_107E_DE</v>
      </c>
      <c r="J3756" s="169" t="str">
        <f t="shared" si="240"/>
        <v>L11_DPVE_107E_DE</v>
      </c>
      <c r="K3756" s="169">
        <f>IFERROR(MATCH(J3756,'Final List'!$B$4:$B$252,0),0)</f>
        <v>0</v>
      </c>
      <c r="L3756" s="169">
        <f>IFERROR(MATCH(J3756,'Final List'!$D$4:$D$252,0),0)</f>
        <v>0</v>
      </c>
      <c r="M3756" s="169">
        <f>IFERROR(MATCH(J3756,'Final List'!$F$4:$F$251,0),0)</f>
        <v>0</v>
      </c>
      <c r="N3756" s="169">
        <f>IFERROR(MATCH(J3756,'Final List'!$H$4:$H$252,0),0)</f>
        <v>0</v>
      </c>
      <c r="O3756" s="169">
        <f>IFERROR(MATCH(J3756,'Final List'!$J$4:$J$252,0),0)</f>
        <v>0</v>
      </c>
      <c r="P3756" s="169">
        <f>IFERROR(MATCH(J3756,'Final List'!$L$4:$L$252,0),0)</f>
        <v>0</v>
      </c>
      <c r="Q3756" s="169">
        <f>IFERROR(MATCH(J3756,'Final List'!$N$4:$N$252,0),0)</f>
        <v>0</v>
      </c>
      <c r="R3756" s="169">
        <f>IFERROR(MATCH(J3756,'Final List'!$P$4:$P$252,0),0)</f>
        <v>0</v>
      </c>
      <c r="S3756" s="169">
        <f t="shared" si="237"/>
        <v>0</v>
      </c>
      <c r="V3756" s="169" t="str">
        <f t="shared" si="238"/>
        <v>BAÑEZ</v>
      </c>
      <c r="W3756" s="169" t="s">
        <v>8896</v>
      </c>
    </row>
    <row r="3757" spans="2:23" x14ac:dyDescent="0.25">
      <c r="B3757" s="169" t="s">
        <v>1166</v>
      </c>
      <c r="C3757" s="169" t="s">
        <v>45</v>
      </c>
      <c r="D3757" s="169" t="s">
        <v>5723</v>
      </c>
      <c r="E3757" s="169" t="s">
        <v>62</v>
      </c>
      <c r="F3757" s="245" t="str">
        <f t="shared" si="236"/>
        <v>RobS 79</v>
      </c>
      <c r="G3757" s="169" t="s">
        <v>14316</v>
      </c>
      <c r="I3757" s="169" t="str">
        <f t="shared" si="239"/>
        <v>L11_DPVE_046E_ROBBING</v>
      </c>
      <c r="J3757" s="169" t="str">
        <f t="shared" si="240"/>
        <v>L11_DPVE_046E_ROBBING</v>
      </c>
      <c r="K3757" s="169">
        <f>IFERROR(MATCH(J3757,'Final List'!$B$4:$B$252,0),0)</f>
        <v>0</v>
      </c>
      <c r="L3757" s="169">
        <f>IFERROR(MATCH(J3757,'Final List'!$D$4:$D$252,0),0)</f>
        <v>0</v>
      </c>
      <c r="M3757" s="169">
        <f>IFERROR(MATCH(J3757,'Final List'!$F$4:$F$251,0),0)</f>
        <v>0</v>
      </c>
      <c r="N3757" s="169">
        <f>IFERROR(MATCH(J3757,'Final List'!$H$4:$H$252,0),0)</f>
        <v>0</v>
      </c>
      <c r="O3757" s="169">
        <f>IFERROR(MATCH(J3757,'Final List'!$J$4:$J$252,0),0)</f>
        <v>0</v>
      </c>
      <c r="P3757" s="169">
        <f>IFERROR(MATCH(J3757,'Final List'!$L$4:$L$252,0),0)</f>
        <v>0</v>
      </c>
      <c r="Q3757" s="169">
        <f>IFERROR(MATCH(J3757,'Final List'!$N$4:$N$252,0),0)</f>
        <v>0</v>
      </c>
      <c r="R3757" s="169">
        <f>IFERROR(MATCH(J3757,'Final List'!$P$4:$P$252,0),0)</f>
        <v>0</v>
      </c>
      <c r="S3757" s="169">
        <f t="shared" si="237"/>
        <v>0</v>
      </c>
      <c r="T3757" s="169" t="s">
        <v>68</v>
      </c>
      <c r="V3757" s="169" t="str">
        <f t="shared" si="238"/>
        <v>GOC-ONG 1</v>
      </c>
      <c r="W3757" s="169" t="s">
        <v>2707</v>
      </c>
    </row>
    <row r="3758" spans="2:23" x14ac:dyDescent="0.25">
      <c r="B3758" s="169" t="s">
        <v>1166</v>
      </c>
      <c r="C3758" s="169" t="s">
        <v>45</v>
      </c>
      <c r="D3758" s="169" t="s">
        <v>123</v>
      </c>
      <c r="E3758" s="169" t="s">
        <v>441</v>
      </c>
      <c r="F3758" s="245" t="str">
        <f t="shared" si="236"/>
        <v>RobC 80</v>
      </c>
      <c r="G3758" s="169" t="s">
        <v>340</v>
      </c>
      <c r="I3758" s="169" t="str">
        <f t="shared" si="239"/>
        <v>L11_DPVE_031E_WINZE STOPE PREP</v>
      </c>
      <c r="J3758" s="169" t="str">
        <f t="shared" si="240"/>
        <v>L11_DPVE_031E_WINZE STOPE PREP</v>
      </c>
      <c r="K3758" s="169">
        <f>IFERROR(MATCH(J3758,'Final List'!$B$4:$B$252,0),0)</f>
        <v>0</v>
      </c>
      <c r="L3758" s="169">
        <f>IFERROR(MATCH(J3758,'Final List'!$D$4:$D$252,0),0)</f>
        <v>0</v>
      </c>
      <c r="M3758" s="169">
        <f>IFERROR(MATCH(J3758,'Final List'!$F$4:$F$251,0),0)</f>
        <v>0</v>
      </c>
      <c r="N3758" s="169">
        <f>IFERROR(MATCH(J3758,'Final List'!$H$4:$H$252,0),0)</f>
        <v>0</v>
      </c>
      <c r="O3758" s="169">
        <f>IFERROR(MATCH(J3758,'Final List'!$J$4:$J$252,0),0)</f>
        <v>0</v>
      </c>
      <c r="P3758" s="169">
        <f>IFERROR(MATCH(J3758,'Final List'!$L$4:$L$252,0),0)</f>
        <v>0</v>
      </c>
      <c r="Q3758" s="169">
        <f>IFERROR(MATCH(J3758,'Final List'!$N$4:$N$252,0),0)</f>
        <v>0</v>
      </c>
      <c r="R3758" s="169">
        <f>IFERROR(MATCH(J3758,'Final List'!$P$4:$P$252,0),0)</f>
        <v>0</v>
      </c>
      <c r="S3758" s="169">
        <f t="shared" si="237"/>
        <v>0</v>
      </c>
      <c r="T3758" s="169" t="s">
        <v>48</v>
      </c>
      <c r="V3758" s="169" t="str">
        <f t="shared" si="238"/>
        <v>COMAINGKING</v>
      </c>
      <c r="W3758" s="169" t="s">
        <v>2716</v>
      </c>
    </row>
    <row r="3759" spans="2:23" x14ac:dyDescent="0.25">
      <c r="B3759" s="169" t="s">
        <v>1167</v>
      </c>
      <c r="C3759" s="169" t="s">
        <v>55</v>
      </c>
      <c r="D3759" s="169" t="s">
        <v>180</v>
      </c>
      <c r="E3759" s="169" t="s">
        <v>36</v>
      </c>
      <c r="F3759" s="245" t="str">
        <f t="shared" si="236"/>
        <v>StpL 78</v>
      </c>
      <c r="G3759" s="169" t="s">
        <v>14208</v>
      </c>
      <c r="I3759" s="169" t="str">
        <f t="shared" si="239"/>
        <v>L12_JVFW_041E_STOPE</v>
      </c>
      <c r="J3759" s="169" t="str">
        <f t="shared" si="240"/>
        <v>L12_JVFW_041E_STOPE</v>
      </c>
      <c r="K3759" s="169">
        <f>IFERROR(MATCH(J3759,'Final List'!$B$4:$B$252,0),0)</f>
        <v>0</v>
      </c>
      <c r="L3759" s="169">
        <f>IFERROR(MATCH(J3759,'Final List'!$D$4:$D$252,0),0)</f>
        <v>0</v>
      </c>
      <c r="M3759" s="169">
        <f>IFERROR(MATCH(J3759,'Final List'!$F$4:$F$251,0),0)</f>
        <v>0</v>
      </c>
      <c r="N3759" s="169">
        <f>IFERROR(MATCH(J3759,'Final List'!$H$4:$H$252,0),0)</f>
        <v>0</v>
      </c>
      <c r="O3759" s="169">
        <f>IFERROR(MATCH(J3759,'Final List'!$J$4:$J$252,0),0)</f>
        <v>0</v>
      </c>
      <c r="P3759" s="169">
        <f>IFERROR(MATCH(J3759,'Final List'!$L$4:$L$252,0),0)</f>
        <v>0</v>
      </c>
      <c r="Q3759" s="169">
        <f>IFERROR(MATCH(J3759,'Final List'!$N$4:$N$252,0),0)</f>
        <v>0</v>
      </c>
      <c r="R3759" s="169">
        <f>IFERROR(MATCH(J3759,'Final List'!$P$4:$P$252,0),0)</f>
        <v>0</v>
      </c>
      <c r="S3759" s="169">
        <f t="shared" si="237"/>
        <v>0</v>
      </c>
      <c r="T3759" s="169" t="s">
        <v>48</v>
      </c>
      <c r="V3759" s="169" t="str">
        <f t="shared" si="238"/>
        <v>DUHIG,P</v>
      </c>
      <c r="W3759" s="169" t="s">
        <v>2711</v>
      </c>
    </row>
    <row r="3760" spans="2:23" x14ac:dyDescent="0.25">
      <c r="B3760" s="169" t="s">
        <v>1166</v>
      </c>
      <c r="C3760" s="169" t="s">
        <v>42</v>
      </c>
      <c r="D3760" s="169" t="s">
        <v>176</v>
      </c>
      <c r="E3760" s="169" t="s">
        <v>211</v>
      </c>
      <c r="F3760" s="245" t="str">
        <f t="shared" si="236"/>
        <v>StpS 77</v>
      </c>
      <c r="G3760" s="169" t="s">
        <v>14265</v>
      </c>
      <c r="I3760" s="169" t="str">
        <f t="shared" si="239"/>
        <v>L11_JV_057E_STOPE PREP</v>
      </c>
      <c r="J3760" s="169" t="str">
        <f t="shared" si="240"/>
        <v>L11_JV_057E_STOPE PREP</v>
      </c>
      <c r="K3760" s="169">
        <f>IFERROR(MATCH(J3760,'Final List'!$B$4:$B$252,0),0)</f>
        <v>0</v>
      </c>
      <c r="L3760" s="169">
        <f>IFERROR(MATCH(J3760,'Final List'!$D$4:$D$252,0),0)</f>
        <v>0</v>
      </c>
      <c r="M3760" s="169">
        <f>IFERROR(MATCH(J3760,'Final List'!$F$4:$F$251,0),0)</f>
        <v>0</v>
      </c>
      <c r="N3760" s="169">
        <f>IFERROR(MATCH(J3760,'Final List'!$H$4:$H$252,0),0)</f>
        <v>0</v>
      </c>
      <c r="O3760" s="169">
        <f>IFERROR(MATCH(J3760,'Final List'!$J$4:$J$252,0),0)</f>
        <v>0</v>
      </c>
      <c r="P3760" s="169">
        <f>IFERROR(MATCH(J3760,'Final List'!$L$4:$L$252,0),0)</f>
        <v>0</v>
      </c>
      <c r="Q3760" s="169">
        <f>IFERROR(MATCH(J3760,'Final List'!$N$4:$N$252,0),0)</f>
        <v>0</v>
      </c>
      <c r="R3760" s="169">
        <f>IFERROR(MATCH(J3760,'Final List'!$P$4:$P$252,0),0)</f>
        <v>0</v>
      </c>
      <c r="S3760" s="169">
        <f t="shared" si="237"/>
        <v>0</v>
      </c>
      <c r="T3760" s="169" t="s">
        <v>68</v>
      </c>
      <c r="V3760" s="169" t="str">
        <f t="shared" si="238"/>
        <v>NITRO BB1</v>
      </c>
      <c r="W3760" s="169" t="s">
        <v>2712</v>
      </c>
    </row>
    <row r="3761" spans="2:23" x14ac:dyDescent="0.25">
      <c r="B3761" s="169" t="s">
        <v>1167</v>
      </c>
      <c r="C3761" s="169" t="s">
        <v>39</v>
      </c>
      <c r="D3761" s="169" t="s">
        <v>5614</v>
      </c>
      <c r="E3761" s="169" t="s">
        <v>211</v>
      </c>
      <c r="F3761" s="245" t="str">
        <f t="shared" si="236"/>
        <v>StpS 77</v>
      </c>
      <c r="G3761" s="169" t="s">
        <v>14228</v>
      </c>
      <c r="I3761" s="169" t="str">
        <f t="shared" si="239"/>
        <v>L12_JVHW_055E_STOPE PREP</v>
      </c>
      <c r="J3761" s="169" t="str">
        <f t="shared" si="240"/>
        <v>L12_JVHW_055E_STOPE PREP</v>
      </c>
      <c r="K3761" s="169">
        <f>IFERROR(MATCH(J3761,'Final List'!$B$4:$B$252,0),0)</f>
        <v>0</v>
      </c>
      <c r="L3761" s="169">
        <f>IFERROR(MATCH(J3761,'Final List'!$D$4:$D$252,0),0)</f>
        <v>0</v>
      </c>
      <c r="M3761" s="169">
        <f>IFERROR(MATCH(J3761,'Final List'!$F$4:$F$251,0),0)</f>
        <v>0</v>
      </c>
      <c r="N3761" s="169">
        <f>IFERROR(MATCH(J3761,'Final List'!$H$4:$H$252,0),0)</f>
        <v>0</v>
      </c>
      <c r="O3761" s="169">
        <f>IFERROR(MATCH(J3761,'Final List'!$J$4:$J$252,0),0)</f>
        <v>0</v>
      </c>
      <c r="P3761" s="169">
        <f>IFERROR(MATCH(J3761,'Final List'!$L$4:$L$252,0),0)</f>
        <v>0</v>
      </c>
      <c r="Q3761" s="169">
        <f>IFERROR(MATCH(J3761,'Final List'!$N$4:$N$252,0),0)</f>
        <v>0</v>
      </c>
      <c r="R3761" s="169">
        <f>IFERROR(MATCH(J3761,'Final List'!$P$4:$P$252,0),0)</f>
        <v>0</v>
      </c>
      <c r="S3761" s="169">
        <f t="shared" si="237"/>
        <v>0</v>
      </c>
      <c r="T3761" s="169" t="s">
        <v>68</v>
      </c>
      <c r="V3761" s="169" t="str">
        <f t="shared" si="238"/>
        <v>LANTACA 1</v>
      </c>
      <c r="W3761" s="169" t="s">
        <v>2712</v>
      </c>
    </row>
    <row r="3762" spans="2:23" x14ac:dyDescent="0.25">
      <c r="B3762" s="169" t="s">
        <v>1167</v>
      </c>
      <c r="C3762" s="169" t="s">
        <v>43</v>
      </c>
      <c r="D3762" s="169" t="s">
        <v>1230</v>
      </c>
      <c r="E3762" s="169" t="s">
        <v>60</v>
      </c>
      <c r="F3762" s="245" t="str">
        <f t="shared" si="236"/>
        <v>Dhoz 71</v>
      </c>
      <c r="G3762" s="169" t="s">
        <v>14129</v>
      </c>
      <c r="I3762" s="169" t="str">
        <f t="shared" si="239"/>
        <v>L12_GHVSPLIT_075E_DE</v>
      </c>
      <c r="J3762" s="169" t="str">
        <f t="shared" si="240"/>
        <v>L12_GHVSPLIT_075E_DE</v>
      </c>
      <c r="K3762" s="169">
        <f>IFERROR(MATCH(J3762,'Final List'!$B$4:$B$252,0),0)</f>
        <v>0</v>
      </c>
      <c r="L3762" s="169">
        <f>IFERROR(MATCH(J3762,'Final List'!$D$4:$D$252,0),0)</f>
        <v>0</v>
      </c>
      <c r="M3762" s="169">
        <f>IFERROR(MATCH(J3762,'Final List'!$F$4:$F$251,0),0)</f>
        <v>0</v>
      </c>
      <c r="N3762" s="169">
        <f>IFERROR(MATCH(J3762,'Final List'!$H$4:$H$252,0),0)</f>
        <v>0</v>
      </c>
      <c r="O3762" s="169">
        <f>IFERROR(MATCH(J3762,'Final List'!$J$4:$J$252,0),0)</f>
        <v>0</v>
      </c>
      <c r="P3762" s="169">
        <f>IFERROR(MATCH(J3762,'Final List'!$L$4:$L$252,0),0)</f>
        <v>0</v>
      </c>
      <c r="Q3762" s="169">
        <f>IFERROR(MATCH(J3762,'Final List'!$N$4:$N$252,0),0)</f>
        <v>0</v>
      </c>
      <c r="R3762" s="169">
        <f>IFERROR(MATCH(J3762,'Final List'!$P$4:$P$252,0),0)</f>
        <v>0</v>
      </c>
      <c r="S3762" s="169">
        <f t="shared" si="237"/>
        <v>0</v>
      </c>
      <c r="V3762" s="169" t="str">
        <f t="shared" si="238"/>
        <v>DURANGO 3</v>
      </c>
      <c r="W3762" s="169" t="s">
        <v>8896</v>
      </c>
    </row>
    <row r="3763" spans="2:23" x14ac:dyDescent="0.25">
      <c r="B3763" s="169" t="s">
        <v>12320</v>
      </c>
      <c r="C3763" s="169" t="s">
        <v>38</v>
      </c>
      <c r="D3763" s="169" t="s">
        <v>161</v>
      </c>
      <c r="E3763" s="169" t="s">
        <v>19</v>
      </c>
      <c r="F3763" s="245" t="str">
        <f t="shared" si="236"/>
        <v>DVR 72</v>
      </c>
      <c r="G3763" s="169" t="s">
        <v>4155</v>
      </c>
      <c r="I3763" s="169" t="str">
        <f t="shared" si="239"/>
        <v>L425_GHV_044E_RAISE</v>
      </c>
      <c r="J3763" s="169" t="str">
        <f t="shared" si="240"/>
        <v>L425_GHV_044E_RAISE</v>
      </c>
      <c r="K3763" s="169">
        <f>IFERROR(MATCH(J3763,'Final List'!$B$4:$B$252,0),0)</f>
        <v>0</v>
      </c>
      <c r="L3763" s="169">
        <f>IFERROR(MATCH(J3763,'Final List'!$D$4:$D$252,0),0)</f>
        <v>0</v>
      </c>
      <c r="M3763" s="169">
        <f>IFERROR(MATCH(J3763,'Final List'!$F$4:$F$251,0),0)</f>
        <v>0</v>
      </c>
      <c r="N3763" s="169">
        <f>IFERROR(MATCH(J3763,'Final List'!$H$4:$H$252,0),0)</f>
        <v>0</v>
      </c>
      <c r="O3763" s="169">
        <f>IFERROR(MATCH(J3763,'Final List'!$J$4:$J$252,0),0)</f>
        <v>0</v>
      </c>
      <c r="P3763" s="169">
        <f>IFERROR(MATCH(J3763,'Final List'!$L$4:$L$252,0),0)</f>
        <v>0</v>
      </c>
      <c r="Q3763" s="169">
        <f>IFERROR(MATCH(J3763,'Final List'!$N$4:$N$252,0),0)</f>
        <v>0</v>
      </c>
      <c r="R3763" s="169">
        <f>IFERROR(MATCH(J3763,'Final List'!$P$4:$P$252,0),0)</f>
        <v>0</v>
      </c>
      <c r="S3763" s="169">
        <f t="shared" si="237"/>
        <v>0</v>
      </c>
      <c r="V3763" s="169" t="str">
        <f t="shared" si="238"/>
        <v>BAÑEZ</v>
      </c>
      <c r="W3763" s="169" t="s">
        <v>2715</v>
      </c>
    </row>
    <row r="3764" spans="2:23" x14ac:dyDescent="0.25">
      <c r="B3764" s="169" t="s">
        <v>95</v>
      </c>
      <c r="C3764" s="169" t="s">
        <v>42</v>
      </c>
      <c r="D3764" s="169" t="s">
        <v>159</v>
      </c>
      <c r="E3764" s="169" t="s">
        <v>36</v>
      </c>
      <c r="F3764" s="245" t="str">
        <f t="shared" si="236"/>
        <v>StpL 78</v>
      </c>
      <c r="G3764" s="169" t="s">
        <v>8045</v>
      </c>
      <c r="I3764" s="169" t="str">
        <f t="shared" si="239"/>
        <v>L08_JV_023E_STOPE</v>
      </c>
      <c r="J3764" s="169" t="str">
        <f t="shared" si="240"/>
        <v>L08_JV_023E_STOPE</v>
      </c>
      <c r="K3764" s="169">
        <f>IFERROR(MATCH(J3764,'Final List'!$B$4:$B$252,0),0)</f>
        <v>0</v>
      </c>
      <c r="L3764" s="169">
        <f>IFERROR(MATCH(J3764,'Final List'!$D$4:$D$252,0),0)</f>
        <v>0</v>
      </c>
      <c r="M3764" s="169">
        <f>IFERROR(MATCH(J3764,'Final List'!$F$4:$F$251,0),0)</f>
        <v>0</v>
      </c>
      <c r="N3764" s="169">
        <f>IFERROR(MATCH(J3764,'Final List'!$H$4:$H$252,0),0)</f>
        <v>0</v>
      </c>
      <c r="O3764" s="169">
        <f>IFERROR(MATCH(J3764,'Final List'!$J$4:$J$252,0),0)</f>
        <v>0</v>
      </c>
      <c r="P3764" s="169">
        <f>IFERROR(MATCH(J3764,'Final List'!$L$4:$L$252,0),0)</f>
        <v>0</v>
      </c>
      <c r="Q3764" s="169">
        <f>IFERROR(MATCH(J3764,'Final List'!$N$4:$N$252,0),0)</f>
        <v>0</v>
      </c>
      <c r="R3764" s="169">
        <f>IFERROR(MATCH(J3764,'Final List'!$P$4:$P$252,0),0)</f>
        <v>0</v>
      </c>
      <c r="S3764" s="169">
        <f t="shared" si="237"/>
        <v>0</v>
      </c>
      <c r="T3764" s="169" t="s">
        <v>48</v>
      </c>
      <c r="V3764" s="169" t="str">
        <f t="shared" si="238"/>
        <v>CAPUYAN</v>
      </c>
      <c r="W3764" s="169" t="s">
        <v>2711</v>
      </c>
    </row>
    <row r="3765" spans="2:23" x14ac:dyDescent="0.25">
      <c r="B3765" s="169" t="s">
        <v>1166</v>
      </c>
      <c r="C3765" s="169" t="s">
        <v>45</v>
      </c>
      <c r="D3765" s="169" t="s">
        <v>10196</v>
      </c>
      <c r="E3765" s="169" t="s">
        <v>60</v>
      </c>
      <c r="F3765" s="245" t="str">
        <f t="shared" si="236"/>
        <v>Dhoz 71</v>
      </c>
      <c r="G3765" s="169" t="s">
        <v>6954</v>
      </c>
      <c r="I3765" s="169" t="str">
        <f t="shared" si="239"/>
        <v>L11_DPVE_100E_DE</v>
      </c>
      <c r="J3765" s="169" t="str">
        <f t="shared" si="240"/>
        <v>L11_DPVE_100E_DE</v>
      </c>
      <c r="K3765" s="169">
        <f>IFERROR(MATCH(J3765,'Final List'!$B$4:$B$252,0),0)</f>
        <v>0</v>
      </c>
      <c r="L3765" s="169">
        <f>IFERROR(MATCH(J3765,'Final List'!$D$4:$D$252,0),0)</f>
        <v>0</v>
      </c>
      <c r="M3765" s="169">
        <f>IFERROR(MATCH(J3765,'Final List'!$F$4:$F$251,0),0)</f>
        <v>0</v>
      </c>
      <c r="N3765" s="169">
        <f>IFERROR(MATCH(J3765,'Final List'!$H$4:$H$252,0),0)</f>
        <v>0</v>
      </c>
      <c r="O3765" s="169">
        <f>IFERROR(MATCH(J3765,'Final List'!$J$4:$J$252,0),0)</f>
        <v>0</v>
      </c>
      <c r="P3765" s="169">
        <f>IFERROR(MATCH(J3765,'Final List'!$L$4:$L$252,0),0)</f>
        <v>0</v>
      </c>
      <c r="Q3765" s="169">
        <f>IFERROR(MATCH(J3765,'Final List'!$N$4:$N$252,0),0)</f>
        <v>0</v>
      </c>
      <c r="R3765" s="169">
        <f>IFERROR(MATCH(J3765,'Final List'!$P$4:$P$252,0),0)</f>
        <v>0</v>
      </c>
      <c r="S3765" s="169">
        <f t="shared" si="237"/>
        <v>0</v>
      </c>
      <c r="V3765" s="169" t="str">
        <f t="shared" si="238"/>
        <v>BADBADON</v>
      </c>
      <c r="W3765" s="169" t="s">
        <v>8896</v>
      </c>
    </row>
    <row r="3766" spans="2:23" x14ac:dyDescent="0.25">
      <c r="B3766" s="169" t="s">
        <v>1167</v>
      </c>
      <c r="C3766" s="169" t="s">
        <v>39</v>
      </c>
      <c r="D3766" s="169" t="s">
        <v>5602</v>
      </c>
      <c r="E3766" s="169" t="s">
        <v>211</v>
      </c>
      <c r="F3766" s="245" t="str">
        <f t="shared" si="236"/>
        <v>StpS 77</v>
      </c>
      <c r="G3766" s="169" t="s">
        <v>14133</v>
      </c>
      <c r="I3766" s="169" t="str">
        <f t="shared" si="239"/>
        <v>L12_JVHW_053E_STOPE PREP</v>
      </c>
      <c r="J3766" s="169" t="str">
        <f t="shared" si="240"/>
        <v>L12_JVHW_053E_STOPE PREP</v>
      </c>
      <c r="K3766" s="169">
        <f>IFERROR(MATCH(J3766,'Final List'!$B$4:$B$252,0),0)</f>
        <v>0</v>
      </c>
      <c r="L3766" s="169">
        <f>IFERROR(MATCH(J3766,'Final List'!$D$4:$D$252,0),0)</f>
        <v>0</v>
      </c>
      <c r="M3766" s="169">
        <f>IFERROR(MATCH(J3766,'Final List'!$F$4:$F$251,0),0)</f>
        <v>0</v>
      </c>
      <c r="N3766" s="169">
        <f>IFERROR(MATCH(J3766,'Final List'!$H$4:$H$252,0),0)</f>
        <v>0</v>
      </c>
      <c r="O3766" s="169">
        <f>IFERROR(MATCH(J3766,'Final List'!$J$4:$J$252,0),0)</f>
        <v>0</v>
      </c>
      <c r="P3766" s="169">
        <f>IFERROR(MATCH(J3766,'Final List'!$L$4:$L$252,0),0)</f>
        <v>0</v>
      </c>
      <c r="Q3766" s="169">
        <f>IFERROR(MATCH(J3766,'Final List'!$N$4:$N$252,0),0)</f>
        <v>0</v>
      </c>
      <c r="R3766" s="169">
        <f>IFERROR(MATCH(J3766,'Final List'!$P$4:$P$252,0),0)</f>
        <v>0</v>
      </c>
      <c r="S3766" s="169">
        <f t="shared" si="237"/>
        <v>0</v>
      </c>
      <c r="T3766" s="169" t="s">
        <v>68</v>
      </c>
      <c r="V3766" s="169" t="str">
        <f t="shared" si="238"/>
        <v>NITRO CG</v>
      </c>
      <c r="W3766" s="169" t="s">
        <v>2712</v>
      </c>
    </row>
    <row r="3767" spans="2:23" x14ac:dyDescent="0.25">
      <c r="B3767" s="169" t="s">
        <v>12320</v>
      </c>
      <c r="C3767" s="169" t="s">
        <v>38</v>
      </c>
      <c r="D3767" s="169" t="s">
        <v>289</v>
      </c>
      <c r="E3767" s="169" t="s">
        <v>36</v>
      </c>
      <c r="F3767" s="245" t="str">
        <f t="shared" si="236"/>
        <v>StpS 77</v>
      </c>
      <c r="G3767" s="169" t="s">
        <v>5697</v>
      </c>
      <c r="H3767" s="169" t="s">
        <v>14899</v>
      </c>
      <c r="I3767" s="169" t="str">
        <f t="shared" si="239"/>
        <v>L425_GHV_059E_STOPE</v>
      </c>
      <c r="J3767" s="169" t="str">
        <f t="shared" si="240"/>
        <v>L425_GHV_059E_STOPE</v>
      </c>
      <c r="K3767" s="169">
        <f>IFERROR(MATCH(J3767,'Final List'!$B$4:$B$252,0),0)</f>
        <v>0</v>
      </c>
      <c r="L3767" s="169">
        <f>IFERROR(MATCH(J3767,'Final List'!$D$4:$D$252,0),0)</f>
        <v>0</v>
      </c>
      <c r="M3767" s="169">
        <f>IFERROR(MATCH(J3767,'Final List'!$F$4:$F$251,0),0)</f>
        <v>0</v>
      </c>
      <c r="N3767" s="169">
        <f>IFERROR(MATCH(J3767,'Final List'!$H$4:$H$252,0),0)</f>
        <v>0</v>
      </c>
      <c r="O3767" s="169">
        <f>IFERROR(MATCH(J3767,'Final List'!$J$4:$J$252,0),0)</f>
        <v>0</v>
      </c>
      <c r="P3767" s="169">
        <f>IFERROR(MATCH(J3767,'Final List'!$L$4:$L$252,0),0)</f>
        <v>0</v>
      </c>
      <c r="Q3767" s="169">
        <f>IFERROR(MATCH(J3767,'Final List'!$N$4:$N$252,0),0)</f>
        <v>0</v>
      </c>
      <c r="R3767" s="169">
        <f>IFERROR(MATCH(J3767,'Final List'!$P$4:$P$252,0),0)</f>
        <v>0</v>
      </c>
      <c r="S3767" s="169">
        <f t="shared" si="237"/>
        <v>0</v>
      </c>
      <c r="T3767" s="169" t="s">
        <v>68</v>
      </c>
      <c r="V3767" s="169" t="str">
        <f t="shared" si="238"/>
        <v>ESPINOSA 3</v>
      </c>
      <c r="W3767" s="169" t="s">
        <v>2713</v>
      </c>
    </row>
    <row r="3768" spans="2:23" x14ac:dyDescent="0.25">
      <c r="B3768" s="169" t="s">
        <v>12320</v>
      </c>
      <c r="C3768" s="169" t="s">
        <v>45</v>
      </c>
      <c r="D3768" s="169" t="s">
        <v>132</v>
      </c>
      <c r="E3768" s="169" t="s">
        <v>36</v>
      </c>
      <c r="F3768" s="245" t="str">
        <f t="shared" si="236"/>
        <v>StpS 77</v>
      </c>
      <c r="G3768" s="169" t="s">
        <v>7984</v>
      </c>
      <c r="I3768" s="169" t="str">
        <f t="shared" si="239"/>
        <v>L425_DPVE_033E_STOPE</v>
      </c>
      <c r="J3768" s="169" t="str">
        <f t="shared" si="240"/>
        <v>L425_DPVE_033E_STOPE</v>
      </c>
      <c r="K3768" s="169">
        <f>IFERROR(MATCH(J3768,'Final List'!$B$4:$B$252,0),0)</f>
        <v>0</v>
      </c>
      <c r="L3768" s="169">
        <f>IFERROR(MATCH(J3768,'Final List'!$D$4:$D$252,0),0)</f>
        <v>0</v>
      </c>
      <c r="M3768" s="169">
        <f>IFERROR(MATCH(J3768,'Final List'!$F$4:$F$251,0),0)</f>
        <v>0</v>
      </c>
      <c r="N3768" s="169">
        <f>IFERROR(MATCH(J3768,'Final List'!$H$4:$H$252,0),0)</f>
        <v>0</v>
      </c>
      <c r="O3768" s="169">
        <f>IFERROR(MATCH(J3768,'Final List'!$J$4:$J$252,0),0)</f>
        <v>0</v>
      </c>
      <c r="P3768" s="169">
        <f>IFERROR(MATCH(J3768,'Final List'!$L$4:$L$252,0),0)</f>
        <v>0</v>
      </c>
      <c r="Q3768" s="169">
        <f>IFERROR(MATCH(J3768,'Final List'!$N$4:$N$252,0),0)</f>
        <v>0</v>
      </c>
      <c r="R3768" s="169">
        <f>IFERROR(MATCH(J3768,'Final List'!$P$4:$P$252,0),0)</f>
        <v>0</v>
      </c>
      <c r="S3768" s="169">
        <f t="shared" si="237"/>
        <v>0</v>
      </c>
      <c r="T3768" s="169" t="s">
        <v>68</v>
      </c>
      <c r="V3768" s="169" t="str">
        <f t="shared" si="238"/>
        <v>OLIVEROS</v>
      </c>
      <c r="W3768" s="169" t="s">
        <v>2713</v>
      </c>
    </row>
    <row r="3769" spans="2:23" x14ac:dyDescent="0.25">
      <c r="B3769" s="169" t="s">
        <v>12320</v>
      </c>
      <c r="C3769" s="169" t="s">
        <v>42</v>
      </c>
      <c r="D3769" s="169" t="s">
        <v>176</v>
      </c>
      <c r="E3769" s="169" t="s">
        <v>36</v>
      </c>
      <c r="F3769" s="245" t="str">
        <f t="shared" si="236"/>
        <v>StpS 77</v>
      </c>
      <c r="G3769" s="169" t="s">
        <v>14317</v>
      </c>
      <c r="I3769" s="169" t="str">
        <f t="shared" si="239"/>
        <v>L425_JV_057E_STOPE</v>
      </c>
      <c r="J3769" s="169" t="str">
        <f t="shared" si="240"/>
        <v>L425_JV_057E_STOPE</v>
      </c>
      <c r="K3769" s="169">
        <f>IFERROR(MATCH(J3769,'Final List'!$B$4:$B$252,0),0)</f>
        <v>0</v>
      </c>
      <c r="L3769" s="169">
        <f>IFERROR(MATCH(J3769,'Final List'!$D$4:$D$252,0),0)</f>
        <v>0</v>
      </c>
      <c r="M3769" s="169">
        <f>IFERROR(MATCH(J3769,'Final List'!$F$4:$F$251,0),0)</f>
        <v>0</v>
      </c>
      <c r="N3769" s="169">
        <f>IFERROR(MATCH(J3769,'Final List'!$H$4:$H$252,0),0)</f>
        <v>0</v>
      </c>
      <c r="O3769" s="169">
        <f>IFERROR(MATCH(J3769,'Final List'!$J$4:$J$252,0),0)</f>
        <v>0</v>
      </c>
      <c r="P3769" s="169">
        <f>IFERROR(MATCH(J3769,'Final List'!$L$4:$L$252,0),0)</f>
        <v>0</v>
      </c>
      <c r="Q3769" s="169">
        <f>IFERROR(MATCH(J3769,'Final List'!$N$4:$N$252,0),0)</f>
        <v>0</v>
      </c>
      <c r="R3769" s="169">
        <f>IFERROR(MATCH(J3769,'Final List'!$P$4:$P$252,0),0)</f>
        <v>0</v>
      </c>
      <c r="S3769" s="169">
        <f t="shared" si="237"/>
        <v>0</v>
      </c>
      <c r="T3769" s="169" t="s">
        <v>68</v>
      </c>
      <c r="V3769" s="169" t="str">
        <f t="shared" si="238"/>
        <v>ESPINOSA</v>
      </c>
      <c r="W3769" s="169" t="s">
        <v>2713</v>
      </c>
    </row>
    <row r="3770" spans="2:23" x14ac:dyDescent="0.25">
      <c r="B3770" s="169" t="s">
        <v>95</v>
      </c>
      <c r="C3770" s="169" t="s">
        <v>45</v>
      </c>
      <c r="D3770" s="169" t="s">
        <v>133</v>
      </c>
      <c r="E3770" s="169" t="s">
        <v>62</v>
      </c>
      <c r="F3770" s="245" t="str">
        <f t="shared" si="236"/>
        <v>RobS 79</v>
      </c>
      <c r="G3770" s="169" t="s">
        <v>12545</v>
      </c>
      <c r="I3770" s="169" t="str">
        <f t="shared" si="239"/>
        <v>L08_DPVE_037E_ROBBING</v>
      </c>
      <c r="J3770" s="169" t="str">
        <f t="shared" si="240"/>
        <v>L08_DPVE_037E_ROBBING</v>
      </c>
      <c r="K3770" s="169">
        <f>IFERROR(MATCH(J3770,'Final List'!$B$4:$B$252,0),0)</f>
        <v>0</v>
      </c>
      <c r="L3770" s="169">
        <f>IFERROR(MATCH(J3770,'Final List'!$D$4:$D$252,0),0)</f>
        <v>0</v>
      </c>
      <c r="M3770" s="169">
        <f>IFERROR(MATCH(J3770,'Final List'!$F$4:$F$251,0),0)</f>
        <v>0</v>
      </c>
      <c r="N3770" s="169">
        <f>IFERROR(MATCH(J3770,'Final List'!$H$4:$H$252,0),0)</f>
        <v>0</v>
      </c>
      <c r="O3770" s="169">
        <f>IFERROR(MATCH(J3770,'Final List'!$J$4:$J$252,0),0)</f>
        <v>0</v>
      </c>
      <c r="P3770" s="169">
        <f>IFERROR(MATCH(J3770,'Final List'!$L$4:$L$252,0),0)</f>
        <v>0</v>
      </c>
      <c r="Q3770" s="169">
        <f>IFERROR(MATCH(J3770,'Final List'!$N$4:$N$252,0),0)</f>
        <v>0</v>
      </c>
      <c r="R3770" s="169">
        <f>IFERROR(MATCH(J3770,'Final List'!$P$4:$P$252,0),0)</f>
        <v>0</v>
      </c>
      <c r="S3770" s="169">
        <f t="shared" si="237"/>
        <v>0</v>
      </c>
      <c r="T3770" s="169" t="s">
        <v>68</v>
      </c>
      <c r="V3770" s="169" t="str">
        <f t="shared" si="238"/>
        <v>FERNANDEZ 4</v>
      </c>
      <c r="W3770" s="169" t="s">
        <v>2707</v>
      </c>
    </row>
    <row r="3771" spans="2:23" x14ac:dyDescent="0.25">
      <c r="B3771" s="169" t="s">
        <v>12320</v>
      </c>
      <c r="C3771" s="169" t="s">
        <v>43</v>
      </c>
      <c r="D3771" s="169" t="s">
        <v>161</v>
      </c>
      <c r="E3771" s="169" t="s">
        <v>61</v>
      </c>
      <c r="F3771" s="245" t="str">
        <f t="shared" si="236"/>
        <v>Dhoz 71</v>
      </c>
      <c r="G3771" s="169" t="s">
        <v>1369</v>
      </c>
      <c r="H3771" s="169" t="s">
        <v>4155</v>
      </c>
      <c r="I3771" s="169" t="str">
        <f t="shared" si="239"/>
        <v>L425_GHVSPLIT_044E_DW</v>
      </c>
      <c r="J3771" s="169" t="str">
        <f t="shared" si="240"/>
        <v>L425_GHVSPLIT_044E_DW</v>
      </c>
      <c r="K3771" s="169">
        <f>IFERROR(MATCH(J3771,'Final List'!$B$4:$B$252,0),0)</f>
        <v>0</v>
      </c>
      <c r="L3771" s="169">
        <f>IFERROR(MATCH(J3771,'Final List'!$D$4:$D$252,0),0)</f>
        <v>0</v>
      </c>
      <c r="M3771" s="169">
        <f>IFERROR(MATCH(J3771,'Final List'!$F$4:$F$251,0),0)</f>
        <v>0</v>
      </c>
      <c r="N3771" s="169">
        <f>IFERROR(MATCH(J3771,'Final List'!$H$4:$H$252,0),0)</f>
        <v>0</v>
      </c>
      <c r="O3771" s="169">
        <f>IFERROR(MATCH(J3771,'Final List'!$J$4:$J$252,0),0)</f>
        <v>0</v>
      </c>
      <c r="P3771" s="169">
        <f>IFERROR(MATCH(J3771,'Final List'!$L$4:$L$252,0),0)</f>
        <v>0</v>
      </c>
      <c r="Q3771" s="169">
        <f>IFERROR(MATCH(J3771,'Final List'!$N$4:$N$252,0),0)</f>
        <v>0</v>
      </c>
      <c r="R3771" s="169">
        <f>IFERROR(MATCH(J3771,'Final List'!$P$4:$P$252,0),0)</f>
        <v>0</v>
      </c>
      <c r="S3771" s="169">
        <f t="shared" si="237"/>
        <v>0</v>
      </c>
      <c r="V3771" s="169" t="str">
        <f t="shared" si="238"/>
        <v>BAÑEZ</v>
      </c>
      <c r="W3771" s="169" t="s">
        <v>8896</v>
      </c>
    </row>
    <row r="3772" spans="2:23" x14ac:dyDescent="0.25">
      <c r="B3772" s="169" t="s">
        <v>1167</v>
      </c>
      <c r="C3772" s="169" t="s">
        <v>45</v>
      </c>
      <c r="D3772" s="169" t="s">
        <v>121</v>
      </c>
      <c r="E3772" s="169" t="s">
        <v>36</v>
      </c>
      <c r="F3772" s="245" t="str">
        <f t="shared" si="236"/>
        <v>StpS 77</v>
      </c>
      <c r="G3772" s="169" t="s">
        <v>14132</v>
      </c>
      <c r="I3772" s="169" t="str">
        <f t="shared" si="239"/>
        <v>L12_DPVE_022E_STOPE</v>
      </c>
      <c r="J3772" s="169" t="s">
        <v>15006</v>
      </c>
      <c r="K3772" s="169">
        <f>IFERROR(MATCH(J3772,'Final List'!$B$4:$B$252,0),0)</f>
        <v>0</v>
      </c>
      <c r="L3772" s="169">
        <f>IFERROR(MATCH(J3772,'Final List'!$D$4:$D$252,0),0)</f>
        <v>0</v>
      </c>
      <c r="M3772" s="169">
        <f>IFERROR(MATCH(J3772,'Final List'!$F$4:$F$251,0),0)</f>
        <v>0</v>
      </c>
      <c r="N3772" s="169">
        <f>IFERROR(MATCH(J3772,'Final List'!$H$4:$H$252,0),0)</f>
        <v>0</v>
      </c>
      <c r="O3772" s="169">
        <f>IFERROR(MATCH(J3772,'Final List'!$J$4:$J$252,0),0)</f>
        <v>0</v>
      </c>
      <c r="P3772" s="169">
        <f>IFERROR(MATCH(J3772,'Final List'!$L$4:$L$252,0),0)</f>
        <v>0</v>
      </c>
      <c r="Q3772" s="169">
        <f>IFERROR(MATCH(J3772,'Final List'!$N$4:$N$252,0),0)</f>
        <v>0</v>
      </c>
      <c r="R3772" s="169">
        <f>IFERROR(MATCH(J3772,'Final List'!$P$4:$P$252,0),0)</f>
        <v>0</v>
      </c>
      <c r="S3772" s="169">
        <f t="shared" si="237"/>
        <v>0</v>
      </c>
      <c r="T3772" s="169" t="s">
        <v>68</v>
      </c>
      <c r="V3772" s="169" t="str">
        <f t="shared" si="238"/>
        <v>LANTACA</v>
      </c>
      <c r="W3772" s="169" t="s">
        <v>2713</v>
      </c>
    </row>
    <row r="3773" spans="2:23" x14ac:dyDescent="0.25">
      <c r="B3773" s="169" t="s">
        <v>96</v>
      </c>
      <c r="C3773" s="169" t="s">
        <v>55</v>
      </c>
      <c r="D3773" s="169" t="s">
        <v>174</v>
      </c>
      <c r="E3773" s="169" t="s">
        <v>19</v>
      </c>
      <c r="F3773" s="245" t="str">
        <f t="shared" si="236"/>
        <v>DVR 72</v>
      </c>
      <c r="G3773" s="169" t="s">
        <v>1510</v>
      </c>
      <c r="I3773" s="169" t="str">
        <f t="shared" si="239"/>
        <v>L09_JVFW_052E_RAISE</v>
      </c>
      <c r="J3773" s="169" t="str">
        <f t="shared" si="240"/>
        <v>L09_JVFW_052E_RAISE</v>
      </c>
      <c r="K3773" s="169">
        <f>IFERROR(MATCH(J3773,'Final List'!$B$4:$B$252,0),0)</f>
        <v>0</v>
      </c>
      <c r="L3773" s="169">
        <f>IFERROR(MATCH(J3773,'Final List'!$D$4:$D$252,0),0)</f>
        <v>0</v>
      </c>
      <c r="M3773" s="169">
        <f>IFERROR(MATCH(J3773,'Final List'!$F$4:$F$251,0),0)</f>
        <v>0</v>
      </c>
      <c r="N3773" s="169">
        <f>IFERROR(MATCH(J3773,'Final List'!$H$4:$H$252,0),0)</f>
        <v>0</v>
      </c>
      <c r="O3773" s="169">
        <f>IFERROR(MATCH(J3773,'Final List'!$J$4:$J$252,0),0)</f>
        <v>0</v>
      </c>
      <c r="P3773" s="169">
        <f>IFERROR(MATCH(J3773,'Final List'!$L$4:$L$252,0),0)</f>
        <v>0</v>
      </c>
      <c r="Q3773" s="169">
        <f>IFERROR(MATCH(J3773,'Final List'!$N$4:$N$252,0),0)</f>
        <v>0</v>
      </c>
      <c r="R3773" s="169">
        <f>IFERROR(MATCH(J3773,'Final List'!$P$4:$P$252,0),0)</f>
        <v>0</v>
      </c>
      <c r="S3773" s="169">
        <f t="shared" si="237"/>
        <v>0</v>
      </c>
      <c r="V3773" s="169" t="str">
        <f t="shared" si="238"/>
        <v>DELOS REYES</v>
      </c>
      <c r="W3773" s="169" t="s">
        <v>2715</v>
      </c>
    </row>
    <row r="3774" spans="2:23" x14ac:dyDescent="0.25">
      <c r="B3774" s="169" t="s">
        <v>12320</v>
      </c>
      <c r="C3774" s="169" t="s">
        <v>42</v>
      </c>
      <c r="D3774" s="169" t="s">
        <v>5742</v>
      </c>
      <c r="E3774" s="169" t="s">
        <v>19</v>
      </c>
      <c r="F3774" s="245" t="str">
        <f t="shared" si="236"/>
        <v>DVR 72</v>
      </c>
      <c r="G3774" s="169" t="s">
        <v>1369</v>
      </c>
      <c r="H3774" s="169" t="s">
        <v>4155</v>
      </c>
      <c r="I3774" s="169" t="str">
        <f t="shared" si="239"/>
        <v>L425_JV_040E_RAISE</v>
      </c>
      <c r="J3774" s="169" t="str">
        <f t="shared" si="240"/>
        <v>L425_JV_040E_RAISE</v>
      </c>
      <c r="K3774" s="169">
        <f>IFERROR(MATCH(J3774,'Final List'!$B$4:$B$252,0),0)</f>
        <v>0</v>
      </c>
      <c r="L3774" s="169">
        <f>IFERROR(MATCH(J3774,'Final List'!$D$4:$D$252,0),0)</f>
        <v>0</v>
      </c>
      <c r="M3774" s="169">
        <f>IFERROR(MATCH(J3774,'Final List'!$F$4:$F$251,0),0)</f>
        <v>0</v>
      </c>
      <c r="N3774" s="169">
        <f>IFERROR(MATCH(J3774,'Final List'!$H$4:$H$252,0),0)</f>
        <v>0</v>
      </c>
      <c r="O3774" s="169">
        <f>IFERROR(MATCH(J3774,'Final List'!$J$4:$J$252,0),0)</f>
        <v>0</v>
      </c>
      <c r="P3774" s="169">
        <f>IFERROR(MATCH(J3774,'Final List'!$L$4:$L$252,0),0)</f>
        <v>0</v>
      </c>
      <c r="Q3774" s="169">
        <f>IFERROR(MATCH(J3774,'Final List'!$N$4:$N$252,0),0)</f>
        <v>0</v>
      </c>
      <c r="R3774" s="169">
        <f>IFERROR(MATCH(J3774,'Final List'!$P$4:$P$252,0),0)</f>
        <v>0</v>
      </c>
      <c r="S3774" s="169">
        <f t="shared" si="237"/>
        <v>0</v>
      </c>
      <c r="V3774" s="169" t="str">
        <f t="shared" si="238"/>
        <v>BAÑEZ</v>
      </c>
      <c r="W3774" s="169" t="s">
        <v>2715</v>
      </c>
    </row>
    <row r="3775" spans="2:23" x14ac:dyDescent="0.25">
      <c r="B3775" s="169" t="s">
        <v>1166</v>
      </c>
      <c r="C3775" s="169" t="s">
        <v>45</v>
      </c>
      <c r="D3775" s="169" t="s">
        <v>112</v>
      </c>
      <c r="E3775" s="169" t="s">
        <v>62</v>
      </c>
      <c r="F3775" s="245" t="str">
        <f t="shared" si="236"/>
        <v>RobS 79</v>
      </c>
      <c r="G3775" s="169" t="s">
        <v>14265</v>
      </c>
      <c r="I3775" s="169" t="str">
        <f t="shared" si="239"/>
        <v>L11_DPVE_018E_ROBBING</v>
      </c>
      <c r="J3775" s="169" t="str">
        <f t="shared" si="240"/>
        <v>L11_DPVE_018E_ROBBING</v>
      </c>
      <c r="K3775" s="169">
        <f>IFERROR(MATCH(J3775,'Final List'!$B$4:$B$252,0),0)</f>
        <v>0</v>
      </c>
      <c r="L3775" s="169">
        <f>IFERROR(MATCH(J3775,'Final List'!$D$4:$D$252,0),0)</f>
        <v>0</v>
      </c>
      <c r="M3775" s="169">
        <f>IFERROR(MATCH(J3775,'Final List'!$F$4:$F$251,0),0)</f>
        <v>0</v>
      </c>
      <c r="N3775" s="169">
        <f>IFERROR(MATCH(J3775,'Final List'!$H$4:$H$252,0),0)</f>
        <v>0</v>
      </c>
      <c r="O3775" s="169">
        <f>IFERROR(MATCH(J3775,'Final List'!$J$4:$J$252,0),0)</f>
        <v>0</v>
      </c>
      <c r="P3775" s="169">
        <f>IFERROR(MATCH(J3775,'Final List'!$L$4:$L$252,0),0)</f>
        <v>0</v>
      </c>
      <c r="Q3775" s="169">
        <f>IFERROR(MATCH(J3775,'Final List'!$N$4:$N$252,0),0)</f>
        <v>0</v>
      </c>
      <c r="R3775" s="169">
        <f>IFERROR(MATCH(J3775,'Final List'!$P$4:$P$252,0),0)</f>
        <v>0</v>
      </c>
      <c r="S3775" s="169">
        <f t="shared" si="237"/>
        <v>0</v>
      </c>
      <c r="T3775" s="169" t="s">
        <v>68</v>
      </c>
      <c r="V3775" s="169" t="str">
        <f t="shared" si="238"/>
        <v>NITRO BB1</v>
      </c>
      <c r="W3775" s="169" t="s">
        <v>2707</v>
      </c>
    </row>
    <row r="3776" spans="2:23" x14ac:dyDescent="0.25">
      <c r="B3776" s="169" t="s">
        <v>95</v>
      </c>
      <c r="C3776" s="169" t="s">
        <v>45</v>
      </c>
      <c r="D3776" s="169" t="s">
        <v>132</v>
      </c>
      <c r="E3776" s="169" t="s">
        <v>19</v>
      </c>
      <c r="F3776" s="245" t="str">
        <f t="shared" si="236"/>
        <v>DVR 72</v>
      </c>
      <c r="G3776" s="169" t="s">
        <v>6925</v>
      </c>
      <c r="I3776" s="169" t="str">
        <f t="shared" si="239"/>
        <v>L08_DPVE_033E_RAISE</v>
      </c>
      <c r="J3776" s="169" t="str">
        <f t="shared" si="240"/>
        <v>L08_DPVE_033E_RAISE</v>
      </c>
      <c r="K3776" s="169">
        <f>IFERROR(MATCH(J3776,'Final List'!$B$4:$B$252,0),0)</f>
        <v>0</v>
      </c>
      <c r="L3776" s="169">
        <f>IFERROR(MATCH(J3776,'Final List'!$D$4:$D$252,0),0)</f>
        <v>0</v>
      </c>
      <c r="M3776" s="169">
        <f>IFERROR(MATCH(J3776,'Final List'!$F$4:$F$251,0),0)</f>
        <v>0</v>
      </c>
      <c r="N3776" s="169">
        <f>IFERROR(MATCH(J3776,'Final List'!$H$4:$H$252,0),0)</f>
        <v>0</v>
      </c>
      <c r="O3776" s="169">
        <f>IFERROR(MATCH(J3776,'Final List'!$J$4:$J$252,0),0)</f>
        <v>0</v>
      </c>
      <c r="P3776" s="169">
        <f>IFERROR(MATCH(J3776,'Final List'!$L$4:$L$252,0),0)</f>
        <v>0</v>
      </c>
      <c r="Q3776" s="169">
        <f>IFERROR(MATCH(J3776,'Final List'!$N$4:$N$252,0),0)</f>
        <v>0</v>
      </c>
      <c r="R3776" s="169">
        <f>IFERROR(MATCH(J3776,'Final List'!$P$4:$P$252,0),0)</f>
        <v>0</v>
      </c>
      <c r="S3776" s="169">
        <f t="shared" si="237"/>
        <v>0</v>
      </c>
      <c r="V3776" s="169" t="str">
        <f t="shared" si="238"/>
        <v>CAPUYAN 1</v>
      </c>
      <c r="W3776" s="169" t="s">
        <v>2715</v>
      </c>
    </row>
    <row r="3777" spans="2:23" x14ac:dyDescent="0.25">
      <c r="B3777" s="169" t="s">
        <v>258</v>
      </c>
      <c r="C3777" s="169" t="s">
        <v>45</v>
      </c>
      <c r="D3777" s="169" t="s">
        <v>98</v>
      </c>
      <c r="E3777" s="169" t="s">
        <v>19</v>
      </c>
      <c r="F3777" s="245" t="str">
        <f t="shared" si="236"/>
        <v>DVR 72</v>
      </c>
      <c r="G3777" s="169" t="s">
        <v>5702</v>
      </c>
      <c r="I3777" s="169" t="str">
        <f t="shared" si="239"/>
        <v>L10_DPVE_014W_RAISE</v>
      </c>
      <c r="J3777" s="169" t="str">
        <f t="shared" si="240"/>
        <v>L10_DPVE_014W_RAISE</v>
      </c>
      <c r="K3777" s="169">
        <f>IFERROR(MATCH(J3777,'Final List'!$B$4:$B$252,0),0)</f>
        <v>0</v>
      </c>
      <c r="L3777" s="169">
        <f>IFERROR(MATCH(J3777,'Final List'!$D$4:$D$252,0),0)</f>
        <v>0</v>
      </c>
      <c r="M3777" s="169">
        <f>IFERROR(MATCH(J3777,'Final List'!$F$4:$F$251,0),0)</f>
        <v>0</v>
      </c>
      <c r="N3777" s="169">
        <f>IFERROR(MATCH(J3777,'Final List'!$H$4:$H$252,0),0)</f>
        <v>0</v>
      </c>
      <c r="O3777" s="169">
        <f>IFERROR(MATCH(J3777,'Final List'!$J$4:$J$252,0),0)</f>
        <v>0</v>
      </c>
      <c r="P3777" s="169">
        <f>IFERROR(MATCH(J3777,'Final List'!$L$4:$L$252,0),0)</f>
        <v>0</v>
      </c>
      <c r="Q3777" s="169">
        <f>IFERROR(MATCH(J3777,'Final List'!$N$4:$N$252,0),0)</f>
        <v>0</v>
      </c>
      <c r="R3777" s="169">
        <f>IFERROR(MATCH(J3777,'Final List'!$P$4:$P$252,0),0)</f>
        <v>0</v>
      </c>
      <c r="S3777" s="169">
        <f t="shared" si="237"/>
        <v>0</v>
      </c>
      <c r="V3777" s="169" t="str">
        <f t="shared" si="238"/>
        <v>LARGO 3</v>
      </c>
      <c r="W3777" s="169" t="s">
        <v>2715</v>
      </c>
    </row>
    <row r="3778" spans="2:23" x14ac:dyDescent="0.25">
      <c r="B3778" s="169" t="s">
        <v>1167</v>
      </c>
      <c r="C3778" s="169" t="s">
        <v>39</v>
      </c>
      <c r="D3778" s="169" t="s">
        <v>289</v>
      </c>
      <c r="E3778" s="169" t="s">
        <v>36</v>
      </c>
      <c r="F3778" s="245" t="str">
        <f t="shared" si="236"/>
        <v>StpL 78</v>
      </c>
      <c r="G3778" s="169" t="s">
        <v>6930</v>
      </c>
      <c r="I3778" s="169" t="str">
        <f t="shared" si="239"/>
        <v>L12_JVHW_059E_STOPE</v>
      </c>
      <c r="J3778" s="169" t="str">
        <f t="shared" si="240"/>
        <v>L12_JVHW_059E_STOPE</v>
      </c>
      <c r="K3778" s="169">
        <f>IFERROR(MATCH(J3778,'Final List'!$B$4:$B$252,0),0)</f>
        <v>0</v>
      </c>
      <c r="L3778" s="169">
        <f>IFERROR(MATCH(J3778,'Final List'!$D$4:$D$252,0),0)</f>
        <v>0</v>
      </c>
      <c r="M3778" s="169">
        <f>IFERROR(MATCH(J3778,'Final List'!$F$4:$F$251,0),0)</f>
        <v>0</v>
      </c>
      <c r="N3778" s="169">
        <f>IFERROR(MATCH(J3778,'Final List'!$H$4:$H$252,0),0)</f>
        <v>0</v>
      </c>
      <c r="O3778" s="169">
        <f>IFERROR(MATCH(J3778,'Final List'!$J$4:$J$252,0),0)</f>
        <v>0</v>
      </c>
      <c r="P3778" s="169">
        <f>IFERROR(MATCH(J3778,'Final List'!$L$4:$L$252,0),0)</f>
        <v>0</v>
      </c>
      <c r="Q3778" s="169">
        <f>IFERROR(MATCH(J3778,'Final List'!$N$4:$N$252,0),0)</f>
        <v>0</v>
      </c>
      <c r="R3778" s="169">
        <f>IFERROR(MATCH(J3778,'Final List'!$P$4:$P$252,0),0)</f>
        <v>0</v>
      </c>
      <c r="S3778" s="169">
        <f t="shared" si="237"/>
        <v>0</v>
      </c>
      <c r="T3778" s="169" t="s">
        <v>48</v>
      </c>
      <c r="V3778" s="169" t="str">
        <f t="shared" si="238"/>
        <v>DUHIG, P1</v>
      </c>
      <c r="W3778" s="169" t="s">
        <v>2713</v>
      </c>
    </row>
    <row r="3779" spans="2:23" x14ac:dyDescent="0.25">
      <c r="B3779" s="169" t="s">
        <v>1166</v>
      </c>
      <c r="C3779" s="169" t="s">
        <v>45</v>
      </c>
      <c r="D3779" s="169" t="s">
        <v>6946</v>
      </c>
      <c r="E3779" s="169" t="s">
        <v>19</v>
      </c>
      <c r="F3779" s="245" t="str">
        <f t="shared" ref="F3779:F3842" si="241">IF(OR(E3779="XCN",E3779="DE",E3779="DW",E3779="DN",E3779="XCS",E3779="XCE",E3779="XCW",E3779="SUMP",E3779="BYPASS",E3779="CHAMBER",E3779="DRAIN HOLE",E3779="DRILLING CHAMBER",E3779="DE_ISL",E3779="DW_ISL",E3779="REHAB"),"Dhoz 71",IF(OR(E3779="RAISE",E3779="RAISE_ISL"),"DVR 72",IF(E3779="ALIMAK","DVA 73",IF(E3779="WINZE","DVW 74",IF(E3779="SHAFT","DVS 75",IF(AND(E3779="WINZE STOPE",T3779="S"),"RobC 80",IF(AND(E3779="STOPE",T3779="S"),"StpS 77",IF(AND(E3779="WINZE STOPE",T3779="L"),"RobC 80",IF(AND(E3779="STOPE",T3779="L"),"StpL 78",IF(AND(E3779="WINZE STOPE PREP",T3779="S"),"RobC 80",IF(AND(E3779="STOPE PREP",T3779="S"),"StpS 77",IF(AND(E3779="WINZE STOPE PREP",T3779="L"),"RobC 80",IF(AND(E3779="STOPE PREP",T3779="L"),"StpL 78",IF(AND(E3779="ROBBING",T3779="L"),"RobC 80",IF(AND(E3779="ROBBING",T3779="S"),"RobS 79",0)))))))))))))))</f>
        <v>DVR 72</v>
      </c>
      <c r="G3779" s="169" t="s">
        <v>401</v>
      </c>
      <c r="I3779" s="169" t="str">
        <f t="shared" si="239"/>
        <v>L11_DPVE_081E_RAISE</v>
      </c>
      <c r="J3779" s="169" t="str">
        <f t="shared" si="240"/>
        <v>L11_DPVE_081E_RAISE</v>
      </c>
      <c r="K3779" s="169">
        <f>IFERROR(MATCH(J3779,'Final List'!$B$4:$B$252,0),0)</f>
        <v>0</v>
      </c>
      <c r="L3779" s="169">
        <f>IFERROR(MATCH(J3779,'Final List'!$D$4:$D$252,0),0)</f>
        <v>0</v>
      </c>
      <c r="M3779" s="169">
        <f>IFERROR(MATCH(J3779,'Final List'!$F$4:$F$251,0),0)</f>
        <v>0</v>
      </c>
      <c r="N3779" s="169">
        <f>IFERROR(MATCH(J3779,'Final List'!$H$4:$H$252,0),0)</f>
        <v>0</v>
      </c>
      <c r="O3779" s="169">
        <f>IFERROR(MATCH(J3779,'Final List'!$J$4:$J$252,0),0)</f>
        <v>0</v>
      </c>
      <c r="P3779" s="169">
        <f>IFERROR(MATCH(J3779,'Final List'!$L$4:$L$252,0),0)</f>
        <v>0</v>
      </c>
      <c r="Q3779" s="169">
        <f>IFERROR(MATCH(J3779,'Final List'!$N$4:$N$252,0),0)</f>
        <v>0</v>
      </c>
      <c r="R3779" s="169">
        <f>IFERROR(MATCH(J3779,'Final List'!$P$4:$P$252,0),0)</f>
        <v>0</v>
      </c>
      <c r="S3779" s="169">
        <f t="shared" ref="S3779:S3842" si="242">SUM(K3779:R3779)</f>
        <v>0</v>
      </c>
      <c r="V3779" s="169" t="str">
        <f t="shared" si="238"/>
        <v>MAPAYO 2</v>
      </c>
      <c r="W3779" s="169" t="s">
        <v>2715</v>
      </c>
    </row>
    <row r="3780" spans="2:23" x14ac:dyDescent="0.25">
      <c r="B3780" s="169" t="s">
        <v>12320</v>
      </c>
      <c r="C3780" s="169" t="s">
        <v>43</v>
      </c>
      <c r="D3780" s="169" t="s">
        <v>595</v>
      </c>
      <c r="E3780" s="169" t="s">
        <v>36</v>
      </c>
      <c r="F3780" s="245" t="str">
        <f t="shared" si="241"/>
        <v>StpS 77</v>
      </c>
      <c r="G3780" s="169" t="s">
        <v>4155</v>
      </c>
      <c r="I3780" s="169" t="str">
        <f t="shared" si="239"/>
        <v>L425_GHVSPLIT_072E_STOPE</v>
      </c>
      <c r="J3780" s="169" t="str">
        <f t="shared" si="240"/>
        <v>L425_GHVSPLIT_072E_STOPE</v>
      </c>
      <c r="K3780" s="169">
        <f>IFERROR(MATCH(J3780,'Final List'!$B$4:$B$252,0),0)</f>
        <v>0</v>
      </c>
      <c r="L3780" s="169">
        <f>IFERROR(MATCH(J3780,'Final List'!$D$4:$D$252,0),0)</f>
        <v>0</v>
      </c>
      <c r="M3780" s="169">
        <f>IFERROR(MATCH(J3780,'Final List'!$F$4:$F$251,0),0)</f>
        <v>0</v>
      </c>
      <c r="N3780" s="169">
        <f>IFERROR(MATCH(J3780,'Final List'!$H$4:$H$252,0),0)</f>
        <v>0</v>
      </c>
      <c r="O3780" s="169">
        <f>IFERROR(MATCH(J3780,'Final List'!$J$4:$J$252,0),0)</f>
        <v>0</v>
      </c>
      <c r="P3780" s="169">
        <f>IFERROR(MATCH(J3780,'Final List'!$L$4:$L$252,0),0)</f>
        <v>0</v>
      </c>
      <c r="Q3780" s="169">
        <f>IFERROR(MATCH(J3780,'Final List'!$N$4:$N$252,0),0)</f>
        <v>0</v>
      </c>
      <c r="R3780" s="169">
        <f>IFERROR(MATCH(J3780,'Final List'!$P$4:$P$252,0),0)</f>
        <v>0</v>
      </c>
      <c r="S3780" s="169">
        <f t="shared" si="242"/>
        <v>0</v>
      </c>
      <c r="T3780" s="169" t="s">
        <v>68</v>
      </c>
      <c r="V3780" s="169" t="str">
        <f t="shared" si="238"/>
        <v>BAÑEZ</v>
      </c>
      <c r="W3780" s="169" t="s">
        <v>2713</v>
      </c>
    </row>
    <row r="3781" spans="2:23" x14ac:dyDescent="0.25">
      <c r="B3781" s="169" t="s">
        <v>12320</v>
      </c>
      <c r="C3781" s="169" t="s">
        <v>38</v>
      </c>
      <c r="D3781" s="169" t="s">
        <v>167</v>
      </c>
      <c r="E3781" s="169" t="s">
        <v>19</v>
      </c>
      <c r="F3781" s="245" t="str">
        <f t="shared" si="241"/>
        <v>DVR 72</v>
      </c>
      <c r="G3781" s="169" t="s">
        <v>12745</v>
      </c>
      <c r="I3781" s="169" t="str">
        <f t="shared" si="239"/>
        <v>L425_GHV_058E_RAISE</v>
      </c>
      <c r="J3781" s="169" t="str">
        <f t="shared" si="240"/>
        <v>L425_GHV_058E_RAISE</v>
      </c>
      <c r="K3781" s="169">
        <f>IFERROR(MATCH(J3781,'Final List'!$B$4:$B$252,0),0)</f>
        <v>0</v>
      </c>
      <c r="L3781" s="169">
        <f>IFERROR(MATCH(J3781,'Final List'!$D$4:$D$252,0),0)</f>
        <v>0</v>
      </c>
      <c r="M3781" s="169">
        <f>IFERROR(MATCH(J3781,'Final List'!$F$4:$F$251,0),0)</f>
        <v>0</v>
      </c>
      <c r="N3781" s="169">
        <f>IFERROR(MATCH(J3781,'Final List'!$H$4:$H$252,0),0)</f>
        <v>0</v>
      </c>
      <c r="O3781" s="169">
        <f>IFERROR(MATCH(J3781,'Final List'!$J$4:$J$252,0),0)</f>
        <v>0</v>
      </c>
      <c r="P3781" s="169">
        <f>IFERROR(MATCH(J3781,'Final List'!$L$4:$L$252,0),0)</f>
        <v>0</v>
      </c>
      <c r="Q3781" s="169">
        <f>IFERROR(MATCH(J3781,'Final List'!$N$4:$N$252,0),0)</f>
        <v>0</v>
      </c>
      <c r="R3781" s="169">
        <f>IFERROR(MATCH(J3781,'Final List'!$P$4:$P$252,0),0)</f>
        <v>0</v>
      </c>
      <c r="S3781" s="169">
        <f t="shared" si="242"/>
        <v>0</v>
      </c>
      <c r="V3781" s="169" t="str">
        <f t="shared" si="238"/>
        <v>CAPPUYO</v>
      </c>
      <c r="W3781" s="169" t="s">
        <v>2715</v>
      </c>
    </row>
    <row r="3782" spans="2:23" x14ac:dyDescent="0.25">
      <c r="B3782" s="169" t="s">
        <v>12320</v>
      </c>
      <c r="C3782" s="169" t="s">
        <v>59</v>
      </c>
      <c r="D3782" s="169" t="s">
        <v>5889</v>
      </c>
      <c r="E3782" s="169" t="s">
        <v>19</v>
      </c>
      <c r="F3782" s="245" t="str">
        <f t="shared" si="241"/>
        <v>DVR 72</v>
      </c>
      <c r="G3782" s="169" t="s">
        <v>364</v>
      </c>
      <c r="I3782" s="169" t="str">
        <f t="shared" si="239"/>
        <v>L425_GHVHW_077E_RAISE</v>
      </c>
      <c r="J3782" s="169" t="str">
        <f t="shared" si="240"/>
        <v>L425_GHVHW_077E_RAISE</v>
      </c>
      <c r="K3782" s="169">
        <f>IFERROR(MATCH(J3782,'Final List'!$B$4:$B$252,0),0)</f>
        <v>0</v>
      </c>
      <c r="L3782" s="169">
        <f>IFERROR(MATCH(J3782,'Final List'!$D$4:$D$252,0),0)</f>
        <v>0</v>
      </c>
      <c r="M3782" s="169">
        <f>IFERROR(MATCH(J3782,'Final List'!$F$4:$F$251,0),0)</f>
        <v>0</v>
      </c>
      <c r="N3782" s="169">
        <f>IFERROR(MATCH(J3782,'Final List'!$H$4:$H$252,0),0)</f>
        <v>0</v>
      </c>
      <c r="O3782" s="169">
        <f>IFERROR(MATCH(J3782,'Final List'!$J$4:$J$252,0),0)</f>
        <v>0</v>
      </c>
      <c r="P3782" s="169">
        <f>IFERROR(MATCH(J3782,'Final List'!$L$4:$L$252,0),0)</f>
        <v>0</v>
      </c>
      <c r="Q3782" s="169">
        <f>IFERROR(MATCH(J3782,'Final List'!$N$4:$N$252,0),0)</f>
        <v>0</v>
      </c>
      <c r="R3782" s="169">
        <f>IFERROR(MATCH(J3782,'Final List'!$P$4:$P$252,0),0)</f>
        <v>0</v>
      </c>
      <c r="S3782" s="169">
        <f t="shared" si="242"/>
        <v>0</v>
      </c>
      <c r="V3782" s="169" t="str">
        <f t="shared" si="238"/>
        <v>BABOR 3</v>
      </c>
      <c r="W3782" s="169" t="s">
        <v>2715</v>
      </c>
    </row>
    <row r="3783" spans="2:23" x14ac:dyDescent="0.25">
      <c r="B3783" s="169" t="s">
        <v>12320</v>
      </c>
      <c r="C3783" s="169" t="s">
        <v>59</v>
      </c>
      <c r="D3783" s="169" t="s">
        <v>1230</v>
      </c>
      <c r="E3783" s="169" t="s">
        <v>19</v>
      </c>
      <c r="F3783" s="245" t="str">
        <f t="shared" si="241"/>
        <v>DVR 72</v>
      </c>
      <c r="G3783" s="169" t="s">
        <v>363</v>
      </c>
      <c r="I3783" s="169" t="str">
        <f t="shared" si="239"/>
        <v>L425_GHVHW_075E_RAISE</v>
      </c>
      <c r="J3783" s="169" t="str">
        <f t="shared" si="240"/>
        <v>L425_GHVHW_075E_RAISE</v>
      </c>
      <c r="K3783" s="169">
        <f>IFERROR(MATCH(J3783,'Final List'!$B$4:$B$252,0),0)</f>
        <v>0</v>
      </c>
      <c r="L3783" s="169">
        <f>IFERROR(MATCH(J3783,'Final List'!$D$4:$D$252,0),0)</f>
        <v>0</v>
      </c>
      <c r="M3783" s="169">
        <f>IFERROR(MATCH(J3783,'Final List'!$F$4:$F$251,0),0)</f>
        <v>0</v>
      </c>
      <c r="N3783" s="169">
        <f>IFERROR(MATCH(J3783,'Final List'!$H$4:$H$252,0),0)</f>
        <v>0</v>
      </c>
      <c r="O3783" s="169">
        <f>IFERROR(MATCH(J3783,'Final List'!$J$4:$J$252,0),0)</f>
        <v>0</v>
      </c>
      <c r="P3783" s="169">
        <f>IFERROR(MATCH(J3783,'Final List'!$L$4:$L$252,0),0)</f>
        <v>0</v>
      </c>
      <c r="Q3783" s="169">
        <f>IFERROR(MATCH(J3783,'Final List'!$N$4:$N$252,0),0)</f>
        <v>0</v>
      </c>
      <c r="R3783" s="169">
        <f>IFERROR(MATCH(J3783,'Final List'!$P$4:$P$252,0),0)</f>
        <v>0</v>
      </c>
      <c r="S3783" s="169">
        <f t="shared" si="242"/>
        <v>0</v>
      </c>
      <c r="V3783" s="169" t="str">
        <f t="shared" si="238"/>
        <v>BABOR 2</v>
      </c>
      <c r="W3783" s="169" t="s">
        <v>2715</v>
      </c>
    </row>
    <row r="3784" spans="2:23" x14ac:dyDescent="0.25">
      <c r="B3784" s="169" t="s">
        <v>258</v>
      </c>
      <c r="C3784" s="169" t="s">
        <v>38</v>
      </c>
      <c r="D3784" s="169" t="s">
        <v>101</v>
      </c>
      <c r="E3784" s="169" t="s">
        <v>211</v>
      </c>
      <c r="F3784" s="245" t="str">
        <f t="shared" si="241"/>
        <v>StpS 77</v>
      </c>
      <c r="G3784" s="169" t="s">
        <v>12888</v>
      </c>
      <c r="I3784" s="169" t="str">
        <f t="shared" si="239"/>
        <v>L10_GHV_023W_STOPE PREP</v>
      </c>
      <c r="J3784" s="169" t="str">
        <f t="shared" si="240"/>
        <v>L10_GHV_023W_STOPE PREP</v>
      </c>
      <c r="K3784" s="169">
        <f>IFERROR(MATCH(J3784,'Final List'!$B$4:$B$252,0),0)</f>
        <v>0</v>
      </c>
      <c r="L3784" s="169">
        <f>IFERROR(MATCH(J3784,'Final List'!$D$4:$D$252,0),0)</f>
        <v>0</v>
      </c>
      <c r="M3784" s="169">
        <f>IFERROR(MATCH(J3784,'Final List'!$F$4:$F$251,0),0)</f>
        <v>0</v>
      </c>
      <c r="N3784" s="169">
        <f>IFERROR(MATCH(J3784,'Final List'!$H$4:$H$252,0),0)</f>
        <v>0</v>
      </c>
      <c r="O3784" s="169">
        <f>IFERROR(MATCH(J3784,'Final List'!$J$4:$J$252,0),0)</f>
        <v>0</v>
      </c>
      <c r="P3784" s="169">
        <f>IFERROR(MATCH(J3784,'Final List'!$L$4:$L$252,0),0)</f>
        <v>0</v>
      </c>
      <c r="Q3784" s="169">
        <f>IFERROR(MATCH(J3784,'Final List'!$N$4:$N$252,0),0)</f>
        <v>0</v>
      </c>
      <c r="R3784" s="169">
        <f>IFERROR(MATCH(J3784,'Final List'!$P$4:$P$252,0),0)</f>
        <v>0</v>
      </c>
      <c r="S3784" s="169">
        <f t="shared" si="242"/>
        <v>0</v>
      </c>
      <c r="T3784" s="169" t="s">
        <v>68</v>
      </c>
      <c r="V3784" s="169" t="str">
        <f t="shared" si="238"/>
        <v>NITRO BD</v>
      </c>
      <c r="W3784" s="169" t="s">
        <v>2712</v>
      </c>
    </row>
    <row r="3785" spans="2:23" x14ac:dyDescent="0.25">
      <c r="B3785" s="169" t="s">
        <v>1167</v>
      </c>
      <c r="C3785" s="169" t="s">
        <v>45</v>
      </c>
      <c r="D3785" s="169" t="s">
        <v>198</v>
      </c>
      <c r="E3785" s="169" t="s">
        <v>19</v>
      </c>
      <c r="F3785" s="245" t="str">
        <f t="shared" si="241"/>
        <v>DVR 72</v>
      </c>
      <c r="G3785" s="169" t="s">
        <v>14446</v>
      </c>
      <c r="I3785" s="169" t="str">
        <f t="shared" si="239"/>
        <v>L12_DPVE_069E_RAISE</v>
      </c>
      <c r="J3785" s="169" t="str">
        <f t="shared" si="240"/>
        <v>L12_DPVE_069E_RAISE</v>
      </c>
      <c r="K3785" s="169">
        <f>IFERROR(MATCH(J3785,'Final List'!$B$4:$B$252,0),0)</f>
        <v>0</v>
      </c>
      <c r="L3785" s="169">
        <f>IFERROR(MATCH(J3785,'Final List'!$D$4:$D$252,0),0)</f>
        <v>0</v>
      </c>
      <c r="M3785" s="169">
        <f>IFERROR(MATCH(J3785,'Final List'!$F$4:$F$251,0),0)</f>
        <v>0</v>
      </c>
      <c r="N3785" s="169">
        <f>IFERROR(MATCH(J3785,'Final List'!$H$4:$H$252,0),0)</f>
        <v>0</v>
      </c>
      <c r="O3785" s="169">
        <f>IFERROR(MATCH(J3785,'Final List'!$J$4:$J$252,0),0)</f>
        <v>0</v>
      </c>
      <c r="P3785" s="169">
        <f>IFERROR(MATCH(J3785,'Final List'!$L$4:$L$252,0),0)</f>
        <v>0</v>
      </c>
      <c r="Q3785" s="169">
        <f>IFERROR(MATCH(J3785,'Final List'!$N$4:$N$252,0),0)</f>
        <v>0</v>
      </c>
      <c r="R3785" s="169">
        <f>IFERROR(MATCH(J3785,'Final List'!$P$4:$P$252,0),0)</f>
        <v>0</v>
      </c>
      <c r="S3785" s="169">
        <f t="shared" si="242"/>
        <v>0</v>
      </c>
      <c r="V3785" s="169" t="str">
        <f t="shared" si="238"/>
        <v>NITRO CK 2</v>
      </c>
      <c r="W3785" s="169" t="s">
        <v>2715</v>
      </c>
    </row>
    <row r="3786" spans="2:23" x14ac:dyDescent="0.25">
      <c r="B3786" s="169" t="s">
        <v>12320</v>
      </c>
      <c r="C3786" s="169" t="s">
        <v>42</v>
      </c>
      <c r="D3786" s="169" t="s">
        <v>142</v>
      </c>
      <c r="E3786" s="169" t="s">
        <v>19</v>
      </c>
      <c r="F3786" s="245" t="str">
        <f t="shared" si="241"/>
        <v>DVR 72</v>
      </c>
      <c r="G3786" s="169" t="s">
        <v>7984</v>
      </c>
      <c r="H3786" s="169" t="s">
        <v>12745</v>
      </c>
      <c r="I3786" s="169" t="str">
        <f t="shared" si="239"/>
        <v>L425_JV_038E_RAISE</v>
      </c>
      <c r="J3786" s="169" t="s">
        <v>14437</v>
      </c>
      <c r="K3786" s="169">
        <f>IFERROR(MATCH(J3786,'Final List'!$B$4:$B$252,0),0)</f>
        <v>0</v>
      </c>
      <c r="L3786" s="169">
        <f>IFERROR(MATCH(J3786,'Final List'!$D$4:$D$252,0),0)</f>
        <v>0</v>
      </c>
      <c r="M3786" s="169">
        <f>IFERROR(MATCH(J3786,'Final List'!$F$4:$F$251,0),0)</f>
        <v>0</v>
      </c>
      <c r="N3786" s="169">
        <f>IFERROR(MATCH(J3786,'Final List'!$H$4:$H$252,0),0)</f>
        <v>0</v>
      </c>
      <c r="O3786" s="169">
        <f>IFERROR(MATCH(J3786,'Final List'!$J$4:$J$252,0),0)</f>
        <v>0</v>
      </c>
      <c r="P3786" s="169">
        <f>IFERROR(MATCH(J3786,'Final List'!$L$4:$L$252,0),0)</f>
        <v>0</v>
      </c>
      <c r="Q3786" s="169">
        <f>IFERROR(MATCH(J3786,'Final List'!$N$4:$N$252,0),0)</f>
        <v>0</v>
      </c>
      <c r="R3786" s="169">
        <f>IFERROR(MATCH(J3786,'Final List'!$P$4:$P$252,0),0)</f>
        <v>0</v>
      </c>
      <c r="S3786" s="169">
        <f t="shared" si="242"/>
        <v>0</v>
      </c>
      <c r="V3786" s="169" t="str">
        <f t="shared" si="238"/>
        <v>CAPPUYO</v>
      </c>
      <c r="W3786" s="169" t="s">
        <v>2715</v>
      </c>
    </row>
    <row r="3787" spans="2:23" x14ac:dyDescent="0.25">
      <c r="B3787" s="169" t="s">
        <v>95</v>
      </c>
      <c r="C3787" s="169" t="s">
        <v>45</v>
      </c>
      <c r="D3787" s="169" t="s">
        <v>6710</v>
      </c>
      <c r="E3787" s="169" t="s">
        <v>441</v>
      </c>
      <c r="F3787" s="245" t="str">
        <f t="shared" si="241"/>
        <v>RobC 80</v>
      </c>
      <c r="G3787" s="169" t="s">
        <v>14231</v>
      </c>
      <c r="I3787" s="169" t="str">
        <f t="shared" si="239"/>
        <v>L08_DPVE_018W_WINZE STOPE PREP</v>
      </c>
      <c r="J3787" s="169" t="s">
        <v>14439</v>
      </c>
      <c r="K3787" s="169">
        <f>IFERROR(MATCH(J3787,'Final List'!$B$4:$B$252,0),0)</f>
        <v>0</v>
      </c>
      <c r="L3787" s="169">
        <f>IFERROR(MATCH(J3787,'Final List'!$D$4:$D$252,0),0)</f>
        <v>0</v>
      </c>
      <c r="M3787" s="169">
        <f>IFERROR(MATCH(J3787,'Final List'!$F$4:$F$251,0),0)</f>
        <v>0</v>
      </c>
      <c r="N3787" s="169">
        <f>IFERROR(MATCH(J3787,'Final List'!$H$4:$H$252,0),0)</f>
        <v>0</v>
      </c>
      <c r="O3787" s="169">
        <f>IFERROR(MATCH(J3787,'Final List'!$J$4:$J$252,0),0)</f>
        <v>0</v>
      </c>
      <c r="P3787" s="169">
        <f>IFERROR(MATCH(J3787,'Final List'!$L$4:$L$252,0),0)</f>
        <v>0</v>
      </c>
      <c r="Q3787" s="169">
        <f>IFERROR(MATCH(J3787,'Final List'!$N$4:$N$252,0),0)</f>
        <v>0</v>
      </c>
      <c r="R3787" s="169">
        <f>IFERROR(MATCH(J3787,'Final List'!$P$4:$P$252,0),0)</f>
        <v>0</v>
      </c>
      <c r="S3787" s="169">
        <f t="shared" si="242"/>
        <v>0</v>
      </c>
      <c r="T3787" s="169" t="s">
        <v>68</v>
      </c>
      <c r="V3787" s="169" t="str">
        <f t="shared" si="238"/>
        <v>NITRO CF2</v>
      </c>
      <c r="W3787" s="169" t="s">
        <v>2719</v>
      </c>
    </row>
    <row r="3788" spans="2:23" x14ac:dyDescent="0.25">
      <c r="B3788" s="169" t="s">
        <v>96</v>
      </c>
      <c r="C3788" s="169" t="s">
        <v>45</v>
      </c>
      <c r="D3788" s="169" t="s">
        <v>1230</v>
      </c>
      <c r="E3788" s="169" t="s">
        <v>62</v>
      </c>
      <c r="F3788" s="245" t="str">
        <f t="shared" si="241"/>
        <v>RobS 79</v>
      </c>
      <c r="G3788" s="169" t="s">
        <v>14448</v>
      </c>
      <c r="I3788" s="169" t="str">
        <f t="shared" si="239"/>
        <v>L09_DPVE_075E_ROBBING</v>
      </c>
      <c r="J3788" s="169" t="s">
        <v>14447</v>
      </c>
      <c r="K3788" s="169">
        <f>IFERROR(MATCH(J3788,'Final List'!$B$4:$B$252,0),0)</f>
        <v>0</v>
      </c>
      <c r="L3788" s="169">
        <f>IFERROR(MATCH(J3788,'Final List'!$D$4:$D$252,0),0)</f>
        <v>0</v>
      </c>
      <c r="M3788" s="169">
        <f>IFERROR(MATCH(J3788,'Final List'!$F$4:$F$251,0),0)</f>
        <v>0</v>
      </c>
      <c r="N3788" s="169">
        <f>IFERROR(MATCH(J3788,'Final List'!$H$4:$H$252,0),0)</f>
        <v>0</v>
      </c>
      <c r="O3788" s="169">
        <f>IFERROR(MATCH(J3788,'Final List'!$J$4:$J$252,0),0)</f>
        <v>0</v>
      </c>
      <c r="P3788" s="169">
        <f>IFERROR(MATCH(J3788,'Final List'!$L$4:$L$252,0),0)</f>
        <v>0</v>
      </c>
      <c r="Q3788" s="169">
        <f>IFERROR(MATCH(J3788,'Final List'!$N$4:$N$252,0),0)</f>
        <v>0</v>
      </c>
      <c r="R3788" s="169">
        <f>IFERROR(MATCH(J3788,'Final List'!$P$4:$P$252,0),0)</f>
        <v>0</v>
      </c>
      <c r="S3788" s="169">
        <f t="shared" si="242"/>
        <v>0</v>
      </c>
      <c r="T3788" s="169" t="s">
        <v>68</v>
      </c>
      <c r="V3788" s="169" t="str">
        <f t="shared" si="238"/>
        <v>FERNANDEZ </v>
      </c>
      <c r="W3788" s="169" t="s">
        <v>2707</v>
      </c>
    </row>
    <row r="3789" spans="2:23" x14ac:dyDescent="0.25">
      <c r="B3789" s="169" t="s">
        <v>1166</v>
      </c>
      <c r="C3789" s="169" t="s">
        <v>45</v>
      </c>
      <c r="D3789" s="169" t="s">
        <v>14451</v>
      </c>
      <c r="E3789" s="169" t="s">
        <v>60</v>
      </c>
      <c r="F3789" s="245" t="str">
        <f t="shared" si="241"/>
        <v>Dhoz 71</v>
      </c>
      <c r="G3789" s="169" t="s">
        <v>4155</v>
      </c>
      <c r="I3789" s="169" t="str">
        <f t="shared" ref="I3789:I4039" si="243">CONCATENATE(B3789,"_",C3789,"_",D3789,"_",E3789)</f>
        <v>L11_DPVE_108E_DE</v>
      </c>
      <c r="J3789" s="169" t="s">
        <v>14452</v>
      </c>
      <c r="K3789" s="169">
        <f>IFERROR(MATCH(J3789,'Final List'!$B$4:$B$252,0),0)</f>
        <v>0</v>
      </c>
      <c r="L3789" s="169">
        <f>IFERROR(MATCH(J3789,'Final List'!$D$4:$D$252,0),0)</f>
        <v>0</v>
      </c>
      <c r="M3789" s="169">
        <f>IFERROR(MATCH(J3789,'Final List'!$F$4:$F$251,0),0)</f>
        <v>0</v>
      </c>
      <c r="N3789" s="169">
        <f>IFERROR(MATCH(J3789,'Final List'!$H$4:$H$252,0),0)</f>
        <v>0</v>
      </c>
      <c r="O3789" s="169">
        <f>IFERROR(MATCH(J3789,'Final List'!$J$4:$J$252,0),0)</f>
        <v>0</v>
      </c>
      <c r="P3789" s="169">
        <f>IFERROR(MATCH(J3789,'Final List'!$L$4:$L$252,0),0)</f>
        <v>0</v>
      </c>
      <c r="Q3789" s="169">
        <f>IFERROR(MATCH(J3789,'Final List'!$N$4:$N$252,0),0)</f>
        <v>0</v>
      </c>
      <c r="R3789" s="169">
        <f>IFERROR(MATCH(J3789,'Final List'!$P$4:$P$252,0),0)</f>
        <v>0</v>
      </c>
      <c r="S3789" s="169">
        <f t="shared" si="242"/>
        <v>0</v>
      </c>
      <c r="V3789" s="169" t="str">
        <f t="shared" si="238"/>
        <v>BAÑEZ</v>
      </c>
      <c r="W3789" s="169" t="s">
        <v>8896</v>
      </c>
    </row>
    <row r="3790" spans="2:23" x14ac:dyDescent="0.25">
      <c r="B3790" s="169" t="s">
        <v>1166</v>
      </c>
      <c r="C3790" s="169" t="s">
        <v>45</v>
      </c>
      <c r="D3790" s="169" t="s">
        <v>595</v>
      </c>
      <c r="E3790" s="169" t="s">
        <v>60</v>
      </c>
      <c r="F3790" s="245" t="str">
        <f t="shared" si="241"/>
        <v>Dhoz 71</v>
      </c>
      <c r="G3790" s="169" t="s">
        <v>341</v>
      </c>
      <c r="I3790" s="169" t="str">
        <f t="shared" si="243"/>
        <v>L11_DPVE_072E_DE</v>
      </c>
      <c r="J3790" s="169" t="s">
        <v>14454</v>
      </c>
      <c r="K3790" s="169">
        <f>IFERROR(MATCH(J3790,'Final List'!$B$4:$B$252,0),0)</f>
        <v>0</v>
      </c>
      <c r="L3790" s="169">
        <f>IFERROR(MATCH(J3790,'Final List'!$D$4:$D$252,0),0)</f>
        <v>0</v>
      </c>
      <c r="M3790" s="169">
        <f>IFERROR(MATCH(J3790,'Final List'!$F$4:$F$251,0),0)</f>
        <v>0</v>
      </c>
      <c r="N3790" s="169">
        <f>IFERROR(MATCH(J3790,'Final List'!$H$4:$H$252,0),0)</f>
        <v>0</v>
      </c>
      <c r="O3790" s="169">
        <f>IFERROR(MATCH(J3790,'Final List'!$J$4:$J$252,0),0)</f>
        <v>0</v>
      </c>
      <c r="P3790" s="169">
        <f>IFERROR(MATCH(J3790,'Final List'!$L$4:$L$252,0),0)</f>
        <v>0</v>
      </c>
      <c r="Q3790" s="169">
        <f>IFERROR(MATCH(J3790,'Final List'!$N$4:$N$252,0),0)</f>
        <v>0</v>
      </c>
      <c r="R3790" s="169">
        <f>IFERROR(MATCH(J3790,'Final List'!$P$4:$P$252,0),0)</f>
        <v>0</v>
      </c>
      <c r="S3790" s="169">
        <f t="shared" si="242"/>
        <v>0</v>
      </c>
      <c r="V3790" s="169" t="str">
        <f t="shared" si="238"/>
        <v>BADBADON 1</v>
      </c>
      <c r="W3790" s="169" t="s">
        <v>8896</v>
      </c>
    </row>
    <row r="3791" spans="2:23" x14ac:dyDescent="0.25">
      <c r="B3791" s="169" t="s">
        <v>1167</v>
      </c>
      <c r="C3791" s="169" t="s">
        <v>38</v>
      </c>
      <c r="D3791" s="169" t="s">
        <v>120</v>
      </c>
      <c r="E3791" s="169" t="s">
        <v>61</v>
      </c>
      <c r="F3791" s="245" t="str">
        <f t="shared" si="241"/>
        <v>Dhoz 71</v>
      </c>
      <c r="G3791" s="169" t="s">
        <v>10002</v>
      </c>
      <c r="I3791" s="169" t="str">
        <f t="shared" si="243"/>
        <v>L12_GHV_015E_DW</v>
      </c>
      <c r="J3791" s="169" t="s">
        <v>14453</v>
      </c>
      <c r="K3791" s="169">
        <f>IFERROR(MATCH(J3791,'Final List'!$B$4:$B$252,0),0)</f>
        <v>0</v>
      </c>
      <c r="L3791" s="169">
        <f>IFERROR(MATCH(J3791,'Final List'!$D$4:$D$252,0),0)</f>
        <v>0</v>
      </c>
      <c r="M3791" s="169">
        <f>IFERROR(MATCH(J3791,'Final List'!$F$4:$F$251,0),0)</f>
        <v>0</v>
      </c>
      <c r="N3791" s="169">
        <f>IFERROR(MATCH(J3791,'Final List'!$H$4:$H$252,0),0)</f>
        <v>0</v>
      </c>
      <c r="O3791" s="169">
        <f>IFERROR(MATCH(J3791,'Final List'!$J$4:$J$252,0),0)</f>
        <v>0</v>
      </c>
      <c r="P3791" s="169">
        <f>IFERROR(MATCH(J3791,'Final List'!$L$4:$L$252,0),0)</f>
        <v>0</v>
      </c>
      <c r="Q3791" s="169">
        <f>IFERROR(MATCH(J3791,'Final List'!$N$4:$N$252,0),0)</f>
        <v>0</v>
      </c>
      <c r="R3791" s="169">
        <f>IFERROR(MATCH(J3791,'Final List'!$P$4:$P$252,0),0)</f>
        <v>0</v>
      </c>
      <c r="S3791" s="169">
        <f t="shared" si="242"/>
        <v>0</v>
      </c>
      <c r="V3791" s="169" t="str">
        <f t="shared" si="238"/>
        <v>CAYMAN 3</v>
      </c>
      <c r="W3791" s="169" t="s">
        <v>8896</v>
      </c>
    </row>
    <row r="3792" spans="2:23" x14ac:dyDescent="0.25">
      <c r="B3792" s="169" t="s">
        <v>95</v>
      </c>
      <c r="C3792" s="169" t="s">
        <v>42</v>
      </c>
      <c r="D3792" s="169" t="s">
        <v>178</v>
      </c>
      <c r="E3792" s="169" t="s">
        <v>20</v>
      </c>
      <c r="F3792" s="245" t="str">
        <f t="shared" si="241"/>
        <v>DVW 74</v>
      </c>
      <c r="G3792" s="169" t="s">
        <v>14138</v>
      </c>
      <c r="I3792" s="169" t="str">
        <f t="shared" si="243"/>
        <v>L08_JV_048E_WINZE</v>
      </c>
      <c r="J3792" s="169" t="s">
        <v>14457</v>
      </c>
      <c r="K3792" s="169">
        <f>IFERROR(MATCH(J3792,'Final List'!$B$4:$B$252,0),0)</f>
        <v>0</v>
      </c>
      <c r="L3792" s="169">
        <f>IFERROR(MATCH(J3792,'Final List'!$D$4:$D$252,0),0)</f>
        <v>0</v>
      </c>
      <c r="M3792" s="169">
        <f>IFERROR(MATCH(J3792,'Final List'!$F$4:$F$251,0),0)</f>
        <v>0</v>
      </c>
      <c r="N3792" s="169">
        <f>IFERROR(MATCH(J3792,'Final List'!$H$4:$H$252,0),0)</f>
        <v>0</v>
      </c>
      <c r="O3792" s="169">
        <f>IFERROR(MATCH(J3792,'Final List'!$J$4:$J$252,0),0)</f>
        <v>0</v>
      </c>
      <c r="P3792" s="169">
        <f>IFERROR(MATCH(J3792,'Final List'!$L$4:$L$252,0),0)</f>
        <v>0</v>
      </c>
      <c r="Q3792" s="169">
        <f>IFERROR(MATCH(J3792,'Final List'!$N$4:$N$252,0),0)</f>
        <v>0</v>
      </c>
      <c r="R3792" s="169">
        <f>IFERROR(MATCH(J3792,'Final List'!$P$4:$P$252,0),0)</f>
        <v>0</v>
      </c>
      <c r="S3792" s="169">
        <f t="shared" si="242"/>
        <v>0</v>
      </c>
      <c r="V3792" s="169" t="str">
        <f t="shared" si="238"/>
        <v>CANTAGO 3</v>
      </c>
      <c r="W3792" s="169" t="s">
        <v>2706</v>
      </c>
    </row>
    <row r="3793" spans="2:23" x14ac:dyDescent="0.25">
      <c r="B3793" s="169" t="s">
        <v>12320</v>
      </c>
      <c r="C3793" s="169" t="s">
        <v>43</v>
      </c>
      <c r="D3793" s="169" t="s">
        <v>198</v>
      </c>
      <c r="E3793" s="169" t="s">
        <v>60</v>
      </c>
      <c r="F3793" s="245" t="str">
        <f t="shared" si="241"/>
        <v>Dhoz 71</v>
      </c>
      <c r="G3793" s="169" t="s">
        <v>747</v>
      </c>
      <c r="I3793" s="169" t="str">
        <f t="shared" si="243"/>
        <v>L425_GHVSPLIT_069E_DE</v>
      </c>
      <c r="J3793" s="169" t="s">
        <v>14459</v>
      </c>
      <c r="K3793" s="169">
        <f>IFERROR(MATCH(J3793,'Final List'!$B$4:$B$252,0),0)</f>
        <v>0</v>
      </c>
      <c r="L3793" s="169">
        <f>IFERROR(MATCH(J3793,'Final List'!$D$4:$D$252,0),0)</f>
        <v>0</v>
      </c>
      <c r="M3793" s="169">
        <f>IFERROR(MATCH(J3793,'Final List'!$F$4:$F$251,0),0)</f>
        <v>0</v>
      </c>
      <c r="N3793" s="169">
        <f>IFERROR(MATCH(J3793,'Final List'!$H$4:$H$252,0),0)</f>
        <v>0</v>
      </c>
      <c r="O3793" s="169">
        <f>IFERROR(MATCH(J3793,'Final List'!$J$4:$J$252,0),0)</f>
        <v>0</v>
      </c>
      <c r="P3793" s="169">
        <f>IFERROR(MATCH(J3793,'Final List'!$L$4:$L$252,0),0)</f>
        <v>0</v>
      </c>
      <c r="Q3793" s="169">
        <f>IFERROR(MATCH(J3793,'Final List'!$N$4:$N$252,0),0)</f>
        <v>0</v>
      </c>
      <c r="R3793" s="169">
        <f>IFERROR(MATCH(J3793,'Final List'!$P$4:$P$252,0),0)</f>
        <v>0</v>
      </c>
      <c r="S3793" s="169">
        <f t="shared" si="242"/>
        <v>0</v>
      </c>
      <c r="V3793" s="169" t="str">
        <f t="shared" si="238"/>
        <v>REBOTE</v>
      </c>
      <c r="W3793" s="169" t="s">
        <v>8896</v>
      </c>
    </row>
    <row r="3794" spans="2:23" x14ac:dyDescent="0.25">
      <c r="B3794" s="169" t="s">
        <v>12320</v>
      </c>
      <c r="C3794" s="169" t="s">
        <v>38</v>
      </c>
      <c r="D3794" s="169" t="s">
        <v>201</v>
      </c>
      <c r="E3794" s="169" t="s">
        <v>36</v>
      </c>
      <c r="F3794" s="245" t="str">
        <f t="shared" si="241"/>
        <v>StpS 77</v>
      </c>
      <c r="G3794" s="169" t="s">
        <v>747</v>
      </c>
      <c r="H3794" s="169" t="s">
        <v>353</v>
      </c>
      <c r="I3794" s="169" t="str">
        <f t="shared" si="243"/>
        <v>L425_GHV_067E_STOPE</v>
      </c>
      <c r="J3794" s="169" t="s">
        <v>14461</v>
      </c>
      <c r="K3794" s="169">
        <f>IFERROR(MATCH(J3794,'Final List'!$B$4:$B$252,0),0)</f>
        <v>0</v>
      </c>
      <c r="L3794" s="169">
        <f>IFERROR(MATCH(J3794,'Final List'!$D$4:$D$252,0),0)</f>
        <v>0</v>
      </c>
      <c r="M3794" s="169">
        <f>IFERROR(MATCH(J3794,'Final List'!$F$4:$F$251,0),0)</f>
        <v>0</v>
      </c>
      <c r="N3794" s="169">
        <f>IFERROR(MATCH(J3794,'Final List'!$H$4:$H$252,0),0)</f>
        <v>0</v>
      </c>
      <c r="O3794" s="169">
        <f>IFERROR(MATCH(J3794,'Final List'!$J$4:$J$252,0),0)</f>
        <v>0</v>
      </c>
      <c r="P3794" s="169">
        <f>IFERROR(MATCH(J3794,'Final List'!$L$4:$L$252,0),0)</f>
        <v>0</v>
      </c>
      <c r="Q3794" s="169">
        <f>IFERROR(MATCH(J3794,'Final List'!$N$4:$N$252,0),0)</f>
        <v>0</v>
      </c>
      <c r="R3794" s="169">
        <f>IFERROR(MATCH(J3794,'Final List'!$P$4:$P$252,0),0)</f>
        <v>0</v>
      </c>
      <c r="S3794" s="169">
        <f t="shared" si="242"/>
        <v>0</v>
      </c>
      <c r="T3794" s="169" t="s">
        <v>68</v>
      </c>
      <c r="V3794" s="169" t="str">
        <f t="shared" ref="V3794:V3857" si="244">IF(H3794="",G3794,H3794)</f>
        <v>BAÑEZ 4</v>
      </c>
      <c r="W3794" s="169" t="s">
        <v>2713</v>
      </c>
    </row>
    <row r="3795" spans="2:23" x14ac:dyDescent="0.25">
      <c r="B3795" s="169" t="s">
        <v>1167</v>
      </c>
      <c r="C3795" s="169" t="s">
        <v>43</v>
      </c>
      <c r="D3795" s="169" t="s">
        <v>5723</v>
      </c>
      <c r="E3795" s="169" t="s">
        <v>19</v>
      </c>
      <c r="F3795" s="245" t="str">
        <f t="shared" si="241"/>
        <v>DVR 72</v>
      </c>
      <c r="G3795" t="s">
        <v>13633</v>
      </c>
      <c r="I3795" s="169" t="str">
        <f t="shared" si="243"/>
        <v>L12_GHVSPLIT_046E_RAISE</v>
      </c>
      <c r="J3795" s="169" t="s">
        <v>14466</v>
      </c>
      <c r="K3795" s="169">
        <f>IFERROR(MATCH(J3795,'Final List'!$B$4:$B$252,0),0)</f>
        <v>0</v>
      </c>
      <c r="L3795" s="169">
        <f>IFERROR(MATCH(J3795,'Final List'!$D$4:$D$252,0),0)</f>
        <v>0</v>
      </c>
      <c r="M3795" s="169">
        <f>IFERROR(MATCH(J3795,'Final List'!$F$4:$F$251,0),0)</f>
        <v>0</v>
      </c>
      <c r="N3795" s="169">
        <f>IFERROR(MATCH(J3795,'Final List'!$H$4:$H$252,0),0)</f>
        <v>0</v>
      </c>
      <c r="O3795" s="169">
        <f>IFERROR(MATCH(J3795,'Final List'!$J$4:$J$252,0),0)</f>
        <v>0</v>
      </c>
      <c r="P3795" s="169">
        <f>IFERROR(MATCH(J3795,'Final List'!$L$4:$L$252,0),0)</f>
        <v>0</v>
      </c>
      <c r="Q3795" s="169">
        <f>IFERROR(MATCH(J3795,'Final List'!$N$4:$N$252,0),0)</f>
        <v>0</v>
      </c>
      <c r="R3795" s="169">
        <f>IFERROR(MATCH(J3795,'Final List'!$P$4:$P$252,0),0)</f>
        <v>0</v>
      </c>
      <c r="S3795" s="169">
        <f t="shared" si="242"/>
        <v>0</v>
      </c>
      <c r="V3795" s="169" t="str">
        <f t="shared" si="244"/>
        <v>CAYMAN</v>
      </c>
      <c r="W3795" s="169" t="s">
        <v>2715</v>
      </c>
    </row>
    <row r="3796" spans="2:23" x14ac:dyDescent="0.25">
      <c r="B3796" s="169" t="s">
        <v>1166</v>
      </c>
      <c r="C3796" s="169" t="s">
        <v>45</v>
      </c>
      <c r="D3796" s="169" t="s">
        <v>9847</v>
      </c>
      <c r="E3796" s="169" t="s">
        <v>61</v>
      </c>
      <c r="F3796" s="245" t="str">
        <f t="shared" si="241"/>
        <v>Dhoz 71</v>
      </c>
      <c r="G3796" t="s">
        <v>12070</v>
      </c>
      <c r="I3796" s="169" t="str">
        <f t="shared" si="243"/>
        <v>L11_DPVE_095E_DW</v>
      </c>
      <c r="J3796" s="169" t="s">
        <v>14467</v>
      </c>
      <c r="K3796" s="169">
        <f>IFERROR(MATCH(J3796,'Final List'!$B$4:$B$252,0),0)</f>
        <v>0</v>
      </c>
      <c r="L3796" s="169">
        <f>IFERROR(MATCH(J3796,'Final List'!$D$4:$D$252,0),0)</f>
        <v>0</v>
      </c>
      <c r="M3796" s="169">
        <f>IFERROR(MATCH(J3796,'Final List'!$F$4:$F$251,0),0)</f>
        <v>0</v>
      </c>
      <c r="N3796" s="169">
        <f>IFERROR(MATCH(J3796,'Final List'!$H$4:$H$252,0),0)</f>
        <v>0</v>
      </c>
      <c r="O3796" s="169">
        <f>IFERROR(MATCH(J3796,'Final List'!$J$4:$J$252,0),0)</f>
        <v>0</v>
      </c>
      <c r="P3796" s="169">
        <f>IFERROR(MATCH(J3796,'Final List'!$L$4:$L$252,0),0)</f>
        <v>0</v>
      </c>
      <c r="Q3796" s="169">
        <f>IFERROR(MATCH(J3796,'Final List'!$N$4:$N$252,0),0)</f>
        <v>0</v>
      </c>
      <c r="R3796" s="169">
        <f>IFERROR(MATCH(J3796,'Final List'!$P$4:$P$252,0),0)</f>
        <v>0</v>
      </c>
      <c r="S3796" s="169">
        <f t="shared" si="242"/>
        <v>0</v>
      </c>
      <c r="V3796" s="169" t="str">
        <f t="shared" si="244"/>
        <v>NITRO BB</v>
      </c>
      <c r="W3796" s="169" t="s">
        <v>8896</v>
      </c>
    </row>
    <row r="3797" spans="2:23" x14ac:dyDescent="0.25">
      <c r="B3797" s="169" t="s">
        <v>1166</v>
      </c>
      <c r="C3797" s="169" t="s">
        <v>45</v>
      </c>
      <c r="D3797" s="169" t="s">
        <v>14469</v>
      </c>
      <c r="E3797" s="169" t="s">
        <v>61</v>
      </c>
      <c r="F3797" s="245" t="str">
        <f t="shared" si="241"/>
        <v>Dhoz 71</v>
      </c>
      <c r="G3797" s="169" t="s">
        <v>4155</v>
      </c>
      <c r="I3797" s="169" t="str">
        <f t="shared" si="243"/>
        <v>L11_DPVE_110E_DW</v>
      </c>
      <c r="J3797" s="169" t="s">
        <v>14468</v>
      </c>
      <c r="K3797" s="169">
        <f>IFERROR(MATCH(J3797,'Final List'!$B$4:$B$252,0),0)</f>
        <v>0</v>
      </c>
      <c r="L3797" s="169">
        <f>IFERROR(MATCH(J3797,'Final List'!$D$4:$D$252,0),0)</f>
        <v>0</v>
      </c>
      <c r="M3797" s="169">
        <f>IFERROR(MATCH(J3797,'Final List'!$F$4:$F$251,0),0)</f>
        <v>0</v>
      </c>
      <c r="N3797" s="169">
        <f>IFERROR(MATCH(J3797,'Final List'!$H$4:$H$252,0),0)</f>
        <v>0</v>
      </c>
      <c r="O3797" s="169">
        <f>IFERROR(MATCH(J3797,'Final List'!$J$4:$J$252,0),0)</f>
        <v>0</v>
      </c>
      <c r="P3797" s="169">
        <f>IFERROR(MATCH(J3797,'Final List'!$L$4:$L$252,0),0)</f>
        <v>0</v>
      </c>
      <c r="Q3797" s="169">
        <f>IFERROR(MATCH(J3797,'Final List'!$N$4:$N$252,0),0)</f>
        <v>0</v>
      </c>
      <c r="R3797" s="169">
        <f>IFERROR(MATCH(J3797,'Final List'!$P$4:$P$252,0),0)</f>
        <v>0</v>
      </c>
      <c r="S3797" s="169">
        <f t="shared" si="242"/>
        <v>0</v>
      </c>
      <c r="V3797" s="169" t="str">
        <f t="shared" si="244"/>
        <v>BAÑEZ</v>
      </c>
      <c r="W3797" s="169" t="s">
        <v>8896</v>
      </c>
    </row>
    <row r="3798" spans="2:23" x14ac:dyDescent="0.25">
      <c r="B3798" s="169" t="s">
        <v>1166</v>
      </c>
      <c r="C3798" s="169" t="s">
        <v>45</v>
      </c>
      <c r="D3798" s="169" t="s">
        <v>9156</v>
      </c>
      <c r="E3798" s="169" t="s">
        <v>19</v>
      </c>
      <c r="F3798" s="245" t="str">
        <f t="shared" si="241"/>
        <v>DVR 72</v>
      </c>
      <c r="G3798" s="169" t="s">
        <v>12070</v>
      </c>
      <c r="I3798" s="169" t="str">
        <f t="shared" si="243"/>
        <v>L11_DPVE_092E_RAISE</v>
      </c>
      <c r="J3798" s="169" t="s">
        <v>14473</v>
      </c>
      <c r="K3798" s="169">
        <f>IFERROR(MATCH(J3798,'Final List'!$B$4:$B$252,0),0)</f>
        <v>0</v>
      </c>
      <c r="L3798" s="169">
        <f>IFERROR(MATCH(J3798,'Final List'!$D$4:$D$252,0),0)</f>
        <v>0</v>
      </c>
      <c r="M3798" s="169">
        <f>IFERROR(MATCH(J3798,'Final List'!$F$4:$F$251,0),0)</f>
        <v>0</v>
      </c>
      <c r="N3798" s="169">
        <f>IFERROR(MATCH(J3798,'Final List'!$H$4:$H$252,0),0)</f>
        <v>0</v>
      </c>
      <c r="O3798" s="169">
        <f>IFERROR(MATCH(J3798,'Final List'!$J$4:$J$252,0),0)</f>
        <v>0</v>
      </c>
      <c r="P3798" s="169">
        <f>IFERROR(MATCH(J3798,'Final List'!$L$4:$L$252,0),0)</f>
        <v>0</v>
      </c>
      <c r="Q3798" s="169">
        <f>IFERROR(MATCH(J3798,'Final List'!$N$4:$N$252,0),0)</f>
        <v>0</v>
      </c>
      <c r="R3798" s="169">
        <f>IFERROR(MATCH(J3798,'Final List'!$P$4:$P$252,0),0)</f>
        <v>0</v>
      </c>
      <c r="S3798" s="169">
        <f t="shared" si="242"/>
        <v>0</v>
      </c>
      <c r="V3798" s="169" t="str">
        <f t="shared" si="244"/>
        <v>NITRO BB</v>
      </c>
      <c r="W3798" s="169" t="s">
        <v>2715</v>
      </c>
    </row>
    <row r="3799" spans="2:23" x14ac:dyDescent="0.25">
      <c r="B3799" s="169" t="s">
        <v>12320</v>
      </c>
      <c r="C3799" s="169" t="s">
        <v>39</v>
      </c>
      <c r="D3799" s="169" t="s">
        <v>170</v>
      </c>
      <c r="E3799" s="169" t="s">
        <v>60</v>
      </c>
      <c r="F3799" s="245" t="str">
        <f t="shared" si="241"/>
        <v>Dhoz 71</v>
      </c>
      <c r="G3799" s="169" t="s">
        <v>12745</v>
      </c>
      <c r="I3799" s="169" t="str">
        <f t="shared" si="243"/>
        <v>L425_JVHW_071E_DE</v>
      </c>
      <c r="J3799" s="169" t="s">
        <v>14472</v>
      </c>
      <c r="K3799" s="169">
        <f>IFERROR(MATCH(J3799,'Final List'!$B$4:$B$252,0),0)</f>
        <v>0</v>
      </c>
      <c r="L3799" s="169">
        <f>IFERROR(MATCH(J3799,'Final List'!$D$4:$D$252,0),0)</f>
        <v>0</v>
      </c>
      <c r="M3799" s="169">
        <f>IFERROR(MATCH(J3799,'Final List'!$F$4:$F$251,0),0)</f>
        <v>0</v>
      </c>
      <c r="N3799" s="169">
        <f>IFERROR(MATCH(J3799,'Final List'!$H$4:$H$252,0),0)</f>
        <v>0</v>
      </c>
      <c r="O3799" s="169">
        <f>IFERROR(MATCH(J3799,'Final List'!$J$4:$J$252,0),0)</f>
        <v>0</v>
      </c>
      <c r="P3799" s="169">
        <f>IFERROR(MATCH(J3799,'Final List'!$L$4:$L$252,0),0)</f>
        <v>0</v>
      </c>
      <c r="Q3799" s="169">
        <f>IFERROR(MATCH(J3799,'Final List'!$N$4:$N$252,0),0)</f>
        <v>0</v>
      </c>
      <c r="R3799" s="169">
        <f>IFERROR(MATCH(J3799,'Final List'!$P$4:$P$252,0),0)</f>
        <v>0</v>
      </c>
      <c r="S3799" s="169">
        <f t="shared" si="242"/>
        <v>0</v>
      </c>
      <c r="V3799" s="169" t="str">
        <f t="shared" si="244"/>
        <v>CAPPUYO</v>
      </c>
      <c r="W3799" s="169" t="s">
        <v>8896</v>
      </c>
    </row>
    <row r="3800" spans="2:23" x14ac:dyDescent="0.25">
      <c r="B3800" s="169" t="s">
        <v>12320</v>
      </c>
      <c r="C3800" s="169" t="s">
        <v>38</v>
      </c>
      <c r="D3800" s="169" t="s">
        <v>6114</v>
      </c>
      <c r="E3800" s="169" t="s">
        <v>36</v>
      </c>
      <c r="F3800" s="245" t="str">
        <f t="shared" si="241"/>
        <v>StpS 77</v>
      </c>
      <c r="G3800" s="169" t="s">
        <v>14300</v>
      </c>
      <c r="I3800" s="169" t="str">
        <f t="shared" si="243"/>
        <v>L425_GHV_078E_STOPE</v>
      </c>
      <c r="J3800" s="169" t="s">
        <v>14474</v>
      </c>
      <c r="K3800" s="169">
        <f>IFERROR(MATCH(J3800,'Final List'!$B$4:$B$252,0),0)</f>
        <v>0</v>
      </c>
      <c r="L3800" s="169">
        <f>IFERROR(MATCH(J3800,'Final List'!$D$4:$D$252,0),0)</f>
        <v>0</v>
      </c>
      <c r="M3800" s="169">
        <f>IFERROR(MATCH(J3800,'Final List'!$F$4:$F$251,0),0)</f>
        <v>0</v>
      </c>
      <c r="N3800" s="169">
        <f>IFERROR(MATCH(J3800,'Final List'!$H$4:$H$252,0),0)</f>
        <v>0</v>
      </c>
      <c r="O3800" s="169">
        <f>IFERROR(MATCH(J3800,'Final List'!$J$4:$J$252,0),0)</f>
        <v>0</v>
      </c>
      <c r="P3800" s="169">
        <f>IFERROR(MATCH(J3800,'Final List'!$L$4:$L$252,0),0)</f>
        <v>0</v>
      </c>
      <c r="Q3800" s="169">
        <f>IFERROR(MATCH(J3800,'Final List'!$N$4:$N$252,0),0)</f>
        <v>0</v>
      </c>
      <c r="R3800" s="169">
        <f>IFERROR(MATCH(J3800,'Final List'!$P$4:$P$252,0),0)</f>
        <v>0</v>
      </c>
      <c r="S3800" s="169">
        <f t="shared" si="242"/>
        <v>0</v>
      </c>
      <c r="T3800" s="169" t="s">
        <v>68</v>
      </c>
      <c r="V3800" s="169" t="str">
        <f t="shared" si="244"/>
        <v>DUHIG R.</v>
      </c>
      <c r="W3800" s="169" t="s">
        <v>2713</v>
      </c>
    </row>
    <row r="3801" spans="2:23" x14ac:dyDescent="0.25">
      <c r="B3801" s="169" t="s">
        <v>1167</v>
      </c>
      <c r="C3801" s="169" t="s">
        <v>39</v>
      </c>
      <c r="D3801" s="169" t="s">
        <v>5614</v>
      </c>
      <c r="E3801" s="169" t="s">
        <v>36</v>
      </c>
      <c r="F3801" s="245" t="str">
        <f t="shared" si="241"/>
        <v>StpS 77</v>
      </c>
      <c r="G3801" s="169" t="s">
        <v>14228</v>
      </c>
      <c r="I3801" s="169" t="str">
        <f t="shared" si="243"/>
        <v>L12_JVHW_055E_STOPE</v>
      </c>
      <c r="J3801" s="169" t="s">
        <v>14480</v>
      </c>
      <c r="K3801" s="169">
        <f>IFERROR(MATCH(J3801,'Final List'!$B$4:$B$252,0),0)</f>
        <v>0</v>
      </c>
      <c r="L3801" s="169">
        <f>IFERROR(MATCH(J3801,'Final List'!$D$4:$D$252,0),0)</f>
        <v>0</v>
      </c>
      <c r="M3801" s="169">
        <f>IFERROR(MATCH(J3801,'Final List'!$F$4:$F$251,0),0)</f>
        <v>0</v>
      </c>
      <c r="N3801" s="169">
        <f>IFERROR(MATCH(J3801,'Final List'!$H$4:$H$252,0),0)</f>
        <v>0</v>
      </c>
      <c r="O3801" s="169">
        <f>IFERROR(MATCH(J3801,'Final List'!$J$4:$J$252,0),0)</f>
        <v>0</v>
      </c>
      <c r="P3801" s="169">
        <f>IFERROR(MATCH(J3801,'Final List'!$L$4:$L$252,0),0)</f>
        <v>0</v>
      </c>
      <c r="Q3801" s="169">
        <f>IFERROR(MATCH(J3801,'Final List'!$N$4:$N$252,0),0)</f>
        <v>0</v>
      </c>
      <c r="R3801" s="169">
        <f>IFERROR(MATCH(J3801,'Final List'!$P$4:$P$252,0),0)</f>
        <v>0</v>
      </c>
      <c r="S3801" s="169">
        <f t="shared" si="242"/>
        <v>0</v>
      </c>
      <c r="T3801" s="169" t="s">
        <v>68</v>
      </c>
      <c r="V3801" s="169" t="str">
        <f t="shared" si="244"/>
        <v>LANTACA 1</v>
      </c>
      <c r="W3801" s="169" t="s">
        <v>2713</v>
      </c>
    </row>
    <row r="3802" spans="2:23" x14ac:dyDescent="0.25">
      <c r="B3802" s="169" t="s">
        <v>1167</v>
      </c>
      <c r="C3802" s="169" t="s">
        <v>45</v>
      </c>
      <c r="D3802" s="169" t="s">
        <v>5975</v>
      </c>
      <c r="E3802" s="169" t="s">
        <v>36</v>
      </c>
      <c r="F3802" s="245" t="str">
        <f t="shared" si="241"/>
        <v>StpL 78</v>
      </c>
      <c r="G3802" s="169" t="s">
        <v>14126</v>
      </c>
      <c r="I3802" s="169" t="str">
        <f t="shared" si="243"/>
        <v>L12_DPVE_028E_STOPE</v>
      </c>
      <c r="J3802" s="169" t="s">
        <v>14481</v>
      </c>
      <c r="K3802" s="169">
        <f>IFERROR(MATCH(J3802,'Final List'!$B$4:$B$252,0),0)</f>
        <v>0</v>
      </c>
      <c r="L3802" s="169">
        <f>IFERROR(MATCH(J3802,'Final List'!$D$4:$D$252,0),0)</f>
        <v>0</v>
      </c>
      <c r="M3802" s="169">
        <f>IFERROR(MATCH(J3802,'Final List'!$F$4:$F$251,0),0)</f>
        <v>0</v>
      </c>
      <c r="N3802" s="169">
        <f>IFERROR(MATCH(J3802,'Final List'!$H$4:$H$252,0),0)</f>
        <v>0</v>
      </c>
      <c r="O3802" s="169">
        <f>IFERROR(MATCH(J3802,'Final List'!$J$4:$J$252,0),0)</f>
        <v>0</v>
      </c>
      <c r="P3802" s="169">
        <f>IFERROR(MATCH(J3802,'Final List'!$L$4:$L$252,0),0)</f>
        <v>0</v>
      </c>
      <c r="Q3802" s="169">
        <f>IFERROR(MATCH(J3802,'Final List'!$N$4:$N$252,0),0)</f>
        <v>0</v>
      </c>
      <c r="R3802" s="169">
        <f>IFERROR(MATCH(J3802,'Final List'!$P$4:$P$252,0),0)</f>
        <v>0</v>
      </c>
      <c r="S3802" s="169">
        <f t="shared" si="242"/>
        <v>0</v>
      </c>
      <c r="T3802" s="169" t="s">
        <v>48</v>
      </c>
      <c r="V3802" s="169" t="str">
        <f t="shared" si="244"/>
        <v>HAGANAS</v>
      </c>
      <c r="W3802" s="169" t="s">
        <v>2713</v>
      </c>
    </row>
    <row r="3803" spans="2:23" x14ac:dyDescent="0.25">
      <c r="B3803" s="169" t="s">
        <v>12320</v>
      </c>
      <c r="C3803" s="169" t="s">
        <v>87</v>
      </c>
      <c r="D3803" s="169" t="s">
        <v>167</v>
      </c>
      <c r="E3803" s="169" t="s">
        <v>14484</v>
      </c>
      <c r="F3803" s="245" t="s">
        <v>12992</v>
      </c>
      <c r="G3803" s="169" t="s">
        <v>522</v>
      </c>
      <c r="I3803" s="169" t="str">
        <f t="shared" si="243"/>
        <v>L425_NONE_058E_WINZE ISL</v>
      </c>
      <c r="J3803" s="169" t="s">
        <v>14485</v>
      </c>
      <c r="K3803" s="169">
        <f>IFERROR(MATCH(J3803,'Final List'!$B$4:$B$252,0),0)</f>
        <v>0</v>
      </c>
      <c r="L3803" s="169">
        <f>IFERROR(MATCH(J3803,'Final List'!$D$4:$D$252,0),0)</f>
        <v>0</v>
      </c>
      <c r="M3803" s="169">
        <f>IFERROR(MATCH(J3803,'Final List'!$F$4:$F$251,0),0)</f>
        <v>0</v>
      </c>
      <c r="N3803" s="169">
        <f>IFERROR(MATCH(J3803,'Final List'!$H$4:$H$252,0),0)</f>
        <v>0</v>
      </c>
      <c r="O3803" s="169">
        <f>IFERROR(MATCH(J3803,'Final List'!$J$4:$J$252,0),0)</f>
        <v>0</v>
      </c>
      <c r="P3803" s="169">
        <f>IFERROR(MATCH(J3803,'Final List'!$L$4:$L$252,0),0)</f>
        <v>0</v>
      </c>
      <c r="Q3803" s="169">
        <f>IFERROR(MATCH(J3803,'Final List'!$N$4:$N$252,0),0)</f>
        <v>0</v>
      </c>
      <c r="R3803" s="169">
        <f>IFERROR(MATCH(J3803,'Final List'!$P$4:$P$252,0),0)</f>
        <v>0</v>
      </c>
      <c r="S3803" s="169">
        <f t="shared" si="242"/>
        <v>0</v>
      </c>
      <c r="V3803" s="169" t="str">
        <f t="shared" si="244"/>
        <v>CAPPUYO 3</v>
      </c>
      <c r="W3803" s="169" t="s">
        <v>8896</v>
      </c>
    </row>
    <row r="3804" spans="2:23" x14ac:dyDescent="0.25">
      <c r="B3804" s="169" t="s">
        <v>96</v>
      </c>
      <c r="C3804" s="169" t="s">
        <v>45</v>
      </c>
      <c r="D3804" s="169" t="s">
        <v>5601</v>
      </c>
      <c r="E3804" s="169" t="s">
        <v>62</v>
      </c>
      <c r="F3804" s="245" t="str">
        <f t="shared" si="241"/>
        <v>RobS 79</v>
      </c>
      <c r="G3804" t="s">
        <v>6621</v>
      </c>
      <c r="I3804" s="169" t="str">
        <f t="shared" si="243"/>
        <v>L09_DPVE_026E_ROBBING</v>
      </c>
      <c r="J3804" s="169" t="s">
        <v>14487</v>
      </c>
      <c r="K3804" s="169">
        <f>IFERROR(MATCH(J3804,'Final List'!$B$4:$B$252,0),0)</f>
        <v>0</v>
      </c>
      <c r="L3804" s="169">
        <f>IFERROR(MATCH(J3804,'Final List'!$D$4:$D$252,0),0)</f>
        <v>0</v>
      </c>
      <c r="M3804" s="169">
        <f>IFERROR(MATCH(J3804,'Final List'!$F$4:$F$251,0),0)</f>
        <v>0</v>
      </c>
      <c r="N3804" s="169">
        <f>IFERROR(MATCH(J3804,'Final List'!$H$4:$H$252,0),0)</f>
        <v>0</v>
      </c>
      <c r="O3804" s="169">
        <f>IFERROR(MATCH(J3804,'Final List'!$J$4:$J$252,0),0)</f>
        <v>0</v>
      </c>
      <c r="P3804" s="169">
        <f>IFERROR(MATCH(J3804,'Final List'!$L$4:$L$252,0),0)</f>
        <v>0</v>
      </c>
      <c r="Q3804" s="169">
        <f>IFERROR(MATCH(J3804,'Final List'!$N$4:$N$252,0),0)</f>
        <v>0</v>
      </c>
      <c r="R3804" s="169">
        <f>IFERROR(MATCH(J3804,'Final List'!$P$4:$P$252,0),0)</f>
        <v>0</v>
      </c>
      <c r="S3804" s="169">
        <f t="shared" si="242"/>
        <v>0</v>
      </c>
      <c r="T3804" s="169" t="s">
        <v>68</v>
      </c>
      <c r="V3804" s="169" t="str">
        <f t="shared" si="244"/>
        <v>DELOS REYES V1</v>
      </c>
      <c r="W3804" s="169" t="s">
        <v>2707</v>
      </c>
    </row>
    <row r="3805" spans="2:23" x14ac:dyDescent="0.25">
      <c r="B3805" s="169" t="s">
        <v>1166</v>
      </c>
      <c r="C3805" s="169" t="s">
        <v>45</v>
      </c>
      <c r="D3805" s="169" t="s">
        <v>10249</v>
      </c>
      <c r="E3805" s="169" t="s">
        <v>61</v>
      </c>
      <c r="F3805" s="245" t="str">
        <f t="shared" si="241"/>
        <v>Dhoz 71</v>
      </c>
      <c r="G3805" s="169" t="s">
        <v>342</v>
      </c>
      <c r="I3805" s="169" t="str">
        <f t="shared" si="243"/>
        <v>L11_DPVE_097E_DW</v>
      </c>
      <c r="J3805" s="169" t="s">
        <v>14488</v>
      </c>
      <c r="K3805" s="169">
        <f>IFERROR(MATCH(J3805,'Final List'!$B$4:$B$252,0),0)</f>
        <v>0</v>
      </c>
      <c r="L3805" s="169">
        <f>IFERROR(MATCH(J3805,'Final List'!$D$4:$D$252,0),0)</f>
        <v>0</v>
      </c>
      <c r="M3805" s="169">
        <f>IFERROR(MATCH(J3805,'Final List'!$F$4:$F$251,0),0)</f>
        <v>0</v>
      </c>
      <c r="N3805" s="169">
        <f>IFERROR(MATCH(J3805,'Final List'!$H$4:$H$252,0),0)</f>
        <v>0</v>
      </c>
      <c r="O3805" s="169">
        <f>IFERROR(MATCH(J3805,'Final List'!$J$4:$J$252,0),0)</f>
        <v>0</v>
      </c>
      <c r="P3805" s="169">
        <f>IFERROR(MATCH(J3805,'Final List'!$L$4:$L$252,0),0)</f>
        <v>0</v>
      </c>
      <c r="Q3805" s="169">
        <f>IFERROR(MATCH(J3805,'Final List'!$N$4:$N$252,0),0)</f>
        <v>0</v>
      </c>
      <c r="R3805" s="169">
        <f>IFERROR(MATCH(J3805,'Final List'!$P$4:$P$252,0),0)</f>
        <v>0</v>
      </c>
      <c r="S3805" s="169">
        <f t="shared" si="242"/>
        <v>0</v>
      </c>
      <c r="V3805" s="169" t="str">
        <f t="shared" si="244"/>
        <v>BADBADON 2</v>
      </c>
      <c r="W3805" s="169" t="s">
        <v>8896</v>
      </c>
    </row>
    <row r="3806" spans="2:23" x14ac:dyDescent="0.25">
      <c r="B3806" s="169" t="s">
        <v>12320</v>
      </c>
      <c r="C3806" s="169" t="s">
        <v>55</v>
      </c>
      <c r="D3806" s="169" t="s">
        <v>180</v>
      </c>
      <c r="E3806" s="169" t="s">
        <v>211</v>
      </c>
      <c r="F3806" s="245" t="str">
        <f t="shared" si="241"/>
        <v>StpS 77</v>
      </c>
      <c r="G3806" s="169" t="s">
        <v>1510</v>
      </c>
      <c r="H3806" s="169" t="s">
        <v>14317</v>
      </c>
      <c r="I3806" s="169" t="str">
        <f t="shared" si="243"/>
        <v>L425_JVFW_041E_STOPE PREP</v>
      </c>
      <c r="J3806" s="169" t="s">
        <v>14490</v>
      </c>
      <c r="K3806" s="169">
        <f>IFERROR(MATCH(J3806,'Final List'!$B$4:$B$252,0),0)</f>
        <v>0</v>
      </c>
      <c r="L3806" s="169">
        <f>IFERROR(MATCH(J3806,'Final List'!$D$4:$D$252,0),0)</f>
        <v>0</v>
      </c>
      <c r="M3806" s="169">
        <f>IFERROR(MATCH(J3806,'Final List'!$F$4:$F$251,0),0)</f>
        <v>0</v>
      </c>
      <c r="N3806" s="169">
        <f>IFERROR(MATCH(J3806,'Final List'!$H$4:$H$252,0),0)</f>
        <v>0</v>
      </c>
      <c r="O3806" s="169">
        <f>IFERROR(MATCH(J3806,'Final List'!$J$4:$J$252,0),0)</f>
        <v>0</v>
      </c>
      <c r="P3806" s="169">
        <f>IFERROR(MATCH(J3806,'Final List'!$L$4:$L$252,0),0)</f>
        <v>0</v>
      </c>
      <c r="Q3806" s="169">
        <f>IFERROR(MATCH(J3806,'Final List'!$N$4:$N$252,0),0)</f>
        <v>0</v>
      </c>
      <c r="R3806" s="169">
        <f>IFERROR(MATCH(J3806,'Final List'!$P$4:$P$252,0),0)</f>
        <v>0</v>
      </c>
      <c r="S3806" s="169">
        <f t="shared" si="242"/>
        <v>0</v>
      </c>
      <c r="T3806" s="169" t="s">
        <v>68</v>
      </c>
      <c r="V3806" s="169" t="str">
        <f t="shared" si="244"/>
        <v>ESPINOSA</v>
      </c>
      <c r="W3806" s="169" t="s">
        <v>2712</v>
      </c>
    </row>
    <row r="3807" spans="2:23" x14ac:dyDescent="0.25">
      <c r="B3807" s="169" t="s">
        <v>12320</v>
      </c>
      <c r="C3807" s="169" t="s">
        <v>57</v>
      </c>
      <c r="D3807" s="169" t="s">
        <v>175</v>
      </c>
      <c r="E3807" s="169" t="s">
        <v>19</v>
      </c>
      <c r="F3807" s="245" t="str">
        <f t="shared" si="241"/>
        <v>DVR 72</v>
      </c>
      <c r="G3807" s="169" t="s">
        <v>1510</v>
      </c>
      <c r="I3807" s="169" t="str">
        <f t="shared" si="243"/>
        <v>L425_JVSPLIT_060E_RAISE</v>
      </c>
      <c r="J3807" s="169" t="s">
        <v>14491</v>
      </c>
      <c r="K3807" s="169">
        <f>IFERROR(MATCH(J3807,'Final List'!$B$4:$B$252,0),0)</f>
        <v>0</v>
      </c>
      <c r="L3807" s="169">
        <f>IFERROR(MATCH(J3807,'Final List'!$D$4:$D$252,0),0)</f>
        <v>0</v>
      </c>
      <c r="M3807" s="169">
        <f>IFERROR(MATCH(J3807,'Final List'!$F$4:$F$251,0),0)</f>
        <v>0</v>
      </c>
      <c r="N3807" s="169">
        <f>IFERROR(MATCH(J3807,'Final List'!$H$4:$H$252,0),0)</f>
        <v>0</v>
      </c>
      <c r="O3807" s="169">
        <f>IFERROR(MATCH(J3807,'Final List'!$J$4:$J$252,0),0)</f>
        <v>0</v>
      </c>
      <c r="P3807" s="169">
        <f>IFERROR(MATCH(J3807,'Final List'!$L$4:$L$252,0),0)</f>
        <v>0</v>
      </c>
      <c r="Q3807" s="169">
        <f>IFERROR(MATCH(J3807,'Final List'!$N$4:$N$252,0),0)</f>
        <v>0</v>
      </c>
      <c r="R3807" s="169">
        <f>IFERROR(MATCH(J3807,'Final List'!$P$4:$P$252,0),0)</f>
        <v>0</v>
      </c>
      <c r="S3807" s="169">
        <f t="shared" si="242"/>
        <v>0</v>
      </c>
      <c r="V3807" s="169" t="str">
        <f t="shared" si="244"/>
        <v>DELOS REYES</v>
      </c>
      <c r="W3807" s="169" t="s">
        <v>2715</v>
      </c>
    </row>
    <row r="3808" spans="2:23" x14ac:dyDescent="0.25">
      <c r="B3808" s="169" t="s">
        <v>8904</v>
      </c>
      <c r="C3808" s="169" t="s">
        <v>38</v>
      </c>
      <c r="D3808" s="169" t="s">
        <v>174</v>
      </c>
      <c r="E3808" s="169" t="s">
        <v>62</v>
      </c>
      <c r="F3808" s="245" t="str">
        <f t="shared" si="241"/>
        <v>RobS 79</v>
      </c>
      <c r="G3808" s="169" t="s">
        <v>6216</v>
      </c>
      <c r="I3808" s="169" t="str">
        <f t="shared" si="243"/>
        <v>L03_GHV_052E_ROBBING</v>
      </c>
      <c r="J3808" s="169" t="s">
        <v>14492</v>
      </c>
      <c r="K3808" s="169">
        <f>IFERROR(MATCH(J3808,'Final List'!$B$4:$B$252,0),0)</f>
        <v>0</v>
      </c>
      <c r="L3808" s="169">
        <f>IFERROR(MATCH(J3808,'Final List'!$D$4:$D$252,0),0)</f>
        <v>0</v>
      </c>
      <c r="M3808" s="169">
        <f>IFERROR(MATCH(J3808,'Final List'!$F$4:$F$251,0),0)</f>
        <v>0</v>
      </c>
      <c r="N3808" s="169">
        <f>IFERROR(MATCH(J3808,'Final List'!$H$4:$H$252,0),0)</f>
        <v>0</v>
      </c>
      <c r="O3808" s="169">
        <f>IFERROR(MATCH(J3808,'Final List'!$J$4:$J$252,0),0)</f>
        <v>0</v>
      </c>
      <c r="P3808" s="169">
        <f>IFERROR(MATCH(J3808,'Final List'!$L$4:$L$252,0),0)</f>
        <v>0</v>
      </c>
      <c r="Q3808" s="169">
        <f>IFERROR(MATCH(J3808,'Final List'!$N$4:$N$252,0),0)</f>
        <v>0</v>
      </c>
      <c r="R3808" s="169">
        <f>IFERROR(MATCH(J3808,'Final List'!$P$4:$P$252,0),0)</f>
        <v>0</v>
      </c>
      <c r="S3808" s="169">
        <f t="shared" si="242"/>
        <v>0</v>
      </c>
      <c r="T3808" s="169" t="s">
        <v>68</v>
      </c>
      <c r="V3808" s="169" t="str">
        <f t="shared" si="244"/>
        <v>FERNANDEZ</v>
      </c>
      <c r="W3808" s="169" t="s">
        <v>2707</v>
      </c>
    </row>
    <row r="3809" spans="2:23" x14ac:dyDescent="0.25">
      <c r="B3809" s="169" t="s">
        <v>95</v>
      </c>
      <c r="C3809" s="169" t="s">
        <v>87</v>
      </c>
      <c r="D3809" s="169" t="s">
        <v>6833</v>
      </c>
      <c r="E3809" s="169" t="s">
        <v>63</v>
      </c>
      <c r="F3809" s="245" t="str">
        <f t="shared" si="241"/>
        <v>Dhoz 71</v>
      </c>
      <c r="G3809" s="169" t="s">
        <v>14241</v>
      </c>
      <c r="I3809" s="169" t="str">
        <f t="shared" si="243"/>
        <v>L08_NONE_017W_XCS</v>
      </c>
      <c r="J3809" s="169" t="s">
        <v>14495</v>
      </c>
      <c r="K3809" s="169">
        <f>IFERROR(MATCH(J3809,'Final List'!$B$4:$B$252,0),0)</f>
        <v>0</v>
      </c>
      <c r="L3809" s="169">
        <f>IFERROR(MATCH(J3809,'Final List'!$D$4:$D$252,0),0)</f>
        <v>0</v>
      </c>
      <c r="M3809" s="169">
        <f>IFERROR(MATCH(J3809,'Final List'!$F$4:$F$251,0),0)</f>
        <v>0</v>
      </c>
      <c r="N3809" s="169">
        <f>IFERROR(MATCH(J3809,'Final List'!$H$4:$H$252,0),0)</f>
        <v>0</v>
      </c>
      <c r="O3809" s="169">
        <f>IFERROR(MATCH(J3809,'Final List'!$J$4:$J$252,0),0)</f>
        <v>0</v>
      </c>
      <c r="P3809" s="169">
        <f>IFERROR(MATCH(J3809,'Final List'!$L$4:$L$252,0),0)</f>
        <v>0</v>
      </c>
      <c r="Q3809" s="169">
        <f>IFERROR(MATCH(J3809,'Final List'!$N$4:$N$252,0),0)</f>
        <v>0</v>
      </c>
      <c r="R3809" s="169">
        <f>IFERROR(MATCH(J3809,'Final List'!$P$4:$P$252,0),0)</f>
        <v>0</v>
      </c>
      <c r="S3809" s="169">
        <f t="shared" si="242"/>
        <v>0</v>
      </c>
      <c r="V3809" s="169" t="str">
        <f t="shared" si="244"/>
        <v>FERNANDEZ 3</v>
      </c>
      <c r="W3809" s="169" t="s">
        <v>8897</v>
      </c>
    </row>
    <row r="3810" spans="2:23" x14ac:dyDescent="0.25">
      <c r="B3810" s="169" t="s">
        <v>96</v>
      </c>
      <c r="C3810" s="169" t="s">
        <v>55</v>
      </c>
      <c r="D3810" s="169" t="s">
        <v>179</v>
      </c>
      <c r="E3810" s="169" t="s">
        <v>61</v>
      </c>
      <c r="F3810" s="245" t="str">
        <f t="shared" si="241"/>
        <v>Dhoz 71</v>
      </c>
      <c r="G3810" s="169" t="s">
        <v>349</v>
      </c>
      <c r="I3810" s="169" t="str">
        <f t="shared" si="243"/>
        <v>L09_JVFW_050E_DW</v>
      </c>
      <c r="J3810" s="169" t="s">
        <v>14497</v>
      </c>
      <c r="K3810" s="169">
        <f>IFERROR(MATCH(J3810,'Final List'!$B$4:$B$252,0),0)</f>
        <v>0</v>
      </c>
      <c r="L3810" s="169">
        <f>IFERROR(MATCH(J3810,'Final List'!$D$4:$D$252,0),0)</f>
        <v>0</v>
      </c>
      <c r="M3810" s="169">
        <f>IFERROR(MATCH(J3810,'Final List'!$F$4:$F$251,0),0)</f>
        <v>0</v>
      </c>
      <c r="N3810" s="169">
        <f>IFERROR(MATCH(J3810,'Final List'!$H$4:$H$252,0),0)</f>
        <v>0</v>
      </c>
      <c r="O3810" s="169">
        <f>IFERROR(MATCH(J3810,'Final List'!$J$4:$J$252,0),0)</f>
        <v>0</v>
      </c>
      <c r="P3810" s="169">
        <f>IFERROR(MATCH(J3810,'Final List'!$L$4:$L$252,0),0)</f>
        <v>0</v>
      </c>
      <c r="Q3810" s="169">
        <f>IFERROR(MATCH(J3810,'Final List'!$N$4:$N$252,0),0)</f>
        <v>0</v>
      </c>
      <c r="R3810" s="169">
        <f>IFERROR(MATCH(J3810,'Final List'!$P$4:$P$252,0),0)</f>
        <v>0</v>
      </c>
      <c r="S3810" s="169">
        <f t="shared" si="242"/>
        <v>0</v>
      </c>
      <c r="V3810" s="169" t="str">
        <f t="shared" si="244"/>
        <v>QUIJANO 2</v>
      </c>
      <c r="W3810" s="169" t="s">
        <v>8896</v>
      </c>
    </row>
    <row r="3811" spans="2:23" x14ac:dyDescent="0.25">
      <c r="B3811" s="169" t="s">
        <v>95</v>
      </c>
      <c r="C3811" s="169" t="s">
        <v>87</v>
      </c>
      <c r="D3811" s="169" t="s">
        <v>142</v>
      </c>
      <c r="E3811" s="169" t="s">
        <v>13390</v>
      </c>
      <c r="F3811" s="245" t="str">
        <f>IF(OR(E3811="XCN",E3811="DE",E3811="DW",E3811="DN",E3811="XCS",E3811="XCE",E3811="XCW",E3811="SUMP",E3811="BYPASS",E3811="CHAMBER",E3811="DRAIN HOLE",E3811="DRILLING CHAMBER",E3811="DE_ISL",E3811="DW_ISL",E3811="REHAB"),"Dhoz 71",IF(OR(E3811="RAISE",E3811="RAISE_ISL"),"DVR 72",IF(E3811="ALIMAK","DVA 73",IF(E3811="ALIMAK_RAISE","DVA 73",IF(E3811="WINZE","DVW 74",IF(E3811="SHAFT","DVS 75",IF(AND(E3811="WINZE STOPE",T3811="S"),"RobC 80",IF(AND(E3811="STOPE",T3811="S"),"StpS 77",IF(AND(E3811="WINZE STOPE",T3811="L"),"RobC 80",IF(AND(E3811="STOPE",T3811="L"),"StpL 78",IF(AND(E3811="WINZE STOPE PREP",T3811="S"),"RobC 80",IF(AND(E3811="STOPE PREP",T3811="S"),"StpS 77",IF(AND(E3811="WINZE STOPE PREP",T3811="L"),"RobC 80",IF(AND(E3811="STOPE PREP",T3811="L"),"StpL 78",IF(AND(E3811="ROBBING",T3811="L"),"RobC 80",IF(AND(E3811="ROBBING",T3811="S"),"RobS 79",0))))))))))))))))</f>
        <v>DVA 73</v>
      </c>
      <c r="G3811" s="169" t="s">
        <v>1606</v>
      </c>
      <c r="I3811" s="169" t="str">
        <f t="shared" si="243"/>
        <v>L08_NONE_038E_ALIMAK_RAISE</v>
      </c>
      <c r="J3811" s="169" t="s">
        <v>14498</v>
      </c>
      <c r="K3811" s="169">
        <f>IFERROR(MATCH(J3811,'Final List'!$B$4:$B$252,0),0)</f>
        <v>0</v>
      </c>
      <c r="L3811" s="169">
        <f>IFERROR(MATCH(J3811,'Final List'!$D$4:$D$252,0),0)</f>
        <v>0</v>
      </c>
      <c r="M3811" s="169">
        <f>IFERROR(MATCH(J3811,'Final List'!$F$4:$F$251,0),0)</f>
        <v>0</v>
      </c>
      <c r="N3811" s="169">
        <f>IFERROR(MATCH(J3811,'Final List'!$H$4:$H$252,0),0)</f>
        <v>0</v>
      </c>
      <c r="O3811" s="169">
        <f>IFERROR(MATCH(J3811,'Final List'!$J$4:$J$252,0),0)</f>
        <v>0</v>
      </c>
      <c r="P3811" s="169">
        <f>IFERROR(MATCH(J3811,'Final List'!$L$4:$L$252,0),0)</f>
        <v>0</v>
      </c>
      <c r="Q3811" s="169">
        <f>IFERROR(MATCH(J3811,'Final List'!$N$4:$N$252,0),0)</f>
        <v>0</v>
      </c>
      <c r="R3811" s="169">
        <f>IFERROR(MATCH(J3811,'Final List'!$P$4:$P$252,0),0)</f>
        <v>92</v>
      </c>
      <c r="S3811" s="169">
        <f t="shared" si="242"/>
        <v>92</v>
      </c>
      <c r="V3811" s="169" t="str">
        <f t="shared" si="244"/>
        <v>PMC MINERS</v>
      </c>
      <c r="W3811" s="169" t="s">
        <v>2714</v>
      </c>
    </row>
    <row r="3812" spans="2:23" x14ac:dyDescent="0.25">
      <c r="B3812" s="169" t="s">
        <v>96</v>
      </c>
      <c r="C3812" s="169" t="s">
        <v>87</v>
      </c>
      <c r="D3812" s="169" t="s">
        <v>9640</v>
      </c>
      <c r="E3812" s="169" t="s">
        <v>63</v>
      </c>
      <c r="F3812" s="245" t="str">
        <f t="shared" si="241"/>
        <v>Dhoz 71</v>
      </c>
      <c r="G3812" s="169" t="s">
        <v>377</v>
      </c>
      <c r="I3812" s="169" t="str">
        <f t="shared" si="243"/>
        <v>L09_NONE_094E_XCS</v>
      </c>
      <c r="J3812" s="169" t="s">
        <v>14503</v>
      </c>
      <c r="K3812" s="169">
        <f>IFERROR(MATCH(J3812,'Final List'!$B$4:$B$252,0),0)</f>
        <v>0</v>
      </c>
      <c r="L3812" s="169">
        <f>IFERROR(MATCH(J3812,'Final List'!$D$4:$D$252,0),0)</f>
        <v>0</v>
      </c>
      <c r="M3812" s="169">
        <f>IFERROR(MATCH(J3812,'Final List'!$F$4:$F$251,0),0)</f>
        <v>0</v>
      </c>
      <c r="N3812" s="169">
        <f>IFERROR(MATCH(J3812,'Final List'!$H$4:$H$252,0),0)</f>
        <v>0</v>
      </c>
      <c r="O3812" s="169">
        <f>IFERROR(MATCH(J3812,'Final List'!$J$4:$J$252,0),0)</f>
        <v>0</v>
      </c>
      <c r="P3812" s="169">
        <f>IFERROR(MATCH(J3812,'Final List'!$L$4:$L$252,0),0)</f>
        <v>0</v>
      </c>
      <c r="Q3812" s="169">
        <f>IFERROR(MATCH(J3812,'Final List'!$N$4:$N$252,0),0)</f>
        <v>0</v>
      </c>
      <c r="R3812" s="169">
        <f>IFERROR(MATCH(J3812,'Final List'!$P$4:$P$252,0),0)</f>
        <v>0</v>
      </c>
      <c r="S3812" s="169">
        <f t="shared" si="242"/>
        <v>0</v>
      </c>
      <c r="V3812" s="169" t="str">
        <f t="shared" si="244"/>
        <v>DELOS REYES 1</v>
      </c>
      <c r="W3812" s="169" t="s">
        <v>8898</v>
      </c>
    </row>
    <row r="3813" spans="2:23" x14ac:dyDescent="0.25">
      <c r="B3813" s="169" t="s">
        <v>1167</v>
      </c>
      <c r="C3813" s="169" t="s">
        <v>55</v>
      </c>
      <c r="D3813" s="169" t="s">
        <v>177</v>
      </c>
      <c r="E3813" s="169" t="s">
        <v>19</v>
      </c>
      <c r="F3813" s="245" t="str">
        <f t="shared" si="241"/>
        <v>DVR 72</v>
      </c>
      <c r="G3813" s="169" t="s">
        <v>14130</v>
      </c>
      <c r="I3813" s="169" t="str">
        <f t="shared" si="243"/>
        <v>L12_JVFW_054E_RAISE</v>
      </c>
      <c r="J3813" s="169" t="s">
        <v>14505</v>
      </c>
      <c r="K3813" s="169">
        <f>IFERROR(MATCH(J3813,'Final List'!$B$4:$B$252,0),0)</f>
        <v>0</v>
      </c>
      <c r="L3813" s="169">
        <f>IFERROR(MATCH(J3813,'Final List'!$D$4:$D$252,0),0)</f>
        <v>0</v>
      </c>
      <c r="M3813" s="169">
        <f>IFERROR(MATCH(J3813,'Final List'!$F$4:$F$251,0),0)</f>
        <v>0</v>
      </c>
      <c r="N3813" s="169">
        <f>IFERROR(MATCH(J3813,'Final List'!$H$4:$H$252,0),0)</f>
        <v>0</v>
      </c>
      <c r="O3813" s="169">
        <f>IFERROR(MATCH(J3813,'Final List'!$J$4:$J$252,0),0)</f>
        <v>0</v>
      </c>
      <c r="P3813" s="169">
        <f>IFERROR(MATCH(J3813,'Final List'!$L$4:$L$252,0),0)</f>
        <v>0</v>
      </c>
      <c r="Q3813" s="169">
        <f>IFERROR(MATCH(J3813,'Final List'!$N$4:$N$252,0),0)</f>
        <v>0</v>
      </c>
      <c r="R3813" s="169">
        <f>IFERROR(MATCH(J3813,'Final List'!$P$4:$P$252,0),0)</f>
        <v>0</v>
      </c>
      <c r="S3813" s="169">
        <f t="shared" si="242"/>
        <v>0</v>
      </c>
      <c r="V3813" s="169" t="str">
        <f t="shared" si="244"/>
        <v>DURANGO</v>
      </c>
      <c r="W3813" s="169" t="s">
        <v>2715</v>
      </c>
    </row>
    <row r="3814" spans="2:23" x14ac:dyDescent="0.25">
      <c r="B3814" s="169" t="s">
        <v>1166</v>
      </c>
      <c r="C3814" s="169" t="s">
        <v>45</v>
      </c>
      <c r="D3814" s="169" t="s">
        <v>11064</v>
      </c>
      <c r="E3814" s="169" t="s">
        <v>19</v>
      </c>
      <c r="F3814" s="245" t="str">
        <f t="shared" si="241"/>
        <v>DVR 72</v>
      </c>
      <c r="G3814" t="s">
        <v>6954</v>
      </c>
      <c r="I3814" s="169" t="str">
        <f t="shared" si="243"/>
        <v>L11_DPVE_099E_RAISE</v>
      </c>
      <c r="J3814" s="169" t="s">
        <v>14511</v>
      </c>
      <c r="K3814" s="169">
        <f>IFERROR(MATCH(J3814,'Final List'!$B$4:$B$252,0),0)</f>
        <v>0</v>
      </c>
      <c r="L3814" s="169">
        <f>IFERROR(MATCH(J3814,'Final List'!$D$4:$D$252,0),0)</f>
        <v>0</v>
      </c>
      <c r="M3814" s="169">
        <f>IFERROR(MATCH(J3814,'Final List'!$F$4:$F$251,0),0)</f>
        <v>0</v>
      </c>
      <c r="N3814" s="169">
        <f>IFERROR(MATCH(J3814,'Final List'!$H$4:$H$252,0),0)</f>
        <v>0</v>
      </c>
      <c r="O3814" s="169">
        <f>IFERROR(MATCH(J3814,'Final List'!$J$4:$J$252,0),0)</f>
        <v>0</v>
      </c>
      <c r="P3814" s="169">
        <f>IFERROR(MATCH(J3814,'Final List'!$L$4:$L$252,0),0)</f>
        <v>0</v>
      </c>
      <c r="Q3814" s="169">
        <f>IFERROR(MATCH(J3814,'Final List'!$N$4:$N$252,0),0)</f>
        <v>0</v>
      </c>
      <c r="R3814" s="169">
        <f>IFERROR(MATCH(J3814,'Final List'!$P$4:$P$252,0),0)</f>
        <v>0</v>
      </c>
      <c r="S3814" s="169">
        <f t="shared" si="242"/>
        <v>0</v>
      </c>
      <c r="V3814" s="169" t="str">
        <f t="shared" si="244"/>
        <v>BADBADON</v>
      </c>
      <c r="W3814" s="169" t="s">
        <v>2715</v>
      </c>
    </row>
    <row r="3815" spans="2:23" x14ac:dyDescent="0.25">
      <c r="B3815" s="169" t="s">
        <v>1166</v>
      </c>
      <c r="C3815" s="169" t="s">
        <v>45</v>
      </c>
      <c r="D3815" s="169" t="s">
        <v>11925</v>
      </c>
      <c r="E3815" s="169" t="s">
        <v>19</v>
      </c>
      <c r="F3815" s="245" t="str">
        <f t="shared" si="241"/>
        <v>DVR 72</v>
      </c>
      <c r="G3815" t="s">
        <v>6980</v>
      </c>
      <c r="I3815" s="169" t="str">
        <f t="shared" si="243"/>
        <v>L11_DPVE_103E_RAISE</v>
      </c>
      <c r="J3815" s="169" t="s">
        <v>14512</v>
      </c>
      <c r="K3815" s="169">
        <f>IFERROR(MATCH(J3815,'Final List'!$B$4:$B$252,0),0)</f>
        <v>0</v>
      </c>
      <c r="L3815" s="169">
        <f>IFERROR(MATCH(J3815,'Final List'!$D$4:$D$252,0),0)</f>
        <v>0</v>
      </c>
      <c r="M3815" s="169">
        <f>IFERROR(MATCH(J3815,'Final List'!$F$4:$F$251,0),0)</f>
        <v>0</v>
      </c>
      <c r="N3815" s="169">
        <f>IFERROR(MATCH(J3815,'Final List'!$H$4:$H$252,0),0)</f>
        <v>0</v>
      </c>
      <c r="O3815" s="169">
        <f>IFERROR(MATCH(J3815,'Final List'!$J$4:$J$252,0),0)</f>
        <v>0</v>
      </c>
      <c r="P3815" s="169">
        <f>IFERROR(MATCH(J3815,'Final List'!$L$4:$L$252,0),0)</f>
        <v>0</v>
      </c>
      <c r="Q3815" s="169">
        <f>IFERROR(MATCH(J3815,'Final List'!$N$4:$N$252,0),0)</f>
        <v>0</v>
      </c>
      <c r="R3815" s="169">
        <f>IFERROR(MATCH(J3815,'Final List'!$P$4:$P$252,0),0)</f>
        <v>0</v>
      </c>
      <c r="S3815" s="169">
        <f t="shared" si="242"/>
        <v>0</v>
      </c>
      <c r="V3815" s="169" t="str">
        <f t="shared" si="244"/>
        <v>BADBADON 3</v>
      </c>
      <c r="W3815" s="169" t="s">
        <v>2715</v>
      </c>
    </row>
    <row r="3816" spans="2:23" x14ac:dyDescent="0.25">
      <c r="B3816" s="169" t="s">
        <v>1166</v>
      </c>
      <c r="C3816" s="169" t="s">
        <v>45</v>
      </c>
      <c r="D3816" s="169" t="s">
        <v>595</v>
      </c>
      <c r="E3816" s="169" t="s">
        <v>19</v>
      </c>
      <c r="F3816" s="245" t="str">
        <f t="shared" si="241"/>
        <v>DVR 72</v>
      </c>
      <c r="G3816" t="s">
        <v>14513</v>
      </c>
      <c r="I3816" s="169" t="str">
        <f t="shared" si="243"/>
        <v>L11_DPVE_072E_RAISE</v>
      </c>
      <c r="J3816" s="169" t="s">
        <v>14518</v>
      </c>
      <c r="K3816" s="169">
        <f>IFERROR(MATCH(J3816,'Final List'!$B$4:$B$252,0),0)</f>
        <v>0</v>
      </c>
      <c r="L3816" s="169">
        <f>IFERROR(MATCH(J3816,'Final List'!$D$4:$D$252,0),0)</f>
        <v>0</v>
      </c>
      <c r="M3816" s="169">
        <f>IFERROR(MATCH(J3816,'Final List'!$F$4:$F$251,0),0)</f>
        <v>0</v>
      </c>
      <c r="N3816" s="169">
        <f>IFERROR(MATCH(J3816,'Final List'!$H$4:$H$252,0),0)</f>
        <v>0</v>
      </c>
      <c r="O3816" s="169">
        <f>IFERROR(MATCH(J3816,'Final List'!$J$4:$J$252,0),0)</f>
        <v>0</v>
      </c>
      <c r="P3816" s="169">
        <f>IFERROR(MATCH(J3816,'Final List'!$L$4:$L$252,0),0)</f>
        <v>0</v>
      </c>
      <c r="Q3816" s="169">
        <f>IFERROR(MATCH(J3816,'Final List'!$N$4:$N$252,0),0)</f>
        <v>0</v>
      </c>
      <c r="R3816" s="169">
        <f>IFERROR(MATCH(J3816,'Final List'!$P$4:$P$252,0),0)</f>
        <v>0</v>
      </c>
      <c r="S3816" s="169">
        <f t="shared" si="242"/>
        <v>0</v>
      </c>
      <c r="V3816" s="169" t="str">
        <f t="shared" si="244"/>
        <v>BADBADON  1</v>
      </c>
      <c r="W3816" s="169" t="s">
        <v>2715</v>
      </c>
    </row>
    <row r="3817" spans="2:23" x14ac:dyDescent="0.25">
      <c r="B3817" s="169" t="s">
        <v>95</v>
      </c>
      <c r="C3817" s="169" t="s">
        <v>45</v>
      </c>
      <c r="D3817" s="169" t="s">
        <v>6710</v>
      </c>
      <c r="E3817" s="169" t="s">
        <v>221</v>
      </c>
      <c r="F3817" s="245" t="str">
        <f t="shared" si="241"/>
        <v>RobC 80</v>
      </c>
      <c r="G3817" s="169" t="s">
        <v>14231</v>
      </c>
      <c r="I3817" s="169" t="str">
        <f t="shared" si="243"/>
        <v>L08_DPVE_018W_WINZE STOPE</v>
      </c>
      <c r="J3817" s="169" t="s">
        <v>14514</v>
      </c>
      <c r="K3817" s="169">
        <f>IFERROR(MATCH(J3817,'Final List'!$B$4:$B$252,0),0)</f>
        <v>0</v>
      </c>
      <c r="L3817" s="169">
        <f>IFERROR(MATCH(J3817,'Final List'!$D$4:$D$252,0),0)</f>
        <v>0</v>
      </c>
      <c r="M3817" s="169">
        <f>IFERROR(MATCH(J3817,'Final List'!$F$4:$F$251,0),0)</f>
        <v>0</v>
      </c>
      <c r="N3817" s="169">
        <f>IFERROR(MATCH(J3817,'Final List'!$H$4:$H$252,0),0)</f>
        <v>0</v>
      </c>
      <c r="O3817" s="169">
        <f>IFERROR(MATCH(J3817,'Final List'!$J$4:$J$252,0),0)</f>
        <v>0</v>
      </c>
      <c r="P3817" s="169">
        <f>IFERROR(MATCH(J3817,'Final List'!$L$4:$L$252,0),0)</f>
        <v>0</v>
      </c>
      <c r="Q3817" s="169">
        <f>IFERROR(MATCH(J3817,'Final List'!$N$4:$N$252,0),0)</f>
        <v>0</v>
      </c>
      <c r="R3817" s="169">
        <f>IFERROR(MATCH(J3817,'Final List'!$P$4:$P$252,0),0)</f>
        <v>0</v>
      </c>
      <c r="S3817" s="169">
        <f t="shared" si="242"/>
        <v>0</v>
      </c>
      <c r="T3817" s="169" t="s">
        <v>68</v>
      </c>
      <c r="V3817" s="169" t="str">
        <f t="shared" si="244"/>
        <v>NITRO CF2</v>
      </c>
      <c r="W3817" s="169" t="s">
        <v>2713</v>
      </c>
    </row>
    <row r="3818" spans="2:23" x14ac:dyDescent="0.25">
      <c r="B3818" s="169" t="s">
        <v>12320</v>
      </c>
      <c r="C3818" s="169" t="s">
        <v>87</v>
      </c>
      <c r="D3818" s="169" t="s">
        <v>166</v>
      </c>
      <c r="E3818" s="169" t="s">
        <v>37</v>
      </c>
      <c r="F3818" s="245" t="str">
        <f t="shared" si="241"/>
        <v>Dhoz 71</v>
      </c>
      <c r="G3818" s="169" t="s">
        <v>364</v>
      </c>
      <c r="I3818" s="169" t="str">
        <f t="shared" si="243"/>
        <v>L425_NONE_068E_XCN</v>
      </c>
      <c r="J3818" s="169" t="s">
        <v>14515</v>
      </c>
      <c r="K3818" s="169">
        <f>IFERROR(MATCH(J3818,'Final List'!$B$4:$B$252,0),0)</f>
        <v>0</v>
      </c>
      <c r="L3818" s="169">
        <f>IFERROR(MATCH(J3818,'Final List'!$D$4:$D$252,0),0)</f>
        <v>0</v>
      </c>
      <c r="M3818" s="169">
        <f>IFERROR(MATCH(J3818,'Final List'!$F$4:$F$251,0),0)</f>
        <v>0</v>
      </c>
      <c r="N3818" s="169">
        <f>IFERROR(MATCH(J3818,'Final List'!$H$4:$H$252,0),0)</f>
        <v>0</v>
      </c>
      <c r="O3818" s="169">
        <f>IFERROR(MATCH(J3818,'Final List'!$J$4:$J$252,0),0)</f>
        <v>0</v>
      </c>
      <c r="P3818" s="169">
        <f>IFERROR(MATCH(J3818,'Final List'!$L$4:$L$252,0),0)</f>
        <v>0</v>
      </c>
      <c r="Q3818" s="169">
        <f>IFERROR(MATCH(J3818,'Final List'!$N$4:$N$252,0),0)</f>
        <v>0</v>
      </c>
      <c r="R3818" s="169">
        <f>IFERROR(MATCH(J3818,'Final List'!$P$4:$P$252,0),0)</f>
        <v>0</v>
      </c>
      <c r="S3818" s="169">
        <f t="shared" si="242"/>
        <v>0</v>
      </c>
      <c r="V3818" s="169" t="str">
        <f t="shared" si="244"/>
        <v>BABOR 3</v>
      </c>
      <c r="W3818" s="169" t="s">
        <v>8898</v>
      </c>
    </row>
    <row r="3819" spans="2:23" x14ac:dyDescent="0.25">
      <c r="B3819" s="169" t="s">
        <v>258</v>
      </c>
      <c r="C3819" s="169" t="s">
        <v>38</v>
      </c>
      <c r="D3819" s="169" t="s">
        <v>101</v>
      </c>
      <c r="E3819" s="169" t="s">
        <v>36</v>
      </c>
      <c r="F3819" s="245" t="str">
        <f t="shared" si="241"/>
        <v>StpS 77</v>
      </c>
      <c r="G3819" s="169" t="s">
        <v>12888</v>
      </c>
      <c r="I3819" s="169" t="str">
        <f t="shared" si="243"/>
        <v>L10_GHV_023W_STOPE</v>
      </c>
      <c r="J3819" s="169" t="s">
        <v>14516</v>
      </c>
      <c r="K3819" s="169">
        <f>IFERROR(MATCH(J3819,'Final List'!$B$4:$B$252,0),0)</f>
        <v>0</v>
      </c>
      <c r="L3819" s="169">
        <f>IFERROR(MATCH(J3819,'Final List'!$D$4:$D$252,0),0)</f>
        <v>0</v>
      </c>
      <c r="M3819" s="169">
        <f>IFERROR(MATCH(J3819,'Final List'!$F$4:$F$251,0),0)</f>
        <v>0</v>
      </c>
      <c r="N3819" s="169">
        <f>IFERROR(MATCH(J3819,'Final List'!$H$4:$H$252,0),0)</f>
        <v>0</v>
      </c>
      <c r="O3819" s="169">
        <f>IFERROR(MATCH(J3819,'Final List'!$J$4:$J$252,0),0)</f>
        <v>0</v>
      </c>
      <c r="P3819" s="169">
        <f>IFERROR(MATCH(J3819,'Final List'!$L$4:$L$252,0),0)</f>
        <v>0</v>
      </c>
      <c r="Q3819" s="169">
        <f>IFERROR(MATCH(J3819,'Final List'!$N$4:$N$252,0),0)</f>
        <v>0</v>
      </c>
      <c r="R3819" s="169">
        <f>IFERROR(MATCH(J3819,'Final List'!$P$4:$P$252,0),0)</f>
        <v>0</v>
      </c>
      <c r="S3819" s="169">
        <f t="shared" si="242"/>
        <v>0</v>
      </c>
      <c r="T3819" s="169" t="s">
        <v>68</v>
      </c>
      <c r="V3819" s="169" t="str">
        <f t="shared" si="244"/>
        <v>NITRO BD</v>
      </c>
      <c r="W3819" s="169" t="s">
        <v>2713</v>
      </c>
    </row>
    <row r="3820" spans="2:23" x14ac:dyDescent="0.25">
      <c r="B3820" s="169" t="s">
        <v>1167</v>
      </c>
      <c r="C3820" s="169" t="s">
        <v>39</v>
      </c>
      <c r="D3820" s="169" t="s">
        <v>5602</v>
      </c>
      <c r="E3820" s="169" t="s">
        <v>36</v>
      </c>
      <c r="F3820" s="245" t="str">
        <f t="shared" si="241"/>
        <v>StpS 77</v>
      </c>
      <c r="G3820" t="s">
        <v>14133</v>
      </c>
      <c r="I3820" s="169" t="str">
        <f t="shared" si="243"/>
        <v>L12_JVHW_053E_STOPE</v>
      </c>
      <c r="J3820" s="169" t="s">
        <v>14520</v>
      </c>
      <c r="K3820" s="169">
        <f>IFERROR(MATCH(J3820,'Final List'!$B$4:$B$252,0),0)</f>
        <v>0</v>
      </c>
      <c r="L3820" s="169">
        <f>IFERROR(MATCH(J3820,'Final List'!$D$4:$D$252,0),0)</f>
        <v>0</v>
      </c>
      <c r="M3820" s="169">
        <f>IFERROR(MATCH(J3820,'Final List'!$F$4:$F$251,0),0)</f>
        <v>0</v>
      </c>
      <c r="N3820" s="169">
        <f>IFERROR(MATCH(J3820,'Final List'!$H$4:$H$252,0),0)</f>
        <v>0</v>
      </c>
      <c r="O3820" s="169">
        <f>IFERROR(MATCH(J3820,'Final List'!$J$4:$J$252,0),0)</f>
        <v>0</v>
      </c>
      <c r="P3820" s="169">
        <f>IFERROR(MATCH(J3820,'Final List'!$L$4:$L$252,0),0)</f>
        <v>0</v>
      </c>
      <c r="Q3820" s="169">
        <f>IFERROR(MATCH(J3820,'Final List'!$N$4:$N$252,0),0)</f>
        <v>0</v>
      </c>
      <c r="R3820" s="169">
        <f>IFERROR(MATCH(J3820,'Final List'!$P$4:$P$252,0),0)</f>
        <v>0</v>
      </c>
      <c r="S3820" s="169">
        <f t="shared" si="242"/>
        <v>0</v>
      </c>
      <c r="T3820" s="169" t="s">
        <v>68</v>
      </c>
      <c r="V3820" s="169" t="str">
        <f t="shared" si="244"/>
        <v>NITRO CG</v>
      </c>
      <c r="W3820" s="169" t="s">
        <v>2713</v>
      </c>
    </row>
    <row r="3821" spans="2:23" x14ac:dyDescent="0.25">
      <c r="B3821" s="169" t="s">
        <v>12320</v>
      </c>
      <c r="C3821" s="169" t="s">
        <v>55</v>
      </c>
      <c r="D3821" s="169" t="s">
        <v>160</v>
      </c>
      <c r="E3821" s="169" t="s">
        <v>211</v>
      </c>
      <c r="F3821" s="245" t="str">
        <f t="shared" si="241"/>
        <v>StpS 77</v>
      </c>
      <c r="G3821" s="169" t="s">
        <v>14317</v>
      </c>
      <c r="H3821" s="169" t="s">
        <v>14762</v>
      </c>
      <c r="I3821" s="169" t="str">
        <f t="shared" si="243"/>
        <v>L425_JVFW_042E_STOPE PREP</v>
      </c>
      <c r="J3821" s="169" t="s">
        <v>14521</v>
      </c>
      <c r="K3821" s="169">
        <f>IFERROR(MATCH(J3821,'Final List'!$B$4:$B$252,0),0)</f>
        <v>0</v>
      </c>
      <c r="L3821" s="169">
        <f>IFERROR(MATCH(J3821,'Final List'!$D$4:$D$252,0),0)</f>
        <v>0</v>
      </c>
      <c r="M3821" s="169">
        <f>IFERROR(MATCH(J3821,'Final List'!$F$4:$F$251,0),0)</f>
        <v>0</v>
      </c>
      <c r="N3821" s="169">
        <f>IFERROR(MATCH(J3821,'Final List'!$H$4:$H$252,0),0)</f>
        <v>0</v>
      </c>
      <c r="O3821" s="169">
        <f>IFERROR(MATCH(J3821,'Final List'!$J$4:$J$252,0),0)</f>
        <v>0</v>
      </c>
      <c r="P3821" s="169">
        <f>IFERROR(MATCH(J3821,'Final List'!$L$4:$L$252,0),0)</f>
        <v>0</v>
      </c>
      <c r="Q3821" s="169">
        <f>IFERROR(MATCH(J3821,'Final List'!$N$4:$N$252,0),0)</f>
        <v>0</v>
      </c>
      <c r="R3821" s="169">
        <f>IFERROR(MATCH(J3821,'Final List'!$P$4:$P$252,0),0)</f>
        <v>0</v>
      </c>
      <c r="S3821" s="169">
        <f t="shared" si="242"/>
        <v>0</v>
      </c>
      <c r="T3821" s="169" t="s">
        <v>68</v>
      </c>
      <c r="V3821" s="169" t="str">
        <f t="shared" si="244"/>
        <v>BAÑEZ </v>
      </c>
      <c r="W3821" s="169" t="s">
        <v>2712</v>
      </c>
    </row>
    <row r="3822" spans="2:23" x14ac:dyDescent="0.25">
      <c r="B3822" s="169" t="s">
        <v>95</v>
      </c>
      <c r="C3822" s="169" t="s">
        <v>57</v>
      </c>
      <c r="D3822" s="169" t="s">
        <v>104</v>
      </c>
      <c r="E3822" s="169" t="s">
        <v>62</v>
      </c>
      <c r="F3822" s="245" t="str">
        <f t="shared" si="241"/>
        <v>RobS 79</v>
      </c>
      <c r="G3822" s="169" t="s">
        <v>8045</v>
      </c>
      <c r="I3822" s="169" t="str">
        <f t="shared" si="243"/>
        <v>L08_JVSPLIT_029W_ROBBING</v>
      </c>
      <c r="J3822" s="169" t="s">
        <v>14523</v>
      </c>
      <c r="K3822" s="169">
        <f>IFERROR(MATCH(J3822,'Final List'!$B$4:$B$252,0),0)</f>
        <v>0</v>
      </c>
      <c r="L3822" s="169">
        <f>IFERROR(MATCH(J3822,'Final List'!$D$4:$D$252,0),0)</f>
        <v>0</v>
      </c>
      <c r="M3822" s="169">
        <f>IFERROR(MATCH(J3822,'Final List'!$F$4:$F$251,0),0)</f>
        <v>0</v>
      </c>
      <c r="N3822" s="169">
        <f>IFERROR(MATCH(J3822,'Final List'!$H$4:$H$252,0),0)</f>
        <v>0</v>
      </c>
      <c r="O3822" s="169">
        <f>IFERROR(MATCH(J3822,'Final List'!$J$4:$J$252,0),0)</f>
        <v>0</v>
      </c>
      <c r="P3822" s="169">
        <f>IFERROR(MATCH(J3822,'Final List'!$L$4:$L$252,0),0)</f>
        <v>0</v>
      </c>
      <c r="Q3822" s="169">
        <f>IFERROR(MATCH(J3822,'Final List'!$N$4:$N$252,0),0)</f>
        <v>0</v>
      </c>
      <c r="R3822" s="169">
        <f>IFERROR(MATCH(J3822,'Final List'!$P$4:$P$252,0),0)</f>
        <v>0</v>
      </c>
      <c r="S3822" s="169">
        <f t="shared" si="242"/>
        <v>0</v>
      </c>
      <c r="T3822" s="169" t="s">
        <v>68</v>
      </c>
      <c r="V3822" s="169" t="str">
        <f t="shared" si="244"/>
        <v>CAPUYAN</v>
      </c>
      <c r="W3822" s="169" t="s">
        <v>2707</v>
      </c>
    </row>
    <row r="3823" spans="2:23" x14ac:dyDescent="0.25">
      <c r="B3823" s="169" t="s">
        <v>1167</v>
      </c>
      <c r="C3823" s="169" t="s">
        <v>43</v>
      </c>
      <c r="D3823" s="169" t="s">
        <v>170</v>
      </c>
      <c r="E3823" s="169" t="s">
        <v>19</v>
      </c>
      <c r="F3823" s="245" t="str">
        <f t="shared" si="241"/>
        <v>DVR 72</v>
      </c>
      <c r="G3823" s="169" t="s">
        <v>9885</v>
      </c>
      <c r="I3823" s="169" t="str">
        <f t="shared" si="243"/>
        <v>L12_GHVSPLIT_071E_RAISE</v>
      </c>
      <c r="J3823" s="169" t="s">
        <v>14524</v>
      </c>
      <c r="K3823" s="169">
        <f>IFERROR(MATCH(J3823,'Final List'!$B$4:$B$252,0),0)</f>
        <v>0</v>
      </c>
      <c r="L3823" s="169">
        <f>IFERROR(MATCH(J3823,'Final List'!$D$4:$D$252,0),0)</f>
        <v>0</v>
      </c>
      <c r="M3823" s="169">
        <f>IFERROR(MATCH(J3823,'Final List'!$F$4:$F$251,0),0)</f>
        <v>0</v>
      </c>
      <c r="N3823" s="169">
        <f>IFERROR(MATCH(J3823,'Final List'!$H$4:$H$252,0),0)</f>
        <v>0</v>
      </c>
      <c r="O3823" s="169">
        <f>IFERROR(MATCH(J3823,'Final List'!$J$4:$J$252,0),0)</f>
        <v>0</v>
      </c>
      <c r="P3823" s="169">
        <f>IFERROR(MATCH(J3823,'Final List'!$L$4:$L$252,0),0)</f>
        <v>0</v>
      </c>
      <c r="Q3823" s="169">
        <f>IFERROR(MATCH(J3823,'Final List'!$N$4:$N$252,0),0)</f>
        <v>0</v>
      </c>
      <c r="R3823" s="169">
        <f>IFERROR(MATCH(J3823,'Final List'!$P$4:$P$252,0),0)</f>
        <v>0</v>
      </c>
      <c r="S3823" s="169">
        <f t="shared" si="242"/>
        <v>0</v>
      </c>
      <c r="V3823" s="169" t="str">
        <f t="shared" si="244"/>
        <v>CAYMAN 2</v>
      </c>
      <c r="W3823" s="169" t="s">
        <v>2715</v>
      </c>
    </row>
    <row r="3824" spans="2:23" x14ac:dyDescent="0.25">
      <c r="B3824" s="169" t="s">
        <v>1167</v>
      </c>
      <c r="C3824" s="169" t="s">
        <v>38</v>
      </c>
      <c r="D3824" s="169" t="s">
        <v>226</v>
      </c>
      <c r="E3824" s="169" t="s">
        <v>61</v>
      </c>
      <c r="F3824" s="245" t="str">
        <f t="shared" si="241"/>
        <v>Dhoz 71</v>
      </c>
      <c r="G3824" s="169" t="s">
        <v>14130</v>
      </c>
      <c r="I3824" s="169" t="str">
        <f t="shared" si="243"/>
        <v>L12_GHV_074E_DW</v>
      </c>
      <c r="J3824" s="169" t="s">
        <v>14529</v>
      </c>
      <c r="K3824" s="169">
        <f>IFERROR(MATCH(J3824,'Final List'!$B$4:$B$252,0),0)</f>
        <v>0</v>
      </c>
      <c r="L3824" s="169">
        <f>IFERROR(MATCH(J3824,'Final List'!$D$4:$D$252,0),0)</f>
        <v>0</v>
      </c>
      <c r="M3824" s="169">
        <f>IFERROR(MATCH(J3824,'Final List'!$F$4:$F$251,0),0)</f>
        <v>0</v>
      </c>
      <c r="N3824" s="169">
        <f>IFERROR(MATCH(J3824,'Final List'!$H$4:$H$252,0),0)</f>
        <v>0</v>
      </c>
      <c r="O3824" s="169">
        <f>IFERROR(MATCH(J3824,'Final List'!$J$4:$J$252,0),0)</f>
        <v>0</v>
      </c>
      <c r="P3824" s="169">
        <f>IFERROR(MATCH(J3824,'Final List'!$L$4:$L$252,0),0)</f>
        <v>0</v>
      </c>
      <c r="Q3824" s="169">
        <f>IFERROR(MATCH(J3824,'Final List'!$N$4:$N$252,0),0)</f>
        <v>0</v>
      </c>
      <c r="R3824" s="169">
        <f>IFERROR(MATCH(J3824,'Final List'!$P$4:$P$252,0),0)</f>
        <v>0</v>
      </c>
      <c r="S3824" s="169">
        <f t="shared" si="242"/>
        <v>0</v>
      </c>
      <c r="V3824" s="169" t="str">
        <f t="shared" si="244"/>
        <v>DURANGO</v>
      </c>
      <c r="W3824" s="169" t="s">
        <v>8896</v>
      </c>
    </row>
    <row r="3825" spans="2:23" x14ac:dyDescent="0.25">
      <c r="B3825" s="169" t="s">
        <v>1167</v>
      </c>
      <c r="C3825" s="169" t="s">
        <v>87</v>
      </c>
      <c r="D3825" s="169" t="s">
        <v>226</v>
      </c>
      <c r="E3825" s="169" t="s">
        <v>37</v>
      </c>
      <c r="F3825" s="245" t="str">
        <f t="shared" si="241"/>
        <v>Dhoz 71</v>
      </c>
      <c r="G3825" t="s">
        <v>14130</v>
      </c>
      <c r="I3825" s="169" t="str">
        <f t="shared" si="243"/>
        <v>L12_NONE_074E_XCN</v>
      </c>
      <c r="J3825" s="169" t="s">
        <v>14579</v>
      </c>
      <c r="K3825" s="169">
        <f>IFERROR(MATCH(J3825,'Final List'!$B$4:$B$252,0),0)</f>
        <v>0</v>
      </c>
      <c r="L3825" s="169">
        <f>IFERROR(MATCH(J3825,'Final List'!$D$4:$D$252,0),0)</f>
        <v>0</v>
      </c>
      <c r="M3825" s="169">
        <f>IFERROR(MATCH(J3825,'Final List'!$F$4:$F$251,0),0)</f>
        <v>0</v>
      </c>
      <c r="N3825" s="169">
        <f>IFERROR(MATCH(J3825,'Final List'!$H$4:$H$252,0),0)</f>
        <v>0</v>
      </c>
      <c r="O3825" s="169">
        <f>IFERROR(MATCH(J3825,'Final List'!$J$4:$J$252,0),0)</f>
        <v>0</v>
      </c>
      <c r="P3825" s="169">
        <f>IFERROR(MATCH(J3825,'Final List'!$L$4:$L$252,0),0)</f>
        <v>0</v>
      </c>
      <c r="Q3825" s="169">
        <f>IFERROR(MATCH(J3825,'Final List'!$N$4:$N$252,0),0)</f>
        <v>0</v>
      </c>
      <c r="R3825" s="169">
        <f>IFERROR(MATCH(J3825,'Final List'!$P$4:$P$252,0),0)</f>
        <v>0</v>
      </c>
      <c r="S3825" s="169">
        <f t="shared" si="242"/>
        <v>0</v>
      </c>
      <c r="V3825" s="169" t="str">
        <f t="shared" si="244"/>
        <v>DURANGO</v>
      </c>
      <c r="W3825" s="169" t="s">
        <v>8898</v>
      </c>
    </row>
    <row r="3826" spans="2:23" x14ac:dyDescent="0.25">
      <c r="B3826" s="169" t="s">
        <v>1166</v>
      </c>
      <c r="C3826" s="169" t="s">
        <v>43</v>
      </c>
      <c r="D3826" s="169" t="s">
        <v>289</v>
      </c>
      <c r="E3826" s="169" t="s">
        <v>221</v>
      </c>
      <c r="F3826" s="245" t="str">
        <f t="shared" si="241"/>
        <v>RobC 80</v>
      </c>
      <c r="G3826" s="169" t="s">
        <v>4068</v>
      </c>
      <c r="I3826" s="169" t="str">
        <f t="shared" si="243"/>
        <v>L11_GHVSPLIT_059E_WINZE STOPE</v>
      </c>
      <c r="J3826" s="169" t="s">
        <v>14534</v>
      </c>
      <c r="K3826" s="169">
        <f>IFERROR(MATCH(J3826,'Final List'!$B$4:$B$252,0),0)</f>
        <v>0</v>
      </c>
      <c r="L3826" s="169">
        <f>IFERROR(MATCH(J3826,'Final List'!$D$4:$D$252,0),0)</f>
        <v>0</v>
      </c>
      <c r="M3826" s="169">
        <f>IFERROR(MATCH(J3826,'Final List'!$F$4:$F$251,0),0)</f>
        <v>0</v>
      </c>
      <c r="N3826" s="169">
        <f>IFERROR(MATCH(J3826,'Final List'!$H$4:$H$252,0),0)</f>
        <v>0</v>
      </c>
      <c r="O3826" s="169">
        <f>IFERROR(MATCH(J3826,'Final List'!$J$4:$J$252,0),0)</f>
        <v>0</v>
      </c>
      <c r="P3826" s="169">
        <f>IFERROR(MATCH(J3826,'Final List'!$L$4:$L$252,0),0)</f>
        <v>0</v>
      </c>
      <c r="Q3826" s="169">
        <f>IFERROR(MATCH(J3826,'Final List'!$N$4:$N$252,0),0)</f>
        <v>0</v>
      </c>
      <c r="R3826" s="169">
        <f>IFERROR(MATCH(J3826,'Final List'!$P$4:$P$252,0),0)</f>
        <v>0</v>
      </c>
      <c r="S3826" s="169">
        <f t="shared" si="242"/>
        <v>0</v>
      </c>
      <c r="T3826" s="169" t="s">
        <v>68</v>
      </c>
      <c r="V3826" s="169" t="str">
        <f t="shared" si="244"/>
        <v>MAPAYO</v>
      </c>
      <c r="W3826" s="169" t="s">
        <v>2713</v>
      </c>
    </row>
    <row r="3827" spans="2:23" x14ac:dyDescent="0.25">
      <c r="B3827" s="169" t="s">
        <v>1166</v>
      </c>
      <c r="C3827" s="169" t="s">
        <v>45</v>
      </c>
      <c r="D3827" s="169" t="s">
        <v>123</v>
      </c>
      <c r="E3827" s="169" t="s">
        <v>221</v>
      </c>
      <c r="F3827" s="245" t="str">
        <f t="shared" si="241"/>
        <v>RobC 80</v>
      </c>
      <c r="G3827" s="169" t="s">
        <v>340</v>
      </c>
      <c r="I3827" s="169" t="str">
        <f t="shared" si="243"/>
        <v>L11_DPVE_031E_WINZE STOPE</v>
      </c>
      <c r="J3827" s="169" t="s">
        <v>14535</v>
      </c>
      <c r="K3827" s="169">
        <f>IFERROR(MATCH(J3827,'Final List'!$B$4:$B$252,0),0)</f>
        <v>0</v>
      </c>
      <c r="L3827" s="169">
        <f>IFERROR(MATCH(J3827,'Final List'!$D$4:$D$252,0),0)</f>
        <v>0</v>
      </c>
      <c r="M3827" s="169">
        <f>IFERROR(MATCH(J3827,'Final List'!$F$4:$F$251,0),0)</f>
        <v>0</v>
      </c>
      <c r="N3827" s="169">
        <f>IFERROR(MATCH(J3827,'Final List'!$H$4:$H$252,0),0)</f>
        <v>0</v>
      </c>
      <c r="O3827" s="169">
        <f>IFERROR(MATCH(J3827,'Final List'!$J$4:$J$252,0),0)</f>
        <v>0</v>
      </c>
      <c r="P3827" s="169">
        <f>IFERROR(MATCH(J3827,'Final List'!$L$4:$L$252,0),0)</f>
        <v>0</v>
      </c>
      <c r="Q3827" s="169">
        <f>IFERROR(MATCH(J3827,'Final List'!$N$4:$N$252,0),0)</f>
        <v>0</v>
      </c>
      <c r="R3827" s="169">
        <f>IFERROR(MATCH(J3827,'Final List'!$P$4:$P$252,0),0)</f>
        <v>0</v>
      </c>
      <c r="S3827" s="169">
        <f t="shared" si="242"/>
        <v>0</v>
      </c>
      <c r="T3827" s="169" t="s">
        <v>68</v>
      </c>
      <c r="V3827" s="169" t="str">
        <f t="shared" si="244"/>
        <v>COMAINGKING</v>
      </c>
      <c r="W3827" s="169" t="s">
        <v>2719</v>
      </c>
    </row>
    <row r="3828" spans="2:23" x14ac:dyDescent="0.25">
      <c r="B3828" s="169" t="s">
        <v>1167</v>
      </c>
      <c r="C3828" s="169" t="s">
        <v>38</v>
      </c>
      <c r="D3828" s="169" t="s">
        <v>6036</v>
      </c>
      <c r="E3828" s="169" t="s">
        <v>61</v>
      </c>
      <c r="F3828" s="245" t="str">
        <f t="shared" si="241"/>
        <v>Dhoz 71</v>
      </c>
      <c r="G3828" s="169" t="s">
        <v>10002</v>
      </c>
      <c r="I3828" s="169" t="str">
        <f t="shared" si="243"/>
        <v>L12_GHV_017E_DW</v>
      </c>
      <c r="J3828" s="169" t="s">
        <v>14537</v>
      </c>
      <c r="K3828" s="169">
        <f>IFERROR(MATCH(J3828,'Final List'!$B$4:$B$252,0),0)</f>
        <v>0</v>
      </c>
      <c r="L3828" s="169">
        <f>IFERROR(MATCH(J3828,'Final List'!$D$4:$D$252,0),0)</f>
        <v>0</v>
      </c>
      <c r="M3828" s="169">
        <f>IFERROR(MATCH(J3828,'Final List'!$F$4:$F$251,0),0)</f>
        <v>0</v>
      </c>
      <c r="N3828" s="169">
        <f>IFERROR(MATCH(J3828,'Final List'!$H$4:$H$252,0),0)</f>
        <v>0</v>
      </c>
      <c r="O3828" s="169">
        <f>IFERROR(MATCH(J3828,'Final List'!$J$4:$J$252,0),0)</f>
        <v>0</v>
      </c>
      <c r="P3828" s="169">
        <f>IFERROR(MATCH(J3828,'Final List'!$L$4:$L$252,0),0)</f>
        <v>0</v>
      </c>
      <c r="Q3828" s="169">
        <f>IFERROR(MATCH(J3828,'Final List'!$N$4:$N$252,0),0)</f>
        <v>0</v>
      </c>
      <c r="R3828" s="169">
        <f>IFERROR(MATCH(J3828,'Final List'!$P$4:$P$252,0),0)</f>
        <v>0</v>
      </c>
      <c r="S3828" s="169">
        <f t="shared" si="242"/>
        <v>0</v>
      </c>
      <c r="V3828" s="169" t="str">
        <f t="shared" si="244"/>
        <v>CAYMAN 3</v>
      </c>
      <c r="W3828" s="169" t="s">
        <v>8896</v>
      </c>
    </row>
    <row r="3829" spans="2:23" x14ac:dyDescent="0.25">
      <c r="B3829" s="169" t="s">
        <v>1167</v>
      </c>
      <c r="C3829" s="169" t="s">
        <v>45</v>
      </c>
      <c r="D3829" s="169" t="s">
        <v>168</v>
      </c>
      <c r="E3829" s="169" t="s">
        <v>19</v>
      </c>
      <c r="F3829" s="245" t="str">
        <f t="shared" si="241"/>
        <v>DVR 72</v>
      </c>
      <c r="G3829" s="169" t="s">
        <v>75</v>
      </c>
      <c r="I3829" s="169" t="str">
        <f t="shared" si="243"/>
        <v>L12_DPVE_047E_RAISE</v>
      </c>
      <c r="J3829" s="169" t="s">
        <v>14538</v>
      </c>
      <c r="K3829" s="169">
        <f>IFERROR(MATCH(J3829,'Final List'!$B$4:$B$252,0),0)</f>
        <v>0</v>
      </c>
      <c r="L3829" s="169">
        <f>IFERROR(MATCH(J3829,'Final List'!$D$4:$D$252,0),0)</f>
        <v>0</v>
      </c>
      <c r="M3829" s="169">
        <f>IFERROR(MATCH(J3829,'Final List'!$F$4:$F$251,0),0)</f>
        <v>0</v>
      </c>
      <c r="N3829" s="169">
        <f>IFERROR(MATCH(J3829,'Final List'!$H$4:$H$252,0),0)</f>
        <v>0</v>
      </c>
      <c r="O3829" s="169">
        <f>IFERROR(MATCH(J3829,'Final List'!$J$4:$J$252,0),0)</f>
        <v>0</v>
      </c>
      <c r="P3829" s="169">
        <f>IFERROR(MATCH(J3829,'Final List'!$L$4:$L$252,0),0)</f>
        <v>0</v>
      </c>
      <c r="Q3829" s="169">
        <f>IFERROR(MATCH(J3829,'Final List'!$N$4:$N$252,0),0)</f>
        <v>0</v>
      </c>
      <c r="R3829" s="169">
        <f>IFERROR(MATCH(J3829,'Final List'!$P$4:$P$252,0),0)</f>
        <v>0</v>
      </c>
      <c r="S3829" s="169">
        <f t="shared" si="242"/>
        <v>0</v>
      </c>
      <c r="V3829" s="169" t="str">
        <f t="shared" si="244"/>
        <v>BABOR</v>
      </c>
      <c r="W3829" s="169" t="s">
        <v>2715</v>
      </c>
    </row>
    <row r="3830" spans="2:23" x14ac:dyDescent="0.25">
      <c r="B3830" s="169" t="s">
        <v>1166</v>
      </c>
      <c r="C3830" s="169" t="s">
        <v>45</v>
      </c>
      <c r="D3830" s="169" t="s">
        <v>12655</v>
      </c>
      <c r="E3830" s="169" t="s">
        <v>19</v>
      </c>
      <c r="F3830" s="245" t="str">
        <f t="shared" si="241"/>
        <v>DVR 72</v>
      </c>
      <c r="G3830" s="169" t="s">
        <v>4155</v>
      </c>
      <c r="I3830" s="169" t="str">
        <f t="shared" si="243"/>
        <v>L11_DPVE_106E_RAISE</v>
      </c>
      <c r="J3830" s="169" t="s">
        <v>14542</v>
      </c>
      <c r="K3830" s="169">
        <f>IFERROR(MATCH(J3830,'Final List'!$B$4:$B$252,0),0)</f>
        <v>0</v>
      </c>
      <c r="L3830" s="169">
        <f>IFERROR(MATCH(J3830,'Final List'!$D$4:$D$252,0),0)</f>
        <v>0</v>
      </c>
      <c r="M3830" s="169">
        <f>IFERROR(MATCH(J3830,'Final List'!$F$4:$F$251,0),0)</f>
        <v>0</v>
      </c>
      <c r="N3830" s="169">
        <f>IFERROR(MATCH(J3830,'Final List'!$H$4:$H$252,0),0)</f>
        <v>0</v>
      </c>
      <c r="O3830" s="169">
        <f>IFERROR(MATCH(J3830,'Final List'!$J$4:$J$252,0),0)</f>
        <v>0</v>
      </c>
      <c r="P3830" s="169">
        <f>IFERROR(MATCH(J3830,'Final List'!$L$4:$L$252,0),0)</f>
        <v>0</v>
      </c>
      <c r="Q3830" s="169">
        <f>IFERROR(MATCH(J3830,'Final List'!$N$4:$N$252,0),0)</f>
        <v>0</v>
      </c>
      <c r="R3830" s="169">
        <f>IFERROR(MATCH(J3830,'Final List'!$P$4:$P$252,0),0)</f>
        <v>0</v>
      </c>
      <c r="S3830" s="169">
        <f t="shared" si="242"/>
        <v>0</v>
      </c>
      <c r="V3830" s="169" t="str">
        <f t="shared" si="244"/>
        <v>BAÑEZ</v>
      </c>
      <c r="W3830" s="169" t="s">
        <v>2715</v>
      </c>
    </row>
    <row r="3831" spans="2:23" x14ac:dyDescent="0.25">
      <c r="B3831" s="169" t="s">
        <v>12320</v>
      </c>
      <c r="C3831" s="169" t="s">
        <v>87</v>
      </c>
      <c r="D3831" s="169" t="s">
        <v>870</v>
      </c>
      <c r="E3831" s="169" t="s">
        <v>37</v>
      </c>
      <c r="F3831" s="245" t="str">
        <f t="shared" si="241"/>
        <v>Dhoz 71</v>
      </c>
      <c r="G3831" s="169" t="s">
        <v>75</v>
      </c>
      <c r="H3831" s="169" t="s">
        <v>1510</v>
      </c>
      <c r="I3831" s="169" t="str">
        <f t="shared" si="243"/>
        <v>L425_NONE_073E_XCN</v>
      </c>
      <c r="J3831" s="169" t="s">
        <v>14543</v>
      </c>
      <c r="K3831" s="169">
        <f>IFERROR(MATCH(J3831,'Final List'!$B$4:$B$252,0),0)</f>
        <v>0</v>
      </c>
      <c r="L3831" s="169">
        <f>IFERROR(MATCH(J3831,'Final List'!$D$4:$D$252,0),0)</f>
        <v>0</v>
      </c>
      <c r="M3831" s="169">
        <f>IFERROR(MATCH(J3831,'Final List'!$F$4:$F$251,0),0)</f>
        <v>0</v>
      </c>
      <c r="N3831" s="169">
        <f>IFERROR(MATCH(J3831,'Final List'!$H$4:$H$252,0),0)</f>
        <v>0</v>
      </c>
      <c r="O3831" s="169">
        <f>IFERROR(MATCH(J3831,'Final List'!$J$4:$J$252,0),0)</f>
        <v>0</v>
      </c>
      <c r="P3831" s="169">
        <f>IFERROR(MATCH(J3831,'Final List'!$L$4:$L$252,0),0)</f>
        <v>0</v>
      </c>
      <c r="Q3831" s="169">
        <f>IFERROR(MATCH(J3831,'Final List'!$N$4:$N$252,0),0)</f>
        <v>0</v>
      </c>
      <c r="R3831" s="169">
        <f>IFERROR(MATCH(J3831,'Final List'!$P$4:$P$252,0),0)</f>
        <v>0</v>
      </c>
      <c r="S3831" s="169">
        <f t="shared" si="242"/>
        <v>0</v>
      </c>
      <c r="V3831" s="169" t="str">
        <f t="shared" si="244"/>
        <v>DELOS REYES</v>
      </c>
      <c r="W3831" s="169" t="s">
        <v>8898</v>
      </c>
    </row>
    <row r="3832" spans="2:23" x14ac:dyDescent="0.25">
      <c r="B3832" s="169" t="s">
        <v>12320</v>
      </c>
      <c r="C3832" s="169" t="s">
        <v>42</v>
      </c>
      <c r="D3832" s="169" t="s">
        <v>148</v>
      </c>
      <c r="E3832" s="169" t="s">
        <v>19</v>
      </c>
      <c r="F3832" s="245" t="str">
        <f t="shared" si="241"/>
        <v>DVR 72</v>
      </c>
      <c r="G3832" s="169" t="s">
        <v>356</v>
      </c>
      <c r="I3832" s="169" t="str">
        <f t="shared" si="243"/>
        <v>L425_JV_039E_RAISE</v>
      </c>
      <c r="J3832" s="169" t="s">
        <v>14555</v>
      </c>
      <c r="K3832" s="169">
        <f>IFERROR(MATCH(J3832,'Final List'!$B$4:$B$252,0),0)</f>
        <v>0</v>
      </c>
      <c r="L3832" s="169">
        <f>IFERROR(MATCH(J3832,'Final List'!$D$4:$D$252,0),0)</f>
        <v>0</v>
      </c>
      <c r="M3832" s="169">
        <f>IFERROR(MATCH(J3832,'Final List'!$F$4:$F$251,0),0)</f>
        <v>0</v>
      </c>
      <c r="N3832" s="169">
        <f>IFERROR(MATCH(J3832,'Final List'!$H$4:$H$252,0),0)</f>
        <v>0</v>
      </c>
      <c r="O3832" s="169">
        <f>IFERROR(MATCH(J3832,'Final List'!$J$4:$J$252,0),0)</f>
        <v>0</v>
      </c>
      <c r="P3832" s="169">
        <f>IFERROR(MATCH(J3832,'Final List'!$L$4:$L$252,0),0)</f>
        <v>0</v>
      </c>
      <c r="Q3832" s="169">
        <f>IFERROR(MATCH(J3832,'Final List'!$N$4:$N$252,0),0)</f>
        <v>0</v>
      </c>
      <c r="R3832" s="169">
        <f>IFERROR(MATCH(J3832,'Final List'!$P$4:$P$252,0),0)</f>
        <v>0</v>
      </c>
      <c r="S3832" s="169">
        <f t="shared" si="242"/>
        <v>0</v>
      </c>
      <c r="V3832" s="169" t="str">
        <f t="shared" si="244"/>
        <v>BAÑEZ 1</v>
      </c>
      <c r="W3832" s="169" t="s">
        <v>2715</v>
      </c>
    </row>
    <row r="3833" spans="2:23" x14ac:dyDescent="0.25">
      <c r="B3833" s="169" t="s">
        <v>95</v>
      </c>
      <c r="C3833" s="169" t="s">
        <v>45</v>
      </c>
      <c r="D3833" s="169" t="s">
        <v>135</v>
      </c>
      <c r="E3833" s="169" t="s">
        <v>6143</v>
      </c>
      <c r="F3833" s="245" t="str">
        <f t="shared" si="241"/>
        <v>Dhoz 71</v>
      </c>
      <c r="G3833" s="169" t="s">
        <v>6925</v>
      </c>
      <c r="I3833" s="169" t="str">
        <f t="shared" si="243"/>
        <v>L08_DPVE_034E_DE_ISL</v>
      </c>
      <c r="J3833" s="169" t="s">
        <v>14547</v>
      </c>
      <c r="K3833" s="169">
        <f>IFERROR(MATCH(J3833,'Final List'!$B$4:$B$252,0),0)</f>
        <v>0</v>
      </c>
      <c r="L3833" s="169">
        <f>IFERROR(MATCH(J3833,'Final List'!$D$4:$D$252,0),0)</f>
        <v>0</v>
      </c>
      <c r="M3833" s="169">
        <f>IFERROR(MATCH(J3833,'Final List'!$F$4:$F$251,0),0)</f>
        <v>0</v>
      </c>
      <c r="N3833" s="169">
        <f>IFERROR(MATCH(J3833,'Final List'!$H$4:$H$252,0),0)</f>
        <v>0</v>
      </c>
      <c r="O3833" s="169">
        <f>IFERROR(MATCH(J3833,'Final List'!$J$4:$J$252,0),0)</f>
        <v>0</v>
      </c>
      <c r="P3833" s="169">
        <f>IFERROR(MATCH(J3833,'Final List'!$L$4:$L$252,0),0)</f>
        <v>0</v>
      </c>
      <c r="Q3833" s="169">
        <f>IFERROR(MATCH(J3833,'Final List'!$N$4:$N$252,0),0)</f>
        <v>0</v>
      </c>
      <c r="R3833" s="169">
        <f>IFERROR(MATCH(J3833,'Final List'!$P$4:$P$252,0),0)</f>
        <v>0</v>
      </c>
      <c r="S3833" s="169">
        <f t="shared" si="242"/>
        <v>0</v>
      </c>
      <c r="V3833" s="169" t="str">
        <f t="shared" si="244"/>
        <v>CAPUYAN 1</v>
      </c>
      <c r="W3833" s="169" t="s">
        <v>8895</v>
      </c>
    </row>
    <row r="3834" spans="2:23" x14ac:dyDescent="0.25">
      <c r="B3834" s="169" t="s">
        <v>96</v>
      </c>
      <c r="C3834" s="169" t="s">
        <v>38</v>
      </c>
      <c r="D3834" s="169" t="s">
        <v>5631</v>
      </c>
      <c r="E3834" s="169" t="s">
        <v>62</v>
      </c>
      <c r="F3834" s="245" t="str">
        <f t="shared" si="241"/>
        <v>RobS 79</v>
      </c>
      <c r="G3834" s="169" t="s">
        <v>349</v>
      </c>
      <c r="I3834" s="169" t="str">
        <f t="shared" si="243"/>
        <v>L09_GHV_020E_ROBBING</v>
      </c>
      <c r="J3834" s="169" t="s">
        <v>14551</v>
      </c>
      <c r="K3834" s="169">
        <f>IFERROR(MATCH(J3834,'Final List'!$B$4:$B$252,0),0)</f>
        <v>0</v>
      </c>
      <c r="L3834" s="169">
        <f>IFERROR(MATCH(J3834,'Final List'!$D$4:$D$252,0),0)</f>
        <v>0</v>
      </c>
      <c r="M3834" s="169">
        <f>IFERROR(MATCH(J3834,'Final List'!$F$4:$F$251,0),0)</f>
        <v>0</v>
      </c>
      <c r="N3834" s="169">
        <f>IFERROR(MATCH(J3834,'Final List'!$H$4:$H$252,0),0)</f>
        <v>0</v>
      </c>
      <c r="O3834" s="169">
        <f>IFERROR(MATCH(J3834,'Final List'!$J$4:$J$252,0),0)</f>
        <v>0</v>
      </c>
      <c r="P3834" s="169">
        <f>IFERROR(MATCH(J3834,'Final List'!$L$4:$L$252,0),0)</f>
        <v>0</v>
      </c>
      <c r="Q3834" s="169">
        <f>IFERROR(MATCH(J3834,'Final List'!$N$4:$N$252,0),0)</f>
        <v>0</v>
      </c>
      <c r="R3834" s="169">
        <f>IFERROR(MATCH(J3834,'Final List'!$P$4:$P$252,0),0)</f>
        <v>0</v>
      </c>
      <c r="S3834" s="169">
        <f t="shared" si="242"/>
        <v>0</v>
      </c>
      <c r="T3834" s="169" t="s">
        <v>68</v>
      </c>
      <c r="V3834" s="169" t="str">
        <f t="shared" si="244"/>
        <v>QUIJANO 2</v>
      </c>
      <c r="W3834" s="169" t="s">
        <v>2707</v>
      </c>
    </row>
    <row r="3835" spans="2:23" x14ac:dyDescent="0.25">
      <c r="B3835" s="169" t="s">
        <v>1166</v>
      </c>
      <c r="C3835" s="169" t="s">
        <v>59</v>
      </c>
      <c r="D3835" s="169" t="s">
        <v>175</v>
      </c>
      <c r="E3835" s="169" t="s">
        <v>6154</v>
      </c>
      <c r="F3835" s="245" t="str">
        <f t="shared" si="241"/>
        <v>Dhoz 71</v>
      </c>
      <c r="G3835" s="169" t="s">
        <v>14265</v>
      </c>
      <c r="I3835" s="169" t="str">
        <f t="shared" si="243"/>
        <v>L11_GHVHW_060E_DW_ISL</v>
      </c>
      <c r="J3835" s="169" t="s">
        <v>14549</v>
      </c>
      <c r="K3835" s="169">
        <f>IFERROR(MATCH(J3835,'Final List'!$B$4:$B$252,0),0)</f>
        <v>0</v>
      </c>
      <c r="L3835" s="169">
        <f>IFERROR(MATCH(J3835,'Final List'!$D$4:$D$252,0),0)</f>
        <v>0</v>
      </c>
      <c r="M3835" s="169">
        <f>IFERROR(MATCH(J3835,'Final List'!$F$4:$F$251,0),0)</f>
        <v>0</v>
      </c>
      <c r="N3835" s="169">
        <f>IFERROR(MATCH(J3835,'Final List'!$H$4:$H$252,0),0)</f>
        <v>0</v>
      </c>
      <c r="O3835" s="169">
        <f>IFERROR(MATCH(J3835,'Final List'!$J$4:$J$252,0),0)</f>
        <v>0</v>
      </c>
      <c r="P3835" s="169">
        <f>IFERROR(MATCH(J3835,'Final List'!$L$4:$L$252,0),0)</f>
        <v>0</v>
      </c>
      <c r="Q3835" s="169">
        <f>IFERROR(MATCH(J3835,'Final List'!$N$4:$N$252,0),0)</f>
        <v>0</v>
      </c>
      <c r="R3835" s="169">
        <f>IFERROR(MATCH(J3835,'Final List'!$P$4:$P$252,0),0)</f>
        <v>0</v>
      </c>
      <c r="S3835" s="169">
        <f t="shared" si="242"/>
        <v>0</v>
      </c>
      <c r="V3835" s="169" t="str">
        <f t="shared" si="244"/>
        <v>NITRO BB1</v>
      </c>
      <c r="W3835" s="169" t="s">
        <v>8896</v>
      </c>
    </row>
    <row r="3836" spans="2:23" x14ac:dyDescent="0.25">
      <c r="B3836" s="169" t="s">
        <v>12320</v>
      </c>
      <c r="C3836" s="169" t="s">
        <v>45</v>
      </c>
      <c r="D3836" s="169" t="s">
        <v>172</v>
      </c>
      <c r="E3836" s="169" t="s">
        <v>19</v>
      </c>
      <c r="F3836" s="245" t="str">
        <f t="shared" si="241"/>
        <v>DVR 72</v>
      </c>
      <c r="G3836" s="169" t="s">
        <v>455</v>
      </c>
      <c r="I3836" s="169" t="str">
        <f t="shared" si="243"/>
        <v>L425_DPVE_045E_RAISE</v>
      </c>
      <c r="J3836" s="169" t="s">
        <v>14553</v>
      </c>
      <c r="K3836" s="169">
        <f>IFERROR(MATCH(J3836,'Final List'!$B$4:$B$252,0),0)</f>
        <v>0</v>
      </c>
      <c r="L3836" s="169">
        <f>IFERROR(MATCH(J3836,'Final List'!$D$4:$D$252,0),0)</f>
        <v>0</v>
      </c>
      <c r="M3836" s="169">
        <f>IFERROR(MATCH(J3836,'Final List'!$F$4:$F$251,0),0)</f>
        <v>0</v>
      </c>
      <c r="N3836" s="169">
        <f>IFERROR(MATCH(J3836,'Final List'!$H$4:$H$252,0),0)</f>
        <v>0</v>
      </c>
      <c r="O3836" s="169">
        <f>IFERROR(MATCH(J3836,'Final List'!$J$4:$J$252,0),0)</f>
        <v>0</v>
      </c>
      <c r="P3836" s="169">
        <f>IFERROR(MATCH(J3836,'Final List'!$L$4:$L$252,0),0)</f>
        <v>0</v>
      </c>
      <c r="Q3836" s="169">
        <f>IFERROR(MATCH(J3836,'Final List'!$N$4:$N$252,0),0)</f>
        <v>0</v>
      </c>
      <c r="R3836" s="169">
        <f>IFERROR(MATCH(J3836,'Final List'!$P$4:$P$252,0),0)</f>
        <v>0</v>
      </c>
      <c r="S3836" s="169">
        <f t="shared" si="242"/>
        <v>0</v>
      </c>
      <c r="V3836" s="169" t="str">
        <f t="shared" si="244"/>
        <v>BABOR 4</v>
      </c>
      <c r="W3836" s="169" t="s">
        <v>2715</v>
      </c>
    </row>
    <row r="3837" spans="2:23" x14ac:dyDescent="0.25">
      <c r="B3837" s="169" t="s">
        <v>12320</v>
      </c>
      <c r="C3837" s="169" t="s">
        <v>45</v>
      </c>
      <c r="D3837" s="169" t="s">
        <v>173</v>
      </c>
      <c r="E3837" s="169" t="s">
        <v>19</v>
      </c>
      <c r="F3837" s="245" t="str">
        <f t="shared" si="241"/>
        <v>DVR 72</v>
      </c>
      <c r="G3837" s="169" t="s">
        <v>75</v>
      </c>
      <c r="I3837" s="169" t="str">
        <f t="shared" si="243"/>
        <v>L425_DPVE_049E_RAISE</v>
      </c>
      <c r="J3837" s="169" t="s">
        <v>14554</v>
      </c>
      <c r="K3837" s="169">
        <f>IFERROR(MATCH(J3837,'Final List'!$B$4:$B$252,0),0)</f>
        <v>0</v>
      </c>
      <c r="L3837" s="169">
        <f>IFERROR(MATCH(J3837,'Final List'!$D$4:$D$252,0),0)</f>
        <v>0</v>
      </c>
      <c r="M3837" s="169">
        <f>IFERROR(MATCH(J3837,'Final List'!$F$4:$F$251,0),0)</f>
        <v>0</v>
      </c>
      <c r="N3837" s="169">
        <f>IFERROR(MATCH(J3837,'Final List'!$H$4:$H$252,0),0)</f>
        <v>0</v>
      </c>
      <c r="O3837" s="169">
        <f>IFERROR(MATCH(J3837,'Final List'!$J$4:$J$252,0),0)</f>
        <v>0</v>
      </c>
      <c r="P3837" s="169">
        <f>IFERROR(MATCH(J3837,'Final List'!$L$4:$L$252,0),0)</f>
        <v>0</v>
      </c>
      <c r="Q3837" s="169">
        <f>IFERROR(MATCH(J3837,'Final List'!$N$4:$N$252,0),0)</f>
        <v>0</v>
      </c>
      <c r="R3837" s="169">
        <f>IFERROR(MATCH(J3837,'Final List'!$P$4:$P$252,0),0)</f>
        <v>0</v>
      </c>
      <c r="S3837" s="169">
        <f t="shared" si="242"/>
        <v>0</v>
      </c>
      <c r="V3837" s="169" t="str">
        <f t="shared" si="244"/>
        <v>BABOR</v>
      </c>
      <c r="W3837" s="169" t="s">
        <v>2715</v>
      </c>
    </row>
    <row r="3838" spans="2:23" x14ac:dyDescent="0.25">
      <c r="B3838" s="169" t="s">
        <v>96</v>
      </c>
      <c r="C3838" s="169" t="s">
        <v>45</v>
      </c>
      <c r="D3838" s="169" t="s">
        <v>14559</v>
      </c>
      <c r="E3838" s="169" t="s">
        <v>61</v>
      </c>
      <c r="F3838" s="245" t="str">
        <f t="shared" si="241"/>
        <v>Dhoz 71</v>
      </c>
      <c r="G3838" s="169" t="s">
        <v>1510</v>
      </c>
      <c r="I3838" s="169" t="str">
        <f t="shared" si="243"/>
        <v>L09_DPVE_095W_DW</v>
      </c>
      <c r="J3838" s="169" t="s">
        <v>14560</v>
      </c>
      <c r="K3838" s="169">
        <f>IFERROR(MATCH(J3838,'Final List'!$B$4:$B$252,0),0)</f>
        <v>0</v>
      </c>
      <c r="L3838" s="169">
        <f>IFERROR(MATCH(J3838,'Final List'!$D$4:$D$252,0),0)</f>
        <v>0</v>
      </c>
      <c r="M3838" s="169">
        <f>IFERROR(MATCH(J3838,'Final List'!$F$4:$F$251,0),0)</f>
        <v>0</v>
      </c>
      <c r="N3838" s="169">
        <f>IFERROR(MATCH(J3838,'Final List'!$H$4:$H$252,0),0)</f>
        <v>0</v>
      </c>
      <c r="O3838" s="169">
        <f>IFERROR(MATCH(J3838,'Final List'!$J$4:$J$252,0),0)</f>
        <v>0</v>
      </c>
      <c r="P3838" s="169">
        <f>IFERROR(MATCH(J3838,'Final List'!$L$4:$L$252,0),0)</f>
        <v>0</v>
      </c>
      <c r="Q3838" s="169">
        <f>IFERROR(MATCH(J3838,'Final List'!$N$4:$N$252,0),0)</f>
        <v>0</v>
      </c>
      <c r="R3838" s="169">
        <f>IFERROR(MATCH(J3838,'Final List'!$P$4:$P$252,0),0)</f>
        <v>0</v>
      </c>
      <c r="S3838" s="169">
        <f t="shared" si="242"/>
        <v>0</v>
      </c>
      <c r="V3838" s="169" t="str">
        <f t="shared" si="244"/>
        <v>DELOS REYES</v>
      </c>
      <c r="W3838" s="169" t="s">
        <v>8896</v>
      </c>
    </row>
    <row r="3839" spans="2:23" x14ac:dyDescent="0.25">
      <c r="B3839" s="169" t="s">
        <v>12320</v>
      </c>
      <c r="C3839" s="169" t="s">
        <v>42</v>
      </c>
      <c r="D3839" s="169" t="s">
        <v>133</v>
      </c>
      <c r="E3839" s="169" t="s">
        <v>19</v>
      </c>
      <c r="F3839" s="245" t="str">
        <f t="shared" si="241"/>
        <v>DVR 72</v>
      </c>
      <c r="G3839" s="169" t="s">
        <v>7984</v>
      </c>
      <c r="I3839" s="169" t="str">
        <f t="shared" si="243"/>
        <v>L425_JV_037E_RAISE</v>
      </c>
      <c r="J3839" s="169" t="s">
        <v>14562</v>
      </c>
      <c r="K3839" s="169">
        <f>IFERROR(MATCH(J3839,'Final List'!$B$4:$B$252,0),0)</f>
        <v>0</v>
      </c>
      <c r="L3839" s="169">
        <f>IFERROR(MATCH(J3839,'Final List'!$D$4:$D$252,0),0)</f>
        <v>0</v>
      </c>
      <c r="M3839" s="169">
        <f>IFERROR(MATCH(J3839,'Final List'!$F$4:$F$251,0),0)</f>
        <v>0</v>
      </c>
      <c r="N3839" s="169">
        <f>IFERROR(MATCH(J3839,'Final List'!$H$4:$H$252,0),0)</f>
        <v>0</v>
      </c>
      <c r="O3839" s="169">
        <f>IFERROR(MATCH(J3839,'Final List'!$J$4:$J$252,0),0)</f>
        <v>0</v>
      </c>
      <c r="P3839" s="169">
        <f>IFERROR(MATCH(J3839,'Final List'!$L$4:$L$252,0),0)</f>
        <v>0</v>
      </c>
      <c r="Q3839" s="169">
        <f>IFERROR(MATCH(J3839,'Final List'!$N$4:$N$252,0),0)</f>
        <v>0</v>
      </c>
      <c r="R3839" s="169">
        <f>IFERROR(MATCH(J3839,'Final List'!$P$4:$P$252,0),0)</f>
        <v>0</v>
      </c>
      <c r="S3839" s="169">
        <f t="shared" si="242"/>
        <v>0</v>
      </c>
      <c r="V3839" s="169" t="str">
        <f t="shared" si="244"/>
        <v>OLIVEROS</v>
      </c>
      <c r="W3839" s="169" t="s">
        <v>2715</v>
      </c>
    </row>
    <row r="3840" spans="2:23" x14ac:dyDescent="0.25">
      <c r="B3840" s="169" t="s">
        <v>96</v>
      </c>
      <c r="C3840" s="169" t="s">
        <v>45</v>
      </c>
      <c r="D3840" s="169" t="s">
        <v>9847</v>
      </c>
      <c r="E3840" s="169" t="s">
        <v>61</v>
      </c>
      <c r="F3840" s="245" t="str">
        <f t="shared" si="241"/>
        <v>Dhoz 71</v>
      </c>
      <c r="G3840" s="169" t="s">
        <v>1510</v>
      </c>
      <c r="I3840" s="169" t="str">
        <f t="shared" si="243"/>
        <v>L09_DPVE_095E_DW</v>
      </c>
      <c r="J3840" s="169" t="s">
        <v>14558</v>
      </c>
      <c r="K3840" s="169">
        <f>IFERROR(MATCH(J3840,'Final List'!$B$4:$B$252,0),0)</f>
        <v>0</v>
      </c>
      <c r="L3840" s="169">
        <f>IFERROR(MATCH(J3840,'Final List'!$D$4:$D$252,0),0)</f>
        <v>0</v>
      </c>
      <c r="M3840" s="169">
        <f>IFERROR(MATCH(J3840,'Final List'!$F$4:$F$251,0),0)</f>
        <v>0</v>
      </c>
      <c r="N3840" s="169">
        <f>IFERROR(MATCH(J3840,'Final List'!$H$4:$H$252,0),0)</f>
        <v>0</v>
      </c>
      <c r="O3840" s="169">
        <f>IFERROR(MATCH(J3840,'Final List'!$J$4:$J$252,0),0)</f>
        <v>0</v>
      </c>
      <c r="P3840" s="169">
        <f>IFERROR(MATCH(J3840,'Final List'!$L$4:$L$252,0),0)</f>
        <v>0</v>
      </c>
      <c r="Q3840" s="169">
        <f>IFERROR(MATCH(J3840,'Final List'!$N$4:$N$252,0),0)</f>
        <v>0</v>
      </c>
      <c r="R3840" s="169">
        <f>IFERROR(MATCH(J3840,'Final List'!$P$4:$P$252,0),0)</f>
        <v>0</v>
      </c>
      <c r="S3840" s="169">
        <f t="shared" si="242"/>
        <v>0</v>
      </c>
      <c r="V3840" s="169" t="str">
        <f t="shared" si="244"/>
        <v>DELOS REYES</v>
      </c>
      <c r="W3840" s="169" t="s">
        <v>8896</v>
      </c>
    </row>
    <row r="3841" spans="2:23" x14ac:dyDescent="0.25">
      <c r="B3841" s="169" t="s">
        <v>95</v>
      </c>
      <c r="C3841" s="169" t="s">
        <v>42</v>
      </c>
      <c r="D3841" s="169" t="s">
        <v>121</v>
      </c>
      <c r="E3841" s="169" t="s">
        <v>13813</v>
      </c>
      <c r="F3841" s="245" t="str">
        <f>IF(OR(E3841="XCN",E3841="DE",E3841="DW",E3841="DN",E3841="XCS",E3841="XCE",E3841="XCW",E3841="SUMP",E3841="BYPASS",E3841="CHAMBER",E3841="DRAIN HOLE",E3841="DRILLING CHAMBER",E3841="DE_ISL",E3841="DW_ISL",E3841="REHAB",E3841="MAINLINE_CLEANING"),"Dhoz 71",IF(OR(E3841="RAISE",E3841="RAISE_ISL"),"DVR 72",IF(E3841="ALIMAK","DVA 73",IF(E3841="WINZE","DVW 74",IF(E3841="SHAFT","DVS 75",IF(AND(E3841="WINZE STOPE",T3841="S"),"RobC 80",IF(AND(E3841="STOPE",T3841="S"),"StpS 77",IF(AND(E3841="WINZE STOPE",T3841="L"),"RobC 80",IF(AND(E3841="STOPE",T3841="L"),"StpL 78",IF(AND(E3841="WINZE STOPE PREP",T3841="S"),"RobC 80",IF(AND(E3841="STOPE PREP",T3841="S"),"StpS 77",IF(AND(E3841="WINZE STOPE PREP",T3841="L"),"RobC 80",IF(AND(E3841="STOPE PREP",T3841="L"),"StpL 78",IF(AND(E3841="ROBBING",T3841="L"),"RobC 80",IF(AND(E3841="ROBBING",T3841="S"),"RobS 79",0)))))))))))))))</f>
        <v>Dhoz 71</v>
      </c>
      <c r="G3841" s="169" t="s">
        <v>8045</v>
      </c>
      <c r="I3841" s="169" t="str">
        <f t="shared" si="243"/>
        <v>L08_JV_022E_MAINLINE_CLEANING</v>
      </c>
      <c r="J3841" s="169" t="s">
        <v>14614</v>
      </c>
      <c r="K3841" s="169">
        <f>IFERROR(MATCH(J3841,'Final List'!$B$4:$B$252,0),0)</f>
        <v>0</v>
      </c>
      <c r="L3841" s="169">
        <f>IFERROR(MATCH(J3841,'Final List'!$D$4:$D$252,0),0)</f>
        <v>0</v>
      </c>
      <c r="M3841" s="169">
        <f>IFERROR(MATCH(J3841,'Final List'!$F$4:$F$251,0),0)</f>
        <v>0</v>
      </c>
      <c r="N3841" s="169">
        <f>IFERROR(MATCH(J3841,'Final List'!$H$4:$H$252,0),0)</f>
        <v>0</v>
      </c>
      <c r="O3841" s="169">
        <f>IFERROR(MATCH(J3841,'Final List'!$J$4:$J$252,0),0)</f>
        <v>0</v>
      </c>
      <c r="P3841" s="169">
        <f>IFERROR(MATCH(J3841,'Final List'!$L$4:$L$252,0),0)</f>
        <v>0</v>
      </c>
      <c r="Q3841" s="169">
        <f>IFERROR(MATCH(J3841,'Final List'!$N$4:$N$252,0),0)</f>
        <v>0</v>
      </c>
      <c r="R3841" s="169">
        <f>IFERROR(MATCH(J3841,'Final List'!$P$4:$P$252,0),0)</f>
        <v>91</v>
      </c>
      <c r="S3841" s="169">
        <f t="shared" si="242"/>
        <v>91</v>
      </c>
      <c r="V3841" s="169" t="str">
        <f t="shared" si="244"/>
        <v>CAPUYAN</v>
      </c>
      <c r="W3841" s="169" t="s">
        <v>2714</v>
      </c>
    </row>
    <row r="3842" spans="2:23" x14ac:dyDescent="0.25">
      <c r="B3842" s="169" t="s">
        <v>95</v>
      </c>
      <c r="C3842" s="169" t="s">
        <v>42</v>
      </c>
      <c r="D3842" s="169" t="s">
        <v>218</v>
      </c>
      <c r="E3842" s="169" t="s">
        <v>19</v>
      </c>
      <c r="F3842" s="245" t="str">
        <f t="shared" si="241"/>
        <v>DVR 72</v>
      </c>
      <c r="G3842" s="169" t="s">
        <v>14259</v>
      </c>
      <c r="I3842" s="169" t="str">
        <f t="shared" si="243"/>
        <v>L08_JV_062E_RAISE</v>
      </c>
      <c r="J3842" s="169" t="s">
        <v>1036</v>
      </c>
      <c r="K3842" s="169">
        <f>IFERROR(MATCH(J3842,'Final List'!$B$4:$B$252,0),0)</f>
        <v>0</v>
      </c>
      <c r="L3842" s="169">
        <f>IFERROR(MATCH(J3842,'Final List'!$D$4:$D$252,0),0)</f>
        <v>0</v>
      </c>
      <c r="M3842" s="169">
        <f>IFERROR(MATCH(J3842,'Final List'!$F$4:$F$251,0),0)</f>
        <v>0</v>
      </c>
      <c r="N3842" s="169">
        <f>IFERROR(MATCH(J3842,'Final List'!$H$4:$H$252,0),0)</f>
        <v>0</v>
      </c>
      <c r="O3842" s="169">
        <f>IFERROR(MATCH(J3842,'Final List'!$J$4:$J$252,0),0)</f>
        <v>0</v>
      </c>
      <c r="P3842" s="169">
        <f>IFERROR(MATCH(J3842,'Final List'!$L$4:$L$252,0),0)</f>
        <v>0</v>
      </c>
      <c r="Q3842" s="169">
        <f>IFERROR(MATCH(J3842,'Final List'!$N$4:$N$252,0),0)</f>
        <v>0</v>
      </c>
      <c r="R3842" s="169">
        <f>IFERROR(MATCH(J3842,'Final List'!$P$4:$P$252,0),0)</f>
        <v>0</v>
      </c>
      <c r="S3842" s="169">
        <f t="shared" si="242"/>
        <v>0</v>
      </c>
      <c r="V3842" s="169" t="str">
        <f t="shared" si="244"/>
        <v>NITRO CF3</v>
      </c>
      <c r="W3842" s="169" t="s">
        <v>2715</v>
      </c>
    </row>
    <row r="3843" spans="2:23" x14ac:dyDescent="0.25">
      <c r="B3843" s="169" t="s">
        <v>1167</v>
      </c>
      <c r="C3843" s="169" t="s">
        <v>38</v>
      </c>
      <c r="D3843" s="169" t="s">
        <v>870</v>
      </c>
      <c r="E3843" s="169" t="s">
        <v>61</v>
      </c>
      <c r="F3843" s="245" t="str">
        <f t="shared" ref="F3843:F3906" si="245">IF(OR(E3843="XCN",E3843="DE",E3843="DW",E3843="DN",E3843="XCS",E3843="XCE",E3843="XCW",E3843="SUMP",E3843="BYPASS",E3843="CHAMBER",E3843="DRAIN HOLE",E3843="DRILLING CHAMBER",E3843="DE_ISL",E3843="DW_ISL",E3843="REHAB"),"Dhoz 71",IF(OR(E3843="RAISE",E3843="RAISE_ISL"),"DVR 72",IF(E3843="ALIMAK","DVA 73",IF(E3843="WINZE","DVW 74",IF(E3843="SHAFT","DVS 75",IF(AND(E3843="WINZE STOPE",T3843="S"),"RobC 80",IF(AND(E3843="STOPE",T3843="S"),"StpS 77",IF(AND(E3843="WINZE STOPE",T3843="L"),"RobC 80",IF(AND(E3843="STOPE",T3843="L"),"StpL 78",IF(AND(E3843="WINZE STOPE PREP",T3843="S"),"RobC 80",IF(AND(E3843="STOPE PREP",T3843="S"),"StpS 77",IF(AND(E3843="WINZE STOPE PREP",T3843="L"),"RobC 80",IF(AND(E3843="STOPE PREP",T3843="L"),"StpL 78",IF(AND(E3843="ROBBING",T3843="L"),"RobC 80",IF(AND(E3843="ROBBING",T3843="S"),"RobS 79",0)))))))))))))))</f>
        <v>Dhoz 71</v>
      </c>
      <c r="G3843" s="169" t="s">
        <v>9885</v>
      </c>
      <c r="H3843" s="169" t="s">
        <v>14130</v>
      </c>
      <c r="I3843" s="169" t="str">
        <f t="shared" si="243"/>
        <v>L12_GHV_073E_DW</v>
      </c>
      <c r="J3843" s="169" t="s">
        <v>14565</v>
      </c>
      <c r="K3843" s="169">
        <f>IFERROR(MATCH(J3843,'Final List'!$B$4:$B$252,0),0)</f>
        <v>0</v>
      </c>
      <c r="L3843" s="169">
        <f>IFERROR(MATCH(J3843,'Final List'!$D$4:$D$252,0),0)</f>
        <v>0</v>
      </c>
      <c r="M3843" s="169">
        <f>IFERROR(MATCH(J3843,'Final List'!$F$4:$F$251,0),0)</f>
        <v>0</v>
      </c>
      <c r="N3843" s="169">
        <f>IFERROR(MATCH(J3843,'Final List'!$H$4:$H$252,0),0)</f>
        <v>0</v>
      </c>
      <c r="O3843" s="169">
        <f>IFERROR(MATCH(J3843,'Final List'!$J$4:$J$252,0),0)</f>
        <v>0</v>
      </c>
      <c r="P3843" s="169">
        <f>IFERROR(MATCH(J3843,'Final List'!$L$4:$L$252,0),0)</f>
        <v>0</v>
      </c>
      <c r="Q3843" s="169">
        <f>IFERROR(MATCH(J3843,'Final List'!$N$4:$N$252,0),0)</f>
        <v>0</v>
      </c>
      <c r="R3843" s="169">
        <f>IFERROR(MATCH(J3843,'Final List'!$P$4:$P$252,0),0)</f>
        <v>0</v>
      </c>
      <c r="S3843" s="169">
        <f t="shared" ref="S3843:S3906" si="246">SUM(K3843:R3843)</f>
        <v>0</v>
      </c>
      <c r="V3843" s="169" t="str">
        <f t="shared" si="244"/>
        <v>DURANGO</v>
      </c>
      <c r="W3843" s="169" t="s">
        <v>8896</v>
      </c>
    </row>
    <row r="3844" spans="2:23" x14ac:dyDescent="0.25">
      <c r="B3844" s="169" t="s">
        <v>1166</v>
      </c>
      <c r="C3844" s="169" t="s">
        <v>39</v>
      </c>
      <c r="D3844" s="169" t="s">
        <v>197</v>
      </c>
      <c r="E3844" s="169" t="s">
        <v>60</v>
      </c>
      <c r="F3844" s="245" t="str">
        <f t="shared" si="245"/>
        <v>Dhoz 71</v>
      </c>
      <c r="G3844" s="169" t="s">
        <v>12070</v>
      </c>
      <c r="H3844" s="169" t="s">
        <v>14572</v>
      </c>
      <c r="I3844" s="169" t="str">
        <f t="shared" si="243"/>
        <v>L11_JVHW_070E_DE</v>
      </c>
      <c r="J3844" s="169" t="s">
        <v>14585</v>
      </c>
      <c r="K3844" s="169">
        <f>IFERROR(MATCH(J3844,'Final List'!$B$4:$B$252,0),0)</f>
        <v>0</v>
      </c>
      <c r="L3844" s="169">
        <f>IFERROR(MATCH(J3844,'Final List'!$D$4:$D$252,0),0)</f>
        <v>0</v>
      </c>
      <c r="M3844" s="169">
        <f>IFERROR(MATCH(J3844,'Final List'!$F$4:$F$251,0),0)</f>
        <v>0</v>
      </c>
      <c r="N3844" s="169">
        <f>IFERROR(MATCH(J3844,'Final List'!$H$4:$H$252,0),0)</f>
        <v>0</v>
      </c>
      <c r="O3844" s="169">
        <f>IFERROR(MATCH(J3844,'Final List'!$J$4:$J$252,0),0)</f>
        <v>0</v>
      </c>
      <c r="P3844" s="169">
        <f>IFERROR(MATCH(J3844,'Final List'!$L$4:$L$252,0),0)</f>
        <v>0</v>
      </c>
      <c r="Q3844" s="169">
        <f>IFERROR(MATCH(J3844,'Final List'!$N$4:$N$252,0),0)</f>
        <v>0</v>
      </c>
      <c r="R3844" s="169">
        <f>IFERROR(MATCH(J3844,'Final List'!$P$4:$P$252,0),0)</f>
        <v>0</v>
      </c>
      <c r="S3844" s="169">
        <f t="shared" si="246"/>
        <v>0</v>
      </c>
      <c r="V3844" s="169" t="str">
        <f t="shared" si="244"/>
        <v>MAPAYO 2 </v>
      </c>
      <c r="W3844" s="169" t="s">
        <v>8896</v>
      </c>
    </row>
    <row r="3845" spans="2:23" x14ac:dyDescent="0.25">
      <c r="B3845" s="169" t="s">
        <v>258</v>
      </c>
      <c r="C3845" s="169" t="s">
        <v>87</v>
      </c>
      <c r="D3845" s="169" t="s">
        <v>128</v>
      </c>
      <c r="E3845" s="169" t="s">
        <v>63</v>
      </c>
      <c r="F3845" s="245" t="str">
        <f t="shared" si="245"/>
        <v>Dhoz 71</v>
      </c>
      <c r="G3845" s="169" t="s">
        <v>5702</v>
      </c>
      <c r="I3845" s="169" t="str">
        <f t="shared" si="243"/>
        <v>L10_NONE_027E_XCS</v>
      </c>
      <c r="J3845" s="169" t="s">
        <v>14570</v>
      </c>
      <c r="K3845" s="169">
        <f>IFERROR(MATCH(J3845,'Final List'!$B$4:$B$252,0),0)</f>
        <v>0</v>
      </c>
      <c r="L3845" s="169">
        <f>IFERROR(MATCH(J3845,'Final List'!$D$4:$D$252,0),0)</f>
        <v>0</v>
      </c>
      <c r="M3845" s="169">
        <f>IFERROR(MATCH(J3845,'Final List'!$F$4:$F$251,0),0)</f>
        <v>0</v>
      </c>
      <c r="N3845" s="169">
        <f>IFERROR(MATCH(J3845,'Final List'!$H$4:$H$252,0),0)</f>
        <v>0</v>
      </c>
      <c r="O3845" s="169">
        <f>IFERROR(MATCH(J3845,'Final List'!$J$4:$J$252,0),0)</f>
        <v>0</v>
      </c>
      <c r="P3845" s="169">
        <f>IFERROR(MATCH(J3845,'Final List'!$L$4:$L$252,0),0)</f>
        <v>0</v>
      </c>
      <c r="Q3845" s="169">
        <f>IFERROR(MATCH(J3845,'Final List'!$N$4:$N$252,0),0)</f>
        <v>0</v>
      </c>
      <c r="R3845" s="169">
        <f>IFERROR(MATCH(J3845,'Final List'!$P$4:$P$252,0),0)</f>
        <v>0</v>
      </c>
      <c r="S3845" s="169">
        <f t="shared" si="246"/>
        <v>0</v>
      </c>
      <c r="V3845" s="169" t="str">
        <f t="shared" si="244"/>
        <v>LARGO 3</v>
      </c>
      <c r="W3845" s="169" t="s">
        <v>8898</v>
      </c>
    </row>
    <row r="3846" spans="2:23" x14ac:dyDescent="0.25">
      <c r="B3846" s="169" t="s">
        <v>1166</v>
      </c>
      <c r="C3846" s="169" t="s">
        <v>45</v>
      </c>
      <c r="D3846" s="169" t="s">
        <v>7915</v>
      </c>
      <c r="E3846" s="169" t="s">
        <v>19</v>
      </c>
      <c r="F3846" s="245" t="str">
        <f t="shared" si="245"/>
        <v>DVR 72</v>
      </c>
      <c r="G3846" s="169" t="s">
        <v>14572</v>
      </c>
      <c r="I3846" s="169" t="str">
        <f t="shared" si="243"/>
        <v>L11_DPVE_083E_RAISE</v>
      </c>
      <c r="J3846" s="169" t="s">
        <v>14571</v>
      </c>
      <c r="K3846" s="169">
        <f>IFERROR(MATCH(J3846,'Final List'!$B$4:$B$252,0),0)</f>
        <v>0</v>
      </c>
      <c r="L3846" s="169">
        <f>IFERROR(MATCH(J3846,'Final List'!$D$4:$D$252,0),0)</f>
        <v>0</v>
      </c>
      <c r="M3846" s="169">
        <f>IFERROR(MATCH(J3846,'Final List'!$F$4:$F$251,0),0)</f>
        <v>0</v>
      </c>
      <c r="N3846" s="169">
        <f>IFERROR(MATCH(J3846,'Final List'!$H$4:$H$252,0),0)</f>
        <v>0</v>
      </c>
      <c r="O3846" s="169">
        <f>IFERROR(MATCH(J3846,'Final List'!$J$4:$J$252,0),0)</f>
        <v>0</v>
      </c>
      <c r="P3846" s="169">
        <f>IFERROR(MATCH(J3846,'Final List'!$L$4:$L$252,0),0)</f>
        <v>0</v>
      </c>
      <c r="Q3846" s="169">
        <f>IFERROR(MATCH(J3846,'Final List'!$N$4:$N$252,0),0)</f>
        <v>0</v>
      </c>
      <c r="R3846" s="169">
        <f>IFERROR(MATCH(J3846,'Final List'!$P$4:$P$252,0),0)</f>
        <v>0</v>
      </c>
      <c r="S3846" s="169">
        <f t="shared" si="246"/>
        <v>0</v>
      </c>
      <c r="V3846" s="169" t="str">
        <f t="shared" si="244"/>
        <v>MAPAYO 2 </v>
      </c>
      <c r="W3846" s="169" t="s">
        <v>2715</v>
      </c>
    </row>
    <row r="3847" spans="2:23" x14ac:dyDescent="0.25">
      <c r="B3847" s="169" t="s">
        <v>95</v>
      </c>
      <c r="C3847" s="169" t="s">
        <v>87</v>
      </c>
      <c r="D3847" s="169" t="s">
        <v>5689</v>
      </c>
      <c r="E3847" s="169" t="s">
        <v>63</v>
      </c>
      <c r="F3847" s="245" t="str">
        <f t="shared" si="245"/>
        <v>Dhoz 71</v>
      </c>
      <c r="G3847" s="169" t="s">
        <v>13952</v>
      </c>
      <c r="I3847" s="169" t="str">
        <f t="shared" si="243"/>
        <v>L08_NONE_003E_XCS</v>
      </c>
      <c r="J3847" s="169" t="s">
        <v>14576</v>
      </c>
      <c r="K3847" s="169">
        <f>IFERROR(MATCH(J3847,'Final List'!$B$4:$B$252,0),0)</f>
        <v>0</v>
      </c>
      <c r="L3847" s="169">
        <f>IFERROR(MATCH(J3847,'Final List'!$D$4:$D$252,0),0)</f>
        <v>0</v>
      </c>
      <c r="M3847" s="169">
        <f>IFERROR(MATCH(J3847,'Final List'!$F$4:$F$251,0),0)</f>
        <v>0</v>
      </c>
      <c r="N3847" s="169">
        <f>IFERROR(MATCH(J3847,'Final List'!$H$4:$H$252,0),0)</f>
        <v>0</v>
      </c>
      <c r="O3847" s="169">
        <f>IFERROR(MATCH(J3847,'Final List'!$J$4:$J$252,0),0)</f>
        <v>0</v>
      </c>
      <c r="P3847" s="169">
        <f>IFERROR(MATCH(J3847,'Final List'!$L$4:$L$252,0),0)</f>
        <v>0</v>
      </c>
      <c r="Q3847" s="169">
        <f>IFERROR(MATCH(J3847,'Final List'!$N$4:$N$252,0),0)</f>
        <v>0</v>
      </c>
      <c r="R3847" s="169">
        <f>IFERROR(MATCH(J3847,'Final List'!$P$4:$P$252,0),0)</f>
        <v>0</v>
      </c>
      <c r="S3847" s="169">
        <f t="shared" si="246"/>
        <v>0</v>
      </c>
      <c r="V3847" s="169" t="str">
        <f t="shared" si="244"/>
        <v>FERNANDEZ 5</v>
      </c>
      <c r="W3847" s="169" t="s">
        <v>8897</v>
      </c>
    </row>
    <row r="3848" spans="2:23" x14ac:dyDescent="0.25">
      <c r="B3848" s="169" t="s">
        <v>1167</v>
      </c>
      <c r="C3848" s="169" t="s">
        <v>45</v>
      </c>
      <c r="D3848" s="169" t="s">
        <v>179</v>
      </c>
      <c r="E3848" s="169" t="s">
        <v>211</v>
      </c>
      <c r="F3848" s="245" t="str">
        <f t="shared" si="245"/>
        <v>StpS 77</v>
      </c>
      <c r="G3848" s="169" t="s">
        <v>75</v>
      </c>
      <c r="I3848" s="169" t="str">
        <f t="shared" si="243"/>
        <v>L12_DPVE_050E_STOPE PREP</v>
      </c>
      <c r="J3848" s="169" t="s">
        <v>14577</v>
      </c>
      <c r="K3848" s="169">
        <f>IFERROR(MATCH(J3848,'Final List'!$B$4:$B$252,0),0)</f>
        <v>0</v>
      </c>
      <c r="L3848" s="169">
        <f>IFERROR(MATCH(J3848,'Final List'!$D$4:$D$252,0),0)</f>
        <v>0</v>
      </c>
      <c r="M3848" s="169">
        <f>IFERROR(MATCH(J3848,'Final List'!$F$4:$F$251,0),0)</f>
        <v>0</v>
      </c>
      <c r="N3848" s="169">
        <f>IFERROR(MATCH(J3848,'Final List'!$H$4:$H$252,0),0)</f>
        <v>0</v>
      </c>
      <c r="O3848" s="169">
        <f>IFERROR(MATCH(J3848,'Final List'!$J$4:$J$252,0),0)</f>
        <v>0</v>
      </c>
      <c r="P3848" s="169">
        <f>IFERROR(MATCH(J3848,'Final List'!$L$4:$L$252,0),0)</f>
        <v>0</v>
      </c>
      <c r="Q3848" s="169">
        <f>IFERROR(MATCH(J3848,'Final List'!$N$4:$N$252,0),0)</f>
        <v>0</v>
      </c>
      <c r="R3848" s="169">
        <f>IFERROR(MATCH(J3848,'Final List'!$P$4:$P$252,0),0)</f>
        <v>0</v>
      </c>
      <c r="S3848" s="169">
        <f t="shared" si="246"/>
        <v>0</v>
      </c>
      <c r="T3848" s="169" t="s">
        <v>68</v>
      </c>
      <c r="V3848" s="169" t="str">
        <f t="shared" si="244"/>
        <v>BABOR</v>
      </c>
      <c r="W3848" s="169" t="s">
        <v>2711</v>
      </c>
    </row>
    <row r="3849" spans="2:23" x14ac:dyDescent="0.25">
      <c r="B3849" s="169" t="s">
        <v>1167</v>
      </c>
      <c r="C3849" s="169" t="s">
        <v>87</v>
      </c>
      <c r="D3849" s="169" t="s">
        <v>5850</v>
      </c>
      <c r="E3849" s="169" t="s">
        <v>63</v>
      </c>
      <c r="F3849" s="245" t="str">
        <f t="shared" si="245"/>
        <v>Dhoz 71</v>
      </c>
      <c r="G3849" s="169" t="s">
        <v>10002</v>
      </c>
      <c r="I3849" s="169" t="str">
        <f t="shared" si="243"/>
        <v>L12_NONE_016E_XCS</v>
      </c>
      <c r="J3849" s="169" t="s">
        <v>14582</v>
      </c>
      <c r="K3849" s="169">
        <f>IFERROR(MATCH(J3849,'Final List'!$B$4:$B$252,0),0)</f>
        <v>0</v>
      </c>
      <c r="L3849" s="169">
        <f>IFERROR(MATCH(J3849,'Final List'!$D$4:$D$252,0),0)</f>
        <v>0</v>
      </c>
      <c r="M3849" s="169">
        <f>IFERROR(MATCH(J3849,'Final List'!$F$4:$F$251,0),0)</f>
        <v>0</v>
      </c>
      <c r="N3849" s="169">
        <f>IFERROR(MATCH(J3849,'Final List'!$H$4:$H$252,0),0)</f>
        <v>0</v>
      </c>
      <c r="O3849" s="169">
        <f>IFERROR(MATCH(J3849,'Final List'!$J$4:$J$252,0),0)</f>
        <v>0</v>
      </c>
      <c r="P3849" s="169">
        <f>IFERROR(MATCH(J3849,'Final List'!$L$4:$L$252,0),0)</f>
        <v>0</v>
      </c>
      <c r="Q3849" s="169">
        <f>IFERROR(MATCH(J3849,'Final List'!$N$4:$N$252,0),0)</f>
        <v>0</v>
      </c>
      <c r="R3849" s="169">
        <f>IFERROR(MATCH(J3849,'Final List'!$P$4:$P$252,0),0)</f>
        <v>0</v>
      </c>
      <c r="S3849" s="169">
        <f t="shared" si="246"/>
        <v>0</v>
      </c>
      <c r="V3849" s="169" t="str">
        <f t="shared" si="244"/>
        <v>CAYMAN 3</v>
      </c>
      <c r="W3849" s="169" t="s">
        <v>8898</v>
      </c>
    </row>
    <row r="3850" spans="2:23" x14ac:dyDescent="0.25">
      <c r="B3850" s="169" t="s">
        <v>1166</v>
      </c>
      <c r="C3850" s="169" t="s">
        <v>45</v>
      </c>
      <c r="D3850" s="169" t="s">
        <v>172</v>
      </c>
      <c r="E3850" s="169" t="s">
        <v>19</v>
      </c>
      <c r="F3850" s="245" t="str">
        <f t="shared" si="245"/>
        <v>DVR 72</v>
      </c>
      <c r="G3850" s="169" t="s">
        <v>14316</v>
      </c>
      <c r="I3850" s="169" t="str">
        <f t="shared" si="243"/>
        <v>L11_DPVE_045E_RAISE</v>
      </c>
      <c r="J3850" s="169" t="s">
        <v>14583</v>
      </c>
      <c r="K3850" s="169">
        <f>IFERROR(MATCH(J3850,'Final List'!$B$4:$B$252,0),0)</f>
        <v>0</v>
      </c>
      <c r="L3850" s="169">
        <f>IFERROR(MATCH(J3850,'Final List'!$D$4:$D$252,0),0)</f>
        <v>0</v>
      </c>
      <c r="M3850" s="169">
        <f>IFERROR(MATCH(J3850,'Final List'!$F$4:$F$251,0),0)</f>
        <v>0</v>
      </c>
      <c r="N3850" s="169">
        <f>IFERROR(MATCH(J3850,'Final List'!$H$4:$H$252,0),0)</f>
        <v>0</v>
      </c>
      <c r="O3850" s="169">
        <f>IFERROR(MATCH(J3850,'Final List'!$J$4:$J$252,0),0)</f>
        <v>0</v>
      </c>
      <c r="P3850" s="169">
        <f>IFERROR(MATCH(J3850,'Final List'!$L$4:$L$252,0),0)</f>
        <v>0</v>
      </c>
      <c r="Q3850" s="169">
        <f>IFERROR(MATCH(J3850,'Final List'!$N$4:$N$252,0),0)</f>
        <v>0</v>
      </c>
      <c r="R3850" s="169">
        <f>IFERROR(MATCH(J3850,'Final List'!$P$4:$P$252,0),0)</f>
        <v>0</v>
      </c>
      <c r="S3850" s="169">
        <f t="shared" si="246"/>
        <v>0</v>
      </c>
      <c r="V3850" s="169" t="str">
        <f t="shared" si="244"/>
        <v>GOC-ONG 1</v>
      </c>
      <c r="W3850" s="169" t="s">
        <v>2715</v>
      </c>
    </row>
    <row r="3851" spans="2:23" x14ac:dyDescent="0.25">
      <c r="B3851" s="169" t="s">
        <v>12320</v>
      </c>
      <c r="C3851" s="169" t="s">
        <v>43</v>
      </c>
      <c r="D3851" s="169" t="s">
        <v>168</v>
      </c>
      <c r="E3851" s="169" t="s">
        <v>211</v>
      </c>
      <c r="F3851" s="245" t="str">
        <f t="shared" si="245"/>
        <v>StpS 77</v>
      </c>
      <c r="G3851" s="169" t="s">
        <v>14317</v>
      </c>
      <c r="I3851" s="169" t="str">
        <f t="shared" si="243"/>
        <v>L425_GHVSPLIT_047E_STOPE PREP</v>
      </c>
      <c r="J3851" s="169" t="s">
        <v>14588</v>
      </c>
      <c r="K3851" s="169">
        <f>IFERROR(MATCH(J3851,'Final List'!$B$4:$B$252,0),0)</f>
        <v>0</v>
      </c>
      <c r="L3851" s="169">
        <f>IFERROR(MATCH(J3851,'Final List'!$D$4:$D$252,0),0)</f>
        <v>0</v>
      </c>
      <c r="M3851" s="169">
        <f>IFERROR(MATCH(J3851,'Final List'!$F$4:$F$251,0),0)</f>
        <v>0</v>
      </c>
      <c r="N3851" s="169">
        <f>IFERROR(MATCH(J3851,'Final List'!$H$4:$H$252,0),0)</f>
        <v>0</v>
      </c>
      <c r="O3851" s="169">
        <f>IFERROR(MATCH(J3851,'Final List'!$J$4:$J$252,0),0)</f>
        <v>0</v>
      </c>
      <c r="P3851" s="169">
        <f>IFERROR(MATCH(J3851,'Final List'!$L$4:$L$252,0),0)</f>
        <v>0</v>
      </c>
      <c r="Q3851" s="169">
        <f>IFERROR(MATCH(J3851,'Final List'!$N$4:$N$252,0),0)</f>
        <v>0</v>
      </c>
      <c r="R3851" s="169">
        <f>IFERROR(MATCH(J3851,'Final List'!$P$4:$P$252,0),0)</f>
        <v>0</v>
      </c>
      <c r="S3851" s="169">
        <f t="shared" si="246"/>
        <v>0</v>
      </c>
      <c r="T3851" s="169" t="s">
        <v>68</v>
      </c>
      <c r="V3851" s="169" t="str">
        <f t="shared" si="244"/>
        <v>ESPINOSA</v>
      </c>
      <c r="W3851" s="169" t="s">
        <v>2712</v>
      </c>
    </row>
    <row r="3852" spans="2:23" x14ac:dyDescent="0.25">
      <c r="B3852" s="169" t="s">
        <v>12320</v>
      </c>
      <c r="C3852" s="169" t="s">
        <v>43</v>
      </c>
      <c r="D3852" s="169" t="s">
        <v>5742</v>
      </c>
      <c r="E3852" s="169" t="s">
        <v>211</v>
      </c>
      <c r="F3852" s="245" t="str">
        <f t="shared" si="245"/>
        <v>StpS 77</v>
      </c>
      <c r="G3852" s="169" t="s">
        <v>14317</v>
      </c>
      <c r="I3852" s="169" t="str">
        <f t="shared" si="243"/>
        <v>L425_GHVSPLIT_040E_STOPE PREP</v>
      </c>
      <c r="J3852" s="169" t="s">
        <v>14589</v>
      </c>
      <c r="K3852" s="169">
        <f>IFERROR(MATCH(J3852,'Final List'!$B$4:$B$252,0),0)</f>
        <v>0</v>
      </c>
      <c r="L3852" s="169">
        <f>IFERROR(MATCH(J3852,'Final List'!$D$4:$D$252,0),0)</f>
        <v>0</v>
      </c>
      <c r="M3852" s="169">
        <f>IFERROR(MATCH(J3852,'Final List'!$F$4:$F$251,0),0)</f>
        <v>0</v>
      </c>
      <c r="N3852" s="169">
        <f>IFERROR(MATCH(J3852,'Final List'!$H$4:$H$252,0),0)</f>
        <v>0</v>
      </c>
      <c r="O3852" s="169">
        <f>IFERROR(MATCH(J3852,'Final List'!$J$4:$J$252,0),0)</f>
        <v>0</v>
      </c>
      <c r="P3852" s="169">
        <f>IFERROR(MATCH(J3852,'Final List'!$L$4:$L$252,0),0)</f>
        <v>0</v>
      </c>
      <c r="Q3852" s="169">
        <f>IFERROR(MATCH(J3852,'Final List'!$N$4:$N$252,0),0)</f>
        <v>0</v>
      </c>
      <c r="R3852" s="169">
        <f>IFERROR(MATCH(J3852,'Final List'!$P$4:$P$252,0),0)</f>
        <v>0</v>
      </c>
      <c r="S3852" s="169">
        <f t="shared" si="246"/>
        <v>0</v>
      </c>
      <c r="T3852" s="169" t="s">
        <v>68</v>
      </c>
      <c r="V3852" s="169" t="str">
        <f t="shared" si="244"/>
        <v>ESPINOSA</v>
      </c>
      <c r="W3852" s="169" t="s">
        <v>2712</v>
      </c>
    </row>
    <row r="3853" spans="2:23" x14ac:dyDescent="0.25">
      <c r="B3853" s="169" t="s">
        <v>1167</v>
      </c>
      <c r="C3853" s="169" t="s">
        <v>57</v>
      </c>
      <c r="D3853" s="169" t="s">
        <v>5781</v>
      </c>
      <c r="E3853" s="169" t="s">
        <v>60</v>
      </c>
      <c r="F3853" s="245" t="str">
        <f t="shared" si="245"/>
        <v>Dhoz 71</v>
      </c>
      <c r="G3853" s="169" t="s">
        <v>14349</v>
      </c>
      <c r="I3853" s="169" t="str">
        <f t="shared" si="243"/>
        <v>L12_JVSPLIT_051E_DE</v>
      </c>
      <c r="J3853" s="169" t="s">
        <v>14613</v>
      </c>
      <c r="K3853" s="169">
        <f>IFERROR(MATCH(J3853,'Final List'!$B$4:$B$252,0),0)</f>
        <v>0</v>
      </c>
      <c r="L3853" s="169">
        <f>IFERROR(MATCH(J3853,'Final List'!$D$4:$D$252,0),0)</f>
        <v>0</v>
      </c>
      <c r="M3853" s="169">
        <f>IFERROR(MATCH(J3853,'Final List'!$F$4:$F$251,0),0)</f>
        <v>0</v>
      </c>
      <c r="N3853" s="169">
        <f>IFERROR(MATCH(J3853,'Final List'!$H$4:$H$252,0),0)</f>
        <v>0</v>
      </c>
      <c r="O3853" s="169">
        <f>IFERROR(MATCH(J3853,'Final List'!$J$4:$J$252,0),0)</f>
        <v>0</v>
      </c>
      <c r="P3853" s="169">
        <f>IFERROR(MATCH(J3853,'Final List'!$L$4:$L$252,0),0)</f>
        <v>0</v>
      </c>
      <c r="Q3853" s="169">
        <f>IFERROR(MATCH(J3853,'Final List'!$N$4:$N$252,0),0)</f>
        <v>0</v>
      </c>
      <c r="R3853" s="169">
        <f>IFERROR(MATCH(J3853,'Final List'!$P$4:$P$252,0),0)</f>
        <v>0</v>
      </c>
      <c r="S3853" s="169">
        <f t="shared" si="246"/>
        <v>0</v>
      </c>
      <c r="V3853" s="169" t="str">
        <f t="shared" si="244"/>
        <v>DURANGO 2</v>
      </c>
      <c r="W3853" s="169" t="s">
        <v>8896</v>
      </c>
    </row>
    <row r="3854" spans="2:23" x14ac:dyDescent="0.25">
      <c r="B3854" s="169" t="s">
        <v>95</v>
      </c>
      <c r="C3854" s="169" t="s">
        <v>42</v>
      </c>
      <c r="D3854" s="169" t="s">
        <v>5742</v>
      </c>
      <c r="E3854" s="169" t="s">
        <v>6143</v>
      </c>
      <c r="F3854" s="245" t="str">
        <f t="shared" si="245"/>
        <v>Dhoz 71</v>
      </c>
      <c r="G3854" s="169" t="s">
        <v>8045</v>
      </c>
      <c r="I3854" s="169" t="str">
        <f t="shared" si="243"/>
        <v>L08_JV_040E_DE_ISL</v>
      </c>
      <c r="J3854" s="169" t="s">
        <v>14590</v>
      </c>
      <c r="K3854" s="169">
        <f>IFERROR(MATCH(J3854,'Final List'!$B$4:$B$252,0),0)</f>
        <v>0</v>
      </c>
      <c r="L3854" s="169">
        <f>IFERROR(MATCH(J3854,'Final List'!$D$4:$D$252,0),0)</f>
        <v>0</v>
      </c>
      <c r="M3854" s="169">
        <f>IFERROR(MATCH(J3854,'Final List'!$F$4:$F$251,0),0)</f>
        <v>0</v>
      </c>
      <c r="N3854" s="169">
        <f>IFERROR(MATCH(J3854,'Final List'!$H$4:$H$252,0),0)</f>
        <v>0</v>
      </c>
      <c r="O3854" s="169">
        <f>IFERROR(MATCH(J3854,'Final List'!$J$4:$J$252,0),0)</f>
        <v>0</v>
      </c>
      <c r="P3854" s="169">
        <f>IFERROR(MATCH(J3854,'Final List'!$L$4:$L$252,0),0)</f>
        <v>0</v>
      </c>
      <c r="Q3854" s="169">
        <f>IFERROR(MATCH(J3854,'Final List'!$N$4:$N$252,0),0)</f>
        <v>0</v>
      </c>
      <c r="R3854" s="169">
        <f>IFERROR(MATCH(J3854,'Final List'!$P$4:$P$252,0),0)</f>
        <v>0</v>
      </c>
      <c r="S3854" s="169">
        <f t="shared" si="246"/>
        <v>0</v>
      </c>
      <c r="V3854" s="169" t="str">
        <f t="shared" si="244"/>
        <v>CAPUYAN</v>
      </c>
      <c r="W3854" s="169" t="s">
        <v>2708</v>
      </c>
    </row>
    <row r="3855" spans="2:23" x14ac:dyDescent="0.25">
      <c r="B3855" s="169" t="s">
        <v>12320</v>
      </c>
      <c r="C3855" s="169" t="s">
        <v>87</v>
      </c>
      <c r="D3855" s="169" t="s">
        <v>123</v>
      </c>
      <c r="E3855" s="169" t="s">
        <v>63</v>
      </c>
      <c r="F3855" s="245" t="str">
        <f t="shared" si="245"/>
        <v>Dhoz 71</v>
      </c>
      <c r="G3855" s="169" t="s">
        <v>747</v>
      </c>
      <c r="I3855" s="169" t="str">
        <f t="shared" si="243"/>
        <v>L425_NONE_031E_XCS</v>
      </c>
      <c r="J3855" s="169" t="s">
        <v>14591</v>
      </c>
      <c r="K3855" s="169">
        <f>IFERROR(MATCH(J3855,'Final List'!$B$4:$B$252,0),0)</f>
        <v>0</v>
      </c>
      <c r="L3855" s="169">
        <f>IFERROR(MATCH(J3855,'Final List'!$D$4:$D$252,0),0)</f>
        <v>0</v>
      </c>
      <c r="M3855" s="169">
        <f>IFERROR(MATCH(J3855,'Final List'!$F$4:$F$251,0),0)</f>
        <v>0</v>
      </c>
      <c r="N3855" s="169">
        <f>IFERROR(MATCH(J3855,'Final List'!$H$4:$H$252,0),0)</f>
        <v>0</v>
      </c>
      <c r="O3855" s="169">
        <f>IFERROR(MATCH(J3855,'Final List'!$J$4:$J$252,0),0)</f>
        <v>0</v>
      </c>
      <c r="P3855" s="169">
        <f>IFERROR(MATCH(J3855,'Final List'!$L$4:$L$252,0),0)</f>
        <v>0</v>
      </c>
      <c r="Q3855" s="169">
        <f>IFERROR(MATCH(J3855,'Final List'!$N$4:$N$252,0),0)</f>
        <v>0</v>
      </c>
      <c r="R3855" s="169">
        <f>IFERROR(MATCH(J3855,'Final List'!$P$4:$P$252,0),0)</f>
        <v>0</v>
      </c>
      <c r="S3855" s="169">
        <f t="shared" si="246"/>
        <v>0</v>
      </c>
      <c r="V3855" s="169" t="str">
        <f t="shared" si="244"/>
        <v>REBOTE</v>
      </c>
      <c r="W3855" s="169" t="s">
        <v>8898</v>
      </c>
    </row>
    <row r="3856" spans="2:23" x14ac:dyDescent="0.25">
      <c r="B3856" s="169" t="s">
        <v>1166</v>
      </c>
      <c r="C3856" s="169" t="s">
        <v>45</v>
      </c>
      <c r="D3856" s="169" t="s">
        <v>14595</v>
      </c>
      <c r="E3856" s="169" t="s">
        <v>19</v>
      </c>
      <c r="F3856" s="245" t="str">
        <f t="shared" si="245"/>
        <v>DVR 72</v>
      </c>
      <c r="G3856" s="169" t="s">
        <v>4155</v>
      </c>
      <c r="I3856" s="169" t="str">
        <f t="shared" si="243"/>
        <v>L11_DPVE_111E_RAISE</v>
      </c>
      <c r="J3856" s="169" t="s">
        <v>14594</v>
      </c>
      <c r="K3856" s="169">
        <f>IFERROR(MATCH(J3856,'Final List'!$B$4:$B$252,0),0)</f>
        <v>0</v>
      </c>
      <c r="L3856" s="169">
        <f>IFERROR(MATCH(J3856,'Final List'!$D$4:$D$252,0),0)</f>
        <v>0</v>
      </c>
      <c r="M3856" s="169">
        <f>IFERROR(MATCH(J3856,'Final List'!$F$4:$F$251,0),0)</f>
        <v>0</v>
      </c>
      <c r="N3856" s="169">
        <f>IFERROR(MATCH(J3856,'Final List'!$H$4:$H$252,0),0)</f>
        <v>0</v>
      </c>
      <c r="O3856" s="169">
        <f>IFERROR(MATCH(J3856,'Final List'!$J$4:$J$252,0),0)</f>
        <v>0</v>
      </c>
      <c r="P3856" s="169">
        <f>IFERROR(MATCH(J3856,'Final List'!$L$4:$L$252,0),0)</f>
        <v>0</v>
      </c>
      <c r="Q3856" s="169">
        <f>IFERROR(MATCH(J3856,'Final List'!$N$4:$N$252,0),0)</f>
        <v>0</v>
      </c>
      <c r="R3856" s="169">
        <f>IFERROR(MATCH(J3856,'Final List'!$P$4:$P$252,0),0)</f>
        <v>0</v>
      </c>
      <c r="S3856" s="169">
        <f t="shared" si="246"/>
        <v>0</v>
      </c>
      <c r="V3856" s="169" t="str">
        <f t="shared" si="244"/>
        <v>BAÑEZ</v>
      </c>
      <c r="W3856" s="169" t="s">
        <v>2715</v>
      </c>
    </row>
    <row r="3857" spans="2:23" x14ac:dyDescent="0.25">
      <c r="B3857" s="169" t="s">
        <v>95</v>
      </c>
      <c r="C3857" s="169" t="s">
        <v>45</v>
      </c>
      <c r="D3857" s="169" t="s">
        <v>6139</v>
      </c>
      <c r="E3857" s="169" t="s">
        <v>19</v>
      </c>
      <c r="F3857" s="245" t="str">
        <f t="shared" si="245"/>
        <v>DVR 72</v>
      </c>
      <c r="G3857" s="169" t="s">
        <v>14137</v>
      </c>
      <c r="I3857" s="169" t="str">
        <f t="shared" si="243"/>
        <v>L08_DPVE_030W_RAISE</v>
      </c>
      <c r="J3857" s="169" t="s">
        <v>14597</v>
      </c>
      <c r="K3857" s="169">
        <f>IFERROR(MATCH(J3857,'Final List'!$B$4:$B$252,0),0)</f>
        <v>0</v>
      </c>
      <c r="L3857" s="169">
        <f>IFERROR(MATCH(J3857,'Final List'!$D$4:$D$252,0),0)</f>
        <v>0</v>
      </c>
      <c r="M3857" s="169">
        <f>IFERROR(MATCH(J3857,'Final List'!$F$4:$F$251,0),0)</f>
        <v>0</v>
      </c>
      <c r="N3857" s="169">
        <f>IFERROR(MATCH(J3857,'Final List'!$H$4:$H$252,0),0)</f>
        <v>0</v>
      </c>
      <c r="O3857" s="169">
        <f>IFERROR(MATCH(J3857,'Final List'!$J$4:$J$252,0),0)</f>
        <v>0</v>
      </c>
      <c r="P3857" s="169">
        <f>IFERROR(MATCH(J3857,'Final List'!$L$4:$L$252,0),0)</f>
        <v>0</v>
      </c>
      <c r="Q3857" s="169">
        <f>IFERROR(MATCH(J3857,'Final List'!$N$4:$N$252,0),0)</f>
        <v>0</v>
      </c>
      <c r="R3857" s="169">
        <f>IFERROR(MATCH(J3857,'Final List'!$P$4:$P$252,0),0)</f>
        <v>0</v>
      </c>
      <c r="S3857" s="169">
        <f t="shared" si="246"/>
        <v>0</v>
      </c>
      <c r="V3857" s="169" t="str">
        <f t="shared" si="244"/>
        <v>CANTAGO 1</v>
      </c>
      <c r="W3857" s="169" t="s">
        <v>2715</v>
      </c>
    </row>
    <row r="3858" spans="2:23" x14ac:dyDescent="0.25">
      <c r="B3858" s="169" t="s">
        <v>95</v>
      </c>
      <c r="C3858" s="169" t="s">
        <v>45</v>
      </c>
      <c r="D3858" s="169" t="s">
        <v>180</v>
      </c>
      <c r="E3858" s="169" t="s">
        <v>6143</v>
      </c>
      <c r="F3858" s="245" t="str">
        <f t="shared" si="245"/>
        <v>Dhoz 71</v>
      </c>
      <c r="G3858" s="169" t="s">
        <v>14285</v>
      </c>
      <c r="I3858" s="169" t="str">
        <f t="shared" si="243"/>
        <v>L08_DPVE_041E_DE_ISL</v>
      </c>
      <c r="J3858" s="169" t="s">
        <v>14599</v>
      </c>
      <c r="K3858" s="169">
        <f>IFERROR(MATCH(J3858,'Final List'!$B$4:$B$252,0),0)</f>
        <v>0</v>
      </c>
      <c r="L3858" s="169">
        <f>IFERROR(MATCH(J3858,'Final List'!$D$4:$D$252,0),0)</f>
        <v>0</v>
      </c>
      <c r="M3858" s="169">
        <f>IFERROR(MATCH(J3858,'Final List'!$F$4:$F$251,0),0)</f>
        <v>0</v>
      </c>
      <c r="N3858" s="169">
        <f>IFERROR(MATCH(J3858,'Final List'!$H$4:$H$252,0),0)</f>
        <v>0</v>
      </c>
      <c r="O3858" s="169">
        <f>IFERROR(MATCH(J3858,'Final List'!$J$4:$J$252,0),0)</f>
        <v>0</v>
      </c>
      <c r="P3858" s="169">
        <f>IFERROR(MATCH(J3858,'Final List'!$L$4:$L$252,0),0)</f>
        <v>0</v>
      </c>
      <c r="Q3858" s="169">
        <f>IFERROR(MATCH(J3858,'Final List'!$N$4:$N$252,0),0)</f>
        <v>0</v>
      </c>
      <c r="R3858" s="169">
        <f>IFERROR(MATCH(J3858,'Final List'!$P$4:$P$252,0),0)</f>
        <v>0</v>
      </c>
      <c r="S3858" s="169">
        <f t="shared" si="246"/>
        <v>0</v>
      </c>
      <c r="V3858" s="169" t="str">
        <f t="shared" ref="V3858:V3921" si="247">IF(H3858="",G3858,H3858)</f>
        <v>CANTAGO 4</v>
      </c>
      <c r="W3858" s="169" t="s">
        <v>8895</v>
      </c>
    </row>
    <row r="3859" spans="2:23" x14ac:dyDescent="0.25">
      <c r="B3859" s="169" t="s">
        <v>96</v>
      </c>
      <c r="C3859" s="169" t="s">
        <v>38</v>
      </c>
      <c r="D3859" s="169" t="s">
        <v>149</v>
      </c>
      <c r="E3859" s="169" t="s">
        <v>62</v>
      </c>
      <c r="F3859" s="245" t="str">
        <f t="shared" si="245"/>
        <v>RobS 79</v>
      </c>
      <c r="G3859" s="169" t="s">
        <v>349</v>
      </c>
      <c r="I3859" s="169" t="str">
        <f t="shared" si="243"/>
        <v>L09_GHV_021E_ROBBING</v>
      </c>
      <c r="J3859" s="169" t="s">
        <v>14605</v>
      </c>
      <c r="K3859" s="169">
        <f>IFERROR(MATCH(J3859,'Final List'!$B$4:$B$252,0),0)</f>
        <v>0</v>
      </c>
      <c r="L3859" s="169">
        <f>IFERROR(MATCH(J3859,'Final List'!$D$4:$D$252,0),0)</f>
        <v>0</v>
      </c>
      <c r="M3859" s="169">
        <f>IFERROR(MATCH(J3859,'Final List'!$F$4:$F$251,0),0)</f>
        <v>0</v>
      </c>
      <c r="N3859" s="169">
        <f>IFERROR(MATCH(J3859,'Final List'!$H$4:$H$252,0),0)</f>
        <v>0</v>
      </c>
      <c r="O3859" s="169">
        <f>IFERROR(MATCH(J3859,'Final List'!$J$4:$J$252,0),0)</f>
        <v>0</v>
      </c>
      <c r="P3859" s="169">
        <f>IFERROR(MATCH(J3859,'Final List'!$L$4:$L$252,0),0)</f>
        <v>0</v>
      </c>
      <c r="Q3859" s="169">
        <f>IFERROR(MATCH(J3859,'Final List'!$N$4:$N$252,0),0)</f>
        <v>0</v>
      </c>
      <c r="R3859" s="169">
        <f>IFERROR(MATCH(J3859,'Final List'!$P$4:$P$252,0),0)</f>
        <v>0</v>
      </c>
      <c r="S3859" s="169">
        <f t="shared" si="246"/>
        <v>0</v>
      </c>
      <c r="T3859" s="169" t="s">
        <v>68</v>
      </c>
      <c r="V3859" s="169" t="str">
        <f t="shared" si="247"/>
        <v>QUIJANO 2</v>
      </c>
      <c r="W3859" s="169" t="s">
        <v>2707</v>
      </c>
    </row>
    <row r="3860" spans="2:23" x14ac:dyDescent="0.25">
      <c r="B3860" s="169" t="s">
        <v>12320</v>
      </c>
      <c r="C3860" s="169" t="s">
        <v>38</v>
      </c>
      <c r="D3860" s="169" t="s">
        <v>5742</v>
      </c>
      <c r="E3860" s="169" t="s">
        <v>19</v>
      </c>
      <c r="F3860" s="245" t="str">
        <f t="shared" si="245"/>
        <v>DVR 72</v>
      </c>
      <c r="G3860" s="169" t="s">
        <v>7984</v>
      </c>
      <c r="I3860" s="169" t="str">
        <f t="shared" si="243"/>
        <v>L425_GHV_040E_RAISE</v>
      </c>
      <c r="J3860" s="169" t="s">
        <v>14602</v>
      </c>
      <c r="K3860" s="169">
        <f>IFERROR(MATCH(J3860,'Final List'!$B$4:$B$252,0),0)</f>
        <v>0</v>
      </c>
      <c r="L3860" s="169">
        <f>IFERROR(MATCH(J3860,'Final List'!$D$4:$D$252,0),0)</f>
        <v>0</v>
      </c>
      <c r="M3860" s="169">
        <f>IFERROR(MATCH(J3860,'Final List'!$F$4:$F$251,0),0)</f>
        <v>0</v>
      </c>
      <c r="N3860" s="169">
        <f>IFERROR(MATCH(J3860,'Final List'!$H$4:$H$252,0),0)</f>
        <v>0</v>
      </c>
      <c r="O3860" s="169">
        <f>IFERROR(MATCH(J3860,'Final List'!$J$4:$J$252,0),0)</f>
        <v>0</v>
      </c>
      <c r="P3860" s="169">
        <f>IFERROR(MATCH(J3860,'Final List'!$L$4:$L$252,0),0)</f>
        <v>0</v>
      </c>
      <c r="Q3860" s="169">
        <f>IFERROR(MATCH(J3860,'Final List'!$N$4:$N$252,0),0)</f>
        <v>0</v>
      </c>
      <c r="R3860" s="169">
        <f>IFERROR(MATCH(J3860,'Final List'!$P$4:$P$252,0),0)</f>
        <v>0</v>
      </c>
      <c r="S3860" s="169">
        <f t="shared" si="246"/>
        <v>0</v>
      </c>
      <c r="V3860" s="169" t="str">
        <f t="shared" si="247"/>
        <v>OLIVEROS</v>
      </c>
      <c r="W3860" s="169" t="s">
        <v>2715</v>
      </c>
    </row>
    <row r="3861" spans="2:23" x14ac:dyDescent="0.25">
      <c r="B3861" s="169" t="s">
        <v>95</v>
      </c>
      <c r="C3861" s="169" t="s">
        <v>87</v>
      </c>
      <c r="D3861" s="169" t="s">
        <v>108</v>
      </c>
      <c r="E3861" s="169" t="s">
        <v>63</v>
      </c>
      <c r="F3861" s="245" t="str">
        <f t="shared" si="245"/>
        <v>Dhoz 71</v>
      </c>
      <c r="G3861" s="169" t="s">
        <v>5718</v>
      </c>
      <c r="I3861" s="169" t="str">
        <f t="shared" si="243"/>
        <v>L08_NONE_007W_XCS</v>
      </c>
      <c r="J3861" s="169" t="s">
        <v>14610</v>
      </c>
      <c r="K3861" s="169">
        <f>IFERROR(MATCH(J3861,'Final List'!$B$4:$B$252,0),0)</f>
        <v>0</v>
      </c>
      <c r="L3861" s="169">
        <f>IFERROR(MATCH(J3861,'Final List'!$D$4:$D$252,0),0)</f>
        <v>0</v>
      </c>
      <c r="M3861" s="169">
        <f>IFERROR(MATCH(J3861,'Final List'!$F$4:$F$251,0),0)</f>
        <v>0</v>
      </c>
      <c r="N3861" s="169">
        <f>IFERROR(MATCH(J3861,'Final List'!$H$4:$H$252,0),0)</f>
        <v>0</v>
      </c>
      <c r="O3861" s="169">
        <f>IFERROR(MATCH(J3861,'Final List'!$J$4:$J$252,0),0)</f>
        <v>0</v>
      </c>
      <c r="P3861" s="169">
        <f>IFERROR(MATCH(J3861,'Final List'!$L$4:$L$252,0),0)</f>
        <v>0</v>
      </c>
      <c r="Q3861" s="169">
        <f>IFERROR(MATCH(J3861,'Final List'!$N$4:$N$252,0),0)</f>
        <v>0</v>
      </c>
      <c r="R3861" s="169">
        <f>IFERROR(MATCH(J3861,'Final List'!$P$4:$P$252,0),0)</f>
        <v>0</v>
      </c>
      <c r="S3861" s="169">
        <f t="shared" si="246"/>
        <v>0</v>
      </c>
      <c r="V3861" s="169" t="str">
        <f t="shared" si="247"/>
        <v>FERNANDEZ 2</v>
      </c>
      <c r="W3861" s="169" t="s">
        <v>2714</v>
      </c>
    </row>
    <row r="3862" spans="2:23" x14ac:dyDescent="0.25">
      <c r="B3862" s="169" t="s">
        <v>258</v>
      </c>
      <c r="C3862" s="169" t="s">
        <v>42</v>
      </c>
      <c r="D3862" s="169" t="s">
        <v>5669</v>
      </c>
      <c r="E3862" s="169" t="s">
        <v>61</v>
      </c>
      <c r="F3862" s="245" t="str">
        <f t="shared" si="245"/>
        <v>Dhoz 71</v>
      </c>
      <c r="G3862" s="169" t="s">
        <v>5701</v>
      </c>
      <c r="I3862" s="169" t="str">
        <f t="shared" si="243"/>
        <v>L10_JV_027W_DW</v>
      </c>
      <c r="J3862" s="169" t="s">
        <v>14612</v>
      </c>
      <c r="K3862" s="169">
        <f>IFERROR(MATCH(J3862,'Final List'!$B$4:$B$252,0),0)</f>
        <v>0</v>
      </c>
      <c r="L3862" s="169">
        <f>IFERROR(MATCH(J3862,'Final List'!$D$4:$D$252,0),0)</f>
        <v>0</v>
      </c>
      <c r="M3862" s="169">
        <f>IFERROR(MATCH(J3862,'Final List'!$F$4:$F$251,0),0)</f>
        <v>0</v>
      </c>
      <c r="N3862" s="169">
        <f>IFERROR(MATCH(J3862,'Final List'!$H$4:$H$252,0),0)</f>
        <v>0</v>
      </c>
      <c r="O3862" s="169">
        <f>IFERROR(MATCH(J3862,'Final List'!$J$4:$J$252,0),0)</f>
        <v>0</v>
      </c>
      <c r="P3862" s="169">
        <f>IFERROR(MATCH(J3862,'Final List'!$L$4:$L$252,0),0)</f>
        <v>0</v>
      </c>
      <c r="Q3862" s="169">
        <f>IFERROR(MATCH(J3862,'Final List'!$N$4:$N$252,0),0)</f>
        <v>0</v>
      </c>
      <c r="R3862" s="169">
        <f>IFERROR(MATCH(J3862,'Final List'!$P$4:$P$252,0),0)</f>
        <v>0</v>
      </c>
      <c r="S3862" s="169">
        <f t="shared" si="246"/>
        <v>0</v>
      </c>
      <c r="V3862" s="169" t="str">
        <f t="shared" si="247"/>
        <v>LARGO 2</v>
      </c>
      <c r="W3862" s="169" t="s">
        <v>8896</v>
      </c>
    </row>
    <row r="3863" spans="2:23" x14ac:dyDescent="0.25">
      <c r="B3863" s="169" t="s">
        <v>12320</v>
      </c>
      <c r="C3863" s="169" t="s">
        <v>38</v>
      </c>
      <c r="D3863" s="169" t="s">
        <v>174</v>
      </c>
      <c r="E3863" s="169" t="s">
        <v>6154</v>
      </c>
      <c r="F3863" s="245" t="str">
        <f t="shared" si="245"/>
        <v>Dhoz 71</v>
      </c>
      <c r="G3863" s="169" t="s">
        <v>12745</v>
      </c>
      <c r="I3863" s="169" t="str">
        <f t="shared" si="243"/>
        <v>L425_GHV_052E_DW_ISL</v>
      </c>
      <c r="J3863" s="169" t="s">
        <v>14616</v>
      </c>
      <c r="K3863" s="169">
        <f>IFERROR(MATCH(J3863,'Final List'!$B$4:$B$252,0),0)</f>
        <v>0</v>
      </c>
      <c r="L3863" s="169">
        <f>IFERROR(MATCH(J3863,'Final List'!$D$4:$D$252,0),0)</f>
        <v>0</v>
      </c>
      <c r="M3863" s="169">
        <f>IFERROR(MATCH(J3863,'Final List'!$F$4:$F$251,0),0)</f>
        <v>0</v>
      </c>
      <c r="N3863" s="169">
        <f>IFERROR(MATCH(J3863,'Final List'!$H$4:$H$252,0),0)</f>
        <v>0</v>
      </c>
      <c r="O3863" s="169">
        <f>IFERROR(MATCH(J3863,'Final List'!$J$4:$J$252,0),0)</f>
        <v>0</v>
      </c>
      <c r="P3863" s="169">
        <f>IFERROR(MATCH(J3863,'Final List'!$L$4:$L$252,0),0)</f>
        <v>0</v>
      </c>
      <c r="Q3863" s="169">
        <f>IFERROR(MATCH(J3863,'Final List'!$N$4:$N$252,0),0)</f>
        <v>0</v>
      </c>
      <c r="R3863" s="169">
        <f>IFERROR(MATCH(J3863,'Final List'!$P$4:$P$252,0),0)</f>
        <v>0</v>
      </c>
      <c r="S3863" s="169">
        <f t="shared" si="246"/>
        <v>0</v>
      </c>
      <c r="V3863" s="169" t="str">
        <f t="shared" si="247"/>
        <v>CAPPUYO</v>
      </c>
      <c r="W3863" s="169" t="s">
        <v>8896</v>
      </c>
    </row>
    <row r="3864" spans="2:23" x14ac:dyDescent="0.25">
      <c r="B3864" s="169" t="s">
        <v>1167</v>
      </c>
      <c r="C3864" s="169" t="s">
        <v>42</v>
      </c>
      <c r="D3864" s="169" t="s">
        <v>1230</v>
      </c>
      <c r="E3864" s="169" t="s">
        <v>19</v>
      </c>
      <c r="F3864" s="245" t="str">
        <f t="shared" si="245"/>
        <v>DVR 72</v>
      </c>
      <c r="G3864" s="169" t="s">
        <v>14446</v>
      </c>
      <c r="I3864" s="169" t="str">
        <f t="shared" si="243"/>
        <v>L12_JV_075E_RAISE</v>
      </c>
      <c r="J3864" s="169" t="s">
        <v>14621</v>
      </c>
      <c r="K3864" s="169">
        <f>IFERROR(MATCH(J3864,'Final List'!$B$4:$B$252,0),0)</f>
        <v>0</v>
      </c>
      <c r="L3864" s="169">
        <f>IFERROR(MATCH(J3864,'Final List'!$D$4:$D$252,0),0)</f>
        <v>0</v>
      </c>
      <c r="M3864" s="169">
        <f>IFERROR(MATCH(J3864,'Final List'!$F$4:$F$251,0),0)</f>
        <v>0</v>
      </c>
      <c r="N3864" s="169">
        <f>IFERROR(MATCH(J3864,'Final List'!$H$4:$H$252,0),0)</f>
        <v>0</v>
      </c>
      <c r="O3864" s="169">
        <f>IFERROR(MATCH(J3864,'Final List'!$J$4:$J$252,0),0)</f>
        <v>0</v>
      </c>
      <c r="P3864" s="169">
        <f>IFERROR(MATCH(J3864,'Final List'!$L$4:$L$252,0),0)</f>
        <v>0</v>
      </c>
      <c r="Q3864" s="169">
        <f>IFERROR(MATCH(J3864,'Final List'!$N$4:$N$252,0),0)</f>
        <v>0</v>
      </c>
      <c r="R3864" s="169">
        <f>IFERROR(MATCH(J3864,'Final List'!$P$4:$P$252,0),0)</f>
        <v>0</v>
      </c>
      <c r="S3864" s="169">
        <f t="shared" si="246"/>
        <v>0</v>
      </c>
      <c r="V3864" s="169" t="str">
        <f t="shared" si="247"/>
        <v>NITRO CK 2</v>
      </c>
      <c r="W3864" s="169" t="s">
        <v>2715</v>
      </c>
    </row>
    <row r="3865" spans="2:23" x14ac:dyDescent="0.25">
      <c r="B3865" s="169" t="s">
        <v>1166</v>
      </c>
      <c r="C3865" s="169" t="s">
        <v>87</v>
      </c>
      <c r="D3865" s="169" t="s">
        <v>6983</v>
      </c>
      <c r="E3865" s="169" t="s">
        <v>63</v>
      </c>
      <c r="F3865" s="245" t="str">
        <f t="shared" si="245"/>
        <v>Dhoz 71</v>
      </c>
      <c r="G3865" s="169" t="s">
        <v>12071</v>
      </c>
      <c r="I3865" s="169" t="str">
        <f t="shared" si="243"/>
        <v>L11_NONE_001E_XCS</v>
      </c>
      <c r="J3865" s="169" t="s">
        <v>14622</v>
      </c>
      <c r="K3865" s="169">
        <f>IFERROR(MATCH(J3865,'Final List'!$B$4:$B$252,0),0)</f>
        <v>0</v>
      </c>
      <c r="L3865" s="169">
        <f>IFERROR(MATCH(J3865,'Final List'!$D$4:$D$252,0),0)</f>
        <v>0</v>
      </c>
      <c r="M3865" s="169">
        <f>IFERROR(MATCH(J3865,'Final List'!$F$4:$F$251,0),0)</f>
        <v>0</v>
      </c>
      <c r="N3865" s="169">
        <f>IFERROR(MATCH(J3865,'Final List'!$H$4:$H$252,0),0)</f>
        <v>0</v>
      </c>
      <c r="O3865" s="169">
        <f>IFERROR(MATCH(J3865,'Final List'!$J$4:$J$252,0),0)</f>
        <v>0</v>
      </c>
      <c r="P3865" s="169">
        <f>IFERROR(MATCH(J3865,'Final List'!$L$4:$L$252,0),0)</f>
        <v>0</v>
      </c>
      <c r="Q3865" s="169">
        <f>IFERROR(MATCH(J3865,'Final List'!$N$4:$N$252,0),0)</f>
        <v>0</v>
      </c>
      <c r="R3865" s="169">
        <f>IFERROR(MATCH(J3865,'Final List'!$P$4:$P$252,0),0)</f>
        <v>0</v>
      </c>
      <c r="S3865" s="169">
        <f t="shared" si="246"/>
        <v>0</v>
      </c>
      <c r="V3865" s="169" t="str">
        <f t="shared" si="247"/>
        <v>NITRO BB 2</v>
      </c>
      <c r="W3865" s="169" t="s">
        <v>8898</v>
      </c>
    </row>
    <row r="3866" spans="2:23" x14ac:dyDescent="0.25">
      <c r="B3866" s="169" t="s">
        <v>14095</v>
      </c>
      <c r="C3866" s="169" t="s">
        <v>87</v>
      </c>
      <c r="D3866" s="169" t="s">
        <v>179</v>
      </c>
      <c r="E3866" s="169" t="s">
        <v>37</v>
      </c>
      <c r="F3866" s="245" t="str">
        <f t="shared" si="245"/>
        <v>Dhoz 71</v>
      </c>
      <c r="G3866" s="169" t="s">
        <v>12513</v>
      </c>
      <c r="H3866" s="169" t="s">
        <v>14664</v>
      </c>
      <c r="I3866" s="169" t="str">
        <f t="shared" si="243"/>
        <v>L460_NONE_050E_XCN</v>
      </c>
      <c r="J3866" s="169" t="s">
        <v>14624</v>
      </c>
      <c r="K3866" s="169">
        <f>IFERROR(MATCH(J3866,'Final List'!$B$4:$B$252,0),0)</f>
        <v>0</v>
      </c>
      <c r="L3866" s="169">
        <f>IFERROR(MATCH(J3866,'Final List'!$D$4:$D$252,0),0)</f>
        <v>0</v>
      </c>
      <c r="M3866" s="169">
        <f>IFERROR(MATCH(J3866,'Final List'!$F$4:$F$251,0),0)</f>
        <v>0</v>
      </c>
      <c r="N3866" s="169">
        <f>IFERROR(MATCH(J3866,'Final List'!$H$4:$H$252,0),0)</f>
        <v>0</v>
      </c>
      <c r="O3866" s="169">
        <f>IFERROR(MATCH(J3866,'Final List'!$J$4:$J$252,0),0)</f>
        <v>0</v>
      </c>
      <c r="P3866" s="169">
        <f>IFERROR(MATCH(J3866,'Final List'!$L$4:$L$252,0),0)</f>
        <v>0</v>
      </c>
      <c r="Q3866" s="169">
        <f>IFERROR(MATCH(J3866,'Final List'!$N$4:$N$252,0),0)</f>
        <v>219</v>
      </c>
      <c r="R3866" s="169">
        <f>IFERROR(MATCH(J3866,'Final List'!$P$4:$P$252,0),0)</f>
        <v>0</v>
      </c>
      <c r="S3866" s="169">
        <f t="shared" si="246"/>
        <v>219</v>
      </c>
      <c r="V3866" s="169" t="str">
        <f t="shared" si="247"/>
        <v>DUHIG P</v>
      </c>
      <c r="W3866" s="169" t="s">
        <v>8898</v>
      </c>
    </row>
    <row r="3867" spans="2:23" x14ac:dyDescent="0.25">
      <c r="B3867" s="169" t="s">
        <v>14095</v>
      </c>
      <c r="C3867" s="169" t="s">
        <v>87</v>
      </c>
      <c r="D3867" s="169" t="s">
        <v>173</v>
      </c>
      <c r="E3867" s="169" t="s">
        <v>63</v>
      </c>
      <c r="F3867" s="245" t="str">
        <f t="shared" si="245"/>
        <v>Dhoz 71</v>
      </c>
      <c r="G3867" s="169" t="s">
        <v>14625</v>
      </c>
      <c r="H3867" s="169" t="s">
        <v>14664</v>
      </c>
      <c r="I3867" s="169" t="str">
        <f t="shared" si="243"/>
        <v>L460_NONE_049E_XCS</v>
      </c>
      <c r="J3867" s="169" t="s">
        <v>14756</v>
      </c>
      <c r="K3867" s="169">
        <f>IFERROR(MATCH(J3867,'Final List'!$B$4:$B$252,0),0)</f>
        <v>0</v>
      </c>
      <c r="L3867" s="169">
        <f>IFERROR(MATCH(J3867,'Final List'!$D$4:$D$252,0),0)</f>
        <v>0</v>
      </c>
      <c r="M3867" s="169">
        <f>IFERROR(MATCH(J3867,'Final List'!$F$4:$F$251,0),0)</f>
        <v>0</v>
      </c>
      <c r="N3867" s="169">
        <f>IFERROR(MATCH(J3867,'Final List'!$H$4:$H$252,0),0)</f>
        <v>0</v>
      </c>
      <c r="O3867" s="169">
        <f>IFERROR(MATCH(J3867,'Final List'!$J$4:$J$252,0),0)</f>
        <v>0</v>
      </c>
      <c r="P3867" s="169">
        <f>IFERROR(MATCH(J3867,'Final List'!$L$4:$L$252,0),0)</f>
        <v>0</v>
      </c>
      <c r="Q3867" s="169">
        <f>IFERROR(MATCH(J3867,'Final List'!$N$4:$N$252,0),0)</f>
        <v>0</v>
      </c>
      <c r="R3867" s="169">
        <f>IFERROR(MATCH(J3867,'Final List'!$P$4:$P$252,0),0)</f>
        <v>0</v>
      </c>
      <c r="S3867" s="169">
        <f t="shared" si="246"/>
        <v>0</v>
      </c>
      <c r="V3867" s="169" t="str">
        <f t="shared" si="247"/>
        <v>DUHIG P</v>
      </c>
      <c r="W3867" s="169" t="s">
        <v>2714</v>
      </c>
    </row>
    <row r="3868" spans="2:23" x14ac:dyDescent="0.25">
      <c r="B3868" s="169" t="s">
        <v>1167</v>
      </c>
      <c r="C3868" s="169" t="s">
        <v>55</v>
      </c>
      <c r="D3868" s="169" t="s">
        <v>172</v>
      </c>
      <c r="E3868" s="169" t="s">
        <v>19</v>
      </c>
      <c r="F3868" s="245" t="str">
        <f t="shared" si="245"/>
        <v>DVR 72</v>
      </c>
      <c r="G3868" s="169" t="s">
        <v>14129</v>
      </c>
      <c r="I3868" s="169" t="str">
        <f t="shared" si="243"/>
        <v>L12_JVFW_045E_RAISE</v>
      </c>
      <c r="J3868" s="169" t="s">
        <v>14626</v>
      </c>
      <c r="K3868" s="169">
        <f>IFERROR(MATCH(J3868,'Final List'!$B$4:$B$252,0),0)</f>
        <v>0</v>
      </c>
      <c r="L3868" s="169">
        <f>IFERROR(MATCH(J3868,'Final List'!$D$4:$D$252,0),0)</f>
        <v>0</v>
      </c>
      <c r="M3868" s="169">
        <f>IFERROR(MATCH(J3868,'Final List'!$F$4:$F$251,0),0)</f>
        <v>0</v>
      </c>
      <c r="N3868" s="169">
        <f>IFERROR(MATCH(J3868,'Final List'!$H$4:$H$252,0),0)</f>
        <v>0</v>
      </c>
      <c r="O3868" s="169">
        <f>IFERROR(MATCH(J3868,'Final List'!$J$4:$J$252,0),0)</f>
        <v>0</v>
      </c>
      <c r="P3868" s="169">
        <f>IFERROR(MATCH(J3868,'Final List'!$L$4:$L$252,0),0)</f>
        <v>0</v>
      </c>
      <c r="Q3868" s="169">
        <f>IFERROR(MATCH(J3868,'Final List'!$N$4:$N$252,0),0)</f>
        <v>0</v>
      </c>
      <c r="R3868" s="169">
        <f>IFERROR(MATCH(J3868,'Final List'!$P$4:$P$252,0),0)</f>
        <v>0</v>
      </c>
      <c r="S3868" s="169">
        <f t="shared" si="246"/>
        <v>0</v>
      </c>
      <c r="V3868" s="169" t="str">
        <f t="shared" si="247"/>
        <v>DURANGO 3</v>
      </c>
      <c r="W3868" s="169" t="s">
        <v>2715</v>
      </c>
    </row>
    <row r="3869" spans="2:23" x14ac:dyDescent="0.25">
      <c r="B3869" s="169" t="s">
        <v>1167</v>
      </c>
      <c r="C3869" s="169" t="s">
        <v>56</v>
      </c>
      <c r="D3869" s="169" t="s">
        <v>118</v>
      </c>
      <c r="E3869" s="169" t="s">
        <v>60</v>
      </c>
      <c r="F3869" s="245" t="str">
        <f t="shared" si="245"/>
        <v>Dhoz 71</v>
      </c>
      <c r="G3869" s="169" t="s">
        <v>13633</v>
      </c>
      <c r="I3869" s="169" t="str">
        <f t="shared" si="243"/>
        <v>L12_GHVFW_014E_DE</v>
      </c>
      <c r="J3869" s="169" t="s">
        <v>14628</v>
      </c>
      <c r="K3869" s="169">
        <f>IFERROR(MATCH(J3869,'Final List'!$B$4:$B$252,0),0)</f>
        <v>0</v>
      </c>
      <c r="L3869" s="169">
        <f>IFERROR(MATCH(J3869,'Final List'!$D$4:$D$252,0),0)</f>
        <v>0</v>
      </c>
      <c r="M3869" s="169">
        <f>IFERROR(MATCH(J3869,'Final List'!$F$4:$F$251,0),0)</f>
        <v>0</v>
      </c>
      <c r="N3869" s="169">
        <f>IFERROR(MATCH(J3869,'Final List'!$H$4:$H$252,0),0)</f>
        <v>0</v>
      </c>
      <c r="O3869" s="169">
        <f>IFERROR(MATCH(J3869,'Final List'!$J$4:$J$252,0),0)</f>
        <v>0</v>
      </c>
      <c r="P3869" s="169">
        <f>IFERROR(MATCH(J3869,'Final List'!$L$4:$L$252,0),0)</f>
        <v>0</v>
      </c>
      <c r="Q3869" s="169">
        <f>IFERROR(MATCH(J3869,'Final List'!$N$4:$N$252,0),0)</f>
        <v>0</v>
      </c>
      <c r="R3869" s="169">
        <f>IFERROR(MATCH(J3869,'Final List'!$P$4:$P$252,0),0)</f>
        <v>0</v>
      </c>
      <c r="S3869" s="169">
        <f t="shared" si="246"/>
        <v>0</v>
      </c>
      <c r="V3869" s="169" t="str">
        <f t="shared" si="247"/>
        <v>CAYMAN</v>
      </c>
      <c r="W3869" s="169" t="s">
        <v>8896</v>
      </c>
    </row>
    <row r="3870" spans="2:23" x14ac:dyDescent="0.25">
      <c r="B3870" s="169" t="s">
        <v>12320</v>
      </c>
      <c r="C3870" s="169" t="s">
        <v>59</v>
      </c>
      <c r="D3870" s="169" t="s">
        <v>247</v>
      </c>
      <c r="E3870" s="169" t="s">
        <v>19</v>
      </c>
      <c r="F3870" s="245" t="str">
        <f t="shared" si="245"/>
        <v>DVR 72</v>
      </c>
      <c r="G3870" s="169" t="s">
        <v>364</v>
      </c>
      <c r="I3870" s="169" t="str">
        <f t="shared" si="243"/>
        <v>L425_GHVHW_080E_RAISE</v>
      </c>
      <c r="J3870" s="169" t="s">
        <v>14629</v>
      </c>
      <c r="K3870" s="169">
        <f>IFERROR(MATCH(J3870,'Final List'!$B$4:$B$252,0),0)</f>
        <v>0</v>
      </c>
      <c r="L3870" s="169">
        <f>IFERROR(MATCH(J3870,'Final List'!$D$4:$D$252,0),0)</f>
        <v>0</v>
      </c>
      <c r="M3870" s="169">
        <f>IFERROR(MATCH(J3870,'Final List'!$F$4:$F$251,0),0)</f>
        <v>0</v>
      </c>
      <c r="N3870" s="169">
        <f>IFERROR(MATCH(J3870,'Final List'!$H$4:$H$252,0),0)</f>
        <v>0</v>
      </c>
      <c r="O3870" s="169">
        <f>IFERROR(MATCH(J3870,'Final List'!$J$4:$J$252,0),0)</f>
        <v>0</v>
      </c>
      <c r="P3870" s="169">
        <f>IFERROR(MATCH(J3870,'Final List'!$L$4:$L$252,0),0)</f>
        <v>0</v>
      </c>
      <c r="Q3870" s="169">
        <f>IFERROR(MATCH(J3870,'Final List'!$N$4:$N$252,0),0)</f>
        <v>0</v>
      </c>
      <c r="R3870" s="169">
        <f>IFERROR(MATCH(J3870,'Final List'!$P$4:$P$252,0),0)</f>
        <v>0</v>
      </c>
      <c r="S3870" s="169">
        <f t="shared" si="246"/>
        <v>0</v>
      </c>
      <c r="V3870" s="169" t="str">
        <f t="shared" si="247"/>
        <v>BABOR 3</v>
      </c>
      <c r="W3870" s="169" t="s">
        <v>2715</v>
      </c>
    </row>
    <row r="3871" spans="2:23" x14ac:dyDescent="0.25">
      <c r="B3871" s="169" t="s">
        <v>12320</v>
      </c>
      <c r="C3871" s="169" t="s">
        <v>43</v>
      </c>
      <c r="D3871" s="169" t="s">
        <v>6387</v>
      </c>
      <c r="E3871" s="169" t="s">
        <v>61</v>
      </c>
      <c r="F3871" s="245" t="str">
        <f t="shared" si="245"/>
        <v>Dhoz 71</v>
      </c>
      <c r="G3871" s="169" t="s">
        <v>747</v>
      </c>
      <c r="I3871" s="169" t="str">
        <f t="shared" si="243"/>
        <v>L425_GHVSPLIT_079E_DW</v>
      </c>
      <c r="J3871" s="169" t="s">
        <v>14630</v>
      </c>
      <c r="K3871" s="169">
        <f>IFERROR(MATCH(J3871,'Final List'!$B$4:$B$252,0),0)</f>
        <v>0</v>
      </c>
      <c r="L3871" s="169">
        <f>IFERROR(MATCH(J3871,'Final List'!$D$4:$D$252,0),0)</f>
        <v>0</v>
      </c>
      <c r="M3871" s="169">
        <f>IFERROR(MATCH(J3871,'Final List'!$F$4:$F$251,0),0)</f>
        <v>0</v>
      </c>
      <c r="N3871" s="169">
        <f>IFERROR(MATCH(J3871,'Final List'!$H$4:$H$252,0),0)</f>
        <v>0</v>
      </c>
      <c r="O3871" s="169">
        <f>IFERROR(MATCH(J3871,'Final List'!$J$4:$J$252,0),0)</f>
        <v>0</v>
      </c>
      <c r="P3871" s="169">
        <f>IFERROR(MATCH(J3871,'Final List'!$L$4:$L$252,0),0)</f>
        <v>0</v>
      </c>
      <c r="Q3871" s="169">
        <f>IFERROR(MATCH(J3871,'Final List'!$N$4:$N$252,0),0)</f>
        <v>0</v>
      </c>
      <c r="R3871" s="169">
        <f>IFERROR(MATCH(J3871,'Final List'!$P$4:$P$252,0),0)</f>
        <v>0</v>
      </c>
      <c r="S3871" s="169">
        <f t="shared" si="246"/>
        <v>0</v>
      </c>
      <c r="V3871" s="169" t="str">
        <f t="shared" si="247"/>
        <v>REBOTE</v>
      </c>
      <c r="W3871" s="169" t="s">
        <v>8896</v>
      </c>
    </row>
    <row r="3872" spans="2:23" x14ac:dyDescent="0.25">
      <c r="B3872" s="169" t="s">
        <v>1167</v>
      </c>
      <c r="C3872" s="169" t="s">
        <v>38</v>
      </c>
      <c r="D3872" s="169" t="s">
        <v>226</v>
      </c>
      <c r="E3872" s="169" t="s">
        <v>60</v>
      </c>
      <c r="F3872" s="245" t="str">
        <f t="shared" si="245"/>
        <v>Dhoz 71</v>
      </c>
      <c r="G3872" s="169" t="s">
        <v>14130</v>
      </c>
      <c r="I3872" s="169" t="str">
        <f t="shared" si="243"/>
        <v>L12_GHV_074E_DE</v>
      </c>
      <c r="J3872" s="169" t="s">
        <v>14632</v>
      </c>
      <c r="K3872" s="169">
        <f>IFERROR(MATCH(J3872,'Final List'!$B$4:$B$252,0),0)</f>
        <v>0</v>
      </c>
      <c r="L3872" s="169">
        <f>IFERROR(MATCH(J3872,'Final List'!$D$4:$D$252,0),0)</f>
        <v>0</v>
      </c>
      <c r="M3872" s="169">
        <f>IFERROR(MATCH(J3872,'Final List'!$F$4:$F$251,0),0)</f>
        <v>0</v>
      </c>
      <c r="N3872" s="169">
        <f>IFERROR(MATCH(J3872,'Final List'!$H$4:$H$252,0),0)</f>
        <v>0</v>
      </c>
      <c r="O3872" s="169">
        <f>IFERROR(MATCH(J3872,'Final List'!$J$4:$J$252,0),0)</f>
        <v>0</v>
      </c>
      <c r="P3872" s="169">
        <f>IFERROR(MATCH(J3872,'Final List'!$L$4:$L$252,0),0)</f>
        <v>0</v>
      </c>
      <c r="Q3872" s="169">
        <f>IFERROR(MATCH(J3872,'Final List'!$N$4:$N$252,0),0)</f>
        <v>0</v>
      </c>
      <c r="R3872" s="169">
        <f>IFERROR(MATCH(J3872,'Final List'!$P$4:$P$252,0),0)</f>
        <v>0</v>
      </c>
      <c r="S3872" s="169">
        <f t="shared" si="246"/>
        <v>0</v>
      </c>
      <c r="V3872" s="169" t="str">
        <f t="shared" si="247"/>
        <v>DURANGO</v>
      </c>
      <c r="W3872" s="169" t="s">
        <v>8896</v>
      </c>
    </row>
    <row r="3873" spans="2:23" x14ac:dyDescent="0.25">
      <c r="B3873" s="169" t="s">
        <v>1166</v>
      </c>
      <c r="C3873" s="169" t="s">
        <v>87</v>
      </c>
      <c r="D3873" s="169" t="s">
        <v>108</v>
      </c>
      <c r="E3873" s="169" t="s">
        <v>37</v>
      </c>
      <c r="F3873" s="245" t="str">
        <f t="shared" si="245"/>
        <v>Dhoz 71</v>
      </c>
      <c r="G3873" s="169" t="s">
        <v>14637</v>
      </c>
      <c r="I3873" s="169" t="str">
        <f t="shared" si="243"/>
        <v>L11_NONE_007W_XCN</v>
      </c>
      <c r="J3873" s="169" t="s">
        <v>14636</v>
      </c>
      <c r="K3873" s="169">
        <f>IFERROR(MATCH(J3873,'Final List'!$B$4:$B$252,0),0)</f>
        <v>0</v>
      </c>
      <c r="L3873" s="169">
        <f>IFERROR(MATCH(J3873,'Final List'!$D$4:$D$252,0),0)</f>
        <v>0</v>
      </c>
      <c r="M3873" s="169">
        <f>IFERROR(MATCH(J3873,'Final List'!$F$4:$F$251,0),0)</f>
        <v>0</v>
      </c>
      <c r="N3873" s="169">
        <f>IFERROR(MATCH(J3873,'Final List'!$H$4:$H$252,0),0)</f>
        <v>0</v>
      </c>
      <c r="O3873" s="169">
        <f>IFERROR(MATCH(J3873,'Final List'!$J$4:$J$252,0),0)</f>
        <v>0</v>
      </c>
      <c r="P3873" s="169">
        <f>IFERROR(MATCH(J3873,'Final List'!$L$4:$L$252,0),0)</f>
        <v>0</v>
      </c>
      <c r="Q3873" s="169">
        <f>IFERROR(MATCH(J3873,'Final List'!$N$4:$N$252,0),0)</f>
        <v>0</v>
      </c>
      <c r="R3873" s="169">
        <f>IFERROR(MATCH(J3873,'Final List'!$P$4:$P$252,0),0)</f>
        <v>0</v>
      </c>
      <c r="S3873" s="169">
        <f t="shared" si="246"/>
        <v>0</v>
      </c>
      <c r="V3873" s="169" t="str">
        <f t="shared" si="247"/>
        <v>NITRO BB 3</v>
      </c>
      <c r="W3873" s="169" t="s">
        <v>8898</v>
      </c>
    </row>
    <row r="3874" spans="2:23" x14ac:dyDescent="0.25">
      <c r="B3874" s="169" t="s">
        <v>96</v>
      </c>
      <c r="C3874" s="169" t="s">
        <v>56</v>
      </c>
      <c r="D3874" s="169" t="s">
        <v>5741</v>
      </c>
      <c r="E3874" s="169" t="s">
        <v>60</v>
      </c>
      <c r="F3874" s="245" t="str">
        <f t="shared" si="245"/>
        <v>Dhoz 71</v>
      </c>
      <c r="G3874" s="169" t="s">
        <v>6621</v>
      </c>
      <c r="I3874" s="169" t="str">
        <f t="shared" si="243"/>
        <v>L09_GHVFW_035E_DE</v>
      </c>
      <c r="J3874" s="169" t="s">
        <v>2613</v>
      </c>
      <c r="K3874" s="169">
        <f>IFERROR(MATCH(J3874,'Final List'!$B$4:$B$252,0),0)</f>
        <v>0</v>
      </c>
      <c r="L3874" s="169">
        <f>IFERROR(MATCH(J3874,'Final List'!$D$4:$D$252,0),0)</f>
        <v>0</v>
      </c>
      <c r="M3874" s="169">
        <f>IFERROR(MATCH(J3874,'Final List'!$F$4:$F$251,0),0)</f>
        <v>0</v>
      </c>
      <c r="N3874" s="169">
        <f>IFERROR(MATCH(J3874,'Final List'!$H$4:$H$252,0),0)</f>
        <v>0</v>
      </c>
      <c r="O3874" s="169">
        <f>IFERROR(MATCH(J3874,'Final List'!$J$4:$J$252,0),0)</f>
        <v>0</v>
      </c>
      <c r="P3874" s="169">
        <f>IFERROR(MATCH(J3874,'Final List'!$L$4:$L$252,0),0)</f>
        <v>0</v>
      </c>
      <c r="Q3874" s="169">
        <f>IFERROR(MATCH(J3874,'Final List'!$N$4:$N$252,0),0)</f>
        <v>0</v>
      </c>
      <c r="R3874" s="169">
        <f>IFERROR(MATCH(J3874,'Final List'!$P$4:$P$252,0),0)</f>
        <v>0</v>
      </c>
      <c r="S3874" s="169">
        <f t="shared" si="246"/>
        <v>0</v>
      </c>
      <c r="V3874" s="169" t="str">
        <f t="shared" si="247"/>
        <v>DELOS REYES V1</v>
      </c>
      <c r="W3874" s="169" t="s">
        <v>8896</v>
      </c>
    </row>
    <row r="3875" spans="2:23" x14ac:dyDescent="0.25">
      <c r="B3875" s="169" t="s">
        <v>1167</v>
      </c>
      <c r="C3875" s="169" t="s">
        <v>43</v>
      </c>
      <c r="D3875" s="169" t="s">
        <v>5723</v>
      </c>
      <c r="E3875" s="169" t="s">
        <v>211</v>
      </c>
      <c r="F3875" s="245" t="str">
        <f t="shared" si="245"/>
        <v>StpS 77</v>
      </c>
      <c r="G3875" s="169" t="s">
        <v>13633</v>
      </c>
      <c r="I3875" s="169" t="str">
        <f t="shared" si="243"/>
        <v>L12_GHVSPLIT_046E_STOPE PREP</v>
      </c>
      <c r="J3875" s="169" t="s">
        <v>14639</v>
      </c>
      <c r="K3875" s="169">
        <f>IFERROR(MATCH(J3875,'Final List'!$B$4:$B$252,0),0)</f>
        <v>0</v>
      </c>
      <c r="L3875" s="169">
        <f>IFERROR(MATCH(J3875,'Final List'!$D$4:$D$252,0),0)</f>
        <v>0</v>
      </c>
      <c r="M3875" s="169">
        <f>IFERROR(MATCH(J3875,'Final List'!$F$4:$F$251,0),0)</f>
        <v>0</v>
      </c>
      <c r="N3875" s="169">
        <f>IFERROR(MATCH(J3875,'Final List'!$H$4:$H$252,0),0)</f>
        <v>0</v>
      </c>
      <c r="O3875" s="169">
        <f>IFERROR(MATCH(J3875,'Final List'!$J$4:$J$252,0),0)</f>
        <v>0</v>
      </c>
      <c r="P3875" s="169">
        <f>IFERROR(MATCH(J3875,'Final List'!$L$4:$L$252,0),0)</f>
        <v>0</v>
      </c>
      <c r="Q3875" s="169">
        <f>IFERROR(MATCH(J3875,'Final List'!$N$4:$N$252,0),0)</f>
        <v>0</v>
      </c>
      <c r="R3875" s="169">
        <f>IFERROR(MATCH(J3875,'Final List'!$P$4:$P$252,0),0)</f>
        <v>0</v>
      </c>
      <c r="S3875" s="169">
        <f t="shared" si="246"/>
        <v>0</v>
      </c>
      <c r="T3875" s="169" t="s">
        <v>68</v>
      </c>
      <c r="V3875" s="169" t="str">
        <f t="shared" si="247"/>
        <v>CAYMAN</v>
      </c>
      <c r="W3875" s="169" t="s">
        <v>2712</v>
      </c>
    </row>
    <row r="3876" spans="2:23" x14ac:dyDescent="0.25">
      <c r="B3876" s="169" t="s">
        <v>95</v>
      </c>
      <c r="C3876" s="169" t="s">
        <v>57</v>
      </c>
      <c r="D3876" s="169" t="s">
        <v>149</v>
      </c>
      <c r="E3876" s="169" t="s">
        <v>19</v>
      </c>
      <c r="F3876" s="245" t="str">
        <f t="shared" si="245"/>
        <v>DVR 72</v>
      </c>
      <c r="G3876" s="169" t="s">
        <v>8045</v>
      </c>
      <c r="I3876" s="169" t="str">
        <f t="shared" si="243"/>
        <v>L08_JVSPLIT_021E_RAISE</v>
      </c>
      <c r="J3876" s="169" t="s">
        <v>14640</v>
      </c>
      <c r="K3876" s="169">
        <f>IFERROR(MATCH(J3876,'Final List'!$B$4:$B$252,0),0)</f>
        <v>0</v>
      </c>
      <c r="L3876" s="169">
        <f>IFERROR(MATCH(J3876,'Final List'!$D$4:$D$252,0),0)</f>
        <v>0</v>
      </c>
      <c r="M3876" s="169">
        <f>IFERROR(MATCH(J3876,'Final List'!$F$4:$F$251,0),0)</f>
        <v>0</v>
      </c>
      <c r="N3876" s="169">
        <f>IFERROR(MATCH(J3876,'Final List'!$H$4:$H$252,0),0)</f>
        <v>0</v>
      </c>
      <c r="O3876" s="169">
        <f>IFERROR(MATCH(J3876,'Final List'!$J$4:$J$252,0),0)</f>
        <v>0</v>
      </c>
      <c r="P3876" s="169">
        <f>IFERROR(MATCH(J3876,'Final List'!$L$4:$L$252,0),0)</f>
        <v>0</v>
      </c>
      <c r="Q3876" s="169">
        <f>IFERROR(MATCH(J3876,'Final List'!$N$4:$N$252,0),0)</f>
        <v>0</v>
      </c>
      <c r="R3876" s="169">
        <f>IFERROR(MATCH(J3876,'Final List'!$P$4:$P$252,0),0)</f>
        <v>0</v>
      </c>
      <c r="S3876" s="169">
        <f t="shared" si="246"/>
        <v>0</v>
      </c>
      <c r="V3876" s="169" t="str">
        <f t="shared" si="247"/>
        <v>CAPUYAN</v>
      </c>
      <c r="W3876" s="169" t="s">
        <v>2715</v>
      </c>
    </row>
    <row r="3877" spans="2:23" x14ac:dyDescent="0.25">
      <c r="B3877" s="169" t="s">
        <v>1166</v>
      </c>
      <c r="C3877" s="169" t="s">
        <v>42</v>
      </c>
      <c r="D3877" s="169" t="s">
        <v>142</v>
      </c>
      <c r="E3877" s="169" t="s">
        <v>20</v>
      </c>
      <c r="F3877" s="245" t="str">
        <f t="shared" si="245"/>
        <v>DVW 74</v>
      </c>
      <c r="G3877" s="169" t="s">
        <v>401</v>
      </c>
      <c r="I3877" s="169" t="str">
        <f t="shared" si="243"/>
        <v>L11_JV_038E_WINZE</v>
      </c>
      <c r="J3877" s="169" t="s">
        <v>14647</v>
      </c>
      <c r="K3877" s="169">
        <f>IFERROR(MATCH(J3877,'Final List'!$B$4:$B$252,0),0)</f>
        <v>0</v>
      </c>
      <c r="L3877" s="169">
        <f>IFERROR(MATCH(J3877,'Final List'!$D$4:$D$252,0),0)</f>
        <v>0</v>
      </c>
      <c r="M3877" s="169">
        <f>IFERROR(MATCH(J3877,'Final List'!$F$4:$F$251,0),0)</f>
        <v>0</v>
      </c>
      <c r="N3877" s="169">
        <f>IFERROR(MATCH(J3877,'Final List'!$H$4:$H$252,0),0)</f>
        <v>0</v>
      </c>
      <c r="O3877" s="169">
        <f>IFERROR(MATCH(J3877,'Final List'!$J$4:$J$252,0),0)</f>
        <v>0</v>
      </c>
      <c r="P3877" s="169">
        <f>IFERROR(MATCH(J3877,'Final List'!$L$4:$L$252,0),0)</f>
        <v>0</v>
      </c>
      <c r="Q3877" s="169">
        <f>IFERROR(MATCH(J3877,'Final List'!$N$4:$N$252,0),0)</f>
        <v>0</v>
      </c>
      <c r="R3877" s="169">
        <f>IFERROR(MATCH(J3877,'Final List'!$P$4:$P$252,0),0)</f>
        <v>0</v>
      </c>
      <c r="S3877" s="169">
        <f t="shared" si="246"/>
        <v>0</v>
      </c>
      <c r="V3877" s="169" t="str">
        <f t="shared" si="247"/>
        <v>MAPAYO 2</v>
      </c>
      <c r="W3877" s="169" t="s">
        <v>2706</v>
      </c>
    </row>
    <row r="3878" spans="2:23" x14ac:dyDescent="0.25">
      <c r="B3878" s="169" t="s">
        <v>95</v>
      </c>
      <c r="C3878" s="169" t="s">
        <v>45</v>
      </c>
      <c r="D3878" s="169" t="s">
        <v>160</v>
      </c>
      <c r="E3878" s="169" t="s">
        <v>441</v>
      </c>
      <c r="F3878" s="245" t="str">
        <f t="shared" si="245"/>
        <v>RobC 80</v>
      </c>
      <c r="G3878" s="169" t="s">
        <v>14285</v>
      </c>
      <c r="I3878" s="169" t="str">
        <f t="shared" si="243"/>
        <v>L08_DPVE_042E_WINZE STOPE PREP</v>
      </c>
      <c r="J3878" s="169" t="s">
        <v>14641</v>
      </c>
      <c r="K3878" s="169">
        <f>IFERROR(MATCH(J3878,'Final List'!$B$4:$B$252,0),0)</f>
        <v>0</v>
      </c>
      <c r="L3878" s="169">
        <f>IFERROR(MATCH(J3878,'Final List'!$D$4:$D$252,0),0)</f>
        <v>0</v>
      </c>
      <c r="M3878" s="169">
        <f>IFERROR(MATCH(J3878,'Final List'!$F$4:$F$251,0),0)</f>
        <v>0</v>
      </c>
      <c r="N3878" s="169">
        <f>IFERROR(MATCH(J3878,'Final List'!$H$4:$H$252,0),0)</f>
        <v>0</v>
      </c>
      <c r="O3878" s="169">
        <f>IFERROR(MATCH(J3878,'Final List'!$J$4:$J$252,0),0)</f>
        <v>0</v>
      </c>
      <c r="P3878" s="169">
        <f>IFERROR(MATCH(J3878,'Final List'!$L$4:$L$252,0),0)</f>
        <v>0</v>
      </c>
      <c r="Q3878" s="169">
        <f>IFERROR(MATCH(J3878,'Final List'!$N$4:$N$252,0),0)</f>
        <v>0</v>
      </c>
      <c r="R3878" s="169">
        <f>IFERROR(MATCH(J3878,'Final List'!$P$4:$P$252,0),0)</f>
        <v>0</v>
      </c>
      <c r="S3878" s="169">
        <f t="shared" si="246"/>
        <v>0</v>
      </c>
      <c r="T3878" s="169" t="s">
        <v>68</v>
      </c>
      <c r="V3878" s="169" t="str">
        <f t="shared" si="247"/>
        <v>CANTAGO 4</v>
      </c>
      <c r="W3878" s="169" t="s">
        <v>2716</v>
      </c>
    </row>
    <row r="3879" spans="2:23" x14ac:dyDescent="0.25">
      <c r="B3879" s="169" t="s">
        <v>1166</v>
      </c>
      <c r="C3879" s="169" t="s">
        <v>45</v>
      </c>
      <c r="D3879" s="169" t="s">
        <v>9971</v>
      </c>
      <c r="E3879" s="169" t="s">
        <v>61</v>
      </c>
      <c r="F3879" s="245" t="str">
        <f t="shared" si="245"/>
        <v>Dhoz 71</v>
      </c>
      <c r="G3879" s="169" t="s">
        <v>341</v>
      </c>
      <c r="I3879" s="169" t="str">
        <f t="shared" si="243"/>
        <v>L11_DPVE_096E_DW</v>
      </c>
      <c r="J3879" s="169" t="s">
        <v>13869</v>
      </c>
      <c r="K3879" s="169">
        <f>IFERROR(MATCH(J3879,'Final List'!$B$4:$B$252,0),0)</f>
        <v>0</v>
      </c>
      <c r="L3879" s="169">
        <f>IFERROR(MATCH(J3879,'Final List'!$D$4:$D$252,0),0)</f>
        <v>0</v>
      </c>
      <c r="M3879" s="169">
        <f>IFERROR(MATCH(J3879,'Final List'!$F$4:$F$251,0),0)</f>
        <v>0</v>
      </c>
      <c r="N3879" s="169">
        <f>IFERROR(MATCH(J3879,'Final List'!$H$4:$H$252,0),0)</f>
        <v>0</v>
      </c>
      <c r="O3879" s="169">
        <f>IFERROR(MATCH(J3879,'Final List'!$J$4:$J$252,0),0)</f>
        <v>0</v>
      </c>
      <c r="P3879" s="169">
        <f>IFERROR(MATCH(J3879,'Final List'!$L$4:$L$252,0),0)</f>
        <v>0</v>
      </c>
      <c r="Q3879" s="169">
        <f>IFERROR(MATCH(J3879,'Final List'!$N$4:$N$252,0),0)</f>
        <v>0</v>
      </c>
      <c r="R3879" s="169">
        <f>IFERROR(MATCH(J3879,'Final List'!$P$4:$P$252,0),0)</f>
        <v>0</v>
      </c>
      <c r="S3879" s="169">
        <f t="shared" si="246"/>
        <v>0</v>
      </c>
      <c r="V3879" s="169" t="str">
        <f t="shared" si="247"/>
        <v>BADBADON 1</v>
      </c>
      <c r="W3879" s="169" t="s">
        <v>8896</v>
      </c>
    </row>
    <row r="3880" spans="2:23" x14ac:dyDescent="0.25">
      <c r="B3880" s="169" t="s">
        <v>95</v>
      </c>
      <c r="C3880" s="169" t="s">
        <v>38</v>
      </c>
      <c r="D3880" s="169" t="s">
        <v>97</v>
      </c>
      <c r="E3880" s="169" t="s">
        <v>62</v>
      </c>
      <c r="F3880" s="245" t="str">
        <f t="shared" si="245"/>
        <v>RobS 79</v>
      </c>
      <c r="G3880" s="169" t="s">
        <v>13952</v>
      </c>
      <c r="I3880" s="169" t="str">
        <f t="shared" si="243"/>
        <v>L08_GHV_012W_ROBBING</v>
      </c>
      <c r="J3880" s="169" t="s">
        <v>14648</v>
      </c>
      <c r="K3880" s="169">
        <f>IFERROR(MATCH(J3880,'Final List'!$B$4:$B$252,0),0)</f>
        <v>0</v>
      </c>
      <c r="L3880" s="169">
        <f>IFERROR(MATCH(J3880,'Final List'!$D$4:$D$252,0),0)</f>
        <v>0</v>
      </c>
      <c r="M3880" s="169">
        <f>IFERROR(MATCH(J3880,'Final List'!$F$4:$F$251,0),0)</f>
        <v>0</v>
      </c>
      <c r="N3880" s="169">
        <f>IFERROR(MATCH(J3880,'Final List'!$H$4:$H$252,0),0)</f>
        <v>0</v>
      </c>
      <c r="O3880" s="169">
        <f>IFERROR(MATCH(J3880,'Final List'!$J$4:$J$252,0),0)</f>
        <v>0</v>
      </c>
      <c r="P3880" s="169">
        <f>IFERROR(MATCH(J3880,'Final List'!$L$4:$L$252,0),0)</f>
        <v>0</v>
      </c>
      <c r="Q3880" s="169">
        <f>IFERROR(MATCH(J3880,'Final List'!$N$4:$N$252,0),0)</f>
        <v>0</v>
      </c>
      <c r="R3880" s="169">
        <f>IFERROR(MATCH(J3880,'Final List'!$P$4:$P$252,0),0)</f>
        <v>90</v>
      </c>
      <c r="S3880" s="169">
        <f t="shared" si="246"/>
        <v>90</v>
      </c>
      <c r="T3880" s="169" t="s">
        <v>68</v>
      </c>
      <c r="V3880" s="169" t="str">
        <f t="shared" si="247"/>
        <v>FERNANDEZ 5</v>
      </c>
      <c r="W3880" s="169" t="s">
        <v>2707</v>
      </c>
    </row>
    <row r="3881" spans="2:23" x14ac:dyDescent="0.25">
      <c r="B3881" s="169" t="s">
        <v>1166</v>
      </c>
      <c r="C3881" s="169" t="s">
        <v>45</v>
      </c>
      <c r="D3881" s="169" t="s">
        <v>160</v>
      </c>
      <c r="E3881" s="169" t="s">
        <v>61</v>
      </c>
      <c r="F3881" s="245" t="str">
        <f t="shared" si="245"/>
        <v>Dhoz 71</v>
      </c>
      <c r="G3881" s="169" t="s">
        <v>14655</v>
      </c>
      <c r="I3881" s="169" t="str">
        <f t="shared" si="243"/>
        <v>L11_DPVE_042E_DW</v>
      </c>
      <c r="J3881" s="169" t="s">
        <v>14654</v>
      </c>
      <c r="K3881" s="169">
        <f>IFERROR(MATCH(J3881,'Final List'!$B$4:$B$252,0),0)</f>
        <v>0</v>
      </c>
      <c r="L3881" s="169">
        <f>IFERROR(MATCH(J3881,'Final List'!$D$4:$D$252,0),0)</f>
        <v>0</v>
      </c>
      <c r="M3881" s="169">
        <f>IFERROR(MATCH(J3881,'Final List'!$F$4:$F$251,0),0)</f>
        <v>0</v>
      </c>
      <c r="N3881" s="169">
        <f>IFERROR(MATCH(J3881,'Final List'!$H$4:$H$252,0),0)</f>
        <v>0</v>
      </c>
      <c r="O3881" s="169">
        <f>IFERROR(MATCH(J3881,'Final List'!$J$4:$J$252,0),0)</f>
        <v>0</v>
      </c>
      <c r="P3881" s="169">
        <f>IFERROR(MATCH(J3881,'Final List'!$L$4:$L$252,0),0)</f>
        <v>0</v>
      </c>
      <c r="Q3881" s="169">
        <f>IFERROR(MATCH(J3881,'Final List'!$N$4:$N$252,0),0)</f>
        <v>0</v>
      </c>
      <c r="R3881" s="169">
        <f>IFERROR(MATCH(J3881,'Final List'!$P$4:$P$252,0),0)</f>
        <v>0</v>
      </c>
      <c r="S3881" s="169">
        <f t="shared" si="246"/>
        <v>0</v>
      </c>
      <c r="V3881" s="169" t="str">
        <f t="shared" si="247"/>
        <v>GOC-ONG</v>
      </c>
      <c r="W3881" s="169" t="s">
        <v>8896</v>
      </c>
    </row>
    <row r="3882" spans="2:23" x14ac:dyDescent="0.25">
      <c r="B3882" s="169" t="s">
        <v>1167</v>
      </c>
      <c r="C3882" s="169" t="s">
        <v>45</v>
      </c>
      <c r="D3882" s="169" t="s">
        <v>179</v>
      </c>
      <c r="E3882" s="169" t="s">
        <v>36</v>
      </c>
      <c r="F3882" s="245" t="str">
        <f t="shared" si="245"/>
        <v>StpS 77</v>
      </c>
      <c r="G3882" s="169" t="s">
        <v>75</v>
      </c>
      <c r="I3882" s="169" t="str">
        <f t="shared" si="243"/>
        <v>L12_DPVE_050E_STOPE</v>
      </c>
      <c r="J3882" s="169" t="s">
        <v>14657</v>
      </c>
      <c r="K3882" s="169">
        <f>IFERROR(MATCH(J3882,'Final List'!$B$4:$B$252,0),0)</f>
        <v>0</v>
      </c>
      <c r="L3882" s="169">
        <f>IFERROR(MATCH(J3882,'Final List'!$D$4:$D$252,0),0)</f>
        <v>0</v>
      </c>
      <c r="M3882" s="169">
        <f>IFERROR(MATCH(J3882,'Final List'!$F$4:$F$251,0),0)</f>
        <v>0</v>
      </c>
      <c r="N3882" s="169">
        <f>IFERROR(MATCH(J3882,'Final List'!$H$4:$H$252,0),0)</f>
        <v>0</v>
      </c>
      <c r="O3882" s="169">
        <f>IFERROR(MATCH(J3882,'Final List'!$J$4:$J$252,0),0)</f>
        <v>0</v>
      </c>
      <c r="P3882" s="169">
        <f>IFERROR(MATCH(J3882,'Final List'!$L$4:$L$252,0),0)</f>
        <v>0</v>
      </c>
      <c r="Q3882" s="169">
        <f>IFERROR(MATCH(J3882,'Final List'!$N$4:$N$252,0),0)</f>
        <v>0</v>
      </c>
      <c r="R3882" s="169">
        <f>IFERROR(MATCH(J3882,'Final List'!$P$4:$P$252,0),0)</f>
        <v>0</v>
      </c>
      <c r="S3882" s="169">
        <f t="shared" si="246"/>
        <v>0</v>
      </c>
      <c r="T3882" s="169" t="s">
        <v>68</v>
      </c>
      <c r="V3882" s="169" t="str">
        <f t="shared" si="247"/>
        <v>BABOR</v>
      </c>
      <c r="W3882" s="169" t="s">
        <v>2713</v>
      </c>
    </row>
    <row r="3883" spans="2:23" x14ac:dyDescent="0.25">
      <c r="B3883" s="169" t="s">
        <v>14095</v>
      </c>
      <c r="C3883" s="169" t="s">
        <v>87</v>
      </c>
      <c r="D3883" s="169" t="s">
        <v>5781</v>
      </c>
      <c r="E3883" s="169" t="s">
        <v>63</v>
      </c>
      <c r="F3883" s="245" t="str">
        <f t="shared" si="245"/>
        <v>Dhoz 71</v>
      </c>
      <c r="G3883" s="169" t="s">
        <v>14659</v>
      </c>
      <c r="H3883" s="169" t="s">
        <v>6930</v>
      </c>
      <c r="I3883" s="169" t="str">
        <f t="shared" si="243"/>
        <v>L460_NONE_051E_XCS</v>
      </c>
      <c r="J3883" s="169" t="s">
        <v>14658</v>
      </c>
      <c r="K3883" s="169">
        <f>IFERROR(MATCH(J3883,'Final List'!$B$4:$B$252,0),0)</f>
        <v>0</v>
      </c>
      <c r="L3883" s="169">
        <f>IFERROR(MATCH(J3883,'Final List'!$D$4:$D$252,0),0)</f>
        <v>0</v>
      </c>
      <c r="M3883" s="169">
        <f>IFERROR(MATCH(J3883,'Final List'!$F$4:$F$251,0),0)</f>
        <v>0</v>
      </c>
      <c r="N3883" s="169">
        <f>IFERROR(MATCH(J3883,'Final List'!$H$4:$H$252,0),0)</f>
        <v>0</v>
      </c>
      <c r="O3883" s="169">
        <f>IFERROR(MATCH(J3883,'Final List'!$J$4:$J$252,0),0)</f>
        <v>0</v>
      </c>
      <c r="P3883" s="169">
        <f>IFERROR(MATCH(J3883,'Final List'!$L$4:$L$252,0),0)</f>
        <v>0</v>
      </c>
      <c r="Q3883" s="169">
        <f>IFERROR(MATCH(J3883,'Final List'!$N$4:$N$252,0),0)</f>
        <v>0</v>
      </c>
      <c r="R3883" s="169">
        <f>IFERROR(MATCH(J3883,'Final List'!$P$4:$P$252,0),0)</f>
        <v>0</v>
      </c>
      <c r="S3883" s="169">
        <f t="shared" si="246"/>
        <v>0</v>
      </c>
      <c r="V3883" s="169" t="str">
        <f t="shared" si="247"/>
        <v>DUHIG, P1</v>
      </c>
      <c r="W3883" s="169" t="s">
        <v>8898</v>
      </c>
    </row>
    <row r="3884" spans="2:23" x14ac:dyDescent="0.25">
      <c r="B3884" s="169" t="s">
        <v>14095</v>
      </c>
      <c r="C3884" s="169" t="s">
        <v>87</v>
      </c>
      <c r="D3884" s="169" t="s">
        <v>174</v>
      </c>
      <c r="E3884" s="169" t="s">
        <v>63</v>
      </c>
      <c r="F3884" s="245" t="str">
        <f t="shared" si="245"/>
        <v>Dhoz 71</v>
      </c>
      <c r="G3884" s="169" t="s">
        <v>14208</v>
      </c>
      <c r="H3884" t="s">
        <v>12580</v>
      </c>
      <c r="I3884" s="169" t="str">
        <f t="shared" si="243"/>
        <v>L460_NONE_052E_XCS</v>
      </c>
      <c r="J3884" s="169" t="s">
        <v>14660</v>
      </c>
      <c r="K3884" s="169">
        <f>IFERROR(MATCH(J3884,'Final List'!$B$4:$B$252,0),0)</f>
        <v>0</v>
      </c>
      <c r="L3884" s="169">
        <f>IFERROR(MATCH(J3884,'Final List'!$D$4:$D$252,0),0)</f>
        <v>0</v>
      </c>
      <c r="M3884" s="169">
        <f>IFERROR(MATCH(J3884,'Final List'!$F$4:$F$251,0),0)</f>
        <v>0</v>
      </c>
      <c r="N3884" s="169">
        <f>IFERROR(MATCH(J3884,'Final List'!$H$4:$H$252,0),0)</f>
        <v>0</v>
      </c>
      <c r="O3884" s="169">
        <f>IFERROR(MATCH(J3884,'Final List'!$J$4:$J$252,0),0)</f>
        <v>0</v>
      </c>
      <c r="P3884" s="169">
        <f>IFERROR(MATCH(J3884,'Final List'!$L$4:$L$252,0),0)</f>
        <v>0</v>
      </c>
      <c r="Q3884" s="169">
        <f>IFERROR(MATCH(J3884,'Final List'!$N$4:$N$252,0),0)</f>
        <v>0</v>
      </c>
      <c r="R3884" s="169">
        <f>IFERROR(MATCH(J3884,'Final List'!$P$4:$P$252,0),0)</f>
        <v>0</v>
      </c>
      <c r="S3884" s="169">
        <f t="shared" si="246"/>
        <v>0</v>
      </c>
      <c r="V3884" s="169" t="str">
        <f t="shared" si="247"/>
        <v>NITRO BK</v>
      </c>
      <c r="W3884" s="169" t="s">
        <v>8898</v>
      </c>
    </row>
    <row r="3885" spans="2:23" x14ac:dyDescent="0.25">
      <c r="B3885" s="169" t="s">
        <v>1167</v>
      </c>
      <c r="C3885" s="169" t="s">
        <v>45</v>
      </c>
      <c r="D3885" s="169" t="s">
        <v>149</v>
      </c>
      <c r="E3885" s="169" t="s">
        <v>19</v>
      </c>
      <c r="F3885" s="245" t="str">
        <f t="shared" si="245"/>
        <v>DVR 72</v>
      </c>
      <c r="G3885" s="169" t="s">
        <v>14223</v>
      </c>
      <c r="H3885" s="169" t="s">
        <v>14130</v>
      </c>
      <c r="I3885" s="169" t="str">
        <f t="shared" si="243"/>
        <v>L12_DPVE_021E_RAISE</v>
      </c>
      <c r="J3885" s="169" t="s">
        <v>14661</v>
      </c>
      <c r="K3885" s="169">
        <f>IFERROR(MATCH(J3885,'Final List'!$B$4:$B$252,0),0)</f>
        <v>0</v>
      </c>
      <c r="L3885" s="169">
        <f>IFERROR(MATCH(J3885,'Final List'!$D$4:$D$252,0),0)</f>
        <v>0</v>
      </c>
      <c r="M3885" s="169">
        <f>IFERROR(MATCH(J3885,'Final List'!$F$4:$F$251,0),0)</f>
        <v>0</v>
      </c>
      <c r="N3885" s="169">
        <f>IFERROR(MATCH(J3885,'Final List'!$H$4:$H$252,0),0)</f>
        <v>0</v>
      </c>
      <c r="O3885" s="169">
        <f>IFERROR(MATCH(J3885,'Final List'!$J$4:$J$252,0),0)</f>
        <v>0</v>
      </c>
      <c r="P3885" s="169">
        <f>IFERROR(MATCH(J3885,'Final List'!$L$4:$L$252,0),0)</f>
        <v>0</v>
      </c>
      <c r="Q3885" s="169">
        <f>IFERROR(MATCH(J3885,'Final List'!$N$4:$N$252,0),0)</f>
        <v>0</v>
      </c>
      <c r="R3885" s="169">
        <f>IFERROR(MATCH(J3885,'Final List'!$P$4:$P$252,0),0)</f>
        <v>0</v>
      </c>
      <c r="S3885" s="169">
        <f t="shared" si="246"/>
        <v>0</v>
      </c>
      <c r="V3885" s="169" t="str">
        <f t="shared" si="247"/>
        <v>DURANGO</v>
      </c>
      <c r="W3885" s="169" t="s">
        <v>2715</v>
      </c>
    </row>
    <row r="3886" spans="2:23" x14ac:dyDescent="0.25">
      <c r="B3886" s="169" t="s">
        <v>95</v>
      </c>
      <c r="C3886" s="169" t="s">
        <v>45</v>
      </c>
      <c r="D3886" s="169" t="s">
        <v>132</v>
      </c>
      <c r="E3886" s="169" t="s">
        <v>60</v>
      </c>
      <c r="F3886" s="245" t="str">
        <f t="shared" si="245"/>
        <v>Dhoz 71</v>
      </c>
      <c r="G3886" s="169" t="s">
        <v>6216</v>
      </c>
      <c r="I3886" s="169" t="str">
        <f t="shared" si="243"/>
        <v>L08_DPVE_033E_DE</v>
      </c>
      <c r="J3886" s="169" t="s">
        <v>14665</v>
      </c>
      <c r="K3886" s="169">
        <f>IFERROR(MATCH(J3886,'Final List'!$B$4:$B$252,0),0)</f>
        <v>0</v>
      </c>
      <c r="L3886" s="169">
        <f>IFERROR(MATCH(J3886,'Final List'!$D$4:$D$252,0),0)</f>
        <v>0</v>
      </c>
      <c r="M3886" s="169">
        <f>IFERROR(MATCH(J3886,'Final List'!$F$4:$F$251,0),0)</f>
        <v>0</v>
      </c>
      <c r="N3886" s="169">
        <f>IFERROR(MATCH(J3886,'Final List'!$H$4:$H$252,0),0)</f>
        <v>0</v>
      </c>
      <c r="O3886" s="169">
        <f>IFERROR(MATCH(J3886,'Final List'!$J$4:$J$252,0),0)</f>
        <v>0</v>
      </c>
      <c r="P3886" s="169">
        <f>IFERROR(MATCH(J3886,'Final List'!$L$4:$L$252,0),0)</f>
        <v>0</v>
      </c>
      <c r="Q3886" s="169">
        <f>IFERROR(MATCH(J3886,'Final List'!$N$4:$N$252,0),0)</f>
        <v>0</v>
      </c>
      <c r="R3886" s="169">
        <f>IFERROR(MATCH(J3886,'Final List'!$P$4:$P$252,0),0)</f>
        <v>0</v>
      </c>
      <c r="S3886" s="169">
        <f t="shared" si="246"/>
        <v>0</v>
      </c>
      <c r="V3886" s="169" t="str">
        <f t="shared" si="247"/>
        <v>FERNANDEZ</v>
      </c>
      <c r="W3886" s="169" t="s">
        <v>8895</v>
      </c>
    </row>
    <row r="3887" spans="2:23" x14ac:dyDescent="0.25">
      <c r="B3887" s="169" t="s">
        <v>1166</v>
      </c>
      <c r="C3887" s="169" t="s">
        <v>45</v>
      </c>
      <c r="D3887" s="169" t="s">
        <v>9847</v>
      </c>
      <c r="E3887" s="169" t="s">
        <v>60</v>
      </c>
      <c r="F3887" s="245" t="str">
        <f t="shared" si="245"/>
        <v>Dhoz 71</v>
      </c>
      <c r="G3887" s="169" t="s">
        <v>6954</v>
      </c>
      <c r="I3887" s="169" t="str">
        <f t="shared" si="243"/>
        <v>L11_DPVE_095E_DE</v>
      </c>
      <c r="J3887" s="169" t="s">
        <v>14666</v>
      </c>
      <c r="K3887" s="169">
        <f>IFERROR(MATCH(J3887,'Final List'!$B$4:$B$252,0),0)</f>
        <v>0</v>
      </c>
      <c r="L3887" s="169">
        <f>IFERROR(MATCH(J3887,'Final List'!$D$4:$D$252,0),0)</f>
        <v>0</v>
      </c>
      <c r="M3887" s="169">
        <f>IFERROR(MATCH(J3887,'Final List'!$F$4:$F$251,0),0)</f>
        <v>0</v>
      </c>
      <c r="N3887" s="169">
        <f>IFERROR(MATCH(J3887,'Final List'!$H$4:$H$252,0),0)</f>
        <v>0</v>
      </c>
      <c r="O3887" s="169">
        <f>IFERROR(MATCH(J3887,'Final List'!$J$4:$J$252,0),0)</f>
        <v>0</v>
      </c>
      <c r="P3887" s="169">
        <f>IFERROR(MATCH(J3887,'Final List'!$L$4:$L$252,0),0)</f>
        <v>0</v>
      </c>
      <c r="Q3887" s="169">
        <f>IFERROR(MATCH(J3887,'Final List'!$N$4:$N$252,0),0)</f>
        <v>0</v>
      </c>
      <c r="R3887" s="169">
        <f>IFERROR(MATCH(J3887,'Final List'!$P$4:$P$252,0),0)</f>
        <v>0</v>
      </c>
      <c r="S3887" s="169">
        <f t="shared" si="246"/>
        <v>0</v>
      </c>
      <c r="V3887" s="169" t="str">
        <f t="shared" si="247"/>
        <v>BADBADON</v>
      </c>
      <c r="W3887" s="169" t="s">
        <v>8896</v>
      </c>
    </row>
    <row r="3888" spans="2:23" x14ac:dyDescent="0.25">
      <c r="B3888" s="169" t="s">
        <v>258</v>
      </c>
      <c r="C3888" s="169" t="s">
        <v>45</v>
      </c>
      <c r="D3888" s="169" t="s">
        <v>162</v>
      </c>
      <c r="E3888" s="169" t="s">
        <v>20</v>
      </c>
      <c r="F3888" s="245" t="str">
        <f t="shared" si="245"/>
        <v>DVW 74</v>
      </c>
      <c r="G3888" s="169" t="s">
        <v>5700</v>
      </c>
      <c r="I3888" s="169" t="str">
        <f t="shared" si="243"/>
        <v>L10_DPVE_008E_WINZE</v>
      </c>
      <c r="J3888" s="169" t="s">
        <v>14667</v>
      </c>
      <c r="K3888" s="169">
        <f>IFERROR(MATCH(J3888,'Final List'!$B$4:$B$252,0),0)</f>
        <v>0</v>
      </c>
      <c r="L3888" s="169">
        <f>IFERROR(MATCH(J3888,'Final List'!$D$4:$D$252,0),0)</f>
        <v>0</v>
      </c>
      <c r="M3888" s="169">
        <f>IFERROR(MATCH(J3888,'Final List'!$F$4:$F$251,0),0)</f>
        <v>0</v>
      </c>
      <c r="N3888" s="169">
        <f>IFERROR(MATCH(J3888,'Final List'!$H$4:$H$252,0),0)</f>
        <v>0</v>
      </c>
      <c r="O3888" s="169">
        <f>IFERROR(MATCH(J3888,'Final List'!$J$4:$J$252,0),0)</f>
        <v>0</v>
      </c>
      <c r="P3888" s="169">
        <f>IFERROR(MATCH(J3888,'Final List'!$L$4:$L$252,0),0)</f>
        <v>0</v>
      </c>
      <c r="Q3888" s="169">
        <f>IFERROR(MATCH(J3888,'Final List'!$N$4:$N$252,0),0)</f>
        <v>0</v>
      </c>
      <c r="R3888" s="169">
        <f>IFERROR(MATCH(J3888,'Final List'!$P$4:$P$252,0),0)</f>
        <v>0</v>
      </c>
      <c r="S3888" s="169">
        <f t="shared" si="246"/>
        <v>0</v>
      </c>
      <c r="V3888" s="169" t="str">
        <f t="shared" si="247"/>
        <v>LARGO 1</v>
      </c>
      <c r="W3888" s="169" t="s">
        <v>2706</v>
      </c>
    </row>
    <row r="3889" spans="2:23" x14ac:dyDescent="0.25">
      <c r="B3889" s="169" t="s">
        <v>95</v>
      </c>
      <c r="C3889" s="169" t="s">
        <v>42</v>
      </c>
      <c r="D3889" s="169" t="s">
        <v>147</v>
      </c>
      <c r="E3889" s="169" t="s">
        <v>20</v>
      </c>
      <c r="F3889" s="245" t="str">
        <f t="shared" si="245"/>
        <v>DVW 74</v>
      </c>
      <c r="G3889" s="169" t="s">
        <v>14669</v>
      </c>
      <c r="I3889" s="169" t="str">
        <f t="shared" si="243"/>
        <v>L08_JV_024E_WINZE</v>
      </c>
      <c r="J3889" s="169" t="s">
        <v>14668</v>
      </c>
      <c r="K3889" s="169">
        <f>IFERROR(MATCH(J3889,'Final List'!$B$4:$B$252,0),0)</f>
        <v>0</v>
      </c>
      <c r="L3889" s="169">
        <f>IFERROR(MATCH(J3889,'Final List'!$D$4:$D$252,0),0)</f>
        <v>0</v>
      </c>
      <c r="M3889" s="169">
        <f>IFERROR(MATCH(J3889,'Final List'!$F$4:$F$251,0),0)</f>
        <v>0</v>
      </c>
      <c r="N3889" s="169">
        <f>IFERROR(MATCH(J3889,'Final List'!$H$4:$H$252,0),0)</f>
        <v>0</v>
      </c>
      <c r="O3889" s="169">
        <f>IFERROR(MATCH(J3889,'Final List'!$J$4:$J$252,0),0)</f>
        <v>0</v>
      </c>
      <c r="P3889" s="169">
        <f>IFERROR(MATCH(J3889,'Final List'!$L$4:$L$252,0),0)</f>
        <v>0</v>
      </c>
      <c r="Q3889" s="169">
        <f>IFERROR(MATCH(J3889,'Final List'!$N$4:$N$252,0),0)</f>
        <v>0</v>
      </c>
      <c r="R3889" s="169">
        <f>IFERROR(MATCH(J3889,'Final List'!$P$4:$P$252,0),0)</f>
        <v>0</v>
      </c>
      <c r="S3889" s="169">
        <f t="shared" si="246"/>
        <v>0</v>
      </c>
      <c r="V3889" s="169" t="str">
        <f t="shared" si="247"/>
        <v>NITRO CF </v>
      </c>
      <c r="W3889" s="169" t="s">
        <v>2706</v>
      </c>
    </row>
    <row r="3890" spans="2:23" x14ac:dyDescent="0.25">
      <c r="B3890" s="169" t="s">
        <v>1167</v>
      </c>
      <c r="C3890" s="169" t="s">
        <v>56</v>
      </c>
      <c r="D3890" s="169" t="s">
        <v>5850</v>
      </c>
      <c r="E3890" s="169" t="s">
        <v>61</v>
      </c>
      <c r="F3890" s="245" t="str">
        <f t="shared" si="245"/>
        <v>Dhoz 71</v>
      </c>
      <c r="G3890" s="169" t="s">
        <v>13633</v>
      </c>
      <c r="I3890" s="169" t="str">
        <f t="shared" si="243"/>
        <v>L12_GHVFW_016E_DW</v>
      </c>
      <c r="J3890" s="169" t="s">
        <v>14670</v>
      </c>
      <c r="K3890" s="169">
        <f>IFERROR(MATCH(J3890,'Final List'!$B$4:$B$252,0),0)</f>
        <v>0</v>
      </c>
      <c r="L3890" s="169">
        <f>IFERROR(MATCH(J3890,'Final List'!$D$4:$D$252,0),0)</f>
        <v>0</v>
      </c>
      <c r="M3890" s="169">
        <f>IFERROR(MATCH(J3890,'Final List'!$F$4:$F$251,0),0)</f>
        <v>0</v>
      </c>
      <c r="N3890" s="169">
        <f>IFERROR(MATCH(J3890,'Final List'!$H$4:$H$252,0),0)</f>
        <v>0</v>
      </c>
      <c r="O3890" s="169">
        <f>IFERROR(MATCH(J3890,'Final List'!$J$4:$J$252,0),0)</f>
        <v>0</v>
      </c>
      <c r="P3890" s="169">
        <f>IFERROR(MATCH(J3890,'Final List'!$L$4:$L$252,0),0)</f>
        <v>0</v>
      </c>
      <c r="Q3890" s="169">
        <f>IFERROR(MATCH(J3890,'Final List'!$N$4:$N$252,0),0)</f>
        <v>0</v>
      </c>
      <c r="R3890" s="169">
        <f>IFERROR(MATCH(J3890,'Final List'!$P$4:$P$252,0),0)</f>
        <v>0</v>
      </c>
      <c r="S3890" s="169">
        <f t="shared" si="246"/>
        <v>0</v>
      </c>
      <c r="V3890" s="169" t="str">
        <f t="shared" si="247"/>
        <v>CAYMAN</v>
      </c>
      <c r="W3890" s="169" t="s">
        <v>8896</v>
      </c>
    </row>
    <row r="3891" spans="2:23" x14ac:dyDescent="0.25">
      <c r="B3891" s="169" t="s">
        <v>12320</v>
      </c>
      <c r="C3891" s="169" t="s">
        <v>43</v>
      </c>
      <c r="D3891" s="169" t="s">
        <v>161</v>
      </c>
      <c r="E3891" s="169" t="s">
        <v>19</v>
      </c>
      <c r="F3891" s="245" t="str">
        <f t="shared" si="245"/>
        <v>DVR 72</v>
      </c>
      <c r="G3891" s="169" t="s">
        <v>4155</v>
      </c>
      <c r="H3891" s="169" t="s">
        <v>12745</v>
      </c>
      <c r="I3891" s="169" t="str">
        <f t="shared" si="243"/>
        <v>L425_GHVSPLIT_044E_RAISE</v>
      </c>
      <c r="J3891" s="169" t="s">
        <v>14673</v>
      </c>
      <c r="K3891" s="169">
        <f>IFERROR(MATCH(J3891,'Final List'!$B$4:$B$252,0),0)</f>
        <v>0</v>
      </c>
      <c r="L3891" s="169">
        <f>IFERROR(MATCH(J3891,'Final List'!$D$4:$D$252,0),0)</f>
        <v>0</v>
      </c>
      <c r="M3891" s="169">
        <f>IFERROR(MATCH(J3891,'Final List'!$F$4:$F$251,0),0)</f>
        <v>0</v>
      </c>
      <c r="N3891" s="169">
        <f>IFERROR(MATCH(J3891,'Final List'!$H$4:$H$252,0),0)</f>
        <v>0</v>
      </c>
      <c r="O3891" s="169">
        <f>IFERROR(MATCH(J3891,'Final List'!$J$4:$J$252,0),0)</f>
        <v>0</v>
      </c>
      <c r="P3891" s="169">
        <f>IFERROR(MATCH(J3891,'Final List'!$L$4:$L$252,0),0)</f>
        <v>0</v>
      </c>
      <c r="Q3891" s="169">
        <f>IFERROR(MATCH(J3891,'Final List'!$N$4:$N$252,0),0)</f>
        <v>0</v>
      </c>
      <c r="R3891" s="169">
        <f>IFERROR(MATCH(J3891,'Final List'!$P$4:$P$252,0),0)</f>
        <v>0</v>
      </c>
      <c r="S3891" s="169">
        <f t="shared" si="246"/>
        <v>0</v>
      </c>
      <c r="V3891" s="169" t="str">
        <f t="shared" si="247"/>
        <v>CAPPUYO</v>
      </c>
      <c r="W3891" s="169" t="s">
        <v>2715</v>
      </c>
    </row>
    <row r="3892" spans="2:23" x14ac:dyDescent="0.25">
      <c r="B3892" s="169" t="s">
        <v>12320</v>
      </c>
      <c r="C3892" s="169" t="s">
        <v>55</v>
      </c>
      <c r="D3892" s="169" t="s">
        <v>5741</v>
      </c>
      <c r="E3892" s="169" t="s">
        <v>61</v>
      </c>
      <c r="F3892" s="245" t="str">
        <f t="shared" si="245"/>
        <v>Dhoz 71</v>
      </c>
      <c r="G3892" s="169" t="s">
        <v>14675</v>
      </c>
      <c r="I3892" s="169" t="str">
        <f t="shared" si="243"/>
        <v>L425_JVFW_035E_DW</v>
      </c>
      <c r="J3892" s="169" t="s">
        <v>14674</v>
      </c>
      <c r="K3892" s="169">
        <f>IFERROR(MATCH(J3892,'Final List'!$B$4:$B$252,0),0)</f>
        <v>0</v>
      </c>
      <c r="L3892" s="169">
        <f>IFERROR(MATCH(J3892,'Final List'!$D$4:$D$252,0),0)</f>
        <v>0</v>
      </c>
      <c r="M3892" s="169">
        <f>IFERROR(MATCH(J3892,'Final List'!$F$4:$F$251,0),0)</f>
        <v>0</v>
      </c>
      <c r="N3892" s="169">
        <f>IFERROR(MATCH(J3892,'Final List'!$H$4:$H$252,0),0)</f>
        <v>0</v>
      </c>
      <c r="O3892" s="169">
        <f>IFERROR(MATCH(J3892,'Final List'!$J$4:$J$252,0),0)</f>
        <v>0</v>
      </c>
      <c r="P3892" s="169">
        <f>IFERROR(MATCH(J3892,'Final List'!$L$4:$L$252,0),0)</f>
        <v>0</v>
      </c>
      <c r="Q3892" s="169">
        <f>IFERROR(MATCH(J3892,'Final List'!$N$4:$N$252,0),0)</f>
        <v>0</v>
      </c>
      <c r="R3892" s="169">
        <f>IFERROR(MATCH(J3892,'Final List'!$P$4:$P$252,0),0)</f>
        <v>0</v>
      </c>
      <c r="S3892" s="169">
        <f t="shared" si="246"/>
        <v>0</v>
      </c>
      <c r="V3892" s="169" t="str">
        <f t="shared" si="247"/>
        <v xml:space="preserve">BAÑEZ </v>
      </c>
      <c r="W3892" s="169" t="s">
        <v>8896</v>
      </c>
    </row>
    <row r="3893" spans="2:23" x14ac:dyDescent="0.25">
      <c r="B3893" s="169" t="s">
        <v>12320</v>
      </c>
      <c r="C3893" s="169" t="s">
        <v>57</v>
      </c>
      <c r="D3893" s="169" t="s">
        <v>170</v>
      </c>
      <c r="E3893" s="169" t="s">
        <v>61</v>
      </c>
      <c r="F3893" s="245" t="str">
        <f t="shared" si="245"/>
        <v>Dhoz 71</v>
      </c>
      <c r="G3893" s="169" t="s">
        <v>1510</v>
      </c>
      <c r="H3893" s="169" t="s">
        <v>1376</v>
      </c>
      <c r="I3893" s="169" t="str">
        <f t="shared" si="243"/>
        <v>L425_JVSPLIT_071E_DW</v>
      </c>
      <c r="J3893" s="169" t="s">
        <v>14676</v>
      </c>
      <c r="K3893" s="169">
        <f>IFERROR(MATCH(J3893,'Final List'!$B$4:$B$252,0),0)</f>
        <v>0</v>
      </c>
      <c r="L3893" s="169">
        <f>IFERROR(MATCH(J3893,'Final List'!$D$4:$D$252,0),0)</f>
        <v>0</v>
      </c>
      <c r="M3893" s="169">
        <f>IFERROR(MATCH(J3893,'Final List'!$F$4:$F$251,0),0)</f>
        <v>0</v>
      </c>
      <c r="N3893" s="169">
        <f>IFERROR(MATCH(J3893,'Final List'!$H$4:$H$252,0),0)</f>
        <v>0</v>
      </c>
      <c r="O3893" s="169">
        <f>IFERROR(MATCH(J3893,'Final List'!$J$4:$J$252,0),0)</f>
        <v>0</v>
      </c>
      <c r="P3893" s="169">
        <f>IFERROR(MATCH(J3893,'Final List'!$L$4:$L$252,0),0)</f>
        <v>0</v>
      </c>
      <c r="Q3893" s="169">
        <f>IFERROR(MATCH(J3893,'Final List'!$N$4:$N$252,0),0)</f>
        <v>0</v>
      </c>
      <c r="R3893" s="169">
        <f>IFERROR(MATCH(J3893,'Final List'!$P$4:$P$252,0),0)</f>
        <v>0</v>
      </c>
      <c r="S3893" s="169">
        <f t="shared" si="246"/>
        <v>0</v>
      </c>
      <c r="V3893" s="169" t="str">
        <f t="shared" si="247"/>
        <v>LERIO</v>
      </c>
      <c r="W3893" s="169" t="s">
        <v>8896</v>
      </c>
    </row>
    <row r="3894" spans="2:23" x14ac:dyDescent="0.25">
      <c r="B3894" s="169" t="s">
        <v>12320</v>
      </c>
      <c r="C3894" s="169" t="s">
        <v>45</v>
      </c>
      <c r="D3894" s="169" t="s">
        <v>123</v>
      </c>
      <c r="E3894" s="169" t="s">
        <v>61</v>
      </c>
      <c r="F3894" s="245" t="str">
        <f t="shared" si="245"/>
        <v>Dhoz 71</v>
      </c>
      <c r="G3894" s="169" t="s">
        <v>12745</v>
      </c>
      <c r="I3894" s="169" t="str">
        <f t="shared" si="243"/>
        <v>L425_DPVE_031E_DW</v>
      </c>
      <c r="J3894" s="169" t="s">
        <v>14785</v>
      </c>
      <c r="K3894" s="169">
        <f>IFERROR(MATCH(J3894,'Final List'!$B$4:$B$252,0),0)</f>
        <v>0</v>
      </c>
      <c r="L3894" s="169">
        <f>IFERROR(MATCH(J3894,'Final List'!$D$4:$D$252,0),0)</f>
        <v>0</v>
      </c>
      <c r="M3894" s="169">
        <f>IFERROR(MATCH(J3894,'Final List'!$F$4:$F$251,0),0)</f>
        <v>0</v>
      </c>
      <c r="N3894" s="169">
        <f>IFERROR(MATCH(J3894,'Final List'!$H$4:$H$252,0),0)</f>
        <v>0</v>
      </c>
      <c r="O3894" s="169">
        <f>IFERROR(MATCH(J3894,'Final List'!$J$4:$J$252,0),0)</f>
        <v>0</v>
      </c>
      <c r="P3894" s="169">
        <f>IFERROR(MATCH(J3894,'Final List'!$L$4:$L$252,0),0)</f>
        <v>0</v>
      </c>
      <c r="Q3894" s="169">
        <f>IFERROR(MATCH(J3894,'Final List'!$N$4:$N$252,0),0)</f>
        <v>0</v>
      </c>
      <c r="R3894" s="169">
        <f>IFERROR(MATCH(J3894,'Final List'!$P$4:$P$252,0),0)</f>
        <v>0</v>
      </c>
      <c r="S3894" s="169">
        <f t="shared" si="246"/>
        <v>0</v>
      </c>
      <c r="V3894" s="169" t="str">
        <f t="shared" si="247"/>
        <v>CAPPUYO</v>
      </c>
      <c r="W3894" s="169" t="s">
        <v>8896</v>
      </c>
    </row>
    <row r="3895" spans="2:23" x14ac:dyDescent="0.25">
      <c r="B3895" s="169" t="s">
        <v>1166</v>
      </c>
      <c r="C3895" s="169" t="s">
        <v>45</v>
      </c>
      <c r="D3895" s="169" t="s">
        <v>14682</v>
      </c>
      <c r="E3895" s="169" t="s">
        <v>19</v>
      </c>
      <c r="F3895" s="245" t="str">
        <f t="shared" si="245"/>
        <v>DVR 72</v>
      </c>
      <c r="G3895" s="169" t="s">
        <v>4155</v>
      </c>
      <c r="I3895" s="169" t="str">
        <f t="shared" si="243"/>
        <v>L11_DPVE_112E_RAISE</v>
      </c>
      <c r="J3895" s="169" t="s">
        <v>14681</v>
      </c>
      <c r="K3895" s="169">
        <f>IFERROR(MATCH(J3895,'Final List'!$B$4:$B$252,0),0)</f>
        <v>0</v>
      </c>
      <c r="L3895" s="169">
        <f>IFERROR(MATCH(J3895,'Final List'!$D$4:$D$252,0),0)</f>
        <v>0</v>
      </c>
      <c r="M3895" s="169">
        <f>IFERROR(MATCH(J3895,'Final List'!$F$4:$F$251,0),0)</f>
        <v>0</v>
      </c>
      <c r="N3895" s="169">
        <f>IFERROR(MATCH(J3895,'Final List'!$H$4:$H$252,0),0)</f>
        <v>0</v>
      </c>
      <c r="O3895" s="169">
        <f>IFERROR(MATCH(J3895,'Final List'!$J$4:$J$252,0),0)</f>
        <v>0</v>
      </c>
      <c r="P3895" s="169">
        <f>IFERROR(MATCH(J3895,'Final List'!$L$4:$L$252,0),0)</f>
        <v>0</v>
      </c>
      <c r="Q3895" s="169">
        <f>IFERROR(MATCH(J3895,'Final List'!$N$4:$N$252,0),0)</f>
        <v>0</v>
      </c>
      <c r="R3895" s="169">
        <f>IFERROR(MATCH(J3895,'Final List'!$P$4:$P$252,0),0)</f>
        <v>0</v>
      </c>
      <c r="S3895" s="169">
        <f t="shared" si="246"/>
        <v>0</v>
      </c>
      <c r="V3895" s="169" t="str">
        <f t="shared" si="247"/>
        <v>BAÑEZ</v>
      </c>
      <c r="W3895" s="169" t="s">
        <v>2715</v>
      </c>
    </row>
    <row r="3896" spans="2:23" x14ac:dyDescent="0.25">
      <c r="B3896" s="169" t="s">
        <v>1166</v>
      </c>
      <c r="C3896" s="169" t="s">
        <v>45</v>
      </c>
      <c r="D3896" s="169" t="s">
        <v>14686</v>
      </c>
      <c r="E3896" s="169" t="s">
        <v>19</v>
      </c>
      <c r="F3896" s="245" t="str">
        <f t="shared" si="245"/>
        <v>DVR 72</v>
      </c>
      <c r="G3896" s="169" t="s">
        <v>4155</v>
      </c>
      <c r="I3896" s="169" t="str">
        <f t="shared" si="243"/>
        <v>L11_DPVE_104E_RAISE</v>
      </c>
      <c r="J3896" s="169" t="s">
        <v>14685</v>
      </c>
      <c r="K3896" s="169">
        <f>IFERROR(MATCH(J3896,'Final List'!$B$4:$B$252,0),0)</f>
        <v>0</v>
      </c>
      <c r="L3896" s="169">
        <f>IFERROR(MATCH(J3896,'Final List'!$D$4:$D$252,0),0)</f>
        <v>0</v>
      </c>
      <c r="M3896" s="169">
        <f>IFERROR(MATCH(J3896,'Final List'!$F$4:$F$251,0),0)</f>
        <v>0</v>
      </c>
      <c r="N3896" s="169">
        <f>IFERROR(MATCH(J3896,'Final List'!$H$4:$H$252,0),0)</f>
        <v>0</v>
      </c>
      <c r="O3896" s="169">
        <f>IFERROR(MATCH(J3896,'Final List'!$J$4:$J$252,0),0)</f>
        <v>0</v>
      </c>
      <c r="P3896" s="169">
        <f>IFERROR(MATCH(J3896,'Final List'!$L$4:$L$252,0),0)</f>
        <v>0</v>
      </c>
      <c r="Q3896" s="169">
        <f>IFERROR(MATCH(J3896,'Final List'!$N$4:$N$252,0),0)</f>
        <v>0</v>
      </c>
      <c r="R3896" s="169">
        <f>IFERROR(MATCH(J3896,'Final List'!$P$4:$P$252,0),0)</f>
        <v>0</v>
      </c>
      <c r="S3896" s="169">
        <f t="shared" si="246"/>
        <v>0</v>
      </c>
      <c r="V3896" s="169" t="str">
        <f t="shared" si="247"/>
        <v>BAÑEZ</v>
      </c>
      <c r="W3896" s="169" t="s">
        <v>2715</v>
      </c>
    </row>
    <row r="3897" spans="2:23" x14ac:dyDescent="0.25">
      <c r="B3897" s="169" t="s">
        <v>96</v>
      </c>
      <c r="C3897" s="169" t="s">
        <v>45</v>
      </c>
      <c r="D3897" s="169" t="s">
        <v>135</v>
      </c>
      <c r="E3897" s="169" t="s">
        <v>15097</v>
      </c>
      <c r="F3897" s="245" t="str">
        <f>IF(OR(E3897="XCN",E3897="DE",E3897="DW",E3897="DN",E3897="XCS",E3897="XCE",E3897="XCW",E3897="SUMP",E3897="BYPASS",E3897="CHAMBER",E3897="DRAIN HOLE",E3897="DRILLING CHAMBER",E3897="DE_ISL",E3897="DW_ISL",E3897="REHAB",E3897="DE_ISL",E3897="DE_ISL_B",E3897="DW_ISL_B",E3897="DW_ISL_A",E3897="DE_ISL_A"),"Dhoz 71",IF(OR(E3897="RAISE",E3897="RAISE_ISL"),"DVR 72",IF(E3897="ALIMAK","DVA 73",IF(E3897="WINZE","DVW 74",IF(E3897="SHAFT","DVS 75",IF(AND(E3897="WINZE STOPE",T3897="S"),"RobC 80",IF(AND(E3897="STOPE",T3897="S"),"StpS 77",IF(AND(E3897="WINZE STOPE",T3897="L"),"RobC 80",IF(AND(E3897="STOPE",T3897="L"),"StpL 78",IF(AND(E3897="WINZE STOPE PREP",T3897="S"),"RobC 80",IF(AND(E3897="STOPE PREP",T3897="S"),"StpS 77",IF(AND(E3897="WINZE STOPE PREP",T3897="L"),"RobC 80",IF(AND(E3897="STOPE PREP",T3897="L"),"StpL 78",IF(AND(E3897="ROBBING",T3897="L"),"RobC 80",IF(AND(E3897="ROBBING",T3897="S"),"RobS 79",0)))))))))))))))</f>
        <v>Dhoz 71</v>
      </c>
      <c r="G3897" s="169" t="s">
        <v>348</v>
      </c>
      <c r="I3897" s="169" t="str">
        <f t="shared" si="243"/>
        <v>L09_DPVE_034E_DW_ISL_B</v>
      </c>
      <c r="J3897" s="169" t="s">
        <v>15326</v>
      </c>
      <c r="K3897" s="169">
        <f>IFERROR(MATCH(J3897,'Final List'!$B$4:$B$252,0),0)</f>
        <v>0</v>
      </c>
      <c r="L3897" s="169">
        <f>IFERROR(MATCH(J3897,'Final List'!$D$4:$D$252,0),0)</f>
        <v>0</v>
      </c>
      <c r="M3897" s="169">
        <f>IFERROR(MATCH(J3897,'Final List'!$F$4:$F$251,0),0)</f>
        <v>0</v>
      </c>
      <c r="N3897" s="169">
        <f>IFERROR(MATCH(J3897,'Final List'!$H$4:$H$252,0),0)</f>
        <v>0</v>
      </c>
      <c r="O3897" s="169">
        <f>IFERROR(MATCH(J3897,'Final List'!$J$4:$J$252,0),0)</f>
        <v>0</v>
      </c>
      <c r="P3897" s="169">
        <f>IFERROR(MATCH(J3897,'Final List'!$L$4:$L$252,0),0)</f>
        <v>0</v>
      </c>
      <c r="Q3897" s="169">
        <f>IFERROR(MATCH(J3897,'Final List'!$N$4:$N$252,0),0)</f>
        <v>0</v>
      </c>
      <c r="R3897" s="169">
        <f>IFERROR(MATCH(J3897,'Final List'!$P$4:$P$252,0),0)</f>
        <v>0</v>
      </c>
      <c r="S3897" s="169">
        <f t="shared" si="246"/>
        <v>0</v>
      </c>
      <c r="V3897" s="169" t="str">
        <f t="shared" si="247"/>
        <v>QUIJANO 3</v>
      </c>
      <c r="W3897" s="169" t="s">
        <v>8896</v>
      </c>
    </row>
    <row r="3898" spans="2:23" x14ac:dyDescent="0.25">
      <c r="B3898" s="169" t="s">
        <v>95</v>
      </c>
      <c r="C3898" s="169" t="s">
        <v>45</v>
      </c>
      <c r="D3898" s="169" t="s">
        <v>135</v>
      </c>
      <c r="E3898" s="169" t="s">
        <v>211</v>
      </c>
      <c r="F3898" s="245" t="str">
        <f t="shared" si="245"/>
        <v>StpS 77</v>
      </c>
      <c r="G3898" s="169" t="s">
        <v>6925</v>
      </c>
      <c r="I3898" s="169" t="str">
        <f t="shared" si="243"/>
        <v>L08_DPVE_034E_STOPE PREP</v>
      </c>
      <c r="J3898" s="169" t="s">
        <v>14687</v>
      </c>
      <c r="K3898" s="169">
        <f>IFERROR(MATCH(J3898,'Final List'!$B$4:$B$252,0),0)</f>
        <v>0</v>
      </c>
      <c r="L3898" s="169">
        <f>IFERROR(MATCH(J3898,'Final List'!$D$4:$D$252,0),0)</f>
        <v>0</v>
      </c>
      <c r="M3898" s="169">
        <f>IFERROR(MATCH(J3898,'Final List'!$F$4:$F$251,0),0)</f>
        <v>0</v>
      </c>
      <c r="N3898" s="169">
        <f>IFERROR(MATCH(J3898,'Final List'!$H$4:$H$252,0),0)</f>
        <v>0</v>
      </c>
      <c r="O3898" s="169">
        <f>IFERROR(MATCH(J3898,'Final List'!$J$4:$J$252,0),0)</f>
        <v>0</v>
      </c>
      <c r="P3898" s="169">
        <f>IFERROR(MATCH(J3898,'Final List'!$L$4:$L$252,0),0)</f>
        <v>0</v>
      </c>
      <c r="Q3898" s="169">
        <f>IFERROR(MATCH(J3898,'Final List'!$N$4:$N$252,0),0)</f>
        <v>0</v>
      </c>
      <c r="R3898" s="169">
        <f>IFERROR(MATCH(J3898,'Final List'!$P$4:$P$252,0),0)</f>
        <v>0</v>
      </c>
      <c r="S3898" s="169">
        <f t="shared" si="246"/>
        <v>0</v>
      </c>
      <c r="T3898" s="169" t="s">
        <v>68</v>
      </c>
      <c r="V3898" s="169" t="str">
        <f t="shared" si="247"/>
        <v>CAPUYAN 1</v>
      </c>
      <c r="W3898" s="169" t="s">
        <v>2712</v>
      </c>
    </row>
    <row r="3899" spans="2:23" x14ac:dyDescent="0.25">
      <c r="B3899" s="169" t="s">
        <v>12320</v>
      </c>
      <c r="C3899" s="169" t="s">
        <v>59</v>
      </c>
      <c r="D3899" s="169" t="s">
        <v>5872</v>
      </c>
      <c r="E3899" s="169" t="s">
        <v>19</v>
      </c>
      <c r="F3899" s="245" t="str">
        <f t="shared" si="245"/>
        <v>DVR 72</v>
      </c>
      <c r="G3899" s="169" t="s">
        <v>75</v>
      </c>
      <c r="I3899" s="169" t="str">
        <f t="shared" si="243"/>
        <v>L425_GHVHW_076E_RAISE</v>
      </c>
      <c r="J3899" s="169" t="s">
        <v>14689</v>
      </c>
      <c r="K3899" s="169">
        <f>IFERROR(MATCH(J3899,'Final List'!$B$4:$B$252,0),0)</f>
        <v>0</v>
      </c>
      <c r="L3899" s="169">
        <f>IFERROR(MATCH(J3899,'Final List'!$D$4:$D$252,0),0)</f>
        <v>0</v>
      </c>
      <c r="M3899" s="169">
        <f>IFERROR(MATCH(J3899,'Final List'!$F$4:$F$251,0),0)</f>
        <v>0</v>
      </c>
      <c r="N3899" s="169">
        <f>IFERROR(MATCH(J3899,'Final List'!$H$4:$H$252,0),0)</f>
        <v>0</v>
      </c>
      <c r="O3899" s="169">
        <f>IFERROR(MATCH(J3899,'Final List'!$J$4:$J$252,0),0)</f>
        <v>0</v>
      </c>
      <c r="P3899" s="169">
        <f>IFERROR(MATCH(J3899,'Final List'!$L$4:$L$252,0),0)</f>
        <v>0</v>
      </c>
      <c r="Q3899" s="169">
        <f>IFERROR(MATCH(J3899,'Final List'!$N$4:$N$252,0),0)</f>
        <v>0</v>
      </c>
      <c r="R3899" s="169">
        <f>IFERROR(MATCH(J3899,'Final List'!$P$4:$P$252,0),0)</f>
        <v>0</v>
      </c>
      <c r="S3899" s="169">
        <f t="shared" si="246"/>
        <v>0</v>
      </c>
      <c r="V3899" s="169" t="str">
        <f t="shared" si="247"/>
        <v>BABOR</v>
      </c>
      <c r="W3899" s="169" t="s">
        <v>2715</v>
      </c>
    </row>
    <row r="3900" spans="2:23" x14ac:dyDescent="0.25">
      <c r="B3900" s="169" t="s">
        <v>1166</v>
      </c>
      <c r="C3900" s="169" t="s">
        <v>45</v>
      </c>
      <c r="D3900" s="169" t="s">
        <v>144</v>
      </c>
      <c r="E3900" s="169" t="s">
        <v>6143</v>
      </c>
      <c r="F3900" s="245" t="str">
        <f t="shared" si="245"/>
        <v>Dhoz 71</v>
      </c>
      <c r="G3900" s="169" t="s">
        <v>14655</v>
      </c>
      <c r="I3900" s="169" t="str">
        <f t="shared" si="243"/>
        <v>L11_DPVE_043E_DE_ISL</v>
      </c>
      <c r="J3900" s="169" t="s">
        <v>14690</v>
      </c>
      <c r="K3900" s="169">
        <f>IFERROR(MATCH(J3900,'Final List'!$B$4:$B$252,0),0)</f>
        <v>0</v>
      </c>
      <c r="L3900" s="169">
        <f>IFERROR(MATCH(J3900,'Final List'!$D$4:$D$252,0),0)</f>
        <v>0</v>
      </c>
      <c r="M3900" s="169">
        <f>IFERROR(MATCH(J3900,'Final List'!$F$4:$F$251,0),0)</f>
        <v>0</v>
      </c>
      <c r="N3900" s="169">
        <f>IFERROR(MATCH(J3900,'Final List'!$H$4:$H$252,0),0)</f>
        <v>0</v>
      </c>
      <c r="O3900" s="169">
        <f>IFERROR(MATCH(J3900,'Final List'!$J$4:$J$252,0),0)</f>
        <v>0</v>
      </c>
      <c r="P3900" s="169">
        <f>IFERROR(MATCH(J3900,'Final List'!$L$4:$L$252,0),0)</f>
        <v>0</v>
      </c>
      <c r="Q3900" s="169">
        <f>IFERROR(MATCH(J3900,'Final List'!$N$4:$N$252,0),0)</f>
        <v>0</v>
      </c>
      <c r="R3900" s="169">
        <f>IFERROR(MATCH(J3900,'Final List'!$P$4:$P$252,0),0)</f>
        <v>0</v>
      </c>
      <c r="S3900" s="169">
        <f t="shared" si="246"/>
        <v>0</v>
      </c>
      <c r="V3900" s="169" t="str">
        <f t="shared" si="247"/>
        <v>GOC-ONG</v>
      </c>
      <c r="W3900" s="169" t="s">
        <v>8896</v>
      </c>
    </row>
    <row r="3901" spans="2:23" x14ac:dyDescent="0.25">
      <c r="B3901" s="169" t="s">
        <v>12320</v>
      </c>
      <c r="C3901" s="169" t="s">
        <v>43</v>
      </c>
      <c r="D3901" s="169" t="s">
        <v>168</v>
      </c>
      <c r="E3901" s="169" t="s">
        <v>36</v>
      </c>
      <c r="F3901" s="245" t="str">
        <f t="shared" si="245"/>
        <v>StpS 77</v>
      </c>
      <c r="G3901" s="169" t="s">
        <v>14317</v>
      </c>
      <c r="I3901" s="169" t="str">
        <f t="shared" si="243"/>
        <v>L425_GHVSPLIT_047E_STOPE</v>
      </c>
      <c r="J3901" s="169" t="s">
        <v>14695</v>
      </c>
      <c r="K3901" s="169">
        <f>IFERROR(MATCH(J3901,'Final List'!$B$4:$B$252,0),0)</f>
        <v>0</v>
      </c>
      <c r="L3901" s="169">
        <f>IFERROR(MATCH(J3901,'Final List'!$D$4:$D$252,0),0)</f>
        <v>0</v>
      </c>
      <c r="M3901" s="169">
        <f>IFERROR(MATCH(J3901,'Final List'!$F$4:$F$251,0),0)</f>
        <v>0</v>
      </c>
      <c r="N3901" s="169">
        <f>IFERROR(MATCH(J3901,'Final List'!$H$4:$H$252,0),0)</f>
        <v>0</v>
      </c>
      <c r="O3901" s="169">
        <f>IFERROR(MATCH(J3901,'Final List'!$J$4:$J$252,0),0)</f>
        <v>0</v>
      </c>
      <c r="P3901" s="169">
        <f>IFERROR(MATCH(J3901,'Final List'!$L$4:$L$252,0),0)</f>
        <v>0</v>
      </c>
      <c r="Q3901" s="169">
        <f>IFERROR(MATCH(J3901,'Final List'!$N$4:$N$252,0),0)</f>
        <v>0</v>
      </c>
      <c r="R3901" s="169">
        <f>IFERROR(MATCH(J3901,'Final List'!$P$4:$P$252,0),0)</f>
        <v>0</v>
      </c>
      <c r="S3901" s="169">
        <f t="shared" si="246"/>
        <v>0</v>
      </c>
      <c r="T3901" s="169" t="s">
        <v>68</v>
      </c>
      <c r="V3901" s="169" t="str">
        <f t="shared" si="247"/>
        <v>ESPINOSA</v>
      </c>
      <c r="W3901" s="169" t="s">
        <v>2713</v>
      </c>
    </row>
    <row r="3902" spans="2:23" x14ac:dyDescent="0.25">
      <c r="B3902" s="169" t="s">
        <v>12320</v>
      </c>
      <c r="C3902" s="169" t="s">
        <v>43</v>
      </c>
      <c r="D3902" s="169" t="s">
        <v>5742</v>
      </c>
      <c r="E3902" s="169" t="s">
        <v>36</v>
      </c>
      <c r="F3902" s="245" t="str">
        <f t="shared" si="245"/>
        <v>StpS 77</v>
      </c>
      <c r="G3902" s="169" t="s">
        <v>4155</v>
      </c>
      <c r="I3902" s="169" t="str">
        <f t="shared" si="243"/>
        <v>L425_GHVSPLIT_040E_STOPE</v>
      </c>
      <c r="J3902" s="169" t="s">
        <v>14697</v>
      </c>
      <c r="K3902" s="169">
        <f>IFERROR(MATCH(J3902,'Final List'!$B$4:$B$252,0),0)</f>
        <v>0</v>
      </c>
      <c r="L3902" s="169">
        <f>IFERROR(MATCH(J3902,'Final List'!$D$4:$D$252,0),0)</f>
        <v>0</v>
      </c>
      <c r="M3902" s="169">
        <f>IFERROR(MATCH(J3902,'Final List'!$F$4:$F$251,0),0)</f>
        <v>0</v>
      </c>
      <c r="N3902" s="169">
        <f>IFERROR(MATCH(J3902,'Final List'!$H$4:$H$252,0),0)</f>
        <v>0</v>
      </c>
      <c r="O3902" s="169">
        <f>IFERROR(MATCH(J3902,'Final List'!$J$4:$J$252,0),0)</f>
        <v>0</v>
      </c>
      <c r="P3902" s="169">
        <f>IFERROR(MATCH(J3902,'Final List'!$L$4:$L$252,0),0)</f>
        <v>0</v>
      </c>
      <c r="Q3902" s="169">
        <f>IFERROR(MATCH(J3902,'Final List'!$N$4:$N$252,0),0)</f>
        <v>0</v>
      </c>
      <c r="R3902" s="169">
        <f>IFERROR(MATCH(J3902,'Final List'!$P$4:$P$252,0),0)</f>
        <v>0</v>
      </c>
      <c r="S3902" s="169">
        <f t="shared" si="246"/>
        <v>0</v>
      </c>
      <c r="T3902" s="169" t="s">
        <v>68</v>
      </c>
      <c r="V3902" s="169" t="str">
        <f t="shared" si="247"/>
        <v>BAÑEZ</v>
      </c>
      <c r="W3902" s="169" t="s">
        <v>2713</v>
      </c>
    </row>
    <row r="3903" spans="2:23" x14ac:dyDescent="0.25">
      <c r="B3903" s="169" t="s">
        <v>96</v>
      </c>
      <c r="C3903" s="169" t="s">
        <v>39</v>
      </c>
      <c r="D3903" s="169" t="s">
        <v>7301</v>
      </c>
      <c r="E3903" s="169" t="s">
        <v>61</v>
      </c>
      <c r="F3903" s="245" t="str">
        <f t="shared" si="245"/>
        <v>Dhoz 71</v>
      </c>
      <c r="G3903" s="169" t="s">
        <v>6621</v>
      </c>
      <c r="I3903" s="169" t="str">
        <f t="shared" si="243"/>
        <v>L09_JVHW_010W_DW</v>
      </c>
      <c r="J3903" s="169" t="s">
        <v>14702</v>
      </c>
      <c r="K3903" s="169">
        <f>IFERROR(MATCH(J3903,'Final List'!$B$4:$B$252,0),0)</f>
        <v>0</v>
      </c>
      <c r="L3903" s="169">
        <f>IFERROR(MATCH(J3903,'Final List'!$D$4:$D$252,0),0)</f>
        <v>0</v>
      </c>
      <c r="M3903" s="169">
        <f>IFERROR(MATCH(J3903,'Final List'!$F$4:$F$251,0),0)</f>
        <v>0</v>
      </c>
      <c r="N3903" s="169">
        <f>IFERROR(MATCH(J3903,'Final List'!$H$4:$H$252,0),0)</f>
        <v>0</v>
      </c>
      <c r="O3903" s="169">
        <f>IFERROR(MATCH(J3903,'Final List'!$J$4:$J$252,0),0)</f>
        <v>0</v>
      </c>
      <c r="P3903" s="169">
        <f>IFERROR(MATCH(J3903,'Final List'!$L$4:$L$252,0),0)</f>
        <v>0</v>
      </c>
      <c r="Q3903" s="169">
        <f>IFERROR(MATCH(J3903,'Final List'!$N$4:$N$252,0),0)</f>
        <v>0</v>
      </c>
      <c r="R3903" s="169">
        <f>IFERROR(MATCH(J3903,'Final List'!$P$4:$P$252,0),0)</f>
        <v>0</v>
      </c>
      <c r="S3903" s="169">
        <f t="shared" si="246"/>
        <v>0</v>
      </c>
      <c r="V3903" s="169" t="str">
        <f t="shared" si="247"/>
        <v>DELOS REYES V1</v>
      </c>
      <c r="W3903" s="169" t="s">
        <v>8896</v>
      </c>
    </row>
    <row r="3904" spans="2:23" x14ac:dyDescent="0.25">
      <c r="B3904" s="169" t="s">
        <v>96</v>
      </c>
      <c r="C3904" s="169" t="s">
        <v>87</v>
      </c>
      <c r="D3904" s="169" t="s">
        <v>9847</v>
      </c>
      <c r="E3904" s="169" t="s">
        <v>63</v>
      </c>
      <c r="F3904" s="245" t="str">
        <f t="shared" si="245"/>
        <v>Dhoz 71</v>
      </c>
      <c r="G3904" s="169" t="s">
        <v>1510</v>
      </c>
      <c r="I3904" s="169" t="str">
        <f t="shared" si="243"/>
        <v>L09_NONE_095E_XCS</v>
      </c>
      <c r="J3904" s="169" t="s">
        <v>14703</v>
      </c>
      <c r="K3904" s="169">
        <f>IFERROR(MATCH(J3904,'Final List'!$B$4:$B$252,0),0)</f>
        <v>0</v>
      </c>
      <c r="L3904" s="169">
        <f>IFERROR(MATCH(J3904,'Final List'!$D$4:$D$252,0),0)</f>
        <v>0</v>
      </c>
      <c r="M3904" s="169">
        <f>IFERROR(MATCH(J3904,'Final List'!$F$4:$F$251,0),0)</f>
        <v>0</v>
      </c>
      <c r="N3904" s="169">
        <f>IFERROR(MATCH(J3904,'Final List'!$H$4:$H$252,0),0)</f>
        <v>0</v>
      </c>
      <c r="O3904" s="169">
        <f>IFERROR(MATCH(J3904,'Final List'!$J$4:$J$252,0),0)</f>
        <v>0</v>
      </c>
      <c r="P3904" s="169">
        <f>IFERROR(MATCH(J3904,'Final List'!$L$4:$L$252,0),0)</f>
        <v>0</v>
      </c>
      <c r="Q3904" s="169">
        <f>IFERROR(MATCH(J3904,'Final List'!$N$4:$N$252,0),0)</f>
        <v>0</v>
      </c>
      <c r="R3904" s="169">
        <f>IFERROR(MATCH(J3904,'Final List'!$P$4:$P$252,0),0)</f>
        <v>0</v>
      </c>
      <c r="S3904" s="169">
        <f t="shared" si="246"/>
        <v>0</v>
      </c>
      <c r="V3904" s="169" t="str">
        <f t="shared" si="247"/>
        <v>DELOS REYES</v>
      </c>
      <c r="W3904" s="169" t="s">
        <v>8898</v>
      </c>
    </row>
    <row r="3905" spans="2:23" x14ac:dyDescent="0.25">
      <c r="B3905" s="169" t="s">
        <v>258</v>
      </c>
      <c r="C3905" s="169" t="s">
        <v>38</v>
      </c>
      <c r="D3905" s="169" t="s">
        <v>116</v>
      </c>
      <c r="E3905" s="169" t="s">
        <v>60</v>
      </c>
      <c r="F3905" s="245" t="str">
        <f t="shared" si="245"/>
        <v>Dhoz 71</v>
      </c>
      <c r="G3905" s="169" t="s">
        <v>12888</v>
      </c>
      <c r="I3905" s="169" t="str">
        <f t="shared" si="243"/>
        <v>L10_GHV_021W_DE</v>
      </c>
      <c r="J3905" s="169" t="s">
        <v>14706</v>
      </c>
      <c r="K3905" s="169">
        <f>IFERROR(MATCH(J3905,'Final List'!$B$4:$B$252,0),0)</f>
        <v>0</v>
      </c>
      <c r="L3905" s="169">
        <f>IFERROR(MATCH(J3905,'Final List'!$D$4:$D$252,0),0)</f>
        <v>0</v>
      </c>
      <c r="M3905" s="169">
        <f>IFERROR(MATCH(J3905,'Final List'!$F$4:$F$251,0),0)</f>
        <v>0</v>
      </c>
      <c r="N3905" s="169">
        <f>IFERROR(MATCH(J3905,'Final List'!$H$4:$H$252,0),0)</f>
        <v>0</v>
      </c>
      <c r="O3905" s="169">
        <f>IFERROR(MATCH(J3905,'Final List'!$J$4:$J$252,0),0)</f>
        <v>0</v>
      </c>
      <c r="P3905" s="169">
        <f>IFERROR(MATCH(J3905,'Final List'!$L$4:$L$252,0),0)</f>
        <v>0</v>
      </c>
      <c r="Q3905" s="169">
        <f>IFERROR(MATCH(J3905,'Final List'!$N$4:$N$252,0),0)</f>
        <v>0</v>
      </c>
      <c r="R3905" s="169">
        <f>IFERROR(MATCH(J3905,'Final List'!$P$4:$P$252,0),0)</f>
        <v>0</v>
      </c>
      <c r="S3905" s="169">
        <f t="shared" si="246"/>
        <v>0</v>
      </c>
      <c r="V3905" s="169" t="str">
        <f t="shared" si="247"/>
        <v>NITRO BD</v>
      </c>
      <c r="W3905" s="169" t="s">
        <v>8896</v>
      </c>
    </row>
    <row r="3906" spans="2:23" x14ac:dyDescent="0.25">
      <c r="B3906" s="169" t="s">
        <v>95</v>
      </c>
      <c r="C3906" s="169" t="s">
        <v>45</v>
      </c>
      <c r="D3906" s="169" t="s">
        <v>160</v>
      </c>
      <c r="E3906" s="169" t="s">
        <v>221</v>
      </c>
      <c r="F3906" s="245" t="str">
        <f t="shared" si="245"/>
        <v>RobC 80</v>
      </c>
      <c r="G3906" s="169" t="s">
        <v>14285</v>
      </c>
      <c r="I3906" s="169" t="str">
        <f t="shared" si="243"/>
        <v>L08_DPVE_042E_WINZE STOPE</v>
      </c>
      <c r="J3906" s="169" t="s">
        <v>14709</v>
      </c>
      <c r="K3906" s="169">
        <f>IFERROR(MATCH(J3906,'Final List'!$B$4:$B$252,0),0)</f>
        <v>0</v>
      </c>
      <c r="L3906" s="169">
        <f>IFERROR(MATCH(J3906,'Final List'!$D$4:$D$252,0),0)</f>
        <v>0</v>
      </c>
      <c r="M3906" s="169">
        <f>IFERROR(MATCH(J3906,'Final List'!$F$4:$F$251,0),0)</f>
        <v>0</v>
      </c>
      <c r="N3906" s="169">
        <f>IFERROR(MATCH(J3906,'Final List'!$H$4:$H$252,0),0)</f>
        <v>0</v>
      </c>
      <c r="O3906" s="169">
        <f>IFERROR(MATCH(J3906,'Final List'!$J$4:$J$252,0),0)</f>
        <v>0</v>
      </c>
      <c r="P3906" s="169">
        <f>IFERROR(MATCH(J3906,'Final List'!$L$4:$L$252,0),0)</f>
        <v>0</v>
      </c>
      <c r="Q3906" s="169">
        <f>IFERROR(MATCH(J3906,'Final List'!$N$4:$N$252,0),0)</f>
        <v>0</v>
      </c>
      <c r="R3906" s="169">
        <f>IFERROR(MATCH(J3906,'Final List'!$P$4:$P$252,0),0)</f>
        <v>0</v>
      </c>
      <c r="S3906" s="169">
        <f t="shared" si="246"/>
        <v>0</v>
      </c>
      <c r="T3906" s="169" t="s">
        <v>68</v>
      </c>
      <c r="V3906" s="169" t="str">
        <f t="shared" si="247"/>
        <v>CANTAGO 4</v>
      </c>
      <c r="W3906" s="169" t="s">
        <v>2713</v>
      </c>
    </row>
    <row r="3907" spans="2:23" x14ac:dyDescent="0.25">
      <c r="B3907" s="169" t="s">
        <v>95</v>
      </c>
      <c r="C3907" s="169" t="s">
        <v>45</v>
      </c>
      <c r="D3907" s="169" t="s">
        <v>5741</v>
      </c>
      <c r="E3907" s="169" t="s">
        <v>6143</v>
      </c>
      <c r="F3907" s="245" t="str">
        <f t="shared" ref="F3907:F3969" si="248">IF(OR(E3907="XCN",E3907="DE",E3907="DW",E3907="DN",E3907="XCS",E3907="XCE",E3907="XCW",E3907="SUMP",E3907="BYPASS",E3907="CHAMBER",E3907="DRAIN HOLE",E3907="DRILLING CHAMBER",E3907="DE_ISL",E3907="DW_ISL",E3907="REHAB"),"Dhoz 71",IF(OR(E3907="RAISE",E3907="RAISE_ISL"),"DVR 72",IF(E3907="ALIMAK","DVA 73",IF(E3907="WINZE","DVW 74",IF(E3907="SHAFT","DVS 75",IF(AND(E3907="WINZE STOPE",T3907="S"),"RobC 80",IF(AND(E3907="STOPE",T3907="S"),"StpS 77",IF(AND(E3907="WINZE STOPE",T3907="L"),"RobC 80",IF(AND(E3907="STOPE",T3907="L"),"StpL 78",IF(AND(E3907="WINZE STOPE PREP",T3907="S"),"RobC 80",IF(AND(E3907="STOPE PREP",T3907="S"),"StpS 77",IF(AND(E3907="WINZE STOPE PREP",T3907="L"),"RobC 80",IF(AND(E3907="STOPE PREP",T3907="L"),"StpL 78",IF(AND(E3907="ROBBING",T3907="L"),"RobC 80",IF(AND(E3907="ROBBING",T3907="S"),"RobS 79",0)))))))))))))))</f>
        <v>Dhoz 71</v>
      </c>
      <c r="G3907" s="169" t="s">
        <v>6216</v>
      </c>
      <c r="I3907" s="169" t="str">
        <f t="shared" si="243"/>
        <v>L08_DPVE_035E_DE_ISL</v>
      </c>
      <c r="J3907" s="169" t="s">
        <v>14713</v>
      </c>
      <c r="K3907" s="169">
        <f>IFERROR(MATCH(J3907,'Final List'!$B$4:$B$252,0),0)</f>
        <v>0</v>
      </c>
      <c r="L3907" s="169">
        <f>IFERROR(MATCH(J3907,'Final List'!$D$4:$D$252,0),0)</f>
        <v>0</v>
      </c>
      <c r="M3907" s="169">
        <f>IFERROR(MATCH(J3907,'Final List'!$F$4:$F$251,0),0)</f>
        <v>0</v>
      </c>
      <c r="N3907" s="169">
        <f>IFERROR(MATCH(J3907,'Final List'!$H$4:$H$252,0),0)</f>
        <v>0</v>
      </c>
      <c r="O3907" s="169">
        <f>IFERROR(MATCH(J3907,'Final List'!$J$4:$J$252,0),0)</f>
        <v>0</v>
      </c>
      <c r="P3907" s="169">
        <f>IFERROR(MATCH(J3907,'Final List'!$L$4:$L$252,0),0)</f>
        <v>0</v>
      </c>
      <c r="Q3907" s="169">
        <f>IFERROR(MATCH(J3907,'Final List'!$N$4:$N$252,0),0)</f>
        <v>0</v>
      </c>
      <c r="R3907" s="169">
        <f>IFERROR(MATCH(J3907,'Final List'!$P$4:$P$252,0),0)</f>
        <v>0</v>
      </c>
      <c r="S3907" s="169">
        <f t="shared" ref="S3907:S3970" si="249">SUM(K3907:R3907)</f>
        <v>0</v>
      </c>
      <c r="V3907" s="169" t="str">
        <f t="shared" si="247"/>
        <v>FERNANDEZ</v>
      </c>
      <c r="W3907" s="169" t="s">
        <v>8895</v>
      </c>
    </row>
    <row r="3908" spans="2:23" x14ac:dyDescent="0.25">
      <c r="B3908" s="169" t="s">
        <v>12320</v>
      </c>
      <c r="C3908" s="169" t="s">
        <v>59</v>
      </c>
      <c r="D3908" s="169" t="s">
        <v>218</v>
      </c>
      <c r="E3908" s="169" t="s">
        <v>211</v>
      </c>
      <c r="F3908" s="245" t="str">
        <f t="shared" si="248"/>
        <v>StpS 77</v>
      </c>
      <c r="G3908" s="169" t="s">
        <v>364</v>
      </c>
      <c r="I3908" s="169" t="str">
        <f t="shared" si="243"/>
        <v>L425_GHVHW_062E_STOPE PREP</v>
      </c>
      <c r="J3908" s="169" t="s">
        <v>14716</v>
      </c>
      <c r="K3908" s="169">
        <f>IFERROR(MATCH(J3908,'Final List'!$B$4:$B$252,0),0)</f>
        <v>0</v>
      </c>
      <c r="L3908" s="169">
        <f>IFERROR(MATCH(J3908,'Final List'!$D$4:$D$252,0),0)</f>
        <v>0</v>
      </c>
      <c r="M3908" s="169">
        <f>IFERROR(MATCH(J3908,'Final List'!$F$4:$F$251,0),0)</f>
        <v>0</v>
      </c>
      <c r="N3908" s="169">
        <f>IFERROR(MATCH(J3908,'Final List'!$H$4:$H$252,0),0)</f>
        <v>0</v>
      </c>
      <c r="O3908" s="169">
        <f>IFERROR(MATCH(J3908,'Final List'!$J$4:$J$252,0),0)</f>
        <v>0</v>
      </c>
      <c r="P3908" s="169">
        <f>IFERROR(MATCH(J3908,'Final List'!$L$4:$L$252,0),0)</f>
        <v>0</v>
      </c>
      <c r="Q3908" s="169">
        <f>IFERROR(MATCH(J3908,'Final List'!$N$4:$N$252,0),0)</f>
        <v>0</v>
      </c>
      <c r="R3908" s="169">
        <f>IFERROR(MATCH(J3908,'Final List'!$P$4:$P$252,0),0)</f>
        <v>0</v>
      </c>
      <c r="S3908" s="169">
        <f t="shared" si="249"/>
        <v>0</v>
      </c>
      <c r="T3908" s="169" t="s">
        <v>68</v>
      </c>
      <c r="V3908" s="169" t="str">
        <f t="shared" si="247"/>
        <v>BABOR 3</v>
      </c>
      <c r="W3908" s="169" t="s">
        <v>2712</v>
      </c>
    </row>
    <row r="3909" spans="2:23" x14ac:dyDescent="0.25">
      <c r="B3909" s="169" t="s">
        <v>96</v>
      </c>
      <c r="C3909" s="169" t="s">
        <v>45</v>
      </c>
      <c r="D3909" s="169" t="s">
        <v>5742</v>
      </c>
      <c r="E3909" s="169" t="s">
        <v>6143</v>
      </c>
      <c r="F3909" s="245" t="str">
        <f t="shared" si="248"/>
        <v>Dhoz 71</v>
      </c>
      <c r="G3909" s="169" t="s">
        <v>14450</v>
      </c>
      <c r="I3909" s="169" t="str">
        <f t="shared" si="243"/>
        <v>L09_DPVE_040E_DE_ISL</v>
      </c>
      <c r="J3909" s="169" t="s">
        <v>14720</v>
      </c>
      <c r="K3909" s="169">
        <f>IFERROR(MATCH(J3909,'Final List'!$B$4:$B$252,0),0)</f>
        <v>0</v>
      </c>
      <c r="L3909" s="169">
        <f>IFERROR(MATCH(J3909,'Final List'!$D$4:$D$252,0),0)</f>
        <v>0</v>
      </c>
      <c r="M3909" s="169">
        <f>IFERROR(MATCH(J3909,'Final List'!$F$4:$F$251,0),0)</f>
        <v>0</v>
      </c>
      <c r="N3909" s="169">
        <f>IFERROR(MATCH(J3909,'Final List'!$H$4:$H$252,0),0)</f>
        <v>0</v>
      </c>
      <c r="O3909" s="169">
        <f>IFERROR(MATCH(J3909,'Final List'!$J$4:$J$252,0),0)</f>
        <v>0</v>
      </c>
      <c r="P3909" s="169">
        <f>IFERROR(MATCH(J3909,'Final List'!$L$4:$L$252,0),0)</f>
        <v>0</v>
      </c>
      <c r="Q3909" s="169">
        <f>IFERROR(MATCH(J3909,'Final List'!$N$4:$N$252,0),0)</f>
        <v>0</v>
      </c>
      <c r="R3909" s="169">
        <f>IFERROR(MATCH(J3909,'Final List'!$P$4:$P$252,0),0)</f>
        <v>0</v>
      </c>
      <c r="S3909" s="169">
        <f t="shared" si="249"/>
        <v>0</v>
      </c>
      <c r="V3909" s="169" t="str">
        <f t="shared" si="247"/>
        <v>NITRO CJ</v>
      </c>
      <c r="W3909" s="169" t="s">
        <v>8896</v>
      </c>
    </row>
    <row r="3910" spans="2:23" x14ac:dyDescent="0.25">
      <c r="B3910" s="169" t="s">
        <v>96</v>
      </c>
      <c r="C3910" s="169" t="s">
        <v>45</v>
      </c>
      <c r="D3910" s="169" t="s">
        <v>130</v>
      </c>
      <c r="E3910" s="169" t="s">
        <v>6154</v>
      </c>
      <c r="F3910" s="245" t="str">
        <f t="shared" si="248"/>
        <v>Dhoz 71</v>
      </c>
      <c r="G3910" s="169" t="s">
        <v>14450</v>
      </c>
      <c r="I3910" s="169" t="str">
        <f t="shared" si="243"/>
        <v>L09_DPVE_036E_DW_ISL</v>
      </c>
      <c r="J3910" s="169" t="s">
        <v>14721</v>
      </c>
      <c r="K3910" s="169">
        <f>IFERROR(MATCH(J3910,'Final List'!$B$4:$B$252,0),0)</f>
        <v>0</v>
      </c>
      <c r="L3910" s="169">
        <f>IFERROR(MATCH(J3910,'Final List'!$D$4:$D$252,0),0)</f>
        <v>0</v>
      </c>
      <c r="M3910" s="169">
        <f>IFERROR(MATCH(J3910,'Final List'!$F$4:$F$251,0),0)</f>
        <v>0</v>
      </c>
      <c r="N3910" s="169">
        <f>IFERROR(MATCH(J3910,'Final List'!$H$4:$H$252,0),0)</f>
        <v>0</v>
      </c>
      <c r="O3910" s="169">
        <f>IFERROR(MATCH(J3910,'Final List'!$J$4:$J$252,0),0)</f>
        <v>0</v>
      </c>
      <c r="P3910" s="169">
        <f>IFERROR(MATCH(J3910,'Final List'!$L$4:$L$252,0),0)</f>
        <v>0</v>
      </c>
      <c r="Q3910" s="169">
        <f>IFERROR(MATCH(J3910,'Final List'!$N$4:$N$252,0),0)</f>
        <v>0</v>
      </c>
      <c r="R3910" s="169">
        <f>IFERROR(MATCH(J3910,'Final List'!$P$4:$P$252,0),0)</f>
        <v>0</v>
      </c>
      <c r="S3910" s="169">
        <f t="shared" si="249"/>
        <v>0</v>
      </c>
      <c r="V3910" s="169" t="str">
        <f t="shared" si="247"/>
        <v>NITRO CJ</v>
      </c>
      <c r="W3910" s="169" t="s">
        <v>8896</v>
      </c>
    </row>
    <row r="3911" spans="2:23" x14ac:dyDescent="0.25">
      <c r="B3911" s="169" t="s">
        <v>96</v>
      </c>
      <c r="C3911" s="169" t="s">
        <v>42</v>
      </c>
      <c r="D3911" s="169" t="s">
        <v>133</v>
      </c>
      <c r="E3911" s="169" t="s">
        <v>6143</v>
      </c>
      <c r="F3911" s="245" t="str">
        <f t="shared" si="248"/>
        <v>Dhoz 71</v>
      </c>
      <c r="G3911" s="169" t="s">
        <v>1510</v>
      </c>
      <c r="I3911" s="169" t="str">
        <f t="shared" si="243"/>
        <v>L09_JV_037E_DE_ISL</v>
      </c>
      <c r="J3911" s="169" t="s">
        <v>14723</v>
      </c>
      <c r="K3911" s="169">
        <f>IFERROR(MATCH(J3911,'Final List'!$B$4:$B$252,0),0)</f>
        <v>0</v>
      </c>
      <c r="L3911" s="169">
        <f>IFERROR(MATCH(J3911,'Final List'!$D$4:$D$252,0),0)</f>
        <v>0</v>
      </c>
      <c r="M3911" s="169">
        <f>IFERROR(MATCH(J3911,'Final List'!$F$4:$F$251,0),0)</f>
        <v>0</v>
      </c>
      <c r="N3911" s="169">
        <f>IFERROR(MATCH(J3911,'Final List'!$H$4:$H$252,0),0)</f>
        <v>0</v>
      </c>
      <c r="O3911" s="169">
        <f>IFERROR(MATCH(J3911,'Final List'!$J$4:$J$252,0),0)</f>
        <v>0</v>
      </c>
      <c r="P3911" s="169">
        <f>IFERROR(MATCH(J3911,'Final List'!$L$4:$L$252,0),0)</f>
        <v>0</v>
      </c>
      <c r="Q3911" s="169">
        <f>IFERROR(MATCH(J3911,'Final List'!$N$4:$N$252,0),0)</f>
        <v>0</v>
      </c>
      <c r="R3911" s="169">
        <f>IFERROR(MATCH(J3911,'Final List'!$P$4:$P$252,0),0)</f>
        <v>0</v>
      </c>
      <c r="S3911" s="169">
        <f t="shared" si="249"/>
        <v>0</v>
      </c>
      <c r="V3911" s="169" t="str">
        <f t="shared" si="247"/>
        <v>DELOS REYES</v>
      </c>
      <c r="W3911" s="169" t="s">
        <v>8896</v>
      </c>
    </row>
    <row r="3912" spans="2:23" x14ac:dyDescent="0.25">
      <c r="B3912" s="169" t="s">
        <v>96</v>
      </c>
      <c r="C3912" s="169" t="s">
        <v>42</v>
      </c>
      <c r="D3912" s="169" t="s">
        <v>5741</v>
      </c>
      <c r="E3912" s="169" t="s">
        <v>6154</v>
      </c>
      <c r="F3912" s="245" t="str">
        <f t="shared" si="248"/>
        <v>Dhoz 71</v>
      </c>
      <c r="G3912" s="169" t="s">
        <v>1510</v>
      </c>
      <c r="I3912" s="169" t="str">
        <f t="shared" si="243"/>
        <v>L09_JV_035E_DW_ISL</v>
      </c>
      <c r="J3912" s="169" t="s">
        <v>14724</v>
      </c>
      <c r="K3912" s="169">
        <f>IFERROR(MATCH(J3912,'Final List'!$B$4:$B$252,0),0)</f>
        <v>0</v>
      </c>
      <c r="L3912" s="169">
        <f>IFERROR(MATCH(J3912,'Final List'!$D$4:$D$252,0),0)</f>
        <v>0</v>
      </c>
      <c r="M3912" s="169">
        <f>IFERROR(MATCH(J3912,'Final List'!$F$4:$F$251,0),0)</f>
        <v>0</v>
      </c>
      <c r="N3912" s="169">
        <f>IFERROR(MATCH(J3912,'Final List'!$H$4:$H$252,0),0)</f>
        <v>0</v>
      </c>
      <c r="O3912" s="169">
        <f>IFERROR(MATCH(J3912,'Final List'!$J$4:$J$252,0),0)</f>
        <v>0</v>
      </c>
      <c r="P3912" s="169">
        <f>IFERROR(MATCH(J3912,'Final List'!$L$4:$L$252,0),0)</f>
        <v>0</v>
      </c>
      <c r="Q3912" s="169">
        <f>IFERROR(MATCH(J3912,'Final List'!$N$4:$N$252,0),0)</f>
        <v>0</v>
      </c>
      <c r="R3912" s="169">
        <f>IFERROR(MATCH(J3912,'Final List'!$P$4:$P$252,0),0)</f>
        <v>0</v>
      </c>
      <c r="S3912" s="169">
        <f t="shared" si="249"/>
        <v>0</v>
      </c>
      <c r="V3912" s="169" t="str">
        <f t="shared" si="247"/>
        <v>DELOS REYES</v>
      </c>
      <c r="W3912" s="169" t="s">
        <v>8896</v>
      </c>
    </row>
    <row r="3913" spans="2:23" x14ac:dyDescent="0.25">
      <c r="B3913" s="169" t="s">
        <v>1166</v>
      </c>
      <c r="C3913" s="169" t="s">
        <v>45</v>
      </c>
      <c r="D3913" s="169" t="s">
        <v>9537</v>
      </c>
      <c r="E3913" s="169" t="s">
        <v>19</v>
      </c>
      <c r="F3913" s="245" t="str">
        <f t="shared" si="248"/>
        <v>DVR 72</v>
      </c>
      <c r="G3913" s="169" t="s">
        <v>6954</v>
      </c>
      <c r="I3913" s="169" t="str">
        <f t="shared" si="243"/>
        <v>L11_DPVE_093E_RAISE</v>
      </c>
      <c r="J3913" s="169" t="s">
        <v>14727</v>
      </c>
      <c r="K3913" s="169">
        <f>IFERROR(MATCH(J3913,'Final List'!$B$4:$B$252,0),0)</f>
        <v>0</v>
      </c>
      <c r="L3913" s="169">
        <f>IFERROR(MATCH(J3913,'Final List'!$D$4:$D$252,0),0)</f>
        <v>0</v>
      </c>
      <c r="M3913" s="169">
        <f>IFERROR(MATCH(J3913,'Final List'!$F$4:$F$251,0),0)</f>
        <v>0</v>
      </c>
      <c r="N3913" s="169">
        <f>IFERROR(MATCH(J3913,'Final List'!$H$4:$H$252,0),0)</f>
        <v>0</v>
      </c>
      <c r="O3913" s="169">
        <f>IFERROR(MATCH(J3913,'Final List'!$J$4:$J$252,0),0)</f>
        <v>0</v>
      </c>
      <c r="P3913" s="169">
        <f>IFERROR(MATCH(J3913,'Final List'!$L$4:$L$252,0),0)</f>
        <v>0</v>
      </c>
      <c r="Q3913" s="169">
        <f>IFERROR(MATCH(J3913,'Final List'!$N$4:$N$252,0),0)</f>
        <v>0</v>
      </c>
      <c r="R3913" s="169">
        <f>IFERROR(MATCH(J3913,'Final List'!$P$4:$P$252,0),0)</f>
        <v>0</v>
      </c>
      <c r="S3913" s="169">
        <f t="shared" si="249"/>
        <v>0</v>
      </c>
      <c r="V3913" s="169" t="str">
        <f t="shared" si="247"/>
        <v>BADBADON</v>
      </c>
      <c r="W3913" s="169" t="s">
        <v>2715</v>
      </c>
    </row>
    <row r="3914" spans="2:23" x14ac:dyDescent="0.25">
      <c r="B3914" s="169" t="s">
        <v>12320</v>
      </c>
      <c r="C3914" s="169" t="s">
        <v>43</v>
      </c>
      <c r="D3914" s="169" t="s">
        <v>166</v>
      </c>
      <c r="E3914" s="169" t="s">
        <v>60</v>
      </c>
      <c r="F3914" s="245" t="str">
        <f t="shared" si="248"/>
        <v>Dhoz 71</v>
      </c>
      <c r="G3914" s="169" t="s">
        <v>747</v>
      </c>
      <c r="I3914" s="169" t="str">
        <f t="shared" si="243"/>
        <v>L425_GHVSPLIT_068E_DE</v>
      </c>
      <c r="J3914" s="169" t="s">
        <v>14731</v>
      </c>
      <c r="K3914" s="169">
        <f>IFERROR(MATCH(J3914,'Final List'!$B$4:$B$252,0),0)</f>
        <v>0</v>
      </c>
      <c r="L3914" s="169">
        <f>IFERROR(MATCH(J3914,'Final List'!$D$4:$D$252,0),0)</f>
        <v>0</v>
      </c>
      <c r="M3914" s="169">
        <f>IFERROR(MATCH(J3914,'Final List'!$F$4:$F$251,0),0)</f>
        <v>0</v>
      </c>
      <c r="N3914" s="169">
        <f>IFERROR(MATCH(J3914,'Final List'!$H$4:$H$252,0),0)</f>
        <v>192</v>
      </c>
      <c r="O3914" s="169">
        <f>IFERROR(MATCH(J3914,'Final List'!$J$4:$J$252,0),0)</f>
        <v>0</v>
      </c>
      <c r="P3914" s="169">
        <f>IFERROR(MATCH(J3914,'Final List'!$L$4:$L$252,0),0)</f>
        <v>0</v>
      </c>
      <c r="Q3914" s="169">
        <f>IFERROR(MATCH(J3914,'Final List'!$N$4:$N$252,0),0)</f>
        <v>0</v>
      </c>
      <c r="R3914" s="169">
        <f>IFERROR(MATCH(J3914,'Final List'!$P$4:$P$252,0),0)</f>
        <v>0</v>
      </c>
      <c r="S3914" s="169">
        <f t="shared" si="249"/>
        <v>192</v>
      </c>
      <c r="V3914" s="169" t="str">
        <f t="shared" si="247"/>
        <v>REBOTE</v>
      </c>
      <c r="W3914" s="169" t="s">
        <v>8896</v>
      </c>
    </row>
    <row r="3915" spans="2:23" x14ac:dyDescent="0.25">
      <c r="B3915" s="169" t="s">
        <v>1166</v>
      </c>
      <c r="C3915" s="169" t="s">
        <v>59</v>
      </c>
      <c r="D3915" s="169" t="s">
        <v>7223</v>
      </c>
      <c r="E3915" s="169" t="s">
        <v>61</v>
      </c>
      <c r="F3915" s="245" t="str">
        <f t="shared" si="248"/>
        <v>Dhoz 71</v>
      </c>
      <c r="G3915" s="169" t="s">
        <v>12071</v>
      </c>
      <c r="I3915" s="169" t="str">
        <f t="shared" si="243"/>
        <v>L11_GHVHW_002E_DW</v>
      </c>
      <c r="J3915" s="169" t="s">
        <v>14736</v>
      </c>
      <c r="K3915" s="169">
        <f>IFERROR(MATCH(J3915,'Final List'!$B$4:$B$252,0),0)</f>
        <v>0</v>
      </c>
      <c r="L3915" s="169">
        <f>IFERROR(MATCH(J3915,'Final List'!$D$4:$D$252,0),0)</f>
        <v>0</v>
      </c>
      <c r="M3915" s="169">
        <f>IFERROR(MATCH(J3915,'Final List'!$F$4:$F$251,0),0)</f>
        <v>0</v>
      </c>
      <c r="N3915" s="169">
        <f>IFERROR(MATCH(J3915,'Final List'!$H$4:$H$252,0),0)</f>
        <v>0</v>
      </c>
      <c r="O3915" s="169">
        <f>IFERROR(MATCH(J3915,'Final List'!$J$4:$J$252,0),0)</f>
        <v>0</v>
      </c>
      <c r="P3915" s="169">
        <f>IFERROR(MATCH(J3915,'Final List'!$L$4:$L$252,0),0)</f>
        <v>0</v>
      </c>
      <c r="Q3915" s="169">
        <f>IFERROR(MATCH(J3915,'Final List'!$N$4:$N$252,0),0)</f>
        <v>0</v>
      </c>
      <c r="R3915" s="169">
        <f>IFERROR(MATCH(J3915,'Final List'!$P$4:$P$252,0),0)</f>
        <v>0</v>
      </c>
      <c r="S3915" s="169">
        <f t="shared" si="249"/>
        <v>0</v>
      </c>
      <c r="V3915" s="169" t="str">
        <f t="shared" si="247"/>
        <v>NITRO BB 2</v>
      </c>
      <c r="W3915" s="169" t="s">
        <v>8896</v>
      </c>
    </row>
    <row r="3916" spans="2:23" x14ac:dyDescent="0.25">
      <c r="B3916" s="169" t="s">
        <v>1166</v>
      </c>
      <c r="C3916" s="169" t="s">
        <v>45</v>
      </c>
      <c r="D3916" s="169" t="s">
        <v>195</v>
      </c>
      <c r="E3916" s="169" t="s">
        <v>61</v>
      </c>
      <c r="F3916" s="245" t="str">
        <f t="shared" si="248"/>
        <v>Dhoz 71</v>
      </c>
      <c r="G3916" s="169" t="s">
        <v>14265</v>
      </c>
      <c r="I3916" s="169" t="str">
        <f t="shared" si="243"/>
        <v>L11_DPVE_008W_DW</v>
      </c>
      <c r="J3916" s="169" t="s">
        <v>14744</v>
      </c>
      <c r="K3916" s="169">
        <f>IFERROR(MATCH(J3916,'Final List'!$B$4:$B$252,0),0)</f>
        <v>0</v>
      </c>
      <c r="L3916" s="169">
        <f>IFERROR(MATCH(J3916,'Final List'!$D$4:$D$252,0),0)</f>
        <v>0</v>
      </c>
      <c r="M3916" s="169">
        <f>IFERROR(MATCH(J3916,'Final List'!$F$4:$F$251,0),0)</f>
        <v>0</v>
      </c>
      <c r="N3916" s="169">
        <f>IFERROR(MATCH(J3916,'Final List'!$H$4:$H$252,0),0)</f>
        <v>0</v>
      </c>
      <c r="O3916" s="169">
        <f>IFERROR(MATCH(J3916,'Final List'!$J$4:$J$252,0),0)</f>
        <v>0</v>
      </c>
      <c r="P3916" s="169">
        <f>IFERROR(MATCH(J3916,'Final List'!$L$4:$L$252,0),0)</f>
        <v>0</v>
      </c>
      <c r="Q3916" s="169">
        <f>IFERROR(MATCH(J3916,'Final List'!$N$4:$N$252,0),0)</f>
        <v>0</v>
      </c>
      <c r="R3916" s="169">
        <f>IFERROR(MATCH(J3916,'Final List'!$P$4:$P$252,0),0)</f>
        <v>0</v>
      </c>
      <c r="S3916" s="169">
        <f t="shared" si="249"/>
        <v>0</v>
      </c>
      <c r="V3916" s="169" t="str">
        <f t="shared" si="247"/>
        <v>NITRO BB1</v>
      </c>
      <c r="W3916" s="169" t="s">
        <v>8896</v>
      </c>
    </row>
    <row r="3917" spans="2:23" x14ac:dyDescent="0.25">
      <c r="B3917" s="169" t="s">
        <v>95</v>
      </c>
      <c r="C3917" s="169" t="s">
        <v>42</v>
      </c>
      <c r="D3917" s="169" t="s">
        <v>112</v>
      </c>
      <c r="E3917" s="169" t="s">
        <v>60</v>
      </c>
      <c r="F3917" s="245" t="str">
        <f t="shared" si="248"/>
        <v>Dhoz 71</v>
      </c>
      <c r="G3917" s="169" t="s">
        <v>13989</v>
      </c>
      <c r="I3917" s="169" t="str">
        <f t="shared" si="243"/>
        <v>L08_JV_018E_DE</v>
      </c>
      <c r="J3917" s="169" t="s">
        <v>14746</v>
      </c>
      <c r="K3917" s="169">
        <f>IFERROR(MATCH(J3917,'Final List'!$B$4:$B$252,0),0)</f>
        <v>0</v>
      </c>
      <c r="L3917" s="169">
        <f>IFERROR(MATCH(J3917,'Final List'!$D$4:$D$252,0),0)</f>
        <v>0</v>
      </c>
      <c r="M3917" s="169">
        <f>IFERROR(MATCH(J3917,'Final List'!$F$4:$F$251,0),0)</f>
        <v>0</v>
      </c>
      <c r="N3917" s="169">
        <f>IFERROR(MATCH(J3917,'Final List'!$H$4:$H$252,0),0)</f>
        <v>0</v>
      </c>
      <c r="O3917" s="169">
        <f>IFERROR(MATCH(J3917,'Final List'!$J$4:$J$252,0),0)</f>
        <v>0</v>
      </c>
      <c r="P3917" s="169">
        <f>IFERROR(MATCH(J3917,'Final List'!$L$4:$L$252,0),0)</f>
        <v>0</v>
      </c>
      <c r="Q3917" s="169">
        <f>IFERROR(MATCH(J3917,'Final List'!$N$4:$N$252,0),0)</f>
        <v>0</v>
      </c>
      <c r="R3917" s="169">
        <f>IFERROR(MATCH(J3917,'Final List'!$P$4:$P$252,0),0)</f>
        <v>0</v>
      </c>
      <c r="S3917" s="169">
        <f t="shared" si="249"/>
        <v>0</v>
      </c>
      <c r="V3917" s="169" t="str">
        <f t="shared" si="247"/>
        <v>FERNANDEZ 7</v>
      </c>
      <c r="W3917" s="169" t="s">
        <v>8895</v>
      </c>
    </row>
    <row r="3918" spans="2:23" x14ac:dyDescent="0.25">
      <c r="B3918" s="169" t="s">
        <v>12320</v>
      </c>
      <c r="C3918" s="169" t="s">
        <v>38</v>
      </c>
      <c r="D3918" s="169" t="s">
        <v>7025</v>
      </c>
      <c r="E3918" s="169" t="s">
        <v>19</v>
      </c>
      <c r="F3918" s="245" t="str">
        <f t="shared" si="248"/>
        <v>DVR 72</v>
      </c>
      <c r="G3918" s="169" t="s">
        <v>1369</v>
      </c>
      <c r="I3918" s="169" t="str">
        <f t="shared" si="243"/>
        <v>L425_GHV_082E_RAISE</v>
      </c>
      <c r="J3918" s="169" t="s">
        <v>14764</v>
      </c>
      <c r="K3918" s="169">
        <f>IFERROR(MATCH(J3918,'Final List'!$B$4:$B$252,0),0)</f>
        <v>0</v>
      </c>
      <c r="L3918" s="169">
        <f>IFERROR(MATCH(J3918,'Final List'!$D$4:$D$252,0),0)</f>
        <v>0</v>
      </c>
      <c r="M3918" s="169">
        <f>IFERROR(MATCH(J3918,'Final List'!$F$4:$F$251,0),0)</f>
        <v>0</v>
      </c>
      <c r="N3918" s="169">
        <f>IFERROR(MATCH(J3918,'Final List'!$H$4:$H$252,0),0)</f>
        <v>0</v>
      </c>
      <c r="O3918" s="169">
        <f>IFERROR(MATCH(J3918,'Final List'!$J$4:$J$252,0),0)</f>
        <v>0</v>
      </c>
      <c r="P3918" s="169">
        <f>IFERROR(MATCH(J3918,'Final List'!$L$4:$L$252,0),0)</f>
        <v>0</v>
      </c>
      <c r="Q3918" s="169">
        <f>IFERROR(MATCH(J3918,'Final List'!$N$4:$N$252,0),0)</f>
        <v>0</v>
      </c>
      <c r="R3918" s="169">
        <f>IFERROR(MATCH(J3918,'Final List'!$P$4:$P$252,0),0)</f>
        <v>0</v>
      </c>
      <c r="S3918" s="169">
        <f t="shared" si="249"/>
        <v>0</v>
      </c>
      <c r="V3918" s="169" t="str">
        <f t="shared" si="247"/>
        <v>TORMIS</v>
      </c>
      <c r="W3918" s="169" t="s">
        <v>2715</v>
      </c>
    </row>
    <row r="3919" spans="2:23" x14ac:dyDescent="0.25">
      <c r="B3919" s="169" t="s">
        <v>95</v>
      </c>
      <c r="C3919" s="169" t="s">
        <v>45</v>
      </c>
      <c r="D3919" s="169" t="s">
        <v>98</v>
      </c>
      <c r="E3919" s="169" t="s">
        <v>20</v>
      </c>
      <c r="F3919" s="245" t="str">
        <f t="shared" si="248"/>
        <v>DVW 74</v>
      </c>
      <c r="G3919" s="169" t="s">
        <v>14231</v>
      </c>
      <c r="H3919" s="169" t="s">
        <v>14949</v>
      </c>
      <c r="I3919" s="169" t="str">
        <f t="shared" si="243"/>
        <v>L08_DPVE_014W_WINZE</v>
      </c>
      <c r="J3919" s="169" t="s">
        <v>14748</v>
      </c>
      <c r="K3919" s="169">
        <f>IFERROR(MATCH(J3919,'Final List'!$B$4:$B$252,0),0)</f>
        <v>0</v>
      </c>
      <c r="L3919" s="169">
        <f>IFERROR(MATCH(J3919,'Final List'!$D$4:$D$252,0),0)</f>
        <v>0</v>
      </c>
      <c r="M3919" s="169">
        <f>IFERROR(MATCH(J3919,'Final List'!$F$4:$F$251,0),0)</f>
        <v>0</v>
      </c>
      <c r="N3919" s="169">
        <f>IFERROR(MATCH(J3919,'Final List'!$H$4:$H$252,0),0)</f>
        <v>0</v>
      </c>
      <c r="O3919" s="169">
        <f>IFERROR(MATCH(J3919,'Final List'!$J$4:$J$252,0),0)</f>
        <v>0</v>
      </c>
      <c r="P3919" s="169">
        <f>IFERROR(MATCH(J3919,'Final List'!$L$4:$L$252,0),0)</f>
        <v>86</v>
      </c>
      <c r="Q3919" s="169">
        <f>IFERROR(MATCH(J3919,'Final List'!$N$4:$N$252,0),0)</f>
        <v>0</v>
      </c>
      <c r="R3919" s="169">
        <f>IFERROR(MATCH(J3919,'Final List'!$P$4:$P$252,0),0)</f>
        <v>0</v>
      </c>
      <c r="S3919" s="169">
        <f t="shared" si="249"/>
        <v>86</v>
      </c>
      <c r="V3919" s="169" t="str">
        <f t="shared" si="247"/>
        <v>NITRO CN</v>
      </c>
      <c r="W3919" s="169" t="s">
        <v>2706</v>
      </c>
    </row>
    <row r="3920" spans="2:23" x14ac:dyDescent="0.25">
      <c r="B3920" s="169" t="s">
        <v>1167</v>
      </c>
      <c r="C3920" s="169" t="s">
        <v>43</v>
      </c>
      <c r="D3920" s="169" t="s">
        <v>205</v>
      </c>
      <c r="E3920" s="169" t="s">
        <v>211</v>
      </c>
      <c r="F3920" s="245" t="str">
        <f t="shared" si="248"/>
        <v>StpS 77</v>
      </c>
      <c r="G3920" s="169" t="s">
        <v>14126</v>
      </c>
      <c r="I3920" s="169" t="str">
        <f t="shared" si="243"/>
        <v>L12_GHVSPLIT_066E_STOPE PREP</v>
      </c>
      <c r="J3920" s="169" t="s">
        <v>14749</v>
      </c>
      <c r="K3920" s="169">
        <f>IFERROR(MATCH(J3920,'Final List'!$B$4:$B$252,0),0)</f>
        <v>0</v>
      </c>
      <c r="L3920" s="169">
        <f>IFERROR(MATCH(J3920,'Final List'!$D$4:$D$252,0),0)</f>
        <v>0</v>
      </c>
      <c r="M3920" s="169">
        <f>IFERROR(MATCH(J3920,'Final List'!$F$4:$F$251,0),0)</f>
        <v>0</v>
      </c>
      <c r="N3920" s="169">
        <f>IFERROR(MATCH(J3920,'Final List'!$H$4:$H$252,0),0)</f>
        <v>0</v>
      </c>
      <c r="O3920" s="169">
        <f>IFERROR(MATCH(J3920,'Final List'!$J$4:$J$252,0),0)</f>
        <v>0</v>
      </c>
      <c r="P3920" s="169">
        <f>IFERROR(MATCH(J3920,'Final List'!$L$4:$L$252,0),0)</f>
        <v>0</v>
      </c>
      <c r="Q3920" s="169">
        <f>IFERROR(MATCH(J3920,'Final List'!$N$4:$N$252,0),0)</f>
        <v>0</v>
      </c>
      <c r="R3920" s="169">
        <f>IFERROR(MATCH(J3920,'Final List'!$P$4:$P$252,0),0)</f>
        <v>0</v>
      </c>
      <c r="S3920" s="169">
        <f t="shared" si="249"/>
        <v>0</v>
      </c>
      <c r="T3920" s="169" t="s">
        <v>68</v>
      </c>
      <c r="V3920" s="169" t="str">
        <f t="shared" si="247"/>
        <v>HAGANAS</v>
      </c>
      <c r="W3920" s="169" t="s">
        <v>2712</v>
      </c>
    </row>
    <row r="3921" spans="2:23" x14ac:dyDescent="0.25">
      <c r="B3921" s="169" t="s">
        <v>1167</v>
      </c>
      <c r="C3921" s="169" t="s">
        <v>45</v>
      </c>
      <c r="D3921" s="169" t="s">
        <v>121</v>
      </c>
      <c r="E3921" s="169" t="s">
        <v>6143</v>
      </c>
      <c r="F3921" s="245" t="str">
        <f t="shared" si="248"/>
        <v>Dhoz 71</v>
      </c>
      <c r="G3921" s="169" t="s">
        <v>14132</v>
      </c>
      <c r="I3921" s="169" t="str">
        <f t="shared" si="243"/>
        <v>L12_DPVE_022E_DE_ISL</v>
      </c>
      <c r="J3921" s="169" t="s">
        <v>14751</v>
      </c>
      <c r="K3921" s="169">
        <f>IFERROR(MATCH(J3921,'Final List'!$B$4:$B$252,0),0)</f>
        <v>0</v>
      </c>
      <c r="L3921" s="169">
        <f>IFERROR(MATCH(J3921,'Final List'!$D$4:$D$252,0),0)</f>
        <v>0</v>
      </c>
      <c r="M3921" s="169">
        <f>IFERROR(MATCH(J3921,'Final List'!$F$4:$F$251,0),0)</f>
        <v>0</v>
      </c>
      <c r="N3921" s="169">
        <f>IFERROR(MATCH(J3921,'Final List'!$H$4:$H$252,0),0)</f>
        <v>0</v>
      </c>
      <c r="O3921" s="169">
        <f>IFERROR(MATCH(J3921,'Final List'!$J$4:$J$252,0),0)</f>
        <v>0</v>
      </c>
      <c r="P3921" s="169">
        <f>IFERROR(MATCH(J3921,'Final List'!$L$4:$L$252,0),0)</f>
        <v>0</v>
      </c>
      <c r="Q3921" s="169">
        <f>IFERROR(MATCH(J3921,'Final List'!$N$4:$N$252,0),0)</f>
        <v>0</v>
      </c>
      <c r="R3921" s="169">
        <f>IFERROR(MATCH(J3921,'Final List'!$P$4:$P$252,0),0)</f>
        <v>0</v>
      </c>
      <c r="S3921" s="169">
        <f t="shared" si="249"/>
        <v>0</v>
      </c>
      <c r="V3921" s="169" t="str">
        <f t="shared" si="247"/>
        <v>LANTACA</v>
      </c>
      <c r="W3921" s="169" t="s">
        <v>8896</v>
      </c>
    </row>
    <row r="3922" spans="2:23" x14ac:dyDescent="0.25">
      <c r="B3922" s="169" t="s">
        <v>14095</v>
      </c>
      <c r="C3922" s="169" t="s">
        <v>87</v>
      </c>
      <c r="D3922" s="169" t="s">
        <v>5602</v>
      </c>
      <c r="E3922" s="169" t="s">
        <v>70</v>
      </c>
      <c r="F3922" s="245" t="str">
        <f t="shared" si="248"/>
        <v>Dhoz 71</v>
      </c>
      <c r="G3922" s="169" t="s">
        <v>14701</v>
      </c>
      <c r="I3922" s="169" t="str">
        <f t="shared" si="243"/>
        <v>L460_NONE_053E_SUMP</v>
      </c>
      <c r="J3922" s="169" t="s">
        <v>14757</v>
      </c>
      <c r="K3922" s="169">
        <f>IFERROR(MATCH(J3922,'Final List'!$B$4:$B$252,0),0)</f>
        <v>0</v>
      </c>
      <c r="L3922" s="169">
        <f>IFERROR(MATCH(J3922,'Final List'!$D$4:$D$252,0),0)</f>
        <v>0</v>
      </c>
      <c r="M3922" s="169">
        <f>IFERROR(MATCH(J3922,'Final List'!$F$4:$F$251,0),0)</f>
        <v>0</v>
      </c>
      <c r="N3922" s="169">
        <f>IFERROR(MATCH(J3922,'Final List'!$H$4:$H$252,0),0)</f>
        <v>0</v>
      </c>
      <c r="O3922" s="169">
        <f>IFERROR(MATCH(J3922,'Final List'!$J$4:$J$252,0),0)</f>
        <v>0</v>
      </c>
      <c r="P3922" s="169">
        <f>IFERROR(MATCH(J3922,'Final List'!$L$4:$L$252,0),0)</f>
        <v>0</v>
      </c>
      <c r="Q3922" s="169">
        <f>IFERROR(MATCH(J3922,'Final List'!$N$4:$N$252,0),0)</f>
        <v>0</v>
      </c>
      <c r="R3922" s="169">
        <f>IFERROR(MATCH(J3922,'Final List'!$P$4:$P$252,0),0)</f>
        <v>0</v>
      </c>
      <c r="S3922" s="169">
        <f t="shared" si="249"/>
        <v>0</v>
      </c>
      <c r="V3922" s="169" t="str">
        <f t="shared" ref="V3922:V3985" si="250">IF(H3922="",G3922,H3922)</f>
        <v>DUHIG, P</v>
      </c>
      <c r="W3922" s="169" t="s">
        <v>2714</v>
      </c>
    </row>
    <row r="3923" spans="2:23" x14ac:dyDescent="0.25">
      <c r="B3923" s="169" t="s">
        <v>12320</v>
      </c>
      <c r="C3923" s="169" t="s">
        <v>55</v>
      </c>
      <c r="D3923" s="169" t="s">
        <v>180</v>
      </c>
      <c r="E3923" s="169" t="s">
        <v>36</v>
      </c>
      <c r="F3923" s="245" t="str">
        <f t="shared" si="248"/>
        <v>StpS 77</v>
      </c>
      <c r="G3923" s="169" t="s">
        <v>14317</v>
      </c>
      <c r="I3923" s="169" t="str">
        <f t="shared" si="243"/>
        <v>L425_JVFW_041E_STOPE</v>
      </c>
      <c r="J3923" s="169" t="s">
        <v>14759</v>
      </c>
      <c r="K3923" s="169">
        <f>IFERROR(MATCH(J3923,'Final List'!$B$4:$B$252,0),0)</f>
        <v>0</v>
      </c>
      <c r="L3923" s="169">
        <f>IFERROR(MATCH(J3923,'Final List'!$D$4:$D$252,0),0)</f>
        <v>0</v>
      </c>
      <c r="M3923" s="169">
        <f>IFERROR(MATCH(J3923,'Final List'!$F$4:$F$251,0),0)</f>
        <v>190</v>
      </c>
      <c r="N3923" s="169">
        <f>IFERROR(MATCH(J3923,'Final List'!$H$4:$H$252,0),0)</f>
        <v>0</v>
      </c>
      <c r="O3923" s="169">
        <f>IFERROR(MATCH(J3923,'Final List'!$J$4:$J$252,0),0)</f>
        <v>0</v>
      </c>
      <c r="P3923" s="169">
        <f>IFERROR(MATCH(J3923,'Final List'!$L$4:$L$252,0),0)</f>
        <v>0</v>
      </c>
      <c r="Q3923" s="169">
        <f>IFERROR(MATCH(J3923,'Final List'!$N$4:$N$252,0),0)</f>
        <v>0</v>
      </c>
      <c r="R3923" s="169">
        <f>IFERROR(MATCH(J3923,'Final List'!$P$4:$P$252,0),0)</f>
        <v>0</v>
      </c>
      <c r="S3923" s="169">
        <f t="shared" si="249"/>
        <v>190</v>
      </c>
      <c r="T3923" s="169" t="s">
        <v>68</v>
      </c>
      <c r="V3923" s="169" t="str">
        <f t="shared" si="250"/>
        <v>ESPINOSA</v>
      </c>
      <c r="W3923" s="169" t="s">
        <v>2713</v>
      </c>
    </row>
    <row r="3924" spans="2:23" x14ac:dyDescent="0.25">
      <c r="B3924" s="169" t="s">
        <v>12320</v>
      </c>
      <c r="C3924" s="169" t="s">
        <v>87</v>
      </c>
      <c r="D3924" s="169" t="s">
        <v>1230</v>
      </c>
      <c r="E3924" s="169" t="s">
        <v>37</v>
      </c>
      <c r="F3924" s="245" t="str">
        <f t="shared" si="248"/>
        <v>Dhoz 71</v>
      </c>
      <c r="G3924" s="169" t="s">
        <v>356</v>
      </c>
      <c r="I3924" s="169" t="str">
        <f t="shared" si="243"/>
        <v>L425_NONE_075E_XCN</v>
      </c>
      <c r="J3924" s="169" t="s">
        <v>14760</v>
      </c>
      <c r="K3924" s="169">
        <f>IFERROR(MATCH(J3924,'Final List'!$B$4:$B$252,0),0)</f>
        <v>0</v>
      </c>
      <c r="L3924" s="169">
        <f>IFERROR(MATCH(J3924,'Final List'!$D$4:$D$252,0),0)</f>
        <v>0</v>
      </c>
      <c r="M3924" s="169">
        <f>IFERROR(MATCH(J3924,'Final List'!$F$4:$F$251,0),0)</f>
        <v>0</v>
      </c>
      <c r="N3924" s="169">
        <f>IFERROR(MATCH(J3924,'Final List'!$H$4:$H$252,0),0)</f>
        <v>0</v>
      </c>
      <c r="O3924" s="169">
        <f>IFERROR(MATCH(J3924,'Final List'!$J$4:$J$252,0),0)</f>
        <v>0</v>
      </c>
      <c r="P3924" s="169">
        <f>IFERROR(MATCH(J3924,'Final List'!$L$4:$L$252,0),0)</f>
        <v>0</v>
      </c>
      <c r="Q3924" s="169">
        <f>IFERROR(MATCH(J3924,'Final List'!$N$4:$N$252,0),0)</f>
        <v>190</v>
      </c>
      <c r="R3924" s="169">
        <f>IFERROR(MATCH(J3924,'Final List'!$P$4:$P$252,0),0)</f>
        <v>0</v>
      </c>
      <c r="S3924" s="169">
        <f t="shared" si="249"/>
        <v>190</v>
      </c>
      <c r="V3924" s="169" t="str">
        <f t="shared" si="250"/>
        <v>BAÑEZ 1</v>
      </c>
      <c r="W3924" s="169" t="s">
        <v>8898</v>
      </c>
    </row>
    <row r="3925" spans="2:23" x14ac:dyDescent="0.25">
      <c r="B3925" s="169" t="s">
        <v>1167</v>
      </c>
      <c r="C3925" s="169" t="s">
        <v>55</v>
      </c>
      <c r="D3925" s="169" t="s">
        <v>133</v>
      </c>
      <c r="E3925" s="169" t="s">
        <v>36</v>
      </c>
      <c r="F3925" s="245" t="str">
        <f t="shared" si="248"/>
        <v>StpS 77</v>
      </c>
      <c r="G3925" s="169" t="s">
        <v>14127</v>
      </c>
      <c r="I3925" s="169" t="str">
        <f t="shared" si="243"/>
        <v>L12_JVFW_037E_STOPE</v>
      </c>
      <c r="J3925" s="169" t="s">
        <v>14869</v>
      </c>
      <c r="K3925" s="169">
        <f>IFERROR(MATCH(J3925,'Final List'!$B$4:$B$252,0),0)</f>
        <v>0</v>
      </c>
      <c r="L3925" s="169">
        <f>IFERROR(MATCH(J3925,'Final List'!$D$4:$D$252,0),0)</f>
        <v>0</v>
      </c>
      <c r="M3925" s="169">
        <f>IFERROR(MATCH(J3925,'Final List'!$F$4:$F$251,0),0)</f>
        <v>0</v>
      </c>
      <c r="N3925" s="169">
        <f>IFERROR(MATCH(J3925,'Final List'!$H$4:$H$252,0),0)</f>
        <v>0</v>
      </c>
      <c r="O3925" s="169">
        <f>IFERROR(MATCH(J3925,'Final List'!$J$4:$J$252,0),0)</f>
        <v>0</v>
      </c>
      <c r="P3925" s="169">
        <f>IFERROR(MATCH(J3925,'Final List'!$L$4:$L$252,0),0)</f>
        <v>0</v>
      </c>
      <c r="Q3925" s="169">
        <f>IFERROR(MATCH(J3925,'Final List'!$N$4:$N$252,0),0)</f>
        <v>0</v>
      </c>
      <c r="R3925" s="169">
        <f>IFERROR(MATCH(J3925,'Final List'!$P$4:$P$252,0),0)</f>
        <v>0</v>
      </c>
      <c r="S3925" s="169">
        <f t="shared" si="249"/>
        <v>0</v>
      </c>
      <c r="T3925" s="169" t="s">
        <v>68</v>
      </c>
      <c r="V3925" s="169" t="str">
        <f t="shared" si="250"/>
        <v>BACLAS</v>
      </c>
      <c r="W3925" s="169" t="s">
        <v>2711</v>
      </c>
    </row>
    <row r="3926" spans="2:23" x14ac:dyDescent="0.25">
      <c r="B3926" s="169" t="s">
        <v>1167</v>
      </c>
      <c r="C3926" s="169" t="s">
        <v>43</v>
      </c>
      <c r="D3926" s="169" t="s">
        <v>120</v>
      </c>
      <c r="E3926" s="169" t="s">
        <v>61</v>
      </c>
      <c r="F3926" s="245" t="str">
        <f t="shared" si="248"/>
        <v>Dhoz 71</v>
      </c>
      <c r="G3926" t="s">
        <v>13633</v>
      </c>
      <c r="I3926" s="169" t="str">
        <f t="shared" si="243"/>
        <v>L12_GHVSPLIT_015E_DW</v>
      </c>
      <c r="J3926" s="169" t="s">
        <v>14768</v>
      </c>
      <c r="K3926" s="169">
        <f>IFERROR(MATCH(J3926,'Final List'!$B$4:$B$252,0),0)</f>
        <v>0</v>
      </c>
      <c r="L3926" s="169">
        <f>IFERROR(MATCH(J3926,'Final List'!$D$4:$D$252,0),0)</f>
        <v>0</v>
      </c>
      <c r="M3926" s="169">
        <f>IFERROR(MATCH(J3926,'Final List'!$F$4:$F$251,0),0)</f>
        <v>0</v>
      </c>
      <c r="N3926" s="169">
        <f>IFERROR(MATCH(J3926,'Final List'!$H$4:$H$252,0),0)</f>
        <v>0</v>
      </c>
      <c r="O3926" s="169">
        <f>IFERROR(MATCH(J3926,'Final List'!$J$4:$J$252,0),0)</f>
        <v>0</v>
      </c>
      <c r="P3926" s="169">
        <f>IFERROR(MATCH(J3926,'Final List'!$L$4:$L$252,0),0)</f>
        <v>0</v>
      </c>
      <c r="Q3926" s="169">
        <f>IFERROR(MATCH(J3926,'Final List'!$N$4:$N$252,0),0)</f>
        <v>0</v>
      </c>
      <c r="R3926" s="169">
        <f>IFERROR(MATCH(J3926,'Final List'!$P$4:$P$252,0),0)</f>
        <v>0</v>
      </c>
      <c r="S3926" s="169">
        <f t="shared" si="249"/>
        <v>0</v>
      </c>
      <c r="V3926" s="169" t="str">
        <f t="shared" si="250"/>
        <v>CAYMAN</v>
      </c>
      <c r="W3926" s="169" t="s">
        <v>8896</v>
      </c>
    </row>
    <row r="3927" spans="2:23" x14ac:dyDescent="0.25">
      <c r="B3927" s="169" t="s">
        <v>95</v>
      </c>
      <c r="C3927" s="169" t="s">
        <v>42</v>
      </c>
      <c r="D3927" s="169" t="s">
        <v>122</v>
      </c>
      <c r="E3927" s="169" t="s">
        <v>20</v>
      </c>
      <c r="F3927" s="245" t="str">
        <f t="shared" si="248"/>
        <v>DVW 74</v>
      </c>
      <c r="G3927" s="169" t="s">
        <v>14137</v>
      </c>
      <c r="I3927" s="169" t="str">
        <f t="shared" si="243"/>
        <v>L08_JV_025E_WINZE</v>
      </c>
      <c r="J3927" s="169" t="s">
        <v>14770</v>
      </c>
      <c r="K3927" s="169">
        <f>IFERROR(MATCH(J3927,'Final List'!$B$4:$B$252,0),0)</f>
        <v>0</v>
      </c>
      <c r="L3927" s="169">
        <f>IFERROR(MATCH(J3927,'Final List'!$D$4:$D$252,0),0)</f>
        <v>0</v>
      </c>
      <c r="M3927" s="169">
        <f>IFERROR(MATCH(J3927,'Final List'!$F$4:$F$251,0),0)</f>
        <v>0</v>
      </c>
      <c r="N3927" s="169">
        <f>IFERROR(MATCH(J3927,'Final List'!$H$4:$H$252,0),0)</f>
        <v>0</v>
      </c>
      <c r="O3927" s="169">
        <f>IFERROR(MATCH(J3927,'Final List'!$J$4:$J$252,0),0)</f>
        <v>0</v>
      </c>
      <c r="P3927" s="169">
        <f>IFERROR(MATCH(J3927,'Final List'!$L$4:$L$252,0),0)</f>
        <v>0</v>
      </c>
      <c r="Q3927" s="169">
        <f>IFERROR(MATCH(J3927,'Final List'!$N$4:$N$252,0),0)</f>
        <v>0</v>
      </c>
      <c r="R3927" s="169">
        <f>IFERROR(MATCH(J3927,'Final List'!$P$4:$P$252,0),0)</f>
        <v>0</v>
      </c>
      <c r="S3927" s="169">
        <f t="shared" si="249"/>
        <v>0</v>
      </c>
      <c r="V3927" s="169" t="str">
        <f t="shared" si="250"/>
        <v>CANTAGO 1</v>
      </c>
      <c r="W3927" s="169" t="s">
        <v>2706</v>
      </c>
    </row>
    <row r="3928" spans="2:23" x14ac:dyDescent="0.25">
      <c r="B3928" s="169" t="s">
        <v>258</v>
      </c>
      <c r="C3928" s="169" t="s">
        <v>87</v>
      </c>
      <c r="D3928" s="169" t="s">
        <v>9847</v>
      </c>
      <c r="E3928" s="169" t="s">
        <v>63</v>
      </c>
      <c r="F3928" s="245" t="str">
        <f t="shared" si="248"/>
        <v>Dhoz 71</v>
      </c>
      <c r="G3928" t="s">
        <v>6954</v>
      </c>
      <c r="I3928" s="169" t="str">
        <f t="shared" si="243"/>
        <v>L10_NONE_095E_XCS</v>
      </c>
      <c r="J3928" s="169" t="s">
        <v>14774</v>
      </c>
      <c r="K3928" s="169">
        <f>IFERROR(MATCH(J3928,'Final List'!$B$4:$B$252,0),0)</f>
        <v>0</v>
      </c>
      <c r="L3928" s="169">
        <f>IFERROR(MATCH(J3928,'Final List'!$D$4:$D$252,0),0)</f>
        <v>0</v>
      </c>
      <c r="M3928" s="169">
        <f>IFERROR(MATCH(J3928,'Final List'!$F$4:$F$251,0),0)</f>
        <v>0</v>
      </c>
      <c r="N3928" s="169">
        <f>IFERROR(MATCH(J3928,'Final List'!$H$4:$H$252,0),0)</f>
        <v>0</v>
      </c>
      <c r="O3928" s="169">
        <f>IFERROR(MATCH(J3928,'Final List'!$J$4:$J$252,0),0)</f>
        <v>0</v>
      </c>
      <c r="P3928" s="169">
        <f>IFERROR(MATCH(J3928,'Final List'!$L$4:$L$252,0),0)</f>
        <v>0</v>
      </c>
      <c r="Q3928" s="169">
        <f>IFERROR(MATCH(J3928,'Final List'!$N$4:$N$252,0),0)</f>
        <v>0</v>
      </c>
      <c r="R3928" s="169">
        <f>IFERROR(MATCH(J3928,'Final List'!$P$4:$P$252,0),0)</f>
        <v>0</v>
      </c>
      <c r="S3928" s="169">
        <f t="shared" si="249"/>
        <v>0</v>
      </c>
      <c r="V3928" s="169" t="str">
        <f t="shared" si="250"/>
        <v>BADBADON</v>
      </c>
      <c r="W3928" s="169" t="s">
        <v>8898</v>
      </c>
    </row>
    <row r="3929" spans="2:23" x14ac:dyDescent="0.25">
      <c r="B3929" s="169" t="s">
        <v>1167</v>
      </c>
      <c r="C3929" s="169" t="s">
        <v>43</v>
      </c>
      <c r="D3929" s="169" t="s">
        <v>5781</v>
      </c>
      <c r="E3929" s="169" t="s">
        <v>19</v>
      </c>
      <c r="F3929" s="245" t="str">
        <f t="shared" si="248"/>
        <v>DVR 72</v>
      </c>
      <c r="G3929" s="169" t="s">
        <v>13633</v>
      </c>
      <c r="I3929" s="169" t="str">
        <f t="shared" si="243"/>
        <v>L12_GHVSPLIT_051E_RAISE</v>
      </c>
      <c r="J3929" s="169" t="s">
        <v>14777</v>
      </c>
      <c r="K3929" s="169">
        <f>IFERROR(MATCH(J3929,'Final List'!$B$4:$B$252,0),0)</f>
        <v>0</v>
      </c>
      <c r="L3929" s="169">
        <f>IFERROR(MATCH(J3929,'Final List'!$D$4:$D$252,0),0)</f>
        <v>0</v>
      </c>
      <c r="M3929" s="169">
        <f>IFERROR(MATCH(J3929,'Final List'!$F$4:$F$251,0),0)</f>
        <v>0</v>
      </c>
      <c r="N3929" s="169">
        <f>IFERROR(MATCH(J3929,'Final List'!$H$4:$H$252,0),0)</f>
        <v>0</v>
      </c>
      <c r="O3929" s="169">
        <f>IFERROR(MATCH(J3929,'Final List'!$J$4:$J$252,0),0)</f>
        <v>0</v>
      </c>
      <c r="P3929" s="169">
        <f>IFERROR(MATCH(J3929,'Final List'!$L$4:$L$252,0),0)</f>
        <v>0</v>
      </c>
      <c r="Q3929" s="169">
        <f>IFERROR(MATCH(J3929,'Final List'!$N$4:$N$252,0),0)</f>
        <v>0</v>
      </c>
      <c r="R3929" s="169">
        <f>IFERROR(MATCH(J3929,'Final List'!$P$4:$P$252,0),0)</f>
        <v>0</v>
      </c>
      <c r="S3929" s="169">
        <f t="shared" si="249"/>
        <v>0</v>
      </c>
      <c r="V3929" s="169" t="str">
        <f t="shared" si="250"/>
        <v>CAYMAN</v>
      </c>
      <c r="W3929" s="169" t="s">
        <v>2715</v>
      </c>
    </row>
    <row r="3930" spans="2:23" x14ac:dyDescent="0.25">
      <c r="B3930" s="169" t="s">
        <v>14095</v>
      </c>
      <c r="C3930" s="169" t="s">
        <v>87</v>
      </c>
      <c r="D3930" s="169" t="s">
        <v>5602</v>
      </c>
      <c r="E3930" s="169" t="s">
        <v>63</v>
      </c>
      <c r="F3930" s="245" t="str">
        <f t="shared" si="248"/>
        <v>Dhoz 71</v>
      </c>
      <c r="G3930" s="169" t="s">
        <v>14701</v>
      </c>
      <c r="I3930" s="169" t="str">
        <f t="shared" si="243"/>
        <v>L460_NONE_053E_XCS</v>
      </c>
      <c r="J3930" s="169" t="s">
        <v>14775</v>
      </c>
      <c r="K3930" s="169">
        <f>IFERROR(MATCH(J3930,'Final List'!$B$4:$B$252,0),0)</f>
        <v>0</v>
      </c>
      <c r="L3930" s="169">
        <f>IFERROR(MATCH(J3930,'Final List'!$D$4:$D$252,0),0)</f>
        <v>0</v>
      </c>
      <c r="M3930" s="169">
        <f>IFERROR(MATCH(J3930,'Final List'!$F$4:$F$251,0),0)</f>
        <v>0</v>
      </c>
      <c r="N3930" s="169">
        <f>IFERROR(MATCH(J3930,'Final List'!$H$4:$H$252,0),0)</f>
        <v>0</v>
      </c>
      <c r="O3930" s="169">
        <f>IFERROR(MATCH(J3930,'Final List'!$J$4:$J$252,0),0)</f>
        <v>0</v>
      </c>
      <c r="P3930" s="169">
        <f>IFERROR(MATCH(J3930,'Final List'!$L$4:$L$252,0),0)</f>
        <v>0</v>
      </c>
      <c r="Q3930" s="169">
        <f>IFERROR(MATCH(J3930,'Final List'!$N$4:$N$252,0),0)</f>
        <v>0</v>
      </c>
      <c r="R3930" s="169">
        <f>IFERROR(MATCH(J3930,'Final List'!$P$4:$P$252,0),0)</f>
        <v>0</v>
      </c>
      <c r="S3930" s="169">
        <f t="shared" si="249"/>
        <v>0</v>
      </c>
      <c r="V3930" s="169" t="str">
        <f t="shared" si="250"/>
        <v>DUHIG, P</v>
      </c>
      <c r="W3930" s="169" t="s">
        <v>8898</v>
      </c>
    </row>
    <row r="3931" spans="2:23" x14ac:dyDescent="0.25">
      <c r="B3931" s="169" t="s">
        <v>95</v>
      </c>
      <c r="C3931" s="169" t="s">
        <v>42</v>
      </c>
      <c r="D3931" s="169" t="s">
        <v>5723</v>
      </c>
      <c r="E3931" s="169" t="s">
        <v>6154</v>
      </c>
      <c r="F3931" s="245" t="str">
        <f t="shared" si="248"/>
        <v>Dhoz 71</v>
      </c>
      <c r="G3931" s="169" t="s">
        <v>14138</v>
      </c>
      <c r="I3931" s="169" t="str">
        <f t="shared" si="243"/>
        <v>L08_JV_046E_DW_ISL</v>
      </c>
      <c r="J3931" s="169" t="s">
        <v>14778</v>
      </c>
      <c r="K3931" s="169">
        <f>IFERROR(MATCH(J3931,'Final List'!$B$4:$B$252,0),0)</f>
        <v>0</v>
      </c>
      <c r="L3931" s="169">
        <f>IFERROR(MATCH(J3931,'Final List'!$D$4:$D$252,0),0)</f>
        <v>0</v>
      </c>
      <c r="M3931" s="169">
        <f>IFERROR(MATCH(J3931,'Final List'!$F$4:$F$251,0),0)</f>
        <v>0</v>
      </c>
      <c r="N3931" s="169">
        <f>IFERROR(MATCH(J3931,'Final List'!$H$4:$H$252,0),0)</f>
        <v>0</v>
      </c>
      <c r="O3931" s="169">
        <f>IFERROR(MATCH(J3931,'Final List'!$J$4:$J$252,0),0)</f>
        <v>0</v>
      </c>
      <c r="P3931" s="169">
        <f>IFERROR(MATCH(J3931,'Final List'!$L$4:$L$252,0),0)</f>
        <v>0</v>
      </c>
      <c r="Q3931" s="169">
        <f>IFERROR(MATCH(J3931,'Final List'!$N$4:$N$252,0),0)</f>
        <v>0</v>
      </c>
      <c r="R3931" s="169">
        <f>IFERROR(MATCH(J3931,'Final List'!$P$4:$P$252,0),0)</f>
        <v>0</v>
      </c>
      <c r="S3931" s="169">
        <f t="shared" si="249"/>
        <v>0</v>
      </c>
      <c r="V3931" s="169" t="str">
        <f t="shared" si="250"/>
        <v>CANTAGO 3</v>
      </c>
      <c r="W3931" s="169" t="s">
        <v>8895</v>
      </c>
    </row>
    <row r="3932" spans="2:23" x14ac:dyDescent="0.25">
      <c r="B3932" s="169" t="s">
        <v>95</v>
      </c>
      <c r="C3932" s="169" t="s">
        <v>42</v>
      </c>
      <c r="D3932" s="169" t="s">
        <v>175</v>
      </c>
      <c r="E3932" s="169" t="s">
        <v>6143</v>
      </c>
      <c r="F3932" s="245" t="str">
        <f t="shared" si="248"/>
        <v>Dhoz 71</v>
      </c>
      <c r="G3932" s="169" t="s">
        <v>14138</v>
      </c>
      <c r="I3932" s="169" t="str">
        <f t="shared" si="243"/>
        <v>L08_JV_060E_DE_ISL</v>
      </c>
      <c r="J3932" s="169" t="s">
        <v>14779</v>
      </c>
      <c r="K3932" s="169">
        <f>IFERROR(MATCH(J3932,'Final List'!$B$4:$B$252,0),0)</f>
        <v>0</v>
      </c>
      <c r="L3932" s="169">
        <f>IFERROR(MATCH(J3932,'Final List'!$D$4:$D$252,0),0)</f>
        <v>0</v>
      </c>
      <c r="M3932" s="169">
        <f>IFERROR(MATCH(J3932,'Final List'!$F$4:$F$251,0),0)</f>
        <v>0</v>
      </c>
      <c r="N3932" s="169">
        <f>IFERROR(MATCH(J3932,'Final List'!$H$4:$H$252,0),0)</f>
        <v>0</v>
      </c>
      <c r="O3932" s="169">
        <f>IFERROR(MATCH(J3932,'Final List'!$J$4:$J$252,0),0)</f>
        <v>0</v>
      </c>
      <c r="P3932" s="169">
        <f>IFERROR(MATCH(J3932,'Final List'!$L$4:$L$252,0),0)</f>
        <v>0</v>
      </c>
      <c r="Q3932" s="169">
        <f>IFERROR(MATCH(J3932,'Final List'!$N$4:$N$252,0),0)</f>
        <v>0</v>
      </c>
      <c r="R3932" s="169">
        <f>IFERROR(MATCH(J3932,'Final List'!$P$4:$P$252,0),0)</f>
        <v>0</v>
      </c>
      <c r="S3932" s="169">
        <f t="shared" si="249"/>
        <v>0</v>
      </c>
      <c r="V3932" s="169" t="str">
        <f t="shared" si="250"/>
        <v>CANTAGO 3</v>
      </c>
      <c r="W3932" s="169" t="s">
        <v>8895</v>
      </c>
    </row>
    <row r="3933" spans="2:23" x14ac:dyDescent="0.25">
      <c r="B3933" s="169" t="s">
        <v>1167</v>
      </c>
      <c r="C3933" s="169" t="s">
        <v>43</v>
      </c>
      <c r="D3933" s="169" t="s">
        <v>5723</v>
      </c>
      <c r="E3933" s="169" t="s">
        <v>36</v>
      </c>
      <c r="F3933" s="245" t="str">
        <f t="shared" si="248"/>
        <v>StpS 77</v>
      </c>
      <c r="G3933" s="169" t="s">
        <v>13633</v>
      </c>
      <c r="I3933" s="169" t="str">
        <f t="shared" si="243"/>
        <v>L12_GHVSPLIT_046E_STOPE</v>
      </c>
      <c r="J3933" s="169" t="s">
        <v>14783</v>
      </c>
      <c r="K3933" s="169">
        <f>IFERROR(MATCH(J3933,'Final List'!$B$4:$B$252,0),0)</f>
        <v>0</v>
      </c>
      <c r="L3933" s="169">
        <f>IFERROR(MATCH(J3933,'Final List'!$D$4:$D$252,0),0)</f>
        <v>173</v>
      </c>
      <c r="M3933" s="169">
        <f>IFERROR(MATCH(J3933,'Final List'!$F$4:$F$251,0),0)</f>
        <v>0</v>
      </c>
      <c r="N3933" s="169">
        <f>IFERROR(MATCH(J3933,'Final List'!$H$4:$H$252,0),0)</f>
        <v>0</v>
      </c>
      <c r="O3933" s="169">
        <f>IFERROR(MATCH(J3933,'Final List'!$J$4:$J$252,0),0)</f>
        <v>0</v>
      </c>
      <c r="P3933" s="169">
        <f>IFERROR(MATCH(J3933,'Final List'!$L$4:$L$252,0),0)</f>
        <v>0</v>
      </c>
      <c r="Q3933" s="169">
        <f>IFERROR(MATCH(J3933,'Final List'!$N$4:$N$252,0),0)</f>
        <v>0</v>
      </c>
      <c r="R3933" s="169">
        <f>IFERROR(MATCH(J3933,'Final List'!$P$4:$P$252,0),0)</f>
        <v>0</v>
      </c>
      <c r="S3933" s="169">
        <f t="shared" si="249"/>
        <v>173</v>
      </c>
      <c r="T3933" s="169" t="s">
        <v>68</v>
      </c>
      <c r="V3933" s="169" t="str">
        <f t="shared" si="250"/>
        <v>CAYMAN</v>
      </c>
      <c r="W3933" s="169" t="s">
        <v>2711</v>
      </c>
    </row>
    <row r="3934" spans="2:23" x14ac:dyDescent="0.25">
      <c r="B3934" s="169" t="s">
        <v>12320</v>
      </c>
      <c r="C3934" s="169" t="s">
        <v>43</v>
      </c>
      <c r="D3934" s="169" t="s">
        <v>164</v>
      </c>
      <c r="E3934" s="169" t="s">
        <v>60</v>
      </c>
      <c r="F3934" s="245" t="str">
        <f t="shared" si="248"/>
        <v>Dhoz 71</v>
      </c>
      <c r="G3934" s="169" t="s">
        <v>14789</v>
      </c>
      <c r="H3934" t="s">
        <v>14317</v>
      </c>
      <c r="I3934" s="169" t="str">
        <f t="shared" si="243"/>
        <v>L425_GHVSPLIT_064E_DE</v>
      </c>
      <c r="J3934" s="169" t="s">
        <v>14788</v>
      </c>
      <c r="K3934" s="169">
        <f>IFERROR(MATCH(J3934,'Final List'!$B$4:$B$252,0),0)</f>
        <v>0</v>
      </c>
      <c r="L3934" s="169">
        <f>IFERROR(MATCH(J3934,'Final List'!$D$4:$D$252,0),0)</f>
        <v>0</v>
      </c>
      <c r="M3934" s="169">
        <f>IFERROR(MATCH(J3934,'Final List'!$F$4:$F$251,0),0)</f>
        <v>0</v>
      </c>
      <c r="N3934" s="169">
        <f>IFERROR(MATCH(J3934,'Final List'!$H$4:$H$252,0),0)</f>
        <v>0</v>
      </c>
      <c r="O3934" s="169">
        <f>IFERROR(MATCH(J3934,'Final List'!$J$4:$J$252,0),0)</f>
        <v>0</v>
      </c>
      <c r="P3934" s="169">
        <f>IFERROR(MATCH(J3934,'Final List'!$L$4:$L$252,0),0)</f>
        <v>0</v>
      </c>
      <c r="Q3934" s="169">
        <f>IFERROR(MATCH(J3934,'Final List'!$N$4:$N$252,0),0)</f>
        <v>0</v>
      </c>
      <c r="R3934" s="169">
        <f>IFERROR(MATCH(J3934,'Final List'!$P$4:$P$252,0),0)</f>
        <v>0</v>
      </c>
      <c r="S3934" s="169">
        <f t="shared" si="249"/>
        <v>0</v>
      </c>
      <c r="V3934" s="169" t="str">
        <f t="shared" si="250"/>
        <v>ESPINOSA</v>
      </c>
      <c r="W3934" s="169" t="s">
        <v>8896</v>
      </c>
    </row>
    <row r="3935" spans="2:23" x14ac:dyDescent="0.25">
      <c r="B3935" s="169" t="s">
        <v>12320</v>
      </c>
      <c r="C3935" s="169" t="s">
        <v>57</v>
      </c>
      <c r="D3935" s="169" t="s">
        <v>197</v>
      </c>
      <c r="E3935" s="169" t="s">
        <v>60</v>
      </c>
      <c r="F3935" s="245" t="str">
        <f t="shared" si="248"/>
        <v>Dhoz 71</v>
      </c>
      <c r="G3935" s="169" t="s">
        <v>1376</v>
      </c>
      <c r="I3935" s="169" t="str">
        <f t="shared" si="243"/>
        <v>L425_JVSPLIT_070E_DE</v>
      </c>
      <c r="J3935" s="169" t="s">
        <v>14790</v>
      </c>
      <c r="K3935" s="169">
        <f>IFERROR(MATCH(J3935,'Final List'!$B$4:$B$252,0),0)</f>
        <v>0</v>
      </c>
      <c r="L3935" s="169">
        <f>IFERROR(MATCH(J3935,'Final List'!$D$4:$D$252,0),0)</f>
        <v>0</v>
      </c>
      <c r="M3935" s="169">
        <f>IFERROR(MATCH(J3935,'Final List'!$F$4:$F$251,0),0)</f>
        <v>0</v>
      </c>
      <c r="N3935" s="169">
        <f>IFERROR(MATCH(J3935,'Final List'!$H$4:$H$252,0),0)</f>
        <v>0</v>
      </c>
      <c r="O3935" s="169">
        <f>IFERROR(MATCH(J3935,'Final List'!$J$4:$J$252,0),0)</f>
        <v>0</v>
      </c>
      <c r="P3935" s="169">
        <f>IFERROR(MATCH(J3935,'Final List'!$L$4:$L$252,0),0)</f>
        <v>0</v>
      </c>
      <c r="Q3935" s="169">
        <f>IFERROR(MATCH(J3935,'Final List'!$N$4:$N$252,0),0)</f>
        <v>0</v>
      </c>
      <c r="R3935" s="169">
        <f>IFERROR(MATCH(J3935,'Final List'!$P$4:$P$252,0),0)</f>
        <v>0</v>
      </c>
      <c r="S3935" s="169">
        <f t="shared" si="249"/>
        <v>0</v>
      </c>
      <c r="V3935" s="169" t="str">
        <f t="shared" si="250"/>
        <v>LERIO</v>
      </c>
      <c r="W3935" s="169" t="s">
        <v>8896</v>
      </c>
    </row>
    <row r="3936" spans="2:23" x14ac:dyDescent="0.25">
      <c r="B3936" s="169" t="s">
        <v>12320</v>
      </c>
      <c r="C3936" s="169" t="s">
        <v>57</v>
      </c>
      <c r="D3936" s="169" t="s">
        <v>5889</v>
      </c>
      <c r="E3936" s="169" t="s">
        <v>61</v>
      </c>
      <c r="F3936" s="245" t="str">
        <f t="shared" si="248"/>
        <v>Dhoz 71</v>
      </c>
      <c r="G3936" s="169" t="s">
        <v>1510</v>
      </c>
      <c r="H3936" s="169" t="s">
        <v>7984</v>
      </c>
      <c r="I3936" s="169" t="str">
        <f t="shared" si="243"/>
        <v>L425_JVSPLIT_077E_DW</v>
      </c>
      <c r="J3936" s="169" t="s">
        <v>14849</v>
      </c>
      <c r="K3936" s="169">
        <f>IFERROR(MATCH(J3936,'Final List'!$B$4:$B$252,0),0)</f>
        <v>0</v>
      </c>
      <c r="L3936" s="169">
        <f>IFERROR(MATCH(J3936,'Final List'!$D$4:$D$252,0),0)</f>
        <v>0</v>
      </c>
      <c r="M3936" s="169">
        <f>IFERROR(MATCH(J3936,'Final List'!$F$4:$F$251,0),0)</f>
        <v>0</v>
      </c>
      <c r="N3936" s="169">
        <f>IFERROR(MATCH(J3936,'Final List'!$H$4:$H$252,0),0)</f>
        <v>0</v>
      </c>
      <c r="O3936" s="169">
        <f>IFERROR(MATCH(J3936,'Final List'!$J$4:$J$252,0),0)</f>
        <v>0</v>
      </c>
      <c r="P3936" s="169">
        <f>IFERROR(MATCH(J3936,'Final List'!$L$4:$L$252,0),0)</f>
        <v>0</v>
      </c>
      <c r="Q3936" s="169">
        <f>IFERROR(MATCH(J3936,'Final List'!$N$4:$N$252,0),0)</f>
        <v>0</v>
      </c>
      <c r="R3936" s="169">
        <f>IFERROR(MATCH(J3936,'Final List'!$P$4:$P$252,0),0)</f>
        <v>0</v>
      </c>
      <c r="S3936" s="169">
        <f t="shared" si="249"/>
        <v>0</v>
      </c>
      <c r="V3936" s="169" t="str">
        <f t="shared" si="250"/>
        <v>OLIVEROS</v>
      </c>
      <c r="W3936" s="169" t="s">
        <v>8896</v>
      </c>
    </row>
    <row r="3937" spans="2:23" x14ac:dyDescent="0.25">
      <c r="B3937" s="169" t="s">
        <v>12320</v>
      </c>
      <c r="C3937" s="169" t="s">
        <v>43</v>
      </c>
      <c r="D3937" s="169" t="s">
        <v>165</v>
      </c>
      <c r="E3937" s="169" t="s">
        <v>6143</v>
      </c>
      <c r="F3937" s="245" t="str">
        <f t="shared" si="248"/>
        <v>Dhoz 71</v>
      </c>
      <c r="G3937" s="169" t="s">
        <v>14317</v>
      </c>
      <c r="I3937" s="169" t="str">
        <f t="shared" si="243"/>
        <v>L425_GHVSPLIT_056E_DE_ISL</v>
      </c>
      <c r="J3937" s="169" t="s">
        <v>14794</v>
      </c>
      <c r="K3937" s="169">
        <f>IFERROR(MATCH(J3937,'Final List'!$B$4:$B$252,0),0)</f>
        <v>0</v>
      </c>
      <c r="L3937" s="169">
        <f>IFERROR(MATCH(J3937,'Final List'!$D$4:$D$252,0),0)</f>
        <v>0</v>
      </c>
      <c r="M3937" s="169">
        <f>IFERROR(MATCH(J3937,'Final List'!$F$4:$F$251,0),0)</f>
        <v>0</v>
      </c>
      <c r="N3937" s="169">
        <f>IFERROR(MATCH(J3937,'Final List'!$H$4:$H$252,0),0)</f>
        <v>0</v>
      </c>
      <c r="O3937" s="169">
        <f>IFERROR(MATCH(J3937,'Final List'!$J$4:$J$252,0),0)</f>
        <v>0</v>
      </c>
      <c r="P3937" s="169">
        <f>IFERROR(MATCH(J3937,'Final List'!$L$4:$L$252,0),0)</f>
        <v>0</v>
      </c>
      <c r="Q3937" s="169">
        <f>IFERROR(MATCH(J3937,'Final List'!$N$4:$N$252,0),0)</f>
        <v>0</v>
      </c>
      <c r="R3937" s="169">
        <f>IFERROR(MATCH(J3937,'Final List'!$P$4:$P$252,0),0)</f>
        <v>0</v>
      </c>
      <c r="S3937" s="169">
        <f t="shared" si="249"/>
        <v>0</v>
      </c>
      <c r="V3937" s="169" t="str">
        <f t="shared" si="250"/>
        <v>ESPINOSA</v>
      </c>
      <c r="W3937" s="169" t="s">
        <v>8896</v>
      </c>
    </row>
    <row r="3938" spans="2:23" x14ac:dyDescent="0.25">
      <c r="B3938" s="169" t="s">
        <v>12320</v>
      </c>
      <c r="C3938" s="169" t="s">
        <v>43</v>
      </c>
      <c r="D3938" s="169" t="s">
        <v>165</v>
      </c>
      <c r="E3938" s="169" t="s">
        <v>6154</v>
      </c>
      <c r="F3938" s="245" t="str">
        <f t="shared" si="248"/>
        <v>Dhoz 71</v>
      </c>
      <c r="G3938" s="169" t="s">
        <v>14317</v>
      </c>
      <c r="I3938" s="169" t="str">
        <f t="shared" si="243"/>
        <v>L425_GHVSPLIT_056E_DW_ISL</v>
      </c>
      <c r="J3938" s="169" t="s">
        <v>14795</v>
      </c>
      <c r="K3938" s="169">
        <f>IFERROR(MATCH(J3938,'Final List'!$B$4:$B$252,0),0)</f>
        <v>0</v>
      </c>
      <c r="L3938" s="169">
        <f>IFERROR(MATCH(J3938,'Final List'!$D$4:$D$252,0),0)</f>
        <v>0</v>
      </c>
      <c r="M3938" s="169">
        <f>IFERROR(MATCH(J3938,'Final List'!$F$4:$F$251,0),0)</f>
        <v>0</v>
      </c>
      <c r="N3938" s="169">
        <f>IFERROR(MATCH(J3938,'Final List'!$H$4:$H$252,0),0)</f>
        <v>0</v>
      </c>
      <c r="O3938" s="169">
        <f>IFERROR(MATCH(J3938,'Final List'!$J$4:$J$252,0),0)</f>
        <v>0</v>
      </c>
      <c r="P3938" s="169">
        <f>IFERROR(MATCH(J3938,'Final List'!$L$4:$L$252,0),0)</f>
        <v>0</v>
      </c>
      <c r="Q3938" s="169">
        <f>IFERROR(MATCH(J3938,'Final List'!$N$4:$N$252,0),0)</f>
        <v>0</v>
      </c>
      <c r="R3938" s="169">
        <f>IFERROR(MATCH(J3938,'Final List'!$P$4:$P$252,0),0)</f>
        <v>0</v>
      </c>
      <c r="S3938" s="169">
        <f t="shared" si="249"/>
        <v>0</v>
      </c>
      <c r="V3938" s="169" t="str">
        <f t="shared" si="250"/>
        <v>ESPINOSA</v>
      </c>
      <c r="W3938" s="169" t="s">
        <v>8896</v>
      </c>
    </row>
    <row r="3939" spans="2:23" x14ac:dyDescent="0.25">
      <c r="B3939" s="169" t="s">
        <v>95</v>
      </c>
      <c r="C3939" s="169" t="s">
        <v>87</v>
      </c>
      <c r="D3939" s="169" t="s">
        <v>146</v>
      </c>
      <c r="E3939" s="169" t="s">
        <v>13813</v>
      </c>
      <c r="F3939" s="245" t="str">
        <f>IF(OR(E3939="XCN",E3939="DE",E3939="DW",E3939="DN",E3939="XCS",E3939="XCE",E3939="XCW",E3939="SUMP",E3939="BYPASS",E3939="CHAMBER",E3939="DRAIN HOLE",E3939="DRILLING CHAMBER",E3939="DE_ISL",E3939="DW_ISL",E3939="REHAB",E3939="MAINLINE_CLEANING"),"Dhoz 71",IF(OR(E3939="RAISE",E3939="RAISE_ISL"),"DVR 72",IF(E3939="ALIMAK","DVA 73",IF(E3939="WINZE","DVW 74",IF(E3939="SHAFT","DVS 75",IF(AND(E3939="WINZE STOPE",T3939="S"),"RobC 80",IF(AND(E3939="STOPE",T3939="S"),"StpS 77",IF(AND(E3939="WINZE STOPE",T3939="L"),"RobC 80",IF(AND(E3939="STOPE",T3939="L"),"StpL 78",IF(AND(E3939="WINZE STOPE PREP",T3939="S"),"RobC 80",IF(AND(E3939="STOPE PREP",T3939="S"),"StpS 77",IF(AND(E3939="WINZE STOPE PREP",T3939="L"),"RobC 80",IF(AND(E3939="STOPE PREP",T3939="L"),"StpL 78",IF(AND(E3939="ROBBING",T3939="L"),"RobC 80",IF(AND(E3939="ROBBING",T3939="S"),"RobS 79",0)))))))))))))))</f>
        <v>Dhoz 71</v>
      </c>
      <c r="G3939" s="169" t="s">
        <v>12064</v>
      </c>
      <c r="I3939" s="169" t="str">
        <f t="shared" si="243"/>
        <v>L08_NONE_030E_MAINLINE_CLEANING</v>
      </c>
      <c r="J3939" s="169" t="s">
        <v>14796</v>
      </c>
      <c r="K3939" s="169">
        <f>IFERROR(MATCH(J3939,'Final List'!$B$4:$B$252,0),0)</f>
        <v>0</v>
      </c>
      <c r="L3939" s="169">
        <f>IFERROR(MATCH(J3939,'Final List'!$D$4:$D$252,0),0)</f>
        <v>0</v>
      </c>
      <c r="M3939" s="169">
        <f>IFERROR(MATCH(J3939,'Final List'!$F$4:$F$251,0),0)</f>
        <v>0</v>
      </c>
      <c r="N3939" s="169">
        <f>IFERROR(MATCH(J3939,'Final List'!$H$4:$H$252,0),0)</f>
        <v>0</v>
      </c>
      <c r="O3939" s="169">
        <f>IFERROR(MATCH(J3939,'Final List'!$J$4:$J$252,0),0)</f>
        <v>0</v>
      </c>
      <c r="P3939" s="169">
        <f>IFERROR(MATCH(J3939,'Final List'!$L$4:$L$252,0),0)</f>
        <v>0</v>
      </c>
      <c r="Q3939" s="169">
        <f>IFERROR(MATCH(J3939,'Final List'!$N$4:$N$252,0),0)</f>
        <v>0</v>
      </c>
      <c r="R3939" s="169">
        <f>IFERROR(MATCH(J3939,'Final List'!$P$4:$P$252,0),0)</f>
        <v>0</v>
      </c>
      <c r="S3939" s="169">
        <f t="shared" si="249"/>
        <v>0</v>
      </c>
      <c r="V3939" s="169" t="str">
        <f t="shared" si="250"/>
        <v>NITRO AX</v>
      </c>
      <c r="W3939" s="169" t="s">
        <v>2714</v>
      </c>
    </row>
    <row r="3940" spans="2:23" x14ac:dyDescent="0.25">
      <c r="B3940" s="169" t="s">
        <v>12320</v>
      </c>
      <c r="C3940" s="169" t="s">
        <v>43</v>
      </c>
      <c r="D3940" s="169" t="s">
        <v>205</v>
      </c>
      <c r="E3940" s="169" t="s">
        <v>19</v>
      </c>
      <c r="F3940" s="245" t="str">
        <f t="shared" si="248"/>
        <v>DVR 72</v>
      </c>
      <c r="G3940" s="169" t="s">
        <v>747</v>
      </c>
      <c r="I3940" s="169" t="str">
        <f t="shared" si="243"/>
        <v>L425_GHVSPLIT_066E_RAISE</v>
      </c>
      <c r="J3940" s="169" t="s">
        <v>14803</v>
      </c>
      <c r="K3940" s="169">
        <f>IFERROR(MATCH(J3940,'Final List'!$B$4:$B$252,0),0)</f>
        <v>0</v>
      </c>
      <c r="L3940" s="169">
        <f>IFERROR(MATCH(J3940,'Final List'!$D$4:$D$252,0),0)</f>
        <v>0</v>
      </c>
      <c r="M3940" s="169">
        <f>IFERROR(MATCH(J3940,'Final List'!$F$4:$F$251,0),0)</f>
        <v>0</v>
      </c>
      <c r="N3940" s="169">
        <f>IFERROR(MATCH(J3940,'Final List'!$H$4:$H$252,0),0)</f>
        <v>0</v>
      </c>
      <c r="O3940" s="169">
        <f>IFERROR(MATCH(J3940,'Final List'!$J$4:$J$252,0),0)</f>
        <v>0</v>
      </c>
      <c r="P3940" s="169">
        <f>IFERROR(MATCH(J3940,'Final List'!$L$4:$L$252,0),0)</f>
        <v>0</v>
      </c>
      <c r="Q3940" s="169">
        <f>IFERROR(MATCH(J3940,'Final List'!$N$4:$N$252,0),0)</f>
        <v>0</v>
      </c>
      <c r="R3940" s="169">
        <f>IFERROR(MATCH(J3940,'Final List'!$P$4:$P$252,0),0)</f>
        <v>0</v>
      </c>
      <c r="S3940" s="169">
        <f t="shared" si="249"/>
        <v>0</v>
      </c>
      <c r="V3940" s="169" t="str">
        <f t="shared" si="250"/>
        <v>REBOTE</v>
      </c>
      <c r="W3940" s="169" t="s">
        <v>2715</v>
      </c>
    </row>
    <row r="3941" spans="2:23" x14ac:dyDescent="0.25">
      <c r="B3941" s="169" t="s">
        <v>1166</v>
      </c>
      <c r="C3941" s="169" t="s">
        <v>45</v>
      </c>
      <c r="D3941" s="169" t="s">
        <v>12821</v>
      </c>
      <c r="E3941" s="169" t="s">
        <v>61</v>
      </c>
      <c r="F3941" s="245" t="str">
        <f t="shared" si="248"/>
        <v>Dhoz 71</v>
      </c>
      <c r="G3941" s="169" t="s">
        <v>6954</v>
      </c>
      <c r="I3941" s="169" t="str">
        <f t="shared" si="243"/>
        <v>L11_DPVE_107E_DW</v>
      </c>
      <c r="J3941" s="169" t="s">
        <v>14800</v>
      </c>
      <c r="K3941" s="169">
        <f>IFERROR(MATCH(J3941,'Final List'!$B$4:$B$252,0),0)</f>
        <v>0</v>
      </c>
      <c r="L3941" s="169">
        <f>IFERROR(MATCH(J3941,'Final List'!$D$4:$D$252,0),0)</f>
        <v>0</v>
      </c>
      <c r="M3941" s="169">
        <f>IFERROR(MATCH(J3941,'Final List'!$F$4:$F$251,0),0)</f>
        <v>0</v>
      </c>
      <c r="N3941" s="169">
        <f>IFERROR(MATCH(J3941,'Final List'!$H$4:$H$252,0),0)</f>
        <v>0</v>
      </c>
      <c r="O3941" s="169">
        <f>IFERROR(MATCH(J3941,'Final List'!$J$4:$J$252,0),0)</f>
        <v>0</v>
      </c>
      <c r="P3941" s="169">
        <f>IFERROR(MATCH(J3941,'Final List'!$L$4:$L$252,0),0)</f>
        <v>0</v>
      </c>
      <c r="Q3941" s="169">
        <f>IFERROR(MATCH(J3941,'Final List'!$N$4:$N$252,0),0)</f>
        <v>0</v>
      </c>
      <c r="R3941" s="169">
        <f>IFERROR(MATCH(J3941,'Final List'!$P$4:$P$252,0),0)</f>
        <v>0</v>
      </c>
      <c r="S3941" s="169">
        <f t="shared" si="249"/>
        <v>0</v>
      </c>
      <c r="V3941" s="169" t="str">
        <f t="shared" si="250"/>
        <v>BADBADON</v>
      </c>
      <c r="W3941" s="169" t="s">
        <v>8896</v>
      </c>
    </row>
    <row r="3942" spans="2:23" x14ac:dyDescent="0.25">
      <c r="B3942" s="169" t="s">
        <v>1166</v>
      </c>
      <c r="C3942" s="169" t="s">
        <v>87</v>
      </c>
      <c r="D3942" s="169" t="s">
        <v>6983</v>
      </c>
      <c r="E3942" s="169" t="s">
        <v>37</v>
      </c>
      <c r="F3942" s="245" t="str">
        <f t="shared" si="248"/>
        <v>Dhoz 71</v>
      </c>
      <c r="G3942" s="169" t="s">
        <v>12070</v>
      </c>
      <c r="I3942" s="169" t="str">
        <f t="shared" si="243"/>
        <v>L11_NONE_001E_XCN</v>
      </c>
      <c r="J3942" s="169" t="s">
        <v>14798</v>
      </c>
      <c r="K3942" s="169">
        <f>IFERROR(MATCH(J3942,'Final List'!$B$4:$B$252,0),0)</f>
        <v>0</v>
      </c>
      <c r="L3942" s="169">
        <f>IFERROR(MATCH(J3942,'Final List'!$D$4:$D$252,0),0)</f>
        <v>0</v>
      </c>
      <c r="M3942" s="169">
        <f>IFERROR(MATCH(J3942,'Final List'!$F$4:$F$251,0),0)</f>
        <v>0</v>
      </c>
      <c r="N3942" s="169">
        <f>IFERROR(MATCH(J3942,'Final List'!$H$4:$H$252,0),0)</f>
        <v>0</v>
      </c>
      <c r="O3942" s="169">
        <f>IFERROR(MATCH(J3942,'Final List'!$J$4:$J$252,0),0)</f>
        <v>0</v>
      </c>
      <c r="P3942" s="169">
        <f>IFERROR(MATCH(J3942,'Final List'!$L$4:$L$252,0),0)</f>
        <v>0</v>
      </c>
      <c r="Q3942" s="169">
        <f>IFERROR(MATCH(J3942,'Final List'!$N$4:$N$252,0),0)</f>
        <v>0</v>
      </c>
      <c r="R3942" s="169">
        <f>IFERROR(MATCH(J3942,'Final List'!$P$4:$P$252,0),0)</f>
        <v>0</v>
      </c>
      <c r="S3942" s="169">
        <f t="shared" si="249"/>
        <v>0</v>
      </c>
      <c r="V3942" s="169" t="str">
        <f t="shared" si="250"/>
        <v>NITRO BB</v>
      </c>
      <c r="W3942" s="169" t="s">
        <v>8898</v>
      </c>
    </row>
    <row r="3943" spans="2:23" x14ac:dyDescent="0.25">
      <c r="B3943" s="169" t="s">
        <v>95</v>
      </c>
      <c r="C3943" s="169" t="s">
        <v>38</v>
      </c>
      <c r="D3943" s="169" t="s">
        <v>171</v>
      </c>
      <c r="E3943" s="169" t="s">
        <v>19</v>
      </c>
      <c r="F3943" s="245" t="str">
        <f t="shared" si="248"/>
        <v>DVR 72</v>
      </c>
      <c r="G3943" s="169" t="s">
        <v>14241</v>
      </c>
      <c r="H3943" s="169" t="s">
        <v>15076</v>
      </c>
      <c r="I3943" s="169" t="str">
        <f t="shared" si="243"/>
        <v>L08_GHV_015W_RAISE</v>
      </c>
      <c r="J3943" s="169" t="s">
        <v>14805</v>
      </c>
      <c r="K3943" s="169">
        <f>IFERROR(MATCH(J3943,'Final List'!$B$4:$B$252,0),0)</f>
        <v>0</v>
      </c>
      <c r="L3943" s="169">
        <f>IFERROR(MATCH(J3943,'Final List'!$D$4:$D$252,0),0)</f>
        <v>0</v>
      </c>
      <c r="M3943" s="169">
        <f>IFERROR(MATCH(J3943,'Final List'!$F$4:$F$251,0),0)</f>
        <v>0</v>
      </c>
      <c r="N3943" s="169">
        <f>IFERROR(MATCH(J3943,'Final List'!$H$4:$H$252,0),0)</f>
        <v>0</v>
      </c>
      <c r="O3943" s="169">
        <f>IFERROR(MATCH(J3943,'Final List'!$J$4:$J$252,0),0)</f>
        <v>0</v>
      </c>
      <c r="P3943" s="169">
        <f>IFERROR(MATCH(J3943,'Final List'!$L$4:$L$252,0),0)</f>
        <v>0</v>
      </c>
      <c r="Q3943" s="169">
        <f>IFERROR(MATCH(J3943,'Final List'!$N$4:$N$252,0),0)</f>
        <v>0</v>
      </c>
      <c r="R3943" s="169">
        <f>IFERROR(MATCH(J3943,'Final List'!$P$4:$P$252,0),0)</f>
        <v>0</v>
      </c>
      <c r="S3943" s="169">
        <f t="shared" si="249"/>
        <v>0</v>
      </c>
      <c r="V3943" s="169" t="str">
        <f t="shared" si="250"/>
        <v>NITRO CQ</v>
      </c>
      <c r="W3943" s="169" t="s">
        <v>2715</v>
      </c>
    </row>
    <row r="3944" spans="2:23" x14ac:dyDescent="0.25">
      <c r="B3944" s="169" t="s">
        <v>95</v>
      </c>
      <c r="C3944" s="169" t="s">
        <v>87</v>
      </c>
      <c r="D3944" s="169" t="s">
        <v>112</v>
      </c>
      <c r="E3944" s="169" t="s">
        <v>37</v>
      </c>
      <c r="F3944" s="245" t="str">
        <f t="shared" si="248"/>
        <v>Dhoz 71</v>
      </c>
      <c r="G3944" s="169" t="s">
        <v>13989</v>
      </c>
      <c r="I3944" s="169" t="str">
        <f>CONCATENATE(B3944,"_",C3944,"_",D3944,"_",E3944)</f>
        <v>L08_NONE_018E_XCN</v>
      </c>
      <c r="J3944" s="169" t="s">
        <v>14933</v>
      </c>
      <c r="K3944" s="169">
        <f>IFERROR(MATCH(J3944,'Final List'!$B$4:$B$252,0),0)</f>
        <v>0</v>
      </c>
      <c r="L3944" s="169">
        <f>IFERROR(MATCH(J3944,'Final List'!$D$4:$D$252,0),0)</f>
        <v>0</v>
      </c>
      <c r="M3944" s="169">
        <f>IFERROR(MATCH(J3944,'Final List'!$F$4:$F$251,0),0)</f>
        <v>0</v>
      </c>
      <c r="N3944" s="169">
        <f>IFERROR(MATCH(J3944,'Final List'!$H$4:$H$252,0),0)</f>
        <v>0</v>
      </c>
      <c r="O3944" s="169">
        <f>IFERROR(MATCH(J3944,'Final List'!$J$4:$J$252,0),0)</f>
        <v>0</v>
      </c>
      <c r="P3944" s="169">
        <f>IFERROR(MATCH(J3944,'Final List'!$L$4:$L$252,0),0)</f>
        <v>0</v>
      </c>
      <c r="Q3944" s="169">
        <f>IFERROR(MATCH(J3944,'Final List'!$N$4:$N$252,0),0)</f>
        <v>0</v>
      </c>
      <c r="R3944" s="169">
        <f>IFERROR(MATCH(J3944,'Final List'!$P$4:$P$252,0),0)</f>
        <v>0</v>
      </c>
      <c r="S3944" s="169">
        <f t="shared" si="249"/>
        <v>0</v>
      </c>
      <c r="V3944" s="169" t="str">
        <f t="shared" si="250"/>
        <v>FERNANDEZ 7</v>
      </c>
      <c r="W3944" s="169" t="s">
        <v>8897</v>
      </c>
    </row>
    <row r="3945" spans="2:23" x14ac:dyDescent="0.25">
      <c r="B3945" s="169" t="s">
        <v>12320</v>
      </c>
      <c r="C3945" s="169" t="s">
        <v>42</v>
      </c>
      <c r="D3945" s="169" t="s">
        <v>143</v>
      </c>
      <c r="E3945" s="169" t="s">
        <v>19</v>
      </c>
      <c r="F3945" s="245" t="str">
        <f t="shared" si="248"/>
        <v>DVR 72</v>
      </c>
      <c r="G3945" s="169" t="s">
        <v>7984</v>
      </c>
      <c r="I3945" s="169" t="str">
        <f t="shared" si="243"/>
        <v>L425_JV_032E_RAISE</v>
      </c>
      <c r="J3945" s="169" t="s">
        <v>14806</v>
      </c>
      <c r="K3945" s="169">
        <f>IFERROR(MATCH(J3945,'Final List'!$B$4:$B$252,0),0)</f>
        <v>0</v>
      </c>
      <c r="L3945" s="169">
        <f>IFERROR(MATCH(J3945,'Final List'!$D$4:$D$252,0),0)</f>
        <v>0</v>
      </c>
      <c r="M3945" s="169">
        <f>IFERROR(MATCH(J3945,'Final List'!$F$4:$F$251,0),0)</f>
        <v>0</v>
      </c>
      <c r="N3945" s="169">
        <f>IFERROR(MATCH(J3945,'Final List'!$H$4:$H$252,0),0)</f>
        <v>0</v>
      </c>
      <c r="O3945" s="169">
        <f>IFERROR(MATCH(J3945,'Final List'!$J$4:$J$252,0),0)</f>
        <v>0</v>
      </c>
      <c r="P3945" s="169">
        <f>IFERROR(MATCH(J3945,'Final List'!$L$4:$L$252,0),0)</f>
        <v>0</v>
      </c>
      <c r="Q3945" s="169">
        <f>IFERROR(MATCH(J3945,'Final List'!$N$4:$N$252,0),0)</f>
        <v>0</v>
      </c>
      <c r="R3945" s="169">
        <f>IFERROR(MATCH(J3945,'Final List'!$P$4:$P$252,0),0)</f>
        <v>0</v>
      </c>
      <c r="S3945" s="169">
        <f t="shared" si="249"/>
        <v>0</v>
      </c>
      <c r="V3945" s="169" t="str">
        <f t="shared" si="250"/>
        <v>OLIVEROS</v>
      </c>
      <c r="W3945" s="169" t="s">
        <v>2715</v>
      </c>
    </row>
    <row r="3946" spans="2:23" x14ac:dyDescent="0.25">
      <c r="B3946" s="169" t="s">
        <v>258</v>
      </c>
      <c r="C3946" s="169" t="s">
        <v>42</v>
      </c>
      <c r="D3946" s="169" t="s">
        <v>5940</v>
      </c>
      <c r="E3946" s="169" t="s">
        <v>19</v>
      </c>
      <c r="F3946" s="245" t="str">
        <f t="shared" si="248"/>
        <v>DVR 72</v>
      </c>
      <c r="G3946" s="169" t="s">
        <v>5701</v>
      </c>
      <c r="I3946" s="169" t="str">
        <f t="shared" si="243"/>
        <v>L10_JV_022W_RAISE</v>
      </c>
      <c r="J3946" s="169" t="s">
        <v>14807</v>
      </c>
      <c r="K3946" s="169">
        <f>IFERROR(MATCH(J3946,'Final List'!$B$4:$B$252,0),0)</f>
        <v>0</v>
      </c>
      <c r="L3946" s="169">
        <f>IFERROR(MATCH(J3946,'Final List'!$D$4:$D$252,0),0)</f>
        <v>0</v>
      </c>
      <c r="M3946" s="169">
        <f>IFERROR(MATCH(J3946,'Final List'!$F$4:$F$251,0),0)</f>
        <v>0</v>
      </c>
      <c r="N3946" s="169">
        <f>IFERROR(MATCH(J3946,'Final List'!$H$4:$H$252,0),0)</f>
        <v>0</v>
      </c>
      <c r="O3946" s="169">
        <f>IFERROR(MATCH(J3946,'Final List'!$J$4:$J$252,0),0)</f>
        <v>0</v>
      </c>
      <c r="P3946" s="169">
        <f>IFERROR(MATCH(J3946,'Final List'!$L$4:$L$252,0),0)</f>
        <v>0</v>
      </c>
      <c r="Q3946" s="169">
        <f>IFERROR(MATCH(J3946,'Final List'!$N$4:$N$252,0),0)</f>
        <v>0</v>
      </c>
      <c r="R3946" s="169">
        <f>IFERROR(MATCH(J3946,'Final List'!$P$4:$P$252,0),0)</f>
        <v>0</v>
      </c>
      <c r="S3946" s="169">
        <f t="shared" si="249"/>
        <v>0</v>
      </c>
      <c r="V3946" s="169" t="str">
        <f t="shared" si="250"/>
        <v>LARGO 2</v>
      </c>
      <c r="W3946" s="169" t="s">
        <v>2715</v>
      </c>
    </row>
    <row r="3947" spans="2:23" x14ac:dyDescent="0.25">
      <c r="B3947" s="169" t="s">
        <v>95</v>
      </c>
      <c r="C3947" s="169" t="s">
        <v>59</v>
      </c>
      <c r="D3947" s="169" t="s">
        <v>107</v>
      </c>
      <c r="E3947" s="169" t="s">
        <v>61</v>
      </c>
      <c r="F3947" s="245" t="str">
        <f t="shared" si="248"/>
        <v>Dhoz 71</v>
      </c>
      <c r="G3947" s="169" t="s">
        <v>14137</v>
      </c>
      <c r="I3947" s="169" t="str">
        <f t="shared" si="243"/>
        <v>L08_GHVHW_032W_DW</v>
      </c>
      <c r="J3947" s="169" t="s">
        <v>14809</v>
      </c>
      <c r="K3947" s="169">
        <f>IFERROR(MATCH(J3947,'Final List'!$B$4:$B$252,0),0)</f>
        <v>0</v>
      </c>
      <c r="L3947" s="169">
        <f>IFERROR(MATCH(J3947,'Final List'!$D$4:$D$252,0),0)</f>
        <v>0</v>
      </c>
      <c r="M3947" s="169">
        <f>IFERROR(MATCH(J3947,'Final List'!$F$4:$F$251,0),0)</f>
        <v>0</v>
      </c>
      <c r="N3947" s="169">
        <f>IFERROR(MATCH(J3947,'Final List'!$H$4:$H$252,0),0)</f>
        <v>0</v>
      </c>
      <c r="O3947" s="169">
        <f>IFERROR(MATCH(J3947,'Final List'!$J$4:$J$252,0),0)</f>
        <v>0</v>
      </c>
      <c r="P3947" s="169">
        <f>IFERROR(MATCH(J3947,'Final List'!$L$4:$L$252,0),0)</f>
        <v>0</v>
      </c>
      <c r="Q3947" s="169">
        <f>IFERROR(MATCH(J3947,'Final List'!$N$4:$N$252,0),0)</f>
        <v>0</v>
      </c>
      <c r="R3947" s="169">
        <f>IFERROR(MATCH(J3947,'Final List'!$P$4:$P$252,0),0)</f>
        <v>0</v>
      </c>
      <c r="S3947" s="169">
        <f t="shared" si="249"/>
        <v>0</v>
      </c>
      <c r="V3947" s="169" t="str">
        <f t="shared" si="250"/>
        <v>CANTAGO 1</v>
      </c>
      <c r="W3947" s="169" t="s">
        <v>8895</v>
      </c>
    </row>
    <row r="3948" spans="2:23" x14ac:dyDescent="0.25">
      <c r="B3948" s="169" t="s">
        <v>96</v>
      </c>
      <c r="C3948" s="169" t="s">
        <v>42</v>
      </c>
      <c r="D3948" s="169" t="s">
        <v>179</v>
      </c>
      <c r="E3948" s="169" t="s">
        <v>62</v>
      </c>
      <c r="F3948" s="245" t="str">
        <f t="shared" si="248"/>
        <v>RobC 80</v>
      </c>
      <c r="G3948" s="169" t="s">
        <v>349</v>
      </c>
      <c r="I3948" s="169" t="str">
        <f t="shared" si="243"/>
        <v>L09_JV_050E_ROBBING</v>
      </c>
      <c r="J3948" s="169" t="s">
        <v>14810</v>
      </c>
      <c r="K3948" s="169">
        <f>IFERROR(MATCH(J3948,'Final List'!$B$4:$B$252,0),0)</f>
        <v>0</v>
      </c>
      <c r="L3948" s="169">
        <f>IFERROR(MATCH(J3948,'Final List'!$D$4:$D$252,0),0)</f>
        <v>0</v>
      </c>
      <c r="M3948" s="169">
        <f>IFERROR(MATCH(J3948,'Final List'!$F$4:$F$251,0),0)</f>
        <v>0</v>
      </c>
      <c r="N3948" s="169">
        <f>IFERROR(MATCH(J3948,'Final List'!$H$4:$H$252,0),0)</f>
        <v>0</v>
      </c>
      <c r="O3948" s="169">
        <f>IFERROR(MATCH(J3948,'Final List'!$J$4:$J$252,0),0)</f>
        <v>0</v>
      </c>
      <c r="P3948" s="169">
        <f>IFERROR(MATCH(J3948,'Final List'!$L$4:$L$252,0),0)</f>
        <v>0</v>
      </c>
      <c r="Q3948" s="169">
        <f>IFERROR(MATCH(J3948,'Final List'!$N$4:$N$252,0),0)</f>
        <v>0</v>
      </c>
      <c r="R3948" s="169">
        <f>IFERROR(MATCH(J3948,'Final List'!$P$4:$P$252,0),0)</f>
        <v>0</v>
      </c>
      <c r="S3948" s="169">
        <f t="shared" si="249"/>
        <v>0</v>
      </c>
      <c r="T3948" s="169" t="s">
        <v>48</v>
      </c>
      <c r="V3948" s="169" t="str">
        <f t="shared" si="250"/>
        <v>QUIJANO 2</v>
      </c>
      <c r="W3948" s="169" t="s">
        <v>236</v>
      </c>
    </row>
    <row r="3949" spans="2:23" x14ac:dyDescent="0.25">
      <c r="B3949" s="169" t="s">
        <v>14095</v>
      </c>
      <c r="C3949" s="169" t="s">
        <v>38</v>
      </c>
      <c r="D3949" s="169" t="s">
        <v>178</v>
      </c>
      <c r="E3949" s="169" t="s">
        <v>61</v>
      </c>
      <c r="F3949" s="245" t="str">
        <f t="shared" si="248"/>
        <v>Dhoz 71</v>
      </c>
      <c r="G3949" s="169" t="s">
        <v>14047</v>
      </c>
      <c r="H3949" s="169" t="s">
        <v>6926</v>
      </c>
      <c r="I3949" s="169" t="str">
        <f t="shared" si="243"/>
        <v>L460_GHV_048E_DW</v>
      </c>
      <c r="J3949" s="169" t="s">
        <v>14812</v>
      </c>
      <c r="K3949" s="169">
        <f>IFERROR(MATCH(J3949,'Final List'!$B$4:$B$252,0),0)</f>
        <v>0</v>
      </c>
      <c r="L3949" s="169">
        <f>IFERROR(MATCH(J3949,'Final List'!$D$4:$D$252,0),0)</f>
        <v>0</v>
      </c>
      <c r="M3949" s="169">
        <f>IFERROR(MATCH(J3949,'Final List'!$F$4:$F$251,0),0)</f>
        <v>0</v>
      </c>
      <c r="N3949" s="169">
        <f>IFERROR(MATCH(J3949,'Final List'!$H$4:$H$252,0),0)</f>
        <v>219</v>
      </c>
      <c r="O3949" s="169">
        <f>IFERROR(MATCH(J3949,'Final List'!$J$4:$J$252,0),0)</f>
        <v>0</v>
      </c>
      <c r="P3949" s="169">
        <f>IFERROR(MATCH(J3949,'Final List'!$L$4:$L$252,0),0)</f>
        <v>0</v>
      </c>
      <c r="Q3949" s="169">
        <f>IFERROR(MATCH(J3949,'Final List'!$N$4:$N$252,0),0)</f>
        <v>0</v>
      </c>
      <c r="R3949" s="169">
        <f>IFERROR(MATCH(J3949,'Final List'!$P$4:$P$252,0),0)</f>
        <v>0</v>
      </c>
      <c r="S3949" s="169">
        <f t="shared" si="249"/>
        <v>219</v>
      </c>
      <c r="V3949" s="169" t="str">
        <f t="shared" si="250"/>
        <v>DUHIG, R1</v>
      </c>
      <c r="W3949" s="169" t="s">
        <v>8896</v>
      </c>
    </row>
    <row r="3950" spans="2:23" x14ac:dyDescent="0.25">
      <c r="B3950" s="169" t="s">
        <v>1166</v>
      </c>
      <c r="C3950" s="169" t="s">
        <v>55</v>
      </c>
      <c r="D3950" s="169" t="s">
        <v>172</v>
      </c>
      <c r="E3950" s="169" t="s">
        <v>19</v>
      </c>
      <c r="F3950" s="245" t="str">
        <f t="shared" si="248"/>
        <v>DVR 72</v>
      </c>
      <c r="G3950" s="169" t="s">
        <v>4155</v>
      </c>
      <c r="H3950" s="169" t="s">
        <v>4068</v>
      </c>
      <c r="I3950" s="169" t="str">
        <f t="shared" si="243"/>
        <v>L11_JVFW_045E_RAISE</v>
      </c>
      <c r="J3950" s="169" t="s">
        <v>14814</v>
      </c>
      <c r="K3950" s="169">
        <f>IFERROR(MATCH(J3950,'Final List'!$B$4:$B$252,0),0)</f>
        <v>0</v>
      </c>
      <c r="L3950" s="169">
        <f>IFERROR(MATCH(J3950,'Final List'!$D$4:$D$252,0),0)</f>
        <v>0</v>
      </c>
      <c r="M3950" s="169">
        <f>IFERROR(MATCH(J3950,'Final List'!$F$4:$F$251,0),0)</f>
        <v>0</v>
      </c>
      <c r="N3950" s="169">
        <f>IFERROR(MATCH(J3950,'Final List'!$H$4:$H$252,0),0)</f>
        <v>0</v>
      </c>
      <c r="O3950" s="169">
        <f>IFERROR(MATCH(J3950,'Final List'!$J$4:$J$252,0),0)</f>
        <v>0</v>
      </c>
      <c r="P3950" s="169">
        <f>IFERROR(MATCH(J3950,'Final List'!$L$4:$L$252,0),0)</f>
        <v>0</v>
      </c>
      <c r="Q3950" s="169">
        <f>IFERROR(MATCH(J3950,'Final List'!$N$4:$N$252,0),0)</f>
        <v>0</v>
      </c>
      <c r="R3950" s="169">
        <f>IFERROR(MATCH(J3950,'Final List'!$P$4:$P$252,0),0)</f>
        <v>0</v>
      </c>
      <c r="S3950" s="169">
        <f t="shared" si="249"/>
        <v>0</v>
      </c>
      <c r="V3950" s="169" t="str">
        <f t="shared" si="250"/>
        <v>MAPAYO</v>
      </c>
      <c r="W3950" s="169" t="s">
        <v>2715</v>
      </c>
    </row>
    <row r="3951" spans="2:23" x14ac:dyDescent="0.25">
      <c r="B3951" s="169" t="s">
        <v>1167</v>
      </c>
      <c r="C3951" s="169" t="s">
        <v>45</v>
      </c>
      <c r="D3951" s="169" t="s">
        <v>122</v>
      </c>
      <c r="E3951" s="169" t="s">
        <v>61</v>
      </c>
      <c r="F3951" s="245" t="str">
        <f t="shared" si="248"/>
        <v>Dhoz 71</v>
      </c>
      <c r="G3951" s="169" t="s">
        <v>14228</v>
      </c>
      <c r="I3951" s="169" t="str">
        <f t="shared" si="243"/>
        <v>L12_DPVE_025E_DW</v>
      </c>
      <c r="J3951" s="169" t="s">
        <v>14820</v>
      </c>
      <c r="K3951" s="169">
        <f>IFERROR(MATCH(J3951,'Final List'!$B$4:$B$252,0),0)</f>
        <v>0</v>
      </c>
      <c r="L3951" s="169">
        <f>IFERROR(MATCH(J3951,'Final List'!$D$4:$D$252,0),0)</f>
        <v>0</v>
      </c>
      <c r="M3951" s="169">
        <f>IFERROR(MATCH(J3951,'Final List'!$F$4:$F$251,0),0)</f>
        <v>0</v>
      </c>
      <c r="N3951" s="169">
        <f>IFERROR(MATCH(J3951,'Final List'!$H$4:$H$252,0),0)</f>
        <v>0</v>
      </c>
      <c r="O3951" s="169">
        <f>IFERROR(MATCH(J3951,'Final List'!$J$4:$J$252,0),0)</f>
        <v>0</v>
      </c>
      <c r="P3951" s="169">
        <f>IFERROR(MATCH(J3951,'Final List'!$L$4:$L$252,0),0)</f>
        <v>0</v>
      </c>
      <c r="Q3951" s="169">
        <f>IFERROR(MATCH(J3951,'Final List'!$N$4:$N$252,0),0)</f>
        <v>0</v>
      </c>
      <c r="R3951" s="169">
        <f>IFERROR(MATCH(J3951,'Final List'!$P$4:$P$252,0),0)</f>
        <v>0</v>
      </c>
      <c r="S3951" s="169">
        <f t="shared" si="249"/>
        <v>0</v>
      </c>
      <c r="V3951" s="169" t="str">
        <f t="shared" si="250"/>
        <v>LANTACA 1</v>
      </c>
      <c r="W3951" s="169" t="s">
        <v>8896</v>
      </c>
    </row>
    <row r="3952" spans="2:23" x14ac:dyDescent="0.25">
      <c r="B3952" s="169" t="s">
        <v>12320</v>
      </c>
      <c r="C3952" s="169" t="s">
        <v>38</v>
      </c>
      <c r="D3952" s="169" t="s">
        <v>141</v>
      </c>
      <c r="E3952" s="169" t="s">
        <v>19</v>
      </c>
      <c r="F3952" s="245" t="str">
        <f t="shared" si="248"/>
        <v>DVR 72</v>
      </c>
      <c r="G3952" s="169" t="s">
        <v>14762</v>
      </c>
      <c r="I3952" s="169" t="str">
        <f t="shared" si="243"/>
        <v>L425_GHV_029E_RAISE</v>
      </c>
      <c r="J3952" s="169" t="s">
        <v>14823</v>
      </c>
      <c r="K3952" s="169">
        <f>IFERROR(MATCH(J3952,'Final List'!$B$4:$B$252,0),0)</f>
        <v>0</v>
      </c>
      <c r="L3952" s="169">
        <f>IFERROR(MATCH(J3952,'Final List'!$D$4:$D$252,0),0)</f>
        <v>0</v>
      </c>
      <c r="M3952" s="169">
        <f>IFERROR(MATCH(J3952,'Final List'!$F$4:$F$251,0),0)</f>
        <v>0</v>
      </c>
      <c r="N3952" s="169">
        <f>IFERROR(MATCH(J3952,'Final List'!$H$4:$H$252,0),0)</f>
        <v>0</v>
      </c>
      <c r="O3952" s="169">
        <f>IFERROR(MATCH(J3952,'Final List'!$J$4:$J$252,0),0)</f>
        <v>0</v>
      </c>
      <c r="P3952" s="169">
        <f>IFERROR(MATCH(J3952,'Final List'!$L$4:$L$252,0),0)</f>
        <v>0</v>
      </c>
      <c r="Q3952" s="169">
        <f>IFERROR(MATCH(J3952,'Final List'!$N$4:$N$252,0),0)</f>
        <v>0</v>
      </c>
      <c r="R3952" s="169">
        <f>IFERROR(MATCH(J3952,'Final List'!$P$4:$P$252,0),0)</f>
        <v>0</v>
      </c>
      <c r="S3952" s="169">
        <f t="shared" si="249"/>
        <v>0</v>
      </c>
      <c r="V3952" s="169" t="str">
        <f t="shared" si="250"/>
        <v>BAÑEZ </v>
      </c>
      <c r="W3952" s="169" t="s">
        <v>2715</v>
      </c>
    </row>
    <row r="3953" spans="2:23" x14ac:dyDescent="0.25">
      <c r="B3953" s="169" t="s">
        <v>12320</v>
      </c>
      <c r="C3953" s="169" t="s">
        <v>55</v>
      </c>
      <c r="D3953" s="169" t="s">
        <v>160</v>
      </c>
      <c r="E3953" s="169" t="s">
        <v>36</v>
      </c>
      <c r="F3953" s="245" t="str">
        <f t="shared" si="248"/>
        <v>StpS 77</v>
      </c>
      <c r="G3953" t="s">
        <v>14762</v>
      </c>
      <c r="I3953" s="169" t="str">
        <f t="shared" si="243"/>
        <v>L425_JVFW_042E_STOPE</v>
      </c>
      <c r="J3953" s="169" t="s">
        <v>14826</v>
      </c>
      <c r="K3953" s="169">
        <f>IFERROR(MATCH(J3953,'Final List'!$B$4:$B$252,0),0)</f>
        <v>0</v>
      </c>
      <c r="L3953" s="169">
        <f>IFERROR(MATCH(J3953,'Final List'!$D$4:$D$252,0),0)</f>
        <v>0</v>
      </c>
      <c r="M3953" s="169">
        <f>IFERROR(MATCH(J3953,'Final List'!$F$4:$F$251,0),0)</f>
        <v>191</v>
      </c>
      <c r="N3953" s="169">
        <f>IFERROR(MATCH(J3953,'Final List'!$H$4:$H$252,0),0)</f>
        <v>0</v>
      </c>
      <c r="O3953" s="169">
        <f>IFERROR(MATCH(J3953,'Final List'!$J$4:$J$252,0),0)</f>
        <v>0</v>
      </c>
      <c r="P3953" s="169">
        <f>IFERROR(MATCH(J3953,'Final List'!$L$4:$L$252,0),0)</f>
        <v>0</v>
      </c>
      <c r="Q3953" s="169">
        <f>IFERROR(MATCH(J3953,'Final List'!$N$4:$N$252,0),0)</f>
        <v>0</v>
      </c>
      <c r="R3953" s="169">
        <f>IFERROR(MATCH(J3953,'Final List'!$P$4:$P$252,0),0)</f>
        <v>0</v>
      </c>
      <c r="S3953" s="169">
        <f t="shared" si="249"/>
        <v>191</v>
      </c>
      <c r="T3953" s="169" t="s">
        <v>68</v>
      </c>
      <c r="V3953" s="169" t="str">
        <f t="shared" si="250"/>
        <v>BAÑEZ </v>
      </c>
      <c r="W3953" s="169" t="s">
        <v>2713</v>
      </c>
    </row>
    <row r="3954" spans="2:23" x14ac:dyDescent="0.25">
      <c r="B3954" s="169" t="s">
        <v>12320</v>
      </c>
      <c r="C3954" s="169" t="s">
        <v>59</v>
      </c>
      <c r="D3954" s="169" t="s">
        <v>218</v>
      </c>
      <c r="E3954" s="169" t="s">
        <v>36</v>
      </c>
      <c r="F3954" s="245" t="str">
        <f t="shared" si="248"/>
        <v>StpS 77</v>
      </c>
      <c r="G3954" s="169" t="s">
        <v>14829</v>
      </c>
      <c r="I3954" s="169" t="str">
        <f t="shared" si="243"/>
        <v>L425_GHVHW_062E_STOPE</v>
      </c>
      <c r="J3954" s="169" t="s">
        <v>14827</v>
      </c>
      <c r="K3954" s="169">
        <f>IFERROR(MATCH(J3954,'Final List'!$B$4:$B$252,0),0)</f>
        <v>0</v>
      </c>
      <c r="L3954" s="169">
        <f>IFERROR(MATCH(J3954,'Final List'!$D$4:$D$252,0),0)</f>
        <v>191</v>
      </c>
      <c r="M3954" s="169">
        <f>IFERROR(MATCH(J3954,'Final List'!$F$4:$F$251,0),0)</f>
        <v>0</v>
      </c>
      <c r="N3954" s="169">
        <f>IFERROR(MATCH(J3954,'Final List'!$H$4:$H$252,0),0)</f>
        <v>0</v>
      </c>
      <c r="O3954" s="169">
        <f>IFERROR(MATCH(J3954,'Final List'!$J$4:$J$252,0),0)</f>
        <v>0</v>
      </c>
      <c r="P3954" s="169">
        <f>IFERROR(MATCH(J3954,'Final List'!$L$4:$L$252,0),0)</f>
        <v>0</v>
      </c>
      <c r="Q3954" s="169">
        <f>IFERROR(MATCH(J3954,'Final List'!$N$4:$N$252,0),0)</f>
        <v>0</v>
      </c>
      <c r="R3954" s="169">
        <f>IFERROR(MATCH(J3954,'Final List'!$P$4:$P$252,0),0)</f>
        <v>0</v>
      </c>
      <c r="S3954" s="169">
        <f t="shared" si="249"/>
        <v>191</v>
      </c>
      <c r="T3954" s="169" t="s">
        <v>68</v>
      </c>
      <c r="V3954" s="169" t="str">
        <f t="shared" si="250"/>
        <v xml:space="preserve"> BABOR 3</v>
      </c>
      <c r="W3954" s="169" t="s">
        <v>2711</v>
      </c>
    </row>
    <row r="3955" spans="2:23" x14ac:dyDescent="0.25">
      <c r="B3955" s="169" t="s">
        <v>1166</v>
      </c>
      <c r="C3955" s="169" t="s">
        <v>45</v>
      </c>
      <c r="D3955" s="169" t="s">
        <v>11401</v>
      </c>
      <c r="E3955" s="169" t="s">
        <v>19</v>
      </c>
      <c r="F3955" s="245" t="str">
        <f t="shared" si="248"/>
        <v>DVR 72</v>
      </c>
      <c r="G3955" s="169" t="s">
        <v>6980</v>
      </c>
      <c r="I3955" s="169" t="str">
        <f t="shared" si="243"/>
        <v>L11_DPVE_101E_RAISE</v>
      </c>
      <c r="J3955" s="169" t="s">
        <v>14831</v>
      </c>
      <c r="K3955" s="169">
        <f>IFERROR(MATCH(J3955,'Final List'!$B$4:$B$252,0),0)</f>
        <v>0</v>
      </c>
      <c r="L3955" s="169">
        <f>IFERROR(MATCH(J3955,'Final List'!$D$4:$D$252,0),0)</f>
        <v>0</v>
      </c>
      <c r="M3955" s="169">
        <f>IFERROR(MATCH(J3955,'Final List'!$F$4:$F$251,0),0)</f>
        <v>0</v>
      </c>
      <c r="N3955" s="169">
        <f>IFERROR(MATCH(J3955,'Final List'!$H$4:$H$252,0),0)</f>
        <v>0</v>
      </c>
      <c r="O3955" s="169">
        <f>IFERROR(MATCH(J3955,'Final List'!$J$4:$J$252,0),0)</f>
        <v>0</v>
      </c>
      <c r="P3955" s="169">
        <f>IFERROR(MATCH(J3955,'Final List'!$L$4:$L$252,0),0)</f>
        <v>0</v>
      </c>
      <c r="Q3955" s="169">
        <f>IFERROR(MATCH(J3955,'Final List'!$N$4:$N$252,0),0)</f>
        <v>0</v>
      </c>
      <c r="R3955" s="169">
        <f>IFERROR(MATCH(J3955,'Final List'!$P$4:$P$252,0),0)</f>
        <v>0</v>
      </c>
      <c r="S3955" s="169">
        <f t="shared" si="249"/>
        <v>0</v>
      </c>
      <c r="V3955" s="169" t="str">
        <f t="shared" si="250"/>
        <v>BADBADON 3</v>
      </c>
      <c r="W3955" s="169" t="s">
        <v>2715</v>
      </c>
    </row>
    <row r="3956" spans="2:23" x14ac:dyDescent="0.25">
      <c r="B3956" s="169" t="s">
        <v>96</v>
      </c>
      <c r="C3956" s="169" t="s">
        <v>87</v>
      </c>
      <c r="D3956" s="169" t="s">
        <v>144</v>
      </c>
      <c r="E3956" s="169" t="s">
        <v>13813</v>
      </c>
      <c r="F3956" s="245" t="str">
        <f>IF(OR(E3956="XCN",E3956="DE",E3956="DW",E3956="DN",E3956="XCS",E3956="XCE",E3956="XCW",E3956="SUMP",E3956="BYPASS",E3956="CHAMBER",E3956="DRAIN HOLE",E3956="DRILLING CHAMBER",E3956="DE_ISL",E3956="DW_ISL",E3956="REHAB",E3956="MAINLINE_CLEANING"),"Dhoz 71",IF(OR(E3956="RAISE",E3956="RAISE_ISL"),"DVR 72",IF(E3956="ALIMAK","DVA 73",IF(E3956="WINZE","DVW 74",IF(E3956="SHAFT","DVS 75",IF(AND(E3956="WINZE STOPE",T3956="S"),"RobC 80",IF(AND(E3956="STOPE",T3956="S"),"StpS 77",IF(AND(E3956="WINZE STOPE",T3956="L"),"RobC 80",IF(AND(E3956="STOPE",T3956="L"),"StpL 78",IF(AND(E3956="WINZE STOPE PREP",T3956="S"),"RobC 80",IF(AND(E3956="STOPE PREP",T3956="S"),"StpS 77",IF(AND(E3956="WINZE STOPE PREP",T3956="L"),"RobC 80",IF(AND(E3956="STOPE PREP",T3956="L"),"StpL 78",IF(AND(E3956="ROBBING",T3956="L"),"RobC 80",IF(AND(E3956="ROBBING",T3956="S"),"RobS 79",0)))))))))))))))</f>
        <v>Dhoz 71</v>
      </c>
      <c r="G3956" s="169" t="s">
        <v>13493</v>
      </c>
      <c r="I3956" s="169" t="str">
        <f t="shared" si="243"/>
        <v>L09_NONE_043E_MAINLINE_CLEANING</v>
      </c>
      <c r="J3956" s="169" t="s">
        <v>14834</v>
      </c>
      <c r="K3956" s="169">
        <f>IFERROR(MATCH(J3956,'Final List'!$B$4:$B$252,0),0)</f>
        <v>0</v>
      </c>
      <c r="L3956" s="169">
        <f>IFERROR(MATCH(J3956,'Final List'!$D$4:$D$252,0),0)</f>
        <v>0</v>
      </c>
      <c r="M3956" s="169">
        <f>IFERROR(MATCH(J3956,'Final List'!$F$4:$F$251,0),0)</f>
        <v>0</v>
      </c>
      <c r="N3956" s="169">
        <f>IFERROR(MATCH(J3956,'Final List'!$H$4:$H$252,0),0)</f>
        <v>0</v>
      </c>
      <c r="O3956" s="169">
        <f>IFERROR(MATCH(J3956,'Final List'!$J$4:$J$252,0),0)</f>
        <v>0</v>
      </c>
      <c r="P3956" s="169">
        <f>IFERROR(MATCH(J3956,'Final List'!$L$4:$L$252,0),0)</f>
        <v>0</v>
      </c>
      <c r="Q3956" s="169">
        <f>IFERROR(MATCH(J3956,'Final List'!$N$4:$N$252,0),0)</f>
        <v>0</v>
      </c>
      <c r="R3956" s="169">
        <f>IFERROR(MATCH(J3956,'Final List'!$P$4:$P$252,0),0)</f>
        <v>0</v>
      </c>
      <c r="S3956" s="169">
        <f t="shared" si="249"/>
        <v>0</v>
      </c>
      <c r="V3956" s="169" t="str">
        <f t="shared" si="250"/>
        <v>NITRO CD</v>
      </c>
      <c r="W3956" s="169" t="s">
        <v>2714</v>
      </c>
    </row>
    <row r="3957" spans="2:23" x14ac:dyDescent="0.25">
      <c r="B3957" s="169" t="s">
        <v>95</v>
      </c>
      <c r="C3957" s="169" t="s">
        <v>42</v>
      </c>
      <c r="D3957" s="169" t="s">
        <v>142</v>
      </c>
      <c r="E3957" s="169" t="s">
        <v>15310</v>
      </c>
      <c r="F3957" s="245" t="str">
        <f t="shared" ref="F3957:F3958" si="251">IF(OR(E3957="XCN",E3957="DE",E3957="DW",E3957="DN",E3957="XCS",E3957="XCE",E3957="XCW",E3957="SUMP",E3957="BYPASS",E3957="CHAMBER",E3957="DRAIN HOLE",E3957="DRILLING CHAMBER",E3957="DE_ISL",E3957="DW_ISL",E3957="REHAB",E3957="DE_ISL",E3957="DE_ISL_B",E3957="DW_ISL_B",E3957="DW_ISL_A",E3957="DE_ISL_A"),"Dhoz 71",IF(OR(E3957="RAISE",E3957="RAISE_ISL"),"DVR 72",IF(E3957="ALIMAK","DVA 73",IF(E3957="WINZE","DVW 74",IF(E3957="SHAFT","DVS 75",IF(AND(E3957="WINZE STOPE",T3957="S"),"RobC 80",IF(AND(E3957="STOPE",T3957="S"),"StpS 77",IF(AND(E3957="WINZE STOPE",T3957="L"),"RobC 80",IF(AND(E3957="STOPE",T3957="L"),"StpL 78",IF(AND(E3957="WINZE STOPE PREP",T3957="S"),"RobC 80",IF(AND(E3957="STOPE PREP",T3957="S"),"StpS 77",IF(AND(E3957="WINZE STOPE PREP",T3957="L"),"RobC 80",IF(AND(E3957="STOPE PREP",T3957="L"),"StpL 78",IF(AND(E3957="ROBBING",T3957="L"),"RobC 80",IF(AND(E3957="ROBBING",T3957="S"),"RobS 79",0)))))))))))))))</f>
        <v>Dhoz 71</v>
      </c>
      <c r="G3957" t="s">
        <v>8045</v>
      </c>
      <c r="I3957" s="169" t="str">
        <f t="shared" si="243"/>
        <v>L08_JV_038E_DE_ISL_A</v>
      </c>
      <c r="J3957" s="169" t="s">
        <v>14835</v>
      </c>
      <c r="K3957" s="169">
        <f>IFERROR(MATCH(J3957,'Final List'!$B$4:$B$252,0),0)</f>
        <v>0</v>
      </c>
      <c r="L3957" s="169">
        <f>IFERROR(MATCH(J3957,'Final List'!$D$4:$D$252,0),0)</f>
        <v>0</v>
      </c>
      <c r="M3957" s="169">
        <f>IFERROR(MATCH(J3957,'Final List'!$F$4:$F$251,0),0)</f>
        <v>0</v>
      </c>
      <c r="N3957" s="169">
        <f>IFERROR(MATCH(J3957,'Final List'!$H$4:$H$252,0),0)</f>
        <v>0</v>
      </c>
      <c r="O3957" s="169">
        <f>IFERROR(MATCH(J3957,'Final List'!$J$4:$J$252,0),0)</f>
        <v>0</v>
      </c>
      <c r="P3957" s="169">
        <f>IFERROR(MATCH(J3957,'Final List'!$L$4:$L$252,0),0)</f>
        <v>0</v>
      </c>
      <c r="Q3957" s="169">
        <f>IFERROR(MATCH(J3957,'Final List'!$N$4:$N$252,0),0)</f>
        <v>0</v>
      </c>
      <c r="R3957" s="169">
        <f>IFERROR(MATCH(J3957,'Final List'!$P$4:$P$252,0),0)</f>
        <v>0</v>
      </c>
      <c r="S3957" s="169">
        <f t="shared" si="249"/>
        <v>0</v>
      </c>
      <c r="V3957" s="169" t="str">
        <f t="shared" si="250"/>
        <v>CAPUYAN</v>
      </c>
      <c r="W3957" s="169" t="s">
        <v>8895</v>
      </c>
    </row>
    <row r="3958" spans="2:23" x14ac:dyDescent="0.25">
      <c r="B3958" s="169" t="s">
        <v>95</v>
      </c>
      <c r="C3958" s="169" t="s">
        <v>57</v>
      </c>
      <c r="D3958" s="169" t="s">
        <v>149</v>
      </c>
      <c r="E3958" s="169" t="s">
        <v>15310</v>
      </c>
      <c r="F3958" s="245" t="str">
        <f t="shared" si="251"/>
        <v>Dhoz 71</v>
      </c>
      <c r="G3958" s="169" t="s">
        <v>8045</v>
      </c>
      <c r="I3958" s="169" t="str">
        <f t="shared" si="243"/>
        <v>L08_JVSPLIT_021E_DE_ISL_A</v>
      </c>
      <c r="J3958" s="169" t="s">
        <v>14838</v>
      </c>
      <c r="K3958" s="169">
        <f>IFERROR(MATCH(J3958,'Final List'!$B$4:$B$252,0),0)</f>
        <v>0</v>
      </c>
      <c r="L3958" s="169">
        <f>IFERROR(MATCH(J3958,'Final List'!$D$4:$D$252,0),0)</f>
        <v>0</v>
      </c>
      <c r="M3958" s="169">
        <f>IFERROR(MATCH(J3958,'Final List'!$F$4:$F$251,0),0)</f>
        <v>0</v>
      </c>
      <c r="N3958" s="169">
        <f>IFERROR(MATCH(J3958,'Final List'!$H$4:$H$252,0),0)</f>
        <v>0</v>
      </c>
      <c r="O3958" s="169">
        <f>IFERROR(MATCH(J3958,'Final List'!$J$4:$J$252,0),0)</f>
        <v>0</v>
      </c>
      <c r="P3958" s="169">
        <f>IFERROR(MATCH(J3958,'Final List'!$L$4:$L$252,0),0)</f>
        <v>0</v>
      </c>
      <c r="Q3958" s="169">
        <f>IFERROR(MATCH(J3958,'Final List'!$N$4:$N$252,0),0)</f>
        <v>0</v>
      </c>
      <c r="R3958" s="169">
        <f>IFERROR(MATCH(J3958,'Final List'!$P$4:$P$252,0),0)</f>
        <v>0</v>
      </c>
      <c r="S3958" s="169">
        <f t="shared" si="249"/>
        <v>0</v>
      </c>
      <c r="V3958" s="169" t="str">
        <f t="shared" si="250"/>
        <v>CAPUYAN</v>
      </c>
      <c r="W3958" s="169" t="s">
        <v>8895</v>
      </c>
    </row>
    <row r="3959" spans="2:23" x14ac:dyDescent="0.25">
      <c r="B3959" s="169" t="s">
        <v>1167</v>
      </c>
      <c r="C3959" s="169" t="s">
        <v>43</v>
      </c>
      <c r="D3959" s="169" t="s">
        <v>6114</v>
      </c>
      <c r="E3959" s="169" t="s">
        <v>60</v>
      </c>
      <c r="F3959" s="245" t="str">
        <f t="shared" si="248"/>
        <v>Dhoz 71</v>
      </c>
      <c r="G3959" t="s">
        <v>14130</v>
      </c>
      <c r="I3959" s="169" t="str">
        <f t="shared" si="243"/>
        <v>L12_GHVSPLIT_078E_DE</v>
      </c>
      <c r="J3959" s="169" t="s">
        <v>14845</v>
      </c>
      <c r="K3959" s="169">
        <f>IFERROR(MATCH(J3959,'Final List'!$B$4:$B$252,0),0)</f>
        <v>0</v>
      </c>
      <c r="L3959" s="169">
        <f>IFERROR(MATCH(J3959,'Final List'!$D$4:$D$252,0),0)</f>
        <v>0</v>
      </c>
      <c r="M3959" s="169">
        <f>IFERROR(MATCH(J3959,'Final List'!$F$4:$F$251,0),0)</f>
        <v>0</v>
      </c>
      <c r="N3959" s="169">
        <f>IFERROR(MATCH(J3959,'Final List'!$H$4:$H$252,0),0)</f>
        <v>0</v>
      </c>
      <c r="O3959" s="169">
        <f>IFERROR(MATCH(J3959,'Final List'!$J$4:$J$252,0),0)</f>
        <v>0</v>
      </c>
      <c r="P3959" s="169">
        <f>IFERROR(MATCH(J3959,'Final List'!$L$4:$L$252,0),0)</f>
        <v>0</v>
      </c>
      <c r="Q3959" s="169">
        <f>IFERROR(MATCH(J3959,'Final List'!$N$4:$N$252,0),0)</f>
        <v>0</v>
      </c>
      <c r="R3959" s="169">
        <f>IFERROR(MATCH(J3959,'Final List'!$P$4:$P$252,0),0)</f>
        <v>0</v>
      </c>
      <c r="S3959" s="169">
        <f t="shared" si="249"/>
        <v>0</v>
      </c>
      <c r="V3959" s="169" t="str">
        <f t="shared" si="250"/>
        <v>DURANGO</v>
      </c>
      <c r="W3959" s="169" t="s">
        <v>8896</v>
      </c>
    </row>
    <row r="3960" spans="2:23" x14ac:dyDescent="0.25">
      <c r="B3960" s="169" t="s">
        <v>1167</v>
      </c>
      <c r="C3960" s="169" t="s">
        <v>39</v>
      </c>
      <c r="D3960" s="169" t="s">
        <v>168</v>
      </c>
      <c r="E3960" s="169" t="s">
        <v>6154</v>
      </c>
      <c r="F3960" s="245" t="str">
        <f t="shared" si="248"/>
        <v>Dhoz 71</v>
      </c>
      <c r="G3960" s="169" t="s">
        <v>14133</v>
      </c>
      <c r="I3960" s="169" t="str">
        <f t="shared" si="243"/>
        <v>L12_JVHW_047E_DW_ISL</v>
      </c>
      <c r="J3960" s="169" t="s">
        <v>14942</v>
      </c>
      <c r="K3960" s="169">
        <f>IFERROR(MATCH(J3960,'Final List'!$B$4:$B$252,0),0)</f>
        <v>0</v>
      </c>
      <c r="L3960" s="169">
        <f>IFERROR(MATCH(J3960,'Final List'!$D$4:$D$252,0),0)</f>
        <v>0</v>
      </c>
      <c r="M3960" s="169">
        <f>IFERROR(MATCH(J3960,'Final List'!$F$4:$F$251,0),0)</f>
        <v>0</v>
      </c>
      <c r="N3960" s="169">
        <f>IFERROR(MATCH(J3960,'Final List'!$H$4:$H$252,0),0)</f>
        <v>0</v>
      </c>
      <c r="O3960" s="169">
        <f>IFERROR(MATCH(J3960,'Final List'!$J$4:$J$252,0),0)</f>
        <v>0</v>
      </c>
      <c r="P3960" s="169">
        <f>IFERROR(MATCH(J3960,'Final List'!$L$4:$L$252,0),0)</f>
        <v>0</v>
      </c>
      <c r="Q3960" s="169">
        <f>IFERROR(MATCH(J3960,'Final List'!$N$4:$N$252,0),0)</f>
        <v>0</v>
      </c>
      <c r="R3960" s="169">
        <f>IFERROR(MATCH(J3960,'Final List'!$P$4:$P$252,0),0)</f>
        <v>0</v>
      </c>
      <c r="S3960" s="169">
        <f t="shared" si="249"/>
        <v>0</v>
      </c>
      <c r="V3960" s="169" t="str">
        <f t="shared" si="250"/>
        <v>NITRO CG</v>
      </c>
      <c r="W3960" s="169" t="s">
        <v>8896</v>
      </c>
    </row>
    <row r="3961" spans="2:23" x14ac:dyDescent="0.25">
      <c r="B3961" s="169" t="s">
        <v>96</v>
      </c>
      <c r="C3961" s="169" t="s">
        <v>45</v>
      </c>
      <c r="D3961" s="169" t="s">
        <v>141</v>
      </c>
      <c r="E3961" s="169" t="s">
        <v>441</v>
      </c>
      <c r="F3961" s="245" t="str">
        <f t="shared" si="248"/>
        <v>RobC 80</v>
      </c>
      <c r="G3961" s="169" t="s">
        <v>11</v>
      </c>
      <c r="I3961" s="169" t="str">
        <f t="shared" si="243"/>
        <v>L09_DPVE_029E_WINZE STOPE PREP</v>
      </c>
      <c r="J3961" s="169" t="s">
        <v>14848</v>
      </c>
      <c r="K3961" s="169">
        <f>IFERROR(MATCH(J3961,'Final List'!$B$4:$B$252,0),0)</f>
        <v>0</v>
      </c>
      <c r="L3961" s="169">
        <f>IFERROR(MATCH(J3961,'Final List'!$D$4:$D$252,0),0)</f>
        <v>0</v>
      </c>
      <c r="M3961" s="169">
        <f>IFERROR(MATCH(J3961,'Final List'!$F$4:$F$251,0),0)</f>
        <v>0</v>
      </c>
      <c r="N3961" s="169">
        <f>IFERROR(MATCH(J3961,'Final List'!$H$4:$H$252,0),0)</f>
        <v>0</v>
      </c>
      <c r="O3961" s="169">
        <f>IFERROR(MATCH(J3961,'Final List'!$J$4:$J$252,0),0)</f>
        <v>0</v>
      </c>
      <c r="P3961" s="169">
        <f>IFERROR(MATCH(J3961,'Final List'!$L$4:$L$252,0),0)</f>
        <v>0</v>
      </c>
      <c r="Q3961" s="169">
        <f>IFERROR(MATCH(J3961,'Final List'!$N$4:$N$252,0),0)</f>
        <v>0</v>
      </c>
      <c r="R3961" s="169">
        <f>IFERROR(MATCH(J3961,'Final List'!$P$4:$P$252,0),0)</f>
        <v>0</v>
      </c>
      <c r="S3961" s="169">
        <f t="shared" si="249"/>
        <v>0</v>
      </c>
      <c r="T3961" s="169" t="s">
        <v>68</v>
      </c>
      <c r="V3961" s="169" t="str">
        <f t="shared" si="250"/>
        <v>QUIJANO</v>
      </c>
      <c r="W3961" s="169" t="s">
        <v>2712</v>
      </c>
    </row>
    <row r="3962" spans="2:23" x14ac:dyDescent="0.25">
      <c r="B3962" s="169" t="s">
        <v>14095</v>
      </c>
      <c r="C3962" s="169" t="s">
        <v>87</v>
      </c>
      <c r="D3962" s="169" t="s">
        <v>167</v>
      </c>
      <c r="E3962" s="169" t="s">
        <v>37</v>
      </c>
      <c r="F3962" s="245" t="str">
        <f t="shared" si="248"/>
        <v>Dhoz 71</v>
      </c>
      <c r="G3962" s="169" t="s">
        <v>14701</v>
      </c>
      <c r="I3962" s="169" t="str">
        <f t="shared" si="243"/>
        <v>L460_NONE_058E_XCN</v>
      </c>
      <c r="J3962" s="169" t="s">
        <v>14854</v>
      </c>
      <c r="K3962" s="169">
        <f>IFERROR(MATCH(J3962,'Final List'!$B$4:$B$252,0),0)</f>
        <v>0</v>
      </c>
      <c r="L3962" s="169">
        <f>IFERROR(MATCH(J3962,'Final List'!$D$4:$D$252,0),0)</f>
        <v>0</v>
      </c>
      <c r="M3962" s="169">
        <f>IFERROR(MATCH(J3962,'Final List'!$F$4:$F$251,0),0)</f>
        <v>0</v>
      </c>
      <c r="N3962" s="169">
        <f>IFERROR(MATCH(J3962,'Final List'!$H$4:$H$252,0),0)</f>
        <v>0</v>
      </c>
      <c r="O3962" s="169">
        <f>IFERROR(MATCH(J3962,'Final List'!$J$4:$J$252,0),0)</f>
        <v>0</v>
      </c>
      <c r="P3962" s="169">
        <f>IFERROR(MATCH(J3962,'Final List'!$L$4:$L$252,0),0)</f>
        <v>0</v>
      </c>
      <c r="Q3962" s="169">
        <f>IFERROR(MATCH(J3962,'Final List'!$N$4:$N$252,0),0)</f>
        <v>0</v>
      </c>
      <c r="R3962" s="169">
        <f>IFERROR(MATCH(J3962,'Final List'!$P$4:$P$252,0),0)</f>
        <v>0</v>
      </c>
      <c r="S3962" s="169">
        <f t="shared" si="249"/>
        <v>0</v>
      </c>
      <c r="V3962" s="169" t="str">
        <f t="shared" si="250"/>
        <v>DUHIG, P</v>
      </c>
      <c r="W3962" s="169" t="s">
        <v>2714</v>
      </c>
    </row>
    <row r="3963" spans="2:23" x14ac:dyDescent="0.25">
      <c r="B3963" s="169" t="s">
        <v>1167</v>
      </c>
      <c r="C3963" s="169" t="s">
        <v>56</v>
      </c>
      <c r="D3963" s="169" t="s">
        <v>118</v>
      </c>
      <c r="E3963" s="169" t="s">
        <v>19</v>
      </c>
      <c r="F3963" s="245" t="str">
        <f t="shared" si="248"/>
        <v>DVR 72</v>
      </c>
      <c r="G3963" s="169" t="s">
        <v>13633</v>
      </c>
      <c r="I3963" s="169" t="str">
        <f t="shared" si="243"/>
        <v>L12_GHVFW_014E_RAISE</v>
      </c>
      <c r="J3963" s="169" t="s">
        <v>14855</v>
      </c>
      <c r="K3963" s="169">
        <f>IFERROR(MATCH(J3963,'Final List'!$B$4:$B$252,0),0)</f>
        <v>0</v>
      </c>
      <c r="L3963" s="169">
        <f>IFERROR(MATCH(J3963,'Final List'!$D$4:$D$252,0),0)</f>
        <v>0</v>
      </c>
      <c r="M3963" s="169">
        <f>IFERROR(MATCH(J3963,'Final List'!$F$4:$F$251,0),0)</f>
        <v>0</v>
      </c>
      <c r="N3963" s="169">
        <f>IFERROR(MATCH(J3963,'Final List'!$H$4:$H$252,0),0)</f>
        <v>0</v>
      </c>
      <c r="O3963" s="169">
        <f>IFERROR(MATCH(J3963,'Final List'!$J$4:$J$252,0),0)</f>
        <v>0</v>
      </c>
      <c r="P3963" s="169">
        <f>IFERROR(MATCH(J3963,'Final List'!$L$4:$L$252,0),0)</f>
        <v>0</v>
      </c>
      <c r="Q3963" s="169">
        <f>IFERROR(MATCH(J3963,'Final List'!$N$4:$N$252,0),0)</f>
        <v>0</v>
      </c>
      <c r="R3963" s="169">
        <f>IFERROR(MATCH(J3963,'Final List'!$P$4:$P$252,0),0)</f>
        <v>0</v>
      </c>
      <c r="S3963" s="169">
        <f t="shared" si="249"/>
        <v>0</v>
      </c>
      <c r="V3963" s="169" t="str">
        <f t="shared" si="250"/>
        <v>CAYMAN</v>
      </c>
      <c r="W3963" s="169" t="s">
        <v>2715</v>
      </c>
    </row>
    <row r="3964" spans="2:23" x14ac:dyDescent="0.25">
      <c r="B3964" s="169" t="s">
        <v>1167</v>
      </c>
      <c r="C3964" s="169" t="s">
        <v>45</v>
      </c>
      <c r="D3964" s="169" t="s">
        <v>121</v>
      </c>
      <c r="E3964" s="169" t="s">
        <v>14857</v>
      </c>
      <c r="F3964" s="245" t="s">
        <v>13047</v>
      </c>
      <c r="G3964" s="169" t="s">
        <v>14132</v>
      </c>
      <c r="I3964" s="169" t="str">
        <f t="shared" si="243"/>
        <v>L12_DPVE_022E_FILL RAISE</v>
      </c>
      <c r="J3964" s="169" t="s">
        <v>14856</v>
      </c>
      <c r="K3964" s="169">
        <f>IFERROR(MATCH(J3964,'Final List'!$B$4:$B$252,0),0)</f>
        <v>0</v>
      </c>
      <c r="L3964" s="169">
        <f>IFERROR(MATCH(J3964,'Final List'!$D$4:$D$252,0),0)</f>
        <v>0</v>
      </c>
      <c r="M3964" s="169">
        <f>IFERROR(MATCH(J3964,'Final List'!$F$4:$F$251,0),0)</f>
        <v>0</v>
      </c>
      <c r="N3964" s="169">
        <f>IFERROR(MATCH(J3964,'Final List'!$H$4:$H$252,0),0)</f>
        <v>0</v>
      </c>
      <c r="O3964" s="169">
        <f>IFERROR(MATCH(J3964,'Final List'!$J$4:$J$252,0),0)</f>
        <v>0</v>
      </c>
      <c r="P3964" s="169">
        <f>IFERROR(MATCH(J3964,'Final List'!$L$4:$L$252,0),0)</f>
        <v>0</v>
      </c>
      <c r="Q3964" s="169">
        <f>IFERROR(MATCH(J3964,'Final List'!$N$4:$N$252,0),0)</f>
        <v>0</v>
      </c>
      <c r="R3964" s="169">
        <f>IFERROR(MATCH(J3964,'Final List'!$P$4:$P$252,0),0)</f>
        <v>0</v>
      </c>
      <c r="S3964" s="169">
        <f t="shared" si="249"/>
        <v>0</v>
      </c>
      <c r="V3964" s="169" t="str">
        <f t="shared" si="250"/>
        <v>LANTACA</v>
      </c>
      <c r="W3964" s="169" t="s">
        <v>2715</v>
      </c>
    </row>
    <row r="3965" spans="2:23" x14ac:dyDescent="0.25">
      <c r="B3965" s="169" t="s">
        <v>96</v>
      </c>
      <c r="C3965" s="169" t="s">
        <v>45</v>
      </c>
      <c r="D3965" s="169" t="s">
        <v>173</v>
      </c>
      <c r="E3965" s="169" t="s">
        <v>60</v>
      </c>
      <c r="F3965" s="245" t="str">
        <f t="shared" si="248"/>
        <v>Dhoz 71</v>
      </c>
      <c r="G3965" s="169" t="s">
        <v>6621</v>
      </c>
      <c r="I3965" s="169" t="str">
        <f t="shared" si="243"/>
        <v>L09_DPVE_049E_DE</v>
      </c>
      <c r="J3965" s="169" t="s">
        <v>14858</v>
      </c>
      <c r="K3965" s="169">
        <f>IFERROR(MATCH(J3965,'Final List'!$B$4:$B$252,0),0)</f>
        <v>0</v>
      </c>
      <c r="L3965" s="169">
        <f>IFERROR(MATCH(J3965,'Final List'!$D$4:$D$252,0),0)</f>
        <v>0</v>
      </c>
      <c r="M3965" s="169">
        <f>IFERROR(MATCH(J3965,'Final List'!$F$4:$F$251,0),0)</f>
        <v>0</v>
      </c>
      <c r="N3965" s="169">
        <f>IFERROR(MATCH(J3965,'Final List'!$H$4:$H$252,0),0)</f>
        <v>0</v>
      </c>
      <c r="O3965" s="169">
        <f>IFERROR(MATCH(J3965,'Final List'!$J$4:$J$252,0),0)</f>
        <v>0</v>
      </c>
      <c r="P3965" s="169">
        <f>IFERROR(MATCH(J3965,'Final List'!$L$4:$L$252,0),0)</f>
        <v>0</v>
      </c>
      <c r="Q3965" s="169">
        <f>IFERROR(MATCH(J3965,'Final List'!$N$4:$N$252,0),0)</f>
        <v>0</v>
      </c>
      <c r="R3965" s="169">
        <f>IFERROR(MATCH(J3965,'Final List'!$P$4:$P$252,0),0)</f>
        <v>0</v>
      </c>
      <c r="S3965" s="169">
        <f t="shared" si="249"/>
        <v>0</v>
      </c>
      <c r="V3965" s="169" t="str">
        <f t="shared" si="250"/>
        <v>DELOS REYES V1</v>
      </c>
      <c r="W3965" s="169" t="s">
        <v>8896</v>
      </c>
    </row>
    <row r="3966" spans="2:23" x14ac:dyDescent="0.25">
      <c r="B3966" s="169" t="s">
        <v>95</v>
      </c>
      <c r="C3966" s="169" t="s">
        <v>42</v>
      </c>
      <c r="D3966" s="169" t="s">
        <v>147</v>
      </c>
      <c r="E3966" s="169" t="s">
        <v>15097</v>
      </c>
      <c r="F3966" s="245" t="str">
        <f>IF(OR(E3966="XCN",E3966="DE",E3966="DW",E3966="DN",E3966="XCS",E3966="XCE",E3966="XCW",E3966="SUMP",E3966="BYPASS",E3966="CHAMBER",E3966="DRAIN HOLE",E3966="DRILLING CHAMBER",E3966="DE_ISL",E3966="DW_ISL",E3966="REHAB",E3966="DE_ISL",E3966="DE_ISL_B",E3966="DW_ISL_B",E3966="DW_ISL_A",E3966="DE_ISL_A"),"Dhoz 71",IF(OR(E3966="RAISE",E3966="RAISE_ISL"),"DVR 72",IF(E3966="ALIMAK","DVA 73",IF(E3966="WINZE","DVW 74",IF(E3966="SHAFT","DVS 75",IF(AND(E3966="WINZE STOPE",T3966="S"),"RobC 80",IF(AND(E3966="STOPE",T3966="S"),"StpS 77",IF(AND(E3966="WINZE STOPE",T3966="L"),"RobC 80",IF(AND(E3966="STOPE",T3966="L"),"StpL 78",IF(AND(E3966="WINZE STOPE PREP",T3966="S"),"RobC 80",IF(AND(E3966="STOPE PREP",T3966="S"),"StpS 77",IF(AND(E3966="WINZE STOPE PREP",T3966="L"),"RobC 80",IF(AND(E3966="STOPE PREP",T3966="L"),"StpL 78",IF(AND(E3966="ROBBING",T3966="L"),"RobC 80",IF(AND(E3966="ROBBING",T3966="S"),"RobS 79",0)))))))))))))))</f>
        <v>Dhoz 71</v>
      </c>
      <c r="G3966" s="169" t="s">
        <v>14669</v>
      </c>
      <c r="H3966" s="169" t="s">
        <v>14947</v>
      </c>
      <c r="I3966" s="169" t="str">
        <f t="shared" si="243"/>
        <v>L08_JV_024E_DW_ISL_B</v>
      </c>
      <c r="J3966" s="169" t="s">
        <v>15297</v>
      </c>
      <c r="K3966" s="169">
        <f>IFERROR(MATCH(J3966,'Final List'!$B$4:$B$252,0),0)</f>
        <v>0</v>
      </c>
      <c r="L3966" s="169">
        <f>IFERROR(MATCH(J3966,'Final List'!$D$4:$D$252,0),0)</f>
        <v>0</v>
      </c>
      <c r="M3966" s="169">
        <f>IFERROR(MATCH(J3966,'Final List'!$F$4:$F$251,0),0)</f>
        <v>0</v>
      </c>
      <c r="N3966" s="169">
        <f>IFERROR(MATCH(J3966,'Final List'!$H$4:$H$252,0),0)</f>
        <v>0</v>
      </c>
      <c r="O3966" s="169">
        <f>IFERROR(MATCH(J3966,'Final List'!$J$4:$J$252,0),0)</f>
        <v>0</v>
      </c>
      <c r="P3966" s="169">
        <f>IFERROR(MATCH(J3966,'Final List'!$L$4:$L$252,0),0)</f>
        <v>0</v>
      </c>
      <c r="Q3966" s="169">
        <f>IFERROR(MATCH(J3966,'Final List'!$N$4:$N$252,0),0)</f>
        <v>0</v>
      </c>
      <c r="R3966" s="169">
        <f>IFERROR(MATCH(J3966,'Final List'!$P$4:$P$252,0),0)</f>
        <v>0</v>
      </c>
      <c r="S3966" s="169">
        <f t="shared" si="249"/>
        <v>0</v>
      </c>
      <c r="V3966" s="169" t="str">
        <f t="shared" si="250"/>
        <v>NITRO CM</v>
      </c>
      <c r="W3966" s="169" t="s">
        <v>8895</v>
      </c>
    </row>
    <row r="3967" spans="2:23" x14ac:dyDescent="0.25">
      <c r="B3967" s="169" t="s">
        <v>12320</v>
      </c>
      <c r="C3967" s="169" t="s">
        <v>59</v>
      </c>
      <c r="D3967" s="169" t="s">
        <v>169</v>
      </c>
      <c r="E3967" s="169" t="s">
        <v>211</v>
      </c>
      <c r="F3967" s="245" t="str">
        <f t="shared" si="248"/>
        <v>StpS 77</v>
      </c>
      <c r="G3967" s="169" t="s">
        <v>75</v>
      </c>
      <c r="I3967" s="169" t="str">
        <f t="shared" si="243"/>
        <v>L425_GHVHW_065E_STOPE PREP</v>
      </c>
      <c r="J3967" s="169" t="s">
        <v>14861</v>
      </c>
      <c r="K3967" s="169">
        <f>IFERROR(MATCH(J3967,'Final List'!$B$4:$B$252,0),0)</f>
        <v>0</v>
      </c>
      <c r="L3967" s="169">
        <f>IFERROR(MATCH(J3967,'Final List'!$D$4:$D$252,0),0)</f>
        <v>0</v>
      </c>
      <c r="M3967" s="169">
        <f>IFERROR(MATCH(J3967,'Final List'!$F$4:$F$251,0),0)</f>
        <v>0</v>
      </c>
      <c r="N3967" s="169">
        <f>IFERROR(MATCH(J3967,'Final List'!$H$4:$H$252,0),0)</f>
        <v>0</v>
      </c>
      <c r="O3967" s="169">
        <f>IFERROR(MATCH(J3967,'Final List'!$J$4:$J$252,0),0)</f>
        <v>0</v>
      </c>
      <c r="P3967" s="169">
        <f>IFERROR(MATCH(J3967,'Final List'!$L$4:$L$252,0),0)</f>
        <v>0</v>
      </c>
      <c r="Q3967" s="169">
        <f>IFERROR(MATCH(J3967,'Final List'!$N$4:$N$252,0),0)</f>
        <v>0</v>
      </c>
      <c r="R3967" s="169">
        <f>IFERROR(MATCH(J3967,'Final List'!$P$4:$P$252,0),0)</f>
        <v>0</v>
      </c>
      <c r="S3967" s="169">
        <f t="shared" si="249"/>
        <v>0</v>
      </c>
      <c r="T3967" s="169" t="s">
        <v>68</v>
      </c>
      <c r="V3967" s="169" t="str">
        <f t="shared" si="250"/>
        <v>BABOR</v>
      </c>
      <c r="W3967" s="169" t="s">
        <v>2712</v>
      </c>
    </row>
    <row r="3968" spans="2:23" x14ac:dyDescent="0.25">
      <c r="B3968" s="169" t="s">
        <v>12320</v>
      </c>
      <c r="C3968" s="169" t="s">
        <v>45</v>
      </c>
      <c r="D3968" s="169" t="s">
        <v>161</v>
      </c>
      <c r="E3968" s="169" t="s">
        <v>211</v>
      </c>
      <c r="F3968" s="245" t="str">
        <f t="shared" si="248"/>
        <v>StpS 77</v>
      </c>
      <c r="G3968" s="169" t="s">
        <v>7984</v>
      </c>
      <c r="H3968" s="169" t="s">
        <v>13763</v>
      </c>
      <c r="I3968" s="169" t="str">
        <f t="shared" si="243"/>
        <v>L425_DPVE_044E_STOPE PREP</v>
      </c>
      <c r="J3968" s="169" t="s">
        <v>15161</v>
      </c>
      <c r="K3968" s="169">
        <f>IFERROR(MATCH(J3968,'Final List'!$B$4:$B$252,0),0)</f>
        <v>0</v>
      </c>
      <c r="L3968" s="169">
        <f>IFERROR(MATCH(J3968,'Final List'!$D$4:$D$252,0),0)</f>
        <v>0</v>
      </c>
      <c r="M3968" s="169">
        <f>IFERROR(MATCH(J3968,'Final List'!$F$4:$F$251,0),0)</f>
        <v>0</v>
      </c>
      <c r="N3968" s="169">
        <f>IFERROR(MATCH(J3968,'Final List'!$H$4:$H$252,0),0)</f>
        <v>0</v>
      </c>
      <c r="O3968" s="169">
        <f>IFERROR(MATCH(J3968,'Final List'!$J$4:$J$252,0),0)</f>
        <v>0</v>
      </c>
      <c r="P3968" s="169">
        <f>IFERROR(MATCH(J3968,'Final List'!$L$4:$L$252,0),0)</f>
        <v>0</v>
      </c>
      <c r="Q3968" s="169">
        <f>IFERROR(MATCH(J3968,'Final List'!$N$4:$N$252,0),0)</f>
        <v>0</v>
      </c>
      <c r="R3968" s="169">
        <f>IFERROR(MATCH(J3968,'Final List'!$P$4:$P$252,0),0)</f>
        <v>0</v>
      </c>
      <c r="S3968" s="169">
        <f t="shared" si="249"/>
        <v>0</v>
      </c>
      <c r="T3968" s="169" t="s">
        <v>68</v>
      </c>
      <c r="V3968" s="169" t="str">
        <f t="shared" si="250"/>
        <v>BANEZ</v>
      </c>
      <c r="W3968" s="169" t="s">
        <v>2712</v>
      </c>
    </row>
    <row r="3969" spans="2:23" x14ac:dyDescent="0.25">
      <c r="B3969" s="169" t="s">
        <v>1167</v>
      </c>
      <c r="C3969" s="169" t="s">
        <v>43</v>
      </c>
      <c r="D3969" s="169" t="s">
        <v>5872</v>
      </c>
      <c r="E3969" s="169" t="s">
        <v>19</v>
      </c>
      <c r="F3969" s="245" t="str">
        <f t="shared" si="248"/>
        <v>DVR 72</v>
      </c>
      <c r="G3969" s="169" t="s">
        <v>9885</v>
      </c>
      <c r="I3969" s="169" t="str">
        <f t="shared" si="243"/>
        <v>L12_GHVSPLIT_076E_RAISE</v>
      </c>
      <c r="J3969" s="169" t="s">
        <v>14866</v>
      </c>
      <c r="K3969" s="169">
        <f>IFERROR(MATCH(J3969,'Final List'!$B$4:$B$252,0),0)</f>
        <v>0</v>
      </c>
      <c r="L3969" s="169">
        <f>IFERROR(MATCH(J3969,'Final List'!$D$4:$D$252,0),0)</f>
        <v>0</v>
      </c>
      <c r="M3969" s="169">
        <f>IFERROR(MATCH(J3969,'Final List'!$F$4:$F$251,0),0)</f>
        <v>0</v>
      </c>
      <c r="N3969" s="169">
        <f>IFERROR(MATCH(J3969,'Final List'!$H$4:$H$252,0),0)</f>
        <v>0</v>
      </c>
      <c r="O3969" s="169">
        <f>IFERROR(MATCH(J3969,'Final List'!$J$4:$J$252,0),0)</f>
        <v>0</v>
      </c>
      <c r="P3969" s="169">
        <f>IFERROR(MATCH(J3969,'Final List'!$L$4:$L$252,0),0)</f>
        <v>0</v>
      </c>
      <c r="Q3969" s="169">
        <f>IFERROR(MATCH(J3969,'Final List'!$N$4:$N$252,0),0)</f>
        <v>0</v>
      </c>
      <c r="R3969" s="169">
        <f>IFERROR(MATCH(J3969,'Final List'!$P$4:$P$252,0),0)</f>
        <v>0</v>
      </c>
      <c r="S3969" s="169">
        <f t="shared" si="249"/>
        <v>0</v>
      </c>
      <c r="V3969" s="169" t="str">
        <f t="shared" si="250"/>
        <v>CAYMAN 2</v>
      </c>
      <c r="W3969" s="169" t="s">
        <v>2715</v>
      </c>
    </row>
    <row r="3970" spans="2:23" x14ac:dyDescent="0.25">
      <c r="B3970" s="169" t="s">
        <v>94</v>
      </c>
      <c r="C3970" s="169" t="s">
        <v>87</v>
      </c>
      <c r="D3970" s="169" t="s">
        <v>120</v>
      </c>
      <c r="E3970" s="169" t="s">
        <v>14871</v>
      </c>
      <c r="F3970" s="245" t="s">
        <v>14362</v>
      </c>
      <c r="G3970" s="169" t="s">
        <v>6216</v>
      </c>
      <c r="I3970" s="169" t="str">
        <f t="shared" si="243"/>
        <v>L07_NONE_015E_MAINLINE_REHABILITATION</v>
      </c>
      <c r="J3970" s="169" t="s">
        <v>14864</v>
      </c>
      <c r="K3970" s="169">
        <f>IFERROR(MATCH(J3970,'Final List'!$B$4:$B$252,0),0)</f>
        <v>0</v>
      </c>
      <c r="L3970" s="169">
        <f>IFERROR(MATCH(J3970,'Final List'!$D$4:$D$252,0),0)</f>
        <v>0</v>
      </c>
      <c r="M3970" s="169">
        <f>IFERROR(MATCH(J3970,'Final List'!$F$4:$F$251,0),0)</f>
        <v>0</v>
      </c>
      <c r="N3970" s="169">
        <f>IFERROR(MATCH(J3970,'Final List'!$H$4:$H$252,0),0)</f>
        <v>0</v>
      </c>
      <c r="O3970" s="169">
        <f>IFERROR(MATCH(J3970,'Final List'!$J$4:$J$252,0),0)</f>
        <v>0</v>
      </c>
      <c r="P3970" s="169">
        <f>IFERROR(MATCH(J3970,'Final List'!$L$4:$L$252,0),0)</f>
        <v>0</v>
      </c>
      <c r="Q3970" s="169">
        <f>IFERROR(MATCH(J3970,'Final List'!$N$4:$N$252,0),0)</f>
        <v>0</v>
      </c>
      <c r="R3970" s="169">
        <f>IFERROR(MATCH(J3970,'Final List'!$P$4:$P$252,0),0)</f>
        <v>0</v>
      </c>
      <c r="S3970" s="169">
        <f t="shared" si="249"/>
        <v>0</v>
      </c>
      <c r="V3970" s="169" t="str">
        <f t="shared" si="250"/>
        <v>FERNANDEZ</v>
      </c>
      <c r="W3970" s="169" t="s">
        <v>2714</v>
      </c>
    </row>
    <row r="3971" spans="2:23" x14ac:dyDescent="0.25">
      <c r="B3971" s="169" t="s">
        <v>14095</v>
      </c>
      <c r="C3971" s="169" t="s">
        <v>43</v>
      </c>
      <c r="D3971" s="169" t="s">
        <v>5614</v>
      </c>
      <c r="E3971" s="169" t="s">
        <v>60</v>
      </c>
      <c r="F3971" s="245" t="str">
        <f t="shared" ref="F3971:F4034" si="252">IF(OR(E3971="XCN",E3971="DE",E3971="DW",E3971="DN",E3971="XCS",E3971="XCE",E3971="XCW",E3971="SUMP",E3971="BYPASS",E3971="CHAMBER",E3971="DRAIN HOLE",E3971="DRILLING CHAMBER",E3971="DE_ISL",E3971="DW_ISL",E3971="REHAB"),"Dhoz 71",IF(OR(E3971="RAISE",E3971="RAISE_ISL"),"DVR 72",IF(E3971="ALIMAK","DVA 73",IF(E3971="WINZE","DVW 74",IF(E3971="SHAFT","DVS 75",IF(AND(E3971="WINZE STOPE",T3971="S"),"RobC 80",IF(AND(E3971="STOPE",T3971="S"),"StpS 77",IF(AND(E3971="WINZE STOPE",T3971="L"),"RobC 80",IF(AND(E3971="STOPE",T3971="L"),"StpL 78",IF(AND(E3971="WINZE STOPE PREP",T3971="S"),"RobC 80",IF(AND(E3971="STOPE PREP",T3971="S"),"StpS 77",IF(AND(E3971="WINZE STOPE PREP",T3971="L"),"RobC 80",IF(AND(E3971="STOPE PREP",T3971="L"),"StpL 78",IF(AND(E3971="ROBBING",T3971="L"),"RobC 80",IF(AND(E3971="ROBBING",T3971="S"),"RobS 79",0)))))))))))))))</f>
        <v>Dhoz 71</v>
      </c>
      <c r="G3971" s="169" t="s">
        <v>14875</v>
      </c>
      <c r="I3971" s="169" t="str">
        <f t="shared" si="243"/>
        <v>L460_GHVSPLIT_055E_DE</v>
      </c>
      <c r="J3971" s="169" t="s">
        <v>14874</v>
      </c>
      <c r="K3971" s="169">
        <f>IFERROR(MATCH(J3971,'Final List'!$B$4:$B$252,0),0)</f>
        <v>0</v>
      </c>
      <c r="L3971" s="169">
        <f>IFERROR(MATCH(J3971,'Final List'!$D$4:$D$252,0),0)</f>
        <v>0</v>
      </c>
      <c r="M3971" s="169">
        <f>IFERROR(MATCH(J3971,'Final List'!$F$4:$F$251,0),0)</f>
        <v>0</v>
      </c>
      <c r="N3971" s="169">
        <f>IFERROR(MATCH(J3971,'Final List'!$H$4:$H$252,0),0)</f>
        <v>0</v>
      </c>
      <c r="O3971" s="169">
        <f>IFERROR(MATCH(J3971,'Final List'!$J$4:$J$252,0),0)</f>
        <v>0</v>
      </c>
      <c r="P3971" s="169">
        <f>IFERROR(MATCH(J3971,'Final List'!$L$4:$L$252,0),0)</f>
        <v>0</v>
      </c>
      <c r="Q3971" s="169">
        <f>IFERROR(MATCH(J3971,'Final List'!$N$4:$N$252,0),0)</f>
        <v>0</v>
      </c>
      <c r="R3971" s="169">
        <f>IFERROR(MATCH(J3971,'Final List'!$P$4:$P$252,0),0)</f>
        <v>0</v>
      </c>
      <c r="S3971" s="169">
        <f t="shared" ref="S3971:S4034" si="253">SUM(K3971:R3971)</f>
        <v>0</v>
      </c>
      <c r="V3971" s="169" t="str">
        <f t="shared" si="250"/>
        <v>DUHIG,P.</v>
      </c>
      <c r="W3971" s="169" t="s">
        <v>8896</v>
      </c>
    </row>
    <row r="3972" spans="2:23" x14ac:dyDescent="0.25">
      <c r="B3972" s="169" t="s">
        <v>95</v>
      </c>
      <c r="C3972" s="169" t="s">
        <v>38</v>
      </c>
      <c r="D3972" s="169" t="s">
        <v>6833</v>
      </c>
      <c r="E3972" s="169" t="s">
        <v>62</v>
      </c>
      <c r="F3972" s="245" t="str">
        <f t="shared" si="252"/>
        <v>RobS 79</v>
      </c>
      <c r="G3972" s="169" t="s">
        <v>14241</v>
      </c>
      <c r="H3972" s="169" t="s">
        <v>15076</v>
      </c>
      <c r="I3972" s="169" t="str">
        <f t="shared" si="243"/>
        <v>L08_GHV_017W_ROBBING</v>
      </c>
      <c r="J3972" s="169" t="s">
        <v>4564</v>
      </c>
      <c r="K3972" s="169">
        <f>IFERROR(MATCH(J3972,'Final List'!$B$4:$B$252,0),0)</f>
        <v>0</v>
      </c>
      <c r="L3972" s="169">
        <f>IFERROR(MATCH(J3972,'Final List'!$D$4:$D$252,0),0)</f>
        <v>0</v>
      </c>
      <c r="M3972" s="169">
        <f>IFERROR(MATCH(J3972,'Final List'!$F$4:$F$251,0),0)</f>
        <v>0</v>
      </c>
      <c r="N3972" s="169">
        <f>IFERROR(MATCH(J3972,'Final List'!$H$4:$H$252,0),0)</f>
        <v>0</v>
      </c>
      <c r="O3972" s="169">
        <f>IFERROR(MATCH(J3972,'Final List'!$J$4:$J$252,0),0)</f>
        <v>0</v>
      </c>
      <c r="P3972" s="169">
        <f>IFERROR(MATCH(J3972,'Final List'!$L$4:$L$252,0),0)</f>
        <v>0</v>
      </c>
      <c r="Q3972" s="169">
        <f>IFERROR(MATCH(J3972,'Final List'!$N$4:$N$252,0),0)</f>
        <v>0</v>
      </c>
      <c r="R3972" s="169">
        <f>IFERROR(MATCH(J3972,'Final List'!$P$4:$P$252,0),0)</f>
        <v>87</v>
      </c>
      <c r="S3972" s="169">
        <f t="shared" si="253"/>
        <v>87</v>
      </c>
      <c r="T3972" s="169" t="s">
        <v>68</v>
      </c>
      <c r="V3972" s="169" t="str">
        <f t="shared" si="250"/>
        <v>NITRO CQ</v>
      </c>
      <c r="W3972" s="169" t="s">
        <v>2707</v>
      </c>
    </row>
    <row r="3973" spans="2:23" x14ac:dyDescent="0.25">
      <c r="B3973" s="169" t="s">
        <v>95</v>
      </c>
      <c r="C3973" s="169" t="s">
        <v>45</v>
      </c>
      <c r="D3973" s="169" t="s">
        <v>135</v>
      </c>
      <c r="E3973" s="169" t="s">
        <v>36</v>
      </c>
      <c r="F3973" s="245" t="str">
        <f t="shared" si="252"/>
        <v>StpS 77</v>
      </c>
      <c r="G3973" s="169" t="s">
        <v>6925</v>
      </c>
      <c r="H3973" s="169" t="s">
        <v>6216</v>
      </c>
      <c r="I3973" s="169" t="str">
        <f t="shared" si="243"/>
        <v>L08_DPVE_034E_STOPE</v>
      </c>
      <c r="J3973" s="169" t="s">
        <v>14878</v>
      </c>
      <c r="K3973" s="169">
        <f>IFERROR(MATCH(J3973,'Final List'!$B$4:$B$252,0),0)</f>
        <v>0</v>
      </c>
      <c r="L3973" s="169">
        <f>IFERROR(MATCH(J3973,'Final List'!$D$4:$D$252,0),0)</f>
        <v>0</v>
      </c>
      <c r="M3973" s="169">
        <f>IFERROR(MATCH(J3973,'Final List'!$F$4:$F$251,0),0)</f>
        <v>0</v>
      </c>
      <c r="N3973" s="169">
        <f>IFERROR(MATCH(J3973,'Final List'!$H$4:$H$252,0),0)</f>
        <v>0</v>
      </c>
      <c r="O3973" s="169">
        <f>IFERROR(MATCH(J3973,'Final List'!$J$4:$J$252,0),0)</f>
        <v>0</v>
      </c>
      <c r="P3973" s="169">
        <f>IFERROR(MATCH(J3973,'Final List'!$L$4:$L$252,0),0)</f>
        <v>0</v>
      </c>
      <c r="Q3973" s="169">
        <f>IFERROR(MATCH(J3973,'Final List'!$N$4:$N$252,0),0)</f>
        <v>0</v>
      </c>
      <c r="R3973" s="169">
        <f>IFERROR(MATCH(J3973,'Final List'!$P$4:$P$252,0),0)</f>
        <v>0</v>
      </c>
      <c r="S3973" s="169">
        <f t="shared" si="253"/>
        <v>0</v>
      </c>
      <c r="T3973" s="169" t="s">
        <v>68</v>
      </c>
      <c r="V3973" s="169" t="str">
        <f t="shared" si="250"/>
        <v>FERNANDEZ</v>
      </c>
      <c r="W3973" s="169" t="s">
        <v>2711</v>
      </c>
    </row>
    <row r="3974" spans="2:23" x14ac:dyDescent="0.25">
      <c r="B3974" s="169" t="s">
        <v>95</v>
      </c>
      <c r="C3974" s="169" t="s">
        <v>45</v>
      </c>
      <c r="D3974" s="169" t="s">
        <v>5741</v>
      </c>
      <c r="E3974" s="169" t="s">
        <v>36</v>
      </c>
      <c r="F3974" s="245" t="str">
        <f t="shared" si="252"/>
        <v>StpS 77</v>
      </c>
      <c r="G3974" s="169" t="s">
        <v>6216</v>
      </c>
      <c r="I3974" s="169" t="str">
        <f t="shared" si="243"/>
        <v>L08_DPVE_035E_STOPE</v>
      </c>
      <c r="J3974" s="169" t="s">
        <v>14930</v>
      </c>
      <c r="K3974" s="169">
        <f>IFERROR(MATCH(J3974,'Final List'!$B$4:$B$252,0),0)</f>
        <v>0</v>
      </c>
      <c r="L3974" s="169">
        <f>IFERROR(MATCH(J3974,'Final List'!$D$4:$D$252,0),0)</f>
        <v>0</v>
      </c>
      <c r="M3974" s="169">
        <f>IFERROR(MATCH(J3974,'Final List'!$F$4:$F$251,0),0)</f>
        <v>0</v>
      </c>
      <c r="N3974" s="169">
        <f>IFERROR(MATCH(J3974,'Final List'!$H$4:$H$252,0),0)</f>
        <v>0</v>
      </c>
      <c r="O3974" s="169">
        <f>IFERROR(MATCH(J3974,'Final List'!$J$4:$J$252,0),0)</f>
        <v>0</v>
      </c>
      <c r="P3974" s="169">
        <f>IFERROR(MATCH(J3974,'Final List'!$L$4:$L$252,0),0)</f>
        <v>0</v>
      </c>
      <c r="Q3974" s="169">
        <f>IFERROR(MATCH(J3974,'Final List'!$N$4:$N$252,0),0)</f>
        <v>0</v>
      </c>
      <c r="R3974" s="169">
        <f>IFERROR(MATCH(J3974,'Final List'!$P$4:$P$252,0),0)</f>
        <v>0</v>
      </c>
      <c r="S3974" s="169">
        <f t="shared" si="253"/>
        <v>0</v>
      </c>
      <c r="T3974" s="169" t="s">
        <v>68</v>
      </c>
      <c r="V3974" s="169" t="str">
        <f t="shared" si="250"/>
        <v>FERNANDEZ</v>
      </c>
      <c r="W3974" s="169" t="s">
        <v>2711</v>
      </c>
    </row>
    <row r="3975" spans="2:23" x14ac:dyDescent="0.25">
      <c r="B3975" s="169" t="s">
        <v>12320</v>
      </c>
      <c r="C3975" s="169" t="s">
        <v>57</v>
      </c>
      <c r="D3975" s="169" t="s">
        <v>284</v>
      </c>
      <c r="E3975" s="169" t="s">
        <v>19</v>
      </c>
      <c r="F3975" s="245" t="str">
        <f t="shared" si="252"/>
        <v>DVR 72</v>
      </c>
      <c r="G3975" s="169" t="s">
        <v>7984</v>
      </c>
      <c r="I3975" s="169" t="str">
        <f t="shared" si="243"/>
        <v>L425_JVSPLIT_061E_RAISE</v>
      </c>
      <c r="J3975" s="169" t="s">
        <v>14886</v>
      </c>
      <c r="K3975" s="169">
        <f>IFERROR(MATCH(J3975,'Final List'!$B$4:$B$252,0),0)</f>
        <v>0</v>
      </c>
      <c r="L3975" s="169">
        <f>IFERROR(MATCH(J3975,'Final List'!$D$4:$D$252,0),0)</f>
        <v>0</v>
      </c>
      <c r="M3975" s="169">
        <f>IFERROR(MATCH(J3975,'Final List'!$F$4:$F$251,0),0)</f>
        <v>0</v>
      </c>
      <c r="N3975" s="169">
        <f>IFERROR(MATCH(J3975,'Final List'!$H$4:$H$252,0),0)</f>
        <v>0</v>
      </c>
      <c r="O3975" s="169">
        <f>IFERROR(MATCH(J3975,'Final List'!$J$4:$J$252,0),0)</f>
        <v>0</v>
      </c>
      <c r="P3975" s="169">
        <f>IFERROR(MATCH(J3975,'Final List'!$L$4:$L$252,0),0)</f>
        <v>0</v>
      </c>
      <c r="Q3975" s="169">
        <f>IFERROR(MATCH(J3975,'Final List'!$N$4:$N$252,0),0)</f>
        <v>0</v>
      </c>
      <c r="R3975" s="169">
        <f>IFERROR(MATCH(J3975,'Final List'!$P$4:$P$252,0),0)</f>
        <v>0</v>
      </c>
      <c r="S3975" s="169">
        <f t="shared" si="253"/>
        <v>0</v>
      </c>
      <c r="V3975" s="169" t="str">
        <f t="shared" si="250"/>
        <v>OLIVEROS</v>
      </c>
      <c r="W3975" s="169" t="s">
        <v>2715</v>
      </c>
    </row>
    <row r="3976" spans="2:23" x14ac:dyDescent="0.25">
      <c r="B3976" s="169" t="s">
        <v>1167</v>
      </c>
      <c r="C3976" s="169" t="s">
        <v>55</v>
      </c>
      <c r="D3976" s="169" t="s">
        <v>5614</v>
      </c>
      <c r="E3976" s="169" t="s">
        <v>211</v>
      </c>
      <c r="F3976" s="245" t="str">
        <f t="shared" si="252"/>
        <v>StpS 77</v>
      </c>
      <c r="G3976" s="169" t="s">
        <v>14130</v>
      </c>
      <c r="I3976" s="169" t="str">
        <f t="shared" si="243"/>
        <v>L12_JVFW_055E_STOPE PREP</v>
      </c>
      <c r="J3976" s="169" t="s">
        <v>14888</v>
      </c>
      <c r="K3976" s="169">
        <f>IFERROR(MATCH(J3976,'Final List'!$B$4:$B$252,0),0)</f>
        <v>0</v>
      </c>
      <c r="L3976" s="169">
        <f>IFERROR(MATCH(J3976,'Final List'!$D$4:$D$252,0),0)</f>
        <v>0</v>
      </c>
      <c r="M3976" s="169">
        <f>IFERROR(MATCH(J3976,'Final List'!$F$4:$F$251,0),0)</f>
        <v>0</v>
      </c>
      <c r="N3976" s="169">
        <f>IFERROR(MATCH(J3976,'Final List'!$H$4:$H$252,0),0)</f>
        <v>0</v>
      </c>
      <c r="O3976" s="169">
        <f>IFERROR(MATCH(J3976,'Final List'!$J$4:$J$252,0),0)</f>
        <v>0</v>
      </c>
      <c r="P3976" s="169">
        <f>IFERROR(MATCH(J3976,'Final List'!$L$4:$L$252,0),0)</f>
        <v>0</v>
      </c>
      <c r="Q3976" s="169">
        <f>IFERROR(MATCH(J3976,'Final List'!$N$4:$N$252,0),0)</f>
        <v>0</v>
      </c>
      <c r="R3976" s="169">
        <f>IFERROR(MATCH(J3976,'Final List'!$P$4:$P$252,0),0)</f>
        <v>0</v>
      </c>
      <c r="S3976" s="169">
        <f t="shared" si="253"/>
        <v>0</v>
      </c>
      <c r="T3976" s="169" t="s">
        <v>68</v>
      </c>
      <c r="V3976" s="169" t="str">
        <f t="shared" si="250"/>
        <v>DURANGO</v>
      </c>
      <c r="W3976" s="169" t="s">
        <v>2712</v>
      </c>
    </row>
    <row r="3977" spans="2:23" x14ac:dyDescent="0.25">
      <c r="B3977" s="169" t="s">
        <v>1166</v>
      </c>
      <c r="C3977" s="169" t="s">
        <v>45</v>
      </c>
      <c r="D3977" s="169" t="s">
        <v>5844</v>
      </c>
      <c r="E3977" s="169" t="s">
        <v>19</v>
      </c>
      <c r="F3977" s="245" t="str">
        <f t="shared" si="252"/>
        <v>DVR 72</v>
      </c>
      <c r="G3977" s="169" t="s">
        <v>14265</v>
      </c>
      <c r="I3977" s="169" t="str">
        <f t="shared" si="243"/>
        <v>L11_DPVE_009W_RAISE</v>
      </c>
      <c r="J3977" s="169" t="s">
        <v>14890</v>
      </c>
      <c r="K3977" s="169">
        <f>IFERROR(MATCH(J3977,'Final List'!$B$4:$B$252,0),0)</f>
        <v>0</v>
      </c>
      <c r="L3977" s="169">
        <f>IFERROR(MATCH(J3977,'Final List'!$D$4:$D$252,0),0)</f>
        <v>0</v>
      </c>
      <c r="M3977" s="169">
        <f>IFERROR(MATCH(J3977,'Final List'!$F$4:$F$251,0),0)</f>
        <v>0</v>
      </c>
      <c r="N3977" s="169">
        <f>IFERROR(MATCH(J3977,'Final List'!$H$4:$H$252,0),0)</f>
        <v>0</v>
      </c>
      <c r="O3977" s="169">
        <f>IFERROR(MATCH(J3977,'Final List'!$J$4:$J$252,0),0)</f>
        <v>0</v>
      </c>
      <c r="P3977" s="169">
        <f>IFERROR(MATCH(J3977,'Final List'!$L$4:$L$252,0),0)</f>
        <v>0</v>
      </c>
      <c r="Q3977" s="169">
        <f>IFERROR(MATCH(J3977,'Final List'!$N$4:$N$252,0),0)</f>
        <v>0</v>
      </c>
      <c r="R3977" s="169">
        <f>IFERROR(MATCH(J3977,'Final List'!$P$4:$P$252,0),0)</f>
        <v>0</v>
      </c>
      <c r="S3977" s="169">
        <f t="shared" si="253"/>
        <v>0</v>
      </c>
      <c r="V3977" s="169" t="str">
        <f t="shared" si="250"/>
        <v>NITRO BB1</v>
      </c>
      <c r="W3977" s="169" t="s">
        <v>2715</v>
      </c>
    </row>
    <row r="3978" spans="2:23" x14ac:dyDescent="0.25">
      <c r="B3978" s="169" t="s">
        <v>1166</v>
      </c>
      <c r="C3978" s="169" t="s">
        <v>45</v>
      </c>
      <c r="D3978" s="169" t="s">
        <v>140</v>
      </c>
      <c r="E3978" s="169" t="s">
        <v>60</v>
      </c>
      <c r="F3978" s="245" t="str">
        <f t="shared" si="252"/>
        <v>Dhoz 71</v>
      </c>
      <c r="G3978" t="s">
        <v>12070</v>
      </c>
      <c r="I3978" s="169" t="str">
        <f t="shared" si="243"/>
        <v>L11_DPVE_005W_DE</v>
      </c>
      <c r="J3978" s="169" t="s">
        <v>14892</v>
      </c>
      <c r="K3978" s="169">
        <f>IFERROR(MATCH(J3978,'Final List'!$B$4:$B$252,0),0)</f>
        <v>0</v>
      </c>
      <c r="L3978" s="169">
        <f>IFERROR(MATCH(J3978,'Final List'!$D$4:$D$252,0),0)</f>
        <v>0</v>
      </c>
      <c r="M3978" s="169">
        <f>IFERROR(MATCH(J3978,'Final List'!$F$4:$F$251,0),0)</f>
        <v>0</v>
      </c>
      <c r="N3978" s="169">
        <f>IFERROR(MATCH(J3978,'Final List'!$H$4:$H$252,0),0)</f>
        <v>0</v>
      </c>
      <c r="O3978" s="169">
        <f>IFERROR(MATCH(J3978,'Final List'!$J$4:$J$252,0),0)</f>
        <v>0</v>
      </c>
      <c r="P3978" s="169">
        <f>IFERROR(MATCH(J3978,'Final List'!$L$4:$L$252,0),0)</f>
        <v>0</v>
      </c>
      <c r="Q3978" s="169">
        <f>IFERROR(MATCH(J3978,'Final List'!$N$4:$N$252,0),0)</f>
        <v>0</v>
      </c>
      <c r="R3978" s="169">
        <f>IFERROR(MATCH(J3978,'Final List'!$P$4:$P$252,0),0)</f>
        <v>0</v>
      </c>
      <c r="S3978" s="169">
        <f t="shared" si="253"/>
        <v>0</v>
      </c>
      <c r="V3978" s="169" t="str">
        <f t="shared" si="250"/>
        <v>NITRO BB</v>
      </c>
      <c r="W3978" s="169" t="s">
        <v>8896</v>
      </c>
    </row>
    <row r="3979" spans="2:23" x14ac:dyDescent="0.25">
      <c r="B3979" s="169" t="s">
        <v>12320</v>
      </c>
      <c r="C3979" s="169" t="s">
        <v>59</v>
      </c>
      <c r="D3979" s="169" t="s">
        <v>165</v>
      </c>
      <c r="E3979" s="169" t="s">
        <v>211</v>
      </c>
      <c r="F3979" s="245" t="str">
        <f t="shared" si="252"/>
        <v>StpS 77</v>
      </c>
      <c r="G3979" s="169" t="s">
        <v>14317</v>
      </c>
      <c r="I3979" s="169" t="str">
        <f t="shared" si="243"/>
        <v>L425_GHVHW_056E_STOPE PREP</v>
      </c>
      <c r="J3979" s="169" t="s">
        <v>14894</v>
      </c>
      <c r="K3979" s="169">
        <f>IFERROR(MATCH(J3979,'Final List'!$B$4:$B$252,0),0)</f>
        <v>0</v>
      </c>
      <c r="L3979" s="169">
        <f>IFERROR(MATCH(J3979,'Final List'!$D$4:$D$252,0),0)</f>
        <v>0</v>
      </c>
      <c r="M3979" s="169">
        <f>IFERROR(MATCH(J3979,'Final List'!$F$4:$F$251,0),0)</f>
        <v>0</v>
      </c>
      <c r="N3979" s="169">
        <f>IFERROR(MATCH(J3979,'Final List'!$H$4:$H$252,0),0)</f>
        <v>0</v>
      </c>
      <c r="O3979" s="169">
        <f>IFERROR(MATCH(J3979,'Final List'!$J$4:$J$252,0),0)</f>
        <v>0</v>
      </c>
      <c r="P3979" s="169">
        <f>IFERROR(MATCH(J3979,'Final List'!$L$4:$L$252,0),0)</f>
        <v>0</v>
      </c>
      <c r="Q3979" s="169">
        <f>IFERROR(MATCH(J3979,'Final List'!$N$4:$N$252,0),0)</f>
        <v>0</v>
      </c>
      <c r="R3979" s="169">
        <f>IFERROR(MATCH(J3979,'Final List'!$P$4:$P$252,0),0)</f>
        <v>0</v>
      </c>
      <c r="S3979" s="169">
        <f t="shared" si="253"/>
        <v>0</v>
      </c>
      <c r="T3979" s="169" t="s">
        <v>68</v>
      </c>
      <c r="V3979" s="169" t="str">
        <f t="shared" si="250"/>
        <v>ESPINOSA</v>
      </c>
      <c r="W3979" s="169" t="s">
        <v>2712</v>
      </c>
    </row>
    <row r="3980" spans="2:23" x14ac:dyDescent="0.25">
      <c r="B3980" s="169" t="s">
        <v>12320</v>
      </c>
      <c r="C3980" s="169" t="s">
        <v>59</v>
      </c>
      <c r="D3980" s="169" t="s">
        <v>170</v>
      </c>
      <c r="E3980" s="169" t="s">
        <v>211</v>
      </c>
      <c r="F3980" s="245" t="str">
        <f t="shared" si="252"/>
        <v>StpS 77</v>
      </c>
      <c r="G3980" s="169" t="s">
        <v>14900</v>
      </c>
      <c r="I3980" s="169" t="str">
        <f t="shared" si="243"/>
        <v>L425_GHVHW_071E_STOPE PREP</v>
      </c>
      <c r="J3980" s="169" t="s">
        <v>14896</v>
      </c>
      <c r="K3980" s="169">
        <f>IFERROR(MATCH(J3980,'Final List'!$B$4:$B$252,0),0)</f>
        <v>0</v>
      </c>
      <c r="L3980" s="169">
        <f>IFERROR(MATCH(J3980,'Final List'!$D$4:$D$252,0),0)</f>
        <v>0</v>
      </c>
      <c r="M3980" s="169">
        <f>IFERROR(MATCH(J3980,'Final List'!$F$4:$F$251,0),0)</f>
        <v>0</v>
      </c>
      <c r="N3980" s="169">
        <f>IFERROR(MATCH(J3980,'Final List'!$H$4:$H$252,0),0)</f>
        <v>0</v>
      </c>
      <c r="O3980" s="169">
        <f>IFERROR(MATCH(J3980,'Final List'!$J$4:$J$252,0),0)</f>
        <v>0</v>
      </c>
      <c r="P3980" s="169">
        <f>IFERROR(MATCH(J3980,'Final List'!$L$4:$L$252,0),0)</f>
        <v>0</v>
      </c>
      <c r="Q3980" s="169">
        <f>IFERROR(MATCH(J3980,'Final List'!$N$4:$N$252,0),0)</f>
        <v>0</v>
      </c>
      <c r="R3980" s="169">
        <f>IFERROR(MATCH(J3980,'Final List'!$P$4:$P$252,0),0)</f>
        <v>0</v>
      </c>
      <c r="S3980" s="169">
        <f t="shared" si="253"/>
        <v>0</v>
      </c>
      <c r="T3980" s="169" t="s">
        <v>68</v>
      </c>
      <c r="V3980" s="169" t="str">
        <f t="shared" si="250"/>
        <v>ESPINOSA 4</v>
      </c>
      <c r="W3980" s="169" t="s">
        <v>2712</v>
      </c>
    </row>
    <row r="3981" spans="2:23" x14ac:dyDescent="0.25">
      <c r="B3981" s="169" t="s">
        <v>1166</v>
      </c>
      <c r="C3981" s="169" t="s">
        <v>87</v>
      </c>
      <c r="D3981" s="169" t="s">
        <v>131</v>
      </c>
      <c r="E3981" s="169" t="s">
        <v>63</v>
      </c>
      <c r="F3981" s="245" t="str">
        <f t="shared" si="252"/>
        <v>Dhoz 71</v>
      </c>
      <c r="G3981" s="169" t="s">
        <v>14655</v>
      </c>
      <c r="I3981" s="169" t="str">
        <f t="shared" si="243"/>
        <v>L11_NONE_011E_XCS</v>
      </c>
      <c r="J3981" s="169" t="s">
        <v>14937</v>
      </c>
      <c r="K3981" s="169">
        <f>IFERROR(MATCH(J3981,'Final List'!$B$4:$B$252,0),0)</f>
        <v>0</v>
      </c>
      <c r="L3981" s="169">
        <f>IFERROR(MATCH(J3981,'Final List'!$D$4:$D$252,0),0)</f>
        <v>0</v>
      </c>
      <c r="M3981" s="169">
        <f>IFERROR(MATCH(J3981,'Final List'!$F$4:$F$251,0),0)</f>
        <v>0</v>
      </c>
      <c r="N3981" s="169">
        <f>IFERROR(MATCH(J3981,'Final List'!$H$4:$H$252,0),0)</f>
        <v>0</v>
      </c>
      <c r="O3981" s="169">
        <f>IFERROR(MATCH(J3981,'Final List'!$J$4:$J$252,0),0)</f>
        <v>0</v>
      </c>
      <c r="P3981" s="169">
        <f>IFERROR(MATCH(J3981,'Final List'!$L$4:$L$252,0),0)</f>
        <v>0</v>
      </c>
      <c r="Q3981" s="169">
        <f>IFERROR(MATCH(J3981,'Final List'!$N$4:$N$252,0),0)</f>
        <v>0</v>
      </c>
      <c r="R3981" s="169">
        <f>IFERROR(MATCH(J3981,'Final List'!$P$4:$P$252,0),0)</f>
        <v>0</v>
      </c>
      <c r="S3981" s="169">
        <f t="shared" si="253"/>
        <v>0</v>
      </c>
      <c r="V3981" s="169" t="str">
        <f t="shared" si="250"/>
        <v>GOC-ONG</v>
      </c>
      <c r="W3981" s="169" t="s">
        <v>8898</v>
      </c>
    </row>
    <row r="3982" spans="2:23" x14ac:dyDescent="0.25">
      <c r="B3982" s="169" t="s">
        <v>1167</v>
      </c>
      <c r="C3982" s="169" t="s">
        <v>45</v>
      </c>
      <c r="D3982" s="169" t="s">
        <v>103</v>
      </c>
      <c r="E3982" s="169" t="s">
        <v>19</v>
      </c>
      <c r="F3982" s="245" t="str">
        <f t="shared" si="252"/>
        <v>DVR 72</v>
      </c>
      <c r="G3982" s="169" t="s">
        <v>12548</v>
      </c>
      <c r="I3982" s="169" t="str">
        <f t="shared" si="243"/>
        <v>L12_DPVE_005E_RAISE</v>
      </c>
      <c r="J3982" s="169" t="s">
        <v>14911</v>
      </c>
      <c r="K3982" s="169">
        <f>IFERROR(MATCH(J3982,'Final List'!$B$4:$B$252,0),0)</f>
        <v>0</v>
      </c>
      <c r="L3982" s="169">
        <f>IFERROR(MATCH(J3982,'Final List'!$D$4:$D$252,0),0)</f>
        <v>0</v>
      </c>
      <c r="M3982" s="169">
        <f>IFERROR(MATCH(J3982,'Final List'!$F$4:$F$251,0),0)</f>
        <v>0</v>
      </c>
      <c r="N3982" s="169">
        <f>IFERROR(MATCH(J3982,'Final List'!$H$4:$H$252,0),0)</f>
        <v>0</v>
      </c>
      <c r="O3982" s="169">
        <f>IFERROR(MATCH(J3982,'Final List'!$J$4:$J$252,0),0)</f>
        <v>0</v>
      </c>
      <c r="P3982" s="169">
        <f>IFERROR(MATCH(J3982,'Final List'!$L$4:$L$252,0),0)</f>
        <v>0</v>
      </c>
      <c r="Q3982" s="169">
        <f>IFERROR(MATCH(J3982,'Final List'!$N$4:$N$252,0),0)</f>
        <v>0</v>
      </c>
      <c r="R3982" s="169">
        <f>IFERROR(MATCH(J3982,'Final List'!$P$4:$P$252,0),0)</f>
        <v>0</v>
      </c>
      <c r="S3982" s="169">
        <f t="shared" si="253"/>
        <v>0</v>
      </c>
      <c r="V3982" s="169" t="str">
        <f t="shared" si="250"/>
        <v>NITRO BM</v>
      </c>
      <c r="W3982" s="169" t="s">
        <v>2715</v>
      </c>
    </row>
    <row r="3983" spans="2:23" x14ac:dyDescent="0.25">
      <c r="B3983" s="169" t="s">
        <v>95</v>
      </c>
      <c r="C3983" s="169" t="s">
        <v>42</v>
      </c>
      <c r="D3983" s="169" t="s">
        <v>178</v>
      </c>
      <c r="E3983" s="169" t="s">
        <v>6143</v>
      </c>
      <c r="F3983" s="245" t="str">
        <f t="shared" si="252"/>
        <v>Dhoz 71</v>
      </c>
      <c r="G3983" s="169" t="s">
        <v>14138</v>
      </c>
      <c r="I3983" s="169" t="str">
        <f t="shared" si="243"/>
        <v>L08_JV_048E_DE_ISL</v>
      </c>
      <c r="J3983" s="169" t="s">
        <v>14912</v>
      </c>
      <c r="K3983" s="169">
        <f>IFERROR(MATCH(J3983,'Final List'!$B$4:$B$252,0),0)</f>
        <v>0</v>
      </c>
      <c r="L3983" s="169">
        <f>IFERROR(MATCH(J3983,'Final List'!$D$4:$D$252,0),0)</f>
        <v>0</v>
      </c>
      <c r="M3983" s="169">
        <f>IFERROR(MATCH(J3983,'Final List'!$F$4:$F$251,0),0)</f>
        <v>0</v>
      </c>
      <c r="N3983" s="169">
        <f>IFERROR(MATCH(J3983,'Final List'!$H$4:$H$252,0),0)</f>
        <v>0</v>
      </c>
      <c r="O3983" s="169">
        <f>IFERROR(MATCH(J3983,'Final List'!$J$4:$J$252,0),0)</f>
        <v>0</v>
      </c>
      <c r="P3983" s="169">
        <f>IFERROR(MATCH(J3983,'Final List'!$L$4:$L$252,0),0)</f>
        <v>0</v>
      </c>
      <c r="Q3983" s="169">
        <f>IFERROR(MATCH(J3983,'Final List'!$N$4:$N$252,0),0)</f>
        <v>0</v>
      </c>
      <c r="R3983" s="169">
        <f>IFERROR(MATCH(J3983,'Final List'!$P$4:$P$252,0),0)</f>
        <v>0</v>
      </c>
      <c r="S3983" s="169">
        <f t="shared" si="253"/>
        <v>0</v>
      </c>
      <c r="V3983" s="169" t="str">
        <f t="shared" si="250"/>
        <v>CANTAGO 3</v>
      </c>
      <c r="W3983" s="169" t="s">
        <v>8895</v>
      </c>
    </row>
    <row r="3984" spans="2:23" x14ac:dyDescent="0.25">
      <c r="B3984" s="169" t="s">
        <v>95</v>
      </c>
      <c r="C3984" s="169" t="s">
        <v>42</v>
      </c>
      <c r="D3984" s="169" t="s">
        <v>5631</v>
      </c>
      <c r="E3984" s="169" t="s">
        <v>19</v>
      </c>
      <c r="F3984" s="245" t="str">
        <f t="shared" si="252"/>
        <v>DVR 72</v>
      </c>
      <c r="G3984" s="169" t="s">
        <v>14381</v>
      </c>
      <c r="I3984" s="169" t="str">
        <f t="shared" si="243"/>
        <v>L08_JV_020E_RAISE</v>
      </c>
      <c r="J3984" s="169" t="s">
        <v>924</v>
      </c>
      <c r="K3984" s="169">
        <f>IFERROR(MATCH(J3984,'Final List'!$B$4:$B$252,0),0)</f>
        <v>0</v>
      </c>
      <c r="L3984" s="169">
        <f>IFERROR(MATCH(J3984,'Final List'!$D$4:$D$252,0),0)</f>
        <v>0</v>
      </c>
      <c r="M3984" s="169">
        <f>IFERROR(MATCH(J3984,'Final List'!$F$4:$F$251,0),0)</f>
        <v>0</v>
      </c>
      <c r="N3984" s="169">
        <f>IFERROR(MATCH(J3984,'Final List'!$H$4:$H$252,0),0)</f>
        <v>0</v>
      </c>
      <c r="O3984" s="169">
        <f>IFERROR(MATCH(J3984,'Final List'!$J$4:$J$252,0),0)</f>
        <v>0</v>
      </c>
      <c r="P3984" s="169">
        <f>IFERROR(MATCH(J3984,'Final List'!$L$4:$L$252,0),0)</f>
        <v>0</v>
      </c>
      <c r="Q3984" s="169">
        <f>IFERROR(MATCH(J3984,'Final List'!$N$4:$N$252,0),0)</f>
        <v>0</v>
      </c>
      <c r="R3984" s="169">
        <f>IFERROR(MATCH(J3984,'Final List'!$P$4:$P$252,0),0)</f>
        <v>0</v>
      </c>
      <c r="S3984" s="169">
        <f t="shared" si="253"/>
        <v>0</v>
      </c>
      <c r="V3984" s="169" t="str">
        <f t="shared" si="250"/>
        <v>CAPUYAN 5</v>
      </c>
      <c r="W3984" s="169" t="s">
        <v>2715</v>
      </c>
    </row>
    <row r="3985" spans="2:23" x14ac:dyDescent="0.25">
      <c r="B3985" s="169" t="s">
        <v>14095</v>
      </c>
      <c r="C3985" s="169" t="s">
        <v>43</v>
      </c>
      <c r="D3985" s="169" t="s">
        <v>165</v>
      </c>
      <c r="E3985" s="169" t="s">
        <v>60</v>
      </c>
      <c r="F3985" s="245" t="str">
        <f t="shared" si="252"/>
        <v>Dhoz 71</v>
      </c>
      <c r="G3985" s="169" t="s">
        <v>9096</v>
      </c>
      <c r="I3985" s="169" t="str">
        <f t="shared" si="243"/>
        <v>L460_GHVSPLIT_056E_DE</v>
      </c>
      <c r="J3985" s="169" t="s">
        <v>14914</v>
      </c>
      <c r="K3985" s="169">
        <f>IFERROR(MATCH(J3985,'Final List'!$B$4:$B$252,0),0)</f>
        <v>0</v>
      </c>
      <c r="L3985" s="169">
        <f>IFERROR(MATCH(J3985,'Final List'!$D$4:$D$252,0),0)</f>
        <v>0</v>
      </c>
      <c r="M3985" s="169">
        <f>IFERROR(MATCH(J3985,'Final List'!$F$4:$F$251,0),0)</f>
        <v>0</v>
      </c>
      <c r="N3985" s="169">
        <f>IFERROR(MATCH(J3985,'Final List'!$H$4:$H$252,0),0)</f>
        <v>220</v>
      </c>
      <c r="O3985" s="169">
        <f>IFERROR(MATCH(J3985,'Final List'!$J$4:$J$252,0),0)</f>
        <v>0</v>
      </c>
      <c r="P3985" s="169">
        <f>IFERROR(MATCH(J3985,'Final List'!$L$4:$L$252,0),0)</f>
        <v>0</v>
      </c>
      <c r="Q3985" s="169">
        <f>IFERROR(MATCH(J3985,'Final List'!$N$4:$N$252,0),0)</f>
        <v>0</v>
      </c>
      <c r="R3985" s="169">
        <f>IFERROR(MATCH(J3985,'Final List'!$P$4:$P$252,0),0)</f>
        <v>0</v>
      </c>
      <c r="S3985" s="169">
        <f t="shared" si="253"/>
        <v>220</v>
      </c>
      <c r="V3985" s="169" t="str">
        <f t="shared" si="250"/>
        <v>DUHIG P3</v>
      </c>
      <c r="W3985" s="169" t="s">
        <v>8896</v>
      </c>
    </row>
    <row r="3986" spans="2:23" x14ac:dyDescent="0.25">
      <c r="B3986" s="169" t="s">
        <v>1167</v>
      </c>
      <c r="C3986" s="169" t="s">
        <v>45</v>
      </c>
      <c r="D3986" s="169" t="s">
        <v>159</v>
      </c>
      <c r="E3986" s="169" t="s">
        <v>19</v>
      </c>
      <c r="F3986" s="245" t="str">
        <f t="shared" si="252"/>
        <v>DVR 72</v>
      </c>
      <c r="G3986" s="169" t="s">
        <v>14921</v>
      </c>
      <c r="H3986" s="169" t="s">
        <v>14130</v>
      </c>
      <c r="I3986" s="169" t="str">
        <f t="shared" si="243"/>
        <v>L12_DPVE_023E_RAISE</v>
      </c>
      <c r="J3986" s="169" t="s">
        <v>14920</v>
      </c>
      <c r="K3986" s="169">
        <f>IFERROR(MATCH(J3986,'Final List'!$B$4:$B$252,0),0)</f>
        <v>0</v>
      </c>
      <c r="L3986" s="169">
        <f>IFERROR(MATCH(J3986,'Final List'!$D$4:$D$252,0),0)</f>
        <v>0</v>
      </c>
      <c r="M3986" s="169">
        <f>IFERROR(MATCH(J3986,'Final List'!$F$4:$F$251,0),0)</f>
        <v>0</v>
      </c>
      <c r="N3986" s="169">
        <f>IFERROR(MATCH(J3986,'Final List'!$H$4:$H$252,0),0)</f>
        <v>0</v>
      </c>
      <c r="O3986" s="169">
        <f>IFERROR(MATCH(J3986,'Final List'!$J$4:$J$252,0),0)</f>
        <v>0</v>
      </c>
      <c r="P3986" s="169">
        <f>IFERROR(MATCH(J3986,'Final List'!$L$4:$L$252,0),0)</f>
        <v>0</v>
      </c>
      <c r="Q3986" s="169">
        <f>IFERROR(MATCH(J3986,'Final List'!$N$4:$N$252,0),0)</f>
        <v>0</v>
      </c>
      <c r="R3986" s="169">
        <f>IFERROR(MATCH(J3986,'Final List'!$P$4:$P$252,0),0)</f>
        <v>0</v>
      </c>
      <c r="S3986" s="169">
        <f t="shared" si="253"/>
        <v>0</v>
      </c>
      <c r="V3986" s="169" t="str">
        <f t="shared" ref="V3986:V4049" si="254">IF(H3986="",G3986,H3986)</f>
        <v>DURANGO</v>
      </c>
      <c r="W3986" s="169" t="s">
        <v>2715</v>
      </c>
    </row>
    <row r="3987" spans="2:23" x14ac:dyDescent="0.25">
      <c r="B3987" s="169" t="s">
        <v>258</v>
      </c>
      <c r="C3987" s="169" t="s">
        <v>45</v>
      </c>
      <c r="D3987" s="169" t="s">
        <v>171</v>
      </c>
      <c r="E3987" s="169" t="s">
        <v>211</v>
      </c>
      <c r="F3987" s="245" t="str">
        <f t="shared" si="252"/>
        <v>StpS 77</v>
      </c>
      <c r="G3987" s="169" t="s">
        <v>5702</v>
      </c>
      <c r="I3987" s="169" t="str">
        <f t="shared" si="243"/>
        <v>L10_DPVE_015W_STOPE PREP</v>
      </c>
      <c r="J3987" s="169" t="s">
        <v>14926</v>
      </c>
      <c r="K3987" s="169">
        <f>IFERROR(MATCH(J3987,'Final List'!$B$4:$B$252,0),0)</f>
        <v>0</v>
      </c>
      <c r="L3987" s="169">
        <f>IFERROR(MATCH(J3987,'Final List'!$D$4:$D$252,0),0)</f>
        <v>0</v>
      </c>
      <c r="M3987" s="169">
        <f>IFERROR(MATCH(J3987,'Final List'!$F$4:$F$251,0),0)</f>
        <v>0</v>
      </c>
      <c r="N3987" s="169">
        <f>IFERROR(MATCH(J3987,'Final List'!$H$4:$H$252,0),0)</f>
        <v>0</v>
      </c>
      <c r="O3987" s="169">
        <f>IFERROR(MATCH(J3987,'Final List'!$J$4:$J$252,0),0)</f>
        <v>0</v>
      </c>
      <c r="P3987" s="169">
        <f>IFERROR(MATCH(J3987,'Final List'!$L$4:$L$252,0),0)</f>
        <v>0</v>
      </c>
      <c r="Q3987" s="169">
        <f>IFERROR(MATCH(J3987,'Final List'!$N$4:$N$252,0),0)</f>
        <v>0</v>
      </c>
      <c r="R3987" s="169">
        <f>IFERROR(MATCH(J3987,'Final List'!$P$4:$P$252,0),0)</f>
        <v>0</v>
      </c>
      <c r="S3987" s="169">
        <f t="shared" si="253"/>
        <v>0</v>
      </c>
      <c r="T3987" s="169" t="s">
        <v>68</v>
      </c>
      <c r="V3987" s="169" t="str">
        <f t="shared" si="254"/>
        <v>LARGO 3</v>
      </c>
      <c r="W3987" s="169" t="s">
        <v>2712</v>
      </c>
    </row>
    <row r="3988" spans="2:23" x14ac:dyDescent="0.25">
      <c r="B3988" s="169" t="s">
        <v>95</v>
      </c>
      <c r="C3988" s="169" t="s">
        <v>45</v>
      </c>
      <c r="D3988" s="169" t="s">
        <v>5742</v>
      </c>
      <c r="E3988" s="169" t="s">
        <v>19</v>
      </c>
      <c r="F3988" s="245" t="str">
        <f t="shared" si="252"/>
        <v>DVR 72</v>
      </c>
      <c r="G3988" s="169" t="s">
        <v>14285</v>
      </c>
      <c r="I3988" s="169" t="str">
        <f t="shared" si="243"/>
        <v>L08_DPVE_040E_RAISE</v>
      </c>
      <c r="J3988" s="169" t="s">
        <v>14931</v>
      </c>
      <c r="K3988" s="169">
        <f>IFERROR(MATCH(J3988,'Final List'!$B$4:$B$252,0),0)</f>
        <v>0</v>
      </c>
      <c r="L3988" s="169">
        <f>IFERROR(MATCH(J3988,'Final List'!$D$4:$D$252,0),0)</f>
        <v>0</v>
      </c>
      <c r="M3988" s="169">
        <f>IFERROR(MATCH(J3988,'Final List'!$F$4:$F$251,0),0)</f>
        <v>0</v>
      </c>
      <c r="N3988" s="169">
        <f>IFERROR(MATCH(J3988,'Final List'!$H$4:$H$252,0),0)</f>
        <v>0</v>
      </c>
      <c r="O3988" s="169">
        <f>IFERROR(MATCH(J3988,'Final List'!$J$4:$J$252,0),0)</f>
        <v>0</v>
      </c>
      <c r="P3988" s="169">
        <f>IFERROR(MATCH(J3988,'Final List'!$L$4:$L$252,0),0)</f>
        <v>0</v>
      </c>
      <c r="Q3988" s="169">
        <f>IFERROR(MATCH(J3988,'Final List'!$N$4:$N$252,0),0)</f>
        <v>0</v>
      </c>
      <c r="R3988" s="169">
        <f>IFERROR(MATCH(J3988,'Final List'!$P$4:$P$252,0),0)</f>
        <v>0</v>
      </c>
      <c r="S3988" s="169">
        <f t="shared" si="253"/>
        <v>0</v>
      </c>
      <c r="V3988" s="169" t="str">
        <f t="shared" si="254"/>
        <v>CANTAGO 4</v>
      </c>
      <c r="W3988" s="169" t="s">
        <v>2715</v>
      </c>
    </row>
    <row r="3989" spans="2:23" x14ac:dyDescent="0.25">
      <c r="B3989" s="169" t="s">
        <v>95</v>
      </c>
      <c r="C3989" s="169" t="s">
        <v>42</v>
      </c>
      <c r="D3989" s="169" t="s">
        <v>121</v>
      </c>
      <c r="E3989" s="169" t="s">
        <v>6143</v>
      </c>
      <c r="F3989" s="245" t="str">
        <f t="shared" si="252"/>
        <v>Dhoz 71</v>
      </c>
      <c r="G3989" s="169" t="s">
        <v>14669</v>
      </c>
      <c r="I3989" s="169" t="str">
        <f t="shared" si="243"/>
        <v>L08_JV_022E_DE_ISL</v>
      </c>
      <c r="J3989" s="169" t="s">
        <v>14935</v>
      </c>
      <c r="K3989" s="169">
        <f>IFERROR(MATCH(J3989,'Final List'!$B$4:$B$252,0),0)</f>
        <v>0</v>
      </c>
      <c r="L3989" s="169">
        <f>IFERROR(MATCH(J3989,'Final List'!$D$4:$D$252,0),0)</f>
        <v>0</v>
      </c>
      <c r="M3989" s="169">
        <f>IFERROR(MATCH(J3989,'Final List'!$F$4:$F$251,0),0)</f>
        <v>0</v>
      </c>
      <c r="N3989" s="169">
        <f>IFERROR(MATCH(J3989,'Final List'!$H$4:$H$252,0),0)</f>
        <v>0</v>
      </c>
      <c r="O3989" s="169">
        <f>IFERROR(MATCH(J3989,'Final List'!$J$4:$J$252,0),0)</f>
        <v>0</v>
      </c>
      <c r="P3989" s="169">
        <f>IFERROR(MATCH(J3989,'Final List'!$L$4:$L$252,0),0)</f>
        <v>0</v>
      </c>
      <c r="Q3989" s="169">
        <f>IFERROR(MATCH(J3989,'Final List'!$N$4:$N$252,0),0)</f>
        <v>0</v>
      </c>
      <c r="R3989" s="169">
        <f>IFERROR(MATCH(J3989,'Final List'!$P$4:$P$252,0),0)</f>
        <v>0</v>
      </c>
      <c r="S3989" s="169">
        <f t="shared" si="253"/>
        <v>0</v>
      </c>
      <c r="V3989" s="169" t="str">
        <f t="shared" si="254"/>
        <v>NITRO CF </v>
      </c>
      <c r="W3989" s="169" t="s">
        <v>8895</v>
      </c>
    </row>
    <row r="3990" spans="2:23" x14ac:dyDescent="0.25">
      <c r="B3990" s="169" t="s">
        <v>258</v>
      </c>
      <c r="C3990" s="169" t="s">
        <v>42</v>
      </c>
      <c r="D3990" s="169" t="s">
        <v>5992</v>
      </c>
      <c r="E3990" s="169" t="s">
        <v>19</v>
      </c>
      <c r="F3990" s="245" t="str">
        <f t="shared" si="252"/>
        <v>DVR 72</v>
      </c>
      <c r="G3990" s="169" t="s">
        <v>5700</v>
      </c>
      <c r="I3990" s="169" t="str">
        <f t="shared" si="243"/>
        <v>L10_JV_026W_RAISE</v>
      </c>
      <c r="J3990" s="169" t="s">
        <v>14938</v>
      </c>
      <c r="K3990" s="169">
        <f>IFERROR(MATCH(J3990,'Final List'!$B$4:$B$252,0),0)</f>
        <v>0</v>
      </c>
      <c r="L3990" s="169">
        <f>IFERROR(MATCH(J3990,'Final List'!$D$4:$D$252,0),0)</f>
        <v>0</v>
      </c>
      <c r="M3990" s="169">
        <f>IFERROR(MATCH(J3990,'Final List'!$F$4:$F$251,0),0)</f>
        <v>0</v>
      </c>
      <c r="N3990" s="169">
        <f>IFERROR(MATCH(J3990,'Final List'!$H$4:$H$252,0),0)</f>
        <v>0</v>
      </c>
      <c r="O3990" s="169">
        <f>IFERROR(MATCH(J3990,'Final List'!$J$4:$J$252,0),0)</f>
        <v>0</v>
      </c>
      <c r="P3990" s="169">
        <f>IFERROR(MATCH(J3990,'Final List'!$L$4:$L$252,0),0)</f>
        <v>0</v>
      </c>
      <c r="Q3990" s="169">
        <f>IFERROR(MATCH(J3990,'Final List'!$N$4:$N$252,0),0)</f>
        <v>0</v>
      </c>
      <c r="R3990" s="169">
        <f>IFERROR(MATCH(J3990,'Final List'!$P$4:$P$252,0),0)</f>
        <v>0</v>
      </c>
      <c r="S3990" s="169">
        <f t="shared" si="253"/>
        <v>0</v>
      </c>
      <c r="V3990" s="169" t="str">
        <f t="shared" si="254"/>
        <v>LARGO 1</v>
      </c>
      <c r="W3990" s="169" t="s">
        <v>2715</v>
      </c>
    </row>
    <row r="3991" spans="2:23" x14ac:dyDescent="0.25">
      <c r="B3991" s="169" t="s">
        <v>1166</v>
      </c>
      <c r="C3991" s="169" t="s">
        <v>45</v>
      </c>
      <c r="D3991" s="169" t="s">
        <v>117</v>
      </c>
      <c r="E3991" s="169" t="s">
        <v>61</v>
      </c>
      <c r="F3991" s="245" t="str">
        <f t="shared" si="252"/>
        <v>Dhoz 71</v>
      </c>
      <c r="G3991" s="169" t="s">
        <v>4068</v>
      </c>
      <c r="I3991" s="169" t="str">
        <f t="shared" si="243"/>
        <v>L11_DPVE_006W_DW</v>
      </c>
      <c r="J3991" s="169" t="s">
        <v>14941</v>
      </c>
      <c r="K3991" s="169">
        <f>IFERROR(MATCH(J3991,'Final List'!$B$4:$B$252,0),0)</f>
        <v>0</v>
      </c>
      <c r="L3991" s="169">
        <f>IFERROR(MATCH(J3991,'Final List'!$D$4:$D$252,0),0)</f>
        <v>0</v>
      </c>
      <c r="M3991" s="169">
        <f>IFERROR(MATCH(J3991,'Final List'!$F$4:$F$251,0),0)</f>
        <v>0</v>
      </c>
      <c r="N3991" s="169">
        <f>IFERROR(MATCH(J3991,'Final List'!$H$4:$H$252,0),0)</f>
        <v>0</v>
      </c>
      <c r="O3991" s="169">
        <f>IFERROR(MATCH(J3991,'Final List'!$J$4:$J$252,0),0)</f>
        <v>0</v>
      </c>
      <c r="P3991" s="169">
        <f>IFERROR(MATCH(J3991,'Final List'!$L$4:$L$252,0),0)</f>
        <v>0</v>
      </c>
      <c r="Q3991" s="169">
        <f>IFERROR(MATCH(J3991,'Final List'!$N$4:$N$252,0),0)</f>
        <v>0</v>
      </c>
      <c r="R3991" s="169">
        <f>IFERROR(MATCH(J3991,'Final List'!$P$4:$P$252,0),0)</f>
        <v>0</v>
      </c>
      <c r="S3991" s="169">
        <f t="shared" si="253"/>
        <v>0</v>
      </c>
      <c r="V3991" s="169" t="str">
        <f t="shared" si="254"/>
        <v>MAPAYO</v>
      </c>
      <c r="W3991" s="169" t="s">
        <v>8896</v>
      </c>
    </row>
    <row r="3992" spans="2:23" x14ac:dyDescent="0.25">
      <c r="B3992" s="169" t="s">
        <v>95</v>
      </c>
      <c r="C3992" s="169" t="s">
        <v>42</v>
      </c>
      <c r="D3992" s="169" t="s">
        <v>172</v>
      </c>
      <c r="E3992" s="169" t="s">
        <v>6154</v>
      </c>
      <c r="F3992" s="245" t="str">
        <f t="shared" si="252"/>
        <v>Dhoz 71</v>
      </c>
      <c r="G3992" s="169" t="s">
        <v>14138</v>
      </c>
      <c r="I3992" s="169" t="str">
        <f t="shared" si="243"/>
        <v>L08_JV_045E_DW_ISL</v>
      </c>
      <c r="J3992" s="169" t="s">
        <v>14943</v>
      </c>
      <c r="K3992" s="169">
        <f>IFERROR(MATCH(J3992,'Final List'!$B$4:$B$252,0),0)</f>
        <v>0</v>
      </c>
      <c r="L3992" s="169">
        <f>IFERROR(MATCH(J3992,'Final List'!$D$4:$D$252,0),0)</f>
        <v>0</v>
      </c>
      <c r="M3992" s="169">
        <f>IFERROR(MATCH(J3992,'Final List'!$F$4:$F$251,0),0)</f>
        <v>0</v>
      </c>
      <c r="N3992" s="169">
        <f>IFERROR(MATCH(J3992,'Final List'!$H$4:$H$252,0),0)</f>
        <v>0</v>
      </c>
      <c r="O3992" s="169">
        <f>IFERROR(MATCH(J3992,'Final List'!$J$4:$J$252,0),0)</f>
        <v>0</v>
      </c>
      <c r="P3992" s="169">
        <f>IFERROR(MATCH(J3992,'Final List'!$L$4:$L$252,0),0)</f>
        <v>0</v>
      </c>
      <c r="Q3992" s="169">
        <f>IFERROR(MATCH(J3992,'Final List'!$N$4:$N$252,0),0)</f>
        <v>0</v>
      </c>
      <c r="R3992" s="169">
        <f>IFERROR(MATCH(J3992,'Final List'!$P$4:$P$252,0),0)</f>
        <v>0</v>
      </c>
      <c r="S3992" s="169">
        <f t="shared" si="253"/>
        <v>0</v>
      </c>
      <c r="V3992" s="169" t="str">
        <f t="shared" si="254"/>
        <v>CANTAGO 3</v>
      </c>
      <c r="W3992" s="169" t="s">
        <v>8895</v>
      </c>
    </row>
    <row r="3993" spans="2:23" x14ac:dyDescent="0.25">
      <c r="B3993" s="169" t="s">
        <v>1167</v>
      </c>
      <c r="C3993" s="169" t="s">
        <v>43</v>
      </c>
      <c r="D3993" s="169" t="s">
        <v>5889</v>
      </c>
      <c r="E3993" s="169" t="s">
        <v>19</v>
      </c>
      <c r="F3993" s="245" t="str">
        <f t="shared" si="252"/>
        <v>DVR 72</v>
      </c>
      <c r="G3993" s="169" t="s">
        <v>14130</v>
      </c>
      <c r="I3993" s="169" t="str">
        <f t="shared" si="243"/>
        <v>L12_GHVSPLIT_077E_RAISE</v>
      </c>
      <c r="J3993" s="169" t="s">
        <v>14945</v>
      </c>
      <c r="K3993" s="169">
        <f>IFERROR(MATCH(J3993,'Final List'!$B$4:$B$252,0),0)</f>
        <v>0</v>
      </c>
      <c r="L3993" s="169">
        <f>IFERROR(MATCH(J3993,'Final List'!$D$4:$D$252,0),0)</f>
        <v>0</v>
      </c>
      <c r="M3993" s="169">
        <f>IFERROR(MATCH(J3993,'Final List'!$F$4:$F$251,0),0)</f>
        <v>0</v>
      </c>
      <c r="N3993" s="169">
        <f>IFERROR(MATCH(J3993,'Final List'!$H$4:$H$252,0),0)</f>
        <v>0</v>
      </c>
      <c r="O3993" s="169">
        <f>IFERROR(MATCH(J3993,'Final List'!$J$4:$J$252,0),0)</f>
        <v>0</v>
      </c>
      <c r="P3993" s="169">
        <f>IFERROR(MATCH(J3993,'Final List'!$L$4:$L$252,0),0)</f>
        <v>0</v>
      </c>
      <c r="Q3993" s="169">
        <f>IFERROR(MATCH(J3993,'Final List'!$N$4:$N$252,0),0)</f>
        <v>0</v>
      </c>
      <c r="R3993" s="169">
        <f>IFERROR(MATCH(J3993,'Final List'!$P$4:$P$252,0),0)</f>
        <v>0</v>
      </c>
      <c r="S3993" s="169">
        <f t="shared" si="253"/>
        <v>0</v>
      </c>
      <c r="V3993" s="169" t="str">
        <f t="shared" si="254"/>
        <v>DURANGO</v>
      </c>
      <c r="W3993" s="169" t="s">
        <v>2715</v>
      </c>
    </row>
    <row r="3994" spans="2:23" x14ac:dyDescent="0.25">
      <c r="B3994" s="169" t="s">
        <v>1166</v>
      </c>
      <c r="C3994" s="169" t="s">
        <v>45</v>
      </c>
      <c r="D3994" s="169" t="s">
        <v>247</v>
      </c>
      <c r="E3994" s="169" t="s">
        <v>211</v>
      </c>
      <c r="F3994" s="245" t="str">
        <f t="shared" si="252"/>
        <v>StpL 78</v>
      </c>
      <c r="G3994" s="169" t="s">
        <v>6954</v>
      </c>
      <c r="I3994" s="169" t="str">
        <f t="shared" si="243"/>
        <v>L11_DPVE_080E_STOPE PREP</v>
      </c>
      <c r="J3994" s="169" t="s">
        <v>14951</v>
      </c>
      <c r="K3994" s="169">
        <f>IFERROR(MATCH(J3994,'Final List'!$B$4:$B$252,0),0)</f>
        <v>0</v>
      </c>
      <c r="L3994" s="169">
        <f>IFERROR(MATCH(J3994,'Final List'!$D$4:$D$252,0),0)</f>
        <v>0</v>
      </c>
      <c r="M3994" s="169">
        <f>IFERROR(MATCH(J3994,'Final List'!$F$4:$F$251,0),0)</f>
        <v>0</v>
      </c>
      <c r="N3994" s="169">
        <f>IFERROR(MATCH(J3994,'Final List'!$H$4:$H$252,0),0)</f>
        <v>0</v>
      </c>
      <c r="O3994" s="169">
        <f>IFERROR(MATCH(J3994,'Final List'!$J$4:$J$252,0),0)</f>
        <v>0</v>
      </c>
      <c r="P3994" s="169">
        <f>IFERROR(MATCH(J3994,'Final List'!$L$4:$L$252,0),0)</f>
        <v>0</v>
      </c>
      <c r="Q3994" s="169">
        <f>IFERROR(MATCH(J3994,'Final List'!$N$4:$N$252,0),0)</f>
        <v>0</v>
      </c>
      <c r="R3994" s="169">
        <f>IFERROR(MATCH(J3994,'Final List'!$P$4:$P$252,0),0)</f>
        <v>0</v>
      </c>
      <c r="S3994" s="169">
        <f t="shared" si="253"/>
        <v>0</v>
      </c>
      <c r="T3994" s="169" t="s">
        <v>48</v>
      </c>
      <c r="V3994" s="169" t="str">
        <f t="shared" si="254"/>
        <v>BADBADON</v>
      </c>
      <c r="W3994" s="169" t="s">
        <v>2712</v>
      </c>
    </row>
    <row r="3995" spans="2:23" x14ac:dyDescent="0.25">
      <c r="B3995" s="169" t="s">
        <v>12320</v>
      </c>
      <c r="C3995" s="169" t="s">
        <v>43</v>
      </c>
      <c r="D3995" s="169" t="s">
        <v>198</v>
      </c>
      <c r="E3995" s="169" t="s">
        <v>19</v>
      </c>
      <c r="F3995" s="245" t="str">
        <f t="shared" si="252"/>
        <v>DVR 72</v>
      </c>
      <c r="G3995" s="169" t="s">
        <v>747</v>
      </c>
      <c r="I3995" s="169" t="str">
        <f t="shared" si="243"/>
        <v>L425_GHVSPLIT_069E_RAISE</v>
      </c>
      <c r="J3995" s="169" t="s">
        <v>14952</v>
      </c>
      <c r="K3995" s="169">
        <f>IFERROR(MATCH(J3995,'Final List'!$B$4:$B$252,0),0)</f>
        <v>0</v>
      </c>
      <c r="L3995" s="169">
        <f>IFERROR(MATCH(J3995,'Final List'!$D$4:$D$252,0),0)</f>
        <v>0</v>
      </c>
      <c r="M3995" s="169">
        <f>IFERROR(MATCH(J3995,'Final List'!$F$4:$F$251,0),0)</f>
        <v>0</v>
      </c>
      <c r="N3995" s="169">
        <f>IFERROR(MATCH(J3995,'Final List'!$H$4:$H$252,0),0)</f>
        <v>0</v>
      </c>
      <c r="O3995" s="169">
        <f>IFERROR(MATCH(J3995,'Final List'!$J$4:$J$252,0),0)</f>
        <v>0</v>
      </c>
      <c r="P3995" s="169">
        <f>IFERROR(MATCH(J3995,'Final List'!$L$4:$L$252,0),0)</f>
        <v>0</v>
      </c>
      <c r="Q3995" s="169">
        <f>IFERROR(MATCH(J3995,'Final List'!$N$4:$N$252,0),0)</f>
        <v>0</v>
      </c>
      <c r="R3995" s="169">
        <f>IFERROR(MATCH(J3995,'Final List'!$P$4:$P$252,0),0)</f>
        <v>0</v>
      </c>
      <c r="S3995" s="169">
        <f t="shared" si="253"/>
        <v>0</v>
      </c>
      <c r="V3995" s="169" t="str">
        <f t="shared" si="254"/>
        <v>REBOTE</v>
      </c>
      <c r="W3995" s="169" t="s">
        <v>2715</v>
      </c>
    </row>
    <row r="3996" spans="2:23" x14ac:dyDescent="0.25">
      <c r="B3996" s="169" t="s">
        <v>1167</v>
      </c>
      <c r="C3996" s="169" t="s">
        <v>45</v>
      </c>
      <c r="D3996" s="169" t="s">
        <v>178</v>
      </c>
      <c r="E3996" s="169" t="s">
        <v>60</v>
      </c>
      <c r="F3996" s="245" t="str">
        <f t="shared" si="252"/>
        <v>Dhoz 71</v>
      </c>
      <c r="G3996" s="169" t="s">
        <v>13633</v>
      </c>
      <c r="I3996" s="169" t="str">
        <f t="shared" si="243"/>
        <v>L12_DPVE_048E_DE</v>
      </c>
      <c r="J3996" s="169" t="s">
        <v>14954</v>
      </c>
      <c r="K3996" s="169">
        <f>IFERROR(MATCH(J3996,'Final List'!$B$4:$B$252,0),0)</f>
        <v>0</v>
      </c>
      <c r="L3996" s="169">
        <f>IFERROR(MATCH(J3996,'Final List'!$D$4:$D$252,0),0)</f>
        <v>0</v>
      </c>
      <c r="M3996" s="169">
        <f>IFERROR(MATCH(J3996,'Final List'!$F$4:$F$251,0),0)</f>
        <v>0</v>
      </c>
      <c r="N3996" s="169">
        <f>IFERROR(MATCH(J3996,'Final List'!$H$4:$H$252,0),0)</f>
        <v>0</v>
      </c>
      <c r="O3996" s="169">
        <f>IFERROR(MATCH(J3996,'Final List'!$J$4:$J$252,0),0)</f>
        <v>0</v>
      </c>
      <c r="P3996" s="169">
        <f>IFERROR(MATCH(J3996,'Final List'!$L$4:$L$252,0),0)</f>
        <v>0</v>
      </c>
      <c r="Q3996" s="169">
        <f>IFERROR(MATCH(J3996,'Final List'!$N$4:$N$252,0),0)</f>
        <v>0</v>
      </c>
      <c r="R3996" s="169" t="s">
        <v>47</v>
      </c>
      <c r="S3996" s="169">
        <f t="shared" si="253"/>
        <v>0</v>
      </c>
      <c r="V3996" s="169" t="str">
        <f t="shared" si="254"/>
        <v>CAYMAN</v>
      </c>
      <c r="W3996" s="169" t="s">
        <v>8896</v>
      </c>
    </row>
    <row r="3997" spans="2:23" x14ac:dyDescent="0.25">
      <c r="B3997" s="169" t="s">
        <v>12320</v>
      </c>
      <c r="C3997" s="169" t="s">
        <v>45</v>
      </c>
      <c r="D3997" s="169" t="s">
        <v>123</v>
      </c>
      <c r="E3997" s="169" t="s">
        <v>19</v>
      </c>
      <c r="F3997" s="245" t="str">
        <f t="shared" si="252"/>
        <v>DVR 72</v>
      </c>
      <c r="G3997" s="169" t="s">
        <v>522</v>
      </c>
      <c r="H3997" s="169" t="s">
        <v>15078</v>
      </c>
      <c r="I3997" s="169" t="str">
        <f t="shared" si="243"/>
        <v>L425_DPVE_031E_RAISE</v>
      </c>
      <c r="J3997" s="169" t="s">
        <v>14956</v>
      </c>
      <c r="K3997" s="169">
        <f>IFERROR(MATCH(J3997,'Final List'!$B$4:$B$252,0),0)</f>
        <v>0</v>
      </c>
      <c r="L3997" s="169">
        <f>IFERROR(MATCH(J3997,'Final List'!$D$4:$D$252,0),0)</f>
        <v>0</v>
      </c>
      <c r="M3997" s="169">
        <f>IFERROR(MATCH(J3997,'Final List'!$F$4:$F$251,0),0)</f>
        <v>0</v>
      </c>
      <c r="N3997" s="169">
        <f>IFERROR(MATCH(J3997,'Final List'!$H$4:$H$252,0),0)</f>
        <v>0</v>
      </c>
      <c r="O3997" s="169">
        <f>IFERROR(MATCH(J3997,'Final List'!$J$4:$J$252,0),0)</f>
        <v>0</v>
      </c>
      <c r="P3997" s="169">
        <f>IFERROR(MATCH(J3997,'Final List'!$L$4:$L$252,0),0)</f>
        <v>0</v>
      </c>
      <c r="Q3997" s="169">
        <f>IFERROR(MATCH(J3997,'Final List'!$N$4:$N$252,0),0)</f>
        <v>0</v>
      </c>
      <c r="R3997" s="169">
        <f>IFERROR(MATCH(J3997,'Final List'!$P$4:$P$252,0),0)</f>
        <v>0</v>
      </c>
      <c r="S3997" s="169">
        <f t="shared" si="253"/>
        <v>0</v>
      </c>
      <c r="V3997" s="169" t="str">
        <f t="shared" si="254"/>
        <v>NITRO CO</v>
      </c>
      <c r="W3997" s="169" t="s">
        <v>2715</v>
      </c>
    </row>
    <row r="3998" spans="2:23" x14ac:dyDescent="0.25">
      <c r="B3998" s="169" t="s">
        <v>96</v>
      </c>
      <c r="C3998" s="169" t="s">
        <v>42</v>
      </c>
      <c r="D3998" s="169" t="s">
        <v>148</v>
      </c>
      <c r="E3998" s="169" t="s">
        <v>19</v>
      </c>
      <c r="F3998" s="245" t="str">
        <f t="shared" si="252"/>
        <v>DVR 72</v>
      </c>
      <c r="G3998" s="169" t="s">
        <v>7659</v>
      </c>
      <c r="I3998" s="169" t="str">
        <f t="shared" si="243"/>
        <v>L09_JV_039E_RAISE</v>
      </c>
      <c r="J3998" s="169" t="s">
        <v>14958</v>
      </c>
      <c r="K3998" s="169">
        <f>IFERROR(MATCH(J3998,'Final List'!$B$4:$B$252,0),0)</f>
        <v>0</v>
      </c>
      <c r="L3998" s="169">
        <f>IFERROR(MATCH(J3998,'Final List'!$D$4:$D$252,0),0)</f>
        <v>0</v>
      </c>
      <c r="M3998" s="169">
        <f>IFERROR(MATCH(J3998,'Final List'!$F$4:$F$251,0),0)</f>
        <v>0</v>
      </c>
      <c r="N3998" s="169">
        <f>IFERROR(MATCH(J3998,'Final List'!$H$4:$H$252,0),0)</f>
        <v>0</v>
      </c>
      <c r="O3998" s="169">
        <f>IFERROR(MATCH(J3998,'Final List'!$J$4:$J$252,0),0)</f>
        <v>0</v>
      </c>
      <c r="P3998" s="169">
        <f>IFERROR(MATCH(J3998,'Final List'!$L$4:$L$252,0),0)</f>
        <v>0</v>
      </c>
      <c r="Q3998" s="169">
        <f>IFERROR(MATCH(J3998,'Final List'!$N$4:$N$252,0),0)</f>
        <v>0</v>
      </c>
      <c r="R3998" s="169">
        <f>IFERROR(MATCH(J3998,'Final List'!$P$4:$P$252,0),0)</f>
        <v>0</v>
      </c>
      <c r="S3998" s="169">
        <f t="shared" si="253"/>
        <v>0</v>
      </c>
      <c r="V3998" s="169" t="str">
        <f t="shared" si="254"/>
        <v>DELOS REYES 2</v>
      </c>
      <c r="W3998" s="169" t="s">
        <v>2715</v>
      </c>
    </row>
    <row r="3999" spans="2:23" x14ac:dyDescent="0.25">
      <c r="B3999" s="169" t="s">
        <v>12320</v>
      </c>
      <c r="C3999" s="169" t="s">
        <v>87</v>
      </c>
      <c r="D3999" s="169" t="s">
        <v>148</v>
      </c>
      <c r="E3999" s="169" t="s">
        <v>63</v>
      </c>
      <c r="F3999" s="245" t="str">
        <f t="shared" si="252"/>
        <v>Dhoz 71</v>
      </c>
      <c r="G3999" s="169" t="s">
        <v>1260</v>
      </c>
      <c r="I3999" s="169" t="str">
        <f t="shared" si="243"/>
        <v>L425_NONE_039E_XCS</v>
      </c>
      <c r="J3999" s="169" t="s">
        <v>14963</v>
      </c>
      <c r="K3999" s="169">
        <f>IFERROR(MATCH(J3999,'Final List'!$B$4:$B$252,0),0)</f>
        <v>0</v>
      </c>
      <c r="L3999" s="169">
        <f>IFERROR(MATCH(J3999,'Final List'!$D$4:$D$252,0),0)</f>
        <v>0</v>
      </c>
      <c r="M3999" s="169">
        <f>IFERROR(MATCH(J3999,'Final List'!$F$4:$F$251,0),0)</f>
        <v>0</v>
      </c>
      <c r="N3999" s="169">
        <f>IFERROR(MATCH(J3999,'Final List'!$H$4:$H$252,0),0)</f>
        <v>0</v>
      </c>
      <c r="O3999" s="169">
        <f>IFERROR(MATCH(J3999,'Final List'!$J$4:$J$252,0),0)</f>
        <v>0</v>
      </c>
      <c r="P3999" s="169">
        <f>IFERROR(MATCH(J3999,'Final List'!$L$4:$L$252,0),0)</f>
        <v>0</v>
      </c>
      <c r="Q3999" s="169">
        <f>IFERROR(MATCH(J3999,'Final List'!$N$4:$N$252,0),0)</f>
        <v>0</v>
      </c>
      <c r="R3999" s="169">
        <f>IFERROR(MATCH(J3999,'Final List'!$P$4:$P$252,0),0)</f>
        <v>0</v>
      </c>
      <c r="S3999" s="169">
        <f t="shared" si="253"/>
        <v>0</v>
      </c>
      <c r="V3999" s="169" t="str">
        <f t="shared" si="254"/>
        <v>DELOS REYES 5</v>
      </c>
      <c r="W3999" s="169" t="s">
        <v>8898</v>
      </c>
    </row>
    <row r="4000" spans="2:23" x14ac:dyDescent="0.25">
      <c r="B4000" s="169" t="s">
        <v>12320</v>
      </c>
      <c r="C4000" s="169" t="s">
        <v>57</v>
      </c>
      <c r="D4000" s="169" t="s">
        <v>176</v>
      </c>
      <c r="E4000" s="169" t="s">
        <v>19</v>
      </c>
      <c r="F4000" s="245" t="str">
        <f t="shared" si="252"/>
        <v>DVR 72</v>
      </c>
      <c r="G4000" s="169" t="s">
        <v>390</v>
      </c>
      <c r="H4000" s="169" t="s">
        <v>15078</v>
      </c>
      <c r="I4000" s="169" t="str">
        <f t="shared" si="243"/>
        <v>L425_JVSPLIT_057E_RAISE</v>
      </c>
      <c r="J4000" s="169" t="s">
        <v>14964</v>
      </c>
      <c r="K4000" s="169">
        <f>IFERROR(MATCH(J4000,'Final List'!$B$4:$B$252,0),0)</f>
        <v>0</v>
      </c>
      <c r="L4000" s="169">
        <f>IFERROR(MATCH(J4000,'Final List'!$D$4:$D$252,0),0)</f>
        <v>0</v>
      </c>
      <c r="M4000" s="169">
        <f>IFERROR(MATCH(J4000,'Final List'!$F$4:$F$251,0),0)</f>
        <v>0</v>
      </c>
      <c r="N4000" s="169">
        <f>IFERROR(MATCH(J4000,'Final List'!$H$4:$H$252,0),0)</f>
        <v>0</v>
      </c>
      <c r="O4000" s="169">
        <f>IFERROR(MATCH(J4000,'Final List'!$J$4:$J$252,0),0)</f>
        <v>190</v>
      </c>
      <c r="P4000" s="169">
        <f>IFERROR(MATCH(J4000,'Final List'!$L$4:$L$252,0),0)</f>
        <v>0</v>
      </c>
      <c r="Q4000" s="169">
        <f>IFERROR(MATCH(J4000,'Final List'!$N$4:$N$252,0),0)</f>
        <v>0</v>
      </c>
      <c r="R4000" s="169">
        <f>IFERROR(MATCH(J4000,'Final List'!$P$4:$P$252,0),0)</f>
        <v>0</v>
      </c>
      <c r="S4000" s="169">
        <f t="shared" si="253"/>
        <v>190</v>
      </c>
      <c r="V4000" s="169" t="str">
        <f t="shared" si="254"/>
        <v>NITRO CO</v>
      </c>
      <c r="W4000" s="169" t="s">
        <v>2715</v>
      </c>
    </row>
    <row r="4001" spans="2:23" x14ac:dyDescent="0.25">
      <c r="B4001" s="169" t="s">
        <v>1167</v>
      </c>
      <c r="C4001" s="169" t="s">
        <v>45</v>
      </c>
      <c r="D4001" s="169" t="s">
        <v>5631</v>
      </c>
      <c r="E4001" s="169" t="s">
        <v>61</v>
      </c>
      <c r="F4001" s="245" t="str">
        <f t="shared" si="252"/>
        <v>Dhoz 71</v>
      </c>
      <c r="G4001" s="169" t="s">
        <v>14223</v>
      </c>
      <c r="I4001" s="169" t="str">
        <f t="shared" si="243"/>
        <v>L12_DPVE_020E_DW</v>
      </c>
      <c r="J4001" s="169" t="s">
        <v>14967</v>
      </c>
      <c r="K4001" s="169">
        <f>IFERROR(MATCH(J4001,'Final List'!$B$4:$B$252,0),0)</f>
        <v>0</v>
      </c>
      <c r="L4001" s="169">
        <f>IFERROR(MATCH(J4001,'Final List'!$D$4:$D$252,0),0)</f>
        <v>0</v>
      </c>
      <c r="M4001" s="169">
        <f>IFERROR(MATCH(J4001,'Final List'!$F$4:$F$251,0),0)</f>
        <v>0</v>
      </c>
      <c r="N4001" s="169">
        <f>IFERROR(MATCH(J4001,'Final List'!$H$4:$H$252,0),0)</f>
        <v>0</v>
      </c>
      <c r="O4001" s="169">
        <f>IFERROR(MATCH(J4001,'Final List'!$J$4:$J$252,0),0)</f>
        <v>0</v>
      </c>
      <c r="P4001" s="169">
        <f>IFERROR(MATCH(J4001,'Final List'!$L$4:$L$252,0),0)</f>
        <v>0</v>
      </c>
      <c r="Q4001" s="169">
        <f>IFERROR(MATCH(J4001,'Final List'!$N$4:$N$252,0),0)</f>
        <v>0</v>
      </c>
      <c r="R4001" s="169">
        <f>IFERROR(MATCH(J4001,'Final List'!$P$4:$P$252,0),0)</f>
        <v>0</v>
      </c>
      <c r="S4001" s="169">
        <f t="shared" si="253"/>
        <v>0</v>
      </c>
      <c r="V4001" s="169" t="str">
        <f t="shared" si="254"/>
        <v>DUHIG P,</v>
      </c>
      <c r="W4001" s="169" t="s">
        <v>8896</v>
      </c>
    </row>
    <row r="4002" spans="2:23" x14ac:dyDescent="0.25">
      <c r="B4002" s="169" t="s">
        <v>1167</v>
      </c>
      <c r="C4002" s="169" t="s">
        <v>42</v>
      </c>
      <c r="D4002" s="169" t="s">
        <v>6114</v>
      </c>
      <c r="E4002" s="169" t="s">
        <v>211</v>
      </c>
      <c r="F4002" s="245" t="str">
        <f t="shared" si="252"/>
        <v>StpS 77</v>
      </c>
      <c r="G4002" s="169" t="s">
        <v>14971</v>
      </c>
      <c r="I4002" s="169" t="str">
        <f t="shared" si="243"/>
        <v>L12_JV_078E_STOPE PREP</v>
      </c>
      <c r="J4002" s="169" t="s">
        <v>15089</v>
      </c>
      <c r="K4002" s="169">
        <f>IFERROR(MATCH(J4002,'Final List'!$B$4:$B$252,0),0)</f>
        <v>0</v>
      </c>
      <c r="L4002" s="169">
        <f>IFERROR(MATCH(J4002,'Final List'!$D$4:$D$252,0),0)</f>
        <v>0</v>
      </c>
      <c r="M4002" s="169">
        <f>IFERROR(MATCH(J4002,'Final List'!$F$4:$F$251,0),0)</f>
        <v>0</v>
      </c>
      <c r="N4002" s="169">
        <f>IFERROR(MATCH(J4002,'Final List'!$H$4:$H$252,0),0)</f>
        <v>0</v>
      </c>
      <c r="O4002" s="169">
        <f>IFERROR(MATCH(J4002,'Final List'!$J$4:$J$252,0),0)</f>
        <v>0</v>
      </c>
      <c r="P4002" s="169">
        <f>IFERROR(MATCH(J4002,'Final List'!$L$4:$L$252,0),0)</f>
        <v>0</v>
      </c>
      <c r="Q4002" s="169">
        <f>IFERROR(MATCH(J4002,'Final List'!$N$4:$N$252,0),0)</f>
        <v>0</v>
      </c>
      <c r="R4002" s="169">
        <f>IFERROR(MATCH(J4002,'Final List'!$P$4:$P$252,0),0)</f>
        <v>0</v>
      </c>
      <c r="S4002" s="169">
        <f t="shared" si="253"/>
        <v>0</v>
      </c>
      <c r="T4002" s="169" t="s">
        <v>68</v>
      </c>
      <c r="V4002" s="169" t="str">
        <f t="shared" si="254"/>
        <v>NITRO CK</v>
      </c>
      <c r="W4002" s="169" t="s">
        <v>2712</v>
      </c>
    </row>
    <row r="4003" spans="2:23" x14ac:dyDescent="0.25">
      <c r="B4003" s="169" t="s">
        <v>1167</v>
      </c>
      <c r="C4003" s="169" t="s">
        <v>55</v>
      </c>
      <c r="D4003" s="169" t="s">
        <v>5741</v>
      </c>
      <c r="E4003" s="169" t="s">
        <v>211</v>
      </c>
      <c r="F4003" s="245" t="str">
        <f t="shared" si="252"/>
        <v>StpS 77</v>
      </c>
      <c r="G4003" s="169" t="s">
        <v>14126</v>
      </c>
      <c r="I4003" s="169" t="str">
        <f t="shared" si="243"/>
        <v>L12_JVFW_035E_STOPE PREP</v>
      </c>
      <c r="J4003" s="169" t="s">
        <v>14972</v>
      </c>
      <c r="K4003" s="169">
        <f>IFERROR(MATCH(J4003,'Final List'!$B$4:$B$252,0),0)</f>
        <v>0</v>
      </c>
      <c r="L4003" s="169">
        <f>IFERROR(MATCH(J4003,'Final List'!$D$4:$D$252,0),0)</f>
        <v>0</v>
      </c>
      <c r="M4003" s="169">
        <f>IFERROR(MATCH(J4003,'Final List'!$F$4:$F$251,0),0)</f>
        <v>0</v>
      </c>
      <c r="N4003" s="169">
        <f>IFERROR(MATCH(J4003,'Final List'!$H$4:$H$252,0),0)</f>
        <v>0</v>
      </c>
      <c r="O4003" s="169">
        <f>IFERROR(MATCH(J4003,'Final List'!$J$4:$J$252,0),0)</f>
        <v>0</v>
      </c>
      <c r="P4003" s="169">
        <f>IFERROR(MATCH(J4003,'Final List'!$L$4:$L$252,0),0)</f>
        <v>0</v>
      </c>
      <c r="Q4003" s="169">
        <f>IFERROR(MATCH(J4003,'Final List'!$N$4:$N$252,0),0)</f>
        <v>0</v>
      </c>
      <c r="R4003" s="169">
        <f>IFERROR(MATCH(J4003,'Final List'!$P$4:$P$252,0),0)</f>
        <v>0</v>
      </c>
      <c r="S4003" s="169">
        <f t="shared" si="253"/>
        <v>0</v>
      </c>
      <c r="T4003" s="169" t="s">
        <v>68</v>
      </c>
      <c r="V4003" s="169" t="str">
        <f t="shared" si="254"/>
        <v>HAGANAS</v>
      </c>
      <c r="W4003" s="169" t="s">
        <v>2712</v>
      </c>
    </row>
    <row r="4004" spans="2:23" x14ac:dyDescent="0.25">
      <c r="B4004" s="169" t="s">
        <v>95</v>
      </c>
      <c r="C4004" s="169" t="s">
        <v>87</v>
      </c>
      <c r="D4004" s="169" t="s">
        <v>5850</v>
      </c>
      <c r="E4004" s="169" t="s">
        <v>37</v>
      </c>
      <c r="F4004" s="245" t="str">
        <f t="shared" si="252"/>
        <v>Dhoz 71</v>
      </c>
      <c r="G4004" s="169" t="s">
        <v>14978</v>
      </c>
      <c r="I4004" s="169" t="str">
        <f t="shared" si="243"/>
        <v>L08_NONE_016E_XCN</v>
      </c>
      <c r="J4004" s="169" t="s">
        <v>14977</v>
      </c>
      <c r="K4004" s="169">
        <f>IFERROR(MATCH(J4004,'Final List'!$B$4:$B$252,0),0)</f>
        <v>0</v>
      </c>
      <c r="L4004" s="169">
        <f>IFERROR(MATCH(J4004,'Final List'!$D$4:$D$252,0),0)</f>
        <v>0</v>
      </c>
      <c r="M4004" s="169">
        <f>IFERROR(MATCH(J4004,'Final List'!$F$4:$F$251,0),0)</f>
        <v>0</v>
      </c>
      <c r="N4004" s="169">
        <f>IFERROR(MATCH(J4004,'Final List'!$H$4:$H$252,0),0)</f>
        <v>0</v>
      </c>
      <c r="O4004" s="169">
        <f>IFERROR(MATCH(J4004,'Final List'!$J$4:$J$252,0),0)</f>
        <v>0</v>
      </c>
      <c r="P4004" s="169">
        <f>IFERROR(MATCH(J4004,'Final List'!$L$4:$L$252,0),0)</f>
        <v>0</v>
      </c>
      <c r="Q4004" s="169">
        <f>IFERROR(MATCH(J4004,'Final List'!$N$4:$N$252,0),0)</f>
        <v>0</v>
      </c>
      <c r="R4004" s="169">
        <f>IFERROR(MATCH(J4004,'Final List'!$P$4:$P$252,0),0)</f>
        <v>0</v>
      </c>
      <c r="S4004" s="169">
        <f t="shared" si="253"/>
        <v>0</v>
      </c>
      <c r="V4004" s="169" t="str">
        <f t="shared" si="254"/>
        <v>CANTAGO </v>
      </c>
      <c r="W4004" s="169" t="s">
        <v>8897</v>
      </c>
    </row>
    <row r="4005" spans="2:23" x14ac:dyDescent="0.25">
      <c r="B4005" s="169" t="s">
        <v>1166</v>
      </c>
      <c r="C4005" s="169" t="s">
        <v>45</v>
      </c>
      <c r="D4005" s="169" t="s">
        <v>14469</v>
      </c>
      <c r="E4005" s="169" t="s">
        <v>20</v>
      </c>
      <c r="F4005" s="245" t="str">
        <f t="shared" si="252"/>
        <v>DVW 74</v>
      </c>
      <c r="G4005" s="169" t="s">
        <v>5072</v>
      </c>
      <c r="I4005" s="169" t="str">
        <f t="shared" si="243"/>
        <v>L11_DPVE_110E_WINZE</v>
      </c>
      <c r="J4005" s="169" t="s">
        <v>14979</v>
      </c>
      <c r="K4005" s="169">
        <f>IFERROR(MATCH(J4005,'Final List'!$B$4:$B$252,0),0)</f>
        <v>0</v>
      </c>
      <c r="L4005" s="169">
        <f>IFERROR(MATCH(J4005,'Final List'!$D$4:$D$252,0),0)</f>
        <v>0</v>
      </c>
      <c r="M4005" s="169">
        <f>IFERROR(MATCH(J4005,'Final List'!$F$4:$F$251,0),0)</f>
        <v>0</v>
      </c>
      <c r="N4005" s="169">
        <f>IFERROR(MATCH(J4005,'Final List'!$H$4:$H$252,0),0)</f>
        <v>0</v>
      </c>
      <c r="O4005" s="169">
        <f>IFERROR(MATCH(J4005,'Final List'!$J$4:$J$252,0),0)</f>
        <v>0</v>
      </c>
      <c r="P4005" s="169">
        <f>IFERROR(MATCH(J4005,'Final List'!$L$4:$L$252,0),0)</f>
        <v>156</v>
      </c>
      <c r="Q4005" s="169">
        <f>IFERROR(MATCH(J4005,'Final List'!$N$4:$N$252,0),0)</f>
        <v>0</v>
      </c>
      <c r="R4005" s="169">
        <f>IFERROR(MATCH(J4005,'Final List'!$P$4:$P$252,0),0)</f>
        <v>0</v>
      </c>
      <c r="S4005" s="169">
        <f t="shared" si="253"/>
        <v>156</v>
      </c>
      <c r="V4005" s="169" t="str">
        <f t="shared" si="254"/>
        <v>HANGDAAN</v>
      </c>
      <c r="W4005" s="169" t="s">
        <v>2706</v>
      </c>
    </row>
    <row r="4006" spans="2:23" x14ac:dyDescent="0.25">
      <c r="B4006" s="169" t="s">
        <v>96</v>
      </c>
      <c r="C4006" s="169" t="s">
        <v>42</v>
      </c>
      <c r="D4006" s="169" t="s">
        <v>179</v>
      </c>
      <c r="E4006" s="169" t="s">
        <v>13269</v>
      </c>
      <c r="F4006" s="245">
        <f t="shared" si="252"/>
        <v>0</v>
      </c>
      <c r="G4006" s="169" t="s">
        <v>349</v>
      </c>
      <c r="I4006" s="169" t="str">
        <f t="shared" si="243"/>
        <v>L09_JV_050E_FILL WINZE</v>
      </c>
      <c r="J4006" s="169" t="s">
        <v>14982</v>
      </c>
      <c r="K4006" s="169">
        <f>IFERROR(MATCH(J4006,'Final List'!$B$4:$B$252,0),0)</f>
        <v>0</v>
      </c>
      <c r="L4006" s="169">
        <f>IFERROR(MATCH(J4006,'Final List'!$D$4:$D$252,0),0)</f>
        <v>0</v>
      </c>
      <c r="M4006" s="169">
        <f>IFERROR(MATCH(J4006,'Final List'!$F$4:$F$251,0),0)</f>
        <v>0</v>
      </c>
      <c r="N4006" s="169">
        <f>IFERROR(MATCH(J4006,'Final List'!$H$4:$H$252,0),0)</f>
        <v>0</v>
      </c>
      <c r="O4006" s="169">
        <f>IFERROR(MATCH(J4006,'Final List'!$J$4:$J$252,0),0)</f>
        <v>0</v>
      </c>
      <c r="P4006" s="169">
        <f>IFERROR(MATCH(J4006,'Final List'!$L$4:$L$252,0),0)</f>
        <v>0</v>
      </c>
      <c r="Q4006" s="169">
        <f>IFERROR(MATCH(J4006,'Final List'!$N$4:$N$252,0),0)</f>
        <v>0</v>
      </c>
      <c r="R4006" s="169">
        <f>IFERROR(MATCH(J4006,'Final List'!$P$4:$P$252,0),0)</f>
        <v>0</v>
      </c>
      <c r="S4006" s="169">
        <f t="shared" si="253"/>
        <v>0</v>
      </c>
      <c r="V4006" s="169" t="str">
        <f t="shared" si="254"/>
        <v>QUIJANO 2</v>
      </c>
      <c r="W4006" s="169" t="s">
        <v>2717</v>
      </c>
    </row>
    <row r="4007" spans="2:23" x14ac:dyDescent="0.25">
      <c r="B4007" s="169" t="s">
        <v>95</v>
      </c>
      <c r="C4007" s="169" t="s">
        <v>42</v>
      </c>
      <c r="D4007" s="169" t="s">
        <v>5912</v>
      </c>
      <c r="E4007" s="169" t="s">
        <v>15183</v>
      </c>
      <c r="F4007" s="245" t="str">
        <f>IF(OR(E4007="XCN",E4007="DE",E4007="DW",E4007="DN",E4007="XCS",E4007="XCE",E4007="XCW",E4007="SUMP",E4007="BYPASS",E4007="CHAMBER",E4007="DRAIN HOLE",E4007="DRILLING CHAMBER",E4007="DE_ISL",E4007="DW_ISL",E4007="REHAB",E4007="DE_ISL",E4007="DE_ISL_B",E4007="DW_ISL_B",E4007="DW_ISL_A",E4007="DE_ISL_A"),"Dhoz 71",IF(OR(E4007="RAISE",E4007="RAISE_ISL"),"DVR 72",IF(E4007="ALIMAK","DVA 73",IF(E4007="WINZE","DVW 74",IF(E4007="SHAFT","DVS 75",IF(AND(E4007="WINZE STOPE",T4007="S"),"RobC 80",IF(AND(E4007="STOPE",T4007="S"),"StpS 77",IF(AND(E4007="WINZE STOPE",T4007="L"),"RobC 80",IF(AND(E4007="STOPE",T4007="L"),"StpL 78",IF(AND(E4007="WINZE STOPE PREP",T4007="S"),"RobC 80",IF(AND(E4007="STOPE PREP",T4007="S"),"StpS 77",IF(AND(E4007="WINZE STOPE PREP",T4007="L"),"RobC 80",IF(AND(E4007="STOPE PREP",T4007="L"),"StpL 78",IF(AND(E4007="ROBBING",T4007="L"),"RobC 80",IF(AND(E4007="ROBBING",T4007="S"),"RobS 79",0)))))))))))))))</f>
        <v>Dhoz 71</v>
      </c>
      <c r="G4007" s="169" t="s">
        <v>13989</v>
      </c>
      <c r="I4007" s="169" t="str">
        <f t="shared" si="243"/>
        <v>L08_JV_019E_DW_ISL_A</v>
      </c>
      <c r="J4007" s="169" t="s">
        <v>15182</v>
      </c>
      <c r="K4007" s="169">
        <f>IFERROR(MATCH(J4007,'Final List'!$B$4:$B$252,0),0)</f>
        <v>0</v>
      </c>
      <c r="L4007" s="169">
        <f>IFERROR(MATCH(J4007,'Final List'!$D$4:$D$252,0),0)</f>
        <v>0</v>
      </c>
      <c r="M4007" s="169">
        <f>IFERROR(MATCH(J4007,'Final List'!$F$4:$F$251,0),0)</f>
        <v>0</v>
      </c>
      <c r="N4007" s="169">
        <f>IFERROR(MATCH(J4007,'Final List'!$H$4:$H$252,0),0)</f>
        <v>0</v>
      </c>
      <c r="O4007" s="169">
        <f>IFERROR(MATCH(J4007,'Final List'!$J$4:$J$252,0),0)</f>
        <v>0</v>
      </c>
      <c r="P4007" s="169">
        <f>IFERROR(MATCH(J4007,'Final List'!$L$4:$L$252,0),0)</f>
        <v>0</v>
      </c>
      <c r="Q4007" s="169">
        <f>IFERROR(MATCH(J4007,'Final List'!$N$4:$N$252,0),0)</f>
        <v>0</v>
      </c>
      <c r="R4007" s="169">
        <f>IFERROR(MATCH(J4007,'Final List'!$P$4:$P$252,0),0)</f>
        <v>0</v>
      </c>
      <c r="S4007" s="169">
        <f t="shared" si="253"/>
        <v>0</v>
      </c>
      <c r="V4007" s="169" t="str">
        <f t="shared" si="254"/>
        <v>FERNANDEZ 7</v>
      </c>
      <c r="W4007" s="169" t="s">
        <v>8895</v>
      </c>
    </row>
    <row r="4008" spans="2:23" x14ac:dyDescent="0.25">
      <c r="B4008" s="169" t="s">
        <v>14095</v>
      </c>
      <c r="C4008" s="169" t="s">
        <v>87</v>
      </c>
      <c r="D4008" s="169" t="s">
        <v>5781</v>
      </c>
      <c r="E4008" s="169" t="s">
        <v>37</v>
      </c>
      <c r="F4008" s="245" t="str">
        <f t="shared" si="252"/>
        <v>Dhoz 71</v>
      </c>
      <c r="G4008" s="169" t="s">
        <v>7716</v>
      </c>
      <c r="I4008" s="169" t="str">
        <f t="shared" si="243"/>
        <v>L460_NONE_051E_XCN</v>
      </c>
      <c r="J4008" s="169" t="s">
        <v>14985</v>
      </c>
      <c r="K4008" s="169">
        <f>IFERROR(MATCH(J4008,'Final List'!$B$4:$B$252,0),0)</f>
        <v>0</v>
      </c>
      <c r="L4008" s="169">
        <f>IFERROR(MATCH(J4008,'Final List'!$D$4:$D$252,0),0)</f>
        <v>0</v>
      </c>
      <c r="M4008" s="169">
        <f>IFERROR(MATCH(J4008,'Final List'!$F$4:$F$251,0),0)</f>
        <v>0</v>
      </c>
      <c r="N4008" s="169">
        <f>IFERROR(MATCH(J4008,'Final List'!$H$4:$H$252,0),0)</f>
        <v>0</v>
      </c>
      <c r="O4008" s="169">
        <f>IFERROR(MATCH(J4008,'Final List'!$J$4:$J$252,0),0)</f>
        <v>0</v>
      </c>
      <c r="P4008" s="169">
        <f>IFERROR(MATCH(J4008,'Final List'!$L$4:$L$252,0),0)</f>
        <v>0</v>
      </c>
      <c r="Q4008" s="169">
        <f>IFERROR(MATCH(J4008,'Final List'!$N$4:$N$252,0),0)</f>
        <v>0</v>
      </c>
      <c r="R4008" s="169">
        <f>IFERROR(MATCH(J4008,'Final List'!$P$4:$P$252,0),0)</f>
        <v>0</v>
      </c>
      <c r="S4008" s="169">
        <f t="shared" si="253"/>
        <v>0</v>
      </c>
      <c r="V4008" s="169" t="str">
        <f t="shared" si="254"/>
        <v>DUHIG P1</v>
      </c>
      <c r="W4008" s="169" t="s">
        <v>8898</v>
      </c>
    </row>
    <row r="4009" spans="2:23" x14ac:dyDescent="0.25">
      <c r="B4009" s="169" t="s">
        <v>95</v>
      </c>
      <c r="C4009" s="169" t="s">
        <v>59</v>
      </c>
      <c r="D4009" s="169" t="s">
        <v>5850</v>
      </c>
      <c r="E4009" s="169" t="s">
        <v>20</v>
      </c>
      <c r="F4009" s="245" t="str">
        <f t="shared" si="252"/>
        <v>DVW 74</v>
      </c>
      <c r="G4009" s="169" t="s">
        <v>14139</v>
      </c>
      <c r="I4009" s="169" t="str">
        <f t="shared" si="243"/>
        <v>L08_GHVHW_016E_WINZE</v>
      </c>
      <c r="J4009" s="169" t="s">
        <v>14989</v>
      </c>
      <c r="K4009" s="169">
        <f>IFERROR(MATCH(J4009,'Final List'!$B$4:$B$252,0),0)</f>
        <v>0</v>
      </c>
      <c r="L4009" s="169">
        <f>IFERROR(MATCH(J4009,'Final List'!$D$4:$D$252,0),0)</f>
        <v>0</v>
      </c>
      <c r="M4009" s="169">
        <f>IFERROR(MATCH(J4009,'Final List'!$F$4:$F$251,0),0)</f>
        <v>0</v>
      </c>
      <c r="N4009" s="169">
        <f>IFERROR(MATCH(J4009,'Final List'!$H$4:$H$252,0),0)</f>
        <v>0</v>
      </c>
      <c r="O4009" s="169">
        <f>IFERROR(MATCH(J4009,'Final List'!$J$4:$J$252,0),0)</f>
        <v>0</v>
      </c>
      <c r="P4009" s="169">
        <f>IFERROR(MATCH(J4009,'Final List'!$L$4:$L$252,0),0)</f>
        <v>87</v>
      </c>
      <c r="Q4009" s="169">
        <f>IFERROR(MATCH(J4009,'Final List'!$N$4:$N$252,0),0)</f>
        <v>0</v>
      </c>
      <c r="R4009" s="169">
        <f>IFERROR(MATCH(J4009,'Final List'!$P$4:$P$252,0),0)</f>
        <v>0</v>
      </c>
      <c r="S4009" s="169">
        <f t="shared" si="253"/>
        <v>87</v>
      </c>
      <c r="V4009" s="169" t="str">
        <f t="shared" si="254"/>
        <v>CANTAGO</v>
      </c>
      <c r="W4009" s="169" t="s">
        <v>2706</v>
      </c>
    </row>
    <row r="4010" spans="2:23" x14ac:dyDescent="0.25">
      <c r="B4010" s="169" t="s">
        <v>96</v>
      </c>
      <c r="C4010" s="169" t="s">
        <v>87</v>
      </c>
      <c r="D4010" s="169" t="s">
        <v>131</v>
      </c>
      <c r="E4010" s="169" t="s">
        <v>13813</v>
      </c>
      <c r="F4010" s="245" t="str">
        <f>IF(OR(E4010="XCN",E4010="DE",E4010="DW",E4010="DN",E4010="XCS",E4010="XCE",E4010="XCW",E4010="SUMP",E4010="BYPASS",E4010="CHAMBER",E4010="DRAIN HOLE",E4010="DRILLING CHAMBER",E4010="DE_ISL",E4010="DW_ISL",E4010="REHAB",E4010="MAINLINE_CLEANING"),"Dhoz 71",IF(OR(E4010="RAISE",E4010="RAISE_ISL"),"DVR 72",IF(E4010="ALIMAK","DVA 73",IF(E4010="WINZE","DVW 74",IF(E4010="SHAFT","DVS 75",IF(AND(E4010="WINZE STOPE",T4010="S"),"RobC 80",IF(AND(E4010="STOPE",T4010="S"),"StpS 77",IF(AND(E4010="WINZE STOPE",T4010="L"),"RobC 80",IF(AND(E4010="STOPE",T4010="L"),"StpL 78",IF(AND(E4010="WINZE STOPE PREP",T4010="S"),"RobC 80",IF(AND(E4010="STOPE PREP",T4010="S"),"StpS 77",IF(AND(E4010="WINZE STOPE PREP",T4010="L"),"RobC 80",IF(AND(E4010="STOPE PREP",T4010="L"),"StpL 78",IF(AND(E4010="ROBBING",T4010="L"),"RobC 80",IF(AND(E4010="ROBBING",T4010="S"),"RobS 79",0)))))))))))))))</f>
        <v>Dhoz 71</v>
      </c>
      <c r="G4010" s="169" t="s">
        <v>12658</v>
      </c>
      <c r="H4010" s="169" t="s">
        <v>6216</v>
      </c>
      <c r="I4010" s="169" t="str">
        <f t="shared" si="243"/>
        <v>L09_NONE_011E_MAINLINE_CLEANING</v>
      </c>
      <c r="J4010" s="169" t="s">
        <v>14994</v>
      </c>
      <c r="K4010" s="169">
        <f>IFERROR(MATCH(J4010,'Final List'!$B$4:$B$252,0),0)</f>
        <v>0</v>
      </c>
      <c r="L4010" s="169">
        <f>IFERROR(MATCH(J4010,'Final List'!$D$4:$D$252,0),0)</f>
        <v>0</v>
      </c>
      <c r="M4010" s="169">
        <f>IFERROR(MATCH(J4010,'Final List'!$F$4:$F$251,0),0)</f>
        <v>0</v>
      </c>
      <c r="N4010" s="169">
        <f>IFERROR(MATCH(J4010,'Final List'!$H$4:$H$252,0),0)</f>
        <v>0</v>
      </c>
      <c r="O4010" s="169">
        <f>IFERROR(MATCH(J4010,'Final List'!$J$4:$J$252,0),0)</f>
        <v>0</v>
      </c>
      <c r="P4010" s="169">
        <f>IFERROR(MATCH(J4010,'Final List'!$L$4:$L$252,0),0)</f>
        <v>0</v>
      </c>
      <c r="Q4010" s="169">
        <f>IFERROR(MATCH(J4010,'Final List'!$N$4:$N$252,0),0)</f>
        <v>0</v>
      </c>
      <c r="R4010" s="169">
        <f>IFERROR(MATCH(J4010,'Final List'!$P$4:$P$252,0),0)</f>
        <v>0</v>
      </c>
      <c r="S4010" s="169">
        <f t="shared" si="253"/>
        <v>0</v>
      </c>
      <c r="V4010" s="169" t="str">
        <f t="shared" si="254"/>
        <v>FERNANDEZ</v>
      </c>
      <c r="W4010" s="169" t="s">
        <v>2714</v>
      </c>
    </row>
    <row r="4011" spans="2:23" x14ac:dyDescent="0.25">
      <c r="B4011" s="169" t="s">
        <v>12320</v>
      </c>
      <c r="C4011" s="169" t="s">
        <v>59</v>
      </c>
      <c r="D4011" s="169" t="s">
        <v>205</v>
      </c>
      <c r="E4011" s="169" t="s">
        <v>20</v>
      </c>
      <c r="F4011" s="245" t="str">
        <f t="shared" si="252"/>
        <v>DVW 74</v>
      </c>
      <c r="G4011" s="169" t="s">
        <v>390</v>
      </c>
      <c r="H4011" s="169" t="s">
        <v>15078</v>
      </c>
      <c r="I4011" s="169" t="str">
        <f t="shared" si="243"/>
        <v>L425_GHVHW_066E_WINZE</v>
      </c>
      <c r="J4011" s="169" t="s">
        <v>14996</v>
      </c>
      <c r="K4011" s="169">
        <f>IFERROR(MATCH(J4011,'Final List'!$B$4:$B$252,0),0)</f>
        <v>0</v>
      </c>
      <c r="L4011" s="169">
        <f>IFERROR(MATCH(J4011,'Final List'!$D$4:$D$252,0),0)</f>
        <v>0</v>
      </c>
      <c r="M4011" s="169">
        <f>IFERROR(MATCH(J4011,'Final List'!$F$4:$F$251,0),0)</f>
        <v>0</v>
      </c>
      <c r="N4011" s="169">
        <f>IFERROR(MATCH(J4011,'Final List'!$H$4:$H$252,0),0)</f>
        <v>0</v>
      </c>
      <c r="O4011" s="169">
        <f>IFERROR(MATCH(J4011,'Final List'!$J$4:$J$252,0),0)</f>
        <v>0</v>
      </c>
      <c r="P4011" s="169">
        <f>IFERROR(MATCH(J4011,'Final List'!$L$4:$L$252,0),0)</f>
        <v>0</v>
      </c>
      <c r="Q4011" s="169">
        <f>IFERROR(MATCH(J4011,'Final List'!$N$4:$N$252,0),0)</f>
        <v>0</v>
      </c>
      <c r="R4011" s="169">
        <f>IFERROR(MATCH(J4011,'Final List'!$P$4:$P$252,0),0)</f>
        <v>0</v>
      </c>
      <c r="S4011" s="169">
        <f t="shared" si="253"/>
        <v>0</v>
      </c>
      <c r="V4011" s="169" t="str">
        <f t="shared" si="254"/>
        <v>NITRO CO</v>
      </c>
      <c r="W4011" s="169" t="s">
        <v>2706</v>
      </c>
    </row>
    <row r="4012" spans="2:23" x14ac:dyDescent="0.25">
      <c r="B4012" s="169" t="s">
        <v>12320</v>
      </c>
      <c r="C4012" s="169" t="s">
        <v>87</v>
      </c>
      <c r="D4012" s="169" t="s">
        <v>5614</v>
      </c>
      <c r="E4012" s="169" t="s">
        <v>37</v>
      </c>
      <c r="F4012" s="245" t="str">
        <f t="shared" si="252"/>
        <v>Dhoz 71</v>
      </c>
      <c r="G4012" s="169" t="s">
        <v>7984</v>
      </c>
      <c r="I4012" s="169" t="str">
        <f t="shared" si="243"/>
        <v>L425_NONE_055E_XCN</v>
      </c>
      <c r="J4012" s="169" t="s">
        <v>14997</v>
      </c>
      <c r="K4012" s="169">
        <f>IFERROR(MATCH(J4012,'Final List'!$B$4:$B$252,0),0)</f>
        <v>0</v>
      </c>
      <c r="L4012" s="169">
        <f>IFERROR(MATCH(J4012,'Final List'!$D$4:$D$252,0),0)</f>
        <v>0</v>
      </c>
      <c r="M4012" s="169">
        <f>IFERROR(MATCH(J4012,'Final List'!$F$4:$F$251,0),0)</f>
        <v>0</v>
      </c>
      <c r="N4012" s="169">
        <f>IFERROR(MATCH(J4012,'Final List'!$H$4:$H$252,0),0)</f>
        <v>0</v>
      </c>
      <c r="O4012" s="169">
        <f>IFERROR(MATCH(J4012,'Final List'!$J$4:$J$252,0),0)</f>
        <v>0</v>
      </c>
      <c r="P4012" s="169">
        <f>IFERROR(MATCH(J4012,'Final List'!$L$4:$L$252,0),0)</f>
        <v>0</v>
      </c>
      <c r="Q4012" s="169">
        <f>IFERROR(MATCH(J4012,'Final List'!$N$4:$N$252,0),0)</f>
        <v>0</v>
      </c>
      <c r="R4012" s="169">
        <f>IFERROR(MATCH(J4012,'Final List'!$P$4:$P$252,0),0)</f>
        <v>0</v>
      </c>
      <c r="S4012" s="169">
        <f t="shared" si="253"/>
        <v>0</v>
      </c>
      <c r="V4012" s="169" t="str">
        <f t="shared" si="254"/>
        <v>OLIVEROS</v>
      </c>
      <c r="W4012" s="169" t="s">
        <v>8898</v>
      </c>
    </row>
    <row r="4013" spans="2:23" x14ac:dyDescent="0.25">
      <c r="B4013" s="169" t="s">
        <v>12320</v>
      </c>
      <c r="C4013" s="169" t="s">
        <v>42</v>
      </c>
      <c r="D4013" s="169" t="s">
        <v>132</v>
      </c>
      <c r="E4013" s="169" t="s">
        <v>19</v>
      </c>
      <c r="F4013" s="245" t="str">
        <f t="shared" si="252"/>
        <v>DVR 72</v>
      </c>
      <c r="G4013" s="169" t="s">
        <v>7984</v>
      </c>
      <c r="I4013" s="169" t="str">
        <f t="shared" si="243"/>
        <v>L425_JV_033E_RAISE</v>
      </c>
      <c r="J4013" s="169" t="s">
        <v>14998</v>
      </c>
      <c r="K4013" s="169">
        <f>IFERROR(MATCH(J4013,'Final List'!$B$4:$B$252,0),0)</f>
        <v>0</v>
      </c>
      <c r="L4013" s="169">
        <f>IFERROR(MATCH(J4013,'Final List'!$D$4:$D$252,0),0)</f>
        <v>0</v>
      </c>
      <c r="M4013" s="169">
        <f>IFERROR(MATCH(J4013,'Final List'!$F$4:$F$251,0),0)</f>
        <v>0</v>
      </c>
      <c r="N4013" s="169">
        <f>IFERROR(MATCH(J4013,'Final List'!$H$4:$H$252,0),0)</f>
        <v>0</v>
      </c>
      <c r="O4013" s="169">
        <f>IFERROR(MATCH(J4013,'Final List'!$J$4:$J$252,0),0)</f>
        <v>0</v>
      </c>
      <c r="P4013" s="169">
        <f>IFERROR(MATCH(J4013,'Final List'!$L$4:$L$252,0),0)</f>
        <v>0</v>
      </c>
      <c r="Q4013" s="169">
        <f>IFERROR(MATCH(J4013,'Final List'!$N$4:$N$252,0),0)</f>
        <v>0</v>
      </c>
      <c r="R4013" s="169">
        <f>IFERROR(MATCH(J4013,'Final List'!$P$4:$P$252,0),0)</f>
        <v>0</v>
      </c>
      <c r="S4013" s="169">
        <f t="shared" si="253"/>
        <v>0</v>
      </c>
      <c r="V4013" s="169" t="str">
        <f t="shared" si="254"/>
        <v>OLIVEROS</v>
      </c>
      <c r="W4013" s="169" t="s">
        <v>2715</v>
      </c>
    </row>
    <row r="4014" spans="2:23" x14ac:dyDescent="0.25">
      <c r="B4014" s="169" t="s">
        <v>95</v>
      </c>
      <c r="C4014" s="169" t="s">
        <v>42</v>
      </c>
      <c r="D4014" s="169" t="s">
        <v>120</v>
      </c>
      <c r="E4014" s="169" t="s">
        <v>60</v>
      </c>
      <c r="F4014" s="245" t="str">
        <f t="shared" si="252"/>
        <v>Dhoz 71</v>
      </c>
      <c r="G4014" s="169" t="s">
        <v>6216</v>
      </c>
      <c r="I4014" s="169" t="str">
        <f t="shared" si="243"/>
        <v>L08_JV_015E_DE</v>
      </c>
      <c r="J4014" s="169" t="s">
        <v>816</v>
      </c>
      <c r="K4014" s="169">
        <f>IFERROR(MATCH(J4014,'Final List'!$B$4:$B$252,0),0)</f>
        <v>0</v>
      </c>
      <c r="L4014" s="169">
        <f>IFERROR(MATCH(J4014,'Final List'!$D$4:$D$252,0),0)</f>
        <v>0</v>
      </c>
      <c r="M4014" s="169">
        <f>IFERROR(MATCH(J4014,'Final List'!$F$4:$F$251,0),0)</f>
        <v>0</v>
      </c>
      <c r="N4014" s="169">
        <f>IFERROR(MATCH(J4014,'Final List'!$H$4:$H$252,0),0)</f>
        <v>0</v>
      </c>
      <c r="O4014" s="169">
        <f>IFERROR(MATCH(J4014,'Final List'!$J$4:$J$252,0),0)</f>
        <v>0</v>
      </c>
      <c r="P4014" s="169">
        <f>IFERROR(MATCH(J4014,'Final List'!$L$4:$L$252,0),0)</f>
        <v>0</v>
      </c>
      <c r="Q4014" s="169">
        <f>IFERROR(MATCH(J4014,'Final List'!$N$4:$N$252,0),0)</f>
        <v>0</v>
      </c>
      <c r="R4014" s="169">
        <f>IFERROR(MATCH(J4014,'Final List'!$P$4:$P$252,0),0)</f>
        <v>0</v>
      </c>
      <c r="S4014" s="169">
        <f t="shared" si="253"/>
        <v>0</v>
      </c>
      <c r="V4014" s="169" t="str">
        <f t="shared" si="254"/>
        <v>FERNANDEZ</v>
      </c>
      <c r="W4014" s="169" t="s">
        <v>8895</v>
      </c>
    </row>
    <row r="4015" spans="2:23" x14ac:dyDescent="0.25">
      <c r="B4015" s="169" t="s">
        <v>96</v>
      </c>
      <c r="C4015" s="169" t="s">
        <v>45</v>
      </c>
      <c r="D4015" s="169" t="s">
        <v>5887</v>
      </c>
      <c r="E4015" s="169" t="s">
        <v>15047</v>
      </c>
      <c r="F4015" s="245" t="str">
        <f>IF(OR(E4015="XCN",E4015="DE",E4015="DW",E4015="DN",E4015="XCS",E4015="XCE",E4015="XCW",E4015="SUMP",E4015="BYPASS",E4015="CHAMBER",E4015="DRAIN HOLE",E4015="DRILLING CHAMBER",E4015="DE_ISL",E4015="DW_ISL",E4015="REHAB",E4015="DE_ISL",E4015="DE_ISL_B",E4015="DW_ISL_B",E4015="DW_ISL_A",E4015="DE_ISL_A"),"Dhoz 71",IF(OR(E4015="RAISE",E4015="RAISE_ISL"),"DVR 72",IF(E4015="ALIMAK","DVA 73",IF(E4015="WINZE","DVW 74",IF(E4015="SHAFT","DVS 75",IF(AND(E4015="WINZE STOPE",T4015="S"),"RobC 80",IF(AND(E4015="STOPE",T4015="S"),"StpS 77",IF(AND(E4015="WINZE STOPE",T4015="L"),"RobC 80",IF(AND(E4015="STOPE",T4015="L"),"StpL 78",IF(AND(E4015="WINZE STOPE PREP",T4015="S"),"RobC 80",IF(AND(E4015="STOPE PREP",T4015="S"),"StpS 77",IF(AND(E4015="WINZE STOPE PREP",T4015="L"),"RobC 80",IF(AND(E4015="STOPE PREP",T4015="L"),"StpL 78",IF(AND(E4015="ROBBING",T4015="L"),"RobC 80",IF(AND(E4015="ROBBING",T4015="S"),"RobS 79",0)))))))))))))))</f>
        <v>Dhoz 71</v>
      </c>
      <c r="G4015" t="s">
        <v>11</v>
      </c>
      <c r="I4015" s="169" t="str">
        <f t="shared" si="243"/>
        <v>L09_DPVE_085E_DE_ISL_B</v>
      </c>
      <c r="J4015" s="169" t="s">
        <v>15046</v>
      </c>
      <c r="K4015" s="169">
        <f>IFERROR(MATCH(J4015,'Final List'!$B$4:$B$252,0),0)</f>
        <v>0</v>
      </c>
      <c r="L4015" s="169">
        <f>IFERROR(MATCH(J4015,'Final List'!$D$4:$D$252,0),0)</f>
        <v>0</v>
      </c>
      <c r="M4015" s="169">
        <f>IFERROR(MATCH(J4015,'Final List'!$F$4:$F$251,0),0)</f>
        <v>0</v>
      </c>
      <c r="N4015" s="169">
        <f>IFERROR(MATCH(J4015,'Final List'!$H$4:$H$252,0),0)</f>
        <v>0</v>
      </c>
      <c r="O4015" s="169">
        <f>IFERROR(MATCH(J4015,'Final List'!$J$4:$J$252,0),0)</f>
        <v>0</v>
      </c>
      <c r="P4015" s="169">
        <f>IFERROR(MATCH(J4015,'Final List'!$L$4:$L$252,0),0)</f>
        <v>0</v>
      </c>
      <c r="Q4015" s="169">
        <f>IFERROR(MATCH(J4015,'Final List'!$N$4:$N$252,0),0)</f>
        <v>0</v>
      </c>
      <c r="R4015" s="169">
        <f>IFERROR(MATCH(J4015,'Final List'!$P$4:$P$252,0),0)</f>
        <v>0</v>
      </c>
      <c r="S4015" s="169">
        <f t="shared" si="253"/>
        <v>0</v>
      </c>
      <c r="V4015" s="169" t="str">
        <f t="shared" si="254"/>
        <v>QUIJANO</v>
      </c>
      <c r="W4015" s="169" t="s">
        <v>8896</v>
      </c>
    </row>
    <row r="4016" spans="2:23" x14ac:dyDescent="0.25">
      <c r="B4016" s="169" t="s">
        <v>96</v>
      </c>
      <c r="C4016" s="169" t="s">
        <v>45</v>
      </c>
      <c r="D4016" s="169" t="s">
        <v>141</v>
      </c>
      <c r="E4016" s="169" t="s">
        <v>221</v>
      </c>
      <c r="F4016" s="245" t="str">
        <f t="shared" si="252"/>
        <v>RobC 80</v>
      </c>
      <c r="G4016" s="169" t="s">
        <v>11</v>
      </c>
      <c r="I4016" s="169" t="str">
        <f t="shared" si="243"/>
        <v>L09_DPVE_029E_WINZE STOPE</v>
      </c>
      <c r="J4016" s="169" t="s">
        <v>15002</v>
      </c>
      <c r="K4016" s="169">
        <f>IFERROR(MATCH(J4016,'Final List'!$B$4:$B$252,0),0)</f>
        <v>0</v>
      </c>
      <c r="L4016" s="169">
        <f>IFERROR(MATCH(J4016,'Final List'!$D$4:$D$252,0),0)</f>
        <v>0</v>
      </c>
      <c r="M4016" s="169">
        <f>IFERROR(MATCH(J4016,'Final List'!$F$4:$F$251,0),0)</f>
        <v>0</v>
      </c>
      <c r="N4016" s="169">
        <f>IFERROR(MATCH(J4016,'Final List'!$H$4:$H$252,0),0)</f>
        <v>0</v>
      </c>
      <c r="O4016" s="169">
        <f>IFERROR(MATCH(J4016,'Final List'!$J$4:$J$252,0),0)</f>
        <v>0</v>
      </c>
      <c r="P4016" s="169">
        <f>IFERROR(MATCH(J4016,'Final List'!$L$4:$L$252,0),0)</f>
        <v>0</v>
      </c>
      <c r="Q4016" s="169">
        <f>IFERROR(MATCH(J4016,'Final List'!$N$4:$N$252,0),0)</f>
        <v>0</v>
      </c>
      <c r="R4016" s="169">
        <f>IFERROR(MATCH(J4016,'Final List'!$P$4:$P$252,0),0)</f>
        <v>0</v>
      </c>
      <c r="S4016" s="169">
        <f t="shared" si="253"/>
        <v>0</v>
      </c>
      <c r="T4016" s="169" t="s">
        <v>68</v>
      </c>
      <c r="V4016" s="169" t="str">
        <f t="shared" si="254"/>
        <v>QUIJANO</v>
      </c>
      <c r="W4016" s="169" t="s">
        <v>2713</v>
      </c>
    </row>
    <row r="4017" spans="2:23" x14ac:dyDescent="0.25">
      <c r="B4017" s="169" t="s">
        <v>14095</v>
      </c>
      <c r="C4017" s="169" t="s">
        <v>38</v>
      </c>
      <c r="D4017" s="169" t="s">
        <v>174</v>
      </c>
      <c r="E4017" s="169" t="s">
        <v>60</v>
      </c>
      <c r="F4017" s="245" t="str">
        <f t="shared" si="252"/>
        <v>Dhoz 71</v>
      </c>
      <c r="G4017" s="169" t="s">
        <v>7716</v>
      </c>
      <c r="I4017" s="169" t="str">
        <f t="shared" si="243"/>
        <v>L460_GHV_052E_DE</v>
      </c>
      <c r="J4017" s="169" t="s">
        <v>15003</v>
      </c>
      <c r="K4017" s="169">
        <f>IFERROR(MATCH(J4017,'Final List'!$B$4:$B$252,0),0)</f>
        <v>0</v>
      </c>
      <c r="L4017" s="169">
        <f>IFERROR(MATCH(J4017,'Final List'!$D$4:$D$252,0),0)</f>
        <v>0</v>
      </c>
      <c r="M4017" s="169">
        <f>IFERROR(MATCH(J4017,'Final List'!$F$4:$F$251,0),0)</f>
        <v>0</v>
      </c>
      <c r="N4017" s="169">
        <f>IFERROR(MATCH(J4017,'Final List'!$H$4:$H$252,0),0)</f>
        <v>0</v>
      </c>
      <c r="O4017" s="169">
        <f>IFERROR(MATCH(J4017,'Final List'!$J$4:$J$252,0),0)</f>
        <v>0</v>
      </c>
      <c r="P4017" s="169">
        <f>IFERROR(MATCH(J4017,'Final List'!$L$4:$L$252,0),0)</f>
        <v>0</v>
      </c>
      <c r="Q4017" s="169">
        <f>IFERROR(MATCH(J4017,'Final List'!$N$4:$N$252,0),0)</f>
        <v>0</v>
      </c>
      <c r="R4017" s="169">
        <f>IFERROR(MATCH(J4017,'Final List'!$P$4:$P$252,0),0)</f>
        <v>0</v>
      </c>
      <c r="S4017" s="169">
        <f t="shared" si="253"/>
        <v>0</v>
      </c>
      <c r="V4017" s="169" t="str">
        <f t="shared" si="254"/>
        <v>DUHIG P1</v>
      </c>
      <c r="W4017" s="169" t="s">
        <v>8896</v>
      </c>
    </row>
    <row r="4018" spans="2:23" x14ac:dyDescent="0.25">
      <c r="B4018" s="169" t="s">
        <v>1167</v>
      </c>
      <c r="C4018" s="169" t="s">
        <v>43</v>
      </c>
      <c r="D4018" s="169" t="s">
        <v>172</v>
      </c>
      <c r="E4018" s="169" t="s">
        <v>211</v>
      </c>
      <c r="F4018" s="245" t="str">
        <f t="shared" si="252"/>
        <v>StpS 77</v>
      </c>
      <c r="G4018" s="169" t="s">
        <v>14133</v>
      </c>
      <c r="H4018" s="169" t="s">
        <v>14130</v>
      </c>
      <c r="I4018" s="169" t="str">
        <f t="shared" si="243"/>
        <v>L12_GHVSPLIT_045E_STOPE PREP</v>
      </c>
      <c r="J4018" s="169" t="s">
        <v>15005</v>
      </c>
      <c r="K4018" s="169">
        <f>IFERROR(MATCH(J4018,'Final List'!$B$4:$B$252,0),0)</f>
        <v>0</v>
      </c>
      <c r="L4018" s="169">
        <f>IFERROR(MATCH(J4018,'Final List'!$D$4:$D$252,0),0)</f>
        <v>0</v>
      </c>
      <c r="M4018" s="169">
        <f>IFERROR(MATCH(J4018,'Final List'!$F$4:$F$251,0),0)</f>
        <v>0</v>
      </c>
      <c r="N4018" s="169">
        <f>IFERROR(MATCH(J4018,'Final List'!$H$4:$H$252,0),0)</f>
        <v>0</v>
      </c>
      <c r="O4018" s="169">
        <f>IFERROR(MATCH(J4018,'Final List'!$J$4:$J$252,0),0)</f>
        <v>0</v>
      </c>
      <c r="P4018" s="169">
        <f>IFERROR(MATCH(J4018,'Final List'!$L$4:$L$252,0),0)</f>
        <v>0</v>
      </c>
      <c r="Q4018" s="169">
        <f>IFERROR(MATCH(J4018,'Final List'!$N$4:$N$252,0),0)</f>
        <v>0</v>
      </c>
      <c r="R4018" s="169">
        <f>IFERROR(MATCH(J4018,'Final List'!$P$4:$P$252,0),0)</f>
        <v>0</v>
      </c>
      <c r="S4018" s="169">
        <f t="shared" si="253"/>
        <v>0</v>
      </c>
      <c r="T4018" s="169" t="s">
        <v>68</v>
      </c>
      <c r="V4018" s="169" t="str">
        <f t="shared" si="254"/>
        <v>DURANGO</v>
      </c>
      <c r="W4018" s="169" t="s">
        <v>2712</v>
      </c>
    </row>
    <row r="4019" spans="2:23" x14ac:dyDescent="0.25">
      <c r="B4019" s="169" t="s">
        <v>12320</v>
      </c>
      <c r="C4019" s="169" t="s">
        <v>39</v>
      </c>
      <c r="D4019" s="169" t="s">
        <v>6114</v>
      </c>
      <c r="E4019" s="169" t="s">
        <v>60</v>
      </c>
      <c r="F4019" s="245" t="str">
        <f t="shared" si="252"/>
        <v>Dhoz 71</v>
      </c>
      <c r="G4019" s="169" t="s">
        <v>14762</v>
      </c>
      <c r="H4019" s="169" t="s">
        <v>1510</v>
      </c>
      <c r="I4019" s="169" t="str">
        <f t="shared" si="243"/>
        <v>L425_JVHW_078E_DE</v>
      </c>
      <c r="J4019" s="169" t="s">
        <v>15421</v>
      </c>
      <c r="K4019" s="169">
        <f>IFERROR(MATCH(J4019,'Final List'!$B$4:$B$252,0),0)</f>
        <v>0</v>
      </c>
      <c r="L4019" s="169">
        <f>IFERROR(MATCH(J4019,'Final List'!$D$4:$D$252,0),0)</f>
        <v>0</v>
      </c>
      <c r="M4019" s="169">
        <f>IFERROR(MATCH(J4019,'Final List'!$F$4:$F$251,0),0)</f>
        <v>0</v>
      </c>
      <c r="N4019" s="169">
        <f>IFERROR(MATCH(J4019,'Final List'!$H$4:$H$252,0),0)</f>
        <v>195</v>
      </c>
      <c r="O4019" s="169">
        <f>IFERROR(MATCH(J4019,'Final List'!$J$4:$J$252,0),0)</f>
        <v>0</v>
      </c>
      <c r="P4019" s="169">
        <f>IFERROR(MATCH(J4019,'Final List'!$L$4:$L$252,0),0)</f>
        <v>0</v>
      </c>
      <c r="Q4019" s="169">
        <f>IFERROR(MATCH(J4019,'Final List'!$N$4:$N$252,0),0)</f>
        <v>0</v>
      </c>
      <c r="R4019" s="169">
        <f>IFERROR(MATCH(J4019,'Final List'!$P$4:$P$252,0),0)</f>
        <v>0</v>
      </c>
      <c r="S4019" s="169">
        <f t="shared" si="253"/>
        <v>195</v>
      </c>
      <c r="V4019" s="169" t="str">
        <f t="shared" si="254"/>
        <v>DELOS REYES</v>
      </c>
      <c r="W4019" s="169" t="s">
        <v>8896</v>
      </c>
    </row>
    <row r="4020" spans="2:23" x14ac:dyDescent="0.25">
      <c r="B4020" s="169" t="s">
        <v>12320</v>
      </c>
      <c r="C4020" s="169" t="s">
        <v>42</v>
      </c>
      <c r="D4020" s="169" t="s">
        <v>135</v>
      </c>
      <c r="E4020" s="169" t="s">
        <v>19</v>
      </c>
      <c r="F4020" s="245" t="str">
        <f t="shared" si="252"/>
        <v>DVR 72</v>
      </c>
      <c r="G4020" s="169" t="s">
        <v>7984</v>
      </c>
      <c r="I4020" s="169" t="str">
        <f t="shared" si="243"/>
        <v>L425_JV_034E_RAISE</v>
      </c>
      <c r="J4020" s="169" t="s">
        <v>15007</v>
      </c>
      <c r="K4020" s="169">
        <f>IFERROR(MATCH(J4020,'Final List'!$B$4:$B$252,0),0)</f>
        <v>0</v>
      </c>
      <c r="L4020" s="169">
        <f>IFERROR(MATCH(J4020,'Final List'!$D$4:$D$252,0),0)</f>
        <v>0</v>
      </c>
      <c r="M4020" s="169">
        <f>IFERROR(MATCH(J4020,'Final List'!$F$4:$F$251,0),0)</f>
        <v>0</v>
      </c>
      <c r="N4020" s="169">
        <f>IFERROR(MATCH(J4020,'Final List'!$H$4:$H$252,0),0)</f>
        <v>0</v>
      </c>
      <c r="O4020" s="169">
        <f>IFERROR(MATCH(J4020,'Final List'!$J$4:$J$252,0),0)</f>
        <v>0</v>
      </c>
      <c r="P4020" s="169">
        <f>IFERROR(MATCH(J4020,'Final List'!$L$4:$L$252,0),0)</f>
        <v>0</v>
      </c>
      <c r="Q4020" s="169">
        <f>IFERROR(MATCH(J4020,'Final List'!$N$4:$N$252,0),0)</f>
        <v>0</v>
      </c>
      <c r="R4020" s="169">
        <f>IFERROR(MATCH(J4020,'Final List'!$P$4:$P$252,0),0)</f>
        <v>0</v>
      </c>
      <c r="S4020" s="169">
        <f t="shared" si="253"/>
        <v>0</v>
      </c>
      <c r="V4020" s="169" t="str">
        <f t="shared" si="254"/>
        <v>OLIVEROS</v>
      </c>
      <c r="W4020" s="169" t="s">
        <v>2715</v>
      </c>
    </row>
    <row r="4021" spans="2:23" x14ac:dyDescent="0.25">
      <c r="B4021" s="169" t="s">
        <v>12320</v>
      </c>
      <c r="C4021" s="169" t="s">
        <v>59</v>
      </c>
      <c r="D4021" s="169" t="s">
        <v>169</v>
      </c>
      <c r="E4021" s="169" t="s">
        <v>36</v>
      </c>
      <c r="F4021" s="245" t="str">
        <f t="shared" si="252"/>
        <v>StpS 77</v>
      </c>
      <c r="G4021" s="169" t="s">
        <v>455</v>
      </c>
      <c r="I4021" s="169" t="str">
        <f t="shared" si="243"/>
        <v>L425_GHVHW_065E_STOPE</v>
      </c>
      <c r="J4021" s="169" t="s">
        <v>15010</v>
      </c>
      <c r="K4021" s="169">
        <f>IFERROR(MATCH(J4021,'Final List'!$B$4:$B$252,0),0)</f>
        <v>0</v>
      </c>
      <c r="L4021" s="169">
        <f>IFERROR(MATCH(J4021,'Final List'!$D$4:$D$252,0),0)</f>
        <v>195</v>
      </c>
      <c r="M4021" s="169">
        <f>IFERROR(MATCH(J4021,'Final List'!$F$4:$F$251,0),0)</f>
        <v>0</v>
      </c>
      <c r="N4021" s="169">
        <f>IFERROR(MATCH(J4021,'Final List'!$H$4:$H$252,0),0)</f>
        <v>0</v>
      </c>
      <c r="O4021" s="169">
        <f>IFERROR(MATCH(J4021,'Final List'!$J$4:$J$252,0),0)</f>
        <v>0</v>
      </c>
      <c r="P4021" s="169">
        <f>IFERROR(MATCH(J4021,'Final List'!$L$4:$L$252,0),0)</f>
        <v>0</v>
      </c>
      <c r="Q4021" s="169">
        <f>IFERROR(MATCH(J4021,'Final List'!$N$4:$N$252,0),0)</f>
        <v>0</v>
      </c>
      <c r="R4021" s="169">
        <f>IFERROR(MATCH(J4021,'Final List'!$P$4:$P$252,0),0)</f>
        <v>0</v>
      </c>
      <c r="S4021" s="169">
        <f t="shared" si="253"/>
        <v>195</v>
      </c>
      <c r="T4021" s="169" t="s">
        <v>68</v>
      </c>
      <c r="V4021" s="169" t="str">
        <f t="shared" si="254"/>
        <v>BABOR 4</v>
      </c>
      <c r="W4021" s="169" t="s">
        <v>2711</v>
      </c>
    </row>
    <row r="4022" spans="2:23" x14ac:dyDescent="0.25">
      <c r="B4022" s="169" t="s">
        <v>1166</v>
      </c>
      <c r="C4022" s="169" t="s">
        <v>45</v>
      </c>
      <c r="D4022" s="169" t="s">
        <v>9847</v>
      </c>
      <c r="E4022" s="169" t="s">
        <v>20</v>
      </c>
      <c r="F4022" s="245" t="str">
        <f t="shared" si="252"/>
        <v>DVW 74</v>
      </c>
      <c r="G4022" s="169" t="s">
        <v>401</v>
      </c>
      <c r="I4022" s="169" t="str">
        <f t="shared" si="243"/>
        <v>L11_DPVE_095E_WINZE</v>
      </c>
      <c r="J4022" s="169" t="s">
        <v>15013</v>
      </c>
      <c r="K4022" s="169">
        <f>IFERROR(MATCH(J4022,'Final List'!$B$4:$B$252,0),0)</f>
        <v>0</v>
      </c>
      <c r="L4022" s="169">
        <f>IFERROR(MATCH(J4022,'Final List'!$D$4:$D$252,0),0)</f>
        <v>0</v>
      </c>
      <c r="M4022" s="169">
        <f>IFERROR(MATCH(J4022,'Final List'!$F$4:$F$251,0),0)</f>
        <v>0</v>
      </c>
      <c r="N4022" s="169">
        <f>IFERROR(MATCH(J4022,'Final List'!$H$4:$H$252,0),0)</f>
        <v>0</v>
      </c>
      <c r="O4022" s="169">
        <f>IFERROR(MATCH(J4022,'Final List'!$J$4:$J$252,0),0)</f>
        <v>0</v>
      </c>
      <c r="P4022" s="169">
        <f>IFERROR(MATCH(J4022,'Final List'!$L$4:$L$252,0),0)</f>
        <v>157</v>
      </c>
      <c r="Q4022" s="169">
        <f>IFERROR(MATCH(J4022,'Final List'!$N$4:$N$252,0),0)</f>
        <v>0</v>
      </c>
      <c r="R4022" s="169">
        <f>IFERROR(MATCH(J4022,'Final List'!$P$4:$P$252,0),0)</f>
        <v>0</v>
      </c>
      <c r="S4022" s="169">
        <f t="shared" si="253"/>
        <v>157</v>
      </c>
      <c r="V4022" s="169" t="str">
        <f t="shared" si="254"/>
        <v>MAPAYO 2</v>
      </c>
      <c r="W4022" s="169" t="s">
        <v>2706</v>
      </c>
    </row>
    <row r="4023" spans="2:23" x14ac:dyDescent="0.25">
      <c r="B4023" s="169" t="s">
        <v>1166</v>
      </c>
      <c r="C4023" s="169" t="s">
        <v>45</v>
      </c>
      <c r="D4023" s="169" t="s">
        <v>14686</v>
      </c>
      <c r="E4023" s="169" t="s">
        <v>36</v>
      </c>
      <c r="F4023" s="245" t="str">
        <f t="shared" si="252"/>
        <v>StpL 78</v>
      </c>
      <c r="G4023" s="169" t="s">
        <v>4155</v>
      </c>
      <c r="I4023" s="169" t="str">
        <f t="shared" si="243"/>
        <v>L11_DPVE_104E_STOPE</v>
      </c>
      <c r="J4023" s="169" t="s">
        <v>15016</v>
      </c>
      <c r="K4023" s="169">
        <f>IFERROR(MATCH(J4023,'Final List'!$B$4:$B$252,0),0)</f>
        <v>0</v>
      </c>
      <c r="L4023" s="169">
        <f>IFERROR(MATCH(J4023,'Final List'!$D$4:$D$252,0),0)</f>
        <v>158</v>
      </c>
      <c r="M4023" s="169">
        <f>IFERROR(MATCH(J4023,'Final List'!$F$4:$F$251,0),0)</f>
        <v>0</v>
      </c>
      <c r="N4023" s="169">
        <f>IFERROR(MATCH(J4023,'Final List'!$H$4:$H$252,0),0)</f>
        <v>0</v>
      </c>
      <c r="O4023" s="169">
        <f>IFERROR(MATCH(J4023,'Final List'!$J$4:$J$252,0),0)</f>
        <v>0</v>
      </c>
      <c r="P4023" s="169">
        <f>IFERROR(MATCH(J4023,'Final List'!$L$4:$L$252,0),0)</f>
        <v>0</v>
      </c>
      <c r="Q4023" s="169">
        <f>IFERROR(MATCH(J4023,'Final List'!$N$4:$N$252,0),0)</f>
        <v>0</v>
      </c>
      <c r="R4023" s="169">
        <f>IFERROR(MATCH(J4023,'Final List'!$P$4:$P$252,0),0)</f>
        <v>0</v>
      </c>
      <c r="S4023" s="169">
        <f t="shared" si="253"/>
        <v>158</v>
      </c>
      <c r="T4023" s="169" t="s">
        <v>48</v>
      </c>
      <c r="V4023" s="169" t="str">
        <f t="shared" si="254"/>
        <v>BAÑEZ</v>
      </c>
      <c r="W4023" s="169" t="s">
        <v>2711</v>
      </c>
    </row>
    <row r="4024" spans="2:23" x14ac:dyDescent="0.25">
      <c r="B4024" s="169" t="s">
        <v>12320</v>
      </c>
      <c r="C4024" s="169" t="s">
        <v>87</v>
      </c>
      <c r="D4024" s="169" t="s">
        <v>197</v>
      </c>
      <c r="E4024" s="169" t="s">
        <v>63</v>
      </c>
      <c r="F4024" s="245" t="str">
        <f t="shared" si="252"/>
        <v>Dhoz 71</v>
      </c>
      <c r="G4024" s="169" t="s">
        <v>1376</v>
      </c>
      <c r="I4024" s="169" t="str">
        <f t="shared" si="243"/>
        <v>L425_NONE_070E_XCS</v>
      </c>
      <c r="J4024" s="169" t="s">
        <v>15018</v>
      </c>
      <c r="K4024" s="169">
        <f>IFERROR(MATCH(J4024,'Final List'!$B$4:$B$252,0),0)</f>
        <v>0</v>
      </c>
      <c r="L4024" s="169">
        <f>IFERROR(MATCH(J4024,'Final List'!$D$4:$D$252,0),0)</f>
        <v>0</v>
      </c>
      <c r="M4024" s="169">
        <f>IFERROR(MATCH(J4024,'Final List'!$F$4:$F$251,0),0)</f>
        <v>0</v>
      </c>
      <c r="N4024" s="169">
        <f>IFERROR(MATCH(J4024,'Final List'!$H$4:$H$252,0),0)</f>
        <v>0</v>
      </c>
      <c r="O4024" s="169">
        <f>IFERROR(MATCH(J4024,'Final List'!$J$4:$J$252,0),0)</f>
        <v>0</v>
      </c>
      <c r="P4024" s="169">
        <f>IFERROR(MATCH(J4024,'Final List'!$L$4:$L$252,0),0)</f>
        <v>0</v>
      </c>
      <c r="Q4024" s="169">
        <f>IFERROR(MATCH(J4024,'Final List'!$N$4:$N$252,0),0)</f>
        <v>0</v>
      </c>
      <c r="R4024" s="169">
        <f>IFERROR(MATCH(J4024,'Final List'!$P$4:$P$252,0),0)</f>
        <v>0</v>
      </c>
      <c r="S4024" s="169">
        <f t="shared" si="253"/>
        <v>0</v>
      </c>
      <c r="V4024" s="169" t="str">
        <f t="shared" si="254"/>
        <v>LERIO</v>
      </c>
      <c r="W4024" s="169" t="s">
        <v>8898</v>
      </c>
    </row>
    <row r="4025" spans="2:23" x14ac:dyDescent="0.25">
      <c r="B4025" s="169" t="s">
        <v>12320</v>
      </c>
      <c r="C4025" s="169" t="s">
        <v>57</v>
      </c>
      <c r="D4025" s="169" t="s">
        <v>5604</v>
      </c>
      <c r="E4025" s="169" t="s">
        <v>19</v>
      </c>
      <c r="F4025" s="245" t="str">
        <f t="shared" si="252"/>
        <v>DVR 72</v>
      </c>
      <c r="G4025" s="169" t="s">
        <v>1376</v>
      </c>
      <c r="I4025" s="169" t="str">
        <f t="shared" si="243"/>
        <v>L425_JVSPLIT_063E_RAISE</v>
      </c>
      <c r="J4025" s="169" t="s">
        <v>15019</v>
      </c>
      <c r="K4025" s="169">
        <f>IFERROR(MATCH(J4025,'Final List'!$B$4:$B$252,0),0)</f>
        <v>0</v>
      </c>
      <c r="L4025" s="169">
        <f>IFERROR(MATCH(J4025,'Final List'!$D$4:$D$252,0),0)</f>
        <v>0</v>
      </c>
      <c r="M4025" s="169">
        <f>IFERROR(MATCH(J4025,'Final List'!$F$4:$F$251,0),0)</f>
        <v>0</v>
      </c>
      <c r="N4025" s="169">
        <f>IFERROR(MATCH(J4025,'Final List'!$H$4:$H$252,0),0)</f>
        <v>0</v>
      </c>
      <c r="O4025" s="169">
        <f>IFERROR(MATCH(J4025,'Final List'!$J$4:$J$252,0),0)</f>
        <v>0</v>
      </c>
      <c r="P4025" s="169">
        <f>IFERROR(MATCH(J4025,'Final List'!$L$4:$L$252,0),0)</f>
        <v>0</v>
      </c>
      <c r="Q4025" s="169">
        <f>IFERROR(MATCH(J4025,'Final List'!$N$4:$N$252,0),0)</f>
        <v>0</v>
      </c>
      <c r="R4025" s="169">
        <f>IFERROR(MATCH(J4025,'Final List'!$P$4:$P$252,0),0)</f>
        <v>0</v>
      </c>
      <c r="S4025" s="169">
        <f t="shared" si="253"/>
        <v>0</v>
      </c>
      <c r="V4025" s="169" t="str">
        <f t="shared" si="254"/>
        <v>LERIO</v>
      </c>
      <c r="W4025" s="169" t="s">
        <v>2715</v>
      </c>
    </row>
    <row r="4026" spans="2:23" x14ac:dyDescent="0.25">
      <c r="B4026" s="169" t="s">
        <v>96</v>
      </c>
      <c r="C4026" s="169" t="s">
        <v>42</v>
      </c>
      <c r="D4026" s="169" t="s">
        <v>133</v>
      </c>
      <c r="E4026" s="169" t="s">
        <v>211</v>
      </c>
      <c r="F4026" s="245" t="str">
        <f t="shared" si="252"/>
        <v>StpL 78</v>
      </c>
      <c r="G4026" t="s">
        <v>7659</v>
      </c>
      <c r="I4026" s="169" t="str">
        <f t="shared" si="243"/>
        <v>L09_JV_037E_STOPE PREP</v>
      </c>
      <c r="J4026" s="169" t="s">
        <v>15021</v>
      </c>
      <c r="K4026" s="169">
        <f>IFERROR(MATCH(J4026,'Final List'!$B$4:$B$252,0),0)</f>
        <v>0</v>
      </c>
      <c r="L4026" s="169">
        <f>IFERROR(MATCH(J4026,'Final List'!$D$4:$D$252,0),0)</f>
        <v>0</v>
      </c>
      <c r="M4026" s="169">
        <f>IFERROR(MATCH(J4026,'Final List'!$F$4:$F$251,0),0)</f>
        <v>0</v>
      </c>
      <c r="N4026" s="169">
        <f>IFERROR(MATCH(J4026,'Final List'!$H$4:$H$252,0),0)</f>
        <v>0</v>
      </c>
      <c r="O4026" s="169">
        <f>IFERROR(MATCH(J4026,'Final List'!$J$4:$J$252,0),0)</f>
        <v>0</v>
      </c>
      <c r="P4026" s="169">
        <f>IFERROR(MATCH(J4026,'Final List'!$L$4:$L$252,0),0)</f>
        <v>0</v>
      </c>
      <c r="Q4026" s="169">
        <f>IFERROR(MATCH(J4026,'Final List'!$N$4:$N$252,0),0)</f>
        <v>0</v>
      </c>
      <c r="R4026" s="169">
        <f>IFERROR(MATCH(J4026,'Final List'!$P$4:$P$252,0),0)</f>
        <v>0</v>
      </c>
      <c r="S4026" s="169">
        <f t="shared" si="253"/>
        <v>0</v>
      </c>
      <c r="T4026" s="169" t="s">
        <v>48</v>
      </c>
      <c r="V4026" s="169" t="str">
        <f t="shared" si="254"/>
        <v>DELOS REYES 2</v>
      </c>
      <c r="W4026" s="169" t="s">
        <v>2712</v>
      </c>
    </row>
    <row r="4027" spans="2:23" ht="14.25" customHeight="1" x14ac:dyDescent="0.25">
      <c r="B4027" s="169" t="s">
        <v>1166</v>
      </c>
      <c r="C4027" s="169" t="s">
        <v>45</v>
      </c>
      <c r="D4027" s="169" t="s">
        <v>11925</v>
      </c>
      <c r="E4027" s="169" t="s">
        <v>36</v>
      </c>
      <c r="F4027" s="245" t="str">
        <f t="shared" si="252"/>
        <v>StpL 78</v>
      </c>
      <c r="G4027" t="s">
        <v>6980</v>
      </c>
      <c r="H4027" s="169" t="s">
        <v>340</v>
      </c>
      <c r="I4027" s="169" t="str">
        <f t="shared" si="243"/>
        <v>L11_DPVE_103E_STOPE</v>
      </c>
      <c r="J4027" s="169" t="s">
        <v>15023</v>
      </c>
      <c r="K4027" s="169">
        <f>IFERROR(MATCH(J4027,'Final List'!$B$4:$B$252,0),0)</f>
        <v>0</v>
      </c>
      <c r="L4027" s="169">
        <f>IFERROR(MATCH(J4027,'Final List'!$D$4:$D$252,0),0)</f>
        <v>156</v>
      </c>
      <c r="M4027" s="169">
        <f>IFERROR(MATCH(J4027,'Final List'!$F$4:$F$251,0),0)</f>
        <v>0</v>
      </c>
      <c r="N4027" s="169">
        <f>IFERROR(MATCH(J4027,'Final List'!$H$4:$H$252,0),0)</f>
        <v>0</v>
      </c>
      <c r="O4027" s="169">
        <f>IFERROR(MATCH(J4027,'Final List'!$J$4:$J$252,0),0)</f>
        <v>0</v>
      </c>
      <c r="P4027" s="169">
        <f>IFERROR(MATCH(J4027,'Final List'!$L$4:$L$252,0),0)</f>
        <v>0</v>
      </c>
      <c r="Q4027" s="169">
        <f>IFERROR(MATCH(J4027,'Final List'!$N$4:$N$252,0),0)</f>
        <v>0</v>
      </c>
      <c r="R4027" s="169">
        <f>IFERROR(MATCH(J4027,'Final List'!$P$4:$P$252,0),0)</f>
        <v>0</v>
      </c>
      <c r="S4027" s="169">
        <f t="shared" si="253"/>
        <v>156</v>
      </c>
      <c r="T4027" s="169" t="s">
        <v>48</v>
      </c>
      <c r="V4027" s="169" t="str">
        <f t="shared" si="254"/>
        <v>COMAINGKING</v>
      </c>
      <c r="W4027" s="169" t="s">
        <v>2711</v>
      </c>
    </row>
    <row r="4028" spans="2:23" x14ac:dyDescent="0.25">
      <c r="B4028" s="169" t="s">
        <v>12320</v>
      </c>
      <c r="C4028" s="169" t="s">
        <v>57</v>
      </c>
      <c r="D4028" s="169" t="s">
        <v>247</v>
      </c>
      <c r="E4028" s="169" t="s">
        <v>61</v>
      </c>
      <c r="F4028" s="245" t="str">
        <f t="shared" si="252"/>
        <v>Dhoz 71</v>
      </c>
      <c r="G4028" s="169" t="s">
        <v>15026</v>
      </c>
      <c r="I4028" s="169" t="str">
        <f t="shared" si="243"/>
        <v>L425_JVSPLIT_080E_DW</v>
      </c>
      <c r="J4028" s="169" t="s">
        <v>15025</v>
      </c>
      <c r="K4028" s="169">
        <f>IFERROR(MATCH(J4028,'Final List'!$B$4:$B$252,0),0)</f>
        <v>0</v>
      </c>
      <c r="L4028" s="169">
        <f>IFERROR(MATCH(J4028,'Final List'!$D$4:$D$252,0),0)</f>
        <v>0</v>
      </c>
      <c r="M4028" s="169">
        <f>IFERROR(MATCH(J4028,'Final List'!$F$4:$F$251,0),0)</f>
        <v>0</v>
      </c>
      <c r="N4028" s="169">
        <f>IFERROR(MATCH(J4028,'Final List'!$H$4:$H$252,0),0)</f>
        <v>0</v>
      </c>
      <c r="O4028" s="169">
        <f>IFERROR(MATCH(J4028,'Final List'!$J$4:$J$252,0),0)</f>
        <v>0</v>
      </c>
      <c r="P4028" s="169">
        <f>IFERROR(MATCH(J4028,'Final List'!$L$4:$L$252,0),0)</f>
        <v>0</v>
      </c>
      <c r="Q4028" s="169">
        <f>IFERROR(MATCH(J4028,'Final List'!$N$4:$N$252,0),0)</f>
        <v>0</v>
      </c>
      <c r="R4028" s="169">
        <f>IFERROR(MATCH(J4028,'Final List'!$P$4:$P$252,0),0)</f>
        <v>0</v>
      </c>
      <c r="S4028" s="169">
        <f t="shared" si="253"/>
        <v>0</v>
      </c>
      <c r="V4028" s="169" t="str">
        <f t="shared" si="254"/>
        <v>DELOS REYES 5. </v>
      </c>
      <c r="W4028" s="169" t="s">
        <v>8896</v>
      </c>
    </row>
    <row r="4029" spans="2:23" x14ac:dyDescent="0.25">
      <c r="B4029" s="169" t="s">
        <v>1167</v>
      </c>
      <c r="C4029" s="169" t="s">
        <v>55</v>
      </c>
      <c r="D4029" s="169" t="s">
        <v>5614</v>
      </c>
      <c r="E4029" s="169" t="s">
        <v>36</v>
      </c>
      <c r="F4029" s="245" t="str">
        <f t="shared" si="252"/>
        <v>StpS 77</v>
      </c>
      <c r="G4029" s="169" t="s">
        <v>14130</v>
      </c>
      <c r="I4029" s="169" t="str">
        <f t="shared" si="243"/>
        <v>L12_JVFW_055E_STOPE</v>
      </c>
      <c r="J4029" s="169" t="s">
        <v>15028</v>
      </c>
      <c r="K4029" s="169">
        <f>IFERROR(MATCH(J4029,'Final List'!$B$4:$B$252,0),0)</f>
        <v>0</v>
      </c>
      <c r="L4029" s="169">
        <f>IFERROR(MATCH(J4029,'Final List'!$D$4:$D$252,0),0)</f>
        <v>0</v>
      </c>
      <c r="M4029" s="169">
        <f>IFERROR(MATCH(J4029,'Final List'!$F$4:$F$251,0),0)</f>
        <v>0</v>
      </c>
      <c r="N4029" s="169">
        <f>IFERROR(MATCH(J4029,'Final List'!$H$4:$H$252,0),0)</f>
        <v>0</v>
      </c>
      <c r="O4029" s="169">
        <f>IFERROR(MATCH(J4029,'Final List'!$J$4:$J$252,0),0)</f>
        <v>0</v>
      </c>
      <c r="P4029" s="169">
        <f>IFERROR(MATCH(J4029,'Final List'!$L$4:$L$252,0),0)</f>
        <v>0</v>
      </c>
      <c r="Q4029" s="169">
        <f>IFERROR(MATCH(J4029,'Final List'!$N$4:$N$252,0),0)</f>
        <v>0</v>
      </c>
      <c r="R4029" s="169">
        <f>IFERROR(MATCH(J4029,'Final List'!$P$4:$P$252,0),0)</f>
        <v>0</v>
      </c>
      <c r="S4029" s="169">
        <f t="shared" si="253"/>
        <v>0</v>
      </c>
      <c r="T4029" s="169" t="s">
        <v>68</v>
      </c>
      <c r="V4029" s="169" t="str">
        <f t="shared" si="254"/>
        <v>DURANGO</v>
      </c>
      <c r="W4029" s="169" t="s">
        <v>2713</v>
      </c>
    </row>
    <row r="4030" spans="2:23" x14ac:dyDescent="0.25">
      <c r="B4030" s="169" t="s">
        <v>1167</v>
      </c>
      <c r="C4030" s="169" t="s">
        <v>87</v>
      </c>
      <c r="D4030" s="169" t="s">
        <v>168</v>
      </c>
      <c r="E4030" s="169" t="s">
        <v>37</v>
      </c>
      <c r="F4030" s="245" t="str">
        <f t="shared" si="252"/>
        <v>Dhoz 71</v>
      </c>
      <c r="G4030" s="169" t="s">
        <v>13633</v>
      </c>
      <c r="I4030" s="169" t="str">
        <f t="shared" si="243"/>
        <v>L12_NONE_047E_XCN</v>
      </c>
      <c r="J4030" s="169" t="s">
        <v>15030</v>
      </c>
      <c r="K4030" s="169">
        <f>IFERROR(MATCH(J4030,'Final List'!$B$4:$B$252,0),0)</f>
        <v>0</v>
      </c>
      <c r="L4030" s="169">
        <f>IFERROR(MATCH(J4030,'Final List'!$D$4:$D$252,0),0)</f>
        <v>0</v>
      </c>
      <c r="M4030" s="169">
        <f>IFERROR(MATCH(J4030,'Final List'!$F$4:$F$251,0),0)</f>
        <v>0</v>
      </c>
      <c r="N4030" s="169">
        <f>IFERROR(MATCH(J4030,'Final List'!$H$4:$H$252,0),0)</f>
        <v>0</v>
      </c>
      <c r="O4030" s="169">
        <f>IFERROR(MATCH(J4030,'Final List'!$J$4:$J$252,0),0)</f>
        <v>0</v>
      </c>
      <c r="P4030" s="169">
        <f>IFERROR(MATCH(J4030,'Final List'!$L$4:$L$252,0),0)</f>
        <v>0</v>
      </c>
      <c r="Q4030" s="169">
        <f>IFERROR(MATCH(J4030,'Final List'!$N$4:$N$252,0),0)</f>
        <v>0</v>
      </c>
      <c r="R4030" s="169">
        <f>IFERROR(MATCH(J4030,'Final List'!$P$4:$P$252,0),0)</f>
        <v>0</v>
      </c>
      <c r="S4030" s="169">
        <f t="shared" si="253"/>
        <v>0</v>
      </c>
      <c r="V4030" s="169" t="str">
        <f t="shared" si="254"/>
        <v>CAYMAN</v>
      </c>
      <c r="W4030" s="169" t="s">
        <v>8898</v>
      </c>
    </row>
    <row r="4031" spans="2:23" x14ac:dyDescent="0.25">
      <c r="B4031" s="169" t="s">
        <v>12320</v>
      </c>
      <c r="C4031" s="169" t="s">
        <v>59</v>
      </c>
      <c r="D4031" s="169" t="s">
        <v>5614</v>
      </c>
      <c r="E4031" s="169" t="s">
        <v>60</v>
      </c>
      <c r="F4031" s="245" t="str">
        <f t="shared" si="252"/>
        <v>Dhoz 71</v>
      </c>
      <c r="G4031" s="169" t="s">
        <v>7984</v>
      </c>
      <c r="I4031" s="169" t="str">
        <f t="shared" si="243"/>
        <v>L425_GHVHW_055E_DE</v>
      </c>
      <c r="J4031" s="169" t="s">
        <v>15034</v>
      </c>
      <c r="K4031" s="169">
        <f>IFERROR(MATCH(J4031,'Final List'!$B$4:$B$252,0),0)</f>
        <v>0</v>
      </c>
      <c r="L4031" s="169">
        <f>IFERROR(MATCH(J4031,'Final List'!$D$4:$D$252,0),0)</f>
        <v>0</v>
      </c>
      <c r="M4031" s="169">
        <f>IFERROR(MATCH(J4031,'Final List'!$F$4:$F$251,0),0)</f>
        <v>0</v>
      </c>
      <c r="N4031" s="169">
        <f>IFERROR(MATCH(J4031,'Final List'!$H$4:$H$252,0),0)</f>
        <v>0</v>
      </c>
      <c r="O4031" s="169">
        <f>IFERROR(MATCH(J4031,'Final List'!$J$4:$J$252,0),0)</f>
        <v>0</v>
      </c>
      <c r="P4031" s="169">
        <f>IFERROR(MATCH(J4031,'Final List'!$L$4:$L$252,0),0)</f>
        <v>0</v>
      </c>
      <c r="Q4031" s="169">
        <f>IFERROR(MATCH(J4031,'Final List'!$N$4:$N$252,0),0)</f>
        <v>0</v>
      </c>
      <c r="R4031" s="169">
        <f>IFERROR(MATCH(J4031,'Final List'!$P$4:$P$252,0),0)</f>
        <v>0</v>
      </c>
      <c r="S4031" s="169">
        <f t="shared" si="253"/>
        <v>0</v>
      </c>
      <c r="V4031" s="169" t="str">
        <f t="shared" si="254"/>
        <v>OLIVEROS</v>
      </c>
      <c r="W4031" s="169" t="s">
        <v>8896</v>
      </c>
    </row>
    <row r="4032" spans="2:23" x14ac:dyDescent="0.25">
      <c r="B4032" s="169" t="s">
        <v>12320</v>
      </c>
      <c r="C4032" s="169" t="s">
        <v>59</v>
      </c>
      <c r="D4032" s="169" t="s">
        <v>170</v>
      </c>
      <c r="E4032" s="169" t="s">
        <v>36</v>
      </c>
      <c r="F4032" s="245" t="str">
        <f t="shared" si="252"/>
        <v>StpS 77</v>
      </c>
      <c r="G4032" s="169" t="s">
        <v>14900</v>
      </c>
      <c r="I4032" s="169" t="str">
        <f t="shared" si="243"/>
        <v>L425_GHVHW_071E_STOPE</v>
      </c>
      <c r="J4032" s="169" t="s">
        <v>15036</v>
      </c>
      <c r="K4032" s="169">
        <f>IFERROR(MATCH(J4032,'Final List'!$B$4:$B$252,0),0)</f>
        <v>0</v>
      </c>
      <c r="L4032" s="169">
        <f>IFERROR(MATCH(J4032,'Final List'!$D$4:$D$252,0),0)</f>
        <v>190</v>
      </c>
      <c r="M4032" s="169">
        <f>IFERROR(MATCH(J4032,'Final List'!$F$4:$F$251,0),0)</f>
        <v>0</v>
      </c>
      <c r="N4032" s="169">
        <f>IFERROR(MATCH(J4032,'Final List'!$H$4:$H$252,0),0)</f>
        <v>0</v>
      </c>
      <c r="O4032" s="169">
        <f>IFERROR(MATCH(J4032,'Final List'!$J$4:$J$252,0),0)</f>
        <v>0</v>
      </c>
      <c r="P4032" s="169">
        <f>IFERROR(MATCH(J4032,'Final List'!$L$4:$L$252,0),0)</f>
        <v>0</v>
      </c>
      <c r="Q4032" s="169">
        <f>IFERROR(MATCH(J4032,'Final List'!$N$4:$N$252,0),0)</f>
        <v>0</v>
      </c>
      <c r="R4032" s="169">
        <f>IFERROR(MATCH(J4032,'Final List'!$P$4:$P$252,0),0)</f>
        <v>0</v>
      </c>
      <c r="S4032" s="169">
        <f t="shared" si="253"/>
        <v>190</v>
      </c>
      <c r="T4032" s="169" t="s">
        <v>68</v>
      </c>
      <c r="V4032" s="169" t="str">
        <f t="shared" si="254"/>
        <v>ESPINOSA 4</v>
      </c>
      <c r="W4032" s="169" t="s">
        <v>2711</v>
      </c>
    </row>
    <row r="4033" spans="2:23" x14ac:dyDescent="0.25">
      <c r="B4033" s="169" t="s">
        <v>14095</v>
      </c>
      <c r="C4033" s="169" t="s">
        <v>43</v>
      </c>
      <c r="D4033" s="169" t="s">
        <v>177</v>
      </c>
      <c r="E4033" s="169" t="s">
        <v>61</v>
      </c>
      <c r="F4033" s="245" t="str">
        <f t="shared" si="252"/>
        <v>Dhoz 71</v>
      </c>
      <c r="G4033" s="169" t="s">
        <v>6932</v>
      </c>
      <c r="I4033" s="169" t="str">
        <f t="shared" si="243"/>
        <v>L460_GHVSPLIT_054E_DW</v>
      </c>
      <c r="J4033" s="169" t="s">
        <v>15038</v>
      </c>
      <c r="K4033" s="169">
        <f>IFERROR(MATCH(J4033,'Final List'!$B$4:$B$252,0),0)</f>
        <v>0</v>
      </c>
      <c r="L4033" s="169">
        <f>IFERROR(MATCH(J4033,'Final List'!$D$4:$D$252,0),0)</f>
        <v>0</v>
      </c>
      <c r="M4033" s="169">
        <f>IFERROR(MATCH(J4033,'Final List'!$F$4:$F$251,0),0)</f>
        <v>0</v>
      </c>
      <c r="N4033" s="169">
        <f>IFERROR(MATCH(J4033,'Final List'!$H$4:$H$252,0),0)</f>
        <v>222</v>
      </c>
      <c r="O4033" s="169">
        <f>IFERROR(MATCH(J4033,'Final List'!$J$4:$J$252,0),0)</f>
        <v>0</v>
      </c>
      <c r="P4033" s="169">
        <f>IFERROR(MATCH(J4033,'Final List'!$L$4:$L$252,0),0)</f>
        <v>0</v>
      </c>
      <c r="Q4033" s="169">
        <f>IFERROR(MATCH(J4033,'Final List'!$N$4:$N$252,0),0)</f>
        <v>0</v>
      </c>
      <c r="R4033" s="169">
        <f>IFERROR(MATCH(J4033,'Final List'!$P$4:$P$252,0),0)</f>
        <v>0</v>
      </c>
      <c r="S4033" s="169">
        <f t="shared" si="253"/>
        <v>222</v>
      </c>
      <c r="V4033" s="169" t="str">
        <f t="shared" si="254"/>
        <v>DUHIG, P3</v>
      </c>
      <c r="W4033" s="169" t="s">
        <v>8896</v>
      </c>
    </row>
    <row r="4034" spans="2:23" x14ac:dyDescent="0.25">
      <c r="B4034" s="169" t="s">
        <v>258</v>
      </c>
      <c r="C4034" s="169" t="s">
        <v>42</v>
      </c>
      <c r="D4034" s="169" t="s">
        <v>5992</v>
      </c>
      <c r="E4034" s="169" t="s">
        <v>36</v>
      </c>
      <c r="F4034" s="245" t="str">
        <f t="shared" si="252"/>
        <v>StpL 78</v>
      </c>
      <c r="G4034" s="169" t="s">
        <v>5701</v>
      </c>
      <c r="I4034" s="169" t="str">
        <f t="shared" si="243"/>
        <v>L10_JV_026W_STOPE</v>
      </c>
      <c r="J4034" s="169" t="s">
        <v>15135</v>
      </c>
      <c r="K4034" s="169">
        <f>IFERROR(MATCH(J4034,'Final List'!$B$4:$B$252,0),0)</f>
        <v>0</v>
      </c>
      <c r="L4034" s="169">
        <f>IFERROR(MATCH(J4034,'Final List'!$D$4:$D$252,0),0)</f>
        <v>135</v>
      </c>
      <c r="M4034" s="169">
        <f>IFERROR(MATCH(J4034,'Final List'!$F$4:$F$251,0),0)</f>
        <v>0</v>
      </c>
      <c r="N4034" s="169">
        <f>IFERROR(MATCH(J4034,'Final List'!$H$4:$H$252,0),0)</f>
        <v>0</v>
      </c>
      <c r="O4034" s="169">
        <f>IFERROR(MATCH(J4034,'Final List'!$J$4:$J$252,0),0)</f>
        <v>0</v>
      </c>
      <c r="P4034" s="169">
        <f>IFERROR(MATCH(J4034,'Final List'!$L$4:$L$252,0),0)</f>
        <v>0</v>
      </c>
      <c r="Q4034" s="169">
        <f>IFERROR(MATCH(J4034,'Final List'!$N$4:$N$252,0),0)</f>
        <v>0</v>
      </c>
      <c r="R4034" s="169">
        <f>IFERROR(MATCH(J4034,'Final List'!$P$4:$P$252,0),0)</f>
        <v>0</v>
      </c>
      <c r="S4034" s="169">
        <f t="shared" si="253"/>
        <v>135</v>
      </c>
      <c r="T4034" s="169" t="s">
        <v>48</v>
      </c>
      <c r="V4034" s="169" t="str">
        <f t="shared" si="254"/>
        <v>LARGO 2</v>
      </c>
      <c r="W4034" s="169" t="s">
        <v>2711</v>
      </c>
    </row>
    <row r="4035" spans="2:23" x14ac:dyDescent="0.25">
      <c r="B4035" s="169" t="s">
        <v>258</v>
      </c>
      <c r="C4035" s="169" t="s">
        <v>45</v>
      </c>
      <c r="D4035" s="169" t="s">
        <v>6710</v>
      </c>
      <c r="E4035" s="169" t="s">
        <v>19</v>
      </c>
      <c r="F4035" s="245" t="str">
        <f t="shared" ref="F4035:F4098" si="255">IF(OR(E4035="XCN",E4035="DE",E4035="DW",E4035="DN",E4035="XCS",E4035="XCE",E4035="XCW",E4035="SUMP",E4035="BYPASS",E4035="CHAMBER",E4035="DRAIN HOLE",E4035="DRILLING CHAMBER",E4035="DE_ISL",E4035="DW_ISL",E4035="REHAB"),"Dhoz 71",IF(OR(E4035="RAISE",E4035="RAISE_ISL"),"DVR 72",IF(E4035="ALIMAK","DVA 73",IF(E4035="WINZE","DVW 74",IF(E4035="SHAFT","DVS 75",IF(AND(E4035="WINZE STOPE",T4035="S"),"RobC 80",IF(AND(E4035="STOPE",T4035="S"),"StpS 77",IF(AND(E4035="WINZE STOPE",T4035="L"),"RobC 80",IF(AND(E4035="STOPE",T4035="L"),"StpL 78",IF(AND(E4035="WINZE STOPE PREP",T4035="S"),"RobC 80",IF(AND(E4035="STOPE PREP",T4035="S"),"StpS 77",IF(AND(E4035="WINZE STOPE PREP",T4035="L"),"RobC 80",IF(AND(E4035="STOPE PREP",T4035="L"),"StpL 78",IF(AND(E4035="ROBBING",T4035="L"),"RobC 80",IF(AND(E4035="ROBBING",T4035="S"),"RobS 79",0)))))))))))))))</f>
        <v>DVR 72</v>
      </c>
      <c r="G4035" s="169" t="s">
        <v>5700</v>
      </c>
      <c r="I4035" s="169" t="str">
        <f t="shared" si="243"/>
        <v>L10_DPVE_018W_RAISE</v>
      </c>
      <c r="J4035" s="169" t="s">
        <v>15041</v>
      </c>
      <c r="K4035" s="169">
        <f>IFERROR(MATCH(J4035,'Final List'!$B$4:$B$252,0),0)</f>
        <v>0</v>
      </c>
      <c r="L4035" s="169">
        <f>IFERROR(MATCH(J4035,'Final List'!$D$4:$D$252,0),0)</f>
        <v>0</v>
      </c>
      <c r="M4035" s="169">
        <f>IFERROR(MATCH(J4035,'Final List'!$F$4:$F$251,0),0)</f>
        <v>0</v>
      </c>
      <c r="N4035" s="169">
        <f>IFERROR(MATCH(J4035,'Final List'!$H$4:$H$252,0),0)</f>
        <v>0</v>
      </c>
      <c r="O4035" s="169">
        <f>IFERROR(MATCH(J4035,'Final List'!$J$4:$J$252,0),0)</f>
        <v>0</v>
      </c>
      <c r="P4035" s="169">
        <f>IFERROR(MATCH(J4035,'Final List'!$L$4:$L$252,0),0)</f>
        <v>0</v>
      </c>
      <c r="Q4035" s="169">
        <f>IFERROR(MATCH(J4035,'Final List'!$N$4:$N$252,0),0)</f>
        <v>0</v>
      </c>
      <c r="R4035" s="169">
        <f>IFERROR(MATCH(J4035,'Final List'!$P$4:$P$252,0),0)</f>
        <v>0</v>
      </c>
      <c r="S4035" s="169">
        <f t="shared" ref="S4035:S4042" si="256">SUM(K4035:R4035)</f>
        <v>0</v>
      </c>
      <c r="V4035" s="169" t="str">
        <f t="shared" si="254"/>
        <v>LARGO 1</v>
      </c>
      <c r="W4035" s="169" t="s">
        <v>2715</v>
      </c>
    </row>
    <row r="4036" spans="2:23" x14ac:dyDescent="0.25">
      <c r="B4036" s="169" t="s">
        <v>14095</v>
      </c>
      <c r="C4036" s="169" t="s">
        <v>38</v>
      </c>
      <c r="D4036" s="169" t="s">
        <v>175</v>
      </c>
      <c r="E4036" s="169" t="s">
        <v>60</v>
      </c>
      <c r="F4036" s="245" t="str">
        <f t="shared" si="255"/>
        <v>Dhoz 71</v>
      </c>
      <c r="G4036" s="169" t="s">
        <v>15055</v>
      </c>
      <c r="I4036" s="169" t="str">
        <f t="shared" si="243"/>
        <v>L460_GHV_060E_DE</v>
      </c>
      <c r="J4036" s="169" t="s">
        <v>15044</v>
      </c>
      <c r="K4036" s="169">
        <f>IFERROR(MATCH(J4036,'Final List'!$B$4:$B$252,0),0)</f>
        <v>0</v>
      </c>
      <c r="L4036" s="169">
        <f>IFERROR(MATCH(J4036,'Final List'!$D$4:$D$252,0),0)</f>
        <v>0</v>
      </c>
      <c r="M4036" s="169">
        <f>IFERROR(MATCH(J4036,'Final List'!$F$4:$F$251,0),0)</f>
        <v>0</v>
      </c>
      <c r="N4036" s="169">
        <f>IFERROR(MATCH(J4036,'Final List'!$H$4:$H$252,0),0)</f>
        <v>221</v>
      </c>
      <c r="O4036" s="169">
        <f>IFERROR(MATCH(J4036,'Final List'!$J$4:$J$252,0),0)</f>
        <v>0</v>
      </c>
      <c r="P4036" s="169">
        <f>IFERROR(MATCH(J4036,'Final List'!$L$4:$L$252,0),0)</f>
        <v>0</v>
      </c>
      <c r="Q4036" s="169">
        <f>IFERROR(MATCH(J4036,'Final List'!$N$4:$N$252,0),0)</f>
        <v>0</v>
      </c>
      <c r="R4036" s="169">
        <f>IFERROR(MATCH(J4036,'Final List'!$P$4:$P$252,0),0)</f>
        <v>0</v>
      </c>
      <c r="S4036" s="169">
        <f t="shared" si="256"/>
        <v>221</v>
      </c>
      <c r="V4036" s="169" t="str">
        <f t="shared" si="254"/>
        <v>NITRO CL</v>
      </c>
      <c r="W4036" s="169" t="s">
        <v>8896</v>
      </c>
    </row>
    <row r="4037" spans="2:23" x14ac:dyDescent="0.25">
      <c r="B4037" s="169" t="s">
        <v>1167</v>
      </c>
      <c r="C4037" s="169" t="s">
        <v>87</v>
      </c>
      <c r="D4037" s="169" t="s">
        <v>5742</v>
      </c>
      <c r="E4037" s="169" t="s">
        <v>15049</v>
      </c>
      <c r="F4037" s="245" t="s">
        <v>14362</v>
      </c>
      <c r="G4037" t="s">
        <v>14725</v>
      </c>
      <c r="I4037" s="169" t="str">
        <f t="shared" si="243"/>
        <v>L12_NONE_040E_MECHANICAL CHAMBER</v>
      </c>
      <c r="J4037" s="169" t="s">
        <v>15050</v>
      </c>
      <c r="K4037" s="169">
        <f>IFERROR(MATCH(J4037,'Final List'!$B$4:$B$252,0),0)</f>
        <v>0</v>
      </c>
      <c r="L4037" s="169">
        <f>IFERROR(MATCH(J4037,'Final List'!$D$4:$D$252,0),0)</f>
        <v>0</v>
      </c>
      <c r="M4037" s="169">
        <f>IFERROR(MATCH(J4037,'Final List'!$F$4:$F$251,0),0)</f>
        <v>0</v>
      </c>
      <c r="N4037" s="169">
        <f>IFERROR(MATCH(J4037,'Final List'!$H$4:$H$252,0),0)</f>
        <v>0</v>
      </c>
      <c r="O4037" s="169">
        <f>IFERROR(MATCH(J4037,'Final List'!$J$4:$J$252,0),0)</f>
        <v>0</v>
      </c>
      <c r="P4037" s="169">
        <f>IFERROR(MATCH(J4037,'Final List'!$L$4:$L$252,0),0)</f>
        <v>0</v>
      </c>
      <c r="Q4037" s="169">
        <f>IFERROR(MATCH(J4037,'Final List'!$N$4:$N$252,0),0)</f>
        <v>0</v>
      </c>
      <c r="R4037" s="169">
        <f>IFERROR(MATCH(J4037,'Final List'!$P$4:$P$252,0),0)</f>
        <v>172</v>
      </c>
      <c r="S4037" s="169">
        <f t="shared" si="256"/>
        <v>172</v>
      </c>
      <c r="V4037" s="169" t="str">
        <f t="shared" si="254"/>
        <v>DURANGO, R</v>
      </c>
      <c r="W4037" s="169" t="s">
        <v>2714</v>
      </c>
    </row>
    <row r="4038" spans="2:23" x14ac:dyDescent="0.25">
      <c r="B4038" s="169" t="s">
        <v>1167</v>
      </c>
      <c r="C4038" s="169" t="s">
        <v>39</v>
      </c>
      <c r="D4038" s="169" t="s">
        <v>5604</v>
      </c>
      <c r="E4038" s="169" t="s">
        <v>19</v>
      </c>
      <c r="F4038" s="245" t="str">
        <f t="shared" si="255"/>
        <v>DVR 72</v>
      </c>
      <c r="G4038" s="169" t="s">
        <v>14130</v>
      </c>
      <c r="I4038" s="169" t="str">
        <f t="shared" si="243"/>
        <v>L12_JVHW_063E_RAISE</v>
      </c>
      <c r="J4038" s="169" t="s">
        <v>15051</v>
      </c>
      <c r="K4038" s="169">
        <f>IFERROR(MATCH(J4038,'Final List'!$B$4:$B$252,0),0)</f>
        <v>0</v>
      </c>
      <c r="L4038" s="169">
        <f>IFERROR(MATCH(J4038,'Final List'!$D$4:$D$252,0),0)</f>
        <v>0</v>
      </c>
      <c r="M4038" s="169">
        <f>IFERROR(MATCH(J4038,'Final List'!$F$4:$F$251,0),0)</f>
        <v>0</v>
      </c>
      <c r="N4038" s="169">
        <f>IFERROR(MATCH(J4038,'Final List'!$H$4:$H$252,0),0)</f>
        <v>0</v>
      </c>
      <c r="O4038" s="169">
        <f>IFERROR(MATCH(J4038,'Final List'!$J$4:$J$252,0),0)</f>
        <v>0</v>
      </c>
      <c r="P4038" s="169">
        <f>IFERROR(MATCH(J4038,'Final List'!$L$4:$L$252,0),0)</f>
        <v>0</v>
      </c>
      <c r="Q4038" s="169">
        <f>IFERROR(MATCH(J4038,'Final List'!$N$4:$N$252,0),0)</f>
        <v>0</v>
      </c>
      <c r="R4038" s="169">
        <f>IFERROR(MATCH(J4038,'Final List'!$P$4:$P$252,0),0)</f>
        <v>0</v>
      </c>
      <c r="S4038" s="169">
        <f t="shared" si="256"/>
        <v>0</v>
      </c>
      <c r="V4038" s="169" t="str">
        <f t="shared" si="254"/>
        <v>DURANGO</v>
      </c>
      <c r="W4038" s="169" t="s">
        <v>2715</v>
      </c>
    </row>
    <row r="4039" spans="2:23" x14ac:dyDescent="0.25">
      <c r="B4039" s="169" t="s">
        <v>95</v>
      </c>
      <c r="C4039" s="169" t="s">
        <v>87</v>
      </c>
      <c r="D4039" s="169" t="s">
        <v>5844</v>
      </c>
      <c r="E4039" s="169" t="s">
        <v>63</v>
      </c>
      <c r="F4039" s="245" t="str">
        <f t="shared" si="255"/>
        <v>Dhoz 71</v>
      </c>
      <c r="G4039" s="169" t="s">
        <v>14241</v>
      </c>
      <c r="H4039" s="169" t="s">
        <v>15076</v>
      </c>
      <c r="I4039" s="169" t="str">
        <f t="shared" si="243"/>
        <v>L08_NONE_009W_XCS</v>
      </c>
      <c r="J4039" s="169" t="s">
        <v>15056</v>
      </c>
      <c r="K4039" s="169">
        <f>IFERROR(MATCH(J4039,'Final List'!$B$4:$B$252,0),0)</f>
        <v>0</v>
      </c>
      <c r="L4039" s="169">
        <f>IFERROR(MATCH(J4039,'Final List'!$D$4:$D$252,0),0)</f>
        <v>0</v>
      </c>
      <c r="M4039" s="169">
        <f>IFERROR(MATCH(J4039,'Final List'!$F$4:$F$251,0),0)</f>
        <v>0</v>
      </c>
      <c r="N4039" s="169">
        <f>IFERROR(MATCH(J4039,'Final List'!$H$4:$H$252,0),0)</f>
        <v>0</v>
      </c>
      <c r="O4039" s="169">
        <f>IFERROR(MATCH(J4039,'Final List'!$J$4:$J$252,0),0)</f>
        <v>0</v>
      </c>
      <c r="P4039" s="169">
        <f>IFERROR(MATCH(J4039,'Final List'!$L$4:$L$252,0),0)</f>
        <v>0</v>
      </c>
      <c r="Q4039" s="169">
        <f>IFERROR(MATCH(J4039,'Final List'!$N$4:$N$252,0),0)</f>
        <v>0</v>
      </c>
      <c r="R4039" s="169">
        <f>IFERROR(MATCH(J4039,'Final List'!$P$4:$P$252,0),0)</f>
        <v>0</v>
      </c>
      <c r="S4039" s="169">
        <f t="shared" si="256"/>
        <v>0</v>
      </c>
      <c r="V4039" s="169" t="str">
        <f t="shared" si="254"/>
        <v>NITRO CQ</v>
      </c>
      <c r="W4039" s="169" t="s">
        <v>2714</v>
      </c>
    </row>
    <row r="4040" spans="2:23" x14ac:dyDescent="0.25">
      <c r="B4040" s="169" t="s">
        <v>95</v>
      </c>
      <c r="C4040" s="169" t="s">
        <v>42</v>
      </c>
      <c r="D4040" s="169" t="s">
        <v>149</v>
      </c>
      <c r="E4040" s="169" t="s">
        <v>211</v>
      </c>
      <c r="F4040" s="245" t="str">
        <f t="shared" si="255"/>
        <v>StpS 77</v>
      </c>
      <c r="G4040" s="169" t="s">
        <v>8045</v>
      </c>
      <c r="I4040" s="169" t="str">
        <f t="shared" ref="I4040:I4142" si="257">CONCATENATE(B4040,"_",C4040,"_",D4040,"_",E4040)</f>
        <v>L08_JV_021E_STOPE PREP</v>
      </c>
      <c r="J4040" s="169" t="s">
        <v>15062</v>
      </c>
      <c r="K4040" s="169">
        <f>IFERROR(MATCH(J4040,'Final List'!$B$4:$B$252,0),0)</f>
        <v>0</v>
      </c>
      <c r="L4040" s="169">
        <f>IFERROR(MATCH(J4040,'Final List'!$D$4:$D$252,0),0)</f>
        <v>0</v>
      </c>
      <c r="M4040" s="169">
        <f>IFERROR(MATCH(J4040,'Final List'!$F$4:$F$251,0),0)</f>
        <v>0</v>
      </c>
      <c r="N4040" s="169">
        <f>IFERROR(MATCH(J4040,'Final List'!$H$4:$H$252,0),0)</f>
        <v>0</v>
      </c>
      <c r="O4040" s="169">
        <f>IFERROR(MATCH(J4040,'Final List'!$J$4:$J$252,0),0)</f>
        <v>0</v>
      </c>
      <c r="P4040" s="169">
        <f>IFERROR(MATCH(J4040,'Final List'!$L$4:$L$252,0),0)</f>
        <v>0</v>
      </c>
      <c r="Q4040" s="169">
        <f>IFERROR(MATCH(J4040,'Final List'!$N$4:$N$252,0),0)</f>
        <v>0</v>
      </c>
      <c r="R4040" s="169">
        <f>IFERROR(MATCH(J4040,'Final List'!$P$4:$P$252,0),0)</f>
        <v>0</v>
      </c>
      <c r="S4040" s="169">
        <f t="shared" si="256"/>
        <v>0</v>
      </c>
      <c r="T4040" s="169" t="s">
        <v>68</v>
      </c>
      <c r="V4040" s="169" t="str">
        <f t="shared" si="254"/>
        <v>CAPUYAN</v>
      </c>
      <c r="W4040" s="169" t="s">
        <v>2712</v>
      </c>
    </row>
    <row r="4041" spans="2:23" x14ac:dyDescent="0.25">
      <c r="B4041" s="169" t="s">
        <v>1166</v>
      </c>
      <c r="C4041" s="169" t="s">
        <v>45</v>
      </c>
      <c r="D4041" s="169" t="s">
        <v>9971</v>
      </c>
      <c r="E4041" s="169" t="s">
        <v>19</v>
      </c>
      <c r="F4041" s="245" t="str">
        <f t="shared" si="255"/>
        <v>DVR 72</v>
      </c>
      <c r="G4041" s="169" t="s">
        <v>6954</v>
      </c>
      <c r="H4041" s="169" t="s">
        <v>4155</v>
      </c>
      <c r="I4041" s="169" t="str">
        <f t="shared" si="257"/>
        <v>L11_DPVE_096E_RAISE</v>
      </c>
      <c r="J4041" s="169" t="s">
        <v>15066</v>
      </c>
      <c r="K4041" s="169">
        <f>IFERROR(MATCH(J4041,'Final List'!$B$4:$B$252,0),0)</f>
        <v>0</v>
      </c>
      <c r="L4041" s="169">
        <f>IFERROR(MATCH(J4041,'Final List'!$D$4:$D$252,0),0)</f>
        <v>0</v>
      </c>
      <c r="M4041" s="169">
        <f>IFERROR(MATCH(J4041,'Final List'!$F$4:$F$251,0),0)</f>
        <v>0</v>
      </c>
      <c r="N4041" s="169">
        <f>IFERROR(MATCH(J4041,'Final List'!$H$4:$H$252,0),0)</f>
        <v>0</v>
      </c>
      <c r="O4041" s="169">
        <f>IFERROR(MATCH(J4041,'Final List'!$J$4:$J$252,0),0)</f>
        <v>0</v>
      </c>
      <c r="P4041" s="169">
        <f>IFERROR(MATCH(J4041,'Final List'!$L$4:$L$252,0),0)</f>
        <v>0</v>
      </c>
      <c r="Q4041" s="169">
        <f>IFERROR(MATCH(J4041,'Final List'!$N$4:$N$252,0),0)</f>
        <v>0</v>
      </c>
      <c r="R4041" s="169">
        <f>IFERROR(MATCH(J4041,'Final List'!$P$4:$P$252,0),0)</f>
        <v>0</v>
      </c>
      <c r="S4041" s="169">
        <f t="shared" si="256"/>
        <v>0</v>
      </c>
      <c r="V4041" s="169" t="str">
        <f t="shared" si="254"/>
        <v>BAÑEZ</v>
      </c>
      <c r="W4041" s="169" t="s">
        <v>2715</v>
      </c>
    </row>
    <row r="4042" spans="2:23" x14ac:dyDescent="0.25">
      <c r="B4042" s="169" t="s">
        <v>12320</v>
      </c>
      <c r="C4042" s="169" t="s">
        <v>45</v>
      </c>
      <c r="D4042" s="169" t="s">
        <v>179</v>
      </c>
      <c r="E4042" s="169" t="s">
        <v>19</v>
      </c>
      <c r="F4042" s="245" t="str">
        <f t="shared" si="255"/>
        <v>DVR 72</v>
      </c>
      <c r="G4042" s="169" t="s">
        <v>75</v>
      </c>
      <c r="I4042" s="169" t="str">
        <f t="shared" si="257"/>
        <v>L425_DPVE_050E_RAISE</v>
      </c>
      <c r="J4042" s="169" t="s">
        <v>15067</v>
      </c>
      <c r="K4042" s="169">
        <f>IFERROR(MATCH(J4042,'Final List'!$B$4:$B$252,0),0)</f>
        <v>0</v>
      </c>
      <c r="L4042" s="169">
        <f>IFERROR(MATCH(J4042,'Final List'!$D$4:$D$252,0),0)</f>
        <v>0</v>
      </c>
      <c r="M4042" s="169">
        <f>IFERROR(MATCH(J4042,'Final List'!$F$4:$F$251,0),0)</f>
        <v>0</v>
      </c>
      <c r="N4042" s="169">
        <f>IFERROR(MATCH(J4042,'Final List'!$H$4:$H$252,0),0)</f>
        <v>0</v>
      </c>
      <c r="O4042" s="169">
        <f>IFERROR(MATCH(J4042,'Final List'!$J$4:$J$252,0),0)</f>
        <v>0</v>
      </c>
      <c r="P4042" s="169">
        <f>IFERROR(MATCH(J4042,'Final List'!$L$4:$L$252,0),0)</f>
        <v>0</v>
      </c>
      <c r="Q4042" s="169">
        <f>IFERROR(MATCH(J4042,'Final List'!$N$4:$N$252,0),0)</f>
        <v>0</v>
      </c>
      <c r="R4042" s="169">
        <f>IFERROR(MATCH(J4042,'Final List'!$P$4:$P$252,0),0)</f>
        <v>0</v>
      </c>
      <c r="S4042" s="169">
        <f t="shared" si="256"/>
        <v>0</v>
      </c>
      <c r="V4042" s="169" t="str">
        <f t="shared" si="254"/>
        <v>BABOR</v>
      </c>
      <c r="W4042" s="169" t="s">
        <v>2715</v>
      </c>
    </row>
    <row r="4043" spans="2:23" x14ac:dyDescent="0.25">
      <c r="B4043" s="169" t="s">
        <v>1166</v>
      </c>
      <c r="C4043" s="169" t="s">
        <v>42</v>
      </c>
      <c r="D4043" s="169" t="s">
        <v>160</v>
      </c>
      <c r="E4043" s="169" t="s">
        <v>20</v>
      </c>
      <c r="F4043" s="245" t="str">
        <f t="shared" si="255"/>
        <v>DVW 74</v>
      </c>
      <c r="G4043" s="169" t="s">
        <v>4068</v>
      </c>
      <c r="I4043" s="169" t="str">
        <f t="shared" si="257"/>
        <v>L11_JV_042E_WINZE</v>
      </c>
      <c r="J4043" s="169" t="s">
        <v>15072</v>
      </c>
      <c r="K4043" s="169">
        <f>IFERROR(MATCH(J4043,'Final List'!$B$4:$B$252,0),0)</f>
        <v>0</v>
      </c>
      <c r="L4043" s="169">
        <f>IFERROR(MATCH(J4043,'Final List'!$D$4:$D$252,0),0)</f>
        <v>0</v>
      </c>
      <c r="M4043" s="169">
        <f>IFERROR(MATCH(J4043,'Final List'!$F$4:$F$251,0),0)</f>
        <v>0</v>
      </c>
      <c r="N4043" s="169">
        <f>IFERROR(MATCH(J4043,'Final List'!$H$4:$H$252,0),0)</f>
        <v>0</v>
      </c>
      <c r="O4043" s="169">
        <f>IFERROR(MATCH(J4043,'Final List'!$J$4:$J$252,0),0)</f>
        <v>0</v>
      </c>
      <c r="P4043" s="169">
        <f>IFERROR(MATCH(J4043,'Final List'!$L$4:$L$252,0),0)</f>
        <v>158</v>
      </c>
      <c r="Q4043" s="169">
        <f>IFERROR(MATCH(J4043,'Final List'!$N$4:$N$252,0),0)</f>
        <v>0</v>
      </c>
      <c r="R4043" s="169">
        <f>IFERROR(MATCH(J4043,'Final List'!$P$4:$P$252,0),0)</f>
        <v>0</v>
      </c>
      <c r="S4043" s="169">
        <f t="shared" ref="S4043" si="258">SUM(K4043:R4043)</f>
        <v>158</v>
      </c>
      <c r="V4043" s="169" t="str">
        <f t="shared" si="254"/>
        <v>MAPAYO</v>
      </c>
      <c r="W4043" s="169" t="s">
        <v>2706</v>
      </c>
    </row>
    <row r="4044" spans="2:23" x14ac:dyDescent="0.25">
      <c r="B4044" s="169" t="s">
        <v>258</v>
      </c>
      <c r="C4044" s="169" t="s">
        <v>45</v>
      </c>
      <c r="D4044" s="169" t="s">
        <v>171</v>
      </c>
      <c r="E4044" s="169" t="s">
        <v>36</v>
      </c>
      <c r="F4044" s="245" t="str">
        <f t="shared" si="255"/>
        <v>StpS 77</v>
      </c>
      <c r="G4044" s="169" t="s">
        <v>5702</v>
      </c>
      <c r="I4044" s="169" t="str">
        <f t="shared" si="257"/>
        <v>L10_DPVE_015W_STOPE</v>
      </c>
      <c r="J4044" s="169" t="s">
        <v>15085</v>
      </c>
      <c r="K4044" s="169">
        <f>IFERROR(MATCH(J4044,'Final List'!$B$4:$B$252,0),0)</f>
        <v>0</v>
      </c>
      <c r="L4044" s="169">
        <f>IFERROR(MATCH(J4044,'Final List'!$D$4:$D$252,0),0)</f>
        <v>134</v>
      </c>
      <c r="M4044" s="169">
        <f>IFERROR(MATCH(J4044,'Final List'!$F$4:$F$251,0),0)</f>
        <v>0</v>
      </c>
      <c r="N4044" s="169">
        <f>IFERROR(MATCH(J4044,'Final List'!$H$4:$H$252,0),0)</f>
        <v>0</v>
      </c>
      <c r="O4044" s="169">
        <f>IFERROR(MATCH(J4044,'Final List'!$J$4:$J$252,0),0)</f>
        <v>0</v>
      </c>
      <c r="P4044" s="169">
        <f>IFERROR(MATCH(J4044,'Final List'!$L$4:$L$252,0),0)</f>
        <v>0</v>
      </c>
      <c r="Q4044" s="169">
        <f>IFERROR(MATCH(J4044,'Final List'!$N$4:$N$252,0),0)</f>
        <v>0</v>
      </c>
      <c r="R4044" s="169">
        <f>IFERROR(MATCH(J4044,'Final List'!$P$4:$P$252,0),0)</f>
        <v>0</v>
      </c>
      <c r="S4044" s="169">
        <f t="shared" ref="S4044" si="259">SUM(K4044:R4044)</f>
        <v>134</v>
      </c>
      <c r="T4044" s="169" t="s">
        <v>68</v>
      </c>
      <c r="V4044" s="169" t="str">
        <f t="shared" si="254"/>
        <v>LARGO 3</v>
      </c>
      <c r="W4044" s="169" t="s">
        <v>2711</v>
      </c>
    </row>
    <row r="4045" spans="2:23" x14ac:dyDescent="0.25">
      <c r="B4045" s="169" t="s">
        <v>95</v>
      </c>
      <c r="C4045" s="169" t="s">
        <v>42</v>
      </c>
      <c r="D4045" s="169" t="s">
        <v>159</v>
      </c>
      <c r="E4045" s="169" t="s">
        <v>62</v>
      </c>
      <c r="F4045" s="245" t="str">
        <f t="shared" si="255"/>
        <v>RobC 80</v>
      </c>
      <c r="G4045" s="169" t="s">
        <v>8045</v>
      </c>
      <c r="I4045" s="169" t="str">
        <f t="shared" si="257"/>
        <v>L08_JV_023E_ROBBING</v>
      </c>
      <c r="J4045" s="169" t="s">
        <v>15087</v>
      </c>
      <c r="K4045" s="169">
        <f>IFERROR(MATCH(J4045,'Final List'!$B$4:$B$252,0),0)</f>
        <v>0</v>
      </c>
      <c r="L4045" s="169">
        <f>IFERROR(MATCH(J4045,'Final List'!$D$4:$D$252,0),0)</f>
        <v>0</v>
      </c>
      <c r="M4045" s="169">
        <f>IFERROR(MATCH(J4045,'Final List'!$F$4:$F$251,0),0)</f>
        <v>0</v>
      </c>
      <c r="N4045" s="169">
        <f>IFERROR(MATCH(J4045,'Final List'!$H$4:$H$252,0),0)</f>
        <v>0</v>
      </c>
      <c r="O4045" s="169">
        <f>IFERROR(MATCH(J4045,'Final List'!$J$4:$J$252,0),0)</f>
        <v>0</v>
      </c>
      <c r="P4045" s="169">
        <f>IFERROR(MATCH(J4045,'Final List'!$L$4:$L$252,0),0)</f>
        <v>0</v>
      </c>
      <c r="Q4045" s="169">
        <f>IFERROR(MATCH(J4045,'Final List'!$N$4:$N$252,0),0)</f>
        <v>0</v>
      </c>
      <c r="R4045" s="169">
        <f>IFERROR(MATCH(J4045,'Final List'!$P$4:$P$252,0),0)</f>
        <v>93</v>
      </c>
      <c r="S4045" s="169">
        <f t="shared" ref="S4045" si="260">SUM(K4045:R4045)</f>
        <v>93</v>
      </c>
      <c r="T4045" s="169" t="s">
        <v>48</v>
      </c>
      <c r="V4045" s="169" t="str">
        <f t="shared" si="254"/>
        <v>CAPUYAN</v>
      </c>
      <c r="W4045" s="169" t="s">
        <v>236</v>
      </c>
    </row>
    <row r="4046" spans="2:23" x14ac:dyDescent="0.25">
      <c r="B4046" s="169" t="s">
        <v>12320</v>
      </c>
      <c r="C4046" s="169" t="s">
        <v>59</v>
      </c>
      <c r="D4046" s="169" t="s">
        <v>165</v>
      </c>
      <c r="E4046" s="169" t="s">
        <v>36</v>
      </c>
      <c r="F4046" s="245" t="str">
        <f t="shared" si="255"/>
        <v>StpS 77</v>
      </c>
      <c r="G4046" s="169" t="s">
        <v>365</v>
      </c>
      <c r="I4046" s="169" t="str">
        <f t="shared" si="257"/>
        <v>L425_GHVHW_056E_STOPE</v>
      </c>
      <c r="J4046" s="169" t="s">
        <v>15091</v>
      </c>
      <c r="K4046" s="169">
        <f>IFERROR(MATCH(J4046,'Final List'!$B$4:$B$252,0),0)</f>
        <v>0</v>
      </c>
      <c r="L4046" s="169">
        <f>IFERROR(MATCH(J4046,'Final List'!$D$4:$D$252,0),0)</f>
        <v>192</v>
      </c>
      <c r="M4046" s="169">
        <f>IFERROR(MATCH(J4046,'Final List'!$F$4:$F$251,0),0)</f>
        <v>0</v>
      </c>
      <c r="N4046" s="169">
        <f>IFERROR(MATCH(J4046,'Final List'!$H$4:$H$252,0),0)</f>
        <v>0</v>
      </c>
      <c r="O4046" s="169">
        <f>IFERROR(MATCH(J4046,'Final List'!$J$4:$J$252,0),0)</f>
        <v>0</v>
      </c>
      <c r="P4046" s="169">
        <f>IFERROR(MATCH(J4046,'Final List'!$L$4:$L$252,0),0)</f>
        <v>0</v>
      </c>
      <c r="Q4046" s="169">
        <f>IFERROR(MATCH(J4046,'Final List'!$N$4:$N$252,0),0)</f>
        <v>0</v>
      </c>
      <c r="R4046" s="169">
        <f>IFERROR(MATCH(J4046,'Final List'!$P$4:$P$252,0),0)</f>
        <v>0</v>
      </c>
      <c r="S4046" s="169">
        <f t="shared" ref="S4046" si="261">SUM(K4046:R4046)</f>
        <v>192</v>
      </c>
      <c r="T4046" s="169" t="s">
        <v>68</v>
      </c>
      <c r="V4046" s="169" t="str">
        <f t="shared" si="254"/>
        <v>BABOR 5</v>
      </c>
      <c r="W4046" s="169" t="s">
        <v>2711</v>
      </c>
    </row>
    <row r="4047" spans="2:23" x14ac:dyDescent="0.25">
      <c r="B4047" s="169" t="s">
        <v>12320</v>
      </c>
      <c r="C4047" s="169" t="s">
        <v>55</v>
      </c>
      <c r="D4047" s="169" t="s">
        <v>164</v>
      </c>
      <c r="E4047" s="169" t="s">
        <v>19</v>
      </c>
      <c r="F4047" s="245" t="str">
        <f t="shared" si="255"/>
        <v>DVR 72</v>
      </c>
      <c r="G4047" s="169" t="s">
        <v>1260</v>
      </c>
      <c r="I4047" s="169" t="str">
        <f t="shared" si="257"/>
        <v>L425_JVFW_064E_RAISE</v>
      </c>
      <c r="J4047" s="169" t="s">
        <v>15093</v>
      </c>
      <c r="K4047" s="169">
        <f>IFERROR(MATCH(J4047,'Final List'!$B$4:$B$252,0),0)</f>
        <v>0</v>
      </c>
      <c r="L4047" s="169">
        <f>IFERROR(MATCH(J4047,'Final List'!$D$4:$D$252,0),0)</f>
        <v>0</v>
      </c>
      <c r="M4047" s="169">
        <f>IFERROR(MATCH(J4047,'Final List'!$F$4:$F$251,0),0)</f>
        <v>0</v>
      </c>
      <c r="N4047" s="169">
        <f>IFERROR(MATCH(J4047,'Final List'!$H$4:$H$252,0),0)</f>
        <v>0</v>
      </c>
      <c r="O4047" s="169">
        <f>IFERROR(MATCH(J4047,'Final List'!$J$4:$J$252,0),0)</f>
        <v>191</v>
      </c>
      <c r="P4047" s="169">
        <f>IFERROR(MATCH(J4047,'Final List'!$L$4:$L$252,0),0)</f>
        <v>0</v>
      </c>
      <c r="Q4047" s="169">
        <f>IFERROR(MATCH(J4047,'Final List'!$N$4:$N$252,0),0)</f>
        <v>0</v>
      </c>
      <c r="R4047" s="169">
        <f>IFERROR(MATCH(J4047,'Final List'!$P$4:$P$252,0),0)</f>
        <v>0</v>
      </c>
      <c r="S4047" s="169">
        <f t="shared" ref="S4047" si="262">SUM(K4047:R4047)</f>
        <v>191</v>
      </c>
      <c r="V4047" s="169" t="str">
        <f t="shared" si="254"/>
        <v>DELOS REYES 5</v>
      </c>
      <c r="W4047" s="169" t="s">
        <v>2715</v>
      </c>
    </row>
    <row r="4048" spans="2:23" x14ac:dyDescent="0.25">
      <c r="B4048" s="169" t="s">
        <v>96</v>
      </c>
      <c r="C4048" s="169" t="s">
        <v>45</v>
      </c>
      <c r="D4048" s="169" t="s">
        <v>5078</v>
      </c>
      <c r="E4048" s="169" t="s">
        <v>15097</v>
      </c>
      <c r="F4048" s="245" t="str">
        <f>IF(OR(E4048="XCN",E4048="DE",E4048="DW",E4048="DN",E4048="XCS",E4048="XCE",E4048="XCW",E4048="SUMP",E4048="BYPASS",E4048="CHAMBER",E4048="DRAIN HOLE",E4048="DRILLING CHAMBER",E4048="DE_ISL",E4048="DW_ISL",E4048="REHAB",E4048="DE_ISL",E4048="DE_ISL_B",E4048="DW_ISL_B",E4048="DW_ISL_A",E4048="DE_ISL_A"),"Dhoz 71",IF(OR(E4048="RAISE",E4048="RAISE_ISL"),"DVR 72",IF(E4048="ALIMAK","DVA 73",IF(E4048="WINZE","DVW 74",IF(E4048="SHAFT","DVS 75",IF(AND(E4048="WINZE STOPE",T4048="S"),"RobC 80",IF(AND(E4048="STOPE",T4048="S"),"StpS 77",IF(AND(E4048="WINZE STOPE",T4048="L"),"RobC 80",IF(AND(E4048="STOPE",T4048="L"),"StpL 78",IF(AND(E4048="WINZE STOPE PREP",T4048="S"),"RobC 80",IF(AND(E4048="STOPE PREP",T4048="S"),"StpS 77",IF(AND(E4048="WINZE STOPE PREP",T4048="L"),"RobC 80",IF(AND(E4048="STOPE PREP",T4048="L"),"StpL 78",IF(AND(E4048="ROBBING",T4048="L"),"RobC 80",IF(AND(E4048="ROBBING",T4048="S"),"RobS 79",0)))))))))))))))</f>
        <v>Dhoz 71</v>
      </c>
      <c r="G4048" s="169" t="s">
        <v>11</v>
      </c>
      <c r="I4048" s="118" t="str">
        <f t="shared" si="257"/>
        <v>L09_DPVE_086E_DW_ISL_B</v>
      </c>
      <c r="J4048" s="118" t="s">
        <v>15096</v>
      </c>
      <c r="K4048" s="169">
        <f>IFERROR(MATCH(J4048,'Final List'!$B$4:$B$252,0),0)</f>
        <v>0</v>
      </c>
      <c r="L4048" s="169">
        <f>IFERROR(MATCH(J4048,'Final List'!$D$4:$D$252,0),0)</f>
        <v>0</v>
      </c>
      <c r="M4048" s="169">
        <f>IFERROR(MATCH(J4048,'Final List'!$F$4:$F$251,0),0)</f>
        <v>0</v>
      </c>
      <c r="N4048" s="169">
        <f>IFERROR(MATCH(J4048,'Final List'!$H$4:$H$252,0),0)</f>
        <v>109</v>
      </c>
      <c r="O4048" s="169">
        <f>IFERROR(MATCH(J4048,'Final List'!$J$4:$J$252,0),0)</f>
        <v>0</v>
      </c>
      <c r="P4048" s="169">
        <f>IFERROR(MATCH(J4048,'Final List'!$L$4:$L$252,0),0)</f>
        <v>0</v>
      </c>
      <c r="Q4048" s="169">
        <f>IFERROR(MATCH(J4048,'Final List'!$N$4:$N$252,0),0)</f>
        <v>0</v>
      </c>
      <c r="R4048" s="169">
        <f>IFERROR(MATCH(J4048,'Final List'!$P$4:$P$252,0),0)</f>
        <v>0</v>
      </c>
      <c r="S4048" s="169">
        <f t="shared" ref="S4048" si="263">SUM(K4048:R4048)</f>
        <v>109</v>
      </c>
      <c r="V4048" s="169" t="str">
        <f t="shared" si="254"/>
        <v>QUIJANO</v>
      </c>
      <c r="W4048" s="169" t="s">
        <v>8896</v>
      </c>
    </row>
    <row r="4049" spans="2:23" x14ac:dyDescent="0.25">
      <c r="B4049" s="169" t="s">
        <v>96</v>
      </c>
      <c r="C4049" s="169" t="s">
        <v>45</v>
      </c>
      <c r="D4049" s="169" t="s">
        <v>130</v>
      </c>
      <c r="E4049" s="169" t="s">
        <v>441</v>
      </c>
      <c r="F4049" s="245" t="str">
        <f t="shared" si="255"/>
        <v>RobC 80</v>
      </c>
      <c r="G4049" s="169" t="s">
        <v>14450</v>
      </c>
      <c r="I4049" s="169" t="str">
        <f t="shared" si="257"/>
        <v>L09_DPVE_036E_WINZE STOPE PREP</v>
      </c>
      <c r="J4049" s="169" t="s">
        <v>15104</v>
      </c>
      <c r="K4049" s="169">
        <f>IFERROR(MATCH(J4049,'Final List'!$B$4:$B$252,0),0)</f>
        <v>0</v>
      </c>
      <c r="L4049" s="169">
        <f>IFERROR(MATCH(J4049,'Final List'!$D$4:$D$252,0),0)</f>
        <v>0</v>
      </c>
      <c r="M4049" s="169">
        <f>IFERROR(MATCH(J4049,'Final List'!$F$4:$F$251,0),0)</f>
        <v>0</v>
      </c>
      <c r="N4049" s="169">
        <f>IFERROR(MATCH(J4049,'Final List'!$H$4:$H$252,0),0)</f>
        <v>0</v>
      </c>
      <c r="O4049" s="169">
        <f>IFERROR(MATCH(J4049,'Final List'!$J$4:$J$252,0),0)</f>
        <v>0</v>
      </c>
      <c r="P4049" s="169">
        <f>IFERROR(MATCH(J4049,'Final List'!$L$4:$L$252,0),0)</f>
        <v>0</v>
      </c>
      <c r="Q4049" s="169">
        <f>IFERROR(MATCH(J4049,'Final List'!$N$4:$N$252,0),0)</f>
        <v>0</v>
      </c>
      <c r="R4049" s="169">
        <f>IFERROR(MATCH(J4049,'Final List'!$P$4:$P$252,0),0)</f>
        <v>0</v>
      </c>
      <c r="S4049" s="169">
        <f t="shared" ref="S4049" si="264">SUM(K4049:R4049)</f>
        <v>0</v>
      </c>
      <c r="T4049" s="169" t="s">
        <v>68</v>
      </c>
      <c r="V4049" s="169" t="str">
        <f t="shared" si="254"/>
        <v>NITRO CJ</v>
      </c>
      <c r="W4049" s="169" t="s">
        <v>2716</v>
      </c>
    </row>
    <row r="4050" spans="2:23" x14ac:dyDescent="0.25">
      <c r="B4050" s="169" t="s">
        <v>12320</v>
      </c>
      <c r="C4050" s="169" t="s">
        <v>38</v>
      </c>
      <c r="D4050" s="169" t="s">
        <v>7915</v>
      </c>
      <c r="E4050" s="169" t="s">
        <v>19</v>
      </c>
      <c r="F4050" s="245" t="str">
        <f t="shared" si="255"/>
        <v>DVR 72</v>
      </c>
      <c r="G4050" s="169" t="s">
        <v>1376</v>
      </c>
      <c r="I4050" s="169" t="str">
        <f t="shared" si="257"/>
        <v>L425_GHV_083E_RAISE</v>
      </c>
      <c r="J4050" s="169" t="s">
        <v>15098</v>
      </c>
      <c r="K4050" s="169">
        <f>IFERROR(MATCH(J4050,'Final List'!$B$4:$B$252,0),0)</f>
        <v>0</v>
      </c>
      <c r="L4050" s="169">
        <f>IFERROR(MATCH(J4050,'Final List'!$D$4:$D$252,0),0)</f>
        <v>0</v>
      </c>
      <c r="M4050" s="169">
        <f>IFERROR(MATCH(J4050,'Final List'!$F$4:$F$251,0),0)</f>
        <v>0</v>
      </c>
      <c r="N4050" s="169">
        <f>IFERROR(MATCH(J4050,'Final List'!$H$4:$H$252,0),0)</f>
        <v>0</v>
      </c>
      <c r="O4050" s="169">
        <f>IFERROR(MATCH(J4050,'Final List'!$J$4:$J$252,0),0)</f>
        <v>0</v>
      </c>
      <c r="P4050" s="169">
        <f>IFERROR(MATCH(J4050,'Final List'!$L$4:$L$252,0),0)</f>
        <v>0</v>
      </c>
      <c r="Q4050" s="169">
        <f>IFERROR(MATCH(J4050,'Final List'!$N$4:$N$252,0),0)</f>
        <v>0</v>
      </c>
      <c r="R4050" s="169">
        <f>IFERROR(MATCH(J4050,'Final List'!$P$4:$P$252,0),0)</f>
        <v>0</v>
      </c>
      <c r="S4050" s="169">
        <f t="shared" ref="S4050" si="265">SUM(K4050:R4050)</f>
        <v>0</v>
      </c>
      <c r="V4050" s="169" t="str">
        <f t="shared" ref="V4050:V4055" si="266">IF(H4050="",G4050,H4050)</f>
        <v>LERIO</v>
      </c>
      <c r="W4050" s="169" t="s">
        <v>2715</v>
      </c>
    </row>
    <row r="4051" spans="2:23" x14ac:dyDescent="0.25">
      <c r="B4051" s="169" t="s">
        <v>1166</v>
      </c>
      <c r="C4051" s="169" t="s">
        <v>45</v>
      </c>
      <c r="D4051" s="169" t="s">
        <v>247</v>
      </c>
      <c r="E4051" s="169" t="s">
        <v>36</v>
      </c>
      <c r="F4051" s="245" t="str">
        <f t="shared" si="255"/>
        <v>StpL 78</v>
      </c>
      <c r="G4051" s="169" t="s">
        <v>6954</v>
      </c>
      <c r="H4051" s="169" t="s">
        <v>15171</v>
      </c>
      <c r="I4051" s="169" t="str">
        <f t="shared" si="257"/>
        <v>L11_DPVE_080E_STOPE</v>
      </c>
      <c r="J4051" s="169" t="s">
        <v>15101</v>
      </c>
      <c r="K4051" s="169">
        <f>IFERROR(MATCH(J4051,'Final List'!$B$4:$B$252,0),0)</f>
        <v>0</v>
      </c>
      <c r="L4051" s="169">
        <f>IFERROR(MATCH(J4051,'Final List'!$D$4:$D$252,0),0)</f>
        <v>157</v>
      </c>
      <c r="M4051" s="169">
        <f>IFERROR(MATCH(J4051,'Final List'!$F$4:$F$251,0),0)</f>
        <v>0</v>
      </c>
      <c r="N4051" s="169">
        <f>IFERROR(MATCH(J4051,'Final List'!$H$4:$H$252,0),0)</f>
        <v>0</v>
      </c>
      <c r="O4051" s="169">
        <f>IFERROR(MATCH(J4051,'Final List'!$J$4:$J$252,0),0)</f>
        <v>0</v>
      </c>
      <c r="P4051" s="169">
        <f>IFERROR(MATCH(J4051,'Final List'!$L$4:$L$252,0),0)</f>
        <v>0</v>
      </c>
      <c r="Q4051" s="169">
        <f>IFERROR(MATCH(J4051,'Final List'!$N$4:$N$252,0),0)</f>
        <v>0</v>
      </c>
      <c r="R4051" s="169">
        <f>IFERROR(MATCH(J4051,'Final List'!$P$4:$P$252,0),0)</f>
        <v>0</v>
      </c>
      <c r="S4051" s="169">
        <f t="shared" ref="S4051" si="267">SUM(K4051:R4051)</f>
        <v>157</v>
      </c>
      <c r="T4051" s="169" t="s">
        <v>48</v>
      </c>
      <c r="V4051" s="169" t="str">
        <f t="shared" si="266"/>
        <v>NITRO CR</v>
      </c>
      <c r="W4051" s="169" t="s">
        <v>2711</v>
      </c>
    </row>
    <row r="4052" spans="2:23" x14ac:dyDescent="0.25">
      <c r="B4052" s="169" t="s">
        <v>96</v>
      </c>
      <c r="C4052" s="169" t="s">
        <v>87</v>
      </c>
      <c r="D4052" s="169" t="s">
        <v>162</v>
      </c>
      <c r="E4052" s="169" t="s">
        <v>63</v>
      </c>
      <c r="F4052" s="245" t="str">
        <f t="shared" si="255"/>
        <v>Dhoz 71</v>
      </c>
      <c r="G4052" s="169" t="s">
        <v>6216</v>
      </c>
      <c r="I4052" s="169" t="str">
        <f t="shared" si="257"/>
        <v>L09_NONE_008E_XCS</v>
      </c>
      <c r="J4052" s="169" t="s">
        <v>15105</v>
      </c>
      <c r="K4052" s="169">
        <f>IFERROR(MATCH(J4052,'Final List'!$B$4:$B$252,0),0)</f>
        <v>0</v>
      </c>
      <c r="L4052" s="169">
        <f>IFERROR(MATCH(J4052,'Final List'!$D$4:$D$252,0),0)</f>
        <v>0</v>
      </c>
      <c r="M4052" s="169">
        <f>IFERROR(MATCH(J4052,'Final List'!$F$4:$F$251,0),0)</f>
        <v>0</v>
      </c>
      <c r="N4052" s="169">
        <f>IFERROR(MATCH(J4052,'Final List'!$H$4:$H$252,0),0)</f>
        <v>0</v>
      </c>
      <c r="O4052" s="169">
        <f>IFERROR(MATCH(J4052,'Final List'!$J$4:$J$252,0),0)</f>
        <v>0</v>
      </c>
      <c r="P4052" s="169">
        <f>IFERROR(MATCH(J4052,'Final List'!$L$4:$L$252,0),0)</f>
        <v>0</v>
      </c>
      <c r="Q4052" s="169">
        <f>IFERROR(MATCH(J4052,'Final List'!$N$4:$N$252,0),0)</f>
        <v>0</v>
      </c>
      <c r="R4052" s="169">
        <f>IFERROR(MATCH(J4052,'Final List'!$P$4:$P$252,0),0)</f>
        <v>108</v>
      </c>
      <c r="S4052" s="169">
        <f t="shared" ref="S4052" si="268">SUM(K4052:R4052)</f>
        <v>108</v>
      </c>
      <c r="V4052" s="169" t="str">
        <f t="shared" si="266"/>
        <v>FERNANDEZ</v>
      </c>
      <c r="W4052" s="169" t="s">
        <v>2714</v>
      </c>
    </row>
    <row r="4053" spans="2:23" x14ac:dyDescent="0.25">
      <c r="B4053" s="169" t="s">
        <v>1167</v>
      </c>
      <c r="C4053" s="169" t="s">
        <v>45</v>
      </c>
      <c r="D4053" s="169" t="s">
        <v>5781</v>
      </c>
      <c r="E4053" s="169" t="s">
        <v>60</v>
      </c>
      <c r="F4053" s="245" t="str">
        <f t="shared" si="255"/>
        <v>Dhoz 71</v>
      </c>
      <c r="G4053" s="169" t="s">
        <v>13633</v>
      </c>
      <c r="H4053" s="169" t="s">
        <v>14701</v>
      </c>
      <c r="I4053" s="169" t="str">
        <f t="shared" si="257"/>
        <v>L12_DPVE_051E_DE</v>
      </c>
      <c r="J4053" s="169" t="s">
        <v>15110</v>
      </c>
      <c r="K4053" s="169">
        <f>IFERROR(MATCH(J4053,'Final List'!$B$4:$B$252,0),0)</f>
        <v>0</v>
      </c>
      <c r="L4053" s="169">
        <f>IFERROR(MATCH(J4053,'Final List'!$D$4:$D$252,0),0)</f>
        <v>0</v>
      </c>
      <c r="M4053" s="169">
        <f>IFERROR(MATCH(J4053,'Final List'!$F$4:$F$251,0),0)</f>
        <v>0</v>
      </c>
      <c r="N4053" s="169">
        <f>IFERROR(MATCH(J4053,'Final List'!$H$4:$H$252,0),0)</f>
        <v>0</v>
      </c>
      <c r="O4053" s="169">
        <f>IFERROR(MATCH(J4053,'Final List'!$J$4:$J$252,0),0)</f>
        <v>0</v>
      </c>
      <c r="P4053" s="169">
        <f>IFERROR(MATCH(J4053,'Final List'!$L$4:$L$252,0),0)</f>
        <v>0</v>
      </c>
      <c r="Q4053" s="169">
        <f>IFERROR(MATCH(J4053,'Final List'!$N$4:$N$252,0),0)</f>
        <v>0</v>
      </c>
      <c r="R4053" s="169">
        <f>IFERROR(MATCH(J4053,'Final List'!$P$4:$P$252,0),0)</f>
        <v>0</v>
      </c>
      <c r="S4053" s="169">
        <f t="shared" ref="S4053" si="269">SUM(K4053:R4053)</f>
        <v>0</v>
      </c>
      <c r="V4053" s="169" t="str">
        <f t="shared" si="266"/>
        <v>DUHIG, P</v>
      </c>
      <c r="W4053" s="169" t="s">
        <v>8896</v>
      </c>
    </row>
    <row r="4054" spans="2:23" x14ac:dyDescent="0.25">
      <c r="B4054" s="169" t="s">
        <v>1166</v>
      </c>
      <c r="C4054" s="169" t="s">
        <v>45</v>
      </c>
      <c r="D4054" s="169" t="s">
        <v>10429</v>
      </c>
      <c r="E4054" s="169" t="s">
        <v>211</v>
      </c>
      <c r="F4054" s="245" t="str">
        <f t="shared" si="255"/>
        <v>StpL 78</v>
      </c>
      <c r="G4054" s="169" t="s">
        <v>5</v>
      </c>
      <c r="I4054" s="169" t="str">
        <f t="shared" si="257"/>
        <v>L11_DPVE_098E_STOPE PREP</v>
      </c>
      <c r="J4054" s="169" t="s">
        <v>15111</v>
      </c>
      <c r="K4054" s="169">
        <f>IFERROR(MATCH(J4054,'Final List'!$B$4:$B$252,0),0)</f>
        <v>0</v>
      </c>
      <c r="L4054" s="169">
        <f>IFERROR(MATCH(J4054,'Final List'!$D$4:$D$252,0),0)</f>
        <v>0</v>
      </c>
      <c r="M4054" s="169">
        <f>IFERROR(MATCH(J4054,'Final List'!$F$4:$F$251,0),0)</f>
        <v>0</v>
      </c>
      <c r="N4054" s="169">
        <f>IFERROR(MATCH(J4054,'Final List'!$H$4:$H$252,0),0)</f>
        <v>0</v>
      </c>
      <c r="O4054" s="169">
        <f>IFERROR(MATCH(J4054,'Final List'!$J$4:$J$252,0),0)</f>
        <v>0</v>
      </c>
      <c r="P4054" s="169">
        <f>IFERROR(MATCH(J4054,'Final List'!$L$4:$L$252,0),0)</f>
        <v>0</v>
      </c>
      <c r="Q4054" s="169">
        <f>IFERROR(MATCH(J4054,'Final List'!$N$4:$N$252,0),0)</f>
        <v>0</v>
      </c>
      <c r="R4054" s="169">
        <f>IFERROR(MATCH(J4054,'Final List'!$P$4:$P$252,0),0)</f>
        <v>0</v>
      </c>
      <c r="S4054" s="169">
        <f t="shared" ref="S4054" si="270">SUM(K4054:R4054)</f>
        <v>0</v>
      </c>
      <c r="T4054" s="169" t="s">
        <v>48</v>
      </c>
      <c r="V4054" s="169" t="str">
        <f t="shared" si="266"/>
        <v>BELICAN</v>
      </c>
      <c r="W4054" s="169" t="s">
        <v>2712</v>
      </c>
    </row>
    <row r="4055" spans="2:23" x14ac:dyDescent="0.25">
      <c r="B4055" s="169" t="s">
        <v>12320</v>
      </c>
      <c r="C4055" s="169" t="s">
        <v>59</v>
      </c>
      <c r="D4055" s="169" t="s">
        <v>5614</v>
      </c>
      <c r="E4055" s="169" t="s">
        <v>19</v>
      </c>
      <c r="F4055" s="245" t="str">
        <f t="shared" si="255"/>
        <v>DVR 72</v>
      </c>
      <c r="G4055" s="169" t="s">
        <v>7984</v>
      </c>
      <c r="H4055" s="169" t="s">
        <v>353</v>
      </c>
      <c r="I4055" s="169" t="str">
        <f t="shared" si="257"/>
        <v>L425_GHVHW_055E_RAISE</v>
      </c>
      <c r="J4055" s="169" t="s">
        <v>15112</v>
      </c>
      <c r="K4055" s="169">
        <f>IFERROR(MATCH(J4055,'Final List'!$B$4:$B$252,0),0)</f>
        <v>0</v>
      </c>
      <c r="L4055" s="169">
        <f>IFERROR(MATCH(J4055,'Final List'!$D$4:$D$252,0),0)</f>
        <v>0</v>
      </c>
      <c r="M4055" s="169">
        <f>IFERROR(MATCH(J4055,'Final List'!$F$4:$F$251,0),0)</f>
        <v>0</v>
      </c>
      <c r="N4055" s="169">
        <f>IFERROR(MATCH(J4055,'Final List'!$H$4:$H$252,0),0)</f>
        <v>0</v>
      </c>
      <c r="O4055" s="169">
        <f>IFERROR(MATCH(J4055,'Final List'!$J$4:$J$252,0),0)</f>
        <v>0</v>
      </c>
      <c r="P4055" s="169">
        <f>IFERROR(MATCH(J4055,'Final List'!$L$4:$L$252,0),0)</f>
        <v>0</v>
      </c>
      <c r="Q4055" s="169">
        <f>IFERROR(MATCH(J4055,'Final List'!$N$4:$N$252,0),0)</f>
        <v>0</v>
      </c>
      <c r="R4055" s="169">
        <f>IFERROR(MATCH(J4055,'Final List'!$P$4:$P$252,0),0)</f>
        <v>0</v>
      </c>
      <c r="S4055" s="169">
        <f t="shared" ref="S4055" si="271">SUM(K4055:R4055)</f>
        <v>0</v>
      </c>
      <c r="V4055" s="169" t="str">
        <f t="shared" si="266"/>
        <v>BAÑEZ 4</v>
      </c>
      <c r="W4055" s="169" t="s">
        <v>2715</v>
      </c>
    </row>
    <row r="4056" spans="2:23" x14ac:dyDescent="0.25">
      <c r="B4056" s="169" t="s">
        <v>1167</v>
      </c>
      <c r="C4056" s="169" t="s">
        <v>39</v>
      </c>
      <c r="D4056" s="169" t="s">
        <v>178</v>
      </c>
      <c r="E4056" s="169" t="s">
        <v>211</v>
      </c>
      <c r="F4056" s="245" t="str">
        <f t="shared" si="255"/>
        <v>StpL 78</v>
      </c>
      <c r="G4056" s="169" t="s">
        <v>14133</v>
      </c>
      <c r="I4056" s="169" t="str">
        <f t="shared" si="257"/>
        <v>L12_JVHW_048E_STOPE PREP</v>
      </c>
      <c r="J4056" s="169" t="s">
        <v>15113</v>
      </c>
      <c r="K4056" s="169">
        <f>IFERROR(MATCH(J4056,'Final List'!$B$4:$B$252,0),0)</f>
        <v>0</v>
      </c>
      <c r="L4056" s="169">
        <f>IFERROR(MATCH(J4056,'Final List'!$D$4:$D$252,0),0)</f>
        <v>0</v>
      </c>
      <c r="M4056" s="169">
        <f>IFERROR(MATCH(J4056,'Final List'!$F$4:$F$251,0),0)</f>
        <v>0</v>
      </c>
      <c r="N4056" s="169">
        <f>IFERROR(MATCH(J4056,'Final List'!$H$4:$H$252,0),0)</f>
        <v>0</v>
      </c>
      <c r="O4056" s="169">
        <f>IFERROR(MATCH(J4056,'Final List'!$J$4:$J$252,0),0)</f>
        <v>0</v>
      </c>
      <c r="P4056" s="169">
        <f>IFERROR(MATCH(J4056,'Final List'!$L$4:$L$252,0),0)</f>
        <v>0</v>
      </c>
      <c r="Q4056" s="169">
        <f>IFERROR(MATCH(J4056,'Final List'!$N$4:$N$252,0),0)</f>
        <v>0</v>
      </c>
      <c r="R4056" s="169">
        <f>IFERROR(MATCH(J4056,'Final List'!$P$4:$P$252,0),0)</f>
        <v>0</v>
      </c>
      <c r="S4056" s="169">
        <f t="shared" ref="S4056" si="272">SUM(K4056:R4056)</f>
        <v>0</v>
      </c>
      <c r="T4056" s="169" t="s">
        <v>48</v>
      </c>
      <c r="V4056" s="169" t="s">
        <v>14133</v>
      </c>
      <c r="W4056" s="169" t="s">
        <v>2712</v>
      </c>
    </row>
    <row r="4057" spans="2:23" x14ac:dyDescent="0.25">
      <c r="B4057" s="169" t="s">
        <v>96</v>
      </c>
      <c r="C4057" s="169" t="s">
        <v>42</v>
      </c>
      <c r="D4057" s="169" t="s">
        <v>133</v>
      </c>
      <c r="E4057" s="169" t="s">
        <v>36</v>
      </c>
      <c r="F4057" s="245" t="str">
        <f t="shared" si="255"/>
        <v>StpL 78</v>
      </c>
      <c r="G4057" s="169" t="s">
        <v>7659</v>
      </c>
      <c r="I4057" s="169" t="str">
        <f t="shared" si="257"/>
        <v>L09_JV_037E_STOPE</v>
      </c>
      <c r="J4057" s="169" t="s">
        <v>15118</v>
      </c>
      <c r="K4057" s="169">
        <f>IFERROR(MATCH(J4057,'Final List'!$B$4:$B$252,0),0)</f>
        <v>0</v>
      </c>
      <c r="L4057" s="169">
        <f>IFERROR(MATCH(J4057,'Final List'!$D$4:$D$252,0),0)</f>
        <v>0</v>
      </c>
      <c r="M4057" s="169">
        <f>IFERROR(MATCH(J4057,'Final List'!$F$4:$F$251,0),0)</f>
        <v>0</v>
      </c>
      <c r="N4057" s="169">
        <f>IFERROR(MATCH(J4057,'Final List'!$H$4:$H$252,0),0)</f>
        <v>0</v>
      </c>
      <c r="O4057" s="169">
        <f>IFERROR(MATCH(J4057,'Final List'!$J$4:$J$252,0),0)</f>
        <v>0</v>
      </c>
      <c r="P4057" s="169">
        <f>IFERROR(MATCH(J4057,'Final List'!$L$4:$L$252,0),0)</f>
        <v>0</v>
      </c>
      <c r="Q4057" s="169">
        <f>IFERROR(MATCH(J4057,'Final List'!$N$4:$N$252,0),0)</f>
        <v>0</v>
      </c>
      <c r="R4057" s="169">
        <f>IFERROR(MATCH(J4057,'Final List'!$P$4:$P$252,0),0)</f>
        <v>0</v>
      </c>
      <c r="S4057" s="169">
        <f t="shared" ref="S4057" si="273">SUM(K4057:R4057)</f>
        <v>0</v>
      </c>
      <c r="T4057" s="169" t="s">
        <v>48</v>
      </c>
      <c r="V4057" s="169" t="str">
        <f t="shared" ref="V4057:V4120" si="274">IF(H4057="",G4057,H4057)</f>
        <v>DELOS REYES 2</v>
      </c>
      <c r="W4057" s="169" t="s">
        <v>2713</v>
      </c>
    </row>
    <row r="4058" spans="2:23" x14ac:dyDescent="0.25">
      <c r="B4058" s="169" t="s">
        <v>96</v>
      </c>
      <c r="C4058" s="169" t="s">
        <v>45</v>
      </c>
      <c r="D4058" s="169" t="s">
        <v>5078</v>
      </c>
      <c r="E4058" s="169" t="s">
        <v>15047</v>
      </c>
      <c r="F4058" s="245" t="str">
        <f>IF(OR(E4058="XCN",E4058="DE",E4058="DW",E4058="DN",E4058="XCS",E4058="XCE",E4058="XCW",E4058="SUMP",E4058="BYPASS",E4058="CHAMBER",E4058="DRAIN HOLE",E4058="DRILLING CHAMBER",E4058="DE_ISL",E4058="DW_ISL",E4058="REHAB",E4058="DE_ISL",E4058="DE_ISL_B",E4058="DW_ISL_B",E4058="DW_ISL_A",E4058="DE_ISL_A"),"Dhoz 71",IF(OR(E4058="RAISE",E4058="RAISE_ISL"),"DVR 72",IF(E4058="ALIMAK","DVA 73",IF(E4058="WINZE","DVW 74",IF(E4058="SHAFT","DVS 75",IF(AND(E4058="WINZE STOPE",T4058="S"),"RobC 80",IF(AND(E4058="STOPE",T4058="S"),"StpS 77",IF(AND(E4058="WINZE STOPE",T4058="L"),"RobC 80",IF(AND(E4058="STOPE",T4058="L"),"StpL 78",IF(AND(E4058="WINZE STOPE PREP",T4058="S"),"RobC 80",IF(AND(E4058="STOPE PREP",T4058="S"),"StpS 77",IF(AND(E4058="WINZE STOPE PREP",T4058="L"),"RobC 80",IF(AND(E4058="STOPE PREP",T4058="L"),"StpL 78",IF(AND(E4058="ROBBING",T4058="L"),"RobC 80",IF(AND(E4058="ROBBING",T4058="S"),"RobS 79",0)))))))))))))))</f>
        <v>Dhoz 71</v>
      </c>
      <c r="G4058" s="169" t="s">
        <v>11</v>
      </c>
      <c r="I4058" s="169" t="str">
        <f t="shared" si="257"/>
        <v>L09_DPVE_086E_DE_ISL_B</v>
      </c>
      <c r="J4058" s="169" t="s">
        <v>15119</v>
      </c>
      <c r="K4058" s="169">
        <f>IFERROR(MATCH(J4058,'Final List'!$B$4:$B$252,0),0)</f>
        <v>0</v>
      </c>
      <c r="L4058" s="169">
        <f>IFERROR(MATCH(J4058,'Final List'!$D$4:$D$252,0),0)</f>
        <v>0</v>
      </c>
      <c r="M4058" s="169">
        <f>IFERROR(MATCH(J4058,'Final List'!$F$4:$F$251,0),0)</f>
        <v>0</v>
      </c>
      <c r="N4058" s="169">
        <f>IFERROR(MATCH(J4058,'Final List'!$H$4:$H$252,0),0)</f>
        <v>0</v>
      </c>
      <c r="O4058" s="169">
        <f>IFERROR(MATCH(J4058,'Final List'!$J$4:$J$252,0),0)</f>
        <v>0</v>
      </c>
      <c r="P4058" s="169">
        <f>IFERROR(MATCH(J4058,'Final List'!$L$4:$L$252,0),0)</f>
        <v>0</v>
      </c>
      <c r="Q4058" s="169">
        <f>IFERROR(MATCH(J4058,'Final List'!$N$4:$N$252,0),0)</f>
        <v>0</v>
      </c>
      <c r="R4058" s="169">
        <f>IFERROR(MATCH(J4058,'Final List'!$P$4:$P$252,0),0)</f>
        <v>0</v>
      </c>
      <c r="S4058" s="169">
        <f t="shared" ref="S4058" si="275">SUM(K4058:R4058)</f>
        <v>0</v>
      </c>
      <c r="V4058" s="169" t="str">
        <f t="shared" si="274"/>
        <v>QUIJANO</v>
      </c>
      <c r="W4058" s="169" t="s">
        <v>8896</v>
      </c>
    </row>
    <row r="4059" spans="2:23" x14ac:dyDescent="0.25">
      <c r="B4059" s="169" t="s">
        <v>95</v>
      </c>
      <c r="C4059" s="169" t="s">
        <v>42</v>
      </c>
      <c r="D4059" s="169" t="s">
        <v>5631</v>
      </c>
      <c r="E4059" s="169" t="s">
        <v>6143</v>
      </c>
      <c r="F4059" s="245" t="str">
        <f t="shared" si="255"/>
        <v>Dhoz 71</v>
      </c>
      <c r="G4059" s="169" t="s">
        <v>8045</v>
      </c>
      <c r="I4059" s="169" t="str">
        <f t="shared" si="257"/>
        <v>L08_JV_020E_DE_ISL</v>
      </c>
      <c r="J4059" s="169" t="s">
        <v>15127</v>
      </c>
      <c r="K4059" s="169">
        <f>IFERROR(MATCH(J4059,'Final List'!$B$4:$B$252,0),0)</f>
        <v>0</v>
      </c>
      <c r="L4059" s="169">
        <f>IFERROR(MATCH(J4059,'Final List'!$D$4:$D$252,0),0)</f>
        <v>0</v>
      </c>
      <c r="M4059" s="169">
        <f>IFERROR(MATCH(J4059,'Final List'!$F$4:$F$251,0),0)</f>
        <v>0</v>
      </c>
      <c r="N4059" s="169">
        <f>IFERROR(MATCH(J4059,'Final List'!$H$4:$H$252,0),0)</f>
        <v>0</v>
      </c>
      <c r="O4059" s="169">
        <f>IFERROR(MATCH(J4059,'Final List'!$J$4:$J$252,0),0)</f>
        <v>0</v>
      </c>
      <c r="P4059" s="169">
        <f>IFERROR(MATCH(J4059,'Final List'!$L$4:$L$252,0),0)</f>
        <v>0</v>
      </c>
      <c r="Q4059" s="169">
        <f>IFERROR(MATCH(J4059,'Final List'!$N$4:$N$252,0),0)</f>
        <v>0</v>
      </c>
      <c r="R4059" s="169">
        <f>IFERROR(MATCH(J4059,'Final List'!$P$4:$P$252,0),0)</f>
        <v>0</v>
      </c>
      <c r="S4059" s="169">
        <f t="shared" ref="S4059" si="276">SUM(K4059:R4059)</f>
        <v>0</v>
      </c>
      <c r="V4059" s="169" t="str">
        <f t="shared" si="274"/>
        <v>CAPUYAN</v>
      </c>
      <c r="W4059" s="169" t="s">
        <v>8895</v>
      </c>
    </row>
    <row r="4060" spans="2:23" x14ac:dyDescent="0.25">
      <c r="B4060" s="169" t="s">
        <v>12320</v>
      </c>
      <c r="C4060" s="169" t="s">
        <v>87</v>
      </c>
      <c r="D4060" s="169" t="s">
        <v>197</v>
      </c>
      <c r="E4060" s="169" t="s">
        <v>37</v>
      </c>
      <c r="F4060" s="245" t="str">
        <f t="shared" si="255"/>
        <v>Dhoz 71</v>
      </c>
      <c r="G4060" s="169" t="s">
        <v>4155</v>
      </c>
      <c r="I4060" s="169" t="str">
        <f t="shared" si="257"/>
        <v>L425_NONE_070E_XCN</v>
      </c>
      <c r="J4060" s="169" t="s">
        <v>15128</v>
      </c>
      <c r="K4060" s="169">
        <f>IFERROR(MATCH(J4060,'Final List'!$B$4:$B$252,0),0)</f>
        <v>0</v>
      </c>
      <c r="L4060" s="169">
        <f>IFERROR(MATCH(J4060,'Final List'!$D$4:$D$252,0),0)</f>
        <v>0</v>
      </c>
      <c r="M4060" s="169">
        <f>IFERROR(MATCH(J4060,'Final List'!$F$4:$F$251,0),0)</f>
        <v>0</v>
      </c>
      <c r="N4060" s="169">
        <f>IFERROR(MATCH(J4060,'Final List'!$H$4:$H$252,0),0)</f>
        <v>0</v>
      </c>
      <c r="O4060" s="169">
        <f>IFERROR(MATCH(J4060,'Final List'!$J$4:$J$252,0),0)</f>
        <v>0</v>
      </c>
      <c r="P4060" s="169">
        <f>IFERROR(MATCH(J4060,'Final List'!$L$4:$L$252,0),0)</f>
        <v>0</v>
      </c>
      <c r="Q4060" s="169">
        <f>IFERROR(MATCH(J4060,'Final List'!$N$4:$N$252,0),0)</f>
        <v>191</v>
      </c>
      <c r="R4060" s="169">
        <f>IFERROR(MATCH(J4060,'Final List'!$P$4:$P$252,0),0)</f>
        <v>0</v>
      </c>
      <c r="S4060" s="169">
        <f t="shared" ref="S4060" si="277">SUM(K4060:R4060)</f>
        <v>191</v>
      </c>
      <c r="V4060" s="169" t="str">
        <f t="shared" si="274"/>
        <v>BAÑEZ</v>
      </c>
      <c r="W4060" s="169" t="s">
        <v>8898</v>
      </c>
    </row>
    <row r="4061" spans="2:23" x14ac:dyDescent="0.25">
      <c r="B4061" s="169" t="s">
        <v>12320</v>
      </c>
      <c r="C4061" s="169" t="s">
        <v>39</v>
      </c>
      <c r="D4061" s="169" t="s">
        <v>135</v>
      </c>
      <c r="E4061" s="169" t="s">
        <v>61</v>
      </c>
      <c r="F4061" s="245" t="str">
        <f t="shared" si="255"/>
        <v>Dhoz 71</v>
      </c>
      <c r="G4061" s="169" t="s">
        <v>7984</v>
      </c>
      <c r="I4061" s="169" t="str">
        <f t="shared" si="257"/>
        <v>L425_JVHW_034E_DW</v>
      </c>
      <c r="J4061" s="169" t="s">
        <v>15130</v>
      </c>
      <c r="K4061" s="169">
        <f>IFERROR(MATCH(J4061,'Final List'!$B$4:$B$252,0),0)</f>
        <v>0</v>
      </c>
      <c r="L4061" s="169">
        <f>IFERROR(MATCH(J4061,'Final List'!$D$4:$D$252,0),0)</f>
        <v>0</v>
      </c>
      <c r="M4061" s="169">
        <f>IFERROR(MATCH(J4061,'Final List'!$F$4:$F$251,0),0)</f>
        <v>0</v>
      </c>
      <c r="N4061" s="169">
        <f>IFERROR(MATCH(J4061,'Final List'!$H$4:$H$252,0),0)</f>
        <v>193</v>
      </c>
      <c r="O4061" s="169">
        <f>IFERROR(MATCH(J4061,'Final List'!$J$4:$J$252,0),0)</f>
        <v>0</v>
      </c>
      <c r="P4061" s="169">
        <f>IFERROR(MATCH(J4061,'Final List'!$L$4:$L$252,0),0)</f>
        <v>0</v>
      </c>
      <c r="Q4061" s="169">
        <f>IFERROR(MATCH(J4061,'Final List'!$N$4:$N$252,0),0)</f>
        <v>0</v>
      </c>
      <c r="R4061" s="169">
        <f>IFERROR(MATCH(J4061,'Final List'!$P$4:$P$252,0),0)</f>
        <v>0</v>
      </c>
      <c r="S4061" s="169">
        <f t="shared" ref="S4061" si="278">SUM(K4061:R4061)</f>
        <v>193</v>
      </c>
      <c r="V4061" s="169" t="str">
        <f t="shared" si="274"/>
        <v>OLIVEROS</v>
      </c>
      <c r="W4061" s="169" t="s">
        <v>8896</v>
      </c>
    </row>
    <row r="4062" spans="2:23" x14ac:dyDescent="0.25">
      <c r="B4062" s="169" t="s">
        <v>1166</v>
      </c>
      <c r="C4062" s="169" t="s">
        <v>45</v>
      </c>
      <c r="D4062" s="169" t="s">
        <v>15140</v>
      </c>
      <c r="E4062" s="169" t="s">
        <v>19</v>
      </c>
      <c r="F4062" s="245" t="str">
        <f t="shared" si="255"/>
        <v>DVR 72</v>
      </c>
      <c r="G4062" s="169" t="s">
        <v>12070</v>
      </c>
      <c r="I4062" s="169" t="str">
        <f t="shared" si="257"/>
        <v>L11_DPVE_044W_RAISE</v>
      </c>
      <c r="J4062" s="169" t="s">
        <v>15139</v>
      </c>
      <c r="K4062" s="169">
        <f>IFERROR(MATCH(J4062,'Final List'!$B$4:$B$252,0),0)</f>
        <v>0</v>
      </c>
      <c r="L4062" s="169">
        <f>IFERROR(MATCH(J4062,'Final List'!$D$4:$D$252,0),0)</f>
        <v>0</v>
      </c>
      <c r="M4062" s="169">
        <f>IFERROR(MATCH(J4062,'Final List'!$F$4:$F$251,0),0)</f>
        <v>0</v>
      </c>
      <c r="N4062" s="169">
        <f>IFERROR(MATCH(J4062,'Final List'!$H$4:$H$252,0),0)</f>
        <v>0</v>
      </c>
      <c r="O4062" s="169">
        <f>IFERROR(MATCH(J4062,'Final List'!$J$4:$J$252,0),0)</f>
        <v>156</v>
      </c>
      <c r="P4062" s="169">
        <f>IFERROR(MATCH(J4062,'Final List'!$L$4:$L$252,0),0)</f>
        <v>0</v>
      </c>
      <c r="Q4062" s="169">
        <f>IFERROR(MATCH(J4062,'Final List'!$N$4:$N$252,0),0)</f>
        <v>0</v>
      </c>
      <c r="R4062" s="169">
        <f>IFERROR(MATCH(J4062,'Final List'!$P$4:$P$252,0),0)</f>
        <v>0</v>
      </c>
      <c r="S4062" s="169">
        <f t="shared" ref="S4062" si="279">SUM(K4062:R4062)</f>
        <v>156</v>
      </c>
      <c r="V4062" s="169" t="str">
        <f t="shared" si="274"/>
        <v>NITRO BB</v>
      </c>
      <c r="W4062" s="169" t="s">
        <v>2715</v>
      </c>
    </row>
    <row r="4063" spans="2:23" x14ac:dyDescent="0.25">
      <c r="B4063" s="169" t="s">
        <v>1167</v>
      </c>
      <c r="C4063" s="169" t="s">
        <v>55</v>
      </c>
      <c r="D4063" s="169" t="s">
        <v>5741</v>
      </c>
      <c r="E4063" s="169" t="s">
        <v>36</v>
      </c>
      <c r="F4063" s="245" t="str">
        <f t="shared" si="255"/>
        <v>StpS 77</v>
      </c>
      <c r="G4063" s="169" t="s">
        <v>14126</v>
      </c>
      <c r="I4063" s="169" t="str">
        <f t="shared" si="257"/>
        <v>L12_JVFW_035E_STOPE</v>
      </c>
      <c r="J4063" s="169" t="s">
        <v>15143</v>
      </c>
      <c r="K4063" s="169">
        <f>IFERROR(MATCH(J4063,'Final List'!$B$4:$B$252,0),0)</f>
        <v>0</v>
      </c>
      <c r="L4063" s="169">
        <f>IFERROR(MATCH(J4063,'Final List'!$D$4:$D$252,0),0)</f>
        <v>0</v>
      </c>
      <c r="M4063" s="169">
        <f>IFERROR(MATCH(J4063,'Final List'!$F$4:$F$251,0),0)</f>
        <v>0</v>
      </c>
      <c r="N4063" s="169">
        <f>IFERROR(MATCH(J4063,'Final List'!$H$4:$H$252,0),0)</f>
        <v>0</v>
      </c>
      <c r="O4063" s="169">
        <f>IFERROR(MATCH(J4063,'Final List'!$J$4:$J$252,0),0)</f>
        <v>0</v>
      </c>
      <c r="P4063" s="169">
        <f>IFERROR(MATCH(J4063,'Final List'!$L$4:$L$252,0),0)</f>
        <v>0</v>
      </c>
      <c r="Q4063" s="169">
        <f>IFERROR(MATCH(J4063,'Final List'!$N$4:$N$252,0),0)</f>
        <v>0</v>
      </c>
      <c r="R4063" s="169">
        <f>IFERROR(MATCH(J4063,'Final List'!$P$4:$P$252,0),0)</f>
        <v>0</v>
      </c>
      <c r="S4063" s="169">
        <f t="shared" ref="S4063" si="280">SUM(K4063:R4063)</f>
        <v>0</v>
      </c>
      <c r="T4063" s="169" t="s">
        <v>68</v>
      </c>
      <c r="V4063" s="169" t="str">
        <f t="shared" si="274"/>
        <v>HAGANAS</v>
      </c>
      <c r="W4063" s="169" t="s">
        <v>2713</v>
      </c>
    </row>
    <row r="4064" spans="2:23" x14ac:dyDescent="0.25">
      <c r="B4064" s="169" t="s">
        <v>258</v>
      </c>
      <c r="C4064" s="169" t="s">
        <v>45</v>
      </c>
      <c r="D4064" s="169" t="s">
        <v>173</v>
      </c>
      <c r="E4064" s="169" t="s">
        <v>60</v>
      </c>
      <c r="F4064" s="245" t="str">
        <f t="shared" si="255"/>
        <v>Dhoz 71</v>
      </c>
      <c r="G4064" s="169" t="s">
        <v>5700</v>
      </c>
      <c r="H4064" s="169" t="s">
        <v>14949</v>
      </c>
      <c r="I4064" s="169" t="str">
        <f t="shared" si="257"/>
        <v>L10_DPVE_049E_DE</v>
      </c>
      <c r="J4064" s="169" t="s">
        <v>656</v>
      </c>
      <c r="K4064" s="169">
        <f>IFERROR(MATCH(J4064,'Final List'!$B$4:$B$252,0),0)</f>
        <v>0</v>
      </c>
      <c r="L4064" s="169">
        <f>IFERROR(MATCH(J4064,'Final List'!$D$4:$D$252,0),0)</f>
        <v>0</v>
      </c>
      <c r="M4064" s="169">
        <f>IFERROR(MATCH(J4064,'Final List'!$F$4:$F$251,0),0)</f>
        <v>0</v>
      </c>
      <c r="N4064" s="169">
        <f>IFERROR(MATCH(J4064,'Final List'!$H$4:$H$252,0),0)</f>
        <v>134</v>
      </c>
      <c r="O4064" s="169">
        <f>IFERROR(MATCH(J4064,'Final List'!$J$4:$J$252,0),0)</f>
        <v>0</v>
      </c>
      <c r="P4064" s="169">
        <f>IFERROR(MATCH(J4064,'Final List'!$L$4:$L$252,0),0)</f>
        <v>0</v>
      </c>
      <c r="Q4064" s="169">
        <f>IFERROR(MATCH(J4064,'Final List'!$N$4:$N$252,0),0)</f>
        <v>0</v>
      </c>
      <c r="R4064" s="169">
        <f>IFERROR(MATCH(J4064,'Final List'!$P$4:$P$252,0),0)</f>
        <v>0</v>
      </c>
      <c r="S4064" s="169">
        <f t="shared" ref="S4064:S4065" si="281">SUM(K4064:R4064)</f>
        <v>134</v>
      </c>
      <c r="V4064" s="169" t="str">
        <f t="shared" si="274"/>
        <v>NITRO CN</v>
      </c>
      <c r="W4064" s="169" t="s">
        <v>8896</v>
      </c>
    </row>
    <row r="4065" spans="2:23" x14ac:dyDescent="0.25">
      <c r="B4065" s="169" t="s">
        <v>1167</v>
      </c>
      <c r="C4065" s="169" t="s">
        <v>87</v>
      </c>
      <c r="D4065" s="169" t="s">
        <v>7223</v>
      </c>
      <c r="E4065" s="169" t="s">
        <v>37</v>
      </c>
      <c r="F4065" s="245" t="str">
        <f t="shared" si="255"/>
        <v>Dhoz 71</v>
      </c>
      <c r="G4065" s="169" t="s">
        <v>12548</v>
      </c>
      <c r="H4065" s="169" t="s">
        <v>14126</v>
      </c>
      <c r="I4065" s="169" t="str">
        <f t="shared" si="257"/>
        <v>L12_NONE_002E_XCN</v>
      </c>
      <c r="J4065" s="169" t="s">
        <v>15157</v>
      </c>
      <c r="K4065" s="169">
        <f>IFERROR(MATCH(J4065,'Final List'!$B$4:$B$252,0),0)</f>
        <v>0</v>
      </c>
      <c r="L4065" s="169">
        <f>IFERROR(MATCH(J4065,'Final List'!$D$4:$D$252,0),0)</f>
        <v>0</v>
      </c>
      <c r="M4065" s="169">
        <f>IFERROR(MATCH(J4065,'Final List'!$F$4:$F$251,0),0)</f>
        <v>0</v>
      </c>
      <c r="N4065" s="169">
        <f>IFERROR(MATCH(J4065,'Final List'!$H$4:$H$252,0),0)</f>
        <v>0</v>
      </c>
      <c r="O4065" s="169">
        <f>IFERROR(MATCH(J4065,'Final List'!$J$4:$J$252,0),0)</f>
        <v>0</v>
      </c>
      <c r="P4065" s="169">
        <f>IFERROR(MATCH(J4065,'Final List'!$L$4:$L$252,0),0)</f>
        <v>0</v>
      </c>
      <c r="Q4065" s="169">
        <f>IFERROR(MATCH(J4065,'Final List'!$N$4:$N$252,0),0)</f>
        <v>0</v>
      </c>
      <c r="R4065" s="169">
        <f>IFERROR(MATCH(J4065,'Final List'!$P$4:$P$252,0),0)</f>
        <v>0</v>
      </c>
      <c r="S4065" s="169">
        <f t="shared" si="281"/>
        <v>0</v>
      </c>
      <c r="V4065" s="169" t="str">
        <f t="shared" si="274"/>
        <v>HAGANAS</v>
      </c>
      <c r="W4065" s="169" t="s">
        <v>8898</v>
      </c>
    </row>
    <row r="4066" spans="2:23" x14ac:dyDescent="0.25">
      <c r="B4066" s="169" t="s">
        <v>1167</v>
      </c>
      <c r="C4066" s="169" t="s">
        <v>42</v>
      </c>
      <c r="D4066" s="169" t="s">
        <v>6114</v>
      </c>
      <c r="E4066" s="169" t="s">
        <v>36</v>
      </c>
      <c r="F4066" s="245" t="str">
        <f t="shared" si="255"/>
        <v>StpS 77</v>
      </c>
      <c r="G4066" s="169" t="s">
        <v>14971</v>
      </c>
      <c r="I4066" s="169" t="str">
        <f t="shared" si="257"/>
        <v>L12_JV_078E_STOPE</v>
      </c>
      <c r="J4066" s="169" t="s">
        <v>15160</v>
      </c>
      <c r="K4066" s="169">
        <f>IFERROR(MATCH(J4066,'Final List'!$B$4:$B$252,0),0)</f>
        <v>0</v>
      </c>
      <c r="L4066" s="169">
        <f>IFERROR(MATCH(J4066,'Final List'!$D$4:$D$252,0),0)</f>
        <v>174</v>
      </c>
      <c r="M4066" s="169">
        <f>IFERROR(MATCH(J4066,'Final List'!$F$4:$F$251,0),0)</f>
        <v>0</v>
      </c>
      <c r="N4066" s="169">
        <f>IFERROR(MATCH(J4066,'Final List'!$H$4:$H$252,0),0)</f>
        <v>0</v>
      </c>
      <c r="O4066" s="169">
        <f>IFERROR(MATCH(J4066,'Final List'!$J$4:$J$252,0),0)</f>
        <v>0</v>
      </c>
      <c r="P4066" s="169">
        <f>IFERROR(MATCH(J4066,'Final List'!$L$4:$L$252,0),0)</f>
        <v>0</v>
      </c>
      <c r="Q4066" s="169">
        <f>IFERROR(MATCH(J4066,'Final List'!$N$4:$N$252,0),0)</f>
        <v>0</v>
      </c>
      <c r="R4066" s="169">
        <f>IFERROR(MATCH(J4066,'Final List'!$P$4:$P$252,0),0)</f>
        <v>0</v>
      </c>
      <c r="S4066" s="169">
        <f t="shared" ref="S4066" si="282">SUM(K4066:R4066)</f>
        <v>174</v>
      </c>
      <c r="T4066" s="169" t="s">
        <v>68</v>
      </c>
      <c r="V4066" s="169" t="str">
        <f t="shared" si="274"/>
        <v>NITRO CK</v>
      </c>
      <c r="W4066" s="169" t="s">
        <v>2711</v>
      </c>
    </row>
    <row r="4067" spans="2:23" x14ac:dyDescent="0.25">
      <c r="B4067" s="169" t="s">
        <v>1167</v>
      </c>
      <c r="C4067" s="169" t="s">
        <v>45</v>
      </c>
      <c r="D4067" s="169" t="s">
        <v>1230</v>
      </c>
      <c r="E4067" s="169" t="s">
        <v>60</v>
      </c>
      <c r="F4067" s="245" t="str">
        <f t="shared" si="255"/>
        <v>Dhoz 71</v>
      </c>
      <c r="G4067" s="169" t="s">
        <v>13633</v>
      </c>
      <c r="I4067" s="169" t="str">
        <f t="shared" si="257"/>
        <v>L12_DPVE_075E_DE</v>
      </c>
      <c r="J4067" s="169" t="s">
        <v>15172</v>
      </c>
      <c r="K4067" s="169">
        <f>IFERROR(MATCH(J4067,'Final List'!$B$4:$B$252,0),0)</f>
        <v>0</v>
      </c>
      <c r="L4067" s="169">
        <f>IFERROR(MATCH(J4067,'Final List'!$D$4:$D$252,0),0)</f>
        <v>0</v>
      </c>
      <c r="M4067" s="169">
        <f>IFERROR(MATCH(J4067,'Final List'!$F$4:$F$251,0),0)</f>
        <v>0</v>
      </c>
      <c r="N4067" s="169">
        <f>IFERROR(MATCH(J4067,'Final List'!$H$4:$H$252,0),0)</f>
        <v>0</v>
      </c>
      <c r="O4067" s="169">
        <f>IFERROR(MATCH(J4067,'Final List'!$J$4:$J$252,0),0)</f>
        <v>0</v>
      </c>
      <c r="P4067" s="169">
        <f>IFERROR(MATCH(J4067,'Final List'!$L$4:$L$252,0),0)</f>
        <v>0</v>
      </c>
      <c r="Q4067" s="169">
        <f>IFERROR(MATCH(J4067,'Final List'!$N$4:$N$252,0),0)</f>
        <v>0</v>
      </c>
      <c r="R4067" s="169">
        <f>IFERROR(MATCH(J4067,'Final List'!$P$4:$P$252,0),0)</f>
        <v>0</v>
      </c>
      <c r="S4067" s="169">
        <f t="shared" ref="S4067" si="283">SUM(K4067:R4067)</f>
        <v>0</v>
      </c>
      <c r="V4067" s="169" t="str">
        <f t="shared" si="274"/>
        <v>CAYMAN</v>
      </c>
      <c r="W4067" s="169" t="s">
        <v>8896</v>
      </c>
    </row>
    <row r="4068" spans="2:23" x14ac:dyDescent="0.25">
      <c r="B4068" s="169" t="s">
        <v>1166</v>
      </c>
      <c r="C4068" s="169" t="s">
        <v>45</v>
      </c>
      <c r="D4068" s="169" t="s">
        <v>5835</v>
      </c>
      <c r="E4068" s="169" t="s">
        <v>60</v>
      </c>
      <c r="F4068" s="245" t="str">
        <f t="shared" si="255"/>
        <v>Dhoz 71</v>
      </c>
      <c r="G4068" s="169" t="s">
        <v>4068</v>
      </c>
      <c r="I4068" s="169" t="str">
        <f t="shared" si="257"/>
        <v>L11_DPVE_003W_DE</v>
      </c>
      <c r="J4068" s="169" t="s">
        <v>15175</v>
      </c>
      <c r="K4068" s="169">
        <f>IFERROR(MATCH(J4068,'Final List'!$B$4:$B$252,0),0)</f>
        <v>0</v>
      </c>
      <c r="L4068" s="169">
        <f>IFERROR(MATCH(J4068,'Final List'!$D$4:$D$252,0),0)</f>
        <v>0</v>
      </c>
      <c r="M4068" s="169">
        <f>IFERROR(MATCH(J4068,'Final List'!$F$4:$F$251,0),0)</f>
        <v>0</v>
      </c>
      <c r="N4068" s="169">
        <f>IFERROR(MATCH(J4068,'Final List'!$H$4:$H$252,0),0)</f>
        <v>0</v>
      </c>
      <c r="O4068" s="169">
        <f>IFERROR(MATCH(J4068,'Final List'!$J$4:$J$252,0),0)</f>
        <v>0</v>
      </c>
      <c r="P4068" s="169">
        <f>IFERROR(MATCH(J4068,'Final List'!$L$4:$L$252,0),0)</f>
        <v>0</v>
      </c>
      <c r="Q4068" s="169">
        <f>IFERROR(MATCH(J4068,'Final List'!$N$4:$N$252,0),0)</f>
        <v>0</v>
      </c>
      <c r="R4068" s="169">
        <f>IFERROR(MATCH(J4068,'Final List'!$P$4:$P$252,0),0)</f>
        <v>0</v>
      </c>
      <c r="S4068" s="169">
        <f t="shared" ref="S4068" si="284">SUM(K4068:R4068)</f>
        <v>0</v>
      </c>
      <c r="V4068" s="169" t="str">
        <f t="shared" si="274"/>
        <v>MAPAYO</v>
      </c>
      <c r="W4068" s="169" t="s">
        <v>8896</v>
      </c>
    </row>
    <row r="4069" spans="2:23" x14ac:dyDescent="0.25">
      <c r="B4069" s="169" t="s">
        <v>15178</v>
      </c>
      <c r="C4069" s="169" t="s">
        <v>43</v>
      </c>
      <c r="D4069" s="169" t="s">
        <v>172</v>
      </c>
      <c r="E4069" s="169" t="s">
        <v>36</v>
      </c>
      <c r="F4069" s="245" t="str">
        <f t="shared" si="255"/>
        <v>StpS 77</v>
      </c>
      <c r="G4069" s="169" t="s">
        <v>14130</v>
      </c>
      <c r="I4069" s="169" t="str">
        <f t="shared" si="257"/>
        <v>l12_GHVSPLIT_045E_STOPE</v>
      </c>
      <c r="J4069" s="169" t="s">
        <v>15176</v>
      </c>
      <c r="K4069" s="169">
        <f>IFERROR(MATCH(J4069,'Final List'!$B$4:$B$252,0),0)</f>
        <v>0</v>
      </c>
      <c r="L4069" s="169">
        <f>IFERROR(MATCH(J4069,'Final List'!$D$4:$D$252,0),0)</f>
        <v>172</v>
      </c>
      <c r="M4069" s="169">
        <f>IFERROR(MATCH(J4069,'Final List'!$F$4:$F$251,0),0)</f>
        <v>0</v>
      </c>
      <c r="N4069" s="169">
        <f>IFERROR(MATCH(J4069,'Final List'!$H$4:$H$252,0),0)</f>
        <v>0</v>
      </c>
      <c r="O4069" s="169">
        <f>IFERROR(MATCH(J4069,'Final List'!$J$4:$J$252,0),0)</f>
        <v>0</v>
      </c>
      <c r="P4069" s="169">
        <f>IFERROR(MATCH(J4069,'Final List'!$L$4:$L$252,0),0)</f>
        <v>0</v>
      </c>
      <c r="Q4069" s="169">
        <f>IFERROR(MATCH(J4069,'Final List'!$N$4:$N$252,0),0)</f>
        <v>0</v>
      </c>
      <c r="R4069" s="169">
        <f>IFERROR(MATCH(J4069,'Final List'!$P$4:$P$252,0),0)</f>
        <v>0</v>
      </c>
      <c r="S4069" s="169">
        <f t="shared" ref="S4069" si="285">SUM(K4069:R4069)</f>
        <v>172</v>
      </c>
      <c r="T4069" s="169" t="s">
        <v>68</v>
      </c>
      <c r="V4069" s="169" t="str">
        <f t="shared" si="274"/>
        <v>DURANGO</v>
      </c>
      <c r="W4069" s="169" t="s">
        <v>2711</v>
      </c>
    </row>
    <row r="4070" spans="2:23" x14ac:dyDescent="0.25">
      <c r="B4070" s="169" t="s">
        <v>95</v>
      </c>
      <c r="C4070" s="169" t="s">
        <v>42</v>
      </c>
      <c r="D4070" s="169" t="s">
        <v>5912</v>
      </c>
      <c r="E4070" s="169" t="s">
        <v>211</v>
      </c>
      <c r="F4070" s="245" t="str">
        <f t="shared" si="255"/>
        <v>StpS 77</v>
      </c>
      <c r="G4070" s="169" t="s">
        <v>13989</v>
      </c>
      <c r="I4070" s="169" t="str">
        <f t="shared" si="257"/>
        <v>L08_JV_019E_STOPE PREP</v>
      </c>
      <c r="J4070" s="169" t="s">
        <v>15186</v>
      </c>
      <c r="K4070" s="169">
        <f>IFERROR(MATCH(J4070,'Final List'!$B$4:$B$252,0),0)</f>
        <v>87</v>
      </c>
      <c r="L4070" s="169">
        <f>IFERROR(MATCH(J4070,'Final List'!$D$4:$D$252,0),0)</f>
        <v>0</v>
      </c>
      <c r="M4070" s="169">
        <f>IFERROR(MATCH(J4070,'Final List'!$F$4:$F$251,0),0)</f>
        <v>0</v>
      </c>
      <c r="N4070" s="169">
        <f>IFERROR(MATCH(J4070,'Final List'!$H$4:$H$252,0),0)</f>
        <v>0</v>
      </c>
      <c r="O4070" s="169">
        <f>IFERROR(MATCH(J4070,'Final List'!$J$4:$J$252,0),0)</f>
        <v>0</v>
      </c>
      <c r="P4070" s="169">
        <f>IFERROR(MATCH(J4070,'Final List'!$L$4:$L$252,0),0)</f>
        <v>0</v>
      </c>
      <c r="Q4070" s="169">
        <f>IFERROR(MATCH(J4070,'Final List'!$N$4:$N$252,0),0)</f>
        <v>0</v>
      </c>
      <c r="R4070" s="169">
        <f>IFERROR(MATCH(J4070,'Final List'!$P$4:$P$252,0),0)</f>
        <v>0</v>
      </c>
      <c r="S4070" s="169">
        <f t="shared" ref="S4070" si="286">SUM(K4070:R4070)</f>
        <v>87</v>
      </c>
      <c r="T4070" s="169" t="s">
        <v>68</v>
      </c>
      <c r="V4070" s="169" t="str">
        <f t="shared" si="274"/>
        <v>FERNANDEZ 7</v>
      </c>
      <c r="W4070" s="169" t="s">
        <v>2712</v>
      </c>
    </row>
    <row r="4071" spans="2:23" x14ac:dyDescent="0.25">
      <c r="B4071" s="169" t="s">
        <v>95</v>
      </c>
      <c r="C4071" s="169" t="s">
        <v>42</v>
      </c>
      <c r="D4071" s="169" t="s">
        <v>128</v>
      </c>
      <c r="E4071" s="169" t="s">
        <v>19</v>
      </c>
      <c r="F4071" s="245" t="str">
        <f t="shared" si="255"/>
        <v>DVR 72</v>
      </c>
      <c r="G4071" s="169" t="s">
        <v>14947</v>
      </c>
      <c r="I4071" s="169" t="str">
        <f t="shared" si="257"/>
        <v>L08_JV_027E_RAISE</v>
      </c>
      <c r="J4071" s="169" t="s">
        <v>15189</v>
      </c>
      <c r="K4071" s="169">
        <f>IFERROR(MATCH(J4071,'Final List'!$B$4:$B$252,0),0)</f>
        <v>0</v>
      </c>
      <c r="L4071" s="169">
        <f>IFERROR(MATCH(J4071,'Final List'!$D$4:$D$252,0),0)</f>
        <v>0</v>
      </c>
      <c r="M4071" s="169">
        <f>IFERROR(MATCH(J4071,'Final List'!$F$4:$F$251,0),0)</f>
        <v>0</v>
      </c>
      <c r="N4071" s="169">
        <f>IFERROR(MATCH(J4071,'Final List'!$H$4:$H$252,0),0)</f>
        <v>0</v>
      </c>
      <c r="O4071" s="169">
        <f>IFERROR(MATCH(J4071,'Final List'!$J$4:$J$252,0),0)</f>
        <v>0</v>
      </c>
      <c r="P4071" s="169">
        <f>IFERROR(MATCH(J4071,'Final List'!$L$4:$L$252,0),0)</f>
        <v>0</v>
      </c>
      <c r="Q4071" s="169">
        <f>IFERROR(MATCH(J4071,'Final List'!$N$4:$N$252,0),0)</f>
        <v>0</v>
      </c>
      <c r="R4071" s="169">
        <f>IFERROR(MATCH(J4071,'Final List'!$P$4:$P$252,0),0)</f>
        <v>0</v>
      </c>
      <c r="S4071" s="169">
        <f t="shared" ref="S4071" si="287">SUM(K4071:R4071)</f>
        <v>0</v>
      </c>
      <c r="V4071" s="169" t="str">
        <f t="shared" si="274"/>
        <v>NITRO CM</v>
      </c>
      <c r="W4071" s="169" t="s">
        <v>2715</v>
      </c>
    </row>
    <row r="4072" spans="2:23" x14ac:dyDescent="0.25">
      <c r="B4072" s="169" t="s">
        <v>95</v>
      </c>
      <c r="C4072" s="169" t="s">
        <v>45</v>
      </c>
      <c r="D4072" s="169" t="s">
        <v>148</v>
      </c>
      <c r="E4072" s="169" t="s">
        <v>441</v>
      </c>
      <c r="F4072" s="245" t="str">
        <f t="shared" si="255"/>
        <v>RobC 80</v>
      </c>
      <c r="G4072" s="169" t="s">
        <v>14285</v>
      </c>
      <c r="I4072" s="169" t="str">
        <f t="shared" si="257"/>
        <v>L08_DPVE_039E_WINZE STOPE PREP</v>
      </c>
      <c r="J4072" s="169" t="s">
        <v>15191</v>
      </c>
      <c r="K4072" s="169">
        <f>IFERROR(MATCH(J4072,'Final List'!$B$4:$B$252,0),0)</f>
        <v>0</v>
      </c>
      <c r="L4072" s="169">
        <f>IFERROR(MATCH(J4072,'Final List'!$D$4:$D$252,0),0)</f>
        <v>0</v>
      </c>
      <c r="M4072" s="169">
        <f>IFERROR(MATCH(J4072,'Final List'!$F$4:$F$251,0),0)</f>
        <v>0</v>
      </c>
      <c r="N4072" s="169">
        <f>IFERROR(MATCH(J4072,'Final List'!$H$4:$H$252,0),0)</f>
        <v>0</v>
      </c>
      <c r="O4072" s="169">
        <f>IFERROR(MATCH(J4072,'Final List'!$J$4:$J$252,0),0)</f>
        <v>0</v>
      </c>
      <c r="P4072" s="169">
        <f>IFERROR(MATCH(J4072,'Final List'!$L$4:$L$252,0),0)</f>
        <v>0</v>
      </c>
      <c r="Q4072" s="169">
        <f>IFERROR(MATCH(J4072,'Final List'!$N$4:$N$252,0),0)</f>
        <v>0</v>
      </c>
      <c r="R4072" s="169">
        <f>IFERROR(MATCH(J4072,'Final List'!$P$4:$P$252,0),0)</f>
        <v>0</v>
      </c>
      <c r="S4072" s="169">
        <f t="shared" ref="S4072" si="288">SUM(K4072:R4072)</f>
        <v>0</v>
      </c>
      <c r="T4072" s="169" t="s">
        <v>48</v>
      </c>
      <c r="V4072" s="169" t="str">
        <f t="shared" si="274"/>
        <v>CANTAGO 4</v>
      </c>
      <c r="W4072" s="169" t="s">
        <v>2716</v>
      </c>
    </row>
    <row r="4073" spans="2:23" x14ac:dyDescent="0.25">
      <c r="B4073" s="169" t="s">
        <v>1166</v>
      </c>
      <c r="C4073" s="169" t="s">
        <v>45</v>
      </c>
      <c r="D4073" s="169" t="s">
        <v>9427</v>
      </c>
      <c r="E4073" s="169" t="s">
        <v>19</v>
      </c>
      <c r="F4073" s="245" t="str">
        <f t="shared" si="255"/>
        <v>DVR 72</v>
      </c>
      <c r="G4073" s="169" t="s">
        <v>4155</v>
      </c>
      <c r="I4073" s="169" t="str">
        <f t="shared" si="257"/>
        <v>L11_DPVE_091E_RAISE</v>
      </c>
      <c r="J4073" s="169" t="s">
        <v>15192</v>
      </c>
      <c r="K4073" s="169">
        <f>IFERROR(MATCH(J4073,'Final List'!$B$4:$B$252,0),0)</f>
        <v>0</v>
      </c>
      <c r="L4073" s="169">
        <f>IFERROR(MATCH(J4073,'Final List'!$D$4:$D$252,0),0)</f>
        <v>0</v>
      </c>
      <c r="M4073" s="169">
        <f>IFERROR(MATCH(J4073,'Final List'!$F$4:$F$251,0),0)</f>
        <v>0</v>
      </c>
      <c r="N4073" s="169">
        <f>IFERROR(MATCH(J4073,'Final List'!$H$4:$H$252,0),0)</f>
        <v>0</v>
      </c>
      <c r="O4073" s="169">
        <f>IFERROR(MATCH(J4073,'Final List'!$J$4:$J$252,0),0)</f>
        <v>0</v>
      </c>
      <c r="P4073" s="169">
        <f>IFERROR(MATCH(J4073,'Final List'!$L$4:$L$252,0),0)</f>
        <v>0</v>
      </c>
      <c r="Q4073" s="169">
        <f>IFERROR(MATCH(J4073,'Final List'!$N$4:$N$252,0),0)</f>
        <v>0</v>
      </c>
      <c r="R4073" s="169">
        <f>IFERROR(MATCH(J4073,'Final List'!$P$4:$P$252,0),0)</f>
        <v>0</v>
      </c>
      <c r="S4073" s="169">
        <f t="shared" ref="S4073" si="289">SUM(K4073:R4073)</f>
        <v>0</v>
      </c>
      <c r="V4073" s="169" t="str">
        <f t="shared" si="274"/>
        <v>BAÑEZ</v>
      </c>
      <c r="W4073" s="169" t="s">
        <v>2715</v>
      </c>
    </row>
    <row r="4074" spans="2:23" x14ac:dyDescent="0.25">
      <c r="B4074" s="169" t="s">
        <v>1166</v>
      </c>
      <c r="C4074" s="169" t="s">
        <v>45</v>
      </c>
      <c r="D4074" s="169" t="s">
        <v>109</v>
      </c>
      <c r="E4074" s="169" t="s">
        <v>60</v>
      </c>
      <c r="F4074" s="245" t="str">
        <f t="shared" si="255"/>
        <v>Dhoz 71</v>
      </c>
      <c r="G4074" s="169" t="s">
        <v>12070</v>
      </c>
      <c r="I4074" s="169" t="str">
        <f t="shared" si="257"/>
        <v>L11_DPVE_002W_DE</v>
      </c>
      <c r="J4074" s="169" t="s">
        <v>15193</v>
      </c>
      <c r="K4074" s="169">
        <f>IFERROR(MATCH(J4074,'Final List'!$B$4:$B$252,0),0)</f>
        <v>0</v>
      </c>
      <c r="L4074" s="169">
        <f>IFERROR(MATCH(J4074,'Final List'!$D$4:$D$252,0),0)</f>
        <v>0</v>
      </c>
      <c r="M4074" s="169">
        <f>IFERROR(MATCH(J4074,'Final List'!$F$4:$F$251,0),0)</f>
        <v>0</v>
      </c>
      <c r="N4074" s="169">
        <f>IFERROR(MATCH(J4074,'Final List'!$H$4:$H$252,0),0)</f>
        <v>0</v>
      </c>
      <c r="O4074" s="169">
        <f>IFERROR(MATCH(J4074,'Final List'!$J$4:$J$252,0),0)</f>
        <v>0</v>
      </c>
      <c r="P4074" s="169">
        <f>IFERROR(MATCH(J4074,'Final List'!$L$4:$L$252,0),0)</f>
        <v>0</v>
      </c>
      <c r="Q4074" s="169">
        <f>IFERROR(MATCH(J4074,'Final List'!$N$4:$N$252,0),0)</f>
        <v>0</v>
      </c>
      <c r="R4074" s="169">
        <f>IFERROR(MATCH(J4074,'Final List'!$P$4:$P$252,0),0)</f>
        <v>0</v>
      </c>
      <c r="S4074" s="169">
        <f t="shared" ref="S4074" si="290">SUM(K4074:R4074)</f>
        <v>0</v>
      </c>
      <c r="V4074" s="169" t="str">
        <f t="shared" si="274"/>
        <v>NITRO BB</v>
      </c>
      <c r="W4074" s="169" t="s">
        <v>8896</v>
      </c>
    </row>
    <row r="4075" spans="2:23" x14ac:dyDescent="0.25">
      <c r="B4075" s="169" t="s">
        <v>95</v>
      </c>
      <c r="C4075" s="169" t="s">
        <v>42</v>
      </c>
      <c r="D4075" s="169" t="s">
        <v>173</v>
      </c>
      <c r="E4075" s="169" t="s">
        <v>441</v>
      </c>
      <c r="F4075" s="245" t="str">
        <f t="shared" si="255"/>
        <v>RobC 80</v>
      </c>
      <c r="G4075" s="169" t="s">
        <v>14138</v>
      </c>
      <c r="I4075" s="169" t="str">
        <f t="shared" si="257"/>
        <v>L08_JV_049E_WINZE STOPE PREP</v>
      </c>
      <c r="J4075" s="169" t="s">
        <v>15194</v>
      </c>
      <c r="K4075" s="169">
        <f>IFERROR(MATCH(J4075,'Final List'!$B$4:$B$252,0),0)</f>
        <v>0</v>
      </c>
      <c r="L4075" s="169">
        <f>IFERROR(MATCH(J4075,'Final List'!$D$4:$D$252,0),0)</f>
        <v>0</v>
      </c>
      <c r="M4075" s="169">
        <f>IFERROR(MATCH(J4075,'Final List'!$F$4:$F$251,0),0)</f>
        <v>0</v>
      </c>
      <c r="N4075" s="169">
        <f>IFERROR(MATCH(J4075,'Final List'!$H$4:$H$252,0),0)</f>
        <v>0</v>
      </c>
      <c r="O4075" s="169">
        <f>IFERROR(MATCH(J4075,'Final List'!$J$4:$J$252,0),0)</f>
        <v>0</v>
      </c>
      <c r="P4075" s="169">
        <f>IFERROR(MATCH(J4075,'Final List'!$L$4:$L$252,0),0)</f>
        <v>0</v>
      </c>
      <c r="Q4075" s="169">
        <f>IFERROR(MATCH(J4075,'Final List'!$N$4:$N$252,0),0)</f>
        <v>0</v>
      </c>
      <c r="R4075" s="169">
        <f>IFERROR(MATCH(J4075,'Final List'!$P$4:$P$252,0),0)</f>
        <v>0</v>
      </c>
      <c r="S4075" s="169">
        <f t="shared" ref="S4075" si="291">SUM(K4075:R4075)</f>
        <v>0</v>
      </c>
      <c r="T4075" s="169" t="s">
        <v>68</v>
      </c>
      <c r="V4075" s="169" t="str">
        <f t="shared" si="274"/>
        <v>CANTAGO 3</v>
      </c>
      <c r="W4075" s="169" t="s">
        <v>2712</v>
      </c>
    </row>
    <row r="4076" spans="2:23" x14ac:dyDescent="0.25">
      <c r="B4076" s="169" t="s">
        <v>1167</v>
      </c>
      <c r="C4076" s="169" t="s">
        <v>43</v>
      </c>
      <c r="D4076" s="169" t="s">
        <v>161</v>
      </c>
      <c r="E4076" s="169" t="s">
        <v>19</v>
      </c>
      <c r="F4076" s="245" t="str">
        <f t="shared" si="255"/>
        <v>DVR 72</v>
      </c>
      <c r="G4076" s="169" t="s">
        <v>14130</v>
      </c>
      <c r="I4076" s="169" t="str">
        <f t="shared" si="257"/>
        <v>L12_GHVSPLIT_044E_RAISE</v>
      </c>
      <c r="J4076" s="169" t="s">
        <v>15196</v>
      </c>
      <c r="K4076" s="169">
        <f>IFERROR(MATCH(J4076,'Final List'!$B$4:$B$252,0),0)</f>
        <v>0</v>
      </c>
      <c r="L4076" s="169">
        <f>IFERROR(MATCH(J4076,'Final List'!$D$4:$D$252,0),0)</f>
        <v>0</v>
      </c>
      <c r="M4076" s="169">
        <f>IFERROR(MATCH(J4076,'Final List'!$F$4:$F$251,0),0)</f>
        <v>0</v>
      </c>
      <c r="N4076" s="169">
        <f>IFERROR(MATCH(J4076,'Final List'!$H$4:$H$252,0),0)</f>
        <v>0</v>
      </c>
      <c r="O4076" s="169">
        <f>IFERROR(MATCH(J4076,'Final List'!$J$4:$J$252,0),0)</f>
        <v>0</v>
      </c>
      <c r="P4076" s="169">
        <f>IFERROR(MATCH(J4076,'Final List'!$L$4:$L$252,0),0)</f>
        <v>0</v>
      </c>
      <c r="Q4076" s="169">
        <f>IFERROR(MATCH(J4076,'Final List'!$N$4:$N$252,0),0)</f>
        <v>0</v>
      </c>
      <c r="R4076" s="169">
        <f>IFERROR(MATCH(J4076,'Final List'!$P$4:$P$252,0),0)</f>
        <v>0</v>
      </c>
      <c r="S4076" s="169">
        <f t="shared" ref="S4076" si="292">SUM(K4076:R4076)</f>
        <v>0</v>
      </c>
      <c r="V4076" s="169" t="str">
        <f t="shared" si="274"/>
        <v>DURANGO</v>
      </c>
      <c r="W4076" s="169" t="s">
        <v>2715</v>
      </c>
    </row>
    <row r="4077" spans="2:23" x14ac:dyDescent="0.25">
      <c r="B4077" s="169" t="s">
        <v>12320</v>
      </c>
      <c r="C4077" s="169" t="s">
        <v>38</v>
      </c>
      <c r="D4077" s="169" t="s">
        <v>174</v>
      </c>
      <c r="E4077" s="169" t="s">
        <v>15047</v>
      </c>
      <c r="F4077" s="245" t="str">
        <f t="shared" ref="F4077" si="293">IF(OR(E4077="XCN",E4077="DE",E4077="DW",E4077="DN",E4077="XCS",E4077="XCE",E4077="XCW",E4077="SUMP",E4077="BYPASS",E4077="CHAMBER",E4077="DRAIN HOLE",E4077="DRILLING CHAMBER",E4077="DE_ISL",E4077="DW_ISL",E4077="REHAB",E4077="DE_ISL",E4077="DE_ISL_B",E4077="DW_ISL_B",E4077="DW_ISL_A",E4077="DE_ISL_A"),"Dhoz 71",IF(OR(E4077="RAISE",E4077="RAISE_ISL"),"DVR 72",IF(E4077="ALIMAK","DVA 73",IF(E4077="WINZE","DVW 74",IF(E4077="SHAFT","DVS 75",IF(AND(E4077="WINZE STOPE",T4077="S"),"RobC 80",IF(AND(E4077="STOPE",T4077="S"),"StpS 77",IF(AND(E4077="WINZE STOPE",T4077="L"),"RobC 80",IF(AND(E4077="STOPE",T4077="L"),"StpL 78",IF(AND(E4077="WINZE STOPE PREP",T4077="S"),"RobC 80",IF(AND(E4077="STOPE PREP",T4077="S"),"StpS 77",IF(AND(E4077="WINZE STOPE PREP",T4077="L"),"RobC 80",IF(AND(E4077="STOPE PREP",T4077="L"),"StpL 78",IF(AND(E4077="ROBBING",T4077="L"),"RobC 80",IF(AND(E4077="ROBBING",T4077="S"),"RobS 79",0)))))))))))))))</f>
        <v>Dhoz 71</v>
      </c>
      <c r="G4077" s="169" t="s">
        <v>15079</v>
      </c>
      <c r="I4077" s="169" t="str">
        <f t="shared" si="257"/>
        <v>L425_GHV_052E_DE_ISL_B</v>
      </c>
      <c r="J4077" s="169" t="s">
        <v>15200</v>
      </c>
      <c r="K4077" s="169">
        <f>IFERROR(MATCH(J4077,'Final List'!$B$4:$B$252,0),0)</f>
        <v>0</v>
      </c>
      <c r="L4077" s="169">
        <f>IFERROR(MATCH(J4077,'Final List'!$D$4:$D$252,0),0)</f>
        <v>0</v>
      </c>
      <c r="M4077" s="169">
        <f>IFERROR(MATCH(J4077,'Final List'!$F$4:$F$251,0),0)</f>
        <v>0</v>
      </c>
      <c r="N4077" s="169">
        <f>IFERROR(MATCH(J4077,'Final List'!$H$4:$H$252,0),0)</f>
        <v>0</v>
      </c>
      <c r="O4077" s="169">
        <f>IFERROR(MATCH(J4077,'Final List'!$J$4:$J$252,0),0)</f>
        <v>0</v>
      </c>
      <c r="P4077" s="169">
        <f>IFERROR(MATCH(J4077,'Final List'!$L$4:$L$252,0),0)</f>
        <v>0</v>
      </c>
      <c r="Q4077" s="169">
        <f>IFERROR(MATCH(J4077,'Final List'!$N$4:$N$252,0),0)</f>
        <v>0</v>
      </c>
      <c r="R4077" s="169">
        <f>IFERROR(MATCH(J4077,'Final List'!$P$4:$P$252,0),0)</f>
        <v>0</v>
      </c>
      <c r="S4077" s="169">
        <f t="shared" ref="S4077" si="294">SUM(K4077:R4077)</f>
        <v>0</v>
      </c>
      <c r="V4077" s="169" t="str">
        <f t="shared" si="274"/>
        <v>NITRO CP</v>
      </c>
      <c r="W4077" s="169" t="s">
        <v>8896</v>
      </c>
    </row>
    <row r="4078" spans="2:23" x14ac:dyDescent="0.25">
      <c r="B4078" s="169" t="s">
        <v>12320</v>
      </c>
      <c r="C4078" s="169" t="s">
        <v>38</v>
      </c>
      <c r="D4078" s="169" t="s">
        <v>174</v>
      </c>
      <c r="E4078" s="169" t="s">
        <v>15097</v>
      </c>
      <c r="F4078" s="245" t="str">
        <f>IF(OR(E4078="XCN",E4078="DE",E4078="DW",E4078="DN",E4078="XCS",E4078="XCE",E4078="XCW",E4078="SUMP",E4078="BYPASS",E4078="CHAMBER",E4078="DRAIN HOLE",E4078="DRILLING CHAMBER",E4078="DE_ISL",E4078="DW_ISL",E4078="REHAB",E4078="DE_ISL",E4078="DE_ISL_B",E4078="DW_ISL_B",E4078="DW_ISL_A",E4078="DE_ISL_A"),"Dhoz 71",IF(OR(E4078="RAISE",E4078="RAISE_ISL"),"DVR 72",IF(E4078="ALIMAK","DVA 73",IF(E4078="WINZE","DVW 74",IF(E4078="SHAFT","DVS 75",IF(AND(E4078="WINZE STOPE",T4078="S"),"RobC 80",IF(AND(E4078="STOPE",T4078="S"),"StpS 77",IF(AND(E4078="WINZE STOPE",T4078="L"),"RobC 80",IF(AND(E4078="STOPE",T4078="L"),"StpL 78",IF(AND(E4078="WINZE STOPE PREP",T4078="S"),"RobC 80",IF(AND(E4078="STOPE PREP",T4078="S"),"StpS 77",IF(AND(E4078="WINZE STOPE PREP",T4078="L"),"RobC 80",IF(AND(E4078="STOPE PREP",T4078="L"),"StpL 78",IF(AND(E4078="ROBBING",T4078="L"),"RobC 80",IF(AND(E4078="ROBBING",T4078="S"),"RobS 79",0)))))))))))))))</f>
        <v>Dhoz 71</v>
      </c>
      <c r="G4078" s="169" t="s">
        <v>15079</v>
      </c>
      <c r="I4078" s="169" t="str">
        <f t="shared" si="257"/>
        <v>L425_GHV_052E_DW_ISL_B</v>
      </c>
      <c r="J4078" s="169" t="s">
        <v>15201</v>
      </c>
      <c r="K4078" s="169">
        <f>IFERROR(MATCH(J4078,'Final List'!$B$4:$B$252,0),0)</f>
        <v>0</v>
      </c>
      <c r="L4078" s="169">
        <f>IFERROR(MATCH(J4078,'Final List'!$D$4:$D$252,0),0)</f>
        <v>0</v>
      </c>
      <c r="M4078" s="169">
        <f>IFERROR(MATCH(J4078,'Final List'!$F$4:$F$251,0),0)</f>
        <v>0</v>
      </c>
      <c r="N4078" s="169">
        <f>IFERROR(MATCH(J4078,'Final List'!$H$4:$H$252,0),0)</f>
        <v>0</v>
      </c>
      <c r="O4078" s="169">
        <f>IFERROR(MATCH(J4078,'Final List'!$J$4:$J$252,0),0)</f>
        <v>0</v>
      </c>
      <c r="P4078" s="169">
        <f>IFERROR(MATCH(J4078,'Final List'!$L$4:$L$252,0),0)</f>
        <v>0</v>
      </c>
      <c r="Q4078" s="169">
        <f>IFERROR(MATCH(J4078,'Final List'!$N$4:$N$252,0),0)</f>
        <v>0</v>
      </c>
      <c r="R4078" s="169">
        <f>IFERROR(MATCH(J4078,'Final List'!$P$4:$P$252,0),0)</f>
        <v>0</v>
      </c>
      <c r="S4078" s="169">
        <f t="shared" ref="S4078" si="295">SUM(K4078:R4078)</f>
        <v>0</v>
      </c>
      <c r="V4078" s="169" t="str">
        <f t="shared" si="274"/>
        <v>NITRO CP</v>
      </c>
      <c r="W4078" s="169" t="s">
        <v>8896</v>
      </c>
    </row>
    <row r="4079" spans="2:23" x14ac:dyDescent="0.25">
      <c r="B4079" s="169" t="s">
        <v>12320</v>
      </c>
      <c r="C4079" s="169" t="s">
        <v>39</v>
      </c>
      <c r="D4079" s="169" t="s">
        <v>143</v>
      </c>
      <c r="E4079" s="169" t="s">
        <v>60</v>
      </c>
      <c r="F4079" s="245" t="str">
        <f t="shared" si="255"/>
        <v>Dhoz 71</v>
      </c>
      <c r="G4079" s="169" t="s">
        <v>1376</v>
      </c>
      <c r="I4079" s="169" t="str">
        <f t="shared" si="257"/>
        <v>L425_JVHW_032E_DE</v>
      </c>
      <c r="J4079" s="169" t="s">
        <v>15202</v>
      </c>
      <c r="K4079" s="169">
        <f>IFERROR(MATCH(J4079,'Final List'!$B$4:$B$252,0),0)</f>
        <v>0</v>
      </c>
      <c r="L4079" s="169">
        <f>IFERROR(MATCH(J4079,'Final List'!$D$4:$D$252,0),0)</f>
        <v>0</v>
      </c>
      <c r="M4079" s="169">
        <f>IFERROR(MATCH(J4079,'Final List'!$F$4:$F$251,0),0)</f>
        <v>0</v>
      </c>
      <c r="N4079" s="169">
        <f>IFERROR(MATCH(J4079,'Final List'!$H$4:$H$252,0),0)</f>
        <v>191</v>
      </c>
      <c r="O4079" s="169">
        <f>IFERROR(MATCH(J4079,'Final List'!$J$4:$J$252,0),0)</f>
        <v>0</v>
      </c>
      <c r="P4079" s="169">
        <f>IFERROR(MATCH(J4079,'Final List'!$L$4:$L$252,0),0)</f>
        <v>0</v>
      </c>
      <c r="Q4079" s="169">
        <f>IFERROR(MATCH(J4079,'Final List'!$N$4:$N$252,0),0)</f>
        <v>0</v>
      </c>
      <c r="R4079" s="169">
        <f>IFERROR(MATCH(J4079,'Final List'!$P$4:$P$252,0),0)</f>
        <v>0</v>
      </c>
      <c r="S4079" s="169">
        <f t="shared" ref="S4079" si="296">SUM(K4079:R4079)</f>
        <v>191</v>
      </c>
      <c r="V4079" s="169" t="str">
        <f t="shared" si="274"/>
        <v>LERIO</v>
      </c>
      <c r="W4079" s="169" t="s">
        <v>8896</v>
      </c>
    </row>
    <row r="4080" spans="2:23" x14ac:dyDescent="0.25">
      <c r="B4080" s="169" t="s">
        <v>12320</v>
      </c>
      <c r="C4080" s="169" t="s">
        <v>38</v>
      </c>
      <c r="D4080" s="169" t="s">
        <v>175</v>
      </c>
      <c r="E4080" s="169" t="s">
        <v>19</v>
      </c>
      <c r="F4080" s="245" t="str">
        <f t="shared" si="255"/>
        <v>DVR 72</v>
      </c>
      <c r="G4080" s="169" t="s">
        <v>747</v>
      </c>
      <c r="H4080" s="169" t="s">
        <v>7984</v>
      </c>
      <c r="I4080" s="169" t="str">
        <f t="shared" si="257"/>
        <v>L425_GHV_060E_RAISE</v>
      </c>
      <c r="J4080" s="169" t="s">
        <v>15204</v>
      </c>
      <c r="K4080" s="169">
        <f>IFERROR(MATCH(J4080,'Final List'!$B$4:$B$252,0),0)</f>
        <v>0</v>
      </c>
      <c r="L4080" s="169">
        <f>IFERROR(MATCH(J4080,'Final List'!$D$4:$D$252,0),0)</f>
        <v>0</v>
      </c>
      <c r="M4080" s="169">
        <f>IFERROR(MATCH(J4080,'Final List'!$F$4:$F$251,0),0)</f>
        <v>0</v>
      </c>
      <c r="N4080" s="169">
        <f>IFERROR(MATCH(J4080,'Final List'!$H$4:$H$252,0),0)</f>
        <v>0</v>
      </c>
      <c r="O4080" s="169">
        <f>IFERROR(MATCH(J4080,'Final List'!$J$4:$J$252,0),0)</f>
        <v>194</v>
      </c>
      <c r="P4080" s="169">
        <f>IFERROR(MATCH(J4080,'Final List'!$L$4:$L$252,0),0)</f>
        <v>0</v>
      </c>
      <c r="Q4080" s="169">
        <f>IFERROR(MATCH(J4080,'Final List'!$N$4:$N$252,0),0)</f>
        <v>0</v>
      </c>
      <c r="R4080" s="169">
        <f>IFERROR(MATCH(J4080,'Final List'!$P$4:$P$252,0),0)</f>
        <v>0</v>
      </c>
      <c r="S4080" s="169">
        <f t="shared" ref="S4080" si="297">SUM(K4080:R4080)</f>
        <v>194</v>
      </c>
      <c r="V4080" s="169" t="str">
        <f t="shared" si="274"/>
        <v>OLIVEROS</v>
      </c>
      <c r="W4080" s="169" t="s">
        <v>2715</v>
      </c>
    </row>
    <row r="4081" spans="2:23" x14ac:dyDescent="0.25">
      <c r="B4081" s="169" t="s">
        <v>95</v>
      </c>
      <c r="C4081" s="169" t="s">
        <v>45</v>
      </c>
      <c r="D4081" s="169" t="s">
        <v>135</v>
      </c>
      <c r="E4081" s="169" t="s">
        <v>15183</v>
      </c>
      <c r="F4081" s="245" t="str">
        <f>IF(OR(E4081="XCN",E4081="DE",E4081="DW",E4081="DN",E4081="XCS",E4081="XCE",E4081="XCW",E4081="SUMP",E4081="BYPASS",E4081="CHAMBER",E4081="DRAIN HOLE",E4081="DRILLING CHAMBER",E4081="DE_ISL",E4081="DW_ISL",E4081="REHAB",E4081="DE_ISL",E4081="DE_ISL_B",E4081="DW_ISL_B",E4081="DW_ISL_A",E4081="DE_ISL_A"),"Dhoz 71",IF(OR(E4081="RAISE",E4081="RAISE_ISL"),"DVR 72",IF(E4081="ALIMAK","DVA 73",IF(E4081="WINZE","DVW 74",IF(E4081="SHAFT","DVS 75",IF(AND(E4081="WINZE STOPE",T4081="S"),"RobC 80",IF(AND(E4081="STOPE",T4081="S"),"StpS 77",IF(AND(E4081="WINZE STOPE",T4081="L"),"RobC 80",IF(AND(E4081="STOPE",T4081="L"),"StpL 78",IF(AND(E4081="WINZE STOPE PREP",T4081="S"),"RobC 80",IF(AND(E4081="STOPE PREP",T4081="S"),"StpS 77",IF(AND(E4081="WINZE STOPE PREP",T4081="L"),"RobC 80",IF(AND(E4081="STOPE PREP",T4081="L"),"StpL 78",IF(AND(E4081="ROBBING",T4081="L"),"RobC 80",IF(AND(E4081="ROBBING",T4081="S"),"RobS 79",0)))))))))))))))</f>
        <v>Dhoz 71</v>
      </c>
      <c r="G4081" s="169" t="s">
        <v>6216</v>
      </c>
      <c r="I4081" s="169" t="str">
        <f t="shared" si="257"/>
        <v>L08_DPVE_034E_DW_ISL_A</v>
      </c>
      <c r="J4081" s="169" t="s">
        <v>15206</v>
      </c>
      <c r="K4081" s="169">
        <f>IFERROR(MATCH(J4081,'Final List'!$B$4:$B$252,0),0)</f>
        <v>0</v>
      </c>
      <c r="L4081" s="169">
        <f>IFERROR(MATCH(J4081,'Final List'!$D$4:$D$252,0),0)</f>
        <v>0</v>
      </c>
      <c r="M4081" s="169">
        <f>IFERROR(MATCH(J4081,'Final List'!$F$4:$F$251,0),0)</f>
        <v>0</v>
      </c>
      <c r="N4081" s="169">
        <f>IFERROR(MATCH(J4081,'Final List'!$H$4:$H$252,0),0)</f>
        <v>0</v>
      </c>
      <c r="O4081" s="169">
        <f>IFERROR(MATCH(J4081,'Final List'!$J$4:$J$252,0),0)</f>
        <v>0</v>
      </c>
      <c r="P4081" s="169">
        <f>IFERROR(MATCH(J4081,'Final List'!$L$4:$L$252,0),0)</f>
        <v>0</v>
      </c>
      <c r="Q4081" s="169">
        <f>IFERROR(MATCH(J4081,'Final List'!$N$4:$N$252,0),0)</f>
        <v>0</v>
      </c>
      <c r="R4081" s="169">
        <f>IFERROR(MATCH(J4081,'Final List'!$P$4:$P$252,0),0)</f>
        <v>0</v>
      </c>
      <c r="S4081" s="169">
        <f t="shared" ref="S4081" si="298">SUM(K4081:R4081)</f>
        <v>0</v>
      </c>
      <c r="V4081" s="169" t="str">
        <f t="shared" si="274"/>
        <v>FERNANDEZ</v>
      </c>
      <c r="W4081" s="169" t="s">
        <v>8895</v>
      </c>
    </row>
    <row r="4082" spans="2:23" x14ac:dyDescent="0.25">
      <c r="B4082" s="169" t="s">
        <v>96</v>
      </c>
      <c r="C4082" s="169" t="s">
        <v>38</v>
      </c>
      <c r="D4082" s="169" t="s">
        <v>5723</v>
      </c>
      <c r="E4082" s="169" t="s">
        <v>19</v>
      </c>
      <c r="F4082" s="245" t="str">
        <f t="shared" si="255"/>
        <v>DVR 72</v>
      </c>
      <c r="G4082" s="169" t="s">
        <v>349</v>
      </c>
      <c r="I4082" s="169" t="str">
        <f t="shared" si="257"/>
        <v>L09_GHV_046E_RAISE</v>
      </c>
      <c r="J4082" s="169" t="s">
        <v>1291</v>
      </c>
      <c r="K4082" s="169">
        <f>IFERROR(MATCH(J4082,'Final List'!$B$4:$B$252,0),0)</f>
        <v>0</v>
      </c>
      <c r="L4082" s="169">
        <f>IFERROR(MATCH(J4082,'Final List'!$D$4:$D$252,0),0)</f>
        <v>0</v>
      </c>
      <c r="M4082" s="169">
        <f>IFERROR(MATCH(J4082,'Final List'!$F$4:$F$251,0),0)</f>
        <v>0</v>
      </c>
      <c r="N4082" s="169">
        <f>IFERROR(MATCH(J4082,'Final List'!$H$4:$H$252,0),0)</f>
        <v>0</v>
      </c>
      <c r="O4082" s="169">
        <f>IFERROR(MATCH(J4082,'Final List'!$J$4:$J$252,0),0)</f>
        <v>0</v>
      </c>
      <c r="P4082" s="169">
        <f>IFERROR(MATCH(J4082,'Final List'!$L$4:$L$252,0),0)</f>
        <v>0</v>
      </c>
      <c r="Q4082" s="169">
        <f>IFERROR(MATCH(J4082,'Final List'!$N$4:$N$252,0),0)</f>
        <v>0</v>
      </c>
      <c r="R4082" s="169">
        <f>IFERROR(MATCH(J4082,'Final List'!$P$4:$P$252,0),0)</f>
        <v>0</v>
      </c>
      <c r="S4082" s="169">
        <f t="shared" ref="S4082" si="299">SUM(K4082:R4082)</f>
        <v>0</v>
      </c>
      <c r="V4082" s="169" t="str">
        <f t="shared" si="274"/>
        <v>QUIJANO 2</v>
      </c>
      <c r="W4082" s="169" t="s">
        <v>2715</v>
      </c>
    </row>
    <row r="4083" spans="2:23" x14ac:dyDescent="0.25">
      <c r="B4083" s="169" t="s">
        <v>96</v>
      </c>
      <c r="C4083" s="169" t="s">
        <v>38</v>
      </c>
      <c r="D4083" s="169" t="s">
        <v>5601</v>
      </c>
      <c r="E4083" s="169" t="s">
        <v>15310</v>
      </c>
      <c r="F4083" s="245" t="str">
        <f>IF(OR(E4083="XCN",E4083="DE",E4083="DW",E4083="DN",E4083="XCS",E4083="XCE",E4083="XCW",E4083="SUMP",E4083="BYPASS",E4083="CHAMBER",E4083="DRAIN HOLE",E4083="DRILLING CHAMBER",E4083="DE_ISL",E4083="DW_ISL",E4083="REHAB",E4083="DE_ISL",E4083="DE_ISL_B",E4083="DW_ISL_B",E4083="DW_ISL_A",E4083="DE_ISL_A"),"Dhoz 71",IF(OR(E4083="RAISE",E4083="RAISE_ISL"),"DVR 72",IF(E4083="ALIMAK","DVA 73",IF(E4083="WINZE","DVW 74",IF(E4083="SHAFT","DVS 75",IF(AND(E4083="WINZE STOPE",T4083="S"),"RobC 80",IF(AND(E4083="STOPE",T4083="S"),"StpS 77",IF(AND(E4083="WINZE STOPE",T4083="L"),"RobC 80",IF(AND(E4083="STOPE",T4083="L"),"StpL 78",IF(AND(E4083="WINZE STOPE PREP",T4083="S"),"RobC 80",IF(AND(E4083="STOPE PREP",T4083="S"),"StpS 77",IF(AND(E4083="WINZE STOPE PREP",T4083="L"),"RobC 80",IF(AND(E4083="STOPE PREP",T4083="L"),"StpL 78",IF(AND(E4083="ROBBING",T4083="L"),"RobC 80",IF(AND(E4083="ROBBING",T4083="S"),"RobS 79",0)))))))))))))))</f>
        <v>Dhoz 71</v>
      </c>
      <c r="G4083" s="169" t="s">
        <v>6216</v>
      </c>
      <c r="I4083" s="169" t="str">
        <f t="shared" si="257"/>
        <v>L09_GHV_026E_DE_ISL_A</v>
      </c>
      <c r="J4083" s="169" t="s">
        <v>15328</v>
      </c>
      <c r="K4083" s="169">
        <f>IFERROR(MATCH(J4083,'Final List'!$B$4:$B$252,0),0)</f>
        <v>0</v>
      </c>
      <c r="L4083" s="169">
        <f>IFERROR(MATCH(J4083,'Final List'!$D$4:$D$252,0),0)</f>
        <v>0</v>
      </c>
      <c r="M4083" s="169">
        <f>IFERROR(MATCH(J4083,'Final List'!$F$4:$F$251,0),0)</f>
        <v>0</v>
      </c>
      <c r="N4083" s="169">
        <f>IFERROR(MATCH(J4083,'Final List'!$H$4:$H$252,0),0)</f>
        <v>108</v>
      </c>
      <c r="O4083" s="169">
        <f>IFERROR(MATCH(J4083,'Final List'!$J$4:$J$252,0),0)</f>
        <v>0</v>
      </c>
      <c r="P4083" s="169">
        <f>IFERROR(MATCH(J4083,'Final List'!$L$4:$L$252,0),0)</f>
        <v>0</v>
      </c>
      <c r="Q4083" s="169">
        <f>IFERROR(MATCH(J4083,'Final List'!$N$4:$N$252,0),0)</f>
        <v>0</v>
      </c>
      <c r="R4083" s="169">
        <f>IFERROR(MATCH(J4083,'Final List'!$P$4:$P$252,0),0)</f>
        <v>0</v>
      </c>
      <c r="S4083" s="169">
        <f t="shared" ref="S4083" si="300">SUM(K4083:R4083)</f>
        <v>108</v>
      </c>
      <c r="V4083" s="169" t="str">
        <f t="shared" si="274"/>
        <v>FERNANDEZ</v>
      </c>
      <c r="W4083" s="169" t="s">
        <v>8896</v>
      </c>
    </row>
    <row r="4084" spans="2:23" x14ac:dyDescent="0.25">
      <c r="B4084" s="169" t="s">
        <v>96</v>
      </c>
      <c r="C4084" s="169" t="s">
        <v>38</v>
      </c>
      <c r="D4084" s="169" t="s">
        <v>110</v>
      </c>
      <c r="E4084" s="169" t="s">
        <v>211</v>
      </c>
      <c r="F4084" s="245" t="str">
        <f t="shared" si="255"/>
        <v>StpS 77</v>
      </c>
      <c r="G4084" s="169" t="s">
        <v>6216</v>
      </c>
      <c r="I4084" s="169" t="str">
        <f t="shared" si="257"/>
        <v>L09_GHV_004E_STOPE PREP</v>
      </c>
      <c r="J4084" s="169" t="s">
        <v>15215</v>
      </c>
      <c r="K4084" s="169">
        <f>IFERROR(MATCH(J4084,'Final List'!$B$4:$B$252,0),0)</f>
        <v>0</v>
      </c>
      <c r="L4084" s="169">
        <f>IFERROR(MATCH(J4084,'Final List'!$D$4:$D$252,0),0)</f>
        <v>0</v>
      </c>
      <c r="M4084" s="169">
        <f>IFERROR(MATCH(J4084,'Final List'!$F$4:$F$251,0),0)</f>
        <v>0</v>
      </c>
      <c r="N4084" s="169">
        <f>IFERROR(MATCH(J4084,'Final List'!$H$4:$H$252,0),0)</f>
        <v>0</v>
      </c>
      <c r="O4084" s="169">
        <f>IFERROR(MATCH(J4084,'Final List'!$J$4:$J$252,0),0)</f>
        <v>0</v>
      </c>
      <c r="P4084" s="169">
        <f>IFERROR(MATCH(J4084,'Final List'!$L$4:$L$252,0),0)</f>
        <v>0</v>
      </c>
      <c r="Q4084" s="169">
        <f>IFERROR(MATCH(J4084,'Final List'!$N$4:$N$252,0),0)</f>
        <v>0</v>
      </c>
      <c r="R4084" s="169">
        <f>IFERROR(MATCH(J4084,'Final List'!$P$4:$P$252,0),0)</f>
        <v>0</v>
      </c>
      <c r="S4084" s="169">
        <f t="shared" ref="S4084" si="301">SUM(K4084:R4084)</f>
        <v>0</v>
      </c>
      <c r="T4084" s="169" t="s">
        <v>68</v>
      </c>
      <c r="V4084" s="169" t="str">
        <f t="shared" si="274"/>
        <v>FERNANDEZ</v>
      </c>
      <c r="W4084" s="169" t="s">
        <v>2712</v>
      </c>
    </row>
    <row r="4085" spans="2:23" x14ac:dyDescent="0.25">
      <c r="B4085" s="169" t="s">
        <v>258</v>
      </c>
      <c r="C4085" s="169" t="s">
        <v>42</v>
      </c>
      <c r="D4085" s="169" t="s">
        <v>99</v>
      </c>
      <c r="E4085" s="169" t="s">
        <v>211</v>
      </c>
      <c r="F4085" s="245" t="str">
        <f t="shared" si="255"/>
        <v>StpL 78</v>
      </c>
      <c r="G4085" s="169" t="s">
        <v>5701</v>
      </c>
      <c r="I4085" s="169" t="str">
        <f t="shared" si="257"/>
        <v>L10_JV_028W_STOPE PREP</v>
      </c>
      <c r="J4085" s="169" t="s">
        <v>15217</v>
      </c>
      <c r="K4085" s="169">
        <f>IFERROR(MATCH(J4085,'Final List'!$B$4:$B$252,0),0)</f>
        <v>0</v>
      </c>
      <c r="L4085" s="169">
        <f>IFERROR(MATCH(J4085,'Final List'!$D$4:$D$252,0),0)</f>
        <v>0</v>
      </c>
      <c r="M4085" s="169">
        <f>IFERROR(MATCH(J4085,'Final List'!$F$4:$F$251,0),0)</f>
        <v>0</v>
      </c>
      <c r="N4085" s="169">
        <f>IFERROR(MATCH(J4085,'Final List'!$H$4:$H$252,0),0)</f>
        <v>0</v>
      </c>
      <c r="O4085" s="169">
        <f>IFERROR(MATCH(J4085,'Final List'!$J$4:$J$252,0),0)</f>
        <v>0</v>
      </c>
      <c r="P4085" s="169">
        <f>IFERROR(MATCH(J4085,'Final List'!$L$4:$L$252,0),0)</f>
        <v>0</v>
      </c>
      <c r="Q4085" s="169">
        <f>IFERROR(MATCH(J4085,'Final List'!$N$4:$N$252,0),0)</f>
        <v>0</v>
      </c>
      <c r="R4085" s="169">
        <f>IFERROR(MATCH(J4085,'Final List'!$P$4:$P$252,0),0)</f>
        <v>0</v>
      </c>
      <c r="S4085" s="169">
        <f t="shared" ref="S4085" si="302">SUM(K4085:R4085)</f>
        <v>0</v>
      </c>
      <c r="T4085" s="169" t="s">
        <v>48</v>
      </c>
      <c r="V4085" s="169" t="str">
        <f t="shared" si="274"/>
        <v>LARGO 2</v>
      </c>
      <c r="W4085" s="169" t="s">
        <v>2712</v>
      </c>
    </row>
    <row r="4086" spans="2:23" x14ac:dyDescent="0.25">
      <c r="B4086" s="169" t="s">
        <v>1166</v>
      </c>
      <c r="C4086" s="169" t="s">
        <v>45</v>
      </c>
      <c r="D4086" s="169" t="s">
        <v>108</v>
      </c>
      <c r="E4086" s="169" t="s">
        <v>60</v>
      </c>
      <c r="F4086" s="245" t="str">
        <f t="shared" si="255"/>
        <v>Dhoz 71</v>
      </c>
      <c r="G4086" s="169" t="s">
        <v>15219</v>
      </c>
      <c r="I4086" s="169" t="str">
        <f t="shared" si="257"/>
        <v>L11_DPVE_007W_DE</v>
      </c>
      <c r="J4086" s="169" t="s">
        <v>15218</v>
      </c>
      <c r="K4086" s="169">
        <f>IFERROR(MATCH(J4086,'Final List'!$B$4:$B$252,0),0)</f>
        <v>0</v>
      </c>
      <c r="L4086" s="169">
        <f>IFERROR(MATCH(J4086,'Final List'!$D$4:$D$252,0),0)</f>
        <v>0</v>
      </c>
      <c r="M4086" s="169">
        <f>IFERROR(MATCH(J4086,'Final List'!$F$4:$F$251,0),0)</f>
        <v>0</v>
      </c>
      <c r="N4086" s="169">
        <f>IFERROR(MATCH(J4086,'Final List'!$H$4:$H$252,0),0)</f>
        <v>156</v>
      </c>
      <c r="O4086" s="169">
        <f>IFERROR(MATCH(J4086,'Final List'!$J$4:$J$252,0),0)</f>
        <v>0</v>
      </c>
      <c r="P4086" s="169">
        <f>IFERROR(MATCH(J4086,'Final List'!$L$4:$L$252,0),0)</f>
        <v>0</v>
      </c>
      <c r="Q4086" s="169">
        <f>IFERROR(MATCH(J4086,'Final List'!$N$4:$N$252,0),0)</f>
        <v>0</v>
      </c>
      <c r="R4086" s="169">
        <f>IFERROR(MATCH(J4086,'Final List'!$P$4:$P$252,0),0)</f>
        <v>0</v>
      </c>
      <c r="S4086" s="169">
        <f t="shared" ref="S4086" si="303">SUM(K4086:R4086)</f>
        <v>156</v>
      </c>
      <c r="V4086" s="169" t="str">
        <f t="shared" si="274"/>
        <v>NITRO BB3</v>
      </c>
      <c r="W4086" s="169" t="s">
        <v>8896</v>
      </c>
    </row>
    <row r="4087" spans="2:23" x14ac:dyDescent="0.25">
      <c r="B4087" s="169" t="s">
        <v>1166</v>
      </c>
      <c r="C4087" s="169" t="s">
        <v>45</v>
      </c>
      <c r="D4087" s="169" t="s">
        <v>5742</v>
      </c>
      <c r="E4087" s="169" t="s">
        <v>441</v>
      </c>
      <c r="F4087" s="245" t="str">
        <f t="shared" si="255"/>
        <v>RobC 80</v>
      </c>
      <c r="G4087" s="169" t="s">
        <v>340</v>
      </c>
      <c r="I4087" s="169" t="str">
        <f t="shared" si="257"/>
        <v>L11_DPVE_040E_WINZE STOPE PREP</v>
      </c>
      <c r="J4087" s="169" t="s">
        <v>15223</v>
      </c>
      <c r="K4087" s="169">
        <f>IFERROR(MATCH(J4087,'Final List'!$B$4:$B$252,0),0)</f>
        <v>0</v>
      </c>
      <c r="L4087" s="169">
        <f>IFERROR(MATCH(J4087,'Final List'!$D$4:$D$252,0),0)</f>
        <v>0</v>
      </c>
      <c r="M4087" s="169">
        <f>IFERROR(MATCH(J4087,'Final List'!$F$4:$F$251,0),0)</f>
        <v>0</v>
      </c>
      <c r="N4087" s="169">
        <f>IFERROR(MATCH(J4087,'Final List'!$H$4:$H$252,0),0)</f>
        <v>0</v>
      </c>
      <c r="O4087" s="169">
        <f>IFERROR(MATCH(J4087,'Final List'!$J$4:$J$252,0),0)</f>
        <v>0</v>
      </c>
      <c r="P4087" s="169">
        <f>IFERROR(MATCH(J4087,'Final List'!$L$4:$L$252,0),0)</f>
        <v>0</v>
      </c>
      <c r="Q4087" s="169">
        <f>IFERROR(MATCH(J4087,'Final List'!$N$4:$N$252,0),0)</f>
        <v>0</v>
      </c>
      <c r="R4087" s="169">
        <f>IFERROR(MATCH(J4087,'Final List'!$P$4:$P$252,0),0)</f>
        <v>0</v>
      </c>
      <c r="S4087" s="169">
        <f t="shared" ref="S4087" si="304">SUM(K4087:R4087)</f>
        <v>0</v>
      </c>
      <c r="T4087" s="169" t="s">
        <v>48</v>
      </c>
      <c r="V4087" s="169" t="str">
        <f t="shared" si="274"/>
        <v>COMAINGKING</v>
      </c>
      <c r="W4087" s="169" t="s">
        <v>2716</v>
      </c>
    </row>
    <row r="4088" spans="2:23" x14ac:dyDescent="0.25">
      <c r="B4088" s="169" t="s">
        <v>12320</v>
      </c>
      <c r="C4088" s="169" t="s">
        <v>43</v>
      </c>
      <c r="D4088" s="169" t="s">
        <v>6387</v>
      </c>
      <c r="E4088" s="169" t="s">
        <v>60</v>
      </c>
      <c r="F4088" s="245" t="str">
        <f t="shared" si="255"/>
        <v>Dhoz 71</v>
      </c>
      <c r="G4088" s="169" t="s">
        <v>747</v>
      </c>
      <c r="H4088" s="169" t="s">
        <v>15078</v>
      </c>
      <c r="I4088" s="169" t="str">
        <f t="shared" si="257"/>
        <v>L425_GHVSPLIT_079E_DE</v>
      </c>
      <c r="J4088" s="169" t="s">
        <v>15224</v>
      </c>
      <c r="K4088" s="169">
        <f>IFERROR(MATCH(J4088,'Final List'!$B$4:$B$252,0),0)</f>
        <v>0</v>
      </c>
      <c r="L4088" s="169">
        <f>IFERROR(MATCH(J4088,'Final List'!$D$4:$D$252,0),0)</f>
        <v>0</v>
      </c>
      <c r="M4088" s="169">
        <f>IFERROR(MATCH(J4088,'Final List'!$F$4:$F$251,0),0)</f>
        <v>0</v>
      </c>
      <c r="N4088" s="169">
        <f>IFERROR(MATCH(J4088,'Final List'!$H$4:$H$252,0),0)</f>
        <v>194</v>
      </c>
      <c r="O4088" s="169">
        <f>IFERROR(MATCH(J4088,'Final List'!$J$4:$J$252,0),0)</f>
        <v>0</v>
      </c>
      <c r="P4088" s="169">
        <f>IFERROR(MATCH(J4088,'Final List'!$L$4:$L$252,0),0)</f>
        <v>0</v>
      </c>
      <c r="Q4088" s="169">
        <f>IFERROR(MATCH(J4088,'Final List'!$N$4:$N$252,0),0)</f>
        <v>0</v>
      </c>
      <c r="R4088" s="169">
        <f>IFERROR(MATCH(J4088,'Final List'!$P$4:$P$252,0),0)</f>
        <v>0</v>
      </c>
      <c r="S4088" s="169">
        <f t="shared" ref="S4088" si="305">SUM(K4088:R4088)</f>
        <v>194</v>
      </c>
      <c r="V4088" s="169" t="str">
        <f t="shared" si="274"/>
        <v>NITRO CO</v>
      </c>
      <c r="W4088" s="169" t="s">
        <v>8896</v>
      </c>
    </row>
    <row r="4089" spans="2:23" x14ac:dyDescent="0.25">
      <c r="B4089" s="169" t="s">
        <v>95</v>
      </c>
      <c r="C4089" s="169" t="s">
        <v>42</v>
      </c>
      <c r="D4089" s="169" t="s">
        <v>149</v>
      </c>
      <c r="E4089" s="169" t="s">
        <v>36</v>
      </c>
      <c r="F4089" s="245" t="str">
        <f t="shared" si="255"/>
        <v>StpS 77</v>
      </c>
      <c r="G4089" s="169" t="s">
        <v>8045</v>
      </c>
      <c r="I4089" s="169" t="str">
        <f t="shared" si="257"/>
        <v>L08_JV_021E_STOPE</v>
      </c>
      <c r="J4089" s="169" t="s">
        <v>15226</v>
      </c>
      <c r="K4089" s="169">
        <f>IFERROR(MATCH(J4089,'Final List'!$B$4:$B$252,0),0)</f>
        <v>0</v>
      </c>
      <c r="L4089" s="169">
        <f>IFERROR(MATCH(J4089,'Final List'!$D$4:$D$252,0),0)</f>
        <v>86</v>
      </c>
      <c r="M4089" s="169">
        <f>IFERROR(MATCH(J4089,'Final List'!$F$4:$F$251,0),0)</f>
        <v>0</v>
      </c>
      <c r="N4089" s="169">
        <f>IFERROR(MATCH(J4089,'Final List'!$H$4:$H$252,0),0)</f>
        <v>0</v>
      </c>
      <c r="O4089" s="169">
        <f>IFERROR(MATCH(J4089,'Final List'!$J$4:$J$252,0),0)</f>
        <v>0</v>
      </c>
      <c r="P4089" s="169">
        <f>IFERROR(MATCH(J4089,'Final List'!$L$4:$L$252,0),0)</f>
        <v>0</v>
      </c>
      <c r="Q4089" s="169">
        <f>IFERROR(MATCH(J4089,'Final List'!$N$4:$N$252,0),0)</f>
        <v>0</v>
      </c>
      <c r="R4089" s="169">
        <f>IFERROR(MATCH(J4089,'Final List'!$P$4:$P$252,0),0)</f>
        <v>0</v>
      </c>
      <c r="S4089" s="169">
        <f t="shared" ref="S4089" si="306">SUM(K4089:R4089)</f>
        <v>86</v>
      </c>
      <c r="T4089" s="169" t="s">
        <v>68</v>
      </c>
      <c r="V4089" s="169" t="str">
        <f t="shared" si="274"/>
        <v>CAPUYAN</v>
      </c>
      <c r="W4089" s="169" t="s">
        <v>2711</v>
      </c>
    </row>
    <row r="4090" spans="2:23" x14ac:dyDescent="0.25">
      <c r="B4090" s="169" t="s">
        <v>12320</v>
      </c>
      <c r="C4090" s="169" t="s">
        <v>42</v>
      </c>
      <c r="D4090" s="169" t="s">
        <v>123</v>
      </c>
      <c r="E4090" s="169" t="s">
        <v>211</v>
      </c>
      <c r="F4090" s="245" t="str">
        <f t="shared" si="255"/>
        <v>StpL 78</v>
      </c>
      <c r="G4090" s="169" t="s">
        <v>7984</v>
      </c>
      <c r="I4090" s="169" t="str">
        <f t="shared" si="257"/>
        <v>L425_JV_031E_STOPE PREP</v>
      </c>
      <c r="J4090" s="169" t="s">
        <v>15228</v>
      </c>
      <c r="K4090" s="169">
        <f>IFERROR(MATCH(J4090,'Final List'!$B$4:$B$252,0),0)</f>
        <v>0</v>
      </c>
      <c r="L4090" s="169">
        <f>IFERROR(MATCH(J4090,'Final List'!$D$4:$D$252,0),0)</f>
        <v>0</v>
      </c>
      <c r="M4090" s="169">
        <f>IFERROR(MATCH(J4090,'Final List'!$F$4:$F$251,0),0)</f>
        <v>0</v>
      </c>
      <c r="N4090" s="169">
        <f>IFERROR(MATCH(J4090,'Final List'!$H$4:$H$252,0),0)</f>
        <v>0</v>
      </c>
      <c r="O4090" s="169">
        <f>IFERROR(MATCH(J4090,'Final List'!$J$4:$J$252,0),0)</f>
        <v>0</v>
      </c>
      <c r="P4090" s="169">
        <f>IFERROR(MATCH(J4090,'Final List'!$L$4:$L$252,0),0)</f>
        <v>0</v>
      </c>
      <c r="Q4090" s="169">
        <f>IFERROR(MATCH(J4090,'Final List'!$N$4:$N$252,0),0)</f>
        <v>0</v>
      </c>
      <c r="R4090" s="169">
        <f>IFERROR(MATCH(J4090,'Final List'!$P$4:$P$252,0),0)</f>
        <v>0</v>
      </c>
      <c r="S4090" s="169">
        <f t="shared" ref="S4090" si="307">SUM(K4090:R4090)</f>
        <v>0</v>
      </c>
      <c r="T4090" s="169" t="s">
        <v>48</v>
      </c>
      <c r="V4090" s="169" t="str">
        <f t="shared" si="274"/>
        <v>OLIVEROS</v>
      </c>
      <c r="W4090" s="169" t="s">
        <v>2712</v>
      </c>
    </row>
    <row r="4091" spans="2:23" x14ac:dyDescent="0.25">
      <c r="B4091" s="169" t="s">
        <v>96</v>
      </c>
      <c r="C4091" s="169" t="s">
        <v>45</v>
      </c>
      <c r="D4091" s="169" t="s">
        <v>130</v>
      </c>
      <c r="E4091" s="169" t="s">
        <v>221</v>
      </c>
      <c r="F4091" s="245" t="str">
        <f t="shared" si="255"/>
        <v>RobC 80</v>
      </c>
      <c r="G4091" s="169" t="s">
        <v>14450</v>
      </c>
      <c r="I4091" s="169" t="str">
        <f t="shared" si="257"/>
        <v>L09_DPVE_036E_WINZE STOPE</v>
      </c>
      <c r="J4091" s="169" t="s">
        <v>15229</v>
      </c>
      <c r="K4091" s="169">
        <f>IFERROR(MATCH(J4091,'Final List'!$B$4:$B$252,0),0)</f>
        <v>0</v>
      </c>
      <c r="L4091" s="169">
        <f>IFERROR(MATCH(J4091,'Final List'!$D$4:$D$252,0),0)</f>
        <v>108</v>
      </c>
      <c r="M4091" s="169">
        <f>IFERROR(MATCH(J4091,'Final List'!$F$4:$F$251,0),0)</f>
        <v>0</v>
      </c>
      <c r="N4091" s="169">
        <f>IFERROR(MATCH(J4091,'Final List'!$H$4:$H$252,0),0)</f>
        <v>0</v>
      </c>
      <c r="O4091" s="169">
        <f>IFERROR(MATCH(J4091,'Final List'!$J$4:$J$252,0),0)</f>
        <v>0</v>
      </c>
      <c r="P4091" s="169">
        <f>IFERROR(MATCH(J4091,'Final List'!$L$4:$L$252,0),0)</f>
        <v>0</v>
      </c>
      <c r="Q4091" s="169">
        <f>IFERROR(MATCH(J4091,'Final List'!$N$4:$N$252,0),0)</f>
        <v>0</v>
      </c>
      <c r="R4091" s="169">
        <f>IFERROR(MATCH(J4091,'Final List'!$P$4:$P$252,0),0)</f>
        <v>0</v>
      </c>
      <c r="S4091" s="169">
        <f t="shared" ref="S4091" si="308">SUM(K4091:R4091)</f>
        <v>108</v>
      </c>
      <c r="T4091" s="169" t="s">
        <v>68</v>
      </c>
      <c r="V4091" s="169" t="str">
        <f t="shared" si="274"/>
        <v>NITRO CJ</v>
      </c>
      <c r="W4091" s="169" t="s">
        <v>2705</v>
      </c>
    </row>
    <row r="4092" spans="2:23" ht="14.25" customHeight="1" x14ac:dyDescent="0.25">
      <c r="B4092" s="169" t="s">
        <v>1167</v>
      </c>
      <c r="C4092" s="169" t="s">
        <v>45</v>
      </c>
      <c r="D4092" s="169" t="s">
        <v>122</v>
      </c>
      <c r="E4092" s="169" t="s">
        <v>211</v>
      </c>
      <c r="F4092" s="245" t="str">
        <f t="shared" si="255"/>
        <v>StpS 77</v>
      </c>
      <c r="G4092" s="169" t="s">
        <v>14130</v>
      </c>
      <c r="I4092" s="169" t="str">
        <f t="shared" si="257"/>
        <v>L12_DPVE_025E_STOPE PREP</v>
      </c>
      <c r="J4092" s="169" t="s">
        <v>15233</v>
      </c>
      <c r="K4092" s="169">
        <f>IFERROR(MATCH(J4092,'Final List'!$B$4:$B$252,0),0)</f>
        <v>172</v>
      </c>
      <c r="L4092" s="169">
        <f>IFERROR(MATCH(J4092,'Final List'!$D$4:$D$252,0),0)</f>
        <v>0</v>
      </c>
      <c r="M4092" s="169">
        <f>IFERROR(MATCH(J4092,'Final List'!$F$4:$F$251,0),0)</f>
        <v>0</v>
      </c>
      <c r="N4092" s="169">
        <f>IFERROR(MATCH(J4092,'Final List'!$H$4:$H$252,0),0)</f>
        <v>0</v>
      </c>
      <c r="O4092" s="169">
        <f>IFERROR(MATCH(J4092,'Final List'!$J$4:$J$252,0),0)</f>
        <v>0</v>
      </c>
      <c r="P4092" s="169">
        <f>IFERROR(MATCH(J4092,'Final List'!$L$4:$L$252,0),0)</f>
        <v>0</v>
      </c>
      <c r="Q4092" s="169">
        <f>IFERROR(MATCH(J4092,'Final List'!$N$4:$N$252,0),0)</f>
        <v>0</v>
      </c>
      <c r="R4092" s="169">
        <f>IFERROR(MATCH(J4092,'Final List'!$P$4:$P$252,0),0)</f>
        <v>0</v>
      </c>
      <c r="S4092" s="169">
        <f t="shared" ref="S4092" si="309">SUM(K4092:R4092)</f>
        <v>172</v>
      </c>
      <c r="T4092" s="169" t="s">
        <v>68</v>
      </c>
      <c r="V4092" s="169" t="str">
        <f t="shared" si="274"/>
        <v>DURANGO</v>
      </c>
      <c r="W4092" s="169" t="s">
        <v>2712</v>
      </c>
    </row>
    <row r="4093" spans="2:23" x14ac:dyDescent="0.25">
      <c r="B4093" s="169" t="s">
        <v>12320</v>
      </c>
      <c r="C4093" s="169" t="s">
        <v>38</v>
      </c>
      <c r="D4093" s="169" t="s">
        <v>167</v>
      </c>
      <c r="E4093" s="169" t="s">
        <v>211</v>
      </c>
      <c r="F4093" s="245" t="str">
        <f t="shared" si="255"/>
        <v>StpS 77</v>
      </c>
      <c r="G4093" t="s">
        <v>14898</v>
      </c>
      <c r="I4093" s="169" t="str">
        <f t="shared" si="257"/>
        <v>L425_GHV_058E_STOPE PREP</v>
      </c>
      <c r="J4093" s="169" t="s">
        <v>15236</v>
      </c>
      <c r="K4093" s="169">
        <f>IFERROR(MATCH(J4093,'Final List'!$B$4:$B$252,0),0)</f>
        <v>0</v>
      </c>
      <c r="L4093" s="169">
        <f>IFERROR(MATCH(J4093,'Final List'!$D$4:$D$252,0),0)</f>
        <v>0</v>
      </c>
      <c r="M4093" s="169">
        <f>IFERROR(MATCH(J4093,'Final List'!$F$4:$F$251,0),0)</f>
        <v>0</v>
      </c>
      <c r="N4093" s="169">
        <f>IFERROR(MATCH(J4093,'Final List'!$H$4:$H$252,0),0)</f>
        <v>0</v>
      </c>
      <c r="O4093" s="169">
        <f>IFERROR(MATCH(J4093,'Final List'!$J$4:$J$252,0),0)</f>
        <v>0</v>
      </c>
      <c r="P4093" s="169">
        <f>IFERROR(MATCH(J4093,'Final List'!$L$4:$L$252,0),0)</f>
        <v>0</v>
      </c>
      <c r="Q4093" s="169">
        <f>IFERROR(MATCH(J4093,'Final List'!$N$4:$N$252,0),0)</f>
        <v>0</v>
      </c>
      <c r="R4093" s="169">
        <f>IFERROR(MATCH(J4093,'Final List'!$P$4:$P$252,0),0)</f>
        <v>0</v>
      </c>
      <c r="S4093" s="169">
        <f t="shared" ref="S4093" si="310">SUM(K4093:R4093)</f>
        <v>0</v>
      </c>
      <c r="T4093" s="169" t="s">
        <v>68</v>
      </c>
      <c r="V4093" s="169" t="str">
        <f t="shared" si="274"/>
        <v>ESPINOSA 2</v>
      </c>
      <c r="W4093" s="169" t="s">
        <v>2712</v>
      </c>
    </row>
    <row r="4094" spans="2:23" x14ac:dyDescent="0.25">
      <c r="B4094" s="169" t="s">
        <v>12320</v>
      </c>
      <c r="C4094" s="169" t="s">
        <v>39</v>
      </c>
      <c r="D4094" s="169" t="s">
        <v>172</v>
      </c>
      <c r="E4094" s="169" t="s">
        <v>20</v>
      </c>
      <c r="F4094" s="245" t="str">
        <f t="shared" si="255"/>
        <v>DVW 74</v>
      </c>
      <c r="G4094" s="169" t="s">
        <v>15079</v>
      </c>
      <c r="I4094" s="169" t="str">
        <f t="shared" si="257"/>
        <v>L425_JVHW_045E_WINZE</v>
      </c>
      <c r="J4094" s="169" t="s">
        <v>15271</v>
      </c>
      <c r="K4094" s="169">
        <f>IFERROR(MATCH(J4094,'Final List'!$B$4:$B$252,0),0)</f>
        <v>0</v>
      </c>
      <c r="L4094" s="169">
        <f>IFERROR(MATCH(J4094,'Final List'!$D$4:$D$252,0),0)</f>
        <v>0</v>
      </c>
      <c r="M4094" s="169">
        <f>IFERROR(MATCH(J4094,'Final List'!$F$4:$F$251,0),0)</f>
        <v>0</v>
      </c>
      <c r="N4094" s="169">
        <f>IFERROR(MATCH(J4094,'Final List'!$H$4:$H$252,0),0)</f>
        <v>0</v>
      </c>
      <c r="O4094" s="169">
        <f>IFERROR(MATCH(J4094,'Final List'!$J$4:$J$252,0),0)</f>
        <v>0</v>
      </c>
      <c r="P4094" s="169">
        <f>IFERROR(MATCH(J4094,'Final List'!$L$4:$L$252,0),0)</f>
        <v>190</v>
      </c>
      <c r="Q4094" s="169">
        <f>IFERROR(MATCH(J4094,'Final List'!$N$4:$N$252,0),0)</f>
        <v>0</v>
      </c>
      <c r="R4094" s="169">
        <f>IFERROR(MATCH(J4094,'Final List'!$P$4:$P$252,0),0)</f>
        <v>0</v>
      </c>
      <c r="S4094" s="169">
        <f t="shared" ref="S4094" si="311">SUM(K4094:R4094)</f>
        <v>190</v>
      </c>
      <c r="V4094" s="169" t="str">
        <f t="shared" si="274"/>
        <v>NITRO CP</v>
      </c>
      <c r="W4094" s="169" t="s">
        <v>2706</v>
      </c>
    </row>
    <row r="4095" spans="2:23" x14ac:dyDescent="0.25">
      <c r="B4095" s="169" t="s">
        <v>95</v>
      </c>
      <c r="C4095" s="169" t="s">
        <v>42</v>
      </c>
      <c r="D4095" s="169" t="s">
        <v>5631</v>
      </c>
      <c r="E4095" s="169" t="s">
        <v>211</v>
      </c>
      <c r="F4095" s="245" t="str">
        <f t="shared" si="255"/>
        <v>StpS 77</v>
      </c>
      <c r="G4095" s="169" t="s">
        <v>8045</v>
      </c>
      <c r="I4095" s="169" t="str">
        <f t="shared" si="257"/>
        <v>L08_JV_020E_STOPE PREP</v>
      </c>
      <c r="J4095" s="169" t="s">
        <v>15245</v>
      </c>
      <c r="K4095" s="169">
        <f>IFERROR(MATCH(J4095,'Final List'!$B$4:$B$252,0),0)</f>
        <v>86</v>
      </c>
      <c r="L4095" s="169">
        <f>IFERROR(MATCH(J4095,'Final List'!$D$4:$D$252,0),0)</f>
        <v>0</v>
      </c>
      <c r="M4095" s="169">
        <f>IFERROR(MATCH(J4095,'Final List'!$F$4:$F$251,0),0)</f>
        <v>0</v>
      </c>
      <c r="N4095" s="169">
        <f>IFERROR(MATCH(J4095,'Final List'!$H$4:$H$252,0),0)</f>
        <v>0</v>
      </c>
      <c r="O4095" s="169">
        <f>IFERROR(MATCH(J4095,'Final List'!$J$4:$J$252,0),0)</f>
        <v>0</v>
      </c>
      <c r="P4095" s="169">
        <f>IFERROR(MATCH(J4095,'Final List'!$L$4:$L$252,0),0)</f>
        <v>0</v>
      </c>
      <c r="Q4095" s="169">
        <f>IFERROR(MATCH(J4095,'Final List'!$N$4:$N$252,0),0)</f>
        <v>0</v>
      </c>
      <c r="R4095" s="169">
        <f>IFERROR(MATCH(J4095,'Final List'!$P$4:$P$252,0),0)</f>
        <v>0</v>
      </c>
      <c r="S4095" s="169">
        <f t="shared" ref="S4095" si="312">SUM(K4095:R4095)</f>
        <v>86</v>
      </c>
      <c r="T4095" s="169" t="s">
        <v>68</v>
      </c>
      <c r="V4095" s="169" t="str">
        <f t="shared" si="274"/>
        <v>CAPUYAN</v>
      </c>
      <c r="W4095" s="169" t="s">
        <v>2712</v>
      </c>
    </row>
    <row r="4096" spans="2:23" x14ac:dyDescent="0.25">
      <c r="B4096" s="169" t="s">
        <v>95</v>
      </c>
      <c r="C4096" s="169" t="s">
        <v>42</v>
      </c>
      <c r="D4096" s="169" t="s">
        <v>5601</v>
      </c>
      <c r="E4096" s="169" t="s">
        <v>441</v>
      </c>
      <c r="F4096" s="245" t="str">
        <f t="shared" si="255"/>
        <v>RobC 80</v>
      </c>
      <c r="G4096" s="169" t="s">
        <v>14947</v>
      </c>
      <c r="I4096" s="169" t="str">
        <f t="shared" si="257"/>
        <v>L08_JV_026E_WINZE STOPE PREP</v>
      </c>
      <c r="J4096" s="169" t="s">
        <v>15247</v>
      </c>
      <c r="K4096" s="169">
        <f>IFERROR(MATCH(J4096,'Final List'!$B$4:$B$252,0),0)</f>
        <v>88</v>
      </c>
      <c r="L4096" s="169">
        <f>IFERROR(MATCH(J4096,'Final List'!$D$4:$D$252,0),0)</f>
        <v>0</v>
      </c>
      <c r="M4096" s="169">
        <f>IFERROR(MATCH(J4096,'Final List'!$F$4:$F$251,0),0)</f>
        <v>0</v>
      </c>
      <c r="N4096" s="169">
        <f>IFERROR(MATCH(J4096,'Final List'!$H$4:$H$252,0),0)</f>
        <v>0</v>
      </c>
      <c r="O4096" s="169">
        <f>IFERROR(MATCH(J4096,'Final List'!$J$4:$J$252,0),0)</f>
        <v>0</v>
      </c>
      <c r="P4096" s="169">
        <f>IFERROR(MATCH(J4096,'Final List'!$L$4:$L$252,0),0)</f>
        <v>0</v>
      </c>
      <c r="Q4096" s="169">
        <f>IFERROR(MATCH(J4096,'Final List'!$N$4:$N$252,0),0)</f>
        <v>0</v>
      </c>
      <c r="R4096" s="169">
        <f>IFERROR(MATCH(J4096,'Final List'!$P$4:$P$252,0),0)</f>
        <v>0</v>
      </c>
      <c r="S4096" s="169">
        <f t="shared" ref="S4096" si="313">SUM(K4096:R4096)</f>
        <v>88</v>
      </c>
      <c r="T4096" s="169" t="s">
        <v>68</v>
      </c>
      <c r="V4096" s="169" t="str">
        <f t="shared" si="274"/>
        <v>NITRO CM</v>
      </c>
      <c r="W4096" s="169" t="s">
        <v>2716</v>
      </c>
    </row>
    <row r="4097" spans="2:23" x14ac:dyDescent="0.25">
      <c r="B4097" s="169" t="s">
        <v>96</v>
      </c>
      <c r="C4097" s="169" t="s">
        <v>38</v>
      </c>
      <c r="D4097" s="169" t="s">
        <v>110</v>
      </c>
      <c r="E4097" s="169" t="s">
        <v>62</v>
      </c>
      <c r="F4097" s="245" t="str">
        <f t="shared" si="255"/>
        <v>RobS 79</v>
      </c>
      <c r="G4097" s="169" t="s">
        <v>6216</v>
      </c>
      <c r="I4097" s="169" t="str">
        <f t="shared" si="257"/>
        <v>L09_GHV_004E_ROBBING</v>
      </c>
      <c r="J4097" s="169" t="s">
        <v>15250</v>
      </c>
      <c r="K4097" s="169">
        <f>IFERROR(MATCH(J4097,'Final List'!$B$4:$B$252,0),0)</f>
        <v>0</v>
      </c>
      <c r="L4097" s="169">
        <f>IFERROR(MATCH(J4097,'Final List'!$D$4:$D$252,0),0)</f>
        <v>0</v>
      </c>
      <c r="M4097" s="169">
        <f>IFERROR(MATCH(J4097,'Final List'!$F$4:$F$251,0),0)</f>
        <v>0</v>
      </c>
      <c r="N4097" s="169">
        <f>IFERROR(MATCH(J4097,'Final List'!$H$4:$H$252,0),0)</f>
        <v>0</v>
      </c>
      <c r="O4097" s="169">
        <f>IFERROR(MATCH(J4097,'Final List'!$J$4:$J$252,0),0)</f>
        <v>0</v>
      </c>
      <c r="P4097" s="169">
        <f>IFERROR(MATCH(J4097,'Final List'!$L$4:$L$252,0),0)</f>
        <v>0</v>
      </c>
      <c r="Q4097" s="169">
        <f>IFERROR(MATCH(J4097,'Final List'!$N$4:$N$252,0),0)</f>
        <v>0</v>
      </c>
      <c r="R4097" s="169">
        <f>IFERROR(MATCH(J4097,'Final List'!$P$4:$P$252,0),0)</f>
        <v>112</v>
      </c>
      <c r="S4097" s="169">
        <f t="shared" ref="S4097" si="314">SUM(K4097:R4097)</f>
        <v>112</v>
      </c>
      <c r="T4097" s="169" t="s">
        <v>68</v>
      </c>
      <c r="V4097" s="169" t="str">
        <f t="shared" si="274"/>
        <v>FERNANDEZ</v>
      </c>
      <c r="W4097" s="169" t="s">
        <v>2707</v>
      </c>
    </row>
    <row r="4098" spans="2:23" x14ac:dyDescent="0.25">
      <c r="B4098" s="169" t="s">
        <v>1166</v>
      </c>
      <c r="C4098" s="169" t="s">
        <v>45</v>
      </c>
      <c r="D4098" s="169" t="s">
        <v>10429</v>
      </c>
      <c r="E4098" s="169" t="s">
        <v>36</v>
      </c>
      <c r="F4098" s="245" t="str">
        <f t="shared" si="255"/>
        <v>StpL 78</v>
      </c>
      <c r="G4098" s="169" t="s">
        <v>5</v>
      </c>
      <c r="I4098" s="169" t="str">
        <f t="shared" si="257"/>
        <v>L11_DPVE_098E_STOPE</v>
      </c>
      <c r="J4098" s="169" t="s">
        <v>15254</v>
      </c>
      <c r="K4098" s="169">
        <f>IFERROR(MATCH(J4098,'Final List'!$B$4:$B$252,0),0)</f>
        <v>0</v>
      </c>
      <c r="L4098" s="169">
        <f>IFERROR(MATCH(J4098,'Final List'!$D$4:$D$252,0),0)</f>
        <v>159</v>
      </c>
      <c r="M4098" s="169">
        <f>IFERROR(MATCH(J4098,'Final List'!$F$4:$F$251,0),0)</f>
        <v>0</v>
      </c>
      <c r="N4098" s="169">
        <f>IFERROR(MATCH(J4098,'Final List'!$H$4:$H$252,0),0)</f>
        <v>0</v>
      </c>
      <c r="O4098" s="169">
        <f>IFERROR(MATCH(J4098,'Final List'!$J$4:$J$252,0),0)</f>
        <v>0</v>
      </c>
      <c r="P4098" s="169">
        <f>IFERROR(MATCH(J4098,'Final List'!$L$4:$L$252,0),0)</f>
        <v>0</v>
      </c>
      <c r="Q4098" s="169">
        <f>IFERROR(MATCH(J4098,'Final List'!$N$4:$N$252,0),0)</f>
        <v>0</v>
      </c>
      <c r="R4098" s="169">
        <f>IFERROR(MATCH(J4098,'Final List'!$P$4:$P$252,0),0)</f>
        <v>0</v>
      </c>
      <c r="S4098" s="169">
        <f t="shared" ref="S4098" si="315">SUM(K4098:R4098)</f>
        <v>159</v>
      </c>
      <c r="T4098" s="169" t="s">
        <v>48</v>
      </c>
      <c r="V4098" s="169" t="str">
        <f t="shared" si="274"/>
        <v>BELICAN</v>
      </c>
      <c r="W4098" s="169" t="s">
        <v>2711</v>
      </c>
    </row>
    <row r="4099" spans="2:23" x14ac:dyDescent="0.25">
      <c r="B4099" s="169" t="s">
        <v>258</v>
      </c>
      <c r="C4099" s="169" t="s">
        <v>87</v>
      </c>
      <c r="D4099" s="169" t="s">
        <v>6833</v>
      </c>
      <c r="E4099" s="169" t="s">
        <v>15259</v>
      </c>
      <c r="F4099" s="245" t="str">
        <f t="shared" ref="F4099:F4135" si="316">IF(OR(E4099="XCN",E4099="DE",E4099="DW",E4099="DN",E4099="XCS",E4099="XCE",E4099="XCW",E4099="SUMP",E4099="BYPASS",E4099="CHAMBER",E4099="DRAIN HOLE",E4099="DRILLING CHAMBER",E4099="DE_ISL",E4099="DW_ISL",E4099="REHAB"),"Dhoz 71",IF(OR(E4099="RAISE",E4099="RAISE_ISL"),"DVR 72",IF(E4099="ALIMAK","DVA 73",IF(E4099="WINZE","DVW 74",IF(E4099="SHAFT","DVS 75",IF(AND(E4099="WINZE STOPE",T4099="S"),"RobC 80",IF(AND(E4099="STOPE",T4099="S"),"StpS 77",IF(AND(E4099="WINZE STOPE",T4099="L"),"RobC 80",IF(AND(E4099="STOPE",T4099="L"),"StpL 78",IF(AND(E4099="WINZE STOPE PREP",T4099="S"),"RobC 80",IF(AND(E4099="STOPE PREP",T4099="S"),"StpS 77",IF(AND(E4099="WINZE STOPE PREP",T4099="L"),"RobC 80",IF(AND(E4099="STOPE PREP",T4099="L"),"StpL 78",IF(AND(E4099="ROBBING",T4099="L"),"RobC 80",IF(AND(E4099="ROBBING",T4099="S"),"RobS 79",0)))))))))))))))</f>
        <v>Dhoz 71</v>
      </c>
      <c r="G4099" s="169" t="s">
        <v>12888</v>
      </c>
      <c r="I4099" s="169" t="str">
        <f t="shared" si="257"/>
        <v>L10_NONE_017W_DRILLING CHAMBER</v>
      </c>
      <c r="J4099" s="169" t="s">
        <v>15257</v>
      </c>
      <c r="K4099" s="169">
        <f>IFERROR(MATCH(J4099,'Final List'!$B$4:$B$252,0),0)</f>
        <v>0</v>
      </c>
      <c r="L4099" s="169">
        <f>IFERROR(MATCH(J4099,'Final List'!$D$4:$D$252,0),0)</f>
        <v>0</v>
      </c>
      <c r="M4099" s="169">
        <f>IFERROR(MATCH(J4099,'Final List'!$F$4:$F$251,0),0)</f>
        <v>0</v>
      </c>
      <c r="N4099" s="169">
        <f>IFERROR(MATCH(J4099,'Final List'!$H$4:$H$252,0),0)</f>
        <v>0</v>
      </c>
      <c r="O4099" s="169">
        <f>IFERROR(MATCH(J4099,'Final List'!$J$4:$J$252,0),0)</f>
        <v>0</v>
      </c>
      <c r="P4099" s="169">
        <f>IFERROR(MATCH(J4099,'Final List'!$L$4:$L$252,0),0)</f>
        <v>0</v>
      </c>
      <c r="Q4099" s="169">
        <f>IFERROR(MATCH(J4099,'Final List'!$N$4:$N$252,0),0)</f>
        <v>0</v>
      </c>
      <c r="R4099" s="169">
        <f>IFERROR(MATCH(J4099,'Final List'!$P$4:$P$252,0),0)</f>
        <v>134</v>
      </c>
      <c r="S4099" s="169">
        <f t="shared" ref="S4099" si="317">SUM(K4099:R4099)</f>
        <v>134</v>
      </c>
      <c r="V4099" s="169" t="str">
        <f t="shared" si="274"/>
        <v>NITRO BD</v>
      </c>
      <c r="W4099" s="169" t="s">
        <v>2714</v>
      </c>
    </row>
    <row r="4100" spans="2:23" x14ac:dyDescent="0.25">
      <c r="B4100" s="169" t="s">
        <v>15262</v>
      </c>
      <c r="C4100" s="169" t="s">
        <v>87</v>
      </c>
      <c r="D4100" s="169" t="s">
        <v>168</v>
      </c>
      <c r="E4100" s="169" t="s">
        <v>13813</v>
      </c>
      <c r="F4100" s="245" t="str">
        <f>IF(OR(E4100="XCN",E4100="DE",E4100="DW",E4100="DN",E4100="XCS",E4100="XCE",E4100="XCW",E4100="SUMP",E4100="BYPASS",E4100="CHAMBER",E4100="DRAIN HOLE",E4100="DRILLING CHAMBER",E4100="DE_ISL",E4100="DW_ISL",E4100="REHAB",E4100="MAINLINE_CLEANING"),"Dhoz 71",IF(OR(E4100="RAISE",E4100="RAISE_ISL"),"DVR 72",IF(E4100="ALIMAK","DVA 73",IF(E4100="WINZE","DVW 74",IF(E4100="SHAFT","DVS 75",IF(AND(E4100="WINZE STOPE",T4100="S"),"RobC 80",IF(AND(E4100="STOPE",T4100="S"),"StpS 77",IF(AND(E4100="WINZE STOPE",T4100="L"),"RobC 80",IF(AND(E4100="STOPE",T4100="L"),"StpL 78",IF(AND(E4100="WINZE STOPE PREP",T4100="S"),"RobC 80",IF(AND(E4100="STOPE PREP",T4100="S"),"StpS 77",IF(AND(E4100="WINZE STOPE PREP",T4100="L"),"RobC 80",IF(AND(E4100="STOPE PREP",T4100="L"),"StpL 78",IF(AND(E4100="ROBBING",T4100="L"),"RobC 80",IF(AND(E4100="ROBBING",T4100="S"),"RobS 79",0)))))))))))))))</f>
        <v>Dhoz 71</v>
      </c>
      <c r="G4100" s="169" t="s">
        <v>6216</v>
      </c>
      <c r="I4100" s="169" t="str">
        <f t="shared" si="257"/>
        <v>l03_NONE_047E_MAINLINE_CLEANING</v>
      </c>
      <c r="J4100" s="169" t="s">
        <v>15260</v>
      </c>
      <c r="K4100" s="169">
        <f>IFERROR(MATCH(J4100,'Final List'!$B$4:$B$252,0),0)</f>
        <v>0</v>
      </c>
      <c r="L4100" s="169">
        <f>IFERROR(MATCH(J4100,'Final List'!$D$4:$D$252,0),0)</f>
        <v>0</v>
      </c>
      <c r="M4100" s="169">
        <f>IFERROR(MATCH(J4100,'Final List'!$F$4:$F$251,0),0)</f>
        <v>0</v>
      </c>
      <c r="N4100" s="169">
        <f>IFERROR(MATCH(J4100,'Final List'!$H$4:$H$252,0),0)</f>
        <v>0</v>
      </c>
      <c r="O4100" s="169">
        <f>IFERROR(MATCH(J4100,'Final List'!$J$4:$J$252,0),0)</f>
        <v>0</v>
      </c>
      <c r="P4100" s="169">
        <f>IFERROR(MATCH(J4100,'Final List'!$L$4:$L$252,0),0)</f>
        <v>0</v>
      </c>
      <c r="Q4100" s="169">
        <f>IFERROR(MATCH(J4100,'Final List'!$N$4:$N$252,0),0)</f>
        <v>0</v>
      </c>
      <c r="R4100" s="169">
        <f>IFERROR(MATCH(J4100,'Final List'!$P$4:$P$252,0),0)</f>
        <v>2</v>
      </c>
      <c r="S4100" s="169">
        <f t="shared" ref="S4100" si="318">SUM(K4100:R4100)</f>
        <v>2</v>
      </c>
      <c r="V4100" s="169" t="str">
        <f t="shared" si="274"/>
        <v>FERNANDEZ</v>
      </c>
      <c r="W4100" s="169" t="s">
        <v>2714</v>
      </c>
    </row>
    <row r="4101" spans="2:23" x14ac:dyDescent="0.25">
      <c r="B4101" s="169" t="s">
        <v>96</v>
      </c>
      <c r="C4101" s="169" t="s">
        <v>42</v>
      </c>
      <c r="D4101" s="169" t="s">
        <v>133</v>
      </c>
      <c r="E4101" s="169" t="s">
        <v>62</v>
      </c>
      <c r="F4101" s="245" t="str">
        <f t="shared" si="316"/>
        <v>RobS 79</v>
      </c>
      <c r="G4101" s="169" t="s">
        <v>1510</v>
      </c>
      <c r="I4101" s="169" t="str">
        <f t="shared" si="257"/>
        <v>L09_JV_037E_ROBBING</v>
      </c>
      <c r="J4101" s="169" t="s">
        <v>15266</v>
      </c>
      <c r="K4101" s="169">
        <f>IFERROR(MATCH(J4101,'Final List'!$B$4:$B$252,0),0)</f>
        <v>0</v>
      </c>
      <c r="L4101" s="169">
        <f>IFERROR(MATCH(J4101,'Final List'!$D$4:$D$252,0),0)</f>
        <v>0</v>
      </c>
      <c r="M4101" s="169">
        <f>IFERROR(MATCH(J4101,'Final List'!$F$4:$F$251,0),0)</f>
        <v>0</v>
      </c>
      <c r="N4101" s="169">
        <f>IFERROR(MATCH(J4101,'Final List'!$H$4:$H$252,0),0)</f>
        <v>0</v>
      </c>
      <c r="O4101" s="169">
        <f>IFERROR(MATCH(J4101,'Final List'!$J$4:$J$252,0),0)</f>
        <v>0</v>
      </c>
      <c r="P4101" s="169">
        <f>IFERROR(MATCH(J4101,'Final List'!$L$4:$L$252,0),0)</f>
        <v>0</v>
      </c>
      <c r="Q4101" s="169">
        <f>IFERROR(MATCH(J4101,'Final List'!$N$4:$N$252,0),0)</f>
        <v>0</v>
      </c>
      <c r="R4101" s="169">
        <f>IFERROR(MATCH(J4101,'Final List'!$P$4:$P$252,0),0)</f>
        <v>114</v>
      </c>
      <c r="S4101" s="169">
        <f t="shared" ref="S4101" si="319">SUM(K4101:R4101)</f>
        <v>114</v>
      </c>
      <c r="T4101" s="169" t="s">
        <v>68</v>
      </c>
      <c r="V4101" s="169" t="str">
        <f t="shared" si="274"/>
        <v>DELOS REYES</v>
      </c>
      <c r="W4101" s="169" t="s">
        <v>2707</v>
      </c>
    </row>
    <row r="4102" spans="2:23" x14ac:dyDescent="0.25">
      <c r="B4102" s="169" t="s">
        <v>96</v>
      </c>
      <c r="C4102" s="169" t="s">
        <v>38</v>
      </c>
      <c r="D4102" s="169" t="s">
        <v>5601</v>
      </c>
      <c r="E4102" s="169" t="s">
        <v>6154</v>
      </c>
      <c r="F4102" s="245" t="str">
        <f t="shared" si="316"/>
        <v>Dhoz 71</v>
      </c>
      <c r="G4102" s="169" t="s">
        <v>6216</v>
      </c>
      <c r="I4102" s="169" t="str">
        <f t="shared" si="257"/>
        <v>L09_GHV_026E_DW_ISL</v>
      </c>
      <c r="J4102" s="169" t="s">
        <v>15268</v>
      </c>
      <c r="K4102" s="169">
        <f>IFERROR(MATCH(J4102,'Final List'!$B$4:$B$252,0),0)</f>
        <v>0</v>
      </c>
      <c r="L4102" s="169">
        <f>IFERROR(MATCH(J4102,'Final List'!$D$4:$D$252,0),0)</f>
        <v>0</v>
      </c>
      <c r="M4102" s="169">
        <f>IFERROR(MATCH(J4102,'Final List'!$F$4:$F$251,0),0)</f>
        <v>0</v>
      </c>
      <c r="N4102" s="169">
        <f>IFERROR(MATCH(J4102,'Final List'!$H$4:$H$252,0),0)</f>
        <v>0</v>
      </c>
      <c r="O4102" s="169">
        <f>IFERROR(MATCH(J4102,'Final List'!$J$4:$J$252,0),0)</f>
        <v>0</v>
      </c>
      <c r="P4102" s="169">
        <f>IFERROR(MATCH(J4102,'Final List'!$L$4:$L$252,0),0)</f>
        <v>0</v>
      </c>
      <c r="Q4102" s="169">
        <f>IFERROR(MATCH(J4102,'Final List'!$N$4:$N$252,0),0)</f>
        <v>0</v>
      </c>
      <c r="R4102" s="169">
        <f>IFERROR(MATCH(J4102,'Final List'!$P$4:$P$252,0),0)</f>
        <v>0</v>
      </c>
      <c r="S4102" s="169">
        <f t="shared" ref="S4102:S4103" si="320">SUM(K4102:R4102)</f>
        <v>0</v>
      </c>
      <c r="V4102" s="169" t="str">
        <f t="shared" si="274"/>
        <v>FERNANDEZ</v>
      </c>
      <c r="W4102" s="169" t="s">
        <v>8896</v>
      </c>
    </row>
    <row r="4103" spans="2:23" x14ac:dyDescent="0.25">
      <c r="B4103" s="169" t="s">
        <v>95</v>
      </c>
      <c r="C4103" s="169" t="s">
        <v>45</v>
      </c>
      <c r="D4103" s="169" t="s">
        <v>5741</v>
      </c>
      <c r="E4103" s="169" t="s">
        <v>62</v>
      </c>
      <c r="F4103" s="245" t="str">
        <f t="shared" si="316"/>
        <v>RobS 79</v>
      </c>
      <c r="G4103" s="169" t="s">
        <v>6216</v>
      </c>
      <c r="I4103" s="169" t="str">
        <f t="shared" si="257"/>
        <v>L08_DPVE_035E_ROBBING</v>
      </c>
      <c r="J4103" s="169" t="s">
        <v>15270</v>
      </c>
      <c r="K4103" s="169">
        <f>IFERROR(MATCH(J4103,'Final List'!$B$4:$B$252,0),0)</f>
        <v>0</v>
      </c>
      <c r="L4103" s="169">
        <f>IFERROR(MATCH(J4103,'Final List'!$D$4:$D$252,0),0)</f>
        <v>0</v>
      </c>
      <c r="M4103" s="169">
        <f>IFERROR(MATCH(J4103,'Final List'!$F$4:$F$251,0),0)</f>
        <v>0</v>
      </c>
      <c r="N4103" s="169">
        <f>IFERROR(MATCH(J4103,'Final List'!$H$4:$H$252,0),0)</f>
        <v>0</v>
      </c>
      <c r="O4103" s="169">
        <f>IFERROR(MATCH(J4103,'Final List'!$J$4:$J$252,0),0)</f>
        <v>0</v>
      </c>
      <c r="P4103" s="169">
        <f>IFERROR(MATCH(J4103,'Final List'!$L$4:$L$252,0),0)</f>
        <v>0</v>
      </c>
      <c r="Q4103" s="169">
        <f>IFERROR(MATCH(J4103,'Final List'!$N$4:$N$252,0),0)</f>
        <v>0</v>
      </c>
      <c r="R4103" s="169">
        <f>IFERROR(MATCH(J4103,'Final List'!$P$4:$P$252,0),0)</f>
        <v>0</v>
      </c>
      <c r="S4103" s="169">
        <f t="shared" si="320"/>
        <v>0</v>
      </c>
      <c r="T4103" s="169" t="s">
        <v>68</v>
      </c>
      <c r="V4103" s="169" t="str">
        <f t="shared" si="274"/>
        <v>FERNANDEZ</v>
      </c>
      <c r="W4103" s="169" t="s">
        <v>2707</v>
      </c>
    </row>
    <row r="4104" spans="2:23" x14ac:dyDescent="0.25">
      <c r="B4104" s="169" t="s">
        <v>1166</v>
      </c>
      <c r="C4104" s="169" t="s">
        <v>45</v>
      </c>
      <c r="D4104" s="169" t="s">
        <v>97</v>
      </c>
      <c r="E4104" s="169" t="s">
        <v>60</v>
      </c>
      <c r="F4104" s="245" t="str">
        <f t="shared" si="316"/>
        <v>Dhoz 71</v>
      </c>
      <c r="G4104" s="169" t="s">
        <v>4068</v>
      </c>
      <c r="I4104" s="169" t="str">
        <f t="shared" si="257"/>
        <v>L11_DPVE_012W_DE</v>
      </c>
      <c r="J4104" s="169" t="s">
        <v>15274</v>
      </c>
      <c r="K4104" s="169">
        <f>IFERROR(MATCH(J4104,'Final List'!$B$4:$B$252,0),0)</f>
        <v>0</v>
      </c>
      <c r="L4104" s="169">
        <f>IFERROR(MATCH(J4104,'Final List'!$D$4:$D$252,0),0)</f>
        <v>0</v>
      </c>
      <c r="M4104" s="169">
        <f>IFERROR(MATCH(J4104,'Final List'!$F$4:$F$251,0),0)</f>
        <v>0</v>
      </c>
      <c r="N4104" s="169">
        <f>IFERROR(MATCH(J4104,'Final List'!$H$4:$H$252,0),0)</f>
        <v>157</v>
      </c>
      <c r="O4104" s="169">
        <f>IFERROR(MATCH(J4104,'Final List'!$J$4:$J$252,0),0)</f>
        <v>0</v>
      </c>
      <c r="P4104" s="169">
        <f>IFERROR(MATCH(J4104,'Final List'!$L$4:$L$252,0),0)</f>
        <v>0</v>
      </c>
      <c r="Q4104" s="169">
        <f>IFERROR(MATCH(J4104,'Final List'!$N$4:$N$252,0),0)</f>
        <v>0</v>
      </c>
      <c r="R4104" s="169">
        <f>IFERROR(MATCH(J4104,'Final List'!$P$4:$P$252,0),0)</f>
        <v>0</v>
      </c>
      <c r="S4104" s="169">
        <f t="shared" ref="S4104" si="321">SUM(K4104:R4104)</f>
        <v>157</v>
      </c>
      <c r="V4104" s="169" t="str">
        <f t="shared" si="274"/>
        <v>MAPAYO</v>
      </c>
      <c r="W4104" s="169" t="s">
        <v>8896</v>
      </c>
    </row>
    <row r="4105" spans="2:23" x14ac:dyDescent="0.25">
      <c r="B4105" s="169" t="s">
        <v>1166</v>
      </c>
      <c r="C4105" s="169" t="s">
        <v>45</v>
      </c>
      <c r="D4105" s="169" t="s">
        <v>131</v>
      </c>
      <c r="E4105" s="169" t="s">
        <v>61</v>
      </c>
      <c r="F4105" s="245" t="str">
        <f t="shared" si="316"/>
        <v>Dhoz 71</v>
      </c>
      <c r="G4105" s="169" t="s">
        <v>14655</v>
      </c>
      <c r="I4105" s="169" t="str">
        <f t="shared" si="257"/>
        <v>L11_DPVE_011E_DW</v>
      </c>
      <c r="J4105" s="169" t="s">
        <v>15277</v>
      </c>
      <c r="K4105" s="169">
        <f>IFERROR(MATCH(J4105,'Final List'!$B$4:$B$252,0),0)</f>
        <v>0</v>
      </c>
      <c r="L4105" s="169">
        <f>IFERROR(MATCH(J4105,'Final List'!$D$4:$D$252,0),0)</f>
        <v>0</v>
      </c>
      <c r="M4105" s="169">
        <f>IFERROR(MATCH(J4105,'Final List'!$F$4:$F$251,0),0)</f>
        <v>0</v>
      </c>
      <c r="N4105" s="169">
        <f>IFERROR(MATCH(J4105,'Final List'!$H$4:$H$252,0),0)</f>
        <v>158</v>
      </c>
      <c r="O4105" s="169">
        <f>IFERROR(MATCH(J4105,'Final List'!$J$4:$J$252,0),0)</f>
        <v>0</v>
      </c>
      <c r="P4105" s="169">
        <f>IFERROR(MATCH(J4105,'Final List'!$L$4:$L$252,0),0)</f>
        <v>0</v>
      </c>
      <c r="Q4105" s="169">
        <f>IFERROR(MATCH(J4105,'Final List'!$N$4:$N$252,0),0)</f>
        <v>0</v>
      </c>
      <c r="R4105" s="169">
        <f>IFERROR(MATCH(J4105,'Final List'!$P$4:$P$252,0),0)</f>
        <v>0</v>
      </c>
      <c r="S4105" s="169">
        <f t="shared" ref="S4105" si="322">SUM(K4105:R4105)</f>
        <v>158</v>
      </c>
      <c r="V4105" s="169" t="str">
        <f t="shared" si="274"/>
        <v>GOC-ONG</v>
      </c>
      <c r="W4105" s="169" t="s">
        <v>8896</v>
      </c>
    </row>
    <row r="4106" spans="2:23" x14ac:dyDescent="0.25">
      <c r="B4106" s="169" t="s">
        <v>12320</v>
      </c>
      <c r="C4106" s="169" t="s">
        <v>45</v>
      </c>
      <c r="D4106" s="169" t="s">
        <v>161</v>
      </c>
      <c r="E4106" s="169" t="s">
        <v>36</v>
      </c>
      <c r="F4106" s="245" t="str">
        <f t="shared" si="316"/>
        <v>StpS 77</v>
      </c>
      <c r="G4106" s="169" t="s">
        <v>14762</v>
      </c>
      <c r="I4106" s="169" t="str">
        <f t="shared" si="257"/>
        <v>L425_DPVE_044E_STOPE</v>
      </c>
      <c r="J4106" s="169" t="s">
        <v>15280</v>
      </c>
      <c r="K4106" s="169">
        <f>IFERROR(MATCH(J4106,'Final List'!$B$4:$B$252,0),0)</f>
        <v>0</v>
      </c>
      <c r="L4106" s="169">
        <f>IFERROR(MATCH(J4106,'Final List'!$D$4:$D$252,0),0)</f>
        <v>194</v>
      </c>
      <c r="M4106" s="169">
        <f>IFERROR(MATCH(J4106,'Final List'!$F$4:$F$251,0),0)</f>
        <v>0</v>
      </c>
      <c r="N4106" s="169">
        <f>IFERROR(MATCH(J4106,'Final List'!$H$4:$H$252,0),0)</f>
        <v>0</v>
      </c>
      <c r="O4106" s="169">
        <f>IFERROR(MATCH(J4106,'Final List'!$J$4:$J$252,0),0)</f>
        <v>0</v>
      </c>
      <c r="P4106" s="169">
        <f>IFERROR(MATCH(J4106,'Final List'!$L$4:$L$252,0),0)</f>
        <v>0</v>
      </c>
      <c r="Q4106" s="169">
        <f>IFERROR(MATCH(J4106,'Final List'!$N$4:$N$252,0),0)</f>
        <v>0</v>
      </c>
      <c r="R4106" s="169">
        <f>IFERROR(MATCH(J4106,'Final List'!$P$4:$P$252,0),0)</f>
        <v>0</v>
      </c>
      <c r="S4106" s="169">
        <f t="shared" ref="S4106" si="323">SUM(K4106:R4106)</f>
        <v>194</v>
      </c>
      <c r="T4106" s="169" t="s">
        <v>68</v>
      </c>
      <c r="V4106" s="169" t="str">
        <f t="shared" si="274"/>
        <v>BAÑEZ </v>
      </c>
      <c r="W4106" s="169" t="s">
        <v>2711</v>
      </c>
    </row>
    <row r="4107" spans="2:23" x14ac:dyDescent="0.25">
      <c r="B4107" s="169" t="s">
        <v>95</v>
      </c>
      <c r="C4107" s="169" t="s">
        <v>45</v>
      </c>
      <c r="D4107" s="169" t="s">
        <v>148</v>
      </c>
      <c r="E4107" s="169" t="s">
        <v>221</v>
      </c>
      <c r="F4107" s="245" t="str">
        <f t="shared" si="316"/>
        <v>RobC 80</v>
      </c>
      <c r="G4107" s="169" t="s">
        <v>14285</v>
      </c>
      <c r="I4107" s="169" t="str">
        <f t="shared" si="257"/>
        <v>L08_DPVE_039E_WINZE STOPE</v>
      </c>
      <c r="J4107" s="169" t="s">
        <v>15285</v>
      </c>
      <c r="K4107" s="169">
        <f>IFERROR(MATCH(J4107,'Final List'!$B$4:$B$252,0),0)</f>
        <v>0</v>
      </c>
      <c r="L4107" s="169">
        <f>IFERROR(MATCH(J4107,'Final List'!$D$4:$D$252,0),0)</f>
        <v>87</v>
      </c>
      <c r="M4107" s="169">
        <f>IFERROR(MATCH(J4107,'Final List'!$F$4:$F$251,0),0)</f>
        <v>0</v>
      </c>
      <c r="N4107" s="169">
        <f>IFERROR(MATCH(J4107,'Final List'!$H$4:$H$252,0),0)</f>
        <v>0</v>
      </c>
      <c r="O4107" s="169">
        <f>IFERROR(MATCH(J4107,'Final List'!$J$4:$J$252,0),0)</f>
        <v>0</v>
      </c>
      <c r="P4107" s="169">
        <f>IFERROR(MATCH(J4107,'Final List'!$L$4:$L$252,0),0)</f>
        <v>0</v>
      </c>
      <c r="Q4107" s="169">
        <f>IFERROR(MATCH(J4107,'Final List'!$N$4:$N$252,0),0)</f>
        <v>0</v>
      </c>
      <c r="R4107" s="169">
        <f>IFERROR(MATCH(J4107,'Final List'!$P$4:$P$252,0),0)</f>
        <v>0</v>
      </c>
      <c r="S4107" s="169">
        <f t="shared" ref="S4107" si="324">SUM(K4107:R4107)</f>
        <v>87</v>
      </c>
      <c r="T4107" s="169" t="s">
        <v>48</v>
      </c>
      <c r="V4107" s="169" t="str">
        <f t="shared" si="274"/>
        <v>CANTAGO 4</v>
      </c>
      <c r="W4107" s="169" t="s">
        <v>2711</v>
      </c>
    </row>
    <row r="4108" spans="2:23" x14ac:dyDescent="0.25">
      <c r="B4108" s="169" t="s">
        <v>95</v>
      </c>
      <c r="C4108" s="169" t="s">
        <v>45</v>
      </c>
      <c r="D4108" s="169" t="s">
        <v>143</v>
      </c>
      <c r="E4108" s="169" t="s">
        <v>15183</v>
      </c>
      <c r="F4108" s="245" t="str">
        <f>IF(OR(E4108="XCN",E4108="DE",E4108="DW",E4108="DN",E4108="XCS",E4108="XCE",E4108="XCW",E4108="SUMP",E4108="BYPASS",E4108="CHAMBER",E4108="DRAIN HOLE",E4108="DRILLING CHAMBER",E4108="DE_ISL",E4108="DW_ISL",E4108="REHAB",E4108="DE_ISL",E4108="DE_ISL_B",E4108="DW_ISL_B",E4108="DW_ISL_A",E4108="DE_ISL_A"),"Dhoz 71",IF(OR(E4108="RAISE",E4108="RAISE_ISL"),"DVR 72",IF(E4108="ALIMAK","DVA 73",IF(E4108="WINZE","DVW 74",IF(E4108="SHAFT","DVS 75",IF(AND(E4108="WINZE STOPE",T4108="S"),"RobC 80",IF(AND(E4108="STOPE",T4108="S"),"StpS 77",IF(AND(E4108="WINZE STOPE",T4108="L"),"RobC 80",IF(AND(E4108="STOPE",T4108="L"),"StpL 78",IF(AND(E4108="WINZE STOPE PREP",T4108="S"),"RobC 80",IF(AND(E4108="STOPE PREP",T4108="S"),"StpS 77",IF(AND(E4108="WINZE STOPE PREP",T4108="L"),"RobC 80",IF(AND(E4108="STOPE PREP",T4108="L"),"StpL 78",IF(AND(E4108="ROBBING",T4108="L"),"RobC 80",IF(AND(E4108="ROBBING",T4108="S"),"RobS 79",0)))))))))))))))</f>
        <v>Dhoz 71</v>
      </c>
      <c r="G4108" s="169" t="s">
        <v>6216</v>
      </c>
      <c r="I4108" s="169" t="str">
        <f t="shared" si="257"/>
        <v>L08_DPVE_032E_DW_ISL_A</v>
      </c>
      <c r="J4108" s="169" t="s">
        <v>15295</v>
      </c>
      <c r="K4108" s="169">
        <f>IFERROR(MATCH(J4108,'Final List'!$B$4:$B$252,0),0)</f>
        <v>0</v>
      </c>
      <c r="L4108" s="169">
        <f>IFERROR(MATCH(J4108,'Final List'!$D$4:$D$252,0),0)</f>
        <v>0</v>
      </c>
      <c r="M4108" s="169">
        <f>IFERROR(MATCH(J4108,'Final List'!$F$4:$F$251,0),0)</f>
        <v>0</v>
      </c>
      <c r="N4108" s="169">
        <f>IFERROR(MATCH(J4108,'Final List'!$H$4:$H$252,0),0)</f>
        <v>86</v>
      </c>
      <c r="O4108" s="169">
        <f>IFERROR(MATCH(J4108,'Final List'!$J$4:$J$252,0),0)</f>
        <v>0</v>
      </c>
      <c r="P4108" s="169">
        <f>IFERROR(MATCH(J4108,'Final List'!$L$4:$L$252,0),0)</f>
        <v>0</v>
      </c>
      <c r="Q4108" s="169">
        <f>IFERROR(MATCH(J4108,'Final List'!$N$4:$N$252,0),0)</f>
        <v>0</v>
      </c>
      <c r="R4108" s="169">
        <f>IFERROR(MATCH(J4108,'Final List'!$P$4:$P$252,0),0)</f>
        <v>0</v>
      </c>
      <c r="S4108" s="169">
        <f t="shared" ref="S4108" si="325">SUM(K4108:R4108)</f>
        <v>86</v>
      </c>
      <c r="V4108" s="169" t="str">
        <f t="shared" si="274"/>
        <v>FERNANDEZ</v>
      </c>
      <c r="W4108" s="169" t="s">
        <v>8895</v>
      </c>
    </row>
    <row r="4109" spans="2:23" x14ac:dyDescent="0.25">
      <c r="B4109" s="169" t="s">
        <v>12320</v>
      </c>
      <c r="C4109" s="169" t="s">
        <v>43</v>
      </c>
      <c r="D4109" s="169" t="s">
        <v>5889</v>
      </c>
      <c r="E4109" s="169" t="s">
        <v>61</v>
      </c>
      <c r="F4109" s="245" t="str">
        <f t="shared" si="316"/>
        <v>Dhoz 71</v>
      </c>
      <c r="G4109" s="169" t="s">
        <v>747</v>
      </c>
      <c r="I4109" s="169" t="str">
        <f t="shared" si="257"/>
        <v>L425_GHVSPLIT_077E_DW</v>
      </c>
      <c r="J4109" s="169" t="s">
        <v>15299</v>
      </c>
      <c r="K4109" s="169">
        <f>IFERROR(MATCH(J4109,'Final List'!$B$4:$B$252,0),0)</f>
        <v>0</v>
      </c>
      <c r="L4109" s="169">
        <f>IFERROR(MATCH(J4109,'Final List'!$D$4:$D$252,0),0)</f>
        <v>0</v>
      </c>
      <c r="M4109" s="169">
        <f>IFERROR(MATCH(J4109,'Final List'!$F$4:$F$251,0),0)</f>
        <v>0</v>
      </c>
      <c r="N4109" s="169">
        <f>IFERROR(MATCH(J4109,'Final List'!$H$4:$H$252,0),0)</f>
        <v>0</v>
      </c>
      <c r="O4109" s="169">
        <f>IFERROR(MATCH(J4109,'Final List'!$J$4:$J$252,0),0)</f>
        <v>0</v>
      </c>
      <c r="P4109" s="169">
        <f>IFERROR(MATCH(J4109,'Final List'!$L$4:$L$252,0),0)</f>
        <v>0</v>
      </c>
      <c r="Q4109" s="169">
        <f>IFERROR(MATCH(J4109,'Final List'!$N$4:$N$252,0),0)</f>
        <v>0</v>
      </c>
      <c r="R4109" s="169">
        <f>IFERROR(MATCH(J4109,'Final List'!$P$4:$P$252,0),0)</f>
        <v>0</v>
      </c>
      <c r="S4109" s="169">
        <f t="shared" ref="S4109" si="326">SUM(K4109:R4109)</f>
        <v>0</v>
      </c>
      <c r="V4109" s="169" t="str">
        <f t="shared" si="274"/>
        <v>REBOTE</v>
      </c>
      <c r="W4109" s="169" t="s">
        <v>8896</v>
      </c>
    </row>
    <row r="4110" spans="2:23" x14ac:dyDescent="0.25">
      <c r="B4110" s="169" t="s">
        <v>1167</v>
      </c>
      <c r="C4110" s="169" t="s">
        <v>43</v>
      </c>
      <c r="D4110" s="169" t="s">
        <v>165</v>
      </c>
      <c r="E4110" s="169" t="s">
        <v>61</v>
      </c>
      <c r="F4110" s="245" t="str">
        <f t="shared" si="316"/>
        <v>Dhoz 71</v>
      </c>
      <c r="G4110" s="169" t="s">
        <v>14126</v>
      </c>
      <c r="I4110" s="169" t="str">
        <f t="shared" si="257"/>
        <v>L12_GHVSPLIT_056E_DW</v>
      </c>
      <c r="J4110" s="169" t="s">
        <v>15300</v>
      </c>
      <c r="K4110" s="169">
        <f>IFERROR(MATCH(J4110,'Final List'!$B$4:$B$252,0),0)</f>
        <v>0</v>
      </c>
      <c r="L4110" s="169">
        <f>IFERROR(MATCH(J4110,'Final List'!$D$4:$D$252,0),0)</f>
        <v>0</v>
      </c>
      <c r="M4110" s="169">
        <f>IFERROR(MATCH(J4110,'Final List'!$F$4:$F$251,0),0)</f>
        <v>0</v>
      </c>
      <c r="N4110" s="169">
        <f>IFERROR(MATCH(J4110,'Final List'!$H$4:$H$252,0),0)</f>
        <v>0</v>
      </c>
      <c r="O4110" s="169">
        <f>IFERROR(MATCH(J4110,'Final List'!$J$4:$J$252,0),0)</f>
        <v>0</v>
      </c>
      <c r="P4110" s="169">
        <f>IFERROR(MATCH(J4110,'Final List'!$L$4:$L$252,0),0)</f>
        <v>0</v>
      </c>
      <c r="Q4110" s="169">
        <f>IFERROR(MATCH(J4110,'Final List'!$N$4:$N$252,0),0)</f>
        <v>0</v>
      </c>
      <c r="R4110" s="169">
        <f>IFERROR(MATCH(J4110,'Final List'!$P$4:$P$252,0),0)</f>
        <v>0</v>
      </c>
      <c r="S4110" s="169">
        <f t="shared" ref="S4110" si="327">SUM(K4110:R4110)</f>
        <v>0</v>
      </c>
      <c r="V4110" s="169" t="str">
        <f t="shared" si="274"/>
        <v>HAGANAS</v>
      </c>
      <c r="W4110" s="169" t="s">
        <v>8896</v>
      </c>
    </row>
    <row r="4111" spans="2:23" x14ac:dyDescent="0.25">
      <c r="B4111" s="169" t="s">
        <v>1167</v>
      </c>
      <c r="C4111" s="169" t="s">
        <v>87</v>
      </c>
      <c r="D4111" s="169" t="s">
        <v>1230</v>
      </c>
      <c r="E4111" s="169" t="s">
        <v>37</v>
      </c>
      <c r="F4111" s="245" t="str">
        <f t="shared" si="316"/>
        <v>Dhoz 71</v>
      </c>
      <c r="G4111" s="169" t="s">
        <v>13633</v>
      </c>
      <c r="I4111" s="169" t="str">
        <f t="shared" si="257"/>
        <v>L12_NONE_075E_XCN</v>
      </c>
      <c r="J4111" s="169" t="s">
        <v>15302</v>
      </c>
      <c r="K4111" s="169">
        <f>IFERROR(MATCH(J4111,'Final List'!$B$4:$B$252,0),0)</f>
        <v>0</v>
      </c>
      <c r="L4111" s="169">
        <f>IFERROR(MATCH(J4111,'Final List'!$D$4:$D$252,0),0)</f>
        <v>0</v>
      </c>
      <c r="M4111" s="169">
        <f>IFERROR(MATCH(J4111,'Final List'!$F$4:$F$251,0),0)</f>
        <v>0</v>
      </c>
      <c r="N4111" s="169">
        <f>IFERROR(MATCH(J4111,'Final List'!$H$4:$H$252,0),0)</f>
        <v>0</v>
      </c>
      <c r="O4111" s="169">
        <f>IFERROR(MATCH(J4111,'Final List'!$J$4:$J$252,0),0)</f>
        <v>0</v>
      </c>
      <c r="P4111" s="169">
        <f>IFERROR(MATCH(J4111,'Final List'!$L$4:$L$252,0),0)</f>
        <v>0</v>
      </c>
      <c r="Q4111" s="169">
        <f>IFERROR(MATCH(J4111,'Final List'!$N$4:$N$252,0),0)</f>
        <v>172</v>
      </c>
      <c r="R4111" s="169">
        <f>IFERROR(MATCH(J4111,'Final List'!$P$4:$P$252,0),0)</f>
        <v>0</v>
      </c>
      <c r="S4111" s="169">
        <f t="shared" ref="S4111" si="328">SUM(K4111:R4111)</f>
        <v>172</v>
      </c>
      <c r="V4111" s="169" t="str">
        <f t="shared" si="274"/>
        <v>CAYMAN</v>
      </c>
      <c r="W4111" s="169" t="s">
        <v>8898</v>
      </c>
    </row>
    <row r="4112" spans="2:23" x14ac:dyDescent="0.25">
      <c r="B4112" s="169" t="s">
        <v>96</v>
      </c>
      <c r="C4112" s="169" t="s">
        <v>38</v>
      </c>
      <c r="D4112" s="169" t="s">
        <v>145</v>
      </c>
      <c r="E4112" s="169" t="s">
        <v>62</v>
      </c>
      <c r="F4112" s="245" t="str">
        <f t="shared" si="316"/>
        <v>RobS 79</v>
      </c>
      <c r="G4112" t="s">
        <v>6216</v>
      </c>
      <c r="I4112" s="169" t="str">
        <f t="shared" si="257"/>
        <v>L09_GHV_009E_ROBBING</v>
      </c>
      <c r="J4112" s="169" t="s">
        <v>15304</v>
      </c>
      <c r="K4112" s="169">
        <f>IFERROR(MATCH(J4112,'Final List'!$B$4:$B$252,0),0)</f>
        <v>0</v>
      </c>
      <c r="L4112" s="169">
        <f>IFERROR(MATCH(J4112,'Final List'!$D$4:$D$252,0),0)</f>
        <v>0</v>
      </c>
      <c r="M4112" s="169">
        <f>IFERROR(MATCH(J4112,'Final List'!$F$4:$F$251,0),0)</f>
        <v>0</v>
      </c>
      <c r="N4112" s="169">
        <f>IFERROR(MATCH(J4112,'Final List'!$H$4:$H$252,0),0)</f>
        <v>0</v>
      </c>
      <c r="O4112" s="169">
        <f>IFERROR(MATCH(J4112,'Final List'!$J$4:$J$252,0),0)</f>
        <v>0</v>
      </c>
      <c r="P4112" s="169">
        <f>IFERROR(MATCH(J4112,'Final List'!$L$4:$L$252,0),0)</f>
        <v>0</v>
      </c>
      <c r="Q4112" s="169">
        <f>IFERROR(MATCH(J4112,'Final List'!$N$4:$N$252,0),0)</f>
        <v>0</v>
      </c>
      <c r="R4112" s="169">
        <f>IFERROR(MATCH(J4112,'Final List'!$P$4:$P$252,0),0)</f>
        <v>111</v>
      </c>
      <c r="S4112" s="169">
        <f t="shared" ref="S4112" si="329">SUM(K4112:R4112)</f>
        <v>111</v>
      </c>
      <c r="T4112" s="169" t="s">
        <v>68</v>
      </c>
      <c r="V4112" s="169" t="str">
        <f t="shared" si="274"/>
        <v>FERNANDEZ</v>
      </c>
      <c r="W4112" s="169" t="s">
        <v>2707</v>
      </c>
    </row>
    <row r="4113" spans="2:23" x14ac:dyDescent="0.25">
      <c r="B4113" s="169" t="s">
        <v>14095</v>
      </c>
      <c r="C4113" s="169" t="s">
        <v>43</v>
      </c>
      <c r="D4113" s="169" t="s">
        <v>289</v>
      </c>
      <c r="E4113" s="169" t="s">
        <v>61</v>
      </c>
      <c r="F4113" s="245" t="str">
        <f t="shared" si="316"/>
        <v>Dhoz 71</v>
      </c>
      <c r="G4113" s="169" t="s">
        <v>7716</v>
      </c>
      <c r="I4113" s="169" t="str">
        <f t="shared" si="257"/>
        <v>L460_GHVSPLIT_059E_DW</v>
      </c>
      <c r="J4113" s="169" t="s">
        <v>15308</v>
      </c>
      <c r="K4113" s="169">
        <f>IFERROR(MATCH(J4113,'Final List'!$B$4:$B$252,0),0)</f>
        <v>0</v>
      </c>
      <c r="L4113" s="169">
        <f>IFERROR(MATCH(J4113,'Final List'!$D$4:$D$252,0),0)</f>
        <v>0</v>
      </c>
      <c r="M4113" s="169">
        <f>IFERROR(MATCH(J4113,'Final List'!$F$4:$F$251,0),0)</f>
        <v>0</v>
      </c>
      <c r="N4113" s="169">
        <f>IFERROR(MATCH(J4113,'Final List'!$H$4:$H$252,0),0)</f>
        <v>0</v>
      </c>
      <c r="O4113" s="169">
        <f>IFERROR(MATCH(J4113,'Final List'!$J$4:$J$252,0),0)</f>
        <v>0</v>
      </c>
      <c r="P4113" s="169">
        <f>IFERROR(MATCH(J4113,'Final List'!$L$4:$L$252,0),0)</f>
        <v>0</v>
      </c>
      <c r="Q4113" s="169">
        <f>IFERROR(MATCH(J4113,'Final List'!$N$4:$N$252,0),0)</f>
        <v>0</v>
      </c>
      <c r="R4113" s="169">
        <f>IFERROR(MATCH(J4113,'Final List'!$P$4:$P$252,0),0)</f>
        <v>0</v>
      </c>
      <c r="S4113" s="169">
        <f t="shared" ref="S4113" si="330">SUM(K4113:R4113)</f>
        <v>0</v>
      </c>
      <c r="V4113" s="169" t="str">
        <f t="shared" si="274"/>
        <v>DUHIG P1</v>
      </c>
      <c r="W4113" s="169" t="s">
        <v>8896</v>
      </c>
    </row>
    <row r="4114" spans="2:23" x14ac:dyDescent="0.25">
      <c r="B4114" s="169" t="s">
        <v>95</v>
      </c>
      <c r="C4114" s="169" t="s">
        <v>45</v>
      </c>
      <c r="D4114" s="169" t="s">
        <v>143</v>
      </c>
      <c r="E4114" s="169" t="s">
        <v>15310</v>
      </c>
      <c r="F4114" s="245" t="str">
        <f>IF(OR(E4114="XCN",E4114="DE",E4114="DW",E4114="DN",E4114="XCS",E4114="XCE",E4114="XCW",E4114="SUMP",E4114="BYPASS",E4114="CHAMBER",E4114="DRAIN HOLE",E4114="DRILLING CHAMBER",E4114="DE_ISL",E4114="DW_ISL",E4114="REHAB",E4114="DE_ISL",E4114="DE_ISL_B",E4114="DW_ISL_B",E4114="DW_ISL_A",E4114="DE_ISL_A"),"Dhoz 71",IF(OR(E4114="RAISE",E4114="RAISE_ISL"),"DVR 72",IF(E4114="ALIMAK","DVA 73",IF(E4114="WINZE","DVW 74",IF(E4114="SHAFT","DVS 75",IF(AND(E4114="WINZE STOPE",T4114="S"),"RobC 80",IF(AND(E4114="STOPE",T4114="S"),"StpS 77",IF(AND(E4114="WINZE STOPE",T4114="L"),"RobC 80",IF(AND(E4114="STOPE",T4114="L"),"StpL 78",IF(AND(E4114="WINZE STOPE PREP",T4114="S"),"RobC 80",IF(AND(E4114="STOPE PREP",T4114="S"),"StpS 77",IF(AND(E4114="WINZE STOPE PREP",T4114="L"),"RobC 80",IF(AND(E4114="STOPE PREP",T4114="L"),"StpL 78",IF(AND(E4114="ROBBING",T4114="L"),"RobC 80",IF(AND(E4114="ROBBING",T4114="S"),"RobS 79",0)))))))))))))))</f>
        <v>Dhoz 71</v>
      </c>
      <c r="G4114" s="169" t="s">
        <v>6216</v>
      </c>
      <c r="I4114" s="169" t="str">
        <f t="shared" si="257"/>
        <v>L08_DPVE_032E_DE_ISL_A</v>
      </c>
      <c r="J4114" s="169" t="s">
        <v>15309</v>
      </c>
      <c r="K4114" s="169">
        <f>IFERROR(MATCH(J4114,'Final List'!$B$4:$B$252,0),0)</f>
        <v>0</v>
      </c>
      <c r="L4114" s="169">
        <f>IFERROR(MATCH(J4114,'Final List'!$D$4:$D$252,0),0)</f>
        <v>0</v>
      </c>
      <c r="M4114" s="169">
        <f>IFERROR(MATCH(J4114,'Final List'!$F$4:$F$251,0),0)</f>
        <v>0</v>
      </c>
      <c r="N4114" s="169">
        <f>IFERROR(MATCH(J4114,'Final List'!$H$4:$H$252,0),0)</f>
        <v>0</v>
      </c>
      <c r="O4114" s="169">
        <f>IFERROR(MATCH(J4114,'Final List'!$J$4:$J$252,0),0)</f>
        <v>0</v>
      </c>
      <c r="P4114" s="169">
        <f>IFERROR(MATCH(J4114,'Final List'!$L$4:$L$252,0),0)</f>
        <v>0</v>
      </c>
      <c r="Q4114" s="169">
        <f>IFERROR(MATCH(J4114,'Final List'!$N$4:$N$252,0),0)</f>
        <v>0</v>
      </c>
      <c r="R4114" s="169">
        <f>IFERROR(MATCH(J4114,'Final List'!$P$4:$P$252,0),0)</f>
        <v>0</v>
      </c>
      <c r="S4114" s="169">
        <f t="shared" ref="S4114" si="331">SUM(K4114:R4114)</f>
        <v>0</v>
      </c>
      <c r="V4114" s="169" t="str">
        <f t="shared" si="274"/>
        <v>FERNANDEZ</v>
      </c>
      <c r="W4114" s="169" t="s">
        <v>8895</v>
      </c>
    </row>
    <row r="4115" spans="2:23" x14ac:dyDescent="0.25">
      <c r="B4115" s="169" t="s">
        <v>14095</v>
      </c>
      <c r="C4115" s="169" t="s">
        <v>43</v>
      </c>
      <c r="D4115" s="169" t="s">
        <v>218</v>
      </c>
      <c r="E4115" s="169" t="s">
        <v>60</v>
      </c>
      <c r="F4115" s="245" t="str">
        <f t="shared" si="316"/>
        <v>Dhoz 71</v>
      </c>
      <c r="G4115" s="169" t="s">
        <v>15055</v>
      </c>
      <c r="I4115" s="169" t="str">
        <f t="shared" si="257"/>
        <v>L460_GHVSPLIT_062E_DE</v>
      </c>
      <c r="J4115" s="169" t="s">
        <v>15313</v>
      </c>
      <c r="K4115" s="169">
        <f>IFERROR(MATCH(J4115,'Final List'!$B$4:$B$252,0),0)</f>
        <v>0</v>
      </c>
      <c r="L4115" s="169">
        <f>IFERROR(MATCH(J4115,'Final List'!$D$4:$D$252,0),0)</f>
        <v>0</v>
      </c>
      <c r="M4115" s="169">
        <f>IFERROR(MATCH(J4115,'Final List'!$F$4:$F$251,0),0)</f>
        <v>0</v>
      </c>
      <c r="N4115" s="169">
        <f>IFERROR(MATCH(J4115,'Final List'!$H$4:$H$252,0),0)</f>
        <v>223</v>
      </c>
      <c r="O4115" s="169">
        <f>IFERROR(MATCH(J4115,'Final List'!$J$4:$J$252,0),0)</f>
        <v>0</v>
      </c>
      <c r="P4115" s="169">
        <f>IFERROR(MATCH(J4115,'Final List'!$L$4:$L$252,0),0)</f>
        <v>0</v>
      </c>
      <c r="Q4115" s="169">
        <f>IFERROR(MATCH(J4115,'Final List'!$N$4:$N$252,0),0)</f>
        <v>0</v>
      </c>
      <c r="R4115" s="169">
        <f>IFERROR(MATCH(J4115,'Final List'!$P$4:$P$252,0),0)</f>
        <v>0</v>
      </c>
      <c r="S4115" s="169">
        <f t="shared" ref="S4115" si="332">SUM(K4115:R4115)</f>
        <v>223</v>
      </c>
      <c r="V4115" s="169" t="str">
        <f t="shared" si="274"/>
        <v>NITRO CL</v>
      </c>
      <c r="W4115" s="169" t="s">
        <v>8896</v>
      </c>
    </row>
    <row r="4116" spans="2:23" x14ac:dyDescent="0.25">
      <c r="B4116" s="169" t="s">
        <v>1167</v>
      </c>
      <c r="C4116" s="169" t="s">
        <v>45</v>
      </c>
      <c r="D4116" s="169" t="s">
        <v>175</v>
      </c>
      <c r="E4116" s="169" t="s">
        <v>61</v>
      </c>
      <c r="F4116" s="245" t="str">
        <f t="shared" si="316"/>
        <v>Dhoz 71</v>
      </c>
      <c r="G4116" s="169" t="s">
        <v>14701</v>
      </c>
      <c r="I4116" s="169" t="str">
        <f t="shared" si="257"/>
        <v>L12_DPVE_060E_DW</v>
      </c>
      <c r="J4116" s="169" t="s">
        <v>15317</v>
      </c>
      <c r="K4116" s="169">
        <f>IFERROR(MATCH(J4116,'Final List'!$B$4:$B$252,0),0)</f>
        <v>0</v>
      </c>
      <c r="L4116" s="169">
        <f>IFERROR(MATCH(J4116,'Final List'!$D$4:$D$252,0),0)</f>
        <v>0</v>
      </c>
      <c r="M4116" s="169">
        <f>IFERROR(MATCH(J4116,'Final List'!$F$4:$F$251,0),0)</f>
        <v>0</v>
      </c>
      <c r="N4116" s="169">
        <f>IFERROR(MATCH(J4116,'Final List'!$H$4:$H$252,0),0)</f>
        <v>174</v>
      </c>
      <c r="O4116" s="169">
        <f>IFERROR(MATCH(J4116,'Final List'!$J$4:$J$252,0),0)</f>
        <v>0</v>
      </c>
      <c r="P4116" s="169">
        <f>IFERROR(MATCH(J4116,'Final List'!$L$4:$L$252,0),0)</f>
        <v>0</v>
      </c>
      <c r="Q4116" s="169">
        <f>IFERROR(MATCH(J4116,'Final List'!$N$4:$N$252,0),0)</f>
        <v>0</v>
      </c>
      <c r="R4116" s="169">
        <f>IFERROR(MATCH(J4116,'Final List'!$P$4:$P$252,0),0)</f>
        <v>0</v>
      </c>
      <c r="S4116" s="169">
        <f t="shared" ref="S4116" si="333">SUM(K4116:R4116)</f>
        <v>174</v>
      </c>
      <c r="V4116" s="169" t="str">
        <f t="shared" si="274"/>
        <v>DUHIG, P</v>
      </c>
      <c r="W4116" s="169" t="s">
        <v>8896</v>
      </c>
    </row>
    <row r="4117" spans="2:23" x14ac:dyDescent="0.25">
      <c r="B4117" s="169" t="s">
        <v>1167</v>
      </c>
      <c r="C4117" s="169" t="s">
        <v>38</v>
      </c>
      <c r="D4117" s="169" t="s">
        <v>159</v>
      </c>
      <c r="E4117" s="169" t="s">
        <v>61</v>
      </c>
      <c r="F4117" s="245" t="str">
        <f t="shared" si="316"/>
        <v>Dhoz 71</v>
      </c>
      <c r="G4117" s="169" t="s">
        <v>14126</v>
      </c>
      <c r="I4117" s="169" t="str">
        <f t="shared" si="257"/>
        <v>L12_GHV_023E_DW</v>
      </c>
      <c r="J4117" s="169" t="s">
        <v>15365</v>
      </c>
      <c r="K4117" s="169">
        <f>IFERROR(MATCH(J4117,'Final List'!$B$4:$B$252,0),0)</f>
        <v>0</v>
      </c>
      <c r="L4117" s="169">
        <f>IFERROR(MATCH(J4117,'Final List'!$D$4:$D$252,0),0)</f>
        <v>0</v>
      </c>
      <c r="M4117" s="169">
        <f>IFERROR(MATCH(J4117,'Final List'!$F$4:$F$251,0),0)</f>
        <v>0</v>
      </c>
      <c r="N4117" s="169">
        <f>IFERROR(MATCH(J4117,'Final List'!$H$4:$H$252,0),0)</f>
        <v>175</v>
      </c>
      <c r="O4117" s="169">
        <f>IFERROR(MATCH(J4117,'Final List'!$J$4:$J$252,0),0)</f>
        <v>0</v>
      </c>
      <c r="P4117" s="169">
        <f>IFERROR(MATCH(J4117,'Final List'!$L$4:$L$252,0),0)</f>
        <v>0</v>
      </c>
      <c r="Q4117" s="169">
        <f>IFERROR(MATCH(J4117,'Final List'!$N$4:$N$252,0),0)</f>
        <v>0</v>
      </c>
      <c r="R4117" s="169">
        <f>IFERROR(MATCH(J4117,'Final List'!$P$4:$P$252,0),0)</f>
        <v>0</v>
      </c>
      <c r="S4117" s="169">
        <f t="shared" ref="S4117" si="334">SUM(K4117:R4117)</f>
        <v>175</v>
      </c>
      <c r="V4117" s="169" t="str">
        <f t="shared" si="274"/>
        <v>HAGANAS</v>
      </c>
      <c r="W4117" s="169" t="s">
        <v>8896</v>
      </c>
    </row>
    <row r="4118" spans="2:23" x14ac:dyDescent="0.25">
      <c r="B4118" s="169" t="s">
        <v>1166</v>
      </c>
      <c r="C4118" s="169" t="s">
        <v>45</v>
      </c>
      <c r="D4118" s="169" t="s">
        <v>7301</v>
      </c>
      <c r="E4118" s="169" t="s">
        <v>61</v>
      </c>
      <c r="F4118" s="245" t="str">
        <f t="shared" si="316"/>
        <v>Dhoz 71</v>
      </c>
      <c r="G4118" s="169" t="s">
        <v>14265</v>
      </c>
      <c r="I4118" s="169" t="str">
        <f t="shared" si="257"/>
        <v>L11_DPVE_010W_DW</v>
      </c>
      <c r="J4118" s="169" t="s">
        <v>15321</v>
      </c>
      <c r="K4118" s="169">
        <f>IFERROR(MATCH(J4118,'Final List'!$B$4:$B$252,0),0)</f>
        <v>0</v>
      </c>
      <c r="L4118" s="169">
        <f>IFERROR(MATCH(J4118,'Final List'!$D$4:$D$252,0),0)</f>
        <v>0</v>
      </c>
      <c r="M4118" s="169">
        <f>IFERROR(MATCH(J4118,'Final List'!$F$4:$F$251,0),0)</f>
        <v>0</v>
      </c>
      <c r="N4118" s="169">
        <f>IFERROR(MATCH(J4118,'Final List'!$H$4:$H$252,0),0)</f>
        <v>159</v>
      </c>
      <c r="O4118" s="169">
        <f>IFERROR(MATCH(J4118,'Final List'!$J$4:$J$252,0),0)</f>
        <v>0</v>
      </c>
      <c r="P4118" s="169">
        <f>IFERROR(MATCH(J4118,'Final List'!$L$4:$L$252,0),0)</f>
        <v>0</v>
      </c>
      <c r="Q4118" s="169">
        <f>IFERROR(MATCH(J4118,'Final List'!$N$4:$N$252,0),0)</f>
        <v>0</v>
      </c>
      <c r="R4118" s="169">
        <f>IFERROR(MATCH(J4118,'Final List'!$P$4:$P$252,0),0)</f>
        <v>0</v>
      </c>
      <c r="S4118" s="169">
        <f t="shared" ref="S4118" si="335">SUM(K4118:R4118)</f>
        <v>159</v>
      </c>
      <c r="V4118" s="169" t="str">
        <f t="shared" si="274"/>
        <v>NITRO BB1</v>
      </c>
      <c r="W4118" s="169" t="s">
        <v>8896</v>
      </c>
    </row>
    <row r="4119" spans="2:23" x14ac:dyDescent="0.25">
      <c r="B4119" s="169" t="s">
        <v>1166</v>
      </c>
      <c r="C4119" s="169" t="s">
        <v>45</v>
      </c>
      <c r="D4119" s="169" t="s">
        <v>98</v>
      </c>
      <c r="E4119" s="169" t="s">
        <v>19</v>
      </c>
      <c r="F4119" s="245" t="str">
        <f t="shared" si="316"/>
        <v>DVR 72</v>
      </c>
      <c r="G4119" s="169" t="s">
        <v>4068</v>
      </c>
      <c r="H4119" s="169" t="s">
        <v>12070</v>
      </c>
      <c r="I4119" s="169" t="str">
        <f t="shared" si="257"/>
        <v>L11_DPVE_014W_RAISE</v>
      </c>
      <c r="J4119" s="169" t="s">
        <v>15329</v>
      </c>
      <c r="K4119" s="169">
        <f>IFERROR(MATCH(J4119,'Final List'!$B$4:$B$252,0),0)</f>
        <v>0</v>
      </c>
      <c r="L4119" s="169">
        <f>IFERROR(MATCH(J4119,'Final List'!$D$4:$D$252,0),0)</f>
        <v>0</v>
      </c>
      <c r="M4119" s="169">
        <f>IFERROR(MATCH(J4119,'Final List'!$F$4:$F$251,0),0)</f>
        <v>0</v>
      </c>
      <c r="N4119" s="169">
        <f>IFERROR(MATCH(J4119,'Final List'!$H$4:$H$252,0),0)</f>
        <v>0</v>
      </c>
      <c r="O4119" s="169">
        <f>IFERROR(MATCH(J4119,'Final List'!$J$4:$J$252,0),0)</f>
        <v>157</v>
      </c>
      <c r="P4119" s="169">
        <f>IFERROR(MATCH(J4119,'Final List'!$L$4:$L$252,0),0)</f>
        <v>0</v>
      </c>
      <c r="Q4119" s="169">
        <f>IFERROR(MATCH(J4119,'Final List'!$N$4:$N$252,0),0)</f>
        <v>0</v>
      </c>
      <c r="R4119" s="169">
        <f>IFERROR(MATCH(J4119,'Final List'!$P$4:$P$252,0),0)</f>
        <v>0</v>
      </c>
      <c r="S4119" s="169">
        <f t="shared" ref="S4119:S4120" si="336">SUM(K4119:R4119)</f>
        <v>157</v>
      </c>
      <c r="V4119" s="169" t="str">
        <f t="shared" si="274"/>
        <v>NITRO BB</v>
      </c>
      <c r="W4119" s="169" t="s">
        <v>2715</v>
      </c>
    </row>
    <row r="4120" spans="2:23" x14ac:dyDescent="0.25">
      <c r="B4120" s="169" t="s">
        <v>14095</v>
      </c>
      <c r="C4120" s="169" t="s">
        <v>43</v>
      </c>
      <c r="D4120" s="169" t="s">
        <v>173</v>
      </c>
      <c r="E4120" s="169" t="s">
        <v>61</v>
      </c>
      <c r="F4120" s="245" t="str">
        <f t="shared" si="316"/>
        <v>Dhoz 71</v>
      </c>
      <c r="G4120" s="169" t="s">
        <v>6930</v>
      </c>
      <c r="I4120" s="169" t="str">
        <f t="shared" si="257"/>
        <v>L460_GHVSPLIT_049E_DW</v>
      </c>
      <c r="J4120" s="169" t="s">
        <v>15323</v>
      </c>
      <c r="K4120" s="169">
        <f>IFERROR(MATCH(J4120,'Final List'!$B$4:$B$252,0),0)</f>
        <v>0</v>
      </c>
      <c r="L4120" s="169">
        <f>IFERROR(MATCH(J4120,'Final List'!$D$4:$D$252,0),0)</f>
        <v>0</v>
      </c>
      <c r="M4120" s="169">
        <f>IFERROR(MATCH(J4120,'Final List'!$F$4:$F$251,0),0)</f>
        <v>0</v>
      </c>
      <c r="N4120" s="169">
        <f>IFERROR(MATCH(J4120,'Final List'!$H$4:$H$252,0),0)</f>
        <v>0</v>
      </c>
      <c r="O4120" s="169">
        <f>IFERROR(MATCH(J4120,'Final List'!$J$4:$J$252,0),0)</f>
        <v>0</v>
      </c>
      <c r="P4120" s="169">
        <f>IFERROR(MATCH(J4120,'Final List'!$L$4:$L$252,0),0)</f>
        <v>0</v>
      </c>
      <c r="Q4120" s="169">
        <f>IFERROR(MATCH(J4120,'Final List'!$N$4:$N$252,0),0)</f>
        <v>0</v>
      </c>
      <c r="R4120" s="169">
        <f>IFERROR(MATCH(J4120,'Final List'!$P$4:$P$252,0),0)</f>
        <v>0</v>
      </c>
      <c r="S4120" s="169">
        <f t="shared" si="336"/>
        <v>0</v>
      </c>
      <c r="V4120" s="169" t="str">
        <f t="shared" si="274"/>
        <v>DUHIG, P1</v>
      </c>
      <c r="W4120" s="169" t="s">
        <v>8896</v>
      </c>
    </row>
    <row r="4121" spans="2:23" x14ac:dyDescent="0.25">
      <c r="B4121" s="169" t="s">
        <v>12320</v>
      </c>
      <c r="C4121" s="169" t="s">
        <v>57</v>
      </c>
      <c r="D4121" s="169" t="s">
        <v>201</v>
      </c>
      <c r="E4121" s="169" t="s">
        <v>19</v>
      </c>
      <c r="F4121" s="245" t="str">
        <f t="shared" si="316"/>
        <v>DVR 72</v>
      </c>
      <c r="G4121" s="169" t="s">
        <v>1376</v>
      </c>
      <c r="I4121" s="169" t="str">
        <f t="shared" si="257"/>
        <v>L425_JVSPLIT_067E_RAISE</v>
      </c>
      <c r="J4121" s="169" t="s">
        <v>15330</v>
      </c>
      <c r="K4121" s="169">
        <f>IFERROR(MATCH(J4121,'Final List'!$B$4:$B$252,0),0)</f>
        <v>0</v>
      </c>
      <c r="L4121" s="169">
        <f>IFERROR(MATCH(J4121,'Final List'!$D$4:$D$252,0),0)</f>
        <v>0</v>
      </c>
      <c r="M4121" s="169">
        <f>IFERROR(MATCH(J4121,'Final List'!$F$4:$F$251,0),0)</f>
        <v>0</v>
      </c>
      <c r="N4121" s="169">
        <f>IFERROR(MATCH(J4121,'Final List'!$H$4:$H$252,0),0)</f>
        <v>0</v>
      </c>
      <c r="O4121" s="169">
        <f>IFERROR(MATCH(J4121,'Final List'!$J$4:$J$252,0),0)</f>
        <v>192</v>
      </c>
      <c r="P4121" s="169">
        <f>IFERROR(MATCH(J4121,'Final List'!$L$4:$L$252,0),0)</f>
        <v>0</v>
      </c>
      <c r="Q4121" s="169">
        <f>IFERROR(MATCH(J4121,'Final List'!$N$4:$N$252,0),0)</f>
        <v>0</v>
      </c>
      <c r="R4121" s="169">
        <f>IFERROR(MATCH(J4121,'Final List'!$P$4:$P$252,0),0)</f>
        <v>0</v>
      </c>
      <c r="S4121" s="169">
        <f t="shared" ref="S4121" si="337">SUM(K4121:R4121)</f>
        <v>192</v>
      </c>
      <c r="V4121" s="169" t="str">
        <f t="shared" ref="V4121:V4126" si="338">IF(H4121="",G4121,H4121)</f>
        <v>LERIO</v>
      </c>
      <c r="W4121" s="169" t="s">
        <v>2715</v>
      </c>
    </row>
    <row r="4122" spans="2:23" x14ac:dyDescent="0.25">
      <c r="B4122" s="169" t="s">
        <v>1167</v>
      </c>
      <c r="C4122" s="169" t="s">
        <v>42</v>
      </c>
      <c r="D4122" s="169" t="s">
        <v>5889</v>
      </c>
      <c r="E4122" s="169" t="s">
        <v>15183</v>
      </c>
      <c r="F4122" s="245" t="str">
        <f>IF(OR(E4122="XCN",E4122="DE",E4122="DW",E4122="DN",E4122="XCS",E4122="XCE",E4122="XCW",E4122="SUMP",E4122="BYPASS",E4122="CHAMBER",E4122="DRAIN HOLE",E4122="DRILLING CHAMBER",E4122="DE_ISL",E4122="DW_ISL",E4122="REHAB",E4122="DE_ISL",E4122="DE_ISL_B",E4122="DW_ISL_B",E4122="DW_ISL_A",E4122="DE_ISL_A"),"Dhoz 71",IF(OR(E4122="RAISE",E4122="RAISE_ISL"),"DVR 72",IF(E4122="ALIMAK","DVA 73",IF(E4122="WINZE","DVW 74",IF(E4122="SHAFT","DVS 75",IF(AND(E4122="WINZE STOPE",T4122="S"),"RobC 80",IF(AND(E4122="STOPE",T4122="S"),"StpS 77",IF(AND(E4122="WINZE STOPE",T4122="L"),"RobC 80",IF(AND(E4122="STOPE",T4122="L"),"StpL 78",IF(AND(E4122="WINZE STOPE PREP",T4122="S"),"RobC 80",IF(AND(E4122="STOPE PREP",T4122="S"),"StpS 77",IF(AND(E4122="WINZE STOPE PREP",T4122="L"),"RobC 80",IF(AND(E4122="STOPE PREP",T4122="L"),"StpL 78",IF(AND(E4122="ROBBING",T4122="L"),"RobC 80",IF(AND(E4122="ROBBING",T4122="S"),"RobS 79",0)))))))))))))))</f>
        <v>Dhoz 71</v>
      </c>
      <c r="G4122" s="169" t="s">
        <v>14132</v>
      </c>
      <c r="I4122" s="169" t="str">
        <f t="shared" si="257"/>
        <v>L12_JV_077E_DW_ISL_A</v>
      </c>
      <c r="J4122" s="169" t="s">
        <v>15332</v>
      </c>
      <c r="K4122" s="169">
        <f>IFERROR(MATCH(J4122,'Final List'!$B$4:$B$252,0),0)</f>
        <v>0</v>
      </c>
      <c r="L4122" s="169">
        <f>IFERROR(MATCH(J4122,'Final List'!$D$4:$D$252,0),0)</f>
        <v>0</v>
      </c>
      <c r="M4122" s="169">
        <f>IFERROR(MATCH(J4122,'Final List'!$F$4:$F$251,0),0)</f>
        <v>0</v>
      </c>
      <c r="N4122" s="169">
        <f>IFERROR(MATCH(J4122,'Final List'!$H$4:$H$252,0),0)</f>
        <v>172</v>
      </c>
      <c r="O4122" s="169">
        <f>IFERROR(MATCH(J4122,'Final List'!$J$4:$J$252,0),0)</f>
        <v>0</v>
      </c>
      <c r="P4122" s="169">
        <f>IFERROR(MATCH(J4122,'Final List'!$L$4:$L$252,0),0)</f>
        <v>0</v>
      </c>
      <c r="Q4122" s="169">
        <f>IFERROR(MATCH(J4122,'Final List'!$N$4:$N$252,0),0)</f>
        <v>0</v>
      </c>
      <c r="R4122" s="169">
        <f>IFERROR(MATCH(J4122,'Final List'!$P$4:$P$252,0),0)</f>
        <v>0</v>
      </c>
      <c r="S4122" s="169">
        <f t="shared" ref="S4122" si="339">SUM(K4122:R4122)</f>
        <v>172</v>
      </c>
      <c r="V4122" s="169" t="str">
        <f t="shared" si="338"/>
        <v>LANTACA</v>
      </c>
      <c r="W4122" s="169" t="s">
        <v>8896</v>
      </c>
    </row>
    <row r="4123" spans="2:23" x14ac:dyDescent="0.25">
      <c r="B4123" s="169" t="s">
        <v>12320</v>
      </c>
      <c r="C4123" s="169" t="s">
        <v>43</v>
      </c>
      <c r="D4123" s="169" t="s">
        <v>144</v>
      </c>
      <c r="E4123" s="169" t="s">
        <v>211</v>
      </c>
      <c r="F4123" s="245" t="str">
        <f t="shared" si="316"/>
        <v>StpS 77</v>
      </c>
      <c r="G4123" s="169" t="s">
        <v>14897</v>
      </c>
      <c r="I4123" s="169" t="str">
        <f t="shared" si="257"/>
        <v>L425_GHVSPLIT_043E_STOPE PREP</v>
      </c>
      <c r="J4123" s="169" t="s">
        <v>15335</v>
      </c>
      <c r="K4123" s="169">
        <f>IFERROR(MATCH(J4123,'Final List'!$B$4:$B$252,0),0)</f>
        <v>190</v>
      </c>
      <c r="L4123" s="169">
        <f>IFERROR(MATCH(J4123,'Final List'!$D$4:$D$252,0),0)</f>
        <v>0</v>
      </c>
      <c r="M4123" s="169">
        <f>IFERROR(MATCH(J4123,'Final List'!$F$4:$F$251,0),0)</f>
        <v>0</v>
      </c>
      <c r="N4123" s="169">
        <f>IFERROR(MATCH(J4123,'Final List'!$H$4:$H$252,0),0)</f>
        <v>0</v>
      </c>
      <c r="O4123" s="169">
        <f>IFERROR(MATCH(J4123,'Final List'!$J$4:$J$252,0),0)</f>
        <v>0</v>
      </c>
      <c r="P4123" s="169">
        <f>IFERROR(MATCH(J4123,'Final List'!$L$4:$L$252,0),0)</f>
        <v>0</v>
      </c>
      <c r="Q4123" s="169">
        <f>IFERROR(MATCH(J4123,'Final List'!$N$4:$N$252,0),0)</f>
        <v>0</v>
      </c>
      <c r="R4123" s="169">
        <f>IFERROR(MATCH(J4123,'Final List'!$P$4:$P$252,0),0)</f>
        <v>0</v>
      </c>
      <c r="S4123" s="169">
        <f t="shared" ref="S4123" si="340">SUM(K4123:R4123)</f>
        <v>190</v>
      </c>
      <c r="T4123" s="169" t="s">
        <v>68</v>
      </c>
      <c r="V4123" s="169" t="str">
        <f t="shared" si="338"/>
        <v>ESPINOSA 1</v>
      </c>
      <c r="W4123" s="169" t="s">
        <v>2712</v>
      </c>
    </row>
    <row r="4124" spans="2:23" x14ac:dyDescent="0.25">
      <c r="B4124" s="169" t="s">
        <v>1167</v>
      </c>
      <c r="C4124" s="169" t="s">
        <v>39</v>
      </c>
      <c r="D4124" s="169" t="s">
        <v>178</v>
      </c>
      <c r="E4124" s="169" t="s">
        <v>36</v>
      </c>
      <c r="F4124" s="245" t="str">
        <f t="shared" si="316"/>
        <v>StpL 78</v>
      </c>
      <c r="G4124" s="169" t="s">
        <v>14133</v>
      </c>
      <c r="I4124" s="169" t="str">
        <f t="shared" si="257"/>
        <v>L12_JVHW_048E_STOPE</v>
      </c>
      <c r="J4124" s="169" t="s">
        <v>15340</v>
      </c>
      <c r="K4124" s="169">
        <f>IFERROR(MATCH(J4124,'Final List'!$B$4:$B$252,0),0)</f>
        <v>0</v>
      </c>
      <c r="L4124" s="169">
        <f>IFERROR(MATCH(J4124,'Final List'!$D$4:$D$252,0),0)</f>
        <v>175</v>
      </c>
      <c r="M4124" s="169">
        <f>IFERROR(MATCH(J4124,'Final List'!$F$4:$F$251,0),0)</f>
        <v>0</v>
      </c>
      <c r="N4124" s="169">
        <f>IFERROR(MATCH(J4124,'Final List'!$H$4:$H$252,0),0)</f>
        <v>0</v>
      </c>
      <c r="O4124" s="169">
        <f>IFERROR(MATCH(J4124,'Final List'!$J$4:$J$252,0),0)</f>
        <v>0</v>
      </c>
      <c r="P4124" s="169">
        <f>IFERROR(MATCH(J4124,'Final List'!$L$4:$L$252,0),0)</f>
        <v>0</v>
      </c>
      <c r="Q4124" s="169">
        <f>IFERROR(MATCH(J4124,'Final List'!$N$4:$N$252,0),0)</f>
        <v>0</v>
      </c>
      <c r="R4124" s="169">
        <f>IFERROR(MATCH(J4124,'Final List'!$P$4:$P$252,0),0)</f>
        <v>0</v>
      </c>
      <c r="S4124" s="169">
        <f t="shared" ref="S4124" si="341">SUM(K4124:R4124)</f>
        <v>175</v>
      </c>
      <c r="T4124" s="169" t="s">
        <v>48</v>
      </c>
      <c r="V4124" s="169" t="str">
        <f t="shared" si="338"/>
        <v>NITRO CG</v>
      </c>
      <c r="W4124" s="169" t="s">
        <v>2711</v>
      </c>
    </row>
    <row r="4125" spans="2:23" x14ac:dyDescent="0.25">
      <c r="B4125" s="169" t="s">
        <v>95</v>
      </c>
      <c r="C4125" s="169" t="s">
        <v>42</v>
      </c>
      <c r="D4125" s="169" t="s">
        <v>173</v>
      </c>
      <c r="E4125" s="169" t="s">
        <v>221</v>
      </c>
      <c r="F4125" s="245" t="str">
        <f t="shared" si="316"/>
        <v>RobC 80</v>
      </c>
      <c r="G4125" s="169" t="s">
        <v>14138</v>
      </c>
      <c r="I4125" s="169" t="str">
        <f t="shared" si="257"/>
        <v>L08_JV_049E_WINZE STOPE</v>
      </c>
      <c r="J4125" s="169" t="s">
        <v>15342</v>
      </c>
      <c r="K4125" s="169">
        <f>IFERROR(MATCH(J4125,'Final List'!$B$4:$B$252,0),0)</f>
        <v>0</v>
      </c>
      <c r="L4125" s="169">
        <f>IFERROR(MATCH(J4125,'Final List'!$D$4:$D$252,0),0)</f>
        <v>88</v>
      </c>
      <c r="M4125" s="169">
        <f>IFERROR(MATCH(J4125,'Final List'!$F$4:$F$251,0),0)</f>
        <v>0</v>
      </c>
      <c r="N4125" s="169">
        <f>IFERROR(MATCH(J4125,'Final List'!$H$4:$H$252,0),0)</f>
        <v>0</v>
      </c>
      <c r="O4125" s="169">
        <f>IFERROR(MATCH(J4125,'Final List'!$J$4:$J$252,0),0)</f>
        <v>0</v>
      </c>
      <c r="P4125" s="169">
        <f>IFERROR(MATCH(J4125,'Final List'!$L$4:$L$252,0),0)</f>
        <v>0</v>
      </c>
      <c r="Q4125" s="169">
        <f>IFERROR(MATCH(J4125,'Final List'!$N$4:$N$252,0),0)</f>
        <v>0</v>
      </c>
      <c r="R4125" s="169">
        <f>IFERROR(MATCH(J4125,'Final List'!$P$4:$P$252,0),0)</f>
        <v>0</v>
      </c>
      <c r="S4125" s="169">
        <f t="shared" ref="S4125" si="342">SUM(K4125:R4125)</f>
        <v>88</v>
      </c>
      <c r="T4125" s="169" t="s">
        <v>68</v>
      </c>
      <c r="V4125" s="169" t="str">
        <f t="shared" si="338"/>
        <v>CANTAGO 3</v>
      </c>
      <c r="W4125" s="169" t="s">
        <v>2711</v>
      </c>
    </row>
    <row r="4126" spans="2:23" x14ac:dyDescent="0.25">
      <c r="B4126" s="169" t="s">
        <v>12320</v>
      </c>
      <c r="C4126" s="169" t="s">
        <v>42</v>
      </c>
      <c r="D4126" s="169" t="s">
        <v>123</v>
      </c>
      <c r="E4126" s="169" t="s">
        <v>36</v>
      </c>
      <c r="F4126" s="245" t="str">
        <f t="shared" si="316"/>
        <v>StpL 78</v>
      </c>
      <c r="G4126" s="169" t="s">
        <v>7984</v>
      </c>
      <c r="I4126" s="169" t="str">
        <f t="shared" si="257"/>
        <v>L425_JV_031E_STOPE</v>
      </c>
      <c r="J4126" s="169" t="s">
        <v>15350</v>
      </c>
      <c r="K4126" s="169">
        <f>IFERROR(MATCH(J4126,'Final List'!$B$4:$B$252,0),0)</f>
        <v>0</v>
      </c>
      <c r="L4126" s="169">
        <f>IFERROR(MATCH(J4126,'Final List'!$D$4:$D$252,0),0)</f>
        <v>193</v>
      </c>
      <c r="M4126" s="169">
        <f>IFERROR(MATCH(J4126,'Final List'!$F$4:$F$251,0),0)</f>
        <v>0</v>
      </c>
      <c r="N4126" s="169">
        <f>IFERROR(MATCH(J4126,'Final List'!$H$4:$H$252,0),0)</f>
        <v>0</v>
      </c>
      <c r="O4126" s="169">
        <f>IFERROR(MATCH(J4126,'Final List'!$J$4:$J$252,0),0)</f>
        <v>0</v>
      </c>
      <c r="P4126" s="169">
        <f>IFERROR(MATCH(J4126,'Final List'!$L$4:$L$252,0),0)</f>
        <v>0</v>
      </c>
      <c r="Q4126" s="169">
        <f>IFERROR(MATCH(J4126,'Final List'!$N$4:$N$252,0),0)</f>
        <v>0</v>
      </c>
      <c r="R4126" s="169">
        <f>IFERROR(MATCH(J4126,'Final List'!$P$4:$P$252,0),0)</f>
        <v>0</v>
      </c>
      <c r="S4126" s="169">
        <f t="shared" ref="S4126" si="343">SUM(K4126:R4126)</f>
        <v>193</v>
      </c>
      <c r="T4126" s="169" t="s">
        <v>48</v>
      </c>
      <c r="V4126" s="169" t="str">
        <f t="shared" si="338"/>
        <v>OLIVEROS</v>
      </c>
      <c r="W4126" s="169" t="s">
        <v>2711</v>
      </c>
    </row>
    <row r="4127" spans="2:23" x14ac:dyDescent="0.25">
      <c r="B4127" s="169" t="s">
        <v>12320</v>
      </c>
      <c r="C4127" s="169" t="s">
        <v>38</v>
      </c>
      <c r="D4127" s="169" t="s">
        <v>289</v>
      </c>
      <c r="E4127" s="169" t="s">
        <v>20</v>
      </c>
      <c r="F4127" s="245" t="str">
        <f t="shared" si="316"/>
        <v>DVW 74</v>
      </c>
      <c r="G4127" s="169" t="s">
        <v>15078</v>
      </c>
      <c r="I4127" s="169" t="str">
        <f t="shared" si="257"/>
        <v>L425_GHV_059E_WINZE</v>
      </c>
      <c r="J4127" s="169" t="s">
        <v>15354</v>
      </c>
      <c r="K4127" s="169">
        <f>IFERROR(MATCH(J4127,'Final List'!$B$4:$B$252,0),0)</f>
        <v>0</v>
      </c>
      <c r="L4127" s="169">
        <f>IFERROR(MATCH(J4127,'Final List'!$D$4:$D$252,0),0)</f>
        <v>0</v>
      </c>
      <c r="M4127" s="169">
        <f>IFERROR(MATCH(J4127,'Final List'!$F$4:$F$251,0),0)</f>
        <v>0</v>
      </c>
      <c r="N4127" s="169">
        <f>IFERROR(MATCH(J4127,'Final List'!$H$4:$H$252,0),0)</f>
        <v>0</v>
      </c>
      <c r="O4127" s="169">
        <f>IFERROR(MATCH(J4127,'Final List'!$J$4:$J$252,0),0)</f>
        <v>0</v>
      </c>
      <c r="P4127" s="169">
        <f>IFERROR(MATCH(J4127,'Final List'!$L$4:$L$252,0),0)</f>
        <v>191</v>
      </c>
      <c r="Q4127" s="169">
        <f>IFERROR(MATCH(J4127,'Final List'!$N$4:$N$252,0),0)</f>
        <v>0</v>
      </c>
      <c r="R4127" s="169">
        <f>IFERROR(MATCH(J4127,'Final List'!$P$4:$P$252,0),0)</f>
        <v>0</v>
      </c>
      <c r="S4127" s="169">
        <f t="shared" ref="S4127" si="344">SUM(K4127:R4127)</f>
        <v>191</v>
      </c>
      <c r="V4127" s="169" t="str">
        <f>IF(H4127="",G4127,H4127)</f>
        <v>NITRO CO</v>
      </c>
      <c r="W4127" s="169" t="s">
        <v>2706</v>
      </c>
    </row>
    <row r="4128" spans="2:23" x14ac:dyDescent="0.25">
      <c r="B4128" s="169" t="s">
        <v>95</v>
      </c>
      <c r="C4128" s="169" t="s">
        <v>38</v>
      </c>
      <c r="D4128" s="169" t="s">
        <v>6518</v>
      </c>
      <c r="E4128" s="169" t="s">
        <v>15183</v>
      </c>
      <c r="F4128" s="245" t="str">
        <f>IF(OR(E4128="XCN",E4128="DE",E4128="DW",E4128="DN",E4128="XCS",E4128="XCE",E4128="XCW",E4128="SUMP",E4128="BYPASS",E4128="CHAMBER",E4128="DRAIN HOLE",E4128="DRILLING CHAMBER",E4128="DE_ISL",E4128="DW_ISL",E4128="REHAB",E4128="DE_ISL",E4128="DE_ISL_B",E4128="DW_ISL_B",E4128="DW_ISL_A",E4128="DE_ISL_A"),"Dhoz 71",IF(OR(E4128="RAISE",E4128="RAISE_ISL"),"DVR 72",IF(E4128="ALIMAK","DVA 73",IF(E4128="WINZE","DVW 74",IF(E4128="SHAFT","DVS 75",IF(AND(E4128="WINZE STOPE",T4128="S"),"RobC 80",IF(AND(E4128="STOPE",T4128="S"),"StpS 77",IF(AND(E4128="WINZE STOPE",T4128="L"),"RobC 80",IF(AND(E4128="STOPE",T4128="L"),"StpL 78",IF(AND(E4128="WINZE STOPE PREP",T4128="S"),"RobC 80",IF(AND(E4128="STOPE PREP",T4128="S"),"StpS 77",IF(AND(E4128="WINZE STOPE PREP",T4128="L"),"RobC 80",IF(AND(E4128="STOPE PREP",T4128="L"),"StpL 78",IF(AND(E4128="ROBBING",T4128="L"),"RobC 80",IF(AND(E4128="ROBBING",T4128="S"),"RobS 79",0)))))))))))))))</f>
        <v>Dhoz 71</v>
      </c>
      <c r="G4128" s="169" t="s">
        <v>6216</v>
      </c>
      <c r="I4128" s="169" t="str">
        <f t="shared" si="257"/>
        <v>L08_GHV_007E_DW_ISL_A</v>
      </c>
      <c r="J4128" s="169" t="s">
        <v>15358</v>
      </c>
      <c r="K4128" s="169">
        <f>IFERROR(MATCH(J4128,'Final List'!$B$4:$B$252,0),0)</f>
        <v>0</v>
      </c>
      <c r="L4128" s="169">
        <f>IFERROR(MATCH(J4128,'Final List'!$D$4:$D$252,0),0)</f>
        <v>0</v>
      </c>
      <c r="M4128" s="169">
        <f>IFERROR(MATCH(J4128,'Final List'!$F$4:$F$251,0),0)</f>
        <v>0</v>
      </c>
      <c r="N4128" s="169">
        <f>IFERROR(MATCH(J4128,'Final List'!$H$4:$H$252,0),0)</f>
        <v>0</v>
      </c>
      <c r="O4128" s="169">
        <f>IFERROR(MATCH(J4128,'Final List'!$J$4:$J$252,0),0)</f>
        <v>0</v>
      </c>
      <c r="P4128" s="169">
        <f>IFERROR(MATCH(J4128,'Final List'!$L$4:$L$252,0),0)</f>
        <v>0</v>
      </c>
      <c r="Q4128" s="169">
        <f>IFERROR(MATCH(J4128,'Final List'!$N$4:$N$252,0),0)</f>
        <v>0</v>
      </c>
      <c r="R4128" s="169">
        <f>IFERROR(MATCH(J4128,'Final List'!$P$4:$P$252,0),0)</f>
        <v>0</v>
      </c>
      <c r="S4128" s="169">
        <f t="shared" ref="S4128" si="345">SUM(K4128:R4128)</f>
        <v>0</v>
      </c>
      <c r="V4128" s="169" t="str">
        <f>IF(H4128="",G4128,H4128)</f>
        <v>FERNANDEZ</v>
      </c>
      <c r="W4128" s="169" t="s">
        <v>8895</v>
      </c>
    </row>
    <row r="4129" spans="2:23" x14ac:dyDescent="0.25">
      <c r="B4129" s="169" t="s">
        <v>95</v>
      </c>
      <c r="C4129" s="169" t="s">
        <v>38</v>
      </c>
      <c r="D4129" s="169" t="s">
        <v>6864</v>
      </c>
      <c r="E4129" s="169" t="s">
        <v>62</v>
      </c>
      <c r="F4129" s="245" t="str">
        <f t="shared" si="316"/>
        <v>RobS 79</v>
      </c>
      <c r="G4129" s="169" t="s">
        <v>6216</v>
      </c>
      <c r="I4129" s="169" t="str">
        <f t="shared" si="257"/>
        <v>L08_GHV_006E_ROBBING</v>
      </c>
      <c r="J4129" s="169" t="s">
        <v>15363</v>
      </c>
      <c r="K4129" s="169">
        <f>IFERROR(MATCH(J4129,'Final List'!$B$4:$B$252,0),0)</f>
        <v>0</v>
      </c>
      <c r="L4129" s="169">
        <f>IFERROR(MATCH(J4129,'Final List'!$D$4:$D$252,0),0)</f>
        <v>0</v>
      </c>
      <c r="M4129" s="169">
        <f>IFERROR(MATCH(J4129,'Final List'!$F$4:$F$251,0),0)</f>
        <v>0</v>
      </c>
      <c r="N4129" s="169">
        <f>IFERROR(MATCH(J4129,'Final List'!$H$4:$H$252,0),0)</f>
        <v>0</v>
      </c>
      <c r="O4129" s="169">
        <f>IFERROR(MATCH(J4129,'Final List'!$J$4:$J$252,0),0)</f>
        <v>0</v>
      </c>
      <c r="P4129" s="169">
        <f>IFERROR(MATCH(J4129,'Final List'!$L$4:$L$252,0),0)</f>
        <v>0</v>
      </c>
      <c r="Q4129" s="169">
        <f>IFERROR(MATCH(J4129,'Final List'!$N$4:$N$252,0),0)</f>
        <v>0</v>
      </c>
      <c r="R4129" s="169">
        <f>IFERROR(MATCH(J4129,'Final List'!$P$4:$P$252,0),0)</f>
        <v>86</v>
      </c>
      <c r="S4129" s="169">
        <f t="shared" ref="S4129" si="346">SUM(K4129:R4129)</f>
        <v>86</v>
      </c>
      <c r="T4129" s="169" t="s">
        <v>68</v>
      </c>
      <c r="V4129" s="169" t="str">
        <f t="shared" ref="V4129:V4151" si="347">IF(H4129="",G4129,H4129)</f>
        <v>FERNANDEZ</v>
      </c>
      <c r="W4129" s="169" t="s">
        <v>2707</v>
      </c>
    </row>
    <row r="4130" spans="2:23" ht="14.25" customHeight="1" x14ac:dyDescent="0.25">
      <c r="B4130" s="169" t="s">
        <v>14095</v>
      </c>
      <c r="C4130" s="169" t="s">
        <v>87</v>
      </c>
      <c r="D4130" s="169" t="s">
        <v>173</v>
      </c>
      <c r="E4130" s="169" t="s">
        <v>37</v>
      </c>
      <c r="F4130" s="245" t="str">
        <f t="shared" si="316"/>
        <v>Dhoz 71</v>
      </c>
      <c r="G4130" s="169" t="s">
        <v>6930</v>
      </c>
      <c r="I4130" s="169" t="str">
        <f t="shared" si="257"/>
        <v>L460_NONE_049E_XCN</v>
      </c>
      <c r="J4130" s="169" t="s">
        <v>15371</v>
      </c>
      <c r="K4130" s="169">
        <f>IFERROR(MATCH(J4130,'Final List'!$B$4:$B$252,0),0)</f>
        <v>0</v>
      </c>
      <c r="L4130" s="169">
        <f>IFERROR(MATCH(J4130,'Final List'!$D$4:$D$252,0),0)</f>
        <v>0</v>
      </c>
      <c r="M4130" s="169">
        <f>IFERROR(MATCH(J4130,'Final List'!$F$4:$F$251,0),0)</f>
        <v>0</v>
      </c>
      <c r="N4130" s="169">
        <f>IFERROR(MATCH(J4130,'Final List'!$H$4:$H$252,0),0)</f>
        <v>0</v>
      </c>
      <c r="O4130" s="169">
        <f>IFERROR(MATCH(J4130,'Final List'!$J$4:$J$252,0),0)</f>
        <v>0</v>
      </c>
      <c r="P4130" s="169">
        <f>IFERROR(MATCH(J4130,'Final List'!$L$4:$L$252,0),0)</f>
        <v>0</v>
      </c>
      <c r="Q4130" s="169">
        <f>IFERROR(MATCH(J4130,'Final List'!$N$4:$N$252,0),0)</f>
        <v>220</v>
      </c>
      <c r="R4130" s="169">
        <f>IFERROR(MATCH(J4130,'Final List'!$P$4:$P$252,0),0)</f>
        <v>0</v>
      </c>
      <c r="S4130" s="169">
        <f t="shared" ref="S4130" si="348">SUM(K4130:R4130)</f>
        <v>220</v>
      </c>
      <c r="V4130" s="169" t="str">
        <f t="shared" si="347"/>
        <v>DUHIG, P1</v>
      </c>
      <c r="W4130" s="169" t="s">
        <v>8898</v>
      </c>
    </row>
    <row r="4131" spans="2:23" x14ac:dyDescent="0.25">
      <c r="B4131" s="169" t="s">
        <v>1167</v>
      </c>
      <c r="C4131" s="169" t="s">
        <v>43</v>
      </c>
      <c r="D4131" s="169" t="s">
        <v>176</v>
      </c>
      <c r="E4131" s="169" t="s">
        <v>211</v>
      </c>
      <c r="F4131" s="245" t="str">
        <f t="shared" si="316"/>
        <v>StpS 77</v>
      </c>
      <c r="G4131" s="169" t="s">
        <v>14126</v>
      </c>
      <c r="I4131" s="169" t="str">
        <f t="shared" si="257"/>
        <v>L12_GHVSPLIT_057E_STOPE PREP</v>
      </c>
      <c r="J4131" s="169" t="s">
        <v>15374</v>
      </c>
      <c r="K4131" s="169">
        <f>IFERROR(MATCH(J4131,'Final List'!$B$4:$B$252,0),0)</f>
        <v>173</v>
      </c>
      <c r="L4131" s="169">
        <f>IFERROR(MATCH(J4131,'Final List'!$D$4:$D$252,0),0)</f>
        <v>0</v>
      </c>
      <c r="M4131" s="169">
        <f>IFERROR(MATCH(J4131,'Final List'!$F$4:$F$251,0),0)</f>
        <v>0</v>
      </c>
      <c r="N4131" s="169">
        <f>IFERROR(MATCH(J4131,'Final List'!$H$4:$H$252,0),0)</f>
        <v>0</v>
      </c>
      <c r="O4131" s="169">
        <f>IFERROR(MATCH(J4131,'Final List'!$J$4:$J$252,0),0)</f>
        <v>0</v>
      </c>
      <c r="P4131" s="169">
        <f>IFERROR(MATCH(J4131,'Final List'!$L$4:$L$252,0),0)</f>
        <v>0</v>
      </c>
      <c r="Q4131" s="169">
        <f>IFERROR(MATCH(J4131,'Final List'!$N$4:$N$252,0),0)</f>
        <v>0</v>
      </c>
      <c r="R4131" s="169">
        <f>IFERROR(MATCH(J4131,'Final List'!$P$4:$P$252,0),0)</f>
        <v>0</v>
      </c>
      <c r="S4131" s="169">
        <f t="shared" ref="S4131" si="349">SUM(K4131:R4131)</f>
        <v>173</v>
      </c>
      <c r="T4131" s="169" t="s">
        <v>68</v>
      </c>
      <c r="V4131" s="169" t="str">
        <f t="shared" si="347"/>
        <v>HAGANAS</v>
      </c>
      <c r="W4131" s="169" t="s">
        <v>2712</v>
      </c>
    </row>
    <row r="4132" spans="2:23" x14ac:dyDescent="0.25">
      <c r="B4132" s="169" t="s">
        <v>12320</v>
      </c>
      <c r="C4132" s="169" t="s">
        <v>59</v>
      </c>
      <c r="D4132" s="169" t="s">
        <v>284</v>
      </c>
      <c r="E4132" s="169" t="s">
        <v>19</v>
      </c>
      <c r="F4132" s="245" t="str">
        <f t="shared" si="316"/>
        <v>DVR 72</v>
      </c>
      <c r="G4132" t="s">
        <v>353</v>
      </c>
      <c r="I4132" s="169" t="str">
        <f t="shared" si="257"/>
        <v>L425_GHVHW_061E_RAISE</v>
      </c>
      <c r="J4132" s="169" t="s">
        <v>15379</v>
      </c>
      <c r="K4132" s="169">
        <f>IFERROR(MATCH(J4132,'Final List'!$B$4:$B$252,0),0)</f>
        <v>0</v>
      </c>
      <c r="L4132" s="169">
        <f>IFERROR(MATCH(J4132,'Final List'!$D$4:$D$252,0),0)</f>
        <v>0</v>
      </c>
      <c r="M4132" s="169">
        <f>IFERROR(MATCH(J4132,'Final List'!$F$4:$F$251,0),0)</f>
        <v>0</v>
      </c>
      <c r="N4132" s="169">
        <f>IFERROR(MATCH(J4132,'Final List'!$H$4:$H$252,0),0)</f>
        <v>0</v>
      </c>
      <c r="O4132" s="169">
        <f>IFERROR(MATCH(J4132,'Final List'!$J$4:$J$252,0),0)</f>
        <v>0</v>
      </c>
      <c r="P4132" s="169">
        <f>IFERROR(MATCH(J4132,'Final List'!$L$4:$L$252,0),0)</f>
        <v>0</v>
      </c>
      <c r="Q4132" s="169">
        <f>IFERROR(MATCH(J4132,'Final List'!$N$4:$N$252,0),0)</f>
        <v>0</v>
      </c>
      <c r="R4132" s="169">
        <f>IFERROR(MATCH(J4132,'Final List'!$P$4:$P$252,0),0)</f>
        <v>0</v>
      </c>
      <c r="S4132" s="169">
        <f t="shared" ref="S4132" si="350">SUM(K4132:R4132)</f>
        <v>0</v>
      </c>
      <c r="V4132" s="169" t="str">
        <f t="shared" si="347"/>
        <v>BAÑEZ 4</v>
      </c>
      <c r="W4132" s="169" t="s">
        <v>2715</v>
      </c>
    </row>
    <row r="4133" spans="2:23" x14ac:dyDescent="0.25">
      <c r="B4133" s="169" t="s">
        <v>1166</v>
      </c>
      <c r="C4133" s="169" t="s">
        <v>45</v>
      </c>
      <c r="D4133" s="169" t="s">
        <v>5742</v>
      </c>
      <c r="E4133" s="169" t="s">
        <v>221</v>
      </c>
      <c r="F4133" s="245" t="str">
        <f t="shared" si="316"/>
        <v>RobC 80</v>
      </c>
      <c r="G4133" s="169" t="s">
        <v>340</v>
      </c>
      <c r="I4133" s="169" t="str">
        <f t="shared" si="257"/>
        <v>L11_DPVE_040E_WINZE STOPE</v>
      </c>
      <c r="J4133" s="169" t="s">
        <v>15383</v>
      </c>
      <c r="K4133" s="169">
        <f>IFERROR(MATCH(J4133,'Final List'!$B$4:$B$252,0),0)</f>
        <v>0</v>
      </c>
      <c r="L4133" s="169">
        <f>IFERROR(MATCH(J4133,'Final List'!$D$4:$D$252,0),0)</f>
        <v>160</v>
      </c>
      <c r="M4133" s="169">
        <f>IFERROR(MATCH(J4133,'Final List'!$F$4:$F$251,0),0)</f>
        <v>0</v>
      </c>
      <c r="N4133" s="169">
        <f>IFERROR(MATCH(J4133,'Final List'!$H$4:$H$252,0),0)</f>
        <v>0</v>
      </c>
      <c r="O4133" s="169">
        <f>IFERROR(MATCH(J4133,'Final List'!$J$4:$J$252,0),0)</f>
        <v>0</v>
      </c>
      <c r="P4133" s="169">
        <f>IFERROR(MATCH(J4133,'Final List'!$L$4:$L$252,0),0)</f>
        <v>0</v>
      </c>
      <c r="Q4133" s="169">
        <f>IFERROR(MATCH(J4133,'Final List'!$N$4:$N$252,0),0)</f>
        <v>0</v>
      </c>
      <c r="R4133" s="169">
        <f>IFERROR(MATCH(J4133,'Final List'!$P$4:$P$252,0),0)</f>
        <v>0</v>
      </c>
      <c r="S4133" s="169">
        <f t="shared" ref="S4133" si="351">SUM(K4133:R4133)</f>
        <v>160</v>
      </c>
      <c r="T4133" s="169" t="s">
        <v>48</v>
      </c>
      <c r="V4133" s="169" t="str">
        <f t="shared" si="347"/>
        <v>COMAINGKING</v>
      </c>
      <c r="W4133" s="169" t="s">
        <v>2705</v>
      </c>
    </row>
    <row r="4134" spans="2:23" x14ac:dyDescent="0.25">
      <c r="B4134" s="169" t="s">
        <v>12320</v>
      </c>
      <c r="C4134" s="169" t="s">
        <v>38</v>
      </c>
      <c r="D4134" s="169" t="s">
        <v>198</v>
      </c>
      <c r="E4134" s="169" t="s">
        <v>211</v>
      </c>
      <c r="F4134" s="245" t="str">
        <f t="shared" si="316"/>
        <v>StpS 77</v>
      </c>
      <c r="G4134" s="169" t="s">
        <v>4155</v>
      </c>
      <c r="I4134" s="169" t="str">
        <f t="shared" si="257"/>
        <v>L425_GHV_069E_STOPE PREP</v>
      </c>
      <c r="J4134" s="169" t="s">
        <v>15413</v>
      </c>
      <c r="K4134" s="169">
        <f>IFERROR(MATCH(J4134,'Final List'!$B$4:$B$252,0),0)</f>
        <v>191</v>
      </c>
      <c r="L4134" s="169">
        <f>IFERROR(MATCH(J4134,'Final List'!$D$4:$D$252,0),0)</f>
        <v>0</v>
      </c>
      <c r="M4134" s="169">
        <f>IFERROR(MATCH(J4134,'Final List'!$F$4:$F$251,0),0)</f>
        <v>0</v>
      </c>
      <c r="N4134" s="169">
        <f>IFERROR(MATCH(J4134,'Final List'!$H$4:$H$252,0),0)</f>
        <v>0</v>
      </c>
      <c r="O4134" s="169">
        <f>IFERROR(MATCH(J4134,'Final List'!$J$4:$J$252,0),0)</f>
        <v>0</v>
      </c>
      <c r="P4134" s="169">
        <f>IFERROR(MATCH(J4134,'Final List'!$L$4:$L$252,0),0)</f>
        <v>0</v>
      </c>
      <c r="Q4134" s="169">
        <f>IFERROR(MATCH(J4134,'Final List'!$N$4:$N$252,0),0)</f>
        <v>0</v>
      </c>
      <c r="R4134" s="169">
        <f>IFERROR(MATCH(J4134,'Final List'!$P$4:$P$252,0),0)</f>
        <v>0</v>
      </c>
      <c r="S4134" s="169">
        <f t="shared" ref="S4134:S4139" si="352">SUM(K4134:R4134)</f>
        <v>191</v>
      </c>
      <c r="T4134" s="169" t="s">
        <v>68</v>
      </c>
      <c r="V4134" s="169" t="str">
        <f t="shared" si="347"/>
        <v>BAÑEZ</v>
      </c>
      <c r="W4134" s="169" t="s">
        <v>2712</v>
      </c>
    </row>
    <row r="4135" spans="2:23" x14ac:dyDescent="0.25">
      <c r="B4135" s="169" t="s">
        <v>1167</v>
      </c>
      <c r="C4135" s="169" t="s">
        <v>45</v>
      </c>
      <c r="D4135" s="169" t="s">
        <v>168</v>
      </c>
      <c r="E4135" s="169" t="s">
        <v>211</v>
      </c>
      <c r="F4135" s="245" t="str">
        <f t="shared" si="316"/>
        <v>StpS 77</v>
      </c>
      <c r="G4135" s="169" t="s">
        <v>75</v>
      </c>
      <c r="I4135" s="169" t="str">
        <f t="shared" si="257"/>
        <v>L12_DPVE_047E_STOPE PREP</v>
      </c>
      <c r="J4135" s="169" t="s">
        <v>15388</v>
      </c>
      <c r="K4135" s="169">
        <f>IFERROR(MATCH(J4135,'Final List'!$B$4:$B$252,0),0)</f>
        <v>174</v>
      </c>
      <c r="L4135" s="169">
        <f>IFERROR(MATCH(J4135,'Final List'!$D$4:$D$252,0),0)</f>
        <v>0</v>
      </c>
      <c r="M4135" s="169">
        <f>IFERROR(MATCH(J4135,'Final List'!$F$4:$F$251,0),0)</f>
        <v>0</v>
      </c>
      <c r="N4135" s="169">
        <f>IFERROR(MATCH(J4135,'Final List'!$H$4:$H$252,0),0)</f>
        <v>0</v>
      </c>
      <c r="O4135" s="169">
        <f>IFERROR(MATCH(J4135,'Final List'!$J$4:$J$252,0),0)</f>
        <v>0</v>
      </c>
      <c r="P4135" s="169">
        <f>IFERROR(MATCH(J4135,'Final List'!$L$4:$L$252,0),0)</f>
        <v>0</v>
      </c>
      <c r="Q4135" s="169">
        <f>IFERROR(MATCH(J4135,'Final List'!$N$4:$N$252,0),0)</f>
        <v>0</v>
      </c>
      <c r="R4135" s="169">
        <f>IFERROR(MATCH(J4135,'Final List'!$P$4:$P$252,0),0)</f>
        <v>0</v>
      </c>
      <c r="S4135" s="169">
        <f t="shared" si="352"/>
        <v>174</v>
      </c>
      <c r="T4135" s="169" t="s">
        <v>68</v>
      </c>
      <c r="V4135" s="169" t="str">
        <f t="shared" si="347"/>
        <v>BABOR</v>
      </c>
      <c r="W4135" s="169" t="s">
        <v>2712</v>
      </c>
    </row>
    <row r="4136" spans="2:23" x14ac:dyDescent="0.25">
      <c r="B4136" s="169" t="s">
        <v>1166</v>
      </c>
      <c r="C4136" s="169" t="s">
        <v>45</v>
      </c>
      <c r="D4136" s="169" t="s">
        <v>120</v>
      </c>
      <c r="E4136" s="169" t="s">
        <v>60</v>
      </c>
      <c r="F4136" s="245" t="str">
        <f>IF(OR(E4136="XCN",E4136="DE",E4136="DW",E4136="DN",E4136="XCS",E4136="XCE",E4136="XCW",E4136="SUMP",E4136="BYPASS",E4136="CHAMBER",E4136="DRAIN HOLE",E4136="DRILLING CHAMBER",E4136="DE_ISL",E4136="DW_ISL",E4136="REHAB"),"Dhoz 71",IF(OR(E4136="RAISE",E4136="RAISE_ISL"),"DVR 72",IF(E4136="ALIMAK","DVA 73",IF(E4136="ALIMAK_RAISE","DVA 73",IF(E4136="WINZE","DVW 74",IF(E4136="SHAFT","DVS 75",IF(AND(E4136="WINZE STOPE",T4136="S"),"RobC 80",IF(AND(E4136="STOPE",T4136="S"),"StpS 77",IF(AND(E4136="WINZE STOPE",T4136="L"),"RobC 80",IF(AND(E4136="STOPE",T4136="L"),"StpL 78",IF(AND(E4136="WINZE STOPE PREP",T4136="S"),"RobC 80",IF(AND(E4136="STOPE PREP",T4136="S"),"StpS 77",IF(AND(E4136="WINZE STOPE PREP",T4136="L"),"RobC 80",IF(AND(E4136="STOPE PREP",T4136="L"),"StpL 78",IF(AND(E4136="ROBBING",T4136="L"),"RobC 80",IF(AND(E4136="ROBBING",T4136="S"),"RobS 79",0))))))))))))))))</f>
        <v>Dhoz 71</v>
      </c>
      <c r="G4136" s="169" t="s">
        <v>15392</v>
      </c>
      <c r="I4136" s="169" t="str">
        <f t="shared" si="257"/>
        <v>L11_DPVE_015E_DE</v>
      </c>
      <c r="J4136" s="169" t="s">
        <v>15391</v>
      </c>
      <c r="K4136" s="169">
        <f>IFERROR(MATCH(J4136,'Final List'!$B$4:$B$252,0),0)</f>
        <v>0</v>
      </c>
      <c r="L4136" s="169">
        <f>IFERROR(MATCH(J4136,'Final List'!$D$4:$D$252,0),0)</f>
        <v>0</v>
      </c>
      <c r="M4136" s="169">
        <f>IFERROR(MATCH(J4136,'Final List'!$F$4:$F$251,0),0)</f>
        <v>0</v>
      </c>
      <c r="N4136" s="169">
        <f>IFERROR(MATCH(J4136,'Final List'!$H$4:$H$252,0),0)</f>
        <v>160</v>
      </c>
      <c r="O4136" s="169">
        <f>IFERROR(MATCH(J4136,'Final List'!$J$4:$J$252,0),0)</f>
        <v>0</v>
      </c>
      <c r="P4136" s="169">
        <f>IFERROR(MATCH(J4136,'Final List'!$L$4:$L$252,0),0)</f>
        <v>0</v>
      </c>
      <c r="Q4136" s="169">
        <f>IFERROR(MATCH(J4136,'Final List'!$N$4:$N$252,0),0)</f>
        <v>0</v>
      </c>
      <c r="R4136" s="169">
        <f>IFERROR(MATCH(J4136,'Final List'!$P$4:$P$252,0),0)</f>
        <v>0</v>
      </c>
      <c r="S4136" s="169">
        <f t="shared" si="352"/>
        <v>160</v>
      </c>
      <c r="V4136" s="169" t="str">
        <f t="shared" si="347"/>
        <v>GOC-ONG 2</v>
      </c>
      <c r="W4136" s="169" t="s">
        <v>8896</v>
      </c>
    </row>
    <row r="4137" spans="2:23" x14ac:dyDescent="0.25">
      <c r="B4137" s="169" t="s">
        <v>95</v>
      </c>
      <c r="C4137" s="169" t="s">
        <v>87</v>
      </c>
      <c r="D4137" s="169" t="s">
        <v>5886</v>
      </c>
      <c r="E4137" s="169" t="s">
        <v>37</v>
      </c>
      <c r="F4137" s="245" t="str">
        <f t="shared" ref="F4137:F4149" si="353">IF(OR(E4137="XCN",E4137="DE",E4137="DW",E4137="DN",E4137="XCS",E4137="XCE",E4137="XCW",E4137="SUMP",E4137="BYPASS",E4137="CHAMBER",E4137="DRAIN HOLE",E4137="DRILLING CHAMBER",E4137="DE_ISL",E4137="DW_ISL",E4137="REHAB"),"Dhoz 71",IF(OR(E4137="RAISE",E4137="RAISE_ISL"),"DVR 72",IF(E4137="ALIMAK","DVA 73",IF(E4137="ALIMAK_RAISE","DVA 73",IF(E4137="WINZE","DVW 74",IF(E4137="SHAFT","DVS 75",IF(AND(E4137="WINZE STOPE",T4137="S"),"RobC 80",IF(AND(E4137="STOPE",T4137="S"),"StpS 77",IF(AND(E4137="WINZE STOPE",T4137="L"),"RobC 80",IF(AND(E4137="STOPE",T4137="L"),"StpL 78",IF(AND(E4137="WINZE STOPE PREP",T4137="S"),"RobC 80",IF(AND(E4137="STOPE PREP",T4137="S"),"StpS 77",IF(AND(E4137="WINZE STOPE PREP",T4137="L"),"RobC 80",IF(AND(E4137="STOPE PREP",T4137="L"),"StpL 78",IF(AND(E4137="ROBBING",T4137="L"),"RobC 80",IF(AND(E4137="ROBBING",T4137="S"),"RobS 79",0))))))))))))))))</f>
        <v>Dhoz 71</v>
      </c>
      <c r="G4137" s="169" t="s">
        <v>8045</v>
      </c>
      <c r="I4137" s="169" t="str">
        <f t="shared" si="257"/>
        <v>L08_NONE_043W_XCN</v>
      </c>
      <c r="J4137" s="169" t="s">
        <v>15394</v>
      </c>
      <c r="K4137" s="169">
        <f>IFERROR(MATCH(J4137,'Final List'!$B$4:$B$252,0),0)</f>
        <v>0</v>
      </c>
      <c r="L4137" s="169">
        <f>IFERROR(MATCH(J4137,'Final List'!$D$4:$D$252,0),0)</f>
        <v>0</v>
      </c>
      <c r="M4137" s="169">
        <f>IFERROR(MATCH(J4137,'Final List'!$F$4:$F$251,0),0)</f>
        <v>0</v>
      </c>
      <c r="N4137" s="169">
        <f>IFERROR(MATCH(J4137,'Final List'!$H$4:$H$252,0),0)</f>
        <v>0</v>
      </c>
      <c r="O4137" s="169">
        <f>IFERROR(MATCH(J4137,'Final List'!$J$4:$J$252,0),0)</f>
        <v>0</v>
      </c>
      <c r="P4137" s="169">
        <f>IFERROR(MATCH(J4137,'Final List'!$L$4:$L$252,0),0)</f>
        <v>0</v>
      </c>
      <c r="Q4137" s="169">
        <f>IFERROR(MATCH(J4137,'Final List'!$N$4:$N$252,0),0)</f>
        <v>86</v>
      </c>
      <c r="R4137" s="169">
        <f>IFERROR(MATCH(J4137,'Final List'!$P$4:$P$252,0),0)</f>
        <v>0</v>
      </c>
      <c r="S4137" s="169">
        <f t="shared" si="352"/>
        <v>86</v>
      </c>
      <c r="V4137" s="169" t="str">
        <f t="shared" si="347"/>
        <v>CAPUYAN</v>
      </c>
      <c r="W4137" s="169" t="s">
        <v>8897</v>
      </c>
    </row>
    <row r="4138" spans="2:23" x14ac:dyDescent="0.25">
      <c r="B4138" s="169" t="s">
        <v>12320</v>
      </c>
      <c r="C4138" s="169" t="s">
        <v>38</v>
      </c>
      <c r="D4138" s="169" t="s">
        <v>167</v>
      </c>
      <c r="E4138" s="169" t="s">
        <v>36</v>
      </c>
      <c r="F4138" s="245" t="str">
        <f t="shared" si="353"/>
        <v>StpS 77</v>
      </c>
      <c r="G4138" s="169" t="s">
        <v>14898</v>
      </c>
      <c r="I4138" s="169" t="str">
        <f t="shared" si="257"/>
        <v>L425_GHV_058E_STOPE</v>
      </c>
      <c r="J4138" s="169" t="s">
        <v>15411</v>
      </c>
      <c r="K4138" s="169">
        <f>IFERROR(MATCH(J4138,'Final List'!$B$4:$B$252,0),0)</f>
        <v>0</v>
      </c>
      <c r="L4138" s="169">
        <f>IFERROR(MATCH(J4138,'Final List'!$D$4:$D$252,0),0)</f>
        <v>196</v>
      </c>
      <c r="M4138" s="169">
        <f>IFERROR(MATCH(J4138,'Final List'!$F$4:$F$251,0),0)</f>
        <v>0</v>
      </c>
      <c r="N4138" s="169">
        <f>IFERROR(MATCH(J4138,'Final List'!$H$4:$H$252,0),0)</f>
        <v>0</v>
      </c>
      <c r="O4138" s="169">
        <f>IFERROR(MATCH(J4138,'Final List'!$J$4:$J$252,0),0)</f>
        <v>0</v>
      </c>
      <c r="P4138" s="169">
        <f>IFERROR(MATCH(J4138,'Final List'!$L$4:$L$252,0),0)</f>
        <v>0</v>
      </c>
      <c r="Q4138" s="169">
        <f>IFERROR(MATCH(J4138,'Final List'!$N$4:$N$252,0),0)</f>
        <v>0</v>
      </c>
      <c r="R4138" s="169">
        <f>IFERROR(MATCH(J4138,'Final List'!$P$4:$P$252,0),0)</f>
        <v>0</v>
      </c>
      <c r="S4138" s="169">
        <f t="shared" si="352"/>
        <v>196</v>
      </c>
      <c r="T4138" s="169" t="s">
        <v>68</v>
      </c>
      <c r="V4138" s="169" t="str">
        <f t="shared" si="347"/>
        <v>ESPINOSA 2</v>
      </c>
      <c r="W4138" s="169" t="s">
        <v>2711</v>
      </c>
    </row>
    <row r="4139" spans="2:23" x14ac:dyDescent="0.25">
      <c r="B4139" s="169" t="s">
        <v>14095</v>
      </c>
      <c r="C4139" s="169" t="s">
        <v>43</v>
      </c>
      <c r="D4139" s="169" t="s">
        <v>174</v>
      </c>
      <c r="E4139" s="169" t="s">
        <v>19</v>
      </c>
      <c r="F4139" s="245" t="str">
        <f t="shared" si="353"/>
        <v>DVR 72</v>
      </c>
      <c r="G4139" s="169" t="s">
        <v>6932</v>
      </c>
      <c r="I4139" s="169" t="str">
        <f t="shared" si="257"/>
        <v>L460_GHVSPLIT_052E_RAISE</v>
      </c>
      <c r="J4139" s="169" t="s">
        <v>15400</v>
      </c>
      <c r="K4139" s="169">
        <f>IFERROR(MATCH(J4139,'Final List'!$B$4:$B$252,0),0)</f>
        <v>0</v>
      </c>
      <c r="L4139" s="169">
        <f>IFERROR(MATCH(J4139,'Final List'!$D$4:$D$252,0),0)</f>
        <v>0</v>
      </c>
      <c r="M4139" s="169">
        <f>IFERROR(MATCH(J4139,'Final List'!$F$4:$F$251,0),0)</f>
        <v>0</v>
      </c>
      <c r="N4139" s="169">
        <f>IFERROR(MATCH(J4139,'Final List'!$H$4:$H$252,0),0)</f>
        <v>0</v>
      </c>
      <c r="O4139" s="169">
        <f>IFERROR(MATCH(J4139,'Final List'!$J$4:$J$252,0),0)</f>
        <v>219</v>
      </c>
      <c r="P4139" s="169">
        <f>IFERROR(MATCH(J4139,'Final List'!$L$4:$L$252,0),0)</f>
        <v>0</v>
      </c>
      <c r="Q4139" s="169">
        <f>IFERROR(MATCH(J4139,'Final List'!$N$4:$N$252,0),0)</f>
        <v>0</v>
      </c>
      <c r="R4139" s="169">
        <f>IFERROR(MATCH(J4139,'Final List'!$P$4:$P$252,0),0)</f>
        <v>0</v>
      </c>
      <c r="S4139" s="169">
        <f t="shared" si="352"/>
        <v>219</v>
      </c>
      <c r="V4139" s="169" t="str">
        <f t="shared" si="347"/>
        <v>DUHIG, P3</v>
      </c>
      <c r="W4139" s="169" t="s">
        <v>2715</v>
      </c>
    </row>
    <row r="4140" spans="2:23" x14ac:dyDescent="0.25">
      <c r="B4140" s="169" t="s">
        <v>258</v>
      </c>
      <c r="C4140" s="169" t="s">
        <v>42</v>
      </c>
      <c r="D4140" s="169" t="s">
        <v>99</v>
      </c>
      <c r="E4140" s="169" t="s">
        <v>36</v>
      </c>
      <c r="F4140" s="245" t="str">
        <f t="shared" si="353"/>
        <v>StpL 78</v>
      </c>
      <c r="G4140" s="169" t="s">
        <v>5701</v>
      </c>
      <c r="I4140" s="169" t="str">
        <f t="shared" si="257"/>
        <v>L10_JV_028W_STOPE</v>
      </c>
      <c r="J4140" s="169" t="s">
        <v>15408</v>
      </c>
      <c r="K4140" s="169">
        <f>IFERROR(MATCH(J4140,'Final List'!$B$4:$B$252,0),0)</f>
        <v>0</v>
      </c>
      <c r="L4140" s="169">
        <f>IFERROR(MATCH(J4140,'Final List'!$D$4:$D$252,0),0)</f>
        <v>136</v>
      </c>
      <c r="M4140" s="169">
        <f>IFERROR(MATCH(J4140,'Final List'!$F$4:$F$251,0),0)</f>
        <v>0</v>
      </c>
      <c r="N4140" s="169">
        <f>IFERROR(MATCH(J4140,'Final List'!$H$4:$H$252,0),0)</f>
        <v>0</v>
      </c>
      <c r="O4140" s="169">
        <f>IFERROR(MATCH(J4140,'Final List'!$J$4:$J$252,0),0)</f>
        <v>0</v>
      </c>
      <c r="P4140" s="169">
        <f>IFERROR(MATCH(J4140,'Final List'!$L$4:$L$252,0),0)</f>
        <v>0</v>
      </c>
      <c r="Q4140" s="169">
        <f>IFERROR(MATCH(J4140,'Final List'!$N$4:$N$252,0),0)</f>
        <v>0</v>
      </c>
      <c r="R4140" s="169">
        <f>IFERROR(MATCH(J4140,'Final List'!$P$4:$P$252,0),0)</f>
        <v>0</v>
      </c>
      <c r="S4140" s="169">
        <f t="shared" ref="S4140" si="354">SUM(K4140:R4140)</f>
        <v>136</v>
      </c>
      <c r="T4140" s="169" t="s">
        <v>48</v>
      </c>
      <c r="V4140" s="169" t="str">
        <f t="shared" si="347"/>
        <v>LARGO 2</v>
      </c>
      <c r="W4140" s="169" t="s">
        <v>2711</v>
      </c>
    </row>
    <row r="4141" spans="2:23" x14ac:dyDescent="0.25">
      <c r="B4141" s="169" t="s">
        <v>95</v>
      </c>
      <c r="C4141" s="169" t="s">
        <v>57</v>
      </c>
      <c r="D4141" s="169" t="s">
        <v>5781</v>
      </c>
      <c r="E4141" s="169" t="s">
        <v>62</v>
      </c>
      <c r="F4141" s="245" t="str">
        <f t="shared" si="353"/>
        <v>RobS 79</v>
      </c>
      <c r="G4141" s="169" t="s">
        <v>6216</v>
      </c>
      <c r="I4141" s="169" t="str">
        <f t="shared" si="257"/>
        <v>L08_JVSPLIT_051E_ROBBING</v>
      </c>
      <c r="J4141" s="169" t="s">
        <v>15416</v>
      </c>
      <c r="K4141" s="169">
        <f>IFERROR(MATCH(J4141,'Final List'!$B$4:$B$252,0),0)</f>
        <v>0</v>
      </c>
      <c r="L4141" s="169">
        <f>IFERROR(MATCH(J4141,'Final List'!$D$4:$D$252,0),0)</f>
        <v>0</v>
      </c>
      <c r="M4141" s="169">
        <f>IFERROR(MATCH(J4141,'Final List'!$F$4:$F$251,0),0)</f>
        <v>0</v>
      </c>
      <c r="N4141" s="169">
        <f>IFERROR(MATCH(J4141,'Final List'!$H$4:$H$252,0),0)</f>
        <v>0</v>
      </c>
      <c r="O4141" s="169">
        <f>IFERROR(MATCH(J4141,'Final List'!$J$4:$J$252,0),0)</f>
        <v>0</v>
      </c>
      <c r="P4141" s="169">
        <f>IFERROR(MATCH(J4141,'Final List'!$L$4:$L$252,0),0)</f>
        <v>0</v>
      </c>
      <c r="Q4141" s="169">
        <f>IFERROR(MATCH(J4141,'Final List'!$N$4:$N$252,0),0)</f>
        <v>0</v>
      </c>
      <c r="R4141" s="169">
        <f>IFERROR(MATCH(J4141,'Final List'!$P$4:$P$252,0),0)</f>
        <v>0</v>
      </c>
      <c r="S4141" s="169">
        <f t="shared" ref="S4141" si="355">SUM(K4141:R4141)</f>
        <v>0</v>
      </c>
      <c r="T4141" s="169" t="s">
        <v>68</v>
      </c>
      <c r="V4141" s="169" t="str">
        <f t="shared" si="347"/>
        <v>FERNANDEZ</v>
      </c>
      <c r="W4141" s="169" t="s">
        <v>2707</v>
      </c>
    </row>
    <row r="4142" spans="2:23" x14ac:dyDescent="0.25">
      <c r="B4142" s="169" t="s">
        <v>1167</v>
      </c>
      <c r="C4142" s="169" t="s">
        <v>56</v>
      </c>
      <c r="D4142" s="169" t="s">
        <v>132</v>
      </c>
      <c r="E4142" s="169" t="s">
        <v>19</v>
      </c>
      <c r="F4142" s="245" t="str">
        <f t="shared" si="353"/>
        <v>DVR 72</v>
      </c>
      <c r="G4142" s="169" t="s">
        <v>12548</v>
      </c>
      <c r="I4142" s="169" t="str">
        <f t="shared" si="257"/>
        <v>L12_GHVFW_033E_RAISE</v>
      </c>
      <c r="J4142" s="169" t="s">
        <v>15418</v>
      </c>
      <c r="K4142" s="169">
        <f>IFERROR(MATCH(J4142,'Final List'!$B$4:$B$252,0),0)</f>
        <v>0</v>
      </c>
      <c r="L4142" s="169">
        <f>IFERROR(MATCH(J4142,'Final List'!$D$4:$D$252,0),0)</f>
        <v>0</v>
      </c>
      <c r="M4142" s="169">
        <f>IFERROR(MATCH(J4142,'Final List'!$F$4:$F$251,0),0)</f>
        <v>0</v>
      </c>
      <c r="N4142" s="169">
        <f>IFERROR(MATCH(J4142,'Final List'!$H$4:$H$252,0),0)</f>
        <v>0</v>
      </c>
      <c r="O4142" s="169">
        <f>IFERROR(MATCH(J4142,'Final List'!$J$4:$J$252,0),0)</f>
        <v>172</v>
      </c>
      <c r="P4142" s="169">
        <f>IFERROR(MATCH(J4142,'Final List'!$L$4:$L$252,0),0)</f>
        <v>0</v>
      </c>
      <c r="Q4142" s="169">
        <f>IFERROR(MATCH(J4142,'Final List'!$N$4:$N$252,0),0)</f>
        <v>0</v>
      </c>
      <c r="R4142" s="169">
        <f>IFERROR(MATCH(J4142,'Final List'!$P$4:$P$252,0),0)</f>
        <v>0</v>
      </c>
      <c r="S4142" s="169">
        <f t="shared" ref="S4142" si="356">SUM(K4142:R4142)</f>
        <v>172</v>
      </c>
      <c r="V4142" s="169" t="str">
        <f t="shared" si="347"/>
        <v>NITRO BM</v>
      </c>
      <c r="W4142" s="169" t="s">
        <v>2715</v>
      </c>
    </row>
    <row r="4143" spans="2:23" x14ac:dyDescent="0.25">
      <c r="F4143" s="245">
        <f t="shared" si="353"/>
        <v>0</v>
      </c>
      <c r="V4143" s="169">
        <f t="shared" si="347"/>
        <v>0</v>
      </c>
    </row>
    <row r="4144" spans="2:23" x14ac:dyDescent="0.25">
      <c r="F4144" s="245">
        <f t="shared" si="353"/>
        <v>0</v>
      </c>
      <c r="V4144" s="169">
        <f t="shared" si="347"/>
        <v>0</v>
      </c>
    </row>
    <row r="4145" spans="6:22" x14ac:dyDescent="0.25">
      <c r="F4145" s="245">
        <f t="shared" si="353"/>
        <v>0</v>
      </c>
      <c r="V4145" s="169">
        <f t="shared" si="347"/>
        <v>0</v>
      </c>
    </row>
    <row r="4146" spans="6:22" x14ac:dyDescent="0.25">
      <c r="F4146" s="245">
        <f t="shared" si="353"/>
        <v>0</v>
      </c>
      <c r="V4146" s="169">
        <f t="shared" si="347"/>
        <v>0</v>
      </c>
    </row>
    <row r="4147" spans="6:22" x14ac:dyDescent="0.25">
      <c r="F4147" s="245">
        <f t="shared" si="353"/>
        <v>0</v>
      </c>
      <c r="V4147" s="169">
        <f t="shared" si="347"/>
        <v>0</v>
      </c>
    </row>
    <row r="4148" spans="6:22" x14ac:dyDescent="0.25">
      <c r="F4148" s="245">
        <f t="shared" si="353"/>
        <v>0</v>
      </c>
      <c r="V4148" s="169">
        <f t="shared" si="347"/>
        <v>0</v>
      </c>
    </row>
    <row r="4149" spans="6:22" x14ac:dyDescent="0.25">
      <c r="F4149" s="245">
        <f t="shared" si="353"/>
        <v>0</v>
      </c>
      <c r="V4149" s="169">
        <f t="shared" si="347"/>
        <v>0</v>
      </c>
    </row>
    <row r="4150" spans="6:22" x14ac:dyDescent="0.25">
      <c r="V4150" s="169">
        <f t="shared" si="347"/>
        <v>0</v>
      </c>
    </row>
    <row r="4151" spans="6:22" x14ac:dyDescent="0.25">
      <c r="V4151" s="169">
        <f t="shared" si="347"/>
        <v>0</v>
      </c>
    </row>
  </sheetData>
  <autoFilter ref="A1:Y4151" xr:uid="{00000000-0009-0000-0000-000004000000}"/>
  <phoneticPr fontId="23" type="noConversion"/>
  <conditionalFormatting sqref="A351">
    <cfRule type="duplicateValues" dxfId="24780" priority="64"/>
    <cfRule type="duplicateValues" dxfId="24779" priority="65"/>
    <cfRule type="duplicateValues" dxfId="24778" priority="66"/>
  </conditionalFormatting>
  <conditionalFormatting sqref="G1618">
    <cfRule type="duplicateValues" dxfId="24777" priority="42"/>
    <cfRule type="duplicateValues" dxfId="24776" priority="43"/>
  </conditionalFormatting>
  <conditionalFormatting sqref="I1:I3507 I3509:I3658 I3661:I4047 I4049:I1048576">
    <cfRule type="duplicateValues" dxfId="24775" priority="68"/>
  </conditionalFormatting>
  <conditionalFormatting sqref="J2133">
    <cfRule type="duplicateValues" dxfId="24774" priority="35"/>
  </conditionalFormatting>
  <conditionalFormatting sqref="J2704">
    <cfRule type="duplicateValues" dxfId="24773" priority="34"/>
  </conditionalFormatting>
  <conditionalFormatting sqref="J2134:J2703 J1:J2132 J2705:J2711 J2713:J3034 J3037:J3222 J3224:J3260 J3262:J3273 J3275:J3601 J3603:J3636 J3638:J3658 J3661:J3746 J3757:J3788 J3790:J3810 J3812:J3952 J3954:J4025 J4027:J4038 J4040:J4047 J4049:J1048576">
    <cfRule type="duplicateValues" dxfId="24772" priority="36"/>
  </conditionalFormatting>
  <conditionalFormatting sqref="B3032">
    <cfRule type="duplicateValues" dxfId="24771" priority="33"/>
  </conditionalFormatting>
  <conditionalFormatting sqref="J3036">
    <cfRule type="duplicateValues" dxfId="24770" priority="32"/>
  </conditionalFormatting>
  <conditionalFormatting sqref="J3035">
    <cfRule type="duplicateValues" dxfId="24769" priority="31"/>
  </conditionalFormatting>
  <conditionalFormatting sqref="H2833">
    <cfRule type="duplicateValues" dxfId="24768" priority="30"/>
  </conditionalFormatting>
  <conditionalFormatting sqref="J3223">
    <cfRule type="duplicateValues" dxfId="24767" priority="29"/>
  </conditionalFormatting>
  <conditionalFormatting sqref="J3261">
    <cfRule type="duplicateValues" dxfId="24766" priority="28"/>
  </conditionalFormatting>
  <conditionalFormatting sqref="J3274">
    <cfRule type="duplicateValues" dxfId="24765" priority="27"/>
  </conditionalFormatting>
  <conditionalFormatting sqref="H3311">
    <cfRule type="duplicateValues" dxfId="24764" priority="26"/>
  </conditionalFormatting>
  <conditionalFormatting sqref="G3485">
    <cfRule type="duplicateValues" dxfId="24763" priority="25"/>
  </conditionalFormatting>
  <conditionalFormatting sqref="G3485">
    <cfRule type="duplicateValues" dxfId="24762" priority="24"/>
  </conditionalFormatting>
  <conditionalFormatting sqref="G2217">
    <cfRule type="duplicateValues" dxfId="24761" priority="20"/>
  </conditionalFormatting>
  <conditionalFormatting sqref="G2217">
    <cfRule type="duplicateValues" dxfId="24760" priority="19"/>
  </conditionalFormatting>
  <conditionalFormatting sqref="J3602">
    <cfRule type="duplicateValues" dxfId="24759" priority="18"/>
  </conditionalFormatting>
  <conditionalFormatting sqref="J3637">
    <cfRule type="duplicateValues" dxfId="24758" priority="17"/>
  </conditionalFormatting>
  <conditionalFormatting sqref="G3655">
    <cfRule type="duplicateValues" dxfId="24757" priority="16"/>
  </conditionalFormatting>
  <conditionalFormatting sqref="I3659">
    <cfRule type="duplicateValues" dxfId="24756" priority="15"/>
  </conditionalFormatting>
  <conditionalFormatting sqref="J3659">
    <cfRule type="duplicateValues" dxfId="24755" priority="14"/>
  </conditionalFormatting>
  <conditionalFormatting sqref="I3660">
    <cfRule type="duplicateValues" dxfId="24754" priority="13"/>
  </conditionalFormatting>
  <conditionalFormatting sqref="J3660">
    <cfRule type="duplicateValues" dxfId="24753" priority="12"/>
  </conditionalFormatting>
  <conditionalFormatting sqref="J3747:J3756">
    <cfRule type="duplicateValues" dxfId="24752" priority="11"/>
  </conditionalFormatting>
  <conditionalFormatting sqref="J3789">
    <cfRule type="duplicateValues" dxfId="24751" priority="9"/>
  </conditionalFormatting>
  <conditionalFormatting sqref="J3811">
    <cfRule type="duplicateValues" dxfId="24750" priority="8"/>
  </conditionalFormatting>
  <conditionalFormatting sqref="J3953">
    <cfRule type="duplicateValues" dxfId="24749" priority="7"/>
  </conditionalFormatting>
  <conditionalFormatting sqref="J4026">
    <cfRule type="duplicateValues" dxfId="24748" priority="6"/>
  </conditionalFormatting>
  <conditionalFormatting sqref="J4039">
    <cfRule type="duplicateValues" dxfId="24747" priority="5"/>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CONTROLLER!$L$2:$L$22</xm:f>
          </x14:formula1>
          <xm:sqref>W2:W1048576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70C0"/>
  </sheetPr>
  <dimension ref="A1:M235"/>
  <sheetViews>
    <sheetView zoomScale="70" zoomScaleNormal="70" workbookViewId="0">
      <selection activeCell="P56" sqref="P56"/>
    </sheetView>
  </sheetViews>
  <sheetFormatPr defaultRowHeight="15" x14ac:dyDescent="0.25"/>
  <cols>
    <col min="1" max="2" width="10" customWidth="1"/>
    <col min="3" max="3" width="7.140625" customWidth="1"/>
    <col min="4" max="8" width="25.28515625" customWidth="1"/>
    <col min="9" max="9" width="10.7109375" customWidth="1"/>
    <col min="10" max="10" width="11.28515625" style="327" customWidth="1"/>
  </cols>
  <sheetData>
    <row r="1" spans="1:13" ht="15.75" x14ac:dyDescent="0.25">
      <c r="A1" s="327">
        <f ca="1">TODAY()</f>
        <v>46184</v>
      </c>
      <c r="B1" s="343">
        <v>4</v>
      </c>
      <c r="C1" s="327"/>
      <c r="D1" s="346" t="s">
        <v>13036</v>
      </c>
      <c r="E1" s="347" t="s">
        <v>211</v>
      </c>
      <c r="F1" s="347" t="s">
        <v>13031</v>
      </c>
      <c r="G1" s="347" t="s">
        <v>13032</v>
      </c>
      <c r="H1" s="347" t="s">
        <v>13033</v>
      </c>
      <c r="I1" t="s">
        <v>12992</v>
      </c>
      <c r="J1" s="327" t="s">
        <v>13047</v>
      </c>
      <c r="K1" t="s">
        <v>13056</v>
      </c>
      <c r="L1" t="s">
        <v>13057</v>
      </c>
      <c r="M1" t="s">
        <v>13058</v>
      </c>
    </row>
    <row r="2" spans="1:13" ht="15.75" x14ac:dyDescent="0.25">
      <c r="A2" s="328"/>
      <c r="B2" s="328"/>
      <c r="C2" s="328"/>
      <c r="D2" s="346" t="s">
        <v>13037</v>
      </c>
      <c r="E2" s="347">
        <v>30</v>
      </c>
      <c r="F2" s="347">
        <v>5</v>
      </c>
      <c r="G2" s="347">
        <v>7</v>
      </c>
      <c r="H2" s="347">
        <v>3</v>
      </c>
    </row>
    <row r="3" spans="1:13" s="329" customFormat="1" ht="15.75" x14ac:dyDescent="0.25">
      <c r="A3" s="344" t="s">
        <v>440</v>
      </c>
      <c r="B3" s="344" t="s">
        <v>13055</v>
      </c>
      <c r="C3" s="344" t="s">
        <v>13054</v>
      </c>
      <c r="D3" s="344" t="s">
        <v>524</v>
      </c>
      <c r="E3" s="344" t="s">
        <v>525</v>
      </c>
      <c r="F3" s="344" t="s">
        <v>13034</v>
      </c>
      <c r="G3" s="344" t="s">
        <v>13035</v>
      </c>
      <c r="H3" s="344" t="s">
        <v>13036</v>
      </c>
      <c r="I3" s="344" t="s">
        <v>13037</v>
      </c>
      <c r="J3" s="345" t="s">
        <v>13038</v>
      </c>
    </row>
    <row r="4" spans="1:13" x14ac:dyDescent="0.25">
      <c r="A4" t="str">
        <f>LEFT(D4,3)</f>
        <v>L11</v>
      </c>
      <c r="B4" t="str">
        <f>IF(C4="DW",$I$1,IF(C4="DE",$I$1,IF(C4="XCN",$I$1,IF(C4="XCS",$I$1,IF(C4="RAISE",$J$1,IF(C4="SHAFT",$L$1,IF(C4="WINZE",$K$1,IF(C4="STOPE",$M$1,""))))))))</f>
        <v>DVR 72</v>
      </c>
      <c r="C4" t="str">
        <f>IFERROR((TRIM(MID(SUBSTITUTE($D4,"_",REPT(" ",LEN($D4))),($B$1-1)*LEN($D4)+1,LEN($D4)))),"")</f>
        <v>RAISE</v>
      </c>
      <c r="D4" s="324" t="s">
        <v>12027</v>
      </c>
      <c r="E4" t="s">
        <v>4068</v>
      </c>
      <c r="F4" s="330">
        <v>45669</v>
      </c>
      <c r="G4" s="330">
        <v>45667</v>
      </c>
      <c r="I4">
        <f>IF(H4=$E$1,$E$2,IF(H4=$F$1,$F$2,IF(H4=$G$1,$G$2,IF(H4=$H$1,$H$2,0))))</f>
        <v>0</v>
      </c>
      <c r="J4" s="327">
        <f>WORKDAY.INTL(G4,I4,11)</f>
        <v>45667</v>
      </c>
      <c r="K4" s="329">
        <f ca="1">IF(F4&lt;G4,NETWORKDAYS.INTL(F4,$A$1,11),NETWORKDAYS.INTL(G4,$A$1,11))</f>
        <v>444</v>
      </c>
      <c r="L4">
        <f ca="1">NETWORKDAYS.INTL(J4,$A$1,11)</f>
        <v>444</v>
      </c>
      <c r="M4" t="str">
        <f ca="1">IF(L4&gt;=I4,"FINISH",0)</f>
        <v>FINISH</v>
      </c>
    </row>
    <row r="5" spans="1:13" x14ac:dyDescent="0.25">
      <c r="A5" t="str">
        <f t="shared" ref="A5:A68" si="0">LEFT(D5,3)</f>
        <v>L11</v>
      </c>
      <c r="B5" t="str">
        <f t="shared" ref="B5:B68" si="1">IF(C5="DW",$I$1,IF(C5="DE",$I$1,IF(C5="XCN",$I$1,IF(C5="XCS",$I$1,IF(C5="RAISE",$J$1,IF(C5="SHAFT",$L$1,IF(C5="WINZE",$K$1,IF(C5="STOPE",$M$1,""))))))))</f>
        <v>DVR 72</v>
      </c>
      <c r="C5" t="str">
        <f t="shared" ref="C5:C68" si="2">IFERROR((TRIM(MID(SUBSTITUTE($D5,"_",REPT(" ",LEN($D5))),($B$1-1)*LEN($D5)+1,LEN($D5)))),"")</f>
        <v>RAISE</v>
      </c>
      <c r="D5" t="s">
        <v>12942</v>
      </c>
      <c r="E5" t="s">
        <v>11884</v>
      </c>
      <c r="F5" s="330">
        <v>45643</v>
      </c>
      <c r="G5" s="330">
        <v>45664</v>
      </c>
      <c r="I5">
        <f t="shared" ref="I5:I68" si="3">IF(H5=$E$1,$E$2,IF(H5=$F$1,$F$2,IF(H5=$G$1,$G$2,IF(H5=$H$1,$H$2,0))))</f>
        <v>0</v>
      </c>
      <c r="J5" s="327">
        <f t="shared" ref="J5:J68" si="4">WORKDAY.INTL(G5,I5,11)</f>
        <v>45664</v>
      </c>
      <c r="K5" s="329">
        <f t="shared" ref="K5:K68" ca="1" si="5">IF(F5&lt;G5,NETWORKDAYS.INTL(F5,$A$1,11),NETWORKDAYS.INTL(G5,$A$1,11))</f>
        <v>465</v>
      </c>
      <c r="L5">
        <f t="shared" ref="L5:L68" ca="1" si="6">NETWORKDAYS.INTL(J5,$A$1,11)</f>
        <v>447</v>
      </c>
      <c r="M5" t="str">
        <f t="shared" ref="M5:M68" ca="1" si="7">IF(L5&gt;=I5,"FINISH",0)</f>
        <v>FINISH</v>
      </c>
    </row>
    <row r="6" spans="1:13" x14ac:dyDescent="0.25">
      <c r="A6" t="str">
        <f t="shared" si="0"/>
        <v>L11</v>
      </c>
      <c r="B6" t="str">
        <f t="shared" si="1"/>
        <v>Dhoz 71</v>
      </c>
      <c r="C6" t="str">
        <f t="shared" si="2"/>
        <v>XCN</v>
      </c>
      <c r="D6" s="324" t="s">
        <v>10695</v>
      </c>
      <c r="E6" t="s">
        <v>475</v>
      </c>
      <c r="F6" s="330">
        <v>45673</v>
      </c>
      <c r="G6" s="330">
        <v>45675</v>
      </c>
      <c r="H6" t="s">
        <v>13033</v>
      </c>
      <c r="I6">
        <f t="shared" si="3"/>
        <v>3</v>
      </c>
      <c r="J6" s="327">
        <f t="shared" si="4"/>
        <v>45679</v>
      </c>
      <c r="K6" s="329">
        <f t="shared" ca="1" si="5"/>
        <v>439</v>
      </c>
      <c r="L6">
        <f t="shared" ca="1" si="6"/>
        <v>434</v>
      </c>
      <c r="M6" t="str">
        <f t="shared" ca="1" si="7"/>
        <v>FINISH</v>
      </c>
    </row>
    <row r="7" spans="1:13" x14ac:dyDescent="0.25">
      <c r="A7" t="str">
        <f t="shared" si="0"/>
        <v>L11</v>
      </c>
      <c r="B7" t="str">
        <f t="shared" si="1"/>
        <v>Dhoz 71</v>
      </c>
      <c r="C7" t="str">
        <f t="shared" si="2"/>
        <v>XCN</v>
      </c>
      <c r="D7" t="s">
        <v>12110</v>
      </c>
      <c r="E7" t="s">
        <v>12070</v>
      </c>
      <c r="F7" s="331">
        <v>45567</v>
      </c>
      <c r="G7" s="330">
        <v>45661</v>
      </c>
      <c r="I7">
        <f t="shared" si="3"/>
        <v>0</v>
      </c>
      <c r="J7" s="327">
        <f t="shared" si="4"/>
        <v>45661</v>
      </c>
      <c r="K7" s="329">
        <f t="shared" ca="1" si="5"/>
        <v>530</v>
      </c>
      <c r="L7">
        <f t="shared" ca="1" si="6"/>
        <v>449</v>
      </c>
      <c r="M7" t="str">
        <f t="shared" ca="1" si="7"/>
        <v>FINISH</v>
      </c>
    </row>
    <row r="8" spans="1:13" x14ac:dyDescent="0.25">
      <c r="A8" t="str">
        <f t="shared" si="0"/>
        <v>L11</v>
      </c>
      <c r="B8" t="str">
        <f t="shared" si="1"/>
        <v>Dhoz 71</v>
      </c>
      <c r="C8" t="str">
        <f t="shared" si="2"/>
        <v>XCN</v>
      </c>
      <c r="D8" t="s">
        <v>12406</v>
      </c>
      <c r="E8" t="s">
        <v>6980</v>
      </c>
      <c r="F8" s="331">
        <v>45604</v>
      </c>
      <c r="G8" s="330">
        <v>45659</v>
      </c>
      <c r="I8">
        <f t="shared" si="3"/>
        <v>0</v>
      </c>
      <c r="J8" s="327">
        <f t="shared" si="4"/>
        <v>45659</v>
      </c>
      <c r="K8" s="329">
        <f t="shared" ca="1" si="5"/>
        <v>498</v>
      </c>
      <c r="L8">
        <f t="shared" ca="1" si="6"/>
        <v>451</v>
      </c>
      <c r="M8" t="str">
        <f t="shared" ca="1" si="7"/>
        <v>FINISH</v>
      </c>
    </row>
    <row r="9" spans="1:13" x14ac:dyDescent="0.25">
      <c r="A9" t="str">
        <f t="shared" si="0"/>
        <v>L11</v>
      </c>
      <c r="B9" t="str">
        <f t="shared" si="1"/>
        <v>Dhoz 71</v>
      </c>
      <c r="C9" t="str">
        <f t="shared" si="2"/>
        <v>DW</v>
      </c>
      <c r="D9" t="s">
        <v>12693</v>
      </c>
      <c r="E9" t="s">
        <v>452</v>
      </c>
      <c r="F9" s="330">
        <v>45576</v>
      </c>
      <c r="G9" s="330">
        <v>45659</v>
      </c>
      <c r="I9">
        <f t="shared" si="3"/>
        <v>0</v>
      </c>
      <c r="J9" s="327">
        <f t="shared" si="4"/>
        <v>45659</v>
      </c>
      <c r="K9" s="329">
        <f t="shared" ca="1" si="5"/>
        <v>522</v>
      </c>
      <c r="L9">
        <f t="shared" ca="1" si="6"/>
        <v>451</v>
      </c>
      <c r="M9" t="str">
        <f t="shared" ca="1" si="7"/>
        <v>FINISH</v>
      </c>
    </row>
    <row r="10" spans="1:13" x14ac:dyDescent="0.25">
      <c r="A10" t="str">
        <f t="shared" si="0"/>
        <v>L11</v>
      </c>
      <c r="B10" t="str">
        <f t="shared" si="1"/>
        <v>Dhoz 71</v>
      </c>
      <c r="C10" t="str">
        <f t="shared" si="2"/>
        <v>DE</v>
      </c>
      <c r="D10" t="s">
        <v>12311</v>
      </c>
      <c r="E10" t="s">
        <v>474</v>
      </c>
      <c r="F10" s="331">
        <v>45576</v>
      </c>
      <c r="G10" s="330">
        <v>45661</v>
      </c>
      <c r="I10">
        <f t="shared" si="3"/>
        <v>0</v>
      </c>
      <c r="J10" s="327">
        <f t="shared" si="4"/>
        <v>45661</v>
      </c>
      <c r="K10" s="329">
        <f t="shared" ca="1" si="5"/>
        <v>522</v>
      </c>
      <c r="L10">
        <f t="shared" ca="1" si="6"/>
        <v>449</v>
      </c>
      <c r="M10" t="str">
        <f t="shared" ca="1" si="7"/>
        <v>FINISH</v>
      </c>
    </row>
    <row r="11" spans="1:13" x14ac:dyDescent="0.25">
      <c r="A11" t="str">
        <f t="shared" si="0"/>
        <v>L11</v>
      </c>
      <c r="B11" t="str">
        <f t="shared" si="1"/>
        <v>Dhoz 71</v>
      </c>
      <c r="C11" t="str">
        <f t="shared" si="2"/>
        <v>DW</v>
      </c>
      <c r="D11" s="324" t="s">
        <v>13021</v>
      </c>
      <c r="E11" t="s">
        <v>5</v>
      </c>
      <c r="F11" s="330">
        <v>45673</v>
      </c>
      <c r="G11" s="330">
        <v>45673</v>
      </c>
      <c r="H11" t="s">
        <v>13033</v>
      </c>
      <c r="I11">
        <f t="shared" si="3"/>
        <v>3</v>
      </c>
      <c r="J11" s="327">
        <f t="shared" si="4"/>
        <v>45677</v>
      </c>
      <c r="K11" s="329">
        <f t="shared" ca="1" si="5"/>
        <v>439</v>
      </c>
      <c r="L11">
        <f t="shared" ca="1" si="6"/>
        <v>436</v>
      </c>
      <c r="M11" t="str">
        <f t="shared" ca="1" si="7"/>
        <v>FINISH</v>
      </c>
    </row>
    <row r="12" spans="1:13" x14ac:dyDescent="0.25">
      <c r="A12" t="str">
        <f t="shared" si="0"/>
        <v>L11</v>
      </c>
      <c r="B12" t="str">
        <f t="shared" si="1"/>
        <v>Dhoz 71</v>
      </c>
      <c r="C12" t="str">
        <f t="shared" si="2"/>
        <v>DE</v>
      </c>
      <c r="D12" t="s">
        <v>12631</v>
      </c>
      <c r="E12" t="s">
        <v>488</v>
      </c>
      <c r="F12" s="330">
        <v>45560</v>
      </c>
      <c r="G12" s="330">
        <v>45663</v>
      </c>
      <c r="I12">
        <f t="shared" si="3"/>
        <v>0</v>
      </c>
      <c r="J12" s="327">
        <f t="shared" si="4"/>
        <v>45663</v>
      </c>
      <c r="K12" s="329">
        <f t="shared" ca="1" si="5"/>
        <v>536</v>
      </c>
      <c r="L12">
        <f t="shared" ca="1" si="6"/>
        <v>448</v>
      </c>
      <c r="M12" t="str">
        <f t="shared" ca="1" si="7"/>
        <v>FINISH</v>
      </c>
    </row>
    <row r="13" spans="1:13" x14ac:dyDescent="0.25">
      <c r="A13" t="str">
        <f t="shared" si="0"/>
        <v>L11</v>
      </c>
      <c r="B13" t="str">
        <f t="shared" si="1"/>
        <v>Dhoz 71</v>
      </c>
      <c r="C13" t="str">
        <f t="shared" si="2"/>
        <v>DE</v>
      </c>
      <c r="D13" t="s">
        <v>12972</v>
      </c>
      <c r="E13" t="s">
        <v>359</v>
      </c>
      <c r="F13" s="330">
        <v>45648</v>
      </c>
      <c r="G13" s="330">
        <v>45663</v>
      </c>
      <c r="I13">
        <f t="shared" si="3"/>
        <v>0</v>
      </c>
      <c r="J13" s="327">
        <f t="shared" si="4"/>
        <v>45663</v>
      </c>
      <c r="K13" s="329">
        <f t="shared" ca="1" si="5"/>
        <v>460</v>
      </c>
      <c r="L13">
        <f t="shared" ca="1" si="6"/>
        <v>448</v>
      </c>
      <c r="M13" t="str">
        <f t="shared" ca="1" si="7"/>
        <v>FINISH</v>
      </c>
    </row>
    <row r="14" spans="1:13" x14ac:dyDescent="0.25">
      <c r="A14" t="str">
        <f t="shared" si="0"/>
        <v>L11</v>
      </c>
      <c r="B14" t="str">
        <f t="shared" si="1"/>
        <v>Dhoz 71</v>
      </c>
      <c r="C14" t="str">
        <f t="shared" si="2"/>
        <v>DE</v>
      </c>
      <c r="D14" t="s">
        <v>12912</v>
      </c>
      <c r="E14" t="s">
        <v>340</v>
      </c>
      <c r="F14" s="330">
        <v>45635</v>
      </c>
      <c r="G14" s="330">
        <v>45663</v>
      </c>
      <c r="I14">
        <f t="shared" si="3"/>
        <v>0</v>
      </c>
      <c r="J14" s="327">
        <f t="shared" si="4"/>
        <v>45663</v>
      </c>
      <c r="K14" s="329">
        <f t="shared" ca="1" si="5"/>
        <v>472</v>
      </c>
      <c r="L14">
        <f t="shared" ca="1" si="6"/>
        <v>448</v>
      </c>
      <c r="M14" t="str">
        <f t="shared" ca="1" si="7"/>
        <v>FINISH</v>
      </c>
    </row>
    <row r="15" spans="1:13" x14ac:dyDescent="0.25">
      <c r="A15" t="str">
        <f t="shared" si="0"/>
        <v>L11</v>
      </c>
      <c r="B15" t="str">
        <f t="shared" si="1"/>
        <v>Dhoz 71</v>
      </c>
      <c r="C15" t="str">
        <f t="shared" si="2"/>
        <v>DW</v>
      </c>
      <c r="D15" t="s">
        <v>12756</v>
      </c>
      <c r="E15" t="s">
        <v>12513</v>
      </c>
      <c r="F15" s="331">
        <v>45593</v>
      </c>
      <c r="G15" s="330">
        <v>45665</v>
      </c>
      <c r="I15">
        <f t="shared" si="3"/>
        <v>0</v>
      </c>
      <c r="J15" s="327">
        <f t="shared" si="4"/>
        <v>45665</v>
      </c>
      <c r="K15" s="329">
        <f t="shared" ca="1" si="5"/>
        <v>508</v>
      </c>
      <c r="L15">
        <f t="shared" ca="1" si="6"/>
        <v>446</v>
      </c>
      <c r="M15" t="str">
        <f t="shared" ca="1" si="7"/>
        <v>FINISH</v>
      </c>
    </row>
    <row r="16" spans="1:13" x14ac:dyDescent="0.25">
      <c r="A16" t="str">
        <f t="shared" si="0"/>
        <v>L11</v>
      </c>
      <c r="B16" t="str">
        <f t="shared" si="1"/>
        <v>Dhoz 71</v>
      </c>
      <c r="C16" t="str">
        <f t="shared" si="2"/>
        <v>DW</v>
      </c>
      <c r="D16" t="s">
        <v>12944</v>
      </c>
      <c r="E16" t="s">
        <v>6954</v>
      </c>
      <c r="F16" s="330">
        <v>45643</v>
      </c>
      <c r="G16" s="330">
        <v>45661</v>
      </c>
      <c r="I16">
        <f t="shared" si="3"/>
        <v>0</v>
      </c>
      <c r="J16" s="327">
        <f t="shared" si="4"/>
        <v>45661</v>
      </c>
      <c r="K16" s="329">
        <f t="shared" ca="1" si="5"/>
        <v>465</v>
      </c>
      <c r="L16">
        <f t="shared" ca="1" si="6"/>
        <v>449</v>
      </c>
      <c r="M16" t="str">
        <f t="shared" ca="1" si="7"/>
        <v>FINISH</v>
      </c>
    </row>
    <row r="17" spans="1:13" x14ac:dyDescent="0.25">
      <c r="A17" t="str">
        <f t="shared" si="0"/>
        <v>L11</v>
      </c>
      <c r="B17" t="str">
        <f t="shared" si="1"/>
        <v>Dhoz 71</v>
      </c>
      <c r="C17" t="str">
        <f t="shared" si="2"/>
        <v>DW</v>
      </c>
      <c r="D17" t="s">
        <v>13030</v>
      </c>
      <c r="E17" t="s">
        <v>6954</v>
      </c>
      <c r="F17" s="330">
        <v>45679</v>
      </c>
      <c r="G17" s="330">
        <v>45678</v>
      </c>
      <c r="H17" t="s">
        <v>13033</v>
      </c>
      <c r="I17">
        <f t="shared" si="3"/>
        <v>3</v>
      </c>
      <c r="J17" s="327">
        <f t="shared" si="4"/>
        <v>45681</v>
      </c>
      <c r="K17" s="329">
        <f t="shared" ca="1" si="5"/>
        <v>435</v>
      </c>
      <c r="L17">
        <f t="shared" ca="1" si="6"/>
        <v>432</v>
      </c>
      <c r="M17" t="str">
        <f t="shared" ca="1" si="7"/>
        <v>FINISH</v>
      </c>
    </row>
    <row r="18" spans="1:13" x14ac:dyDescent="0.25">
      <c r="A18" t="str">
        <f t="shared" si="0"/>
        <v>L11</v>
      </c>
      <c r="B18" t="str">
        <f t="shared" si="1"/>
        <v>Dhoz 71</v>
      </c>
      <c r="C18" t="str">
        <f t="shared" si="2"/>
        <v>DE</v>
      </c>
      <c r="D18" t="s">
        <v>13029</v>
      </c>
      <c r="E18" t="s">
        <v>6954</v>
      </c>
      <c r="F18" s="330">
        <v>45679</v>
      </c>
      <c r="G18" s="330">
        <v>45679</v>
      </c>
      <c r="H18" t="s">
        <v>13033</v>
      </c>
      <c r="I18">
        <f t="shared" si="3"/>
        <v>3</v>
      </c>
      <c r="J18" s="327">
        <f t="shared" si="4"/>
        <v>45682</v>
      </c>
      <c r="K18" s="329">
        <f t="shared" ca="1" si="5"/>
        <v>434</v>
      </c>
      <c r="L18">
        <f ca="1">NETWORKDAYS.INTL(J18,$A$1,11)</f>
        <v>431</v>
      </c>
      <c r="M18" t="str">
        <f ca="1">IF(L18&gt;=I18,"FINISH",0)</f>
        <v>FINISH</v>
      </c>
    </row>
    <row r="19" spans="1:13" x14ac:dyDescent="0.25">
      <c r="A19" t="str">
        <f t="shared" si="0"/>
        <v>L11</v>
      </c>
      <c r="B19" t="str">
        <f t="shared" si="1"/>
        <v>Dhoz 71</v>
      </c>
      <c r="C19" t="str">
        <f t="shared" si="2"/>
        <v>DW</v>
      </c>
      <c r="D19" t="s">
        <v>13059</v>
      </c>
      <c r="E19" t="s">
        <v>4068</v>
      </c>
      <c r="F19" s="330">
        <v>45684</v>
      </c>
      <c r="G19" s="330">
        <v>45684</v>
      </c>
      <c r="H19" t="s">
        <v>13033</v>
      </c>
      <c r="I19">
        <f t="shared" si="3"/>
        <v>3</v>
      </c>
      <c r="J19" s="327">
        <f>WORKDAY.INTL(G19,I19,11)</f>
        <v>45687</v>
      </c>
      <c r="K19" s="329">
        <f ca="1">IF(F19&lt;G19,NETWORKDAYS.INTL(F19,$A$1,11),NETWORKDAYS.INTL(G19,$A$1,11))</f>
        <v>430</v>
      </c>
      <c r="L19">
        <f ca="1">NETWORKDAYS.INTL(J19,$A$1,11)</f>
        <v>427</v>
      </c>
      <c r="M19" t="str">
        <f ca="1">IF(L19&gt;=I19,"FINISH",0)</f>
        <v>FINISH</v>
      </c>
    </row>
    <row r="20" spans="1:13" x14ac:dyDescent="0.25">
      <c r="A20" t="str">
        <f t="shared" si="0"/>
        <v>L11</v>
      </c>
      <c r="B20" t="str">
        <f t="shared" si="1"/>
        <v>DVR 72</v>
      </c>
      <c r="C20" t="str">
        <f t="shared" si="2"/>
        <v>RAISE</v>
      </c>
      <c r="D20" t="s">
        <v>13061</v>
      </c>
      <c r="E20" t="s">
        <v>452</v>
      </c>
      <c r="F20" s="330">
        <v>45684</v>
      </c>
      <c r="G20" s="330">
        <v>45684</v>
      </c>
      <c r="H20" t="s">
        <v>13031</v>
      </c>
      <c r="I20">
        <f t="shared" si="3"/>
        <v>5</v>
      </c>
      <c r="J20" s="327">
        <f t="shared" si="4"/>
        <v>45689</v>
      </c>
      <c r="K20" s="329">
        <f ca="1">IF(F20&lt;G20,NETWORKDAYS.INTL(F20,$A$1,11),NETWORKDAYS.INTL(G20,$A$1,11))</f>
        <v>430</v>
      </c>
      <c r="L20">
        <f t="shared" ca="1" si="6"/>
        <v>425</v>
      </c>
      <c r="M20" t="str">
        <f ca="1">IF(L20&gt;=I20,"FINISH",0)</f>
        <v>FINISH</v>
      </c>
    </row>
    <row r="21" spans="1:13" x14ac:dyDescent="0.25">
      <c r="A21" t="str">
        <f t="shared" si="0"/>
        <v/>
      </c>
      <c r="B21" t="str">
        <f t="shared" si="1"/>
        <v/>
      </c>
      <c r="C21" t="str">
        <f t="shared" si="2"/>
        <v/>
      </c>
      <c r="F21" s="330"/>
      <c r="I21">
        <f t="shared" si="3"/>
        <v>0</v>
      </c>
      <c r="J21" s="327">
        <f t="shared" si="4"/>
        <v>0</v>
      </c>
      <c r="K21" s="329">
        <f t="shared" ca="1" si="5"/>
        <v>39587</v>
      </c>
      <c r="L21">
        <f t="shared" ca="1" si="6"/>
        <v>39587</v>
      </c>
      <c r="M21" t="str">
        <f t="shared" ca="1" si="7"/>
        <v>FINISH</v>
      </c>
    </row>
    <row r="22" spans="1:13" x14ac:dyDescent="0.25">
      <c r="A22" t="str">
        <f t="shared" si="0"/>
        <v/>
      </c>
      <c r="B22" t="str">
        <f t="shared" si="1"/>
        <v/>
      </c>
      <c r="C22" t="str">
        <f t="shared" si="2"/>
        <v/>
      </c>
      <c r="F22" s="330"/>
      <c r="I22">
        <f t="shared" si="3"/>
        <v>0</v>
      </c>
      <c r="J22" s="327">
        <f t="shared" si="4"/>
        <v>0</v>
      </c>
      <c r="K22" s="329">
        <f t="shared" ca="1" si="5"/>
        <v>39587</v>
      </c>
      <c r="L22">
        <f t="shared" ca="1" si="6"/>
        <v>39587</v>
      </c>
      <c r="M22" t="str">
        <f t="shared" ca="1" si="7"/>
        <v>FINISH</v>
      </c>
    </row>
    <row r="23" spans="1:13" x14ac:dyDescent="0.25">
      <c r="A23" t="str">
        <f t="shared" si="0"/>
        <v/>
      </c>
      <c r="B23" t="str">
        <f t="shared" si="1"/>
        <v/>
      </c>
      <c r="C23" t="str">
        <f t="shared" si="2"/>
        <v/>
      </c>
      <c r="F23" s="330"/>
      <c r="I23">
        <f t="shared" si="3"/>
        <v>0</v>
      </c>
      <c r="J23" s="327">
        <f t="shared" si="4"/>
        <v>0</v>
      </c>
      <c r="K23" s="329">
        <f t="shared" ca="1" si="5"/>
        <v>39587</v>
      </c>
      <c r="L23">
        <f t="shared" ca="1" si="6"/>
        <v>39587</v>
      </c>
      <c r="M23" t="str">
        <f t="shared" ca="1" si="7"/>
        <v>FINISH</v>
      </c>
    </row>
    <row r="24" spans="1:13" x14ac:dyDescent="0.25">
      <c r="A24" t="str">
        <f t="shared" si="0"/>
        <v/>
      </c>
      <c r="B24" t="str">
        <f t="shared" si="1"/>
        <v/>
      </c>
      <c r="C24" t="str">
        <f t="shared" si="2"/>
        <v/>
      </c>
      <c r="F24" s="330"/>
      <c r="I24">
        <f t="shared" si="3"/>
        <v>0</v>
      </c>
      <c r="J24" s="327">
        <f t="shared" si="4"/>
        <v>0</v>
      </c>
      <c r="K24" s="329">
        <f t="shared" ca="1" si="5"/>
        <v>39587</v>
      </c>
      <c r="L24">
        <f t="shared" ca="1" si="6"/>
        <v>39587</v>
      </c>
      <c r="M24" t="str">
        <f t="shared" ca="1" si="7"/>
        <v>FINISH</v>
      </c>
    </row>
    <row r="25" spans="1:13" x14ac:dyDescent="0.25">
      <c r="A25" t="str">
        <f t="shared" si="0"/>
        <v/>
      </c>
      <c r="B25" t="str">
        <f t="shared" si="1"/>
        <v/>
      </c>
      <c r="C25" t="str">
        <f t="shared" si="2"/>
        <v/>
      </c>
      <c r="F25" s="330"/>
      <c r="I25">
        <f t="shared" si="3"/>
        <v>0</v>
      </c>
      <c r="J25" s="327">
        <f t="shared" si="4"/>
        <v>0</v>
      </c>
      <c r="K25" s="329">
        <f t="shared" ca="1" si="5"/>
        <v>39587</v>
      </c>
      <c r="L25">
        <f t="shared" ca="1" si="6"/>
        <v>39587</v>
      </c>
      <c r="M25" t="str">
        <f t="shared" ca="1" si="7"/>
        <v>FINISH</v>
      </c>
    </row>
    <row r="26" spans="1:13" x14ac:dyDescent="0.25">
      <c r="A26" t="str">
        <f t="shared" si="0"/>
        <v/>
      </c>
      <c r="B26" t="str">
        <f t="shared" si="1"/>
        <v/>
      </c>
      <c r="C26" t="str">
        <f t="shared" si="2"/>
        <v/>
      </c>
      <c r="F26" s="330"/>
      <c r="I26">
        <f t="shared" si="3"/>
        <v>0</v>
      </c>
      <c r="J26" s="327">
        <f t="shared" si="4"/>
        <v>0</v>
      </c>
      <c r="K26" s="329">
        <f t="shared" ca="1" si="5"/>
        <v>39587</v>
      </c>
      <c r="L26">
        <f t="shared" ca="1" si="6"/>
        <v>39587</v>
      </c>
      <c r="M26" t="str">
        <f t="shared" ca="1" si="7"/>
        <v>FINISH</v>
      </c>
    </row>
    <row r="27" spans="1:13" x14ac:dyDescent="0.25">
      <c r="A27" t="str">
        <f t="shared" si="0"/>
        <v/>
      </c>
      <c r="B27" t="str">
        <f t="shared" si="1"/>
        <v/>
      </c>
      <c r="C27" t="str">
        <f t="shared" si="2"/>
        <v/>
      </c>
      <c r="F27" s="330"/>
      <c r="I27">
        <f t="shared" si="3"/>
        <v>0</v>
      </c>
      <c r="J27" s="327">
        <f t="shared" si="4"/>
        <v>0</v>
      </c>
      <c r="K27" s="329">
        <f t="shared" ca="1" si="5"/>
        <v>39587</v>
      </c>
      <c r="L27">
        <f t="shared" ca="1" si="6"/>
        <v>39587</v>
      </c>
      <c r="M27" t="str">
        <f t="shared" ca="1" si="7"/>
        <v>FINISH</v>
      </c>
    </row>
    <row r="28" spans="1:13" x14ac:dyDescent="0.25">
      <c r="A28" t="str">
        <f t="shared" si="0"/>
        <v/>
      </c>
      <c r="B28" t="str">
        <f t="shared" si="1"/>
        <v/>
      </c>
      <c r="C28" t="str">
        <f t="shared" si="2"/>
        <v/>
      </c>
      <c r="F28" s="330"/>
      <c r="I28">
        <f t="shared" si="3"/>
        <v>0</v>
      </c>
      <c r="J28" s="327">
        <f t="shared" si="4"/>
        <v>0</v>
      </c>
      <c r="K28" s="329">
        <f t="shared" ca="1" si="5"/>
        <v>39587</v>
      </c>
      <c r="L28">
        <f t="shared" ca="1" si="6"/>
        <v>39587</v>
      </c>
      <c r="M28" t="str">
        <f t="shared" ca="1" si="7"/>
        <v>FINISH</v>
      </c>
    </row>
    <row r="29" spans="1:13" x14ac:dyDescent="0.25">
      <c r="A29" t="str">
        <f t="shared" si="0"/>
        <v/>
      </c>
      <c r="B29" t="str">
        <f t="shared" si="1"/>
        <v/>
      </c>
      <c r="C29" t="str">
        <f t="shared" si="2"/>
        <v/>
      </c>
      <c r="F29" s="330"/>
      <c r="I29">
        <f t="shared" si="3"/>
        <v>0</v>
      </c>
      <c r="J29" s="327">
        <f t="shared" si="4"/>
        <v>0</v>
      </c>
      <c r="K29" s="329">
        <f t="shared" ca="1" si="5"/>
        <v>39587</v>
      </c>
      <c r="L29">
        <f t="shared" ca="1" si="6"/>
        <v>39587</v>
      </c>
      <c r="M29" t="str">
        <f t="shared" ca="1" si="7"/>
        <v>FINISH</v>
      </c>
    </row>
    <row r="30" spans="1:13" x14ac:dyDescent="0.25">
      <c r="A30" t="str">
        <f t="shared" si="0"/>
        <v/>
      </c>
      <c r="B30" t="str">
        <f t="shared" si="1"/>
        <v/>
      </c>
      <c r="C30" t="str">
        <f t="shared" si="2"/>
        <v/>
      </c>
      <c r="F30" s="330"/>
      <c r="I30">
        <f t="shared" si="3"/>
        <v>0</v>
      </c>
      <c r="J30" s="327">
        <f t="shared" si="4"/>
        <v>0</v>
      </c>
      <c r="K30" s="329">
        <f t="shared" ca="1" si="5"/>
        <v>39587</v>
      </c>
      <c r="L30">
        <f t="shared" ca="1" si="6"/>
        <v>39587</v>
      </c>
      <c r="M30" t="str">
        <f t="shared" ca="1" si="7"/>
        <v>FINISH</v>
      </c>
    </row>
    <row r="31" spans="1:13" x14ac:dyDescent="0.25">
      <c r="A31" t="str">
        <f t="shared" si="0"/>
        <v/>
      </c>
      <c r="B31" t="str">
        <f t="shared" si="1"/>
        <v/>
      </c>
      <c r="C31" t="str">
        <f t="shared" si="2"/>
        <v/>
      </c>
      <c r="F31" s="330"/>
      <c r="I31">
        <f t="shared" si="3"/>
        <v>0</v>
      </c>
      <c r="J31" s="327">
        <f t="shared" si="4"/>
        <v>0</v>
      </c>
      <c r="K31" s="329">
        <f t="shared" ca="1" si="5"/>
        <v>39587</v>
      </c>
      <c r="L31">
        <f t="shared" ca="1" si="6"/>
        <v>39587</v>
      </c>
      <c r="M31" t="str">
        <f t="shared" ca="1" si="7"/>
        <v>FINISH</v>
      </c>
    </row>
    <row r="32" spans="1:13" x14ac:dyDescent="0.25">
      <c r="A32" t="str">
        <f t="shared" si="0"/>
        <v/>
      </c>
      <c r="B32" t="str">
        <f t="shared" si="1"/>
        <v/>
      </c>
      <c r="C32" t="str">
        <f t="shared" si="2"/>
        <v/>
      </c>
      <c r="F32" s="330"/>
      <c r="I32">
        <f t="shared" si="3"/>
        <v>0</v>
      </c>
      <c r="J32" s="327">
        <f t="shared" si="4"/>
        <v>0</v>
      </c>
      <c r="K32" s="329">
        <f t="shared" ca="1" si="5"/>
        <v>39587</v>
      </c>
      <c r="L32">
        <f t="shared" ca="1" si="6"/>
        <v>39587</v>
      </c>
      <c r="M32" t="str">
        <f t="shared" ca="1" si="7"/>
        <v>FINISH</v>
      </c>
    </row>
    <row r="33" spans="1:13" x14ac:dyDescent="0.25">
      <c r="A33" t="str">
        <f t="shared" si="0"/>
        <v/>
      </c>
      <c r="B33" t="str">
        <f t="shared" si="1"/>
        <v/>
      </c>
      <c r="C33" t="str">
        <f t="shared" si="2"/>
        <v/>
      </c>
      <c r="F33" s="330"/>
      <c r="I33">
        <f t="shared" si="3"/>
        <v>0</v>
      </c>
      <c r="J33" s="327">
        <f t="shared" si="4"/>
        <v>0</v>
      </c>
      <c r="K33" s="329">
        <f t="shared" ca="1" si="5"/>
        <v>39587</v>
      </c>
      <c r="L33">
        <f t="shared" ca="1" si="6"/>
        <v>39587</v>
      </c>
      <c r="M33" t="str">
        <f t="shared" ca="1" si="7"/>
        <v>FINISH</v>
      </c>
    </row>
    <row r="34" spans="1:13" x14ac:dyDescent="0.25">
      <c r="A34" t="str">
        <f t="shared" si="0"/>
        <v/>
      </c>
      <c r="B34" t="str">
        <f t="shared" si="1"/>
        <v/>
      </c>
      <c r="C34" t="str">
        <f t="shared" si="2"/>
        <v/>
      </c>
      <c r="F34" s="330"/>
      <c r="I34">
        <f t="shared" si="3"/>
        <v>0</v>
      </c>
      <c r="J34" s="327">
        <f t="shared" si="4"/>
        <v>0</v>
      </c>
      <c r="K34" s="329">
        <f t="shared" ca="1" si="5"/>
        <v>39587</v>
      </c>
      <c r="L34">
        <f t="shared" ca="1" si="6"/>
        <v>39587</v>
      </c>
      <c r="M34" t="str">
        <f t="shared" ca="1" si="7"/>
        <v>FINISH</v>
      </c>
    </row>
    <row r="35" spans="1:13" x14ac:dyDescent="0.25">
      <c r="A35" t="str">
        <f t="shared" si="0"/>
        <v/>
      </c>
      <c r="B35" t="str">
        <f t="shared" si="1"/>
        <v/>
      </c>
      <c r="C35" t="str">
        <f t="shared" si="2"/>
        <v/>
      </c>
      <c r="F35" s="330"/>
      <c r="I35">
        <f t="shared" si="3"/>
        <v>0</v>
      </c>
      <c r="J35" s="327">
        <f t="shared" si="4"/>
        <v>0</v>
      </c>
      <c r="K35" s="329">
        <f t="shared" ca="1" si="5"/>
        <v>39587</v>
      </c>
      <c r="L35">
        <f t="shared" ca="1" si="6"/>
        <v>39587</v>
      </c>
      <c r="M35" t="str">
        <f t="shared" ca="1" si="7"/>
        <v>FINISH</v>
      </c>
    </row>
    <row r="36" spans="1:13" x14ac:dyDescent="0.25">
      <c r="A36" t="str">
        <f t="shared" si="0"/>
        <v/>
      </c>
      <c r="B36" t="str">
        <f t="shared" si="1"/>
        <v/>
      </c>
      <c r="C36" t="str">
        <f t="shared" si="2"/>
        <v/>
      </c>
      <c r="F36" s="330"/>
      <c r="I36">
        <f t="shared" si="3"/>
        <v>0</v>
      </c>
      <c r="J36" s="327">
        <f t="shared" si="4"/>
        <v>0</v>
      </c>
      <c r="K36" s="329">
        <f t="shared" ca="1" si="5"/>
        <v>39587</v>
      </c>
      <c r="L36">
        <f t="shared" ca="1" si="6"/>
        <v>39587</v>
      </c>
      <c r="M36" t="str">
        <f t="shared" ca="1" si="7"/>
        <v>FINISH</v>
      </c>
    </row>
    <row r="37" spans="1:13" x14ac:dyDescent="0.25">
      <c r="A37" t="str">
        <f t="shared" si="0"/>
        <v/>
      </c>
      <c r="B37" t="str">
        <f t="shared" si="1"/>
        <v/>
      </c>
      <c r="C37" t="str">
        <f t="shared" si="2"/>
        <v/>
      </c>
      <c r="F37" s="330"/>
      <c r="I37">
        <f t="shared" si="3"/>
        <v>0</v>
      </c>
      <c r="J37" s="327">
        <f t="shared" si="4"/>
        <v>0</v>
      </c>
      <c r="K37" s="329">
        <f t="shared" ca="1" si="5"/>
        <v>39587</v>
      </c>
      <c r="L37">
        <f t="shared" ca="1" si="6"/>
        <v>39587</v>
      </c>
      <c r="M37" t="str">
        <f t="shared" ca="1" si="7"/>
        <v>FINISH</v>
      </c>
    </row>
    <row r="38" spans="1:13" x14ac:dyDescent="0.25">
      <c r="A38" t="str">
        <f t="shared" si="0"/>
        <v/>
      </c>
      <c r="B38" t="str">
        <f t="shared" si="1"/>
        <v/>
      </c>
      <c r="C38" t="str">
        <f t="shared" si="2"/>
        <v/>
      </c>
      <c r="F38" s="330"/>
      <c r="I38">
        <f t="shared" si="3"/>
        <v>0</v>
      </c>
      <c r="J38" s="327">
        <f t="shared" si="4"/>
        <v>0</v>
      </c>
      <c r="K38" s="329">
        <f t="shared" ca="1" si="5"/>
        <v>39587</v>
      </c>
      <c r="L38">
        <f t="shared" ca="1" si="6"/>
        <v>39587</v>
      </c>
      <c r="M38" t="str">
        <f t="shared" ca="1" si="7"/>
        <v>FINISH</v>
      </c>
    </row>
    <row r="39" spans="1:13" x14ac:dyDescent="0.25">
      <c r="A39" t="str">
        <f t="shared" si="0"/>
        <v/>
      </c>
      <c r="B39" t="str">
        <f t="shared" si="1"/>
        <v/>
      </c>
      <c r="C39" t="str">
        <f t="shared" si="2"/>
        <v/>
      </c>
      <c r="F39" s="330"/>
      <c r="I39">
        <f t="shared" si="3"/>
        <v>0</v>
      </c>
      <c r="J39" s="327">
        <f t="shared" si="4"/>
        <v>0</v>
      </c>
      <c r="K39" s="329">
        <f t="shared" ca="1" si="5"/>
        <v>39587</v>
      </c>
      <c r="L39">
        <f t="shared" ca="1" si="6"/>
        <v>39587</v>
      </c>
      <c r="M39" t="str">
        <f t="shared" ca="1" si="7"/>
        <v>FINISH</v>
      </c>
    </row>
    <row r="40" spans="1:13" x14ac:dyDescent="0.25">
      <c r="A40" t="str">
        <f t="shared" si="0"/>
        <v/>
      </c>
      <c r="B40" t="str">
        <f t="shared" si="1"/>
        <v/>
      </c>
      <c r="C40" t="str">
        <f t="shared" si="2"/>
        <v/>
      </c>
      <c r="F40" s="330"/>
      <c r="I40">
        <f t="shared" si="3"/>
        <v>0</v>
      </c>
      <c r="J40" s="327">
        <f t="shared" si="4"/>
        <v>0</v>
      </c>
      <c r="K40" s="329">
        <f t="shared" ca="1" si="5"/>
        <v>39587</v>
      </c>
      <c r="L40">
        <f t="shared" ca="1" si="6"/>
        <v>39587</v>
      </c>
      <c r="M40" t="str">
        <f t="shared" ca="1" si="7"/>
        <v>FINISH</v>
      </c>
    </row>
    <row r="41" spans="1:13" x14ac:dyDescent="0.25">
      <c r="A41" t="str">
        <f t="shared" si="0"/>
        <v/>
      </c>
      <c r="B41" t="str">
        <f t="shared" si="1"/>
        <v/>
      </c>
      <c r="C41" t="str">
        <f t="shared" si="2"/>
        <v/>
      </c>
      <c r="F41" s="330"/>
      <c r="I41">
        <f t="shared" si="3"/>
        <v>0</v>
      </c>
      <c r="J41" s="327">
        <f t="shared" si="4"/>
        <v>0</v>
      </c>
      <c r="K41" s="329">
        <f t="shared" ca="1" si="5"/>
        <v>39587</v>
      </c>
      <c r="L41">
        <f t="shared" ca="1" si="6"/>
        <v>39587</v>
      </c>
      <c r="M41" t="str">
        <f t="shared" ca="1" si="7"/>
        <v>FINISH</v>
      </c>
    </row>
    <row r="42" spans="1:13" x14ac:dyDescent="0.25">
      <c r="A42" t="str">
        <f t="shared" si="0"/>
        <v/>
      </c>
      <c r="B42" t="str">
        <f t="shared" si="1"/>
        <v/>
      </c>
      <c r="C42" t="str">
        <f t="shared" si="2"/>
        <v/>
      </c>
      <c r="F42" s="330"/>
      <c r="I42">
        <f t="shared" si="3"/>
        <v>0</v>
      </c>
      <c r="J42" s="327">
        <f t="shared" si="4"/>
        <v>0</v>
      </c>
      <c r="K42" s="329">
        <f t="shared" ca="1" si="5"/>
        <v>39587</v>
      </c>
      <c r="L42">
        <f t="shared" ca="1" si="6"/>
        <v>39587</v>
      </c>
      <c r="M42" t="str">
        <f t="shared" ca="1" si="7"/>
        <v>FINISH</v>
      </c>
    </row>
    <row r="43" spans="1:13" x14ac:dyDescent="0.25">
      <c r="A43" t="str">
        <f t="shared" si="0"/>
        <v/>
      </c>
      <c r="B43" t="str">
        <f t="shared" si="1"/>
        <v/>
      </c>
      <c r="C43" t="str">
        <f t="shared" si="2"/>
        <v/>
      </c>
      <c r="F43" s="330"/>
      <c r="I43">
        <f t="shared" si="3"/>
        <v>0</v>
      </c>
      <c r="J43" s="327">
        <f t="shared" si="4"/>
        <v>0</v>
      </c>
      <c r="K43" s="329">
        <f t="shared" ca="1" si="5"/>
        <v>39587</v>
      </c>
      <c r="L43">
        <f t="shared" ca="1" si="6"/>
        <v>39587</v>
      </c>
      <c r="M43" t="str">
        <f t="shared" ca="1" si="7"/>
        <v>FINISH</v>
      </c>
    </row>
    <row r="44" spans="1:13" x14ac:dyDescent="0.25">
      <c r="A44" t="str">
        <f t="shared" si="0"/>
        <v/>
      </c>
      <c r="B44" t="str">
        <f t="shared" si="1"/>
        <v/>
      </c>
      <c r="C44" t="str">
        <f t="shared" si="2"/>
        <v/>
      </c>
      <c r="F44" s="330"/>
      <c r="I44">
        <f t="shared" si="3"/>
        <v>0</v>
      </c>
      <c r="J44" s="327">
        <f t="shared" si="4"/>
        <v>0</v>
      </c>
      <c r="K44" s="329">
        <f t="shared" ca="1" si="5"/>
        <v>39587</v>
      </c>
      <c r="L44">
        <f t="shared" ca="1" si="6"/>
        <v>39587</v>
      </c>
      <c r="M44" t="str">
        <f t="shared" ca="1" si="7"/>
        <v>FINISH</v>
      </c>
    </row>
    <row r="45" spans="1:13" x14ac:dyDescent="0.25">
      <c r="A45" t="str">
        <f t="shared" si="0"/>
        <v/>
      </c>
      <c r="B45" t="str">
        <f t="shared" si="1"/>
        <v/>
      </c>
      <c r="C45" t="str">
        <f t="shared" si="2"/>
        <v/>
      </c>
      <c r="F45" s="330"/>
      <c r="I45">
        <f t="shared" si="3"/>
        <v>0</v>
      </c>
      <c r="J45" s="327">
        <f t="shared" si="4"/>
        <v>0</v>
      </c>
      <c r="K45" s="329">
        <f t="shared" ca="1" si="5"/>
        <v>39587</v>
      </c>
      <c r="L45">
        <f t="shared" ca="1" si="6"/>
        <v>39587</v>
      </c>
      <c r="M45" t="str">
        <f t="shared" ca="1" si="7"/>
        <v>FINISH</v>
      </c>
    </row>
    <row r="46" spans="1:13" x14ac:dyDescent="0.25">
      <c r="A46" t="str">
        <f t="shared" si="0"/>
        <v/>
      </c>
      <c r="B46" t="str">
        <f t="shared" si="1"/>
        <v/>
      </c>
      <c r="C46" t="str">
        <f t="shared" si="2"/>
        <v/>
      </c>
      <c r="F46" s="330"/>
      <c r="I46">
        <f t="shared" si="3"/>
        <v>0</v>
      </c>
      <c r="J46" s="327">
        <f t="shared" si="4"/>
        <v>0</v>
      </c>
      <c r="K46" s="329">
        <f t="shared" ca="1" si="5"/>
        <v>39587</v>
      </c>
      <c r="L46">
        <f t="shared" ca="1" si="6"/>
        <v>39587</v>
      </c>
      <c r="M46" t="str">
        <f t="shared" ca="1" si="7"/>
        <v>FINISH</v>
      </c>
    </row>
    <row r="47" spans="1:13" x14ac:dyDescent="0.25">
      <c r="A47" t="str">
        <f t="shared" si="0"/>
        <v/>
      </c>
      <c r="B47" t="str">
        <f t="shared" si="1"/>
        <v/>
      </c>
      <c r="C47" t="str">
        <f t="shared" si="2"/>
        <v/>
      </c>
      <c r="F47" s="330"/>
      <c r="I47">
        <f t="shared" si="3"/>
        <v>0</v>
      </c>
      <c r="J47" s="327">
        <f t="shared" si="4"/>
        <v>0</v>
      </c>
      <c r="K47" s="329">
        <f t="shared" ca="1" si="5"/>
        <v>39587</v>
      </c>
      <c r="L47">
        <f t="shared" ca="1" si="6"/>
        <v>39587</v>
      </c>
      <c r="M47" t="str">
        <f t="shared" ca="1" si="7"/>
        <v>FINISH</v>
      </c>
    </row>
    <row r="48" spans="1:13" x14ac:dyDescent="0.25">
      <c r="A48" t="str">
        <f t="shared" si="0"/>
        <v/>
      </c>
      <c r="B48" t="str">
        <f t="shared" si="1"/>
        <v/>
      </c>
      <c r="C48" t="str">
        <f t="shared" si="2"/>
        <v/>
      </c>
      <c r="F48" s="330"/>
      <c r="I48">
        <f t="shared" si="3"/>
        <v>0</v>
      </c>
      <c r="J48" s="327">
        <f t="shared" si="4"/>
        <v>0</v>
      </c>
      <c r="K48" s="329">
        <f t="shared" ca="1" si="5"/>
        <v>39587</v>
      </c>
      <c r="L48">
        <f t="shared" ca="1" si="6"/>
        <v>39587</v>
      </c>
      <c r="M48" t="str">
        <f t="shared" ca="1" si="7"/>
        <v>FINISH</v>
      </c>
    </row>
    <row r="49" spans="1:13" x14ac:dyDescent="0.25">
      <c r="A49" t="str">
        <f t="shared" si="0"/>
        <v/>
      </c>
      <c r="B49" t="str">
        <f t="shared" si="1"/>
        <v/>
      </c>
      <c r="C49" t="str">
        <f t="shared" si="2"/>
        <v/>
      </c>
      <c r="F49" s="330"/>
      <c r="I49">
        <f t="shared" si="3"/>
        <v>0</v>
      </c>
      <c r="J49" s="327">
        <f t="shared" si="4"/>
        <v>0</v>
      </c>
      <c r="K49" s="329">
        <f t="shared" ca="1" si="5"/>
        <v>39587</v>
      </c>
      <c r="L49">
        <f t="shared" ca="1" si="6"/>
        <v>39587</v>
      </c>
      <c r="M49" t="str">
        <f t="shared" ca="1" si="7"/>
        <v>FINISH</v>
      </c>
    </row>
    <row r="50" spans="1:13" x14ac:dyDescent="0.25">
      <c r="A50" t="str">
        <f t="shared" si="0"/>
        <v/>
      </c>
      <c r="B50" t="str">
        <f t="shared" si="1"/>
        <v/>
      </c>
      <c r="C50" t="str">
        <f t="shared" si="2"/>
        <v/>
      </c>
      <c r="F50" s="330"/>
      <c r="I50">
        <f t="shared" si="3"/>
        <v>0</v>
      </c>
      <c r="J50" s="327">
        <f t="shared" si="4"/>
        <v>0</v>
      </c>
      <c r="K50" s="329">
        <f t="shared" ca="1" si="5"/>
        <v>39587</v>
      </c>
      <c r="L50">
        <f t="shared" ca="1" si="6"/>
        <v>39587</v>
      </c>
      <c r="M50" t="str">
        <f t="shared" ca="1" si="7"/>
        <v>FINISH</v>
      </c>
    </row>
    <row r="51" spans="1:13" x14ac:dyDescent="0.25">
      <c r="A51" t="str">
        <f t="shared" si="0"/>
        <v/>
      </c>
      <c r="B51" t="str">
        <f t="shared" si="1"/>
        <v/>
      </c>
      <c r="C51" t="str">
        <f t="shared" si="2"/>
        <v/>
      </c>
      <c r="F51" s="330"/>
      <c r="I51">
        <f t="shared" si="3"/>
        <v>0</v>
      </c>
      <c r="J51" s="327">
        <f t="shared" si="4"/>
        <v>0</v>
      </c>
      <c r="K51" s="329">
        <f t="shared" ca="1" si="5"/>
        <v>39587</v>
      </c>
      <c r="L51">
        <f t="shared" ca="1" si="6"/>
        <v>39587</v>
      </c>
      <c r="M51" t="str">
        <f t="shared" ca="1" si="7"/>
        <v>FINISH</v>
      </c>
    </row>
    <row r="52" spans="1:13" x14ac:dyDescent="0.25">
      <c r="A52" t="str">
        <f t="shared" si="0"/>
        <v/>
      </c>
      <c r="B52" t="str">
        <f t="shared" si="1"/>
        <v/>
      </c>
      <c r="C52" t="str">
        <f t="shared" si="2"/>
        <v/>
      </c>
      <c r="F52" s="330"/>
      <c r="I52">
        <f t="shared" si="3"/>
        <v>0</v>
      </c>
      <c r="J52" s="327">
        <f t="shared" si="4"/>
        <v>0</v>
      </c>
      <c r="K52" s="329">
        <f t="shared" ca="1" si="5"/>
        <v>39587</v>
      </c>
      <c r="L52">
        <f t="shared" ca="1" si="6"/>
        <v>39587</v>
      </c>
      <c r="M52" t="str">
        <f t="shared" ca="1" si="7"/>
        <v>FINISH</v>
      </c>
    </row>
    <row r="53" spans="1:13" x14ac:dyDescent="0.25">
      <c r="A53" t="str">
        <f t="shared" si="0"/>
        <v/>
      </c>
      <c r="B53" t="str">
        <f t="shared" si="1"/>
        <v/>
      </c>
      <c r="C53" t="str">
        <f t="shared" si="2"/>
        <v/>
      </c>
      <c r="F53" s="330"/>
      <c r="I53">
        <f t="shared" si="3"/>
        <v>0</v>
      </c>
      <c r="J53" s="327">
        <f t="shared" si="4"/>
        <v>0</v>
      </c>
      <c r="K53" s="329">
        <f t="shared" ca="1" si="5"/>
        <v>39587</v>
      </c>
      <c r="L53">
        <f t="shared" ca="1" si="6"/>
        <v>39587</v>
      </c>
      <c r="M53" t="str">
        <f t="shared" ca="1" si="7"/>
        <v>FINISH</v>
      </c>
    </row>
    <row r="54" spans="1:13" x14ac:dyDescent="0.25">
      <c r="A54" t="str">
        <f t="shared" si="0"/>
        <v/>
      </c>
      <c r="B54" t="str">
        <f t="shared" si="1"/>
        <v/>
      </c>
      <c r="C54" t="str">
        <f t="shared" si="2"/>
        <v/>
      </c>
      <c r="F54" s="330"/>
      <c r="I54">
        <f t="shared" si="3"/>
        <v>0</v>
      </c>
      <c r="J54" s="327">
        <f t="shared" si="4"/>
        <v>0</v>
      </c>
      <c r="K54" s="329">
        <f t="shared" ca="1" si="5"/>
        <v>39587</v>
      </c>
      <c r="L54">
        <f t="shared" ca="1" si="6"/>
        <v>39587</v>
      </c>
      <c r="M54" t="str">
        <f t="shared" ca="1" si="7"/>
        <v>FINISH</v>
      </c>
    </row>
    <row r="55" spans="1:13" x14ac:dyDescent="0.25">
      <c r="A55" t="str">
        <f t="shared" si="0"/>
        <v/>
      </c>
      <c r="B55" t="str">
        <f t="shared" si="1"/>
        <v/>
      </c>
      <c r="C55" t="str">
        <f t="shared" si="2"/>
        <v/>
      </c>
      <c r="F55" s="330"/>
      <c r="I55">
        <f t="shared" si="3"/>
        <v>0</v>
      </c>
      <c r="J55" s="327">
        <f t="shared" si="4"/>
        <v>0</v>
      </c>
      <c r="K55" s="329">
        <f t="shared" ca="1" si="5"/>
        <v>39587</v>
      </c>
      <c r="L55">
        <f t="shared" ca="1" si="6"/>
        <v>39587</v>
      </c>
      <c r="M55" t="str">
        <f t="shared" ca="1" si="7"/>
        <v>FINISH</v>
      </c>
    </row>
    <row r="56" spans="1:13" x14ac:dyDescent="0.25">
      <c r="A56" t="str">
        <f t="shared" si="0"/>
        <v/>
      </c>
      <c r="B56" t="str">
        <f t="shared" si="1"/>
        <v/>
      </c>
      <c r="C56" t="str">
        <f t="shared" si="2"/>
        <v/>
      </c>
      <c r="F56" s="330"/>
      <c r="I56">
        <f t="shared" si="3"/>
        <v>0</v>
      </c>
      <c r="J56" s="327">
        <f t="shared" si="4"/>
        <v>0</v>
      </c>
      <c r="K56" s="329">
        <f t="shared" ca="1" si="5"/>
        <v>39587</v>
      </c>
      <c r="L56">
        <f t="shared" ca="1" si="6"/>
        <v>39587</v>
      </c>
      <c r="M56" t="str">
        <f t="shared" ca="1" si="7"/>
        <v>FINISH</v>
      </c>
    </row>
    <row r="57" spans="1:13" x14ac:dyDescent="0.25">
      <c r="A57" t="str">
        <f t="shared" si="0"/>
        <v/>
      </c>
      <c r="B57" t="str">
        <f t="shared" si="1"/>
        <v/>
      </c>
      <c r="C57" t="str">
        <f t="shared" si="2"/>
        <v/>
      </c>
      <c r="F57" s="330"/>
      <c r="I57">
        <f t="shared" si="3"/>
        <v>0</v>
      </c>
      <c r="J57" s="327">
        <f t="shared" si="4"/>
        <v>0</v>
      </c>
      <c r="K57" s="329">
        <f t="shared" ca="1" si="5"/>
        <v>39587</v>
      </c>
      <c r="L57">
        <f t="shared" ca="1" si="6"/>
        <v>39587</v>
      </c>
      <c r="M57" t="str">
        <f t="shared" ca="1" si="7"/>
        <v>FINISH</v>
      </c>
    </row>
    <row r="58" spans="1:13" x14ac:dyDescent="0.25">
      <c r="A58" t="str">
        <f t="shared" si="0"/>
        <v/>
      </c>
      <c r="B58" t="str">
        <f t="shared" si="1"/>
        <v/>
      </c>
      <c r="C58" t="str">
        <f t="shared" si="2"/>
        <v/>
      </c>
      <c r="F58" s="330"/>
      <c r="I58">
        <f t="shared" si="3"/>
        <v>0</v>
      </c>
      <c r="J58" s="327">
        <f t="shared" si="4"/>
        <v>0</v>
      </c>
      <c r="K58" s="329">
        <f t="shared" ca="1" si="5"/>
        <v>39587</v>
      </c>
      <c r="L58">
        <f t="shared" ca="1" si="6"/>
        <v>39587</v>
      </c>
      <c r="M58" t="str">
        <f t="shared" ca="1" si="7"/>
        <v>FINISH</v>
      </c>
    </row>
    <row r="59" spans="1:13" x14ac:dyDescent="0.25">
      <c r="A59" t="str">
        <f t="shared" si="0"/>
        <v/>
      </c>
      <c r="B59" t="str">
        <f t="shared" si="1"/>
        <v/>
      </c>
      <c r="C59" t="str">
        <f t="shared" si="2"/>
        <v/>
      </c>
      <c r="F59" s="330"/>
      <c r="I59">
        <f t="shared" si="3"/>
        <v>0</v>
      </c>
      <c r="J59" s="327">
        <f t="shared" si="4"/>
        <v>0</v>
      </c>
      <c r="K59" s="329">
        <f t="shared" ca="1" si="5"/>
        <v>39587</v>
      </c>
      <c r="L59">
        <f t="shared" ca="1" si="6"/>
        <v>39587</v>
      </c>
      <c r="M59" t="str">
        <f t="shared" ca="1" si="7"/>
        <v>FINISH</v>
      </c>
    </row>
    <row r="60" spans="1:13" x14ac:dyDescent="0.25">
      <c r="A60" t="str">
        <f t="shared" si="0"/>
        <v/>
      </c>
      <c r="B60" t="str">
        <f t="shared" si="1"/>
        <v/>
      </c>
      <c r="C60" t="str">
        <f t="shared" si="2"/>
        <v/>
      </c>
      <c r="F60" s="330"/>
      <c r="I60">
        <f t="shared" si="3"/>
        <v>0</v>
      </c>
      <c r="J60" s="327">
        <f t="shared" si="4"/>
        <v>0</v>
      </c>
      <c r="K60" s="329">
        <f t="shared" ca="1" si="5"/>
        <v>39587</v>
      </c>
      <c r="L60">
        <f t="shared" ca="1" si="6"/>
        <v>39587</v>
      </c>
      <c r="M60" t="str">
        <f t="shared" ca="1" si="7"/>
        <v>FINISH</v>
      </c>
    </row>
    <row r="61" spans="1:13" x14ac:dyDescent="0.25">
      <c r="A61" t="str">
        <f t="shared" si="0"/>
        <v/>
      </c>
      <c r="B61" t="str">
        <f t="shared" si="1"/>
        <v/>
      </c>
      <c r="C61" t="str">
        <f t="shared" si="2"/>
        <v/>
      </c>
      <c r="F61" s="330"/>
      <c r="I61">
        <f t="shared" si="3"/>
        <v>0</v>
      </c>
      <c r="J61" s="327">
        <f t="shared" si="4"/>
        <v>0</v>
      </c>
      <c r="K61" s="329">
        <f t="shared" ca="1" si="5"/>
        <v>39587</v>
      </c>
      <c r="L61">
        <f t="shared" ca="1" si="6"/>
        <v>39587</v>
      </c>
      <c r="M61" t="str">
        <f t="shared" ca="1" si="7"/>
        <v>FINISH</v>
      </c>
    </row>
    <row r="62" spans="1:13" x14ac:dyDescent="0.25">
      <c r="A62" t="str">
        <f t="shared" si="0"/>
        <v/>
      </c>
      <c r="B62" t="str">
        <f t="shared" si="1"/>
        <v/>
      </c>
      <c r="C62" t="str">
        <f t="shared" si="2"/>
        <v/>
      </c>
      <c r="F62" s="330"/>
      <c r="I62">
        <f t="shared" si="3"/>
        <v>0</v>
      </c>
      <c r="J62" s="327">
        <f t="shared" si="4"/>
        <v>0</v>
      </c>
      <c r="K62" s="329">
        <f t="shared" ca="1" si="5"/>
        <v>39587</v>
      </c>
      <c r="L62">
        <f t="shared" ca="1" si="6"/>
        <v>39587</v>
      </c>
      <c r="M62" t="str">
        <f t="shared" ca="1" si="7"/>
        <v>FINISH</v>
      </c>
    </row>
    <row r="63" spans="1:13" x14ac:dyDescent="0.25">
      <c r="A63" t="str">
        <f t="shared" si="0"/>
        <v/>
      </c>
      <c r="B63" t="str">
        <f t="shared" si="1"/>
        <v/>
      </c>
      <c r="C63" t="str">
        <f t="shared" si="2"/>
        <v/>
      </c>
      <c r="F63" s="330"/>
      <c r="I63">
        <f t="shared" si="3"/>
        <v>0</v>
      </c>
      <c r="J63" s="327">
        <f t="shared" si="4"/>
        <v>0</v>
      </c>
      <c r="K63" s="329">
        <f t="shared" ca="1" si="5"/>
        <v>39587</v>
      </c>
      <c r="L63">
        <f t="shared" ca="1" si="6"/>
        <v>39587</v>
      </c>
      <c r="M63" t="str">
        <f t="shared" ca="1" si="7"/>
        <v>FINISH</v>
      </c>
    </row>
    <row r="64" spans="1:13" x14ac:dyDescent="0.25">
      <c r="A64" t="str">
        <f t="shared" si="0"/>
        <v/>
      </c>
      <c r="B64" t="str">
        <f t="shared" si="1"/>
        <v/>
      </c>
      <c r="C64" t="str">
        <f t="shared" si="2"/>
        <v/>
      </c>
      <c r="F64" s="330"/>
      <c r="I64">
        <f t="shared" si="3"/>
        <v>0</v>
      </c>
      <c r="J64" s="327">
        <f t="shared" si="4"/>
        <v>0</v>
      </c>
      <c r="K64" s="329">
        <f t="shared" ca="1" si="5"/>
        <v>39587</v>
      </c>
      <c r="L64">
        <f t="shared" ca="1" si="6"/>
        <v>39587</v>
      </c>
      <c r="M64" t="str">
        <f t="shared" ca="1" si="7"/>
        <v>FINISH</v>
      </c>
    </row>
    <row r="65" spans="1:13" x14ac:dyDescent="0.25">
      <c r="A65" t="str">
        <f t="shared" si="0"/>
        <v/>
      </c>
      <c r="B65" t="str">
        <f t="shared" si="1"/>
        <v/>
      </c>
      <c r="C65" t="str">
        <f t="shared" si="2"/>
        <v/>
      </c>
      <c r="F65" s="330"/>
      <c r="I65">
        <f t="shared" si="3"/>
        <v>0</v>
      </c>
      <c r="J65" s="327">
        <f t="shared" si="4"/>
        <v>0</v>
      </c>
      <c r="K65" s="329">
        <f t="shared" ca="1" si="5"/>
        <v>39587</v>
      </c>
      <c r="L65">
        <f t="shared" ca="1" si="6"/>
        <v>39587</v>
      </c>
      <c r="M65" t="str">
        <f t="shared" ca="1" si="7"/>
        <v>FINISH</v>
      </c>
    </row>
    <row r="66" spans="1:13" x14ac:dyDescent="0.25">
      <c r="A66" t="str">
        <f t="shared" si="0"/>
        <v/>
      </c>
      <c r="B66" t="str">
        <f t="shared" si="1"/>
        <v/>
      </c>
      <c r="C66" t="str">
        <f t="shared" si="2"/>
        <v/>
      </c>
      <c r="F66" s="330"/>
      <c r="I66">
        <f t="shared" si="3"/>
        <v>0</v>
      </c>
      <c r="J66" s="327">
        <f t="shared" si="4"/>
        <v>0</v>
      </c>
      <c r="K66" s="329">
        <f t="shared" ca="1" si="5"/>
        <v>39587</v>
      </c>
      <c r="L66">
        <f t="shared" ca="1" si="6"/>
        <v>39587</v>
      </c>
      <c r="M66" t="str">
        <f t="shared" ca="1" si="7"/>
        <v>FINISH</v>
      </c>
    </row>
    <row r="67" spans="1:13" x14ac:dyDescent="0.25">
      <c r="A67" t="str">
        <f t="shared" si="0"/>
        <v/>
      </c>
      <c r="B67" t="str">
        <f t="shared" si="1"/>
        <v/>
      </c>
      <c r="C67" t="str">
        <f t="shared" si="2"/>
        <v/>
      </c>
      <c r="F67" s="330"/>
      <c r="I67">
        <f t="shared" si="3"/>
        <v>0</v>
      </c>
      <c r="J67" s="327">
        <f t="shared" si="4"/>
        <v>0</v>
      </c>
      <c r="K67" s="329">
        <f t="shared" ca="1" si="5"/>
        <v>39587</v>
      </c>
      <c r="L67">
        <f t="shared" ca="1" si="6"/>
        <v>39587</v>
      </c>
      <c r="M67" t="str">
        <f t="shared" ca="1" si="7"/>
        <v>FINISH</v>
      </c>
    </row>
    <row r="68" spans="1:13" x14ac:dyDescent="0.25">
      <c r="A68" t="str">
        <f t="shared" si="0"/>
        <v/>
      </c>
      <c r="B68" t="str">
        <f t="shared" si="1"/>
        <v/>
      </c>
      <c r="C68" t="str">
        <f t="shared" si="2"/>
        <v/>
      </c>
      <c r="F68" s="330"/>
      <c r="I68">
        <f t="shared" si="3"/>
        <v>0</v>
      </c>
      <c r="J68" s="327">
        <f t="shared" si="4"/>
        <v>0</v>
      </c>
      <c r="K68" s="329">
        <f t="shared" ca="1" si="5"/>
        <v>39587</v>
      </c>
      <c r="L68">
        <f t="shared" ca="1" si="6"/>
        <v>39587</v>
      </c>
      <c r="M68" t="str">
        <f t="shared" ca="1" si="7"/>
        <v>FINISH</v>
      </c>
    </row>
    <row r="69" spans="1:13" x14ac:dyDescent="0.25">
      <c r="A69" t="str">
        <f t="shared" ref="A69:A132" si="8">LEFT(D69,3)</f>
        <v/>
      </c>
      <c r="B69" t="str">
        <f t="shared" ref="B69:B132" si="9">IF(C69="DW",$I$1,IF(C69="DE",$I$1,IF(C69="XCN",$I$1,IF(C69="XCS",$I$1,IF(C69="RAISE",$J$1,IF(C69="SHAFT",$L$1,IF(C69="WINZE",$K$1,IF(C69="STOPE",$M$1,""))))))))</f>
        <v/>
      </c>
      <c r="C69" t="str">
        <f t="shared" ref="C69:C132" si="10">IFERROR((TRIM(MID(SUBSTITUTE($D69,"_",REPT(" ",LEN($D69))),($B$1-1)*LEN($D69)+1,LEN($D69)))),"")</f>
        <v/>
      </c>
      <c r="F69" s="330"/>
      <c r="I69">
        <f t="shared" ref="I69:I132" si="11">IF(H69=$E$1,$E$2,IF(H69=$F$1,$F$2,IF(H69=$G$1,$G$2,IF(H69=$H$1,$H$2,0))))</f>
        <v>0</v>
      </c>
      <c r="J69" s="327">
        <f t="shared" ref="J69:J132" si="12">WORKDAY.INTL(G69,I69,11)</f>
        <v>0</v>
      </c>
      <c r="K69" s="329">
        <f t="shared" ref="K69:K132" ca="1" si="13">IF(F69&lt;G69,NETWORKDAYS.INTL(F69,$A$1,11),NETWORKDAYS.INTL(G69,$A$1,11))</f>
        <v>39587</v>
      </c>
      <c r="L69">
        <f t="shared" ref="L69:L132" ca="1" si="14">NETWORKDAYS.INTL(J69,$A$1,11)</f>
        <v>39587</v>
      </c>
      <c r="M69" t="str">
        <f t="shared" ref="M69:M132" ca="1" si="15">IF(L69&gt;=I69,"FINISH",0)</f>
        <v>FINISH</v>
      </c>
    </row>
    <row r="70" spans="1:13" x14ac:dyDescent="0.25">
      <c r="A70" t="str">
        <f t="shared" si="8"/>
        <v/>
      </c>
      <c r="B70" t="str">
        <f t="shared" si="9"/>
        <v/>
      </c>
      <c r="C70" t="str">
        <f t="shared" si="10"/>
        <v/>
      </c>
      <c r="F70" s="330"/>
      <c r="I70">
        <f t="shared" si="11"/>
        <v>0</v>
      </c>
      <c r="J70" s="327">
        <f t="shared" si="12"/>
        <v>0</v>
      </c>
      <c r="K70" s="329">
        <f t="shared" ca="1" si="13"/>
        <v>39587</v>
      </c>
      <c r="L70">
        <f t="shared" ca="1" si="14"/>
        <v>39587</v>
      </c>
      <c r="M70" t="str">
        <f t="shared" ca="1" si="15"/>
        <v>FINISH</v>
      </c>
    </row>
    <row r="71" spans="1:13" x14ac:dyDescent="0.25">
      <c r="A71" t="str">
        <f t="shared" si="8"/>
        <v/>
      </c>
      <c r="B71" t="str">
        <f t="shared" si="9"/>
        <v/>
      </c>
      <c r="C71" t="str">
        <f t="shared" si="10"/>
        <v/>
      </c>
      <c r="F71" s="330"/>
      <c r="I71">
        <f t="shared" si="11"/>
        <v>0</v>
      </c>
      <c r="J71" s="327">
        <f t="shared" si="12"/>
        <v>0</v>
      </c>
      <c r="K71" s="329">
        <f t="shared" ca="1" si="13"/>
        <v>39587</v>
      </c>
      <c r="L71">
        <f t="shared" ca="1" si="14"/>
        <v>39587</v>
      </c>
      <c r="M71" t="str">
        <f t="shared" ca="1" si="15"/>
        <v>FINISH</v>
      </c>
    </row>
    <row r="72" spans="1:13" x14ac:dyDescent="0.25">
      <c r="A72" t="str">
        <f t="shared" si="8"/>
        <v/>
      </c>
      <c r="B72" t="str">
        <f t="shared" si="9"/>
        <v/>
      </c>
      <c r="C72" t="str">
        <f t="shared" si="10"/>
        <v/>
      </c>
      <c r="F72" s="330"/>
      <c r="I72">
        <f t="shared" si="11"/>
        <v>0</v>
      </c>
      <c r="J72" s="327">
        <f t="shared" si="12"/>
        <v>0</v>
      </c>
      <c r="K72" s="329">
        <f t="shared" ca="1" si="13"/>
        <v>39587</v>
      </c>
      <c r="L72">
        <f t="shared" ca="1" si="14"/>
        <v>39587</v>
      </c>
      <c r="M72" t="str">
        <f t="shared" ca="1" si="15"/>
        <v>FINISH</v>
      </c>
    </row>
    <row r="73" spans="1:13" x14ac:dyDescent="0.25">
      <c r="A73" t="str">
        <f t="shared" si="8"/>
        <v/>
      </c>
      <c r="B73" t="str">
        <f t="shared" si="9"/>
        <v/>
      </c>
      <c r="C73" t="str">
        <f t="shared" si="10"/>
        <v/>
      </c>
      <c r="F73" s="330"/>
      <c r="I73">
        <f t="shared" si="11"/>
        <v>0</v>
      </c>
      <c r="J73" s="327">
        <f t="shared" si="12"/>
        <v>0</v>
      </c>
      <c r="K73" s="329">
        <f t="shared" ca="1" si="13"/>
        <v>39587</v>
      </c>
      <c r="L73">
        <f t="shared" ca="1" si="14"/>
        <v>39587</v>
      </c>
      <c r="M73" t="str">
        <f t="shared" ca="1" si="15"/>
        <v>FINISH</v>
      </c>
    </row>
    <row r="74" spans="1:13" x14ac:dyDescent="0.25">
      <c r="A74" t="str">
        <f t="shared" si="8"/>
        <v/>
      </c>
      <c r="B74" t="str">
        <f t="shared" si="9"/>
        <v/>
      </c>
      <c r="C74" t="str">
        <f t="shared" si="10"/>
        <v/>
      </c>
      <c r="F74" s="330"/>
      <c r="I74">
        <f t="shared" si="11"/>
        <v>0</v>
      </c>
      <c r="J74" s="327">
        <f t="shared" si="12"/>
        <v>0</v>
      </c>
      <c r="K74" s="329">
        <f t="shared" ca="1" si="13"/>
        <v>39587</v>
      </c>
      <c r="L74">
        <f t="shared" ca="1" si="14"/>
        <v>39587</v>
      </c>
      <c r="M74" t="str">
        <f t="shared" ca="1" si="15"/>
        <v>FINISH</v>
      </c>
    </row>
    <row r="75" spans="1:13" x14ac:dyDescent="0.25">
      <c r="A75" t="str">
        <f t="shared" si="8"/>
        <v/>
      </c>
      <c r="B75" t="str">
        <f t="shared" si="9"/>
        <v/>
      </c>
      <c r="C75" t="str">
        <f t="shared" si="10"/>
        <v/>
      </c>
      <c r="F75" s="330"/>
      <c r="I75">
        <f t="shared" si="11"/>
        <v>0</v>
      </c>
      <c r="J75" s="327">
        <f t="shared" si="12"/>
        <v>0</v>
      </c>
      <c r="K75" s="329">
        <f t="shared" ca="1" si="13"/>
        <v>39587</v>
      </c>
      <c r="L75">
        <f t="shared" ca="1" si="14"/>
        <v>39587</v>
      </c>
      <c r="M75" t="str">
        <f t="shared" ca="1" si="15"/>
        <v>FINISH</v>
      </c>
    </row>
    <row r="76" spans="1:13" x14ac:dyDescent="0.25">
      <c r="A76" t="str">
        <f t="shared" si="8"/>
        <v/>
      </c>
      <c r="B76" t="str">
        <f t="shared" si="9"/>
        <v/>
      </c>
      <c r="C76" t="str">
        <f t="shared" si="10"/>
        <v/>
      </c>
      <c r="F76" s="330"/>
      <c r="I76">
        <f t="shared" si="11"/>
        <v>0</v>
      </c>
      <c r="J76" s="327">
        <f t="shared" si="12"/>
        <v>0</v>
      </c>
      <c r="K76" s="329">
        <f t="shared" ca="1" si="13"/>
        <v>39587</v>
      </c>
      <c r="L76">
        <f t="shared" ca="1" si="14"/>
        <v>39587</v>
      </c>
      <c r="M76" t="str">
        <f t="shared" ca="1" si="15"/>
        <v>FINISH</v>
      </c>
    </row>
    <row r="77" spans="1:13" x14ac:dyDescent="0.25">
      <c r="A77" t="str">
        <f t="shared" si="8"/>
        <v/>
      </c>
      <c r="B77" t="str">
        <f t="shared" si="9"/>
        <v/>
      </c>
      <c r="C77" t="str">
        <f t="shared" si="10"/>
        <v/>
      </c>
      <c r="F77" s="330"/>
      <c r="I77">
        <f t="shared" si="11"/>
        <v>0</v>
      </c>
      <c r="J77" s="327">
        <f t="shared" si="12"/>
        <v>0</v>
      </c>
      <c r="K77" s="329">
        <f t="shared" ca="1" si="13"/>
        <v>39587</v>
      </c>
      <c r="L77">
        <f t="shared" ca="1" si="14"/>
        <v>39587</v>
      </c>
      <c r="M77" t="str">
        <f t="shared" ca="1" si="15"/>
        <v>FINISH</v>
      </c>
    </row>
    <row r="78" spans="1:13" x14ac:dyDescent="0.25">
      <c r="A78" t="str">
        <f t="shared" si="8"/>
        <v/>
      </c>
      <c r="B78" t="str">
        <f t="shared" si="9"/>
        <v/>
      </c>
      <c r="C78" t="str">
        <f t="shared" si="10"/>
        <v/>
      </c>
      <c r="F78" s="330"/>
      <c r="I78">
        <f t="shared" si="11"/>
        <v>0</v>
      </c>
      <c r="J78" s="327">
        <f t="shared" si="12"/>
        <v>0</v>
      </c>
      <c r="K78" s="329">
        <f t="shared" ca="1" si="13"/>
        <v>39587</v>
      </c>
      <c r="L78">
        <f t="shared" ca="1" si="14"/>
        <v>39587</v>
      </c>
      <c r="M78" t="str">
        <f t="shared" ca="1" si="15"/>
        <v>FINISH</v>
      </c>
    </row>
    <row r="79" spans="1:13" x14ac:dyDescent="0.25">
      <c r="A79" t="str">
        <f t="shared" si="8"/>
        <v/>
      </c>
      <c r="B79" t="str">
        <f t="shared" si="9"/>
        <v/>
      </c>
      <c r="C79" t="str">
        <f t="shared" si="10"/>
        <v/>
      </c>
      <c r="F79" s="330"/>
      <c r="I79">
        <f t="shared" si="11"/>
        <v>0</v>
      </c>
      <c r="J79" s="327">
        <f t="shared" si="12"/>
        <v>0</v>
      </c>
      <c r="K79" s="329">
        <f t="shared" ca="1" si="13"/>
        <v>39587</v>
      </c>
      <c r="L79">
        <f t="shared" ca="1" si="14"/>
        <v>39587</v>
      </c>
      <c r="M79" t="str">
        <f t="shared" ca="1" si="15"/>
        <v>FINISH</v>
      </c>
    </row>
    <row r="80" spans="1:13" x14ac:dyDescent="0.25">
      <c r="A80" t="str">
        <f t="shared" si="8"/>
        <v/>
      </c>
      <c r="B80" t="str">
        <f t="shared" si="9"/>
        <v/>
      </c>
      <c r="C80" t="str">
        <f t="shared" si="10"/>
        <v/>
      </c>
      <c r="F80" s="330"/>
      <c r="I80">
        <f t="shared" si="11"/>
        <v>0</v>
      </c>
      <c r="J80" s="327">
        <f t="shared" si="12"/>
        <v>0</v>
      </c>
      <c r="K80" s="329">
        <f t="shared" ca="1" si="13"/>
        <v>39587</v>
      </c>
      <c r="L80">
        <f t="shared" ca="1" si="14"/>
        <v>39587</v>
      </c>
      <c r="M80" t="str">
        <f t="shared" ca="1" si="15"/>
        <v>FINISH</v>
      </c>
    </row>
    <row r="81" spans="1:13" x14ac:dyDescent="0.25">
      <c r="A81" t="str">
        <f t="shared" si="8"/>
        <v/>
      </c>
      <c r="B81" t="str">
        <f t="shared" si="9"/>
        <v/>
      </c>
      <c r="C81" t="str">
        <f t="shared" si="10"/>
        <v/>
      </c>
      <c r="F81" s="330"/>
      <c r="I81">
        <f t="shared" si="11"/>
        <v>0</v>
      </c>
      <c r="J81" s="327">
        <f t="shared" si="12"/>
        <v>0</v>
      </c>
      <c r="K81" s="329">
        <f t="shared" ca="1" si="13"/>
        <v>39587</v>
      </c>
      <c r="L81">
        <f t="shared" ca="1" si="14"/>
        <v>39587</v>
      </c>
      <c r="M81" t="str">
        <f t="shared" ca="1" si="15"/>
        <v>FINISH</v>
      </c>
    </row>
    <row r="82" spans="1:13" x14ac:dyDescent="0.25">
      <c r="A82" t="str">
        <f t="shared" si="8"/>
        <v/>
      </c>
      <c r="B82" t="str">
        <f t="shared" si="9"/>
        <v/>
      </c>
      <c r="C82" t="str">
        <f t="shared" si="10"/>
        <v/>
      </c>
      <c r="F82" s="330"/>
      <c r="I82">
        <f t="shared" si="11"/>
        <v>0</v>
      </c>
      <c r="J82" s="327">
        <f t="shared" si="12"/>
        <v>0</v>
      </c>
      <c r="K82" s="329">
        <f t="shared" ca="1" si="13"/>
        <v>39587</v>
      </c>
      <c r="L82">
        <f t="shared" ca="1" si="14"/>
        <v>39587</v>
      </c>
      <c r="M82" t="str">
        <f t="shared" ca="1" si="15"/>
        <v>FINISH</v>
      </c>
    </row>
    <row r="83" spans="1:13" x14ac:dyDescent="0.25">
      <c r="A83" t="str">
        <f t="shared" si="8"/>
        <v/>
      </c>
      <c r="B83" t="str">
        <f t="shared" si="9"/>
        <v/>
      </c>
      <c r="C83" t="str">
        <f t="shared" si="10"/>
        <v/>
      </c>
      <c r="F83" s="330"/>
      <c r="I83">
        <f t="shared" si="11"/>
        <v>0</v>
      </c>
      <c r="J83" s="327">
        <f t="shared" si="12"/>
        <v>0</v>
      </c>
      <c r="K83" s="329">
        <f t="shared" ca="1" si="13"/>
        <v>39587</v>
      </c>
      <c r="L83">
        <f t="shared" ca="1" si="14"/>
        <v>39587</v>
      </c>
      <c r="M83" t="str">
        <f t="shared" ca="1" si="15"/>
        <v>FINISH</v>
      </c>
    </row>
    <row r="84" spans="1:13" x14ac:dyDescent="0.25">
      <c r="A84" t="str">
        <f t="shared" si="8"/>
        <v/>
      </c>
      <c r="B84" t="str">
        <f t="shared" si="9"/>
        <v/>
      </c>
      <c r="C84" t="str">
        <f t="shared" si="10"/>
        <v/>
      </c>
      <c r="F84" s="330"/>
      <c r="I84">
        <f t="shared" si="11"/>
        <v>0</v>
      </c>
      <c r="J84" s="327">
        <f t="shared" si="12"/>
        <v>0</v>
      </c>
      <c r="K84" s="329">
        <f t="shared" ca="1" si="13"/>
        <v>39587</v>
      </c>
      <c r="L84">
        <f t="shared" ca="1" si="14"/>
        <v>39587</v>
      </c>
      <c r="M84" t="str">
        <f t="shared" ca="1" si="15"/>
        <v>FINISH</v>
      </c>
    </row>
    <row r="85" spans="1:13" x14ac:dyDescent="0.25">
      <c r="A85" t="str">
        <f t="shared" si="8"/>
        <v/>
      </c>
      <c r="B85" t="str">
        <f t="shared" si="9"/>
        <v/>
      </c>
      <c r="C85" t="str">
        <f t="shared" si="10"/>
        <v/>
      </c>
      <c r="F85" s="330"/>
      <c r="I85">
        <f t="shared" si="11"/>
        <v>0</v>
      </c>
      <c r="J85" s="327">
        <f t="shared" si="12"/>
        <v>0</v>
      </c>
      <c r="K85" s="329">
        <f t="shared" ca="1" si="13"/>
        <v>39587</v>
      </c>
      <c r="L85">
        <f t="shared" ca="1" si="14"/>
        <v>39587</v>
      </c>
      <c r="M85" t="str">
        <f t="shared" ca="1" si="15"/>
        <v>FINISH</v>
      </c>
    </row>
    <row r="86" spans="1:13" x14ac:dyDescent="0.25">
      <c r="A86" t="str">
        <f t="shared" si="8"/>
        <v/>
      </c>
      <c r="B86" t="str">
        <f t="shared" si="9"/>
        <v/>
      </c>
      <c r="C86" t="str">
        <f t="shared" si="10"/>
        <v/>
      </c>
      <c r="F86" s="330"/>
      <c r="I86">
        <f t="shared" si="11"/>
        <v>0</v>
      </c>
      <c r="J86" s="327">
        <f t="shared" si="12"/>
        <v>0</v>
      </c>
      <c r="K86" s="329">
        <f t="shared" ca="1" si="13"/>
        <v>39587</v>
      </c>
      <c r="L86">
        <f t="shared" ca="1" si="14"/>
        <v>39587</v>
      </c>
      <c r="M86" t="str">
        <f t="shared" ca="1" si="15"/>
        <v>FINISH</v>
      </c>
    </row>
    <row r="87" spans="1:13" x14ac:dyDescent="0.25">
      <c r="A87" t="str">
        <f t="shared" si="8"/>
        <v/>
      </c>
      <c r="B87" t="str">
        <f t="shared" si="9"/>
        <v/>
      </c>
      <c r="C87" t="str">
        <f t="shared" si="10"/>
        <v/>
      </c>
      <c r="F87" s="330"/>
      <c r="I87">
        <f t="shared" si="11"/>
        <v>0</v>
      </c>
      <c r="J87" s="327">
        <f t="shared" si="12"/>
        <v>0</v>
      </c>
      <c r="K87" s="329">
        <f t="shared" ca="1" si="13"/>
        <v>39587</v>
      </c>
      <c r="L87">
        <f t="shared" ca="1" si="14"/>
        <v>39587</v>
      </c>
      <c r="M87" t="str">
        <f t="shared" ca="1" si="15"/>
        <v>FINISH</v>
      </c>
    </row>
    <row r="88" spans="1:13" x14ac:dyDescent="0.25">
      <c r="A88" t="str">
        <f t="shared" si="8"/>
        <v/>
      </c>
      <c r="B88" t="str">
        <f t="shared" si="9"/>
        <v/>
      </c>
      <c r="C88" t="str">
        <f t="shared" si="10"/>
        <v/>
      </c>
      <c r="F88" s="330"/>
      <c r="I88">
        <f t="shared" si="11"/>
        <v>0</v>
      </c>
      <c r="J88" s="327">
        <f t="shared" si="12"/>
        <v>0</v>
      </c>
      <c r="K88" s="329">
        <f t="shared" ca="1" si="13"/>
        <v>39587</v>
      </c>
      <c r="L88">
        <f t="shared" ca="1" si="14"/>
        <v>39587</v>
      </c>
      <c r="M88" t="str">
        <f t="shared" ca="1" si="15"/>
        <v>FINISH</v>
      </c>
    </row>
    <row r="89" spans="1:13" x14ac:dyDescent="0.25">
      <c r="A89" t="str">
        <f t="shared" si="8"/>
        <v/>
      </c>
      <c r="B89" t="str">
        <f t="shared" si="9"/>
        <v/>
      </c>
      <c r="C89" t="str">
        <f t="shared" si="10"/>
        <v/>
      </c>
      <c r="F89" s="330"/>
      <c r="I89">
        <f t="shared" si="11"/>
        <v>0</v>
      </c>
      <c r="J89" s="327">
        <f t="shared" si="12"/>
        <v>0</v>
      </c>
      <c r="K89" s="329">
        <f t="shared" ca="1" si="13"/>
        <v>39587</v>
      </c>
      <c r="L89">
        <f t="shared" ca="1" si="14"/>
        <v>39587</v>
      </c>
      <c r="M89" t="str">
        <f t="shared" ca="1" si="15"/>
        <v>FINISH</v>
      </c>
    </row>
    <row r="90" spans="1:13" x14ac:dyDescent="0.25">
      <c r="A90" t="str">
        <f t="shared" si="8"/>
        <v/>
      </c>
      <c r="B90" t="str">
        <f t="shared" si="9"/>
        <v/>
      </c>
      <c r="C90" t="str">
        <f t="shared" si="10"/>
        <v/>
      </c>
      <c r="F90" s="330"/>
      <c r="I90">
        <f t="shared" si="11"/>
        <v>0</v>
      </c>
      <c r="J90" s="327">
        <f t="shared" si="12"/>
        <v>0</v>
      </c>
      <c r="K90" s="329">
        <f t="shared" ca="1" si="13"/>
        <v>39587</v>
      </c>
      <c r="L90">
        <f t="shared" ca="1" si="14"/>
        <v>39587</v>
      </c>
      <c r="M90" t="str">
        <f t="shared" ca="1" si="15"/>
        <v>FINISH</v>
      </c>
    </row>
    <row r="91" spans="1:13" x14ac:dyDescent="0.25">
      <c r="A91" t="str">
        <f t="shared" si="8"/>
        <v/>
      </c>
      <c r="B91" t="str">
        <f t="shared" si="9"/>
        <v/>
      </c>
      <c r="C91" t="str">
        <f t="shared" si="10"/>
        <v/>
      </c>
      <c r="F91" s="330"/>
      <c r="I91">
        <f t="shared" si="11"/>
        <v>0</v>
      </c>
      <c r="J91" s="327">
        <f t="shared" si="12"/>
        <v>0</v>
      </c>
      <c r="K91" s="329">
        <f t="shared" ca="1" si="13"/>
        <v>39587</v>
      </c>
      <c r="L91">
        <f t="shared" ca="1" si="14"/>
        <v>39587</v>
      </c>
      <c r="M91" t="str">
        <f t="shared" ca="1" si="15"/>
        <v>FINISH</v>
      </c>
    </row>
    <row r="92" spans="1:13" x14ac:dyDescent="0.25">
      <c r="A92" t="str">
        <f t="shared" si="8"/>
        <v/>
      </c>
      <c r="B92" t="str">
        <f t="shared" si="9"/>
        <v/>
      </c>
      <c r="C92" t="str">
        <f t="shared" si="10"/>
        <v/>
      </c>
      <c r="F92" s="330"/>
      <c r="I92">
        <f t="shared" si="11"/>
        <v>0</v>
      </c>
      <c r="J92" s="327">
        <f t="shared" si="12"/>
        <v>0</v>
      </c>
      <c r="K92" s="329">
        <f t="shared" ca="1" si="13"/>
        <v>39587</v>
      </c>
      <c r="L92">
        <f t="shared" ca="1" si="14"/>
        <v>39587</v>
      </c>
      <c r="M92" t="str">
        <f t="shared" ca="1" si="15"/>
        <v>FINISH</v>
      </c>
    </row>
    <row r="93" spans="1:13" x14ac:dyDescent="0.25">
      <c r="A93" t="str">
        <f t="shared" si="8"/>
        <v/>
      </c>
      <c r="B93" t="str">
        <f t="shared" si="9"/>
        <v/>
      </c>
      <c r="C93" t="str">
        <f t="shared" si="10"/>
        <v/>
      </c>
      <c r="F93" s="330"/>
      <c r="I93">
        <f t="shared" si="11"/>
        <v>0</v>
      </c>
      <c r="J93" s="327">
        <f t="shared" si="12"/>
        <v>0</v>
      </c>
      <c r="K93" s="329">
        <f t="shared" ca="1" si="13"/>
        <v>39587</v>
      </c>
      <c r="L93">
        <f t="shared" ca="1" si="14"/>
        <v>39587</v>
      </c>
      <c r="M93" t="str">
        <f t="shared" ca="1" si="15"/>
        <v>FINISH</v>
      </c>
    </row>
    <row r="94" spans="1:13" x14ac:dyDescent="0.25">
      <c r="A94" t="str">
        <f t="shared" si="8"/>
        <v/>
      </c>
      <c r="B94" t="str">
        <f t="shared" si="9"/>
        <v/>
      </c>
      <c r="C94" t="str">
        <f t="shared" si="10"/>
        <v/>
      </c>
      <c r="F94" s="330"/>
      <c r="I94">
        <f t="shared" si="11"/>
        <v>0</v>
      </c>
      <c r="J94" s="327">
        <f t="shared" si="12"/>
        <v>0</v>
      </c>
      <c r="K94" s="329">
        <f t="shared" ca="1" si="13"/>
        <v>39587</v>
      </c>
      <c r="L94">
        <f t="shared" ca="1" si="14"/>
        <v>39587</v>
      </c>
      <c r="M94" t="str">
        <f t="shared" ca="1" si="15"/>
        <v>FINISH</v>
      </c>
    </row>
    <row r="95" spans="1:13" x14ac:dyDescent="0.25">
      <c r="A95" t="str">
        <f t="shared" si="8"/>
        <v/>
      </c>
      <c r="B95" t="str">
        <f t="shared" si="9"/>
        <v/>
      </c>
      <c r="C95" t="str">
        <f t="shared" si="10"/>
        <v/>
      </c>
      <c r="F95" s="330"/>
      <c r="I95">
        <f t="shared" si="11"/>
        <v>0</v>
      </c>
      <c r="J95" s="327">
        <f t="shared" si="12"/>
        <v>0</v>
      </c>
      <c r="K95" s="329">
        <f t="shared" ca="1" si="13"/>
        <v>39587</v>
      </c>
      <c r="L95">
        <f t="shared" ca="1" si="14"/>
        <v>39587</v>
      </c>
      <c r="M95" t="str">
        <f t="shared" ca="1" si="15"/>
        <v>FINISH</v>
      </c>
    </row>
    <row r="96" spans="1:13" x14ac:dyDescent="0.25">
      <c r="A96" t="str">
        <f t="shared" si="8"/>
        <v/>
      </c>
      <c r="B96" t="str">
        <f t="shared" si="9"/>
        <v/>
      </c>
      <c r="C96" t="str">
        <f t="shared" si="10"/>
        <v/>
      </c>
      <c r="F96" s="330"/>
      <c r="I96">
        <f t="shared" si="11"/>
        <v>0</v>
      </c>
      <c r="J96" s="327">
        <f t="shared" si="12"/>
        <v>0</v>
      </c>
      <c r="K96" s="329">
        <f t="shared" ca="1" si="13"/>
        <v>39587</v>
      </c>
      <c r="L96">
        <f t="shared" ca="1" si="14"/>
        <v>39587</v>
      </c>
      <c r="M96" t="str">
        <f t="shared" ca="1" si="15"/>
        <v>FINISH</v>
      </c>
    </row>
    <row r="97" spans="1:13" x14ac:dyDescent="0.25">
      <c r="A97" t="str">
        <f t="shared" si="8"/>
        <v/>
      </c>
      <c r="B97" t="str">
        <f t="shared" si="9"/>
        <v/>
      </c>
      <c r="C97" t="str">
        <f t="shared" si="10"/>
        <v/>
      </c>
      <c r="F97" s="330"/>
      <c r="I97">
        <f t="shared" si="11"/>
        <v>0</v>
      </c>
      <c r="J97" s="327">
        <f t="shared" si="12"/>
        <v>0</v>
      </c>
      <c r="K97" s="329">
        <f t="shared" ca="1" si="13"/>
        <v>39587</v>
      </c>
      <c r="L97">
        <f t="shared" ca="1" si="14"/>
        <v>39587</v>
      </c>
      <c r="M97" t="str">
        <f t="shared" ca="1" si="15"/>
        <v>FINISH</v>
      </c>
    </row>
    <row r="98" spans="1:13" x14ac:dyDescent="0.25">
      <c r="A98" t="str">
        <f t="shared" si="8"/>
        <v/>
      </c>
      <c r="B98" t="str">
        <f t="shared" si="9"/>
        <v/>
      </c>
      <c r="C98" t="str">
        <f t="shared" si="10"/>
        <v/>
      </c>
      <c r="F98" s="330"/>
      <c r="I98">
        <f t="shared" si="11"/>
        <v>0</v>
      </c>
      <c r="J98" s="327">
        <f t="shared" si="12"/>
        <v>0</v>
      </c>
      <c r="K98" s="329">
        <f t="shared" ca="1" si="13"/>
        <v>39587</v>
      </c>
      <c r="L98">
        <f t="shared" ca="1" si="14"/>
        <v>39587</v>
      </c>
      <c r="M98" t="str">
        <f t="shared" ca="1" si="15"/>
        <v>FINISH</v>
      </c>
    </row>
    <row r="99" spans="1:13" x14ac:dyDescent="0.25">
      <c r="A99" t="str">
        <f t="shared" si="8"/>
        <v/>
      </c>
      <c r="B99" t="str">
        <f t="shared" si="9"/>
        <v/>
      </c>
      <c r="C99" t="str">
        <f t="shared" si="10"/>
        <v/>
      </c>
      <c r="F99" s="330"/>
      <c r="I99">
        <f t="shared" si="11"/>
        <v>0</v>
      </c>
      <c r="J99" s="327">
        <f t="shared" si="12"/>
        <v>0</v>
      </c>
      <c r="K99" s="329">
        <f t="shared" ca="1" si="13"/>
        <v>39587</v>
      </c>
      <c r="L99">
        <f t="shared" ca="1" si="14"/>
        <v>39587</v>
      </c>
      <c r="M99" t="str">
        <f t="shared" ca="1" si="15"/>
        <v>FINISH</v>
      </c>
    </row>
    <row r="100" spans="1:13" x14ac:dyDescent="0.25">
      <c r="A100" t="str">
        <f t="shared" si="8"/>
        <v/>
      </c>
      <c r="B100" t="str">
        <f t="shared" si="9"/>
        <v/>
      </c>
      <c r="C100" t="str">
        <f t="shared" si="10"/>
        <v/>
      </c>
      <c r="F100" s="330"/>
      <c r="I100">
        <f t="shared" si="11"/>
        <v>0</v>
      </c>
      <c r="J100" s="327">
        <f t="shared" si="12"/>
        <v>0</v>
      </c>
      <c r="K100" s="329">
        <f t="shared" ca="1" si="13"/>
        <v>39587</v>
      </c>
      <c r="L100">
        <f t="shared" ca="1" si="14"/>
        <v>39587</v>
      </c>
      <c r="M100" t="str">
        <f t="shared" ca="1" si="15"/>
        <v>FINISH</v>
      </c>
    </row>
    <row r="101" spans="1:13" x14ac:dyDescent="0.25">
      <c r="A101" t="str">
        <f t="shared" si="8"/>
        <v/>
      </c>
      <c r="B101" t="str">
        <f t="shared" si="9"/>
        <v/>
      </c>
      <c r="C101" t="str">
        <f t="shared" si="10"/>
        <v/>
      </c>
      <c r="F101" s="330"/>
      <c r="I101">
        <f t="shared" si="11"/>
        <v>0</v>
      </c>
      <c r="J101" s="327">
        <f t="shared" si="12"/>
        <v>0</v>
      </c>
      <c r="K101" s="329">
        <f t="shared" ca="1" si="13"/>
        <v>39587</v>
      </c>
      <c r="L101">
        <f t="shared" ca="1" si="14"/>
        <v>39587</v>
      </c>
      <c r="M101" t="str">
        <f t="shared" ca="1" si="15"/>
        <v>FINISH</v>
      </c>
    </row>
    <row r="102" spans="1:13" x14ac:dyDescent="0.25">
      <c r="A102" t="str">
        <f t="shared" si="8"/>
        <v/>
      </c>
      <c r="B102" t="str">
        <f t="shared" si="9"/>
        <v/>
      </c>
      <c r="C102" t="str">
        <f t="shared" si="10"/>
        <v/>
      </c>
      <c r="F102" s="330"/>
      <c r="I102">
        <f t="shared" si="11"/>
        <v>0</v>
      </c>
      <c r="J102" s="327">
        <f t="shared" si="12"/>
        <v>0</v>
      </c>
      <c r="K102" s="329">
        <f t="shared" ca="1" si="13"/>
        <v>39587</v>
      </c>
      <c r="L102">
        <f t="shared" ca="1" si="14"/>
        <v>39587</v>
      </c>
      <c r="M102" t="str">
        <f t="shared" ca="1" si="15"/>
        <v>FINISH</v>
      </c>
    </row>
    <row r="103" spans="1:13" x14ac:dyDescent="0.25">
      <c r="A103" t="str">
        <f t="shared" si="8"/>
        <v/>
      </c>
      <c r="B103" t="str">
        <f t="shared" si="9"/>
        <v/>
      </c>
      <c r="C103" t="str">
        <f t="shared" si="10"/>
        <v/>
      </c>
      <c r="F103" s="330"/>
      <c r="I103">
        <f t="shared" si="11"/>
        <v>0</v>
      </c>
      <c r="J103" s="327">
        <f t="shared" si="12"/>
        <v>0</v>
      </c>
      <c r="K103" s="329">
        <f t="shared" ca="1" si="13"/>
        <v>39587</v>
      </c>
      <c r="L103">
        <f t="shared" ca="1" si="14"/>
        <v>39587</v>
      </c>
      <c r="M103" t="str">
        <f t="shared" ca="1" si="15"/>
        <v>FINISH</v>
      </c>
    </row>
    <row r="104" spans="1:13" x14ac:dyDescent="0.25">
      <c r="A104" t="str">
        <f t="shared" si="8"/>
        <v/>
      </c>
      <c r="B104" t="str">
        <f t="shared" si="9"/>
        <v/>
      </c>
      <c r="C104" t="str">
        <f t="shared" si="10"/>
        <v/>
      </c>
      <c r="F104" s="330"/>
      <c r="I104">
        <f t="shared" si="11"/>
        <v>0</v>
      </c>
      <c r="J104" s="327">
        <f t="shared" si="12"/>
        <v>0</v>
      </c>
      <c r="K104" s="329">
        <f t="shared" ca="1" si="13"/>
        <v>39587</v>
      </c>
      <c r="L104">
        <f t="shared" ca="1" si="14"/>
        <v>39587</v>
      </c>
      <c r="M104" t="str">
        <f t="shared" ca="1" si="15"/>
        <v>FINISH</v>
      </c>
    </row>
    <row r="105" spans="1:13" x14ac:dyDescent="0.25">
      <c r="A105" t="str">
        <f t="shared" si="8"/>
        <v/>
      </c>
      <c r="B105" t="str">
        <f t="shared" si="9"/>
        <v/>
      </c>
      <c r="C105" t="str">
        <f t="shared" si="10"/>
        <v/>
      </c>
      <c r="F105" s="330"/>
      <c r="I105">
        <f t="shared" si="11"/>
        <v>0</v>
      </c>
      <c r="J105" s="327">
        <f t="shared" si="12"/>
        <v>0</v>
      </c>
      <c r="K105" s="329">
        <f t="shared" ca="1" si="13"/>
        <v>39587</v>
      </c>
      <c r="L105">
        <f t="shared" ca="1" si="14"/>
        <v>39587</v>
      </c>
      <c r="M105" t="str">
        <f t="shared" ca="1" si="15"/>
        <v>FINISH</v>
      </c>
    </row>
    <row r="106" spans="1:13" x14ac:dyDescent="0.25">
      <c r="A106" t="str">
        <f t="shared" si="8"/>
        <v/>
      </c>
      <c r="B106" t="str">
        <f t="shared" si="9"/>
        <v/>
      </c>
      <c r="C106" t="str">
        <f t="shared" si="10"/>
        <v/>
      </c>
      <c r="F106" s="330"/>
      <c r="I106">
        <f t="shared" si="11"/>
        <v>0</v>
      </c>
      <c r="J106" s="327">
        <f t="shared" si="12"/>
        <v>0</v>
      </c>
      <c r="K106" s="329">
        <f t="shared" ca="1" si="13"/>
        <v>39587</v>
      </c>
      <c r="L106">
        <f t="shared" ca="1" si="14"/>
        <v>39587</v>
      </c>
      <c r="M106" t="str">
        <f t="shared" ca="1" si="15"/>
        <v>FINISH</v>
      </c>
    </row>
    <row r="107" spans="1:13" x14ac:dyDescent="0.25">
      <c r="A107" t="str">
        <f t="shared" si="8"/>
        <v/>
      </c>
      <c r="B107" t="str">
        <f t="shared" si="9"/>
        <v/>
      </c>
      <c r="C107" t="str">
        <f t="shared" si="10"/>
        <v/>
      </c>
      <c r="F107" s="330"/>
      <c r="I107">
        <f t="shared" si="11"/>
        <v>0</v>
      </c>
      <c r="J107" s="327">
        <f t="shared" si="12"/>
        <v>0</v>
      </c>
      <c r="K107" s="329">
        <f t="shared" ca="1" si="13"/>
        <v>39587</v>
      </c>
      <c r="L107">
        <f t="shared" ca="1" si="14"/>
        <v>39587</v>
      </c>
      <c r="M107" t="str">
        <f t="shared" ca="1" si="15"/>
        <v>FINISH</v>
      </c>
    </row>
    <row r="108" spans="1:13" x14ac:dyDescent="0.25">
      <c r="A108" t="str">
        <f t="shared" si="8"/>
        <v/>
      </c>
      <c r="B108" t="str">
        <f t="shared" si="9"/>
        <v/>
      </c>
      <c r="C108" t="str">
        <f t="shared" si="10"/>
        <v/>
      </c>
      <c r="F108" s="330"/>
      <c r="I108">
        <f t="shared" si="11"/>
        <v>0</v>
      </c>
      <c r="J108" s="327">
        <f t="shared" si="12"/>
        <v>0</v>
      </c>
      <c r="K108" s="329">
        <f t="shared" ca="1" si="13"/>
        <v>39587</v>
      </c>
      <c r="L108">
        <f t="shared" ca="1" si="14"/>
        <v>39587</v>
      </c>
      <c r="M108" t="str">
        <f t="shared" ca="1" si="15"/>
        <v>FINISH</v>
      </c>
    </row>
    <row r="109" spans="1:13" x14ac:dyDescent="0.25">
      <c r="A109" t="str">
        <f t="shared" si="8"/>
        <v/>
      </c>
      <c r="B109" t="str">
        <f t="shared" si="9"/>
        <v/>
      </c>
      <c r="C109" t="str">
        <f t="shared" si="10"/>
        <v/>
      </c>
      <c r="F109" s="330"/>
      <c r="I109">
        <f t="shared" si="11"/>
        <v>0</v>
      </c>
      <c r="J109" s="327">
        <f t="shared" si="12"/>
        <v>0</v>
      </c>
      <c r="K109" s="329">
        <f t="shared" ca="1" si="13"/>
        <v>39587</v>
      </c>
      <c r="L109">
        <f t="shared" ca="1" si="14"/>
        <v>39587</v>
      </c>
      <c r="M109" t="str">
        <f t="shared" ca="1" si="15"/>
        <v>FINISH</v>
      </c>
    </row>
    <row r="110" spans="1:13" x14ac:dyDescent="0.25">
      <c r="A110" t="str">
        <f t="shared" si="8"/>
        <v/>
      </c>
      <c r="B110" t="str">
        <f t="shared" si="9"/>
        <v/>
      </c>
      <c r="C110" t="str">
        <f t="shared" si="10"/>
        <v/>
      </c>
      <c r="F110" s="330"/>
      <c r="I110">
        <f t="shared" si="11"/>
        <v>0</v>
      </c>
      <c r="J110" s="327">
        <f t="shared" si="12"/>
        <v>0</v>
      </c>
      <c r="K110" s="329">
        <f t="shared" ca="1" si="13"/>
        <v>39587</v>
      </c>
      <c r="L110">
        <f t="shared" ca="1" si="14"/>
        <v>39587</v>
      </c>
      <c r="M110" t="str">
        <f t="shared" ca="1" si="15"/>
        <v>FINISH</v>
      </c>
    </row>
    <row r="111" spans="1:13" x14ac:dyDescent="0.25">
      <c r="A111" t="str">
        <f t="shared" si="8"/>
        <v/>
      </c>
      <c r="B111" t="str">
        <f t="shared" si="9"/>
        <v/>
      </c>
      <c r="C111" t="str">
        <f t="shared" si="10"/>
        <v/>
      </c>
      <c r="F111" s="330"/>
      <c r="I111">
        <f t="shared" si="11"/>
        <v>0</v>
      </c>
      <c r="J111" s="327">
        <f t="shared" si="12"/>
        <v>0</v>
      </c>
      <c r="K111" s="329">
        <f t="shared" ca="1" si="13"/>
        <v>39587</v>
      </c>
      <c r="L111">
        <f t="shared" ca="1" si="14"/>
        <v>39587</v>
      </c>
      <c r="M111" t="str">
        <f t="shared" ca="1" si="15"/>
        <v>FINISH</v>
      </c>
    </row>
    <row r="112" spans="1:13" x14ac:dyDescent="0.25">
      <c r="A112" t="str">
        <f t="shared" si="8"/>
        <v/>
      </c>
      <c r="B112" t="str">
        <f t="shared" si="9"/>
        <v/>
      </c>
      <c r="C112" t="str">
        <f t="shared" si="10"/>
        <v/>
      </c>
      <c r="F112" s="330"/>
      <c r="I112">
        <f t="shared" si="11"/>
        <v>0</v>
      </c>
      <c r="J112" s="327">
        <f t="shared" si="12"/>
        <v>0</v>
      </c>
      <c r="K112" s="329">
        <f t="shared" ca="1" si="13"/>
        <v>39587</v>
      </c>
      <c r="L112">
        <f t="shared" ca="1" si="14"/>
        <v>39587</v>
      </c>
      <c r="M112" t="str">
        <f t="shared" ca="1" si="15"/>
        <v>FINISH</v>
      </c>
    </row>
    <row r="113" spans="1:13" x14ac:dyDescent="0.25">
      <c r="A113" t="str">
        <f t="shared" si="8"/>
        <v/>
      </c>
      <c r="B113" t="str">
        <f t="shared" si="9"/>
        <v/>
      </c>
      <c r="C113" t="str">
        <f t="shared" si="10"/>
        <v/>
      </c>
      <c r="F113" s="330"/>
      <c r="I113">
        <f t="shared" si="11"/>
        <v>0</v>
      </c>
      <c r="J113" s="327">
        <f t="shared" si="12"/>
        <v>0</v>
      </c>
      <c r="K113" s="329">
        <f t="shared" ca="1" si="13"/>
        <v>39587</v>
      </c>
      <c r="L113">
        <f t="shared" ca="1" si="14"/>
        <v>39587</v>
      </c>
      <c r="M113" t="str">
        <f t="shared" ca="1" si="15"/>
        <v>FINISH</v>
      </c>
    </row>
    <row r="114" spans="1:13" x14ac:dyDescent="0.25">
      <c r="A114" t="str">
        <f t="shared" si="8"/>
        <v/>
      </c>
      <c r="B114" t="str">
        <f t="shared" si="9"/>
        <v/>
      </c>
      <c r="C114" t="str">
        <f t="shared" si="10"/>
        <v/>
      </c>
      <c r="F114" s="330"/>
      <c r="I114">
        <f t="shared" si="11"/>
        <v>0</v>
      </c>
      <c r="J114" s="327">
        <f t="shared" si="12"/>
        <v>0</v>
      </c>
      <c r="K114" s="329">
        <f t="shared" ca="1" si="13"/>
        <v>39587</v>
      </c>
      <c r="L114">
        <f t="shared" ca="1" si="14"/>
        <v>39587</v>
      </c>
      <c r="M114" t="str">
        <f t="shared" ca="1" si="15"/>
        <v>FINISH</v>
      </c>
    </row>
    <row r="115" spans="1:13" x14ac:dyDescent="0.25">
      <c r="A115" t="str">
        <f t="shared" si="8"/>
        <v/>
      </c>
      <c r="B115" t="str">
        <f t="shared" si="9"/>
        <v/>
      </c>
      <c r="C115" t="str">
        <f t="shared" si="10"/>
        <v/>
      </c>
      <c r="F115" s="330"/>
      <c r="I115">
        <f t="shared" si="11"/>
        <v>0</v>
      </c>
      <c r="J115" s="327">
        <f t="shared" si="12"/>
        <v>0</v>
      </c>
      <c r="K115" s="329">
        <f t="shared" ca="1" si="13"/>
        <v>39587</v>
      </c>
      <c r="L115">
        <f t="shared" ca="1" si="14"/>
        <v>39587</v>
      </c>
      <c r="M115" t="str">
        <f t="shared" ca="1" si="15"/>
        <v>FINISH</v>
      </c>
    </row>
    <row r="116" spans="1:13" x14ac:dyDescent="0.25">
      <c r="A116" t="str">
        <f t="shared" si="8"/>
        <v/>
      </c>
      <c r="B116" t="str">
        <f t="shared" si="9"/>
        <v/>
      </c>
      <c r="C116" t="str">
        <f t="shared" si="10"/>
        <v/>
      </c>
      <c r="F116" s="330"/>
      <c r="I116">
        <f t="shared" si="11"/>
        <v>0</v>
      </c>
      <c r="J116" s="327">
        <f t="shared" si="12"/>
        <v>0</v>
      </c>
      <c r="K116" s="329">
        <f t="shared" ca="1" si="13"/>
        <v>39587</v>
      </c>
      <c r="L116">
        <f t="shared" ca="1" si="14"/>
        <v>39587</v>
      </c>
      <c r="M116" t="str">
        <f t="shared" ca="1" si="15"/>
        <v>FINISH</v>
      </c>
    </row>
    <row r="117" spans="1:13" x14ac:dyDescent="0.25">
      <c r="A117" t="str">
        <f t="shared" si="8"/>
        <v/>
      </c>
      <c r="B117" t="str">
        <f t="shared" si="9"/>
        <v/>
      </c>
      <c r="C117" t="str">
        <f t="shared" si="10"/>
        <v/>
      </c>
      <c r="F117" s="330"/>
      <c r="I117">
        <f t="shared" si="11"/>
        <v>0</v>
      </c>
      <c r="J117" s="327">
        <f t="shared" si="12"/>
        <v>0</v>
      </c>
      <c r="K117" s="329">
        <f t="shared" ca="1" si="13"/>
        <v>39587</v>
      </c>
      <c r="L117">
        <f t="shared" ca="1" si="14"/>
        <v>39587</v>
      </c>
      <c r="M117" t="str">
        <f t="shared" ca="1" si="15"/>
        <v>FINISH</v>
      </c>
    </row>
    <row r="118" spans="1:13" x14ac:dyDescent="0.25">
      <c r="A118" t="str">
        <f t="shared" si="8"/>
        <v/>
      </c>
      <c r="B118" t="str">
        <f t="shared" si="9"/>
        <v/>
      </c>
      <c r="C118" t="str">
        <f t="shared" si="10"/>
        <v/>
      </c>
      <c r="F118" s="330"/>
      <c r="I118">
        <f t="shared" si="11"/>
        <v>0</v>
      </c>
      <c r="J118" s="327">
        <f t="shared" si="12"/>
        <v>0</v>
      </c>
      <c r="K118" s="329">
        <f t="shared" ca="1" si="13"/>
        <v>39587</v>
      </c>
      <c r="L118">
        <f t="shared" ca="1" si="14"/>
        <v>39587</v>
      </c>
      <c r="M118" t="str">
        <f t="shared" ca="1" si="15"/>
        <v>FINISH</v>
      </c>
    </row>
    <row r="119" spans="1:13" x14ac:dyDescent="0.25">
      <c r="A119" t="str">
        <f t="shared" si="8"/>
        <v/>
      </c>
      <c r="B119" t="str">
        <f t="shared" si="9"/>
        <v/>
      </c>
      <c r="C119" t="str">
        <f t="shared" si="10"/>
        <v/>
      </c>
      <c r="F119" s="330"/>
      <c r="I119">
        <f t="shared" si="11"/>
        <v>0</v>
      </c>
      <c r="J119" s="327">
        <f t="shared" si="12"/>
        <v>0</v>
      </c>
      <c r="K119" s="329">
        <f t="shared" ca="1" si="13"/>
        <v>39587</v>
      </c>
      <c r="L119">
        <f t="shared" ca="1" si="14"/>
        <v>39587</v>
      </c>
      <c r="M119" t="str">
        <f t="shared" ca="1" si="15"/>
        <v>FINISH</v>
      </c>
    </row>
    <row r="120" spans="1:13" x14ac:dyDescent="0.25">
      <c r="A120" t="str">
        <f t="shared" si="8"/>
        <v/>
      </c>
      <c r="B120" t="str">
        <f t="shared" si="9"/>
        <v/>
      </c>
      <c r="C120" t="str">
        <f t="shared" si="10"/>
        <v/>
      </c>
      <c r="F120" s="330"/>
      <c r="I120">
        <f t="shared" si="11"/>
        <v>0</v>
      </c>
      <c r="J120" s="327">
        <f t="shared" si="12"/>
        <v>0</v>
      </c>
      <c r="K120" s="329">
        <f t="shared" ca="1" si="13"/>
        <v>39587</v>
      </c>
      <c r="L120">
        <f t="shared" ca="1" si="14"/>
        <v>39587</v>
      </c>
      <c r="M120" t="str">
        <f t="shared" ca="1" si="15"/>
        <v>FINISH</v>
      </c>
    </row>
    <row r="121" spans="1:13" x14ac:dyDescent="0.25">
      <c r="A121" t="str">
        <f t="shared" si="8"/>
        <v/>
      </c>
      <c r="B121" t="str">
        <f t="shared" si="9"/>
        <v/>
      </c>
      <c r="C121" t="str">
        <f t="shared" si="10"/>
        <v/>
      </c>
      <c r="F121" s="330"/>
      <c r="I121">
        <f t="shared" si="11"/>
        <v>0</v>
      </c>
      <c r="J121" s="327">
        <f t="shared" si="12"/>
        <v>0</v>
      </c>
      <c r="K121" s="329">
        <f t="shared" ca="1" si="13"/>
        <v>39587</v>
      </c>
      <c r="L121">
        <f t="shared" ca="1" si="14"/>
        <v>39587</v>
      </c>
      <c r="M121" t="str">
        <f t="shared" ca="1" si="15"/>
        <v>FINISH</v>
      </c>
    </row>
    <row r="122" spans="1:13" x14ac:dyDescent="0.25">
      <c r="A122" t="str">
        <f t="shared" si="8"/>
        <v/>
      </c>
      <c r="B122" t="str">
        <f t="shared" si="9"/>
        <v/>
      </c>
      <c r="C122" t="str">
        <f t="shared" si="10"/>
        <v/>
      </c>
      <c r="F122" s="330"/>
      <c r="I122">
        <f t="shared" si="11"/>
        <v>0</v>
      </c>
      <c r="J122" s="327">
        <f t="shared" si="12"/>
        <v>0</v>
      </c>
      <c r="K122" s="329">
        <f t="shared" ca="1" si="13"/>
        <v>39587</v>
      </c>
      <c r="L122">
        <f t="shared" ca="1" si="14"/>
        <v>39587</v>
      </c>
      <c r="M122" t="str">
        <f t="shared" ca="1" si="15"/>
        <v>FINISH</v>
      </c>
    </row>
    <row r="123" spans="1:13" x14ac:dyDescent="0.25">
      <c r="A123" t="str">
        <f t="shared" si="8"/>
        <v/>
      </c>
      <c r="B123" t="str">
        <f t="shared" si="9"/>
        <v/>
      </c>
      <c r="C123" t="str">
        <f t="shared" si="10"/>
        <v/>
      </c>
      <c r="F123" s="330"/>
      <c r="I123">
        <f t="shared" si="11"/>
        <v>0</v>
      </c>
      <c r="J123" s="327">
        <f t="shared" si="12"/>
        <v>0</v>
      </c>
      <c r="K123" s="329">
        <f t="shared" ca="1" si="13"/>
        <v>39587</v>
      </c>
      <c r="L123">
        <f t="shared" ca="1" si="14"/>
        <v>39587</v>
      </c>
      <c r="M123" t="str">
        <f t="shared" ca="1" si="15"/>
        <v>FINISH</v>
      </c>
    </row>
    <row r="124" spans="1:13" x14ac:dyDescent="0.25">
      <c r="A124" t="str">
        <f t="shared" si="8"/>
        <v/>
      </c>
      <c r="B124" t="str">
        <f t="shared" si="9"/>
        <v/>
      </c>
      <c r="C124" t="str">
        <f t="shared" si="10"/>
        <v/>
      </c>
      <c r="F124" s="330"/>
      <c r="I124">
        <f t="shared" si="11"/>
        <v>0</v>
      </c>
      <c r="J124" s="327">
        <f t="shared" si="12"/>
        <v>0</v>
      </c>
      <c r="K124" s="329">
        <f t="shared" ca="1" si="13"/>
        <v>39587</v>
      </c>
      <c r="L124">
        <f t="shared" ca="1" si="14"/>
        <v>39587</v>
      </c>
      <c r="M124" t="str">
        <f t="shared" ca="1" si="15"/>
        <v>FINISH</v>
      </c>
    </row>
    <row r="125" spans="1:13" x14ac:dyDescent="0.25">
      <c r="A125" t="str">
        <f t="shared" si="8"/>
        <v/>
      </c>
      <c r="B125" t="str">
        <f t="shared" si="9"/>
        <v/>
      </c>
      <c r="C125" t="str">
        <f t="shared" si="10"/>
        <v/>
      </c>
      <c r="F125" s="330"/>
      <c r="I125">
        <f t="shared" si="11"/>
        <v>0</v>
      </c>
      <c r="J125" s="327">
        <f t="shared" si="12"/>
        <v>0</v>
      </c>
      <c r="K125" s="329">
        <f t="shared" ca="1" si="13"/>
        <v>39587</v>
      </c>
      <c r="L125">
        <f t="shared" ca="1" si="14"/>
        <v>39587</v>
      </c>
      <c r="M125" t="str">
        <f t="shared" ca="1" si="15"/>
        <v>FINISH</v>
      </c>
    </row>
    <row r="126" spans="1:13" x14ac:dyDescent="0.25">
      <c r="A126" t="str">
        <f t="shared" si="8"/>
        <v/>
      </c>
      <c r="B126" t="str">
        <f t="shared" si="9"/>
        <v/>
      </c>
      <c r="C126" t="str">
        <f t="shared" si="10"/>
        <v/>
      </c>
      <c r="F126" s="330"/>
      <c r="I126">
        <f t="shared" si="11"/>
        <v>0</v>
      </c>
      <c r="J126" s="327">
        <f t="shared" si="12"/>
        <v>0</v>
      </c>
      <c r="K126" s="329">
        <f t="shared" ca="1" si="13"/>
        <v>39587</v>
      </c>
      <c r="L126">
        <f t="shared" ca="1" si="14"/>
        <v>39587</v>
      </c>
      <c r="M126" t="str">
        <f t="shared" ca="1" si="15"/>
        <v>FINISH</v>
      </c>
    </row>
    <row r="127" spans="1:13" x14ac:dyDescent="0.25">
      <c r="A127" t="str">
        <f t="shared" si="8"/>
        <v/>
      </c>
      <c r="B127" t="str">
        <f t="shared" si="9"/>
        <v/>
      </c>
      <c r="C127" t="str">
        <f t="shared" si="10"/>
        <v/>
      </c>
      <c r="F127" s="330"/>
      <c r="I127">
        <f t="shared" si="11"/>
        <v>0</v>
      </c>
      <c r="J127" s="327">
        <f t="shared" si="12"/>
        <v>0</v>
      </c>
      <c r="K127" s="329">
        <f t="shared" ca="1" si="13"/>
        <v>39587</v>
      </c>
      <c r="L127">
        <f t="shared" ca="1" si="14"/>
        <v>39587</v>
      </c>
      <c r="M127" t="str">
        <f t="shared" ca="1" si="15"/>
        <v>FINISH</v>
      </c>
    </row>
    <row r="128" spans="1:13" x14ac:dyDescent="0.25">
      <c r="A128" t="str">
        <f t="shared" si="8"/>
        <v/>
      </c>
      <c r="B128" t="str">
        <f t="shared" si="9"/>
        <v/>
      </c>
      <c r="C128" t="str">
        <f t="shared" si="10"/>
        <v/>
      </c>
      <c r="F128" s="330"/>
      <c r="I128">
        <f t="shared" si="11"/>
        <v>0</v>
      </c>
      <c r="J128" s="327">
        <f t="shared" si="12"/>
        <v>0</v>
      </c>
      <c r="K128" s="329">
        <f t="shared" ca="1" si="13"/>
        <v>39587</v>
      </c>
      <c r="L128">
        <f t="shared" ca="1" si="14"/>
        <v>39587</v>
      </c>
      <c r="M128" t="str">
        <f t="shared" ca="1" si="15"/>
        <v>FINISH</v>
      </c>
    </row>
    <row r="129" spans="1:13" x14ac:dyDescent="0.25">
      <c r="A129" t="str">
        <f t="shared" si="8"/>
        <v/>
      </c>
      <c r="B129" t="str">
        <f t="shared" si="9"/>
        <v/>
      </c>
      <c r="C129" t="str">
        <f t="shared" si="10"/>
        <v/>
      </c>
      <c r="F129" s="330"/>
      <c r="I129">
        <f t="shared" si="11"/>
        <v>0</v>
      </c>
      <c r="J129" s="327">
        <f t="shared" si="12"/>
        <v>0</v>
      </c>
      <c r="K129" s="329">
        <f t="shared" ca="1" si="13"/>
        <v>39587</v>
      </c>
      <c r="L129">
        <f t="shared" ca="1" si="14"/>
        <v>39587</v>
      </c>
      <c r="M129" t="str">
        <f t="shared" ca="1" si="15"/>
        <v>FINISH</v>
      </c>
    </row>
    <row r="130" spans="1:13" x14ac:dyDescent="0.25">
      <c r="A130" t="str">
        <f t="shared" si="8"/>
        <v/>
      </c>
      <c r="B130" t="str">
        <f t="shared" si="9"/>
        <v/>
      </c>
      <c r="C130" t="str">
        <f t="shared" si="10"/>
        <v/>
      </c>
      <c r="F130" s="330"/>
      <c r="I130">
        <f t="shared" si="11"/>
        <v>0</v>
      </c>
      <c r="J130" s="327">
        <f t="shared" si="12"/>
        <v>0</v>
      </c>
      <c r="K130" s="329">
        <f t="shared" ca="1" si="13"/>
        <v>39587</v>
      </c>
      <c r="L130">
        <f t="shared" ca="1" si="14"/>
        <v>39587</v>
      </c>
      <c r="M130" t="str">
        <f t="shared" ca="1" si="15"/>
        <v>FINISH</v>
      </c>
    </row>
    <row r="131" spans="1:13" x14ac:dyDescent="0.25">
      <c r="A131" t="str">
        <f t="shared" si="8"/>
        <v/>
      </c>
      <c r="B131" t="str">
        <f t="shared" si="9"/>
        <v/>
      </c>
      <c r="C131" t="str">
        <f t="shared" si="10"/>
        <v/>
      </c>
      <c r="F131" s="330"/>
      <c r="I131">
        <f t="shared" si="11"/>
        <v>0</v>
      </c>
      <c r="J131" s="327">
        <f t="shared" si="12"/>
        <v>0</v>
      </c>
      <c r="K131" s="329">
        <f t="shared" ca="1" si="13"/>
        <v>39587</v>
      </c>
      <c r="L131">
        <f t="shared" ca="1" si="14"/>
        <v>39587</v>
      </c>
      <c r="M131" t="str">
        <f t="shared" ca="1" si="15"/>
        <v>FINISH</v>
      </c>
    </row>
    <row r="132" spans="1:13" x14ac:dyDescent="0.25">
      <c r="A132" t="str">
        <f t="shared" si="8"/>
        <v/>
      </c>
      <c r="B132" t="str">
        <f t="shared" si="9"/>
        <v/>
      </c>
      <c r="C132" t="str">
        <f t="shared" si="10"/>
        <v/>
      </c>
      <c r="F132" s="330"/>
      <c r="I132">
        <f t="shared" si="11"/>
        <v>0</v>
      </c>
      <c r="J132" s="327">
        <f t="shared" si="12"/>
        <v>0</v>
      </c>
      <c r="K132" s="329">
        <f t="shared" ca="1" si="13"/>
        <v>39587</v>
      </c>
      <c r="L132">
        <f t="shared" ca="1" si="14"/>
        <v>39587</v>
      </c>
      <c r="M132" t="str">
        <f t="shared" ca="1" si="15"/>
        <v>FINISH</v>
      </c>
    </row>
    <row r="133" spans="1:13" x14ac:dyDescent="0.25">
      <c r="A133" t="str">
        <f t="shared" ref="A133:A182" si="16">LEFT(D133,3)</f>
        <v/>
      </c>
      <c r="B133" t="str">
        <f t="shared" ref="B133:B196" si="17">IF(C133="DW",$I$1,IF(C133="DE",$I$1,IF(C133="XCN",$I$1,IF(C133="XCS",$I$1,IF(C133="RAISE",$J$1,IF(C133="SHAFT",$L$1,IF(C133="WINZE",$K$1,IF(C133="STOPE",$M$1,""))))))))</f>
        <v/>
      </c>
      <c r="C133" t="str">
        <f t="shared" ref="C133:C196" si="18">IFERROR((TRIM(MID(SUBSTITUTE($D133,"_",REPT(" ",LEN($D133))),($B$1-1)*LEN($D133)+1,LEN($D133)))),"")</f>
        <v/>
      </c>
      <c r="F133" s="330"/>
      <c r="I133">
        <f t="shared" ref="I133:I196" si="19">IF(H133=$E$1,$E$2,IF(H133=$F$1,$F$2,IF(H133=$G$1,$G$2,IF(H133=$H$1,$H$2,0))))</f>
        <v>0</v>
      </c>
      <c r="J133" s="327">
        <f t="shared" ref="J133:J196" si="20">WORKDAY.INTL(G133,I133,11)</f>
        <v>0</v>
      </c>
      <c r="K133" s="329">
        <f t="shared" ref="K133:K196" ca="1" si="21">IF(F133&lt;G133,NETWORKDAYS.INTL(F133,$A$1,11),NETWORKDAYS.INTL(G133,$A$1,11))</f>
        <v>39587</v>
      </c>
      <c r="L133">
        <f t="shared" ref="L133:L196" ca="1" si="22">NETWORKDAYS.INTL(J133,$A$1,11)</f>
        <v>39587</v>
      </c>
      <c r="M133" t="str">
        <f t="shared" ref="M133:M196" ca="1" si="23">IF(L133&gt;=I133,"FINISH",0)</f>
        <v>FINISH</v>
      </c>
    </row>
    <row r="134" spans="1:13" x14ac:dyDescent="0.25">
      <c r="A134" t="str">
        <f t="shared" si="16"/>
        <v/>
      </c>
      <c r="B134" t="str">
        <f t="shared" si="17"/>
        <v/>
      </c>
      <c r="C134" t="str">
        <f t="shared" si="18"/>
        <v/>
      </c>
      <c r="F134" s="330"/>
      <c r="I134">
        <f t="shared" si="19"/>
        <v>0</v>
      </c>
      <c r="J134" s="327">
        <f t="shared" si="20"/>
        <v>0</v>
      </c>
      <c r="K134" s="329">
        <f t="shared" ca="1" si="21"/>
        <v>39587</v>
      </c>
      <c r="L134">
        <f t="shared" ca="1" si="22"/>
        <v>39587</v>
      </c>
      <c r="M134" t="str">
        <f t="shared" ca="1" si="23"/>
        <v>FINISH</v>
      </c>
    </row>
    <row r="135" spans="1:13" x14ac:dyDescent="0.25">
      <c r="A135" t="str">
        <f t="shared" si="16"/>
        <v/>
      </c>
      <c r="B135" t="str">
        <f t="shared" si="17"/>
        <v/>
      </c>
      <c r="C135" t="str">
        <f t="shared" si="18"/>
        <v/>
      </c>
      <c r="F135" s="330"/>
      <c r="I135">
        <f t="shared" si="19"/>
        <v>0</v>
      </c>
      <c r="J135" s="327">
        <f t="shared" si="20"/>
        <v>0</v>
      </c>
      <c r="K135" s="329">
        <f t="shared" ca="1" si="21"/>
        <v>39587</v>
      </c>
      <c r="L135">
        <f t="shared" ca="1" si="22"/>
        <v>39587</v>
      </c>
      <c r="M135" t="str">
        <f t="shared" ca="1" si="23"/>
        <v>FINISH</v>
      </c>
    </row>
    <row r="136" spans="1:13" x14ac:dyDescent="0.25">
      <c r="A136" t="str">
        <f t="shared" si="16"/>
        <v/>
      </c>
      <c r="B136" t="str">
        <f t="shared" si="17"/>
        <v/>
      </c>
      <c r="C136" t="str">
        <f t="shared" si="18"/>
        <v/>
      </c>
      <c r="F136" s="330"/>
      <c r="I136">
        <f t="shared" si="19"/>
        <v>0</v>
      </c>
      <c r="J136" s="327">
        <f t="shared" si="20"/>
        <v>0</v>
      </c>
      <c r="K136" s="329">
        <f t="shared" ca="1" si="21"/>
        <v>39587</v>
      </c>
      <c r="L136">
        <f t="shared" ca="1" si="22"/>
        <v>39587</v>
      </c>
      <c r="M136" t="str">
        <f t="shared" ca="1" si="23"/>
        <v>FINISH</v>
      </c>
    </row>
    <row r="137" spans="1:13" x14ac:dyDescent="0.25">
      <c r="A137" t="str">
        <f t="shared" si="16"/>
        <v/>
      </c>
      <c r="B137" t="str">
        <f t="shared" si="17"/>
        <v/>
      </c>
      <c r="C137" t="str">
        <f t="shared" si="18"/>
        <v/>
      </c>
      <c r="F137" s="330"/>
      <c r="I137">
        <f t="shared" si="19"/>
        <v>0</v>
      </c>
      <c r="J137" s="327">
        <f t="shared" si="20"/>
        <v>0</v>
      </c>
      <c r="K137" s="329">
        <f t="shared" ca="1" si="21"/>
        <v>39587</v>
      </c>
      <c r="L137">
        <f t="shared" ca="1" si="22"/>
        <v>39587</v>
      </c>
      <c r="M137" t="str">
        <f t="shared" ca="1" si="23"/>
        <v>FINISH</v>
      </c>
    </row>
    <row r="138" spans="1:13" x14ac:dyDescent="0.25">
      <c r="A138" t="str">
        <f t="shared" si="16"/>
        <v/>
      </c>
      <c r="B138" t="str">
        <f t="shared" si="17"/>
        <v/>
      </c>
      <c r="C138" t="str">
        <f t="shared" si="18"/>
        <v/>
      </c>
      <c r="F138" s="330"/>
      <c r="I138">
        <f t="shared" si="19"/>
        <v>0</v>
      </c>
      <c r="J138" s="327">
        <f t="shared" si="20"/>
        <v>0</v>
      </c>
      <c r="K138" s="329">
        <f t="shared" ca="1" si="21"/>
        <v>39587</v>
      </c>
      <c r="L138">
        <f t="shared" ca="1" si="22"/>
        <v>39587</v>
      </c>
      <c r="M138" t="str">
        <f t="shared" ca="1" si="23"/>
        <v>FINISH</v>
      </c>
    </row>
    <row r="139" spans="1:13" x14ac:dyDescent="0.25">
      <c r="A139" t="str">
        <f t="shared" si="16"/>
        <v/>
      </c>
      <c r="B139" t="str">
        <f t="shared" si="17"/>
        <v/>
      </c>
      <c r="C139" t="str">
        <f t="shared" si="18"/>
        <v/>
      </c>
      <c r="F139" s="330"/>
      <c r="I139">
        <f t="shared" si="19"/>
        <v>0</v>
      </c>
      <c r="J139" s="327">
        <f t="shared" si="20"/>
        <v>0</v>
      </c>
      <c r="K139" s="329">
        <f t="shared" ca="1" si="21"/>
        <v>39587</v>
      </c>
      <c r="L139">
        <f t="shared" ca="1" si="22"/>
        <v>39587</v>
      </c>
      <c r="M139" t="str">
        <f t="shared" ca="1" si="23"/>
        <v>FINISH</v>
      </c>
    </row>
    <row r="140" spans="1:13" x14ac:dyDescent="0.25">
      <c r="A140" t="str">
        <f t="shared" si="16"/>
        <v/>
      </c>
      <c r="B140" t="str">
        <f t="shared" si="17"/>
        <v/>
      </c>
      <c r="C140" t="str">
        <f t="shared" si="18"/>
        <v/>
      </c>
      <c r="F140" s="330"/>
      <c r="I140">
        <f t="shared" si="19"/>
        <v>0</v>
      </c>
      <c r="J140" s="327">
        <f t="shared" si="20"/>
        <v>0</v>
      </c>
      <c r="K140" s="329">
        <f t="shared" ca="1" si="21"/>
        <v>39587</v>
      </c>
      <c r="L140">
        <f t="shared" ca="1" si="22"/>
        <v>39587</v>
      </c>
      <c r="M140" t="str">
        <f t="shared" ca="1" si="23"/>
        <v>FINISH</v>
      </c>
    </row>
    <row r="141" spans="1:13" x14ac:dyDescent="0.25">
      <c r="A141" t="str">
        <f t="shared" si="16"/>
        <v/>
      </c>
      <c r="B141" t="str">
        <f t="shared" si="17"/>
        <v/>
      </c>
      <c r="C141" t="str">
        <f t="shared" si="18"/>
        <v/>
      </c>
      <c r="F141" s="330"/>
      <c r="I141">
        <f t="shared" si="19"/>
        <v>0</v>
      </c>
      <c r="J141" s="327">
        <f t="shared" si="20"/>
        <v>0</v>
      </c>
      <c r="K141" s="329">
        <f t="shared" ca="1" si="21"/>
        <v>39587</v>
      </c>
      <c r="L141">
        <f t="shared" ca="1" si="22"/>
        <v>39587</v>
      </c>
      <c r="M141" t="str">
        <f t="shared" ca="1" si="23"/>
        <v>FINISH</v>
      </c>
    </row>
    <row r="142" spans="1:13" x14ac:dyDescent="0.25">
      <c r="A142" t="str">
        <f t="shared" si="16"/>
        <v/>
      </c>
      <c r="B142" t="str">
        <f t="shared" si="17"/>
        <v/>
      </c>
      <c r="C142" t="str">
        <f t="shared" si="18"/>
        <v/>
      </c>
      <c r="F142" s="330"/>
      <c r="I142">
        <f t="shared" si="19"/>
        <v>0</v>
      </c>
      <c r="J142" s="327">
        <f t="shared" si="20"/>
        <v>0</v>
      </c>
      <c r="K142" s="329">
        <f t="shared" ca="1" si="21"/>
        <v>39587</v>
      </c>
      <c r="L142">
        <f t="shared" ca="1" si="22"/>
        <v>39587</v>
      </c>
      <c r="M142" t="str">
        <f t="shared" ca="1" si="23"/>
        <v>FINISH</v>
      </c>
    </row>
    <row r="143" spans="1:13" x14ac:dyDescent="0.25">
      <c r="A143" t="str">
        <f t="shared" si="16"/>
        <v/>
      </c>
      <c r="B143" t="str">
        <f t="shared" si="17"/>
        <v/>
      </c>
      <c r="C143" t="str">
        <f t="shared" si="18"/>
        <v/>
      </c>
      <c r="F143" s="330"/>
      <c r="I143">
        <f t="shared" si="19"/>
        <v>0</v>
      </c>
      <c r="J143" s="327">
        <f t="shared" si="20"/>
        <v>0</v>
      </c>
      <c r="K143" s="329">
        <f t="shared" ca="1" si="21"/>
        <v>39587</v>
      </c>
      <c r="L143">
        <f t="shared" ca="1" si="22"/>
        <v>39587</v>
      </c>
      <c r="M143" t="str">
        <f t="shared" ca="1" si="23"/>
        <v>FINISH</v>
      </c>
    </row>
    <row r="144" spans="1:13" x14ac:dyDescent="0.25">
      <c r="A144" t="str">
        <f t="shared" si="16"/>
        <v/>
      </c>
      <c r="B144" t="str">
        <f t="shared" si="17"/>
        <v/>
      </c>
      <c r="C144" t="str">
        <f t="shared" si="18"/>
        <v/>
      </c>
      <c r="F144" s="330"/>
      <c r="I144">
        <f t="shared" si="19"/>
        <v>0</v>
      </c>
      <c r="J144" s="327">
        <f t="shared" si="20"/>
        <v>0</v>
      </c>
      <c r="K144" s="329">
        <f t="shared" ca="1" si="21"/>
        <v>39587</v>
      </c>
      <c r="L144">
        <f t="shared" ca="1" si="22"/>
        <v>39587</v>
      </c>
      <c r="M144" t="str">
        <f t="shared" ca="1" si="23"/>
        <v>FINISH</v>
      </c>
    </row>
    <row r="145" spans="1:13" x14ac:dyDescent="0.25">
      <c r="A145" t="str">
        <f t="shared" si="16"/>
        <v/>
      </c>
      <c r="B145" t="str">
        <f t="shared" si="17"/>
        <v/>
      </c>
      <c r="C145" t="str">
        <f t="shared" si="18"/>
        <v/>
      </c>
      <c r="F145" s="330"/>
      <c r="I145">
        <f t="shared" si="19"/>
        <v>0</v>
      </c>
      <c r="J145" s="327">
        <f t="shared" si="20"/>
        <v>0</v>
      </c>
      <c r="K145" s="329">
        <f t="shared" ca="1" si="21"/>
        <v>39587</v>
      </c>
      <c r="L145">
        <f t="shared" ca="1" si="22"/>
        <v>39587</v>
      </c>
      <c r="M145" t="str">
        <f t="shared" ca="1" si="23"/>
        <v>FINISH</v>
      </c>
    </row>
    <row r="146" spans="1:13" x14ac:dyDescent="0.25">
      <c r="A146" t="str">
        <f t="shared" si="16"/>
        <v/>
      </c>
      <c r="B146" t="str">
        <f t="shared" si="17"/>
        <v/>
      </c>
      <c r="C146" t="str">
        <f t="shared" si="18"/>
        <v/>
      </c>
      <c r="F146" s="330"/>
      <c r="I146">
        <f t="shared" si="19"/>
        <v>0</v>
      </c>
      <c r="J146" s="327">
        <f t="shared" si="20"/>
        <v>0</v>
      </c>
      <c r="K146" s="329">
        <f t="shared" ca="1" si="21"/>
        <v>39587</v>
      </c>
      <c r="L146">
        <f t="shared" ca="1" si="22"/>
        <v>39587</v>
      </c>
      <c r="M146" t="str">
        <f t="shared" ca="1" si="23"/>
        <v>FINISH</v>
      </c>
    </row>
    <row r="147" spans="1:13" x14ac:dyDescent="0.25">
      <c r="A147" t="str">
        <f t="shared" si="16"/>
        <v/>
      </c>
      <c r="B147" t="str">
        <f t="shared" si="17"/>
        <v/>
      </c>
      <c r="C147" t="str">
        <f t="shared" si="18"/>
        <v/>
      </c>
      <c r="F147" s="330"/>
      <c r="I147">
        <f t="shared" si="19"/>
        <v>0</v>
      </c>
      <c r="J147" s="327">
        <f t="shared" si="20"/>
        <v>0</v>
      </c>
      <c r="K147" s="329">
        <f t="shared" ca="1" si="21"/>
        <v>39587</v>
      </c>
      <c r="L147">
        <f t="shared" ca="1" si="22"/>
        <v>39587</v>
      </c>
      <c r="M147" t="str">
        <f t="shared" ca="1" si="23"/>
        <v>FINISH</v>
      </c>
    </row>
    <row r="148" spans="1:13" x14ac:dyDescent="0.25">
      <c r="A148" t="str">
        <f t="shared" si="16"/>
        <v/>
      </c>
      <c r="B148" t="str">
        <f t="shared" si="17"/>
        <v/>
      </c>
      <c r="C148" t="str">
        <f t="shared" si="18"/>
        <v/>
      </c>
      <c r="F148" s="330"/>
      <c r="I148">
        <f t="shared" si="19"/>
        <v>0</v>
      </c>
      <c r="J148" s="327">
        <f t="shared" si="20"/>
        <v>0</v>
      </c>
      <c r="K148" s="329">
        <f t="shared" ca="1" si="21"/>
        <v>39587</v>
      </c>
      <c r="L148">
        <f t="shared" ca="1" si="22"/>
        <v>39587</v>
      </c>
      <c r="M148" t="str">
        <f t="shared" ca="1" si="23"/>
        <v>FINISH</v>
      </c>
    </row>
    <row r="149" spans="1:13" x14ac:dyDescent="0.25">
      <c r="A149" t="str">
        <f t="shared" si="16"/>
        <v/>
      </c>
      <c r="B149" t="str">
        <f t="shared" si="17"/>
        <v/>
      </c>
      <c r="C149" t="str">
        <f t="shared" si="18"/>
        <v/>
      </c>
      <c r="F149" s="330"/>
      <c r="I149">
        <f t="shared" si="19"/>
        <v>0</v>
      </c>
      <c r="J149" s="327">
        <f t="shared" si="20"/>
        <v>0</v>
      </c>
      <c r="K149" s="329">
        <f t="shared" ca="1" si="21"/>
        <v>39587</v>
      </c>
      <c r="L149">
        <f t="shared" ca="1" si="22"/>
        <v>39587</v>
      </c>
      <c r="M149" t="str">
        <f t="shared" ca="1" si="23"/>
        <v>FINISH</v>
      </c>
    </row>
    <row r="150" spans="1:13" x14ac:dyDescent="0.25">
      <c r="A150" t="str">
        <f t="shared" si="16"/>
        <v/>
      </c>
      <c r="B150" t="str">
        <f t="shared" si="17"/>
        <v/>
      </c>
      <c r="C150" t="str">
        <f t="shared" si="18"/>
        <v/>
      </c>
      <c r="F150" s="330"/>
      <c r="I150">
        <f t="shared" si="19"/>
        <v>0</v>
      </c>
      <c r="J150" s="327">
        <f t="shared" si="20"/>
        <v>0</v>
      </c>
      <c r="K150" s="329">
        <f t="shared" ca="1" si="21"/>
        <v>39587</v>
      </c>
      <c r="L150">
        <f t="shared" ca="1" si="22"/>
        <v>39587</v>
      </c>
      <c r="M150" t="str">
        <f t="shared" ca="1" si="23"/>
        <v>FINISH</v>
      </c>
    </row>
    <row r="151" spans="1:13" x14ac:dyDescent="0.25">
      <c r="A151" t="str">
        <f t="shared" si="16"/>
        <v/>
      </c>
      <c r="B151" t="str">
        <f t="shared" si="17"/>
        <v/>
      </c>
      <c r="C151" t="str">
        <f t="shared" si="18"/>
        <v/>
      </c>
      <c r="F151" s="330"/>
      <c r="I151">
        <f t="shared" si="19"/>
        <v>0</v>
      </c>
      <c r="J151" s="327">
        <f t="shared" si="20"/>
        <v>0</v>
      </c>
      <c r="K151" s="329">
        <f t="shared" ca="1" si="21"/>
        <v>39587</v>
      </c>
      <c r="L151">
        <f t="shared" ca="1" si="22"/>
        <v>39587</v>
      </c>
      <c r="M151" t="str">
        <f t="shared" ca="1" si="23"/>
        <v>FINISH</v>
      </c>
    </row>
    <row r="152" spans="1:13" x14ac:dyDescent="0.25">
      <c r="A152" t="str">
        <f t="shared" si="16"/>
        <v/>
      </c>
      <c r="B152" t="str">
        <f t="shared" si="17"/>
        <v/>
      </c>
      <c r="C152" t="str">
        <f t="shared" si="18"/>
        <v/>
      </c>
      <c r="F152" s="330"/>
      <c r="I152">
        <f t="shared" si="19"/>
        <v>0</v>
      </c>
      <c r="J152" s="327">
        <f t="shared" si="20"/>
        <v>0</v>
      </c>
      <c r="K152" s="329">
        <f t="shared" ca="1" si="21"/>
        <v>39587</v>
      </c>
      <c r="L152">
        <f t="shared" ca="1" si="22"/>
        <v>39587</v>
      </c>
      <c r="M152" t="str">
        <f t="shared" ca="1" si="23"/>
        <v>FINISH</v>
      </c>
    </row>
    <row r="153" spans="1:13" x14ac:dyDescent="0.25">
      <c r="A153" t="str">
        <f t="shared" si="16"/>
        <v/>
      </c>
      <c r="B153" t="str">
        <f t="shared" si="17"/>
        <v/>
      </c>
      <c r="C153" t="str">
        <f t="shared" si="18"/>
        <v/>
      </c>
      <c r="F153" s="330"/>
      <c r="I153">
        <f t="shared" si="19"/>
        <v>0</v>
      </c>
      <c r="J153" s="327">
        <f t="shared" si="20"/>
        <v>0</v>
      </c>
      <c r="K153" s="329">
        <f t="shared" ca="1" si="21"/>
        <v>39587</v>
      </c>
      <c r="L153">
        <f t="shared" ca="1" si="22"/>
        <v>39587</v>
      </c>
      <c r="M153" t="str">
        <f t="shared" ca="1" si="23"/>
        <v>FINISH</v>
      </c>
    </row>
    <row r="154" spans="1:13" x14ac:dyDescent="0.25">
      <c r="A154" t="str">
        <f t="shared" si="16"/>
        <v/>
      </c>
      <c r="B154" t="str">
        <f t="shared" si="17"/>
        <v/>
      </c>
      <c r="C154" t="str">
        <f t="shared" si="18"/>
        <v/>
      </c>
      <c r="F154" s="330"/>
      <c r="I154">
        <f t="shared" si="19"/>
        <v>0</v>
      </c>
      <c r="J154" s="327">
        <f t="shared" si="20"/>
        <v>0</v>
      </c>
      <c r="K154" s="329">
        <f t="shared" ca="1" si="21"/>
        <v>39587</v>
      </c>
      <c r="L154">
        <f t="shared" ca="1" si="22"/>
        <v>39587</v>
      </c>
      <c r="M154" t="str">
        <f t="shared" ca="1" si="23"/>
        <v>FINISH</v>
      </c>
    </row>
    <row r="155" spans="1:13" x14ac:dyDescent="0.25">
      <c r="A155" t="str">
        <f t="shared" si="16"/>
        <v/>
      </c>
      <c r="B155" t="str">
        <f t="shared" si="17"/>
        <v/>
      </c>
      <c r="C155" t="str">
        <f t="shared" si="18"/>
        <v/>
      </c>
      <c r="F155" s="330"/>
      <c r="I155">
        <f t="shared" si="19"/>
        <v>0</v>
      </c>
      <c r="J155" s="327">
        <f t="shared" si="20"/>
        <v>0</v>
      </c>
      <c r="K155" s="329">
        <f t="shared" ca="1" si="21"/>
        <v>39587</v>
      </c>
      <c r="L155">
        <f t="shared" ca="1" si="22"/>
        <v>39587</v>
      </c>
      <c r="M155" t="str">
        <f t="shared" ca="1" si="23"/>
        <v>FINISH</v>
      </c>
    </row>
    <row r="156" spans="1:13" x14ac:dyDescent="0.25">
      <c r="A156" t="str">
        <f t="shared" si="16"/>
        <v/>
      </c>
      <c r="B156" t="str">
        <f t="shared" si="17"/>
        <v/>
      </c>
      <c r="C156" t="str">
        <f t="shared" si="18"/>
        <v/>
      </c>
      <c r="F156" s="330"/>
      <c r="I156">
        <f t="shared" si="19"/>
        <v>0</v>
      </c>
      <c r="J156" s="327">
        <f t="shared" si="20"/>
        <v>0</v>
      </c>
      <c r="K156" s="329">
        <f t="shared" ca="1" si="21"/>
        <v>39587</v>
      </c>
      <c r="L156">
        <f t="shared" ca="1" si="22"/>
        <v>39587</v>
      </c>
      <c r="M156" t="str">
        <f t="shared" ca="1" si="23"/>
        <v>FINISH</v>
      </c>
    </row>
    <row r="157" spans="1:13" x14ac:dyDescent="0.25">
      <c r="A157" t="str">
        <f t="shared" si="16"/>
        <v/>
      </c>
      <c r="B157" t="str">
        <f t="shared" si="17"/>
        <v/>
      </c>
      <c r="C157" t="str">
        <f t="shared" si="18"/>
        <v/>
      </c>
      <c r="F157" s="330"/>
      <c r="I157">
        <f t="shared" si="19"/>
        <v>0</v>
      </c>
      <c r="J157" s="327">
        <f t="shared" si="20"/>
        <v>0</v>
      </c>
      <c r="K157" s="329">
        <f t="shared" ca="1" si="21"/>
        <v>39587</v>
      </c>
      <c r="L157">
        <f t="shared" ca="1" si="22"/>
        <v>39587</v>
      </c>
      <c r="M157" t="str">
        <f t="shared" ca="1" si="23"/>
        <v>FINISH</v>
      </c>
    </row>
    <row r="158" spans="1:13" x14ac:dyDescent="0.25">
      <c r="A158" t="str">
        <f t="shared" si="16"/>
        <v/>
      </c>
      <c r="B158" t="str">
        <f t="shared" si="17"/>
        <v/>
      </c>
      <c r="C158" t="str">
        <f t="shared" si="18"/>
        <v/>
      </c>
      <c r="F158" s="330"/>
      <c r="I158">
        <f t="shared" si="19"/>
        <v>0</v>
      </c>
      <c r="J158" s="327">
        <f t="shared" si="20"/>
        <v>0</v>
      </c>
      <c r="K158" s="329">
        <f t="shared" ca="1" si="21"/>
        <v>39587</v>
      </c>
      <c r="L158">
        <f t="shared" ca="1" si="22"/>
        <v>39587</v>
      </c>
      <c r="M158" t="str">
        <f t="shared" ca="1" si="23"/>
        <v>FINISH</v>
      </c>
    </row>
    <row r="159" spans="1:13" x14ac:dyDescent="0.25">
      <c r="A159" t="str">
        <f t="shared" si="16"/>
        <v/>
      </c>
      <c r="B159" t="str">
        <f t="shared" si="17"/>
        <v/>
      </c>
      <c r="C159" t="str">
        <f t="shared" si="18"/>
        <v/>
      </c>
      <c r="F159" s="330"/>
      <c r="I159">
        <f t="shared" si="19"/>
        <v>0</v>
      </c>
      <c r="J159" s="327">
        <f t="shared" si="20"/>
        <v>0</v>
      </c>
      <c r="K159" s="329">
        <f t="shared" ca="1" si="21"/>
        <v>39587</v>
      </c>
      <c r="L159">
        <f t="shared" ca="1" si="22"/>
        <v>39587</v>
      </c>
      <c r="M159" t="str">
        <f t="shared" ca="1" si="23"/>
        <v>FINISH</v>
      </c>
    </row>
    <row r="160" spans="1:13" x14ac:dyDescent="0.25">
      <c r="A160" t="str">
        <f t="shared" si="16"/>
        <v/>
      </c>
      <c r="B160" t="str">
        <f t="shared" si="17"/>
        <v/>
      </c>
      <c r="C160" t="str">
        <f t="shared" si="18"/>
        <v/>
      </c>
      <c r="F160" s="330"/>
      <c r="I160">
        <f t="shared" si="19"/>
        <v>0</v>
      </c>
      <c r="J160" s="327">
        <f t="shared" si="20"/>
        <v>0</v>
      </c>
      <c r="K160" s="329">
        <f t="shared" ca="1" si="21"/>
        <v>39587</v>
      </c>
      <c r="L160">
        <f t="shared" ca="1" si="22"/>
        <v>39587</v>
      </c>
      <c r="M160" t="str">
        <f t="shared" ca="1" si="23"/>
        <v>FINISH</v>
      </c>
    </row>
    <row r="161" spans="1:13" x14ac:dyDescent="0.25">
      <c r="A161" t="str">
        <f t="shared" si="16"/>
        <v/>
      </c>
      <c r="B161" t="str">
        <f t="shared" si="17"/>
        <v/>
      </c>
      <c r="C161" t="str">
        <f t="shared" si="18"/>
        <v/>
      </c>
      <c r="F161" s="330"/>
      <c r="I161">
        <f t="shared" si="19"/>
        <v>0</v>
      </c>
      <c r="J161" s="327">
        <f t="shared" si="20"/>
        <v>0</v>
      </c>
      <c r="K161" s="329">
        <f t="shared" ca="1" si="21"/>
        <v>39587</v>
      </c>
      <c r="L161">
        <f t="shared" ca="1" si="22"/>
        <v>39587</v>
      </c>
      <c r="M161" t="str">
        <f t="shared" ca="1" si="23"/>
        <v>FINISH</v>
      </c>
    </row>
    <row r="162" spans="1:13" x14ac:dyDescent="0.25">
      <c r="A162" t="str">
        <f t="shared" si="16"/>
        <v/>
      </c>
      <c r="B162" t="str">
        <f t="shared" si="17"/>
        <v/>
      </c>
      <c r="C162" t="str">
        <f t="shared" si="18"/>
        <v/>
      </c>
      <c r="F162" s="330"/>
      <c r="I162">
        <f t="shared" si="19"/>
        <v>0</v>
      </c>
      <c r="J162" s="327">
        <f t="shared" si="20"/>
        <v>0</v>
      </c>
      <c r="K162" s="329">
        <f t="shared" ca="1" si="21"/>
        <v>39587</v>
      </c>
      <c r="L162">
        <f t="shared" ca="1" si="22"/>
        <v>39587</v>
      </c>
      <c r="M162" t="str">
        <f t="shared" ca="1" si="23"/>
        <v>FINISH</v>
      </c>
    </row>
    <row r="163" spans="1:13" x14ac:dyDescent="0.25">
      <c r="A163" t="str">
        <f t="shared" si="16"/>
        <v/>
      </c>
      <c r="B163" t="str">
        <f t="shared" si="17"/>
        <v/>
      </c>
      <c r="C163" t="str">
        <f t="shared" si="18"/>
        <v/>
      </c>
      <c r="F163" s="330"/>
      <c r="I163">
        <f t="shared" si="19"/>
        <v>0</v>
      </c>
      <c r="J163" s="327">
        <f t="shared" si="20"/>
        <v>0</v>
      </c>
      <c r="K163" s="329">
        <f t="shared" ca="1" si="21"/>
        <v>39587</v>
      </c>
      <c r="L163">
        <f t="shared" ca="1" si="22"/>
        <v>39587</v>
      </c>
      <c r="M163" t="str">
        <f t="shared" ca="1" si="23"/>
        <v>FINISH</v>
      </c>
    </row>
    <row r="164" spans="1:13" x14ac:dyDescent="0.25">
      <c r="A164" t="str">
        <f t="shared" si="16"/>
        <v/>
      </c>
      <c r="B164" t="str">
        <f t="shared" si="17"/>
        <v/>
      </c>
      <c r="C164" t="str">
        <f t="shared" si="18"/>
        <v/>
      </c>
      <c r="F164" s="330"/>
      <c r="I164">
        <f t="shared" si="19"/>
        <v>0</v>
      </c>
      <c r="J164" s="327">
        <f t="shared" si="20"/>
        <v>0</v>
      </c>
      <c r="K164" s="329">
        <f t="shared" ca="1" si="21"/>
        <v>39587</v>
      </c>
      <c r="L164">
        <f t="shared" ca="1" si="22"/>
        <v>39587</v>
      </c>
      <c r="M164" t="str">
        <f t="shared" ca="1" si="23"/>
        <v>FINISH</v>
      </c>
    </row>
    <row r="165" spans="1:13" x14ac:dyDescent="0.25">
      <c r="A165" t="str">
        <f t="shared" si="16"/>
        <v/>
      </c>
      <c r="B165" t="str">
        <f t="shared" si="17"/>
        <v/>
      </c>
      <c r="C165" t="str">
        <f t="shared" si="18"/>
        <v/>
      </c>
      <c r="F165" s="330"/>
      <c r="I165">
        <f t="shared" si="19"/>
        <v>0</v>
      </c>
      <c r="J165" s="327">
        <f t="shared" si="20"/>
        <v>0</v>
      </c>
      <c r="K165" s="329">
        <f t="shared" ca="1" si="21"/>
        <v>39587</v>
      </c>
      <c r="L165">
        <f t="shared" ca="1" si="22"/>
        <v>39587</v>
      </c>
      <c r="M165" t="str">
        <f t="shared" ca="1" si="23"/>
        <v>FINISH</v>
      </c>
    </row>
    <row r="166" spans="1:13" x14ac:dyDescent="0.25">
      <c r="A166" t="str">
        <f t="shared" si="16"/>
        <v/>
      </c>
      <c r="B166" t="str">
        <f t="shared" si="17"/>
        <v/>
      </c>
      <c r="C166" t="str">
        <f t="shared" si="18"/>
        <v/>
      </c>
      <c r="F166" s="330"/>
      <c r="I166">
        <f t="shared" si="19"/>
        <v>0</v>
      </c>
      <c r="J166" s="327">
        <f t="shared" si="20"/>
        <v>0</v>
      </c>
      <c r="K166" s="329">
        <f t="shared" ca="1" si="21"/>
        <v>39587</v>
      </c>
      <c r="L166">
        <f t="shared" ca="1" si="22"/>
        <v>39587</v>
      </c>
      <c r="M166" t="str">
        <f t="shared" ca="1" si="23"/>
        <v>FINISH</v>
      </c>
    </row>
    <row r="167" spans="1:13" x14ac:dyDescent="0.25">
      <c r="A167" t="str">
        <f t="shared" si="16"/>
        <v/>
      </c>
      <c r="B167" t="str">
        <f t="shared" si="17"/>
        <v/>
      </c>
      <c r="C167" t="str">
        <f t="shared" si="18"/>
        <v/>
      </c>
      <c r="F167" s="330"/>
      <c r="I167">
        <f t="shared" si="19"/>
        <v>0</v>
      </c>
      <c r="J167" s="327">
        <f t="shared" si="20"/>
        <v>0</v>
      </c>
      <c r="K167" s="329">
        <f t="shared" ca="1" si="21"/>
        <v>39587</v>
      </c>
      <c r="L167">
        <f t="shared" ca="1" si="22"/>
        <v>39587</v>
      </c>
      <c r="M167" t="str">
        <f t="shared" ca="1" si="23"/>
        <v>FINISH</v>
      </c>
    </row>
    <row r="168" spans="1:13" x14ac:dyDescent="0.25">
      <c r="A168" t="str">
        <f t="shared" si="16"/>
        <v/>
      </c>
      <c r="B168" t="str">
        <f t="shared" si="17"/>
        <v/>
      </c>
      <c r="C168" t="str">
        <f t="shared" si="18"/>
        <v/>
      </c>
      <c r="F168" s="330"/>
      <c r="I168">
        <f t="shared" si="19"/>
        <v>0</v>
      </c>
      <c r="J168" s="327">
        <f t="shared" si="20"/>
        <v>0</v>
      </c>
      <c r="K168" s="329">
        <f t="shared" ca="1" si="21"/>
        <v>39587</v>
      </c>
      <c r="L168">
        <f t="shared" ca="1" si="22"/>
        <v>39587</v>
      </c>
      <c r="M168" t="str">
        <f t="shared" ca="1" si="23"/>
        <v>FINISH</v>
      </c>
    </row>
    <row r="169" spans="1:13" x14ac:dyDescent="0.25">
      <c r="A169" t="str">
        <f t="shared" si="16"/>
        <v/>
      </c>
      <c r="B169" t="str">
        <f t="shared" si="17"/>
        <v/>
      </c>
      <c r="C169" t="str">
        <f t="shared" si="18"/>
        <v/>
      </c>
      <c r="F169" s="330"/>
      <c r="I169">
        <f t="shared" si="19"/>
        <v>0</v>
      </c>
      <c r="J169" s="327">
        <f t="shared" si="20"/>
        <v>0</v>
      </c>
      <c r="K169" s="329">
        <f t="shared" ca="1" si="21"/>
        <v>39587</v>
      </c>
      <c r="L169">
        <f t="shared" ca="1" si="22"/>
        <v>39587</v>
      </c>
      <c r="M169" t="str">
        <f t="shared" ca="1" si="23"/>
        <v>FINISH</v>
      </c>
    </row>
    <row r="170" spans="1:13" x14ac:dyDescent="0.25">
      <c r="A170" t="str">
        <f t="shared" si="16"/>
        <v/>
      </c>
      <c r="B170" t="str">
        <f t="shared" si="17"/>
        <v/>
      </c>
      <c r="C170" t="str">
        <f t="shared" si="18"/>
        <v/>
      </c>
      <c r="F170" s="330"/>
      <c r="I170">
        <f t="shared" si="19"/>
        <v>0</v>
      </c>
      <c r="J170" s="327">
        <f t="shared" si="20"/>
        <v>0</v>
      </c>
      <c r="K170" s="329">
        <f t="shared" ca="1" si="21"/>
        <v>39587</v>
      </c>
      <c r="L170">
        <f t="shared" ca="1" si="22"/>
        <v>39587</v>
      </c>
      <c r="M170" t="str">
        <f t="shared" ca="1" si="23"/>
        <v>FINISH</v>
      </c>
    </row>
    <row r="171" spans="1:13" x14ac:dyDescent="0.25">
      <c r="A171" t="str">
        <f t="shared" si="16"/>
        <v/>
      </c>
      <c r="B171" t="str">
        <f t="shared" si="17"/>
        <v/>
      </c>
      <c r="C171" t="str">
        <f t="shared" si="18"/>
        <v/>
      </c>
      <c r="F171" s="330"/>
      <c r="I171">
        <f t="shared" si="19"/>
        <v>0</v>
      </c>
      <c r="J171" s="327">
        <f t="shared" si="20"/>
        <v>0</v>
      </c>
      <c r="K171" s="329">
        <f t="shared" ca="1" si="21"/>
        <v>39587</v>
      </c>
      <c r="L171">
        <f t="shared" ca="1" si="22"/>
        <v>39587</v>
      </c>
      <c r="M171" t="str">
        <f t="shared" ca="1" si="23"/>
        <v>FINISH</v>
      </c>
    </row>
    <row r="172" spans="1:13" x14ac:dyDescent="0.25">
      <c r="A172" t="str">
        <f t="shared" si="16"/>
        <v/>
      </c>
      <c r="B172" t="str">
        <f t="shared" si="17"/>
        <v/>
      </c>
      <c r="C172" t="str">
        <f t="shared" si="18"/>
        <v/>
      </c>
      <c r="F172" s="330"/>
      <c r="I172">
        <f t="shared" si="19"/>
        <v>0</v>
      </c>
      <c r="J172" s="327">
        <f t="shared" si="20"/>
        <v>0</v>
      </c>
      <c r="K172" s="329">
        <f t="shared" ca="1" si="21"/>
        <v>39587</v>
      </c>
      <c r="L172">
        <f t="shared" ca="1" si="22"/>
        <v>39587</v>
      </c>
      <c r="M172" t="str">
        <f t="shared" ca="1" si="23"/>
        <v>FINISH</v>
      </c>
    </row>
    <row r="173" spans="1:13" x14ac:dyDescent="0.25">
      <c r="A173" t="str">
        <f t="shared" si="16"/>
        <v/>
      </c>
      <c r="B173" t="str">
        <f t="shared" si="17"/>
        <v/>
      </c>
      <c r="C173" t="str">
        <f t="shared" si="18"/>
        <v/>
      </c>
      <c r="F173" s="330"/>
      <c r="I173">
        <f t="shared" si="19"/>
        <v>0</v>
      </c>
      <c r="J173" s="327">
        <f t="shared" si="20"/>
        <v>0</v>
      </c>
      <c r="K173" s="329">
        <f t="shared" ca="1" si="21"/>
        <v>39587</v>
      </c>
      <c r="L173">
        <f t="shared" ca="1" si="22"/>
        <v>39587</v>
      </c>
      <c r="M173" t="str">
        <f t="shared" ca="1" si="23"/>
        <v>FINISH</v>
      </c>
    </row>
    <row r="174" spans="1:13" x14ac:dyDescent="0.25">
      <c r="A174" t="str">
        <f t="shared" si="16"/>
        <v/>
      </c>
      <c r="B174" t="str">
        <f t="shared" si="17"/>
        <v/>
      </c>
      <c r="C174" t="str">
        <f t="shared" si="18"/>
        <v/>
      </c>
      <c r="F174" s="330"/>
      <c r="I174">
        <f t="shared" si="19"/>
        <v>0</v>
      </c>
      <c r="J174" s="327">
        <f t="shared" si="20"/>
        <v>0</v>
      </c>
      <c r="K174" s="329">
        <f t="shared" ca="1" si="21"/>
        <v>39587</v>
      </c>
      <c r="L174">
        <f t="shared" ca="1" si="22"/>
        <v>39587</v>
      </c>
      <c r="M174" t="str">
        <f t="shared" ca="1" si="23"/>
        <v>FINISH</v>
      </c>
    </row>
    <row r="175" spans="1:13" x14ac:dyDescent="0.25">
      <c r="A175" t="str">
        <f t="shared" si="16"/>
        <v/>
      </c>
      <c r="B175" t="str">
        <f t="shared" si="17"/>
        <v/>
      </c>
      <c r="C175" t="str">
        <f t="shared" si="18"/>
        <v/>
      </c>
      <c r="F175" s="330"/>
      <c r="I175">
        <f t="shared" si="19"/>
        <v>0</v>
      </c>
      <c r="J175" s="327">
        <f t="shared" si="20"/>
        <v>0</v>
      </c>
      <c r="K175" s="329">
        <f t="shared" ca="1" si="21"/>
        <v>39587</v>
      </c>
      <c r="L175">
        <f t="shared" ca="1" si="22"/>
        <v>39587</v>
      </c>
      <c r="M175" t="str">
        <f t="shared" ca="1" si="23"/>
        <v>FINISH</v>
      </c>
    </row>
    <row r="176" spans="1:13" x14ac:dyDescent="0.25">
      <c r="A176" t="str">
        <f t="shared" si="16"/>
        <v/>
      </c>
      <c r="B176" t="str">
        <f t="shared" si="17"/>
        <v/>
      </c>
      <c r="C176" t="str">
        <f t="shared" si="18"/>
        <v/>
      </c>
      <c r="F176" s="330"/>
      <c r="I176">
        <f t="shared" si="19"/>
        <v>0</v>
      </c>
      <c r="J176" s="327">
        <f t="shared" si="20"/>
        <v>0</v>
      </c>
      <c r="K176" s="329">
        <f t="shared" ca="1" si="21"/>
        <v>39587</v>
      </c>
      <c r="L176">
        <f t="shared" ca="1" si="22"/>
        <v>39587</v>
      </c>
      <c r="M176" t="str">
        <f t="shared" ca="1" si="23"/>
        <v>FINISH</v>
      </c>
    </row>
    <row r="177" spans="1:13" x14ac:dyDescent="0.25">
      <c r="A177" t="str">
        <f t="shared" si="16"/>
        <v/>
      </c>
      <c r="B177" t="str">
        <f t="shared" si="17"/>
        <v/>
      </c>
      <c r="C177" t="str">
        <f t="shared" si="18"/>
        <v/>
      </c>
      <c r="F177" s="330"/>
      <c r="I177">
        <f t="shared" si="19"/>
        <v>0</v>
      </c>
      <c r="J177" s="327">
        <f t="shared" si="20"/>
        <v>0</v>
      </c>
      <c r="K177" s="329">
        <f t="shared" ca="1" si="21"/>
        <v>39587</v>
      </c>
      <c r="L177">
        <f t="shared" ca="1" si="22"/>
        <v>39587</v>
      </c>
      <c r="M177" t="str">
        <f t="shared" ca="1" si="23"/>
        <v>FINISH</v>
      </c>
    </row>
    <row r="178" spans="1:13" x14ac:dyDescent="0.25">
      <c r="A178" t="str">
        <f t="shared" si="16"/>
        <v/>
      </c>
      <c r="B178" t="str">
        <f t="shared" si="17"/>
        <v/>
      </c>
      <c r="C178" t="str">
        <f t="shared" si="18"/>
        <v/>
      </c>
      <c r="F178" s="330"/>
      <c r="I178">
        <f t="shared" si="19"/>
        <v>0</v>
      </c>
      <c r="J178" s="327">
        <f t="shared" si="20"/>
        <v>0</v>
      </c>
      <c r="K178" s="329">
        <f t="shared" ca="1" si="21"/>
        <v>39587</v>
      </c>
      <c r="L178">
        <f t="shared" ca="1" si="22"/>
        <v>39587</v>
      </c>
      <c r="M178" t="str">
        <f t="shared" ca="1" si="23"/>
        <v>FINISH</v>
      </c>
    </row>
    <row r="179" spans="1:13" x14ac:dyDescent="0.25">
      <c r="A179" t="str">
        <f t="shared" si="16"/>
        <v/>
      </c>
      <c r="B179" t="str">
        <f t="shared" si="17"/>
        <v/>
      </c>
      <c r="C179" t="str">
        <f t="shared" si="18"/>
        <v/>
      </c>
      <c r="F179" s="330"/>
      <c r="I179">
        <f t="shared" si="19"/>
        <v>0</v>
      </c>
      <c r="J179" s="327">
        <f t="shared" si="20"/>
        <v>0</v>
      </c>
      <c r="K179" s="329">
        <f t="shared" ca="1" si="21"/>
        <v>39587</v>
      </c>
      <c r="L179">
        <f t="shared" ca="1" si="22"/>
        <v>39587</v>
      </c>
      <c r="M179" t="str">
        <f t="shared" ca="1" si="23"/>
        <v>FINISH</v>
      </c>
    </row>
    <row r="180" spans="1:13" x14ac:dyDescent="0.25">
      <c r="A180" t="str">
        <f t="shared" si="16"/>
        <v/>
      </c>
      <c r="B180" t="str">
        <f t="shared" si="17"/>
        <v/>
      </c>
      <c r="C180" t="str">
        <f t="shared" si="18"/>
        <v/>
      </c>
      <c r="F180" s="330"/>
      <c r="I180">
        <f t="shared" si="19"/>
        <v>0</v>
      </c>
      <c r="J180" s="327">
        <f t="shared" si="20"/>
        <v>0</v>
      </c>
      <c r="K180" s="329">
        <f t="shared" ca="1" si="21"/>
        <v>39587</v>
      </c>
      <c r="L180">
        <f t="shared" ca="1" si="22"/>
        <v>39587</v>
      </c>
      <c r="M180" t="str">
        <f t="shared" ca="1" si="23"/>
        <v>FINISH</v>
      </c>
    </row>
    <row r="181" spans="1:13" x14ac:dyDescent="0.25">
      <c r="A181" t="str">
        <f t="shared" si="16"/>
        <v/>
      </c>
      <c r="B181" t="str">
        <f t="shared" si="17"/>
        <v/>
      </c>
      <c r="C181" t="str">
        <f t="shared" si="18"/>
        <v/>
      </c>
      <c r="F181" s="330"/>
      <c r="I181">
        <f t="shared" si="19"/>
        <v>0</v>
      </c>
      <c r="J181" s="327">
        <f t="shared" si="20"/>
        <v>0</v>
      </c>
      <c r="K181" s="329">
        <f t="shared" ca="1" si="21"/>
        <v>39587</v>
      </c>
      <c r="L181">
        <f t="shared" ca="1" si="22"/>
        <v>39587</v>
      </c>
      <c r="M181" t="str">
        <f t="shared" ca="1" si="23"/>
        <v>FINISH</v>
      </c>
    </row>
    <row r="182" spans="1:13" x14ac:dyDescent="0.25">
      <c r="A182" t="str">
        <f t="shared" si="16"/>
        <v/>
      </c>
      <c r="B182" t="str">
        <f t="shared" si="17"/>
        <v/>
      </c>
      <c r="C182" t="str">
        <f t="shared" si="18"/>
        <v/>
      </c>
      <c r="F182" s="330"/>
      <c r="I182">
        <f t="shared" si="19"/>
        <v>0</v>
      </c>
      <c r="J182" s="327">
        <f t="shared" si="20"/>
        <v>0</v>
      </c>
      <c r="K182" s="329">
        <f t="shared" ca="1" si="21"/>
        <v>39587</v>
      </c>
      <c r="L182">
        <f t="shared" ca="1" si="22"/>
        <v>39587</v>
      </c>
      <c r="M182" t="str">
        <f t="shared" ca="1" si="23"/>
        <v>FINISH</v>
      </c>
    </row>
    <row r="183" spans="1:13" x14ac:dyDescent="0.25">
      <c r="A183" t="str">
        <f t="shared" ref="A183:A196" si="24">LEFT(D183,3)</f>
        <v/>
      </c>
      <c r="B183" t="str">
        <f t="shared" si="17"/>
        <v/>
      </c>
      <c r="C183" t="str">
        <f t="shared" si="18"/>
        <v/>
      </c>
      <c r="F183" s="330"/>
      <c r="I183">
        <f t="shared" si="19"/>
        <v>0</v>
      </c>
      <c r="J183" s="327">
        <f t="shared" si="20"/>
        <v>0</v>
      </c>
      <c r="K183" s="329">
        <f t="shared" ca="1" si="21"/>
        <v>39587</v>
      </c>
      <c r="L183">
        <f t="shared" ca="1" si="22"/>
        <v>39587</v>
      </c>
      <c r="M183" t="str">
        <f t="shared" ca="1" si="23"/>
        <v>FINISH</v>
      </c>
    </row>
    <row r="184" spans="1:13" x14ac:dyDescent="0.25">
      <c r="A184" t="str">
        <f t="shared" si="24"/>
        <v/>
      </c>
      <c r="B184" t="str">
        <f t="shared" si="17"/>
        <v/>
      </c>
      <c r="C184" t="str">
        <f t="shared" si="18"/>
        <v/>
      </c>
      <c r="F184" s="330"/>
      <c r="I184">
        <f t="shared" si="19"/>
        <v>0</v>
      </c>
      <c r="J184" s="327">
        <f t="shared" si="20"/>
        <v>0</v>
      </c>
      <c r="K184" s="329">
        <f t="shared" ca="1" si="21"/>
        <v>39587</v>
      </c>
      <c r="L184">
        <f t="shared" ca="1" si="22"/>
        <v>39587</v>
      </c>
      <c r="M184" t="str">
        <f t="shared" ca="1" si="23"/>
        <v>FINISH</v>
      </c>
    </row>
    <row r="185" spans="1:13" x14ac:dyDescent="0.25">
      <c r="A185" t="str">
        <f t="shared" si="24"/>
        <v/>
      </c>
      <c r="B185" t="str">
        <f t="shared" si="17"/>
        <v/>
      </c>
      <c r="C185" t="str">
        <f t="shared" si="18"/>
        <v/>
      </c>
      <c r="F185" s="330"/>
      <c r="I185">
        <f t="shared" si="19"/>
        <v>0</v>
      </c>
      <c r="J185" s="327">
        <f t="shared" si="20"/>
        <v>0</v>
      </c>
      <c r="K185" s="329">
        <f t="shared" ca="1" si="21"/>
        <v>39587</v>
      </c>
      <c r="L185">
        <f t="shared" ca="1" si="22"/>
        <v>39587</v>
      </c>
      <c r="M185" t="str">
        <f t="shared" ca="1" si="23"/>
        <v>FINISH</v>
      </c>
    </row>
    <row r="186" spans="1:13" x14ac:dyDescent="0.25">
      <c r="A186" t="str">
        <f t="shared" si="24"/>
        <v/>
      </c>
      <c r="B186" t="str">
        <f t="shared" si="17"/>
        <v/>
      </c>
      <c r="C186" t="str">
        <f t="shared" si="18"/>
        <v/>
      </c>
      <c r="F186" s="330"/>
      <c r="I186">
        <f t="shared" si="19"/>
        <v>0</v>
      </c>
      <c r="J186" s="327">
        <f t="shared" si="20"/>
        <v>0</v>
      </c>
      <c r="K186" s="329">
        <f t="shared" ca="1" si="21"/>
        <v>39587</v>
      </c>
      <c r="L186">
        <f t="shared" ca="1" si="22"/>
        <v>39587</v>
      </c>
      <c r="M186" t="str">
        <f t="shared" ca="1" si="23"/>
        <v>FINISH</v>
      </c>
    </row>
    <row r="187" spans="1:13" x14ac:dyDescent="0.25">
      <c r="A187" t="str">
        <f t="shared" si="24"/>
        <v/>
      </c>
      <c r="B187" t="str">
        <f t="shared" si="17"/>
        <v/>
      </c>
      <c r="C187" t="str">
        <f t="shared" si="18"/>
        <v/>
      </c>
      <c r="F187" s="330"/>
      <c r="I187">
        <f t="shared" si="19"/>
        <v>0</v>
      </c>
      <c r="J187" s="327">
        <f t="shared" si="20"/>
        <v>0</v>
      </c>
      <c r="K187" s="329">
        <f t="shared" ca="1" si="21"/>
        <v>39587</v>
      </c>
      <c r="L187">
        <f t="shared" ca="1" si="22"/>
        <v>39587</v>
      </c>
      <c r="M187" t="str">
        <f t="shared" ca="1" si="23"/>
        <v>FINISH</v>
      </c>
    </row>
    <row r="188" spans="1:13" x14ac:dyDescent="0.25">
      <c r="A188" t="str">
        <f t="shared" si="24"/>
        <v/>
      </c>
      <c r="B188" t="str">
        <f t="shared" si="17"/>
        <v/>
      </c>
      <c r="C188" t="str">
        <f t="shared" si="18"/>
        <v/>
      </c>
      <c r="F188" s="330"/>
      <c r="I188">
        <f t="shared" si="19"/>
        <v>0</v>
      </c>
      <c r="J188" s="327">
        <f t="shared" si="20"/>
        <v>0</v>
      </c>
      <c r="K188" s="329">
        <f t="shared" ca="1" si="21"/>
        <v>39587</v>
      </c>
      <c r="L188">
        <f t="shared" ca="1" si="22"/>
        <v>39587</v>
      </c>
      <c r="M188" t="str">
        <f t="shared" ca="1" si="23"/>
        <v>FINISH</v>
      </c>
    </row>
    <row r="189" spans="1:13" x14ac:dyDescent="0.25">
      <c r="A189" t="str">
        <f t="shared" si="24"/>
        <v/>
      </c>
      <c r="B189" t="str">
        <f t="shared" si="17"/>
        <v/>
      </c>
      <c r="C189" t="str">
        <f t="shared" si="18"/>
        <v/>
      </c>
      <c r="F189" s="330"/>
      <c r="I189">
        <f t="shared" si="19"/>
        <v>0</v>
      </c>
      <c r="J189" s="327">
        <f t="shared" si="20"/>
        <v>0</v>
      </c>
      <c r="K189" s="329">
        <f t="shared" ca="1" si="21"/>
        <v>39587</v>
      </c>
      <c r="L189">
        <f t="shared" ca="1" si="22"/>
        <v>39587</v>
      </c>
      <c r="M189" t="str">
        <f t="shared" ca="1" si="23"/>
        <v>FINISH</v>
      </c>
    </row>
    <row r="190" spans="1:13" x14ac:dyDescent="0.25">
      <c r="A190" t="str">
        <f t="shared" si="24"/>
        <v/>
      </c>
      <c r="B190" t="str">
        <f t="shared" si="17"/>
        <v/>
      </c>
      <c r="C190" t="str">
        <f t="shared" si="18"/>
        <v/>
      </c>
      <c r="F190" s="330"/>
      <c r="I190">
        <f t="shared" si="19"/>
        <v>0</v>
      </c>
      <c r="J190" s="327">
        <f t="shared" si="20"/>
        <v>0</v>
      </c>
      <c r="K190" s="329">
        <f t="shared" ca="1" si="21"/>
        <v>39587</v>
      </c>
      <c r="L190">
        <f t="shared" ca="1" si="22"/>
        <v>39587</v>
      </c>
      <c r="M190" t="str">
        <f t="shared" ca="1" si="23"/>
        <v>FINISH</v>
      </c>
    </row>
    <row r="191" spans="1:13" x14ac:dyDescent="0.25">
      <c r="A191" t="str">
        <f t="shared" si="24"/>
        <v/>
      </c>
      <c r="B191" t="str">
        <f t="shared" si="17"/>
        <v/>
      </c>
      <c r="C191" t="str">
        <f t="shared" si="18"/>
        <v/>
      </c>
      <c r="F191" s="330"/>
      <c r="I191">
        <f t="shared" si="19"/>
        <v>0</v>
      </c>
      <c r="J191" s="327">
        <f t="shared" si="20"/>
        <v>0</v>
      </c>
      <c r="K191" s="329">
        <f t="shared" ca="1" si="21"/>
        <v>39587</v>
      </c>
      <c r="L191">
        <f t="shared" ca="1" si="22"/>
        <v>39587</v>
      </c>
      <c r="M191" t="str">
        <f t="shared" ca="1" si="23"/>
        <v>FINISH</v>
      </c>
    </row>
    <row r="192" spans="1:13" x14ac:dyDescent="0.25">
      <c r="A192" t="str">
        <f t="shared" si="24"/>
        <v/>
      </c>
      <c r="B192" t="str">
        <f t="shared" si="17"/>
        <v/>
      </c>
      <c r="C192" t="str">
        <f t="shared" si="18"/>
        <v/>
      </c>
      <c r="F192" s="330"/>
      <c r="I192">
        <f t="shared" si="19"/>
        <v>0</v>
      </c>
      <c r="J192" s="327">
        <f t="shared" si="20"/>
        <v>0</v>
      </c>
      <c r="K192" s="329">
        <f t="shared" ca="1" si="21"/>
        <v>39587</v>
      </c>
      <c r="L192">
        <f t="shared" ca="1" si="22"/>
        <v>39587</v>
      </c>
      <c r="M192" t="str">
        <f t="shared" ca="1" si="23"/>
        <v>FINISH</v>
      </c>
    </row>
    <row r="193" spans="1:13" x14ac:dyDescent="0.25">
      <c r="A193" t="str">
        <f t="shared" si="24"/>
        <v/>
      </c>
      <c r="B193" t="str">
        <f t="shared" si="17"/>
        <v/>
      </c>
      <c r="C193" t="str">
        <f t="shared" si="18"/>
        <v/>
      </c>
      <c r="F193" s="330"/>
      <c r="I193">
        <f t="shared" si="19"/>
        <v>0</v>
      </c>
      <c r="J193" s="327">
        <f t="shared" si="20"/>
        <v>0</v>
      </c>
      <c r="K193" s="329">
        <f t="shared" ca="1" si="21"/>
        <v>39587</v>
      </c>
      <c r="L193">
        <f t="shared" ca="1" si="22"/>
        <v>39587</v>
      </c>
      <c r="M193" t="str">
        <f t="shared" ca="1" si="23"/>
        <v>FINISH</v>
      </c>
    </row>
    <row r="194" spans="1:13" x14ac:dyDescent="0.25">
      <c r="A194" t="str">
        <f t="shared" si="24"/>
        <v/>
      </c>
      <c r="B194" t="str">
        <f t="shared" si="17"/>
        <v/>
      </c>
      <c r="C194" t="str">
        <f t="shared" si="18"/>
        <v/>
      </c>
      <c r="F194" s="330"/>
      <c r="I194">
        <f t="shared" si="19"/>
        <v>0</v>
      </c>
      <c r="J194" s="327">
        <f t="shared" si="20"/>
        <v>0</v>
      </c>
      <c r="K194" s="329">
        <f t="shared" ca="1" si="21"/>
        <v>39587</v>
      </c>
      <c r="L194">
        <f t="shared" ca="1" si="22"/>
        <v>39587</v>
      </c>
      <c r="M194" t="str">
        <f t="shared" ca="1" si="23"/>
        <v>FINISH</v>
      </c>
    </row>
    <row r="195" spans="1:13" x14ac:dyDescent="0.25">
      <c r="A195" t="str">
        <f t="shared" si="24"/>
        <v/>
      </c>
      <c r="B195" t="str">
        <f t="shared" si="17"/>
        <v/>
      </c>
      <c r="C195" t="str">
        <f t="shared" si="18"/>
        <v/>
      </c>
      <c r="F195" s="330"/>
      <c r="I195">
        <f t="shared" si="19"/>
        <v>0</v>
      </c>
      <c r="J195" s="327">
        <f t="shared" si="20"/>
        <v>0</v>
      </c>
      <c r="K195" s="329">
        <f t="shared" ca="1" si="21"/>
        <v>39587</v>
      </c>
      <c r="L195">
        <f t="shared" ca="1" si="22"/>
        <v>39587</v>
      </c>
      <c r="M195" t="str">
        <f t="shared" ca="1" si="23"/>
        <v>FINISH</v>
      </c>
    </row>
    <row r="196" spans="1:13" x14ac:dyDescent="0.25">
      <c r="A196" t="str">
        <f t="shared" si="24"/>
        <v/>
      </c>
      <c r="B196" t="str">
        <f t="shared" si="17"/>
        <v/>
      </c>
      <c r="C196" t="str">
        <f t="shared" si="18"/>
        <v/>
      </c>
      <c r="F196" s="330"/>
      <c r="I196">
        <f t="shared" si="19"/>
        <v>0</v>
      </c>
      <c r="J196" s="327">
        <f t="shared" si="20"/>
        <v>0</v>
      </c>
      <c r="K196" s="329">
        <f t="shared" ca="1" si="21"/>
        <v>39587</v>
      </c>
      <c r="L196">
        <f t="shared" ca="1" si="22"/>
        <v>39587</v>
      </c>
      <c r="M196" t="str">
        <f t="shared" ca="1" si="23"/>
        <v>FINISH</v>
      </c>
    </row>
    <row r="197" spans="1:13" x14ac:dyDescent="0.25">
      <c r="A197" t="str">
        <f t="shared" ref="A197:A228" si="25">LEFT(D197,3)</f>
        <v/>
      </c>
      <c r="B197" t="str">
        <f t="shared" ref="B197:B235" si="26">IF(C197="DW",$I$1,IF(C197="DE",$I$1,IF(C197="XCN",$I$1,IF(C197="XCS",$I$1,IF(C197="RAISE",$J$1,IF(C197="SHAFT",$L$1,IF(C197="WINZE",$K$1,IF(C197="STOPE",$M$1,""))))))))</f>
        <v/>
      </c>
      <c r="C197" t="str">
        <f t="shared" ref="C197:C235" si="27">IFERROR((TRIM(MID(SUBSTITUTE($D197,"_",REPT(" ",LEN($D197))),($B$1-1)*LEN($D197)+1,LEN($D197)))),"")</f>
        <v/>
      </c>
      <c r="F197" s="330"/>
      <c r="I197">
        <f t="shared" ref="I197:I235" si="28">IF(H197=$E$1,$E$2,IF(H197=$F$1,$F$2,IF(H197=$G$1,$G$2,IF(H197=$H$1,$H$2,0))))</f>
        <v>0</v>
      </c>
      <c r="J197" s="327">
        <f t="shared" ref="J197:J218" si="29">WORKDAY.INTL(G197,I197,11)</f>
        <v>0</v>
      </c>
      <c r="K197" s="329">
        <f t="shared" ref="K197:K218" ca="1" si="30">IF(F197&lt;G197,NETWORKDAYS.INTL(F197,$A$1,11),NETWORKDAYS.INTL(G197,$A$1,11))</f>
        <v>39587</v>
      </c>
      <c r="L197">
        <f t="shared" ref="L197:L218" ca="1" si="31">NETWORKDAYS.INTL(J197,$A$1,11)</f>
        <v>39587</v>
      </c>
      <c r="M197" t="str">
        <f t="shared" ref="M197:M235" ca="1" si="32">IF(L197&gt;=I197,"FINISH",0)</f>
        <v>FINISH</v>
      </c>
    </row>
    <row r="198" spans="1:13" x14ac:dyDescent="0.25">
      <c r="A198" t="str">
        <f t="shared" si="25"/>
        <v/>
      </c>
      <c r="B198" t="str">
        <f t="shared" si="26"/>
        <v/>
      </c>
      <c r="C198" t="str">
        <f t="shared" si="27"/>
        <v/>
      </c>
      <c r="I198">
        <f t="shared" si="28"/>
        <v>0</v>
      </c>
      <c r="J198" s="327">
        <f t="shared" si="29"/>
        <v>0</v>
      </c>
      <c r="K198" s="329">
        <f t="shared" ca="1" si="30"/>
        <v>39587</v>
      </c>
      <c r="L198">
        <f t="shared" ca="1" si="31"/>
        <v>39587</v>
      </c>
      <c r="M198" t="str">
        <f t="shared" ca="1" si="32"/>
        <v>FINISH</v>
      </c>
    </row>
    <row r="199" spans="1:13" x14ac:dyDescent="0.25">
      <c r="A199" t="str">
        <f t="shared" si="25"/>
        <v/>
      </c>
      <c r="B199" t="str">
        <f t="shared" si="26"/>
        <v/>
      </c>
      <c r="C199" t="str">
        <f t="shared" si="27"/>
        <v/>
      </c>
      <c r="I199">
        <f t="shared" si="28"/>
        <v>0</v>
      </c>
      <c r="J199" s="327">
        <f t="shared" si="29"/>
        <v>0</v>
      </c>
      <c r="K199" s="329">
        <f t="shared" ca="1" si="30"/>
        <v>39587</v>
      </c>
      <c r="L199">
        <f t="shared" ca="1" si="31"/>
        <v>39587</v>
      </c>
      <c r="M199" t="str">
        <f t="shared" ca="1" si="32"/>
        <v>FINISH</v>
      </c>
    </row>
    <row r="200" spans="1:13" x14ac:dyDescent="0.25">
      <c r="A200" t="str">
        <f t="shared" si="25"/>
        <v/>
      </c>
      <c r="B200" t="str">
        <f t="shared" si="26"/>
        <v/>
      </c>
      <c r="C200" t="str">
        <f t="shared" si="27"/>
        <v/>
      </c>
      <c r="I200">
        <f t="shared" si="28"/>
        <v>0</v>
      </c>
      <c r="J200" s="327">
        <f t="shared" si="29"/>
        <v>0</v>
      </c>
      <c r="K200" s="329">
        <f t="shared" ca="1" si="30"/>
        <v>39587</v>
      </c>
      <c r="L200">
        <f t="shared" ca="1" si="31"/>
        <v>39587</v>
      </c>
      <c r="M200" t="str">
        <f t="shared" ca="1" si="32"/>
        <v>FINISH</v>
      </c>
    </row>
    <row r="201" spans="1:13" x14ac:dyDescent="0.25">
      <c r="A201" t="str">
        <f t="shared" si="25"/>
        <v/>
      </c>
      <c r="B201" t="str">
        <f t="shared" si="26"/>
        <v/>
      </c>
      <c r="C201" t="str">
        <f t="shared" si="27"/>
        <v/>
      </c>
      <c r="I201">
        <f t="shared" si="28"/>
        <v>0</v>
      </c>
      <c r="J201" s="327">
        <f t="shared" si="29"/>
        <v>0</v>
      </c>
      <c r="K201" s="329">
        <f t="shared" ca="1" si="30"/>
        <v>39587</v>
      </c>
      <c r="L201">
        <f t="shared" ca="1" si="31"/>
        <v>39587</v>
      </c>
      <c r="M201" t="str">
        <f t="shared" ca="1" si="32"/>
        <v>FINISH</v>
      </c>
    </row>
    <row r="202" spans="1:13" x14ac:dyDescent="0.25">
      <c r="A202" t="str">
        <f t="shared" si="25"/>
        <v/>
      </c>
      <c r="B202" t="str">
        <f t="shared" si="26"/>
        <v/>
      </c>
      <c r="C202" t="str">
        <f t="shared" si="27"/>
        <v/>
      </c>
      <c r="I202">
        <f t="shared" si="28"/>
        <v>0</v>
      </c>
      <c r="J202" s="327">
        <f t="shared" si="29"/>
        <v>0</v>
      </c>
      <c r="K202" s="329">
        <f t="shared" ca="1" si="30"/>
        <v>39587</v>
      </c>
      <c r="L202">
        <f t="shared" ca="1" si="31"/>
        <v>39587</v>
      </c>
      <c r="M202" t="str">
        <f t="shared" ca="1" si="32"/>
        <v>FINISH</v>
      </c>
    </row>
    <row r="203" spans="1:13" x14ac:dyDescent="0.25">
      <c r="A203" t="str">
        <f t="shared" si="25"/>
        <v/>
      </c>
      <c r="B203" t="str">
        <f t="shared" si="26"/>
        <v/>
      </c>
      <c r="C203" t="str">
        <f t="shared" si="27"/>
        <v/>
      </c>
      <c r="I203">
        <f t="shared" si="28"/>
        <v>0</v>
      </c>
      <c r="J203" s="327">
        <f t="shared" si="29"/>
        <v>0</v>
      </c>
      <c r="K203" s="329">
        <f t="shared" ca="1" si="30"/>
        <v>39587</v>
      </c>
      <c r="L203">
        <f t="shared" ca="1" si="31"/>
        <v>39587</v>
      </c>
      <c r="M203" t="str">
        <f t="shared" ca="1" si="32"/>
        <v>FINISH</v>
      </c>
    </row>
    <row r="204" spans="1:13" x14ac:dyDescent="0.25">
      <c r="A204" t="str">
        <f t="shared" si="25"/>
        <v/>
      </c>
      <c r="B204" t="str">
        <f t="shared" si="26"/>
        <v/>
      </c>
      <c r="C204" t="str">
        <f t="shared" si="27"/>
        <v/>
      </c>
      <c r="I204">
        <f t="shared" si="28"/>
        <v>0</v>
      </c>
      <c r="J204" s="327">
        <f t="shared" si="29"/>
        <v>0</v>
      </c>
      <c r="K204" s="329">
        <f t="shared" ca="1" si="30"/>
        <v>39587</v>
      </c>
      <c r="L204">
        <f t="shared" ca="1" si="31"/>
        <v>39587</v>
      </c>
      <c r="M204" t="str">
        <f t="shared" ca="1" si="32"/>
        <v>FINISH</v>
      </c>
    </row>
    <row r="205" spans="1:13" x14ac:dyDescent="0.25">
      <c r="A205" t="str">
        <f t="shared" si="25"/>
        <v/>
      </c>
      <c r="B205" t="str">
        <f t="shared" si="26"/>
        <v/>
      </c>
      <c r="C205" t="str">
        <f t="shared" si="27"/>
        <v/>
      </c>
      <c r="I205">
        <f t="shared" si="28"/>
        <v>0</v>
      </c>
      <c r="J205" s="327">
        <f t="shared" si="29"/>
        <v>0</v>
      </c>
      <c r="K205" s="329">
        <f t="shared" ca="1" si="30"/>
        <v>39587</v>
      </c>
      <c r="L205">
        <f t="shared" ca="1" si="31"/>
        <v>39587</v>
      </c>
      <c r="M205" t="str">
        <f t="shared" ca="1" si="32"/>
        <v>FINISH</v>
      </c>
    </row>
    <row r="206" spans="1:13" x14ac:dyDescent="0.25">
      <c r="A206" t="str">
        <f t="shared" si="25"/>
        <v/>
      </c>
      <c r="B206" t="str">
        <f t="shared" si="26"/>
        <v/>
      </c>
      <c r="C206" t="str">
        <f t="shared" si="27"/>
        <v/>
      </c>
      <c r="I206">
        <f t="shared" si="28"/>
        <v>0</v>
      </c>
      <c r="J206" s="327">
        <f t="shared" si="29"/>
        <v>0</v>
      </c>
      <c r="K206" s="329">
        <f t="shared" ca="1" si="30"/>
        <v>39587</v>
      </c>
      <c r="L206">
        <f t="shared" ca="1" si="31"/>
        <v>39587</v>
      </c>
      <c r="M206" t="str">
        <f t="shared" ca="1" si="32"/>
        <v>FINISH</v>
      </c>
    </row>
    <row r="207" spans="1:13" x14ac:dyDescent="0.25">
      <c r="A207" t="str">
        <f t="shared" si="25"/>
        <v/>
      </c>
      <c r="B207" t="str">
        <f t="shared" si="26"/>
        <v/>
      </c>
      <c r="C207" t="str">
        <f t="shared" si="27"/>
        <v/>
      </c>
      <c r="I207">
        <f t="shared" si="28"/>
        <v>0</v>
      </c>
      <c r="J207" s="327">
        <f t="shared" si="29"/>
        <v>0</v>
      </c>
      <c r="K207" s="329">
        <f t="shared" ca="1" si="30"/>
        <v>39587</v>
      </c>
      <c r="L207">
        <f t="shared" ca="1" si="31"/>
        <v>39587</v>
      </c>
      <c r="M207" t="str">
        <f t="shared" ca="1" si="32"/>
        <v>FINISH</v>
      </c>
    </row>
    <row r="208" spans="1:13" x14ac:dyDescent="0.25">
      <c r="A208" t="str">
        <f t="shared" si="25"/>
        <v/>
      </c>
      <c r="B208" t="str">
        <f t="shared" si="26"/>
        <v/>
      </c>
      <c r="C208" t="str">
        <f t="shared" si="27"/>
        <v/>
      </c>
      <c r="I208">
        <f t="shared" si="28"/>
        <v>0</v>
      </c>
      <c r="J208" s="327">
        <f t="shared" si="29"/>
        <v>0</v>
      </c>
      <c r="K208" s="329">
        <f t="shared" ca="1" si="30"/>
        <v>39587</v>
      </c>
      <c r="L208">
        <f t="shared" ca="1" si="31"/>
        <v>39587</v>
      </c>
      <c r="M208" t="str">
        <f t="shared" ca="1" si="32"/>
        <v>FINISH</v>
      </c>
    </row>
    <row r="209" spans="1:13" x14ac:dyDescent="0.25">
      <c r="A209" t="str">
        <f t="shared" si="25"/>
        <v/>
      </c>
      <c r="B209" t="str">
        <f t="shared" si="26"/>
        <v/>
      </c>
      <c r="C209" t="str">
        <f t="shared" si="27"/>
        <v/>
      </c>
      <c r="I209">
        <f t="shared" si="28"/>
        <v>0</v>
      </c>
      <c r="J209" s="327">
        <f t="shared" si="29"/>
        <v>0</v>
      </c>
      <c r="K209" s="329">
        <f t="shared" ca="1" si="30"/>
        <v>39587</v>
      </c>
      <c r="L209">
        <f t="shared" ca="1" si="31"/>
        <v>39587</v>
      </c>
      <c r="M209" t="str">
        <f t="shared" ca="1" si="32"/>
        <v>FINISH</v>
      </c>
    </row>
    <row r="210" spans="1:13" x14ac:dyDescent="0.25">
      <c r="A210" t="str">
        <f t="shared" si="25"/>
        <v/>
      </c>
      <c r="B210" t="str">
        <f t="shared" si="26"/>
        <v/>
      </c>
      <c r="C210" t="str">
        <f t="shared" si="27"/>
        <v/>
      </c>
      <c r="I210">
        <f t="shared" si="28"/>
        <v>0</v>
      </c>
      <c r="J210" s="327">
        <f t="shared" si="29"/>
        <v>0</v>
      </c>
      <c r="K210" s="329">
        <f t="shared" ca="1" si="30"/>
        <v>39587</v>
      </c>
      <c r="L210">
        <f t="shared" ca="1" si="31"/>
        <v>39587</v>
      </c>
      <c r="M210" t="str">
        <f t="shared" ca="1" si="32"/>
        <v>FINISH</v>
      </c>
    </row>
    <row r="211" spans="1:13" x14ac:dyDescent="0.25">
      <c r="A211" t="str">
        <f t="shared" si="25"/>
        <v/>
      </c>
      <c r="B211" t="str">
        <f t="shared" si="26"/>
        <v/>
      </c>
      <c r="C211" t="str">
        <f t="shared" si="27"/>
        <v/>
      </c>
      <c r="I211">
        <f t="shared" si="28"/>
        <v>0</v>
      </c>
      <c r="J211" s="327">
        <f t="shared" si="29"/>
        <v>0</v>
      </c>
      <c r="K211" s="329">
        <f t="shared" ca="1" si="30"/>
        <v>39587</v>
      </c>
      <c r="L211">
        <f t="shared" ca="1" si="31"/>
        <v>39587</v>
      </c>
      <c r="M211" t="str">
        <f t="shared" ca="1" si="32"/>
        <v>FINISH</v>
      </c>
    </row>
    <row r="212" spans="1:13" x14ac:dyDescent="0.25">
      <c r="A212" t="str">
        <f t="shared" si="25"/>
        <v/>
      </c>
      <c r="B212" t="str">
        <f t="shared" si="26"/>
        <v/>
      </c>
      <c r="C212" t="str">
        <f t="shared" si="27"/>
        <v/>
      </c>
      <c r="I212">
        <f t="shared" si="28"/>
        <v>0</v>
      </c>
      <c r="J212" s="327">
        <f t="shared" si="29"/>
        <v>0</v>
      </c>
      <c r="K212" s="329">
        <f t="shared" ca="1" si="30"/>
        <v>39587</v>
      </c>
      <c r="L212">
        <f t="shared" ca="1" si="31"/>
        <v>39587</v>
      </c>
      <c r="M212" t="str">
        <f t="shared" ca="1" si="32"/>
        <v>FINISH</v>
      </c>
    </row>
    <row r="213" spans="1:13" x14ac:dyDescent="0.25">
      <c r="A213" t="str">
        <f t="shared" si="25"/>
        <v/>
      </c>
      <c r="B213" t="str">
        <f t="shared" si="26"/>
        <v/>
      </c>
      <c r="C213" t="str">
        <f t="shared" si="27"/>
        <v/>
      </c>
      <c r="I213">
        <f t="shared" si="28"/>
        <v>0</v>
      </c>
      <c r="J213" s="327">
        <f t="shared" si="29"/>
        <v>0</v>
      </c>
      <c r="K213" s="329">
        <f t="shared" ca="1" si="30"/>
        <v>39587</v>
      </c>
      <c r="L213">
        <f t="shared" ca="1" si="31"/>
        <v>39587</v>
      </c>
      <c r="M213" t="str">
        <f t="shared" ca="1" si="32"/>
        <v>FINISH</v>
      </c>
    </row>
    <row r="214" spans="1:13" x14ac:dyDescent="0.25">
      <c r="A214" t="str">
        <f t="shared" si="25"/>
        <v/>
      </c>
      <c r="B214" t="str">
        <f t="shared" si="26"/>
        <v/>
      </c>
      <c r="C214" t="str">
        <f t="shared" si="27"/>
        <v/>
      </c>
      <c r="I214">
        <f t="shared" si="28"/>
        <v>0</v>
      </c>
      <c r="J214" s="327">
        <f t="shared" si="29"/>
        <v>0</v>
      </c>
      <c r="K214" s="329">
        <f t="shared" ca="1" si="30"/>
        <v>39587</v>
      </c>
      <c r="L214">
        <f t="shared" ca="1" si="31"/>
        <v>39587</v>
      </c>
      <c r="M214" t="str">
        <f t="shared" ca="1" si="32"/>
        <v>FINISH</v>
      </c>
    </row>
    <row r="215" spans="1:13" x14ac:dyDescent="0.25">
      <c r="A215" t="str">
        <f t="shared" si="25"/>
        <v/>
      </c>
      <c r="B215" t="str">
        <f t="shared" si="26"/>
        <v/>
      </c>
      <c r="C215" t="str">
        <f t="shared" si="27"/>
        <v/>
      </c>
      <c r="I215">
        <f t="shared" si="28"/>
        <v>0</v>
      </c>
      <c r="J215" s="327">
        <f t="shared" si="29"/>
        <v>0</v>
      </c>
      <c r="K215" s="329">
        <f t="shared" ca="1" si="30"/>
        <v>39587</v>
      </c>
      <c r="L215">
        <f t="shared" ca="1" si="31"/>
        <v>39587</v>
      </c>
      <c r="M215" t="str">
        <f t="shared" ca="1" si="32"/>
        <v>FINISH</v>
      </c>
    </row>
    <row r="216" spans="1:13" x14ac:dyDescent="0.25">
      <c r="A216" t="str">
        <f t="shared" si="25"/>
        <v/>
      </c>
      <c r="B216" t="str">
        <f t="shared" si="26"/>
        <v/>
      </c>
      <c r="C216" t="str">
        <f t="shared" si="27"/>
        <v/>
      </c>
      <c r="I216">
        <f t="shared" si="28"/>
        <v>0</v>
      </c>
      <c r="J216" s="327">
        <f t="shared" si="29"/>
        <v>0</v>
      </c>
      <c r="K216" s="329">
        <f t="shared" ca="1" si="30"/>
        <v>39587</v>
      </c>
      <c r="L216">
        <f t="shared" ca="1" si="31"/>
        <v>39587</v>
      </c>
      <c r="M216" t="str">
        <f t="shared" ca="1" si="32"/>
        <v>FINISH</v>
      </c>
    </row>
    <row r="217" spans="1:13" x14ac:dyDescent="0.25">
      <c r="A217" t="str">
        <f t="shared" si="25"/>
        <v/>
      </c>
      <c r="B217" t="str">
        <f t="shared" si="26"/>
        <v/>
      </c>
      <c r="C217" t="str">
        <f t="shared" si="27"/>
        <v/>
      </c>
      <c r="I217">
        <f t="shared" si="28"/>
        <v>0</v>
      </c>
      <c r="J217" s="327">
        <f t="shared" si="29"/>
        <v>0</v>
      </c>
      <c r="K217" s="329">
        <f t="shared" ca="1" si="30"/>
        <v>39587</v>
      </c>
      <c r="L217">
        <f t="shared" ca="1" si="31"/>
        <v>39587</v>
      </c>
      <c r="M217" t="str">
        <f t="shared" ca="1" si="32"/>
        <v>FINISH</v>
      </c>
    </row>
    <row r="218" spans="1:13" x14ac:dyDescent="0.25">
      <c r="A218" t="str">
        <f t="shared" si="25"/>
        <v/>
      </c>
      <c r="B218" t="str">
        <f t="shared" si="26"/>
        <v/>
      </c>
      <c r="C218" t="str">
        <f t="shared" si="27"/>
        <v/>
      </c>
      <c r="I218">
        <f t="shared" si="28"/>
        <v>0</v>
      </c>
      <c r="J218" s="327">
        <f t="shared" si="29"/>
        <v>0</v>
      </c>
      <c r="K218" s="329">
        <f t="shared" ca="1" si="30"/>
        <v>39587</v>
      </c>
      <c r="L218">
        <f t="shared" ca="1" si="31"/>
        <v>39587</v>
      </c>
      <c r="M218" t="str">
        <f t="shared" ca="1" si="32"/>
        <v>FINISH</v>
      </c>
    </row>
    <row r="219" spans="1:13" x14ac:dyDescent="0.25">
      <c r="A219" t="str">
        <f t="shared" si="25"/>
        <v/>
      </c>
      <c r="B219" t="str">
        <f t="shared" si="26"/>
        <v/>
      </c>
      <c r="C219" t="str">
        <f t="shared" si="27"/>
        <v/>
      </c>
      <c r="I219">
        <f t="shared" si="28"/>
        <v>0</v>
      </c>
      <c r="J219" s="327">
        <f t="shared" ref="J219:J235" si="33">WORKDAY.INTL(G219,I219,11)</f>
        <v>0</v>
      </c>
      <c r="K219" s="329">
        <f t="shared" ref="K219:K235" ca="1" si="34">IF(F219&lt;G219,NETWORKDAYS.INTL(F219,$A$1,11),NETWORKDAYS.INTL(G219,$A$1,11))</f>
        <v>39587</v>
      </c>
      <c r="L219">
        <f t="shared" ref="L219:L235" ca="1" si="35">NETWORKDAYS.INTL(J219,$A$1,11)</f>
        <v>39587</v>
      </c>
      <c r="M219" t="str">
        <f t="shared" ca="1" si="32"/>
        <v>FINISH</v>
      </c>
    </row>
    <row r="220" spans="1:13" x14ac:dyDescent="0.25">
      <c r="A220" t="str">
        <f t="shared" si="25"/>
        <v/>
      </c>
      <c r="B220" t="str">
        <f t="shared" si="26"/>
        <v/>
      </c>
      <c r="C220" t="str">
        <f t="shared" si="27"/>
        <v/>
      </c>
      <c r="I220">
        <f t="shared" si="28"/>
        <v>0</v>
      </c>
      <c r="J220" s="327">
        <f t="shared" si="33"/>
        <v>0</v>
      </c>
      <c r="K220" s="329">
        <f t="shared" ca="1" si="34"/>
        <v>39587</v>
      </c>
      <c r="L220">
        <f t="shared" ca="1" si="35"/>
        <v>39587</v>
      </c>
      <c r="M220" t="str">
        <f t="shared" ca="1" si="32"/>
        <v>FINISH</v>
      </c>
    </row>
    <row r="221" spans="1:13" x14ac:dyDescent="0.25">
      <c r="A221" t="str">
        <f t="shared" si="25"/>
        <v/>
      </c>
      <c r="B221" t="str">
        <f t="shared" si="26"/>
        <v/>
      </c>
      <c r="C221" t="str">
        <f t="shared" si="27"/>
        <v/>
      </c>
      <c r="I221">
        <f t="shared" si="28"/>
        <v>0</v>
      </c>
      <c r="J221" s="327">
        <f t="shared" si="33"/>
        <v>0</v>
      </c>
      <c r="K221" s="329">
        <f t="shared" ca="1" si="34"/>
        <v>39587</v>
      </c>
      <c r="L221">
        <f t="shared" ca="1" si="35"/>
        <v>39587</v>
      </c>
      <c r="M221" t="str">
        <f t="shared" ca="1" si="32"/>
        <v>FINISH</v>
      </c>
    </row>
    <row r="222" spans="1:13" x14ac:dyDescent="0.25">
      <c r="A222" t="str">
        <f t="shared" si="25"/>
        <v/>
      </c>
      <c r="B222" t="str">
        <f t="shared" si="26"/>
        <v/>
      </c>
      <c r="C222" t="str">
        <f t="shared" si="27"/>
        <v/>
      </c>
      <c r="I222">
        <f t="shared" si="28"/>
        <v>0</v>
      </c>
      <c r="J222" s="327">
        <f t="shared" si="33"/>
        <v>0</v>
      </c>
      <c r="K222" s="329">
        <f t="shared" ca="1" si="34"/>
        <v>39587</v>
      </c>
      <c r="L222">
        <f t="shared" ca="1" si="35"/>
        <v>39587</v>
      </c>
      <c r="M222" t="str">
        <f t="shared" ca="1" si="32"/>
        <v>FINISH</v>
      </c>
    </row>
    <row r="223" spans="1:13" x14ac:dyDescent="0.25">
      <c r="A223" t="str">
        <f t="shared" si="25"/>
        <v/>
      </c>
      <c r="B223" t="str">
        <f t="shared" si="26"/>
        <v/>
      </c>
      <c r="C223" t="str">
        <f t="shared" si="27"/>
        <v/>
      </c>
      <c r="I223">
        <f t="shared" si="28"/>
        <v>0</v>
      </c>
      <c r="J223" s="327">
        <f t="shared" si="33"/>
        <v>0</v>
      </c>
      <c r="K223" s="329">
        <f t="shared" ca="1" si="34"/>
        <v>39587</v>
      </c>
      <c r="L223">
        <f t="shared" ca="1" si="35"/>
        <v>39587</v>
      </c>
      <c r="M223" t="str">
        <f t="shared" ca="1" si="32"/>
        <v>FINISH</v>
      </c>
    </row>
    <row r="224" spans="1:13" x14ac:dyDescent="0.25">
      <c r="A224" t="str">
        <f t="shared" si="25"/>
        <v/>
      </c>
      <c r="B224" t="str">
        <f t="shared" si="26"/>
        <v/>
      </c>
      <c r="C224" t="str">
        <f t="shared" si="27"/>
        <v/>
      </c>
      <c r="I224">
        <f t="shared" si="28"/>
        <v>0</v>
      </c>
      <c r="J224" s="327">
        <f t="shared" si="33"/>
        <v>0</v>
      </c>
      <c r="K224" s="329">
        <f t="shared" ca="1" si="34"/>
        <v>39587</v>
      </c>
      <c r="L224">
        <f t="shared" ca="1" si="35"/>
        <v>39587</v>
      </c>
      <c r="M224" t="str">
        <f t="shared" ca="1" si="32"/>
        <v>FINISH</v>
      </c>
    </row>
    <row r="225" spans="1:13" x14ac:dyDescent="0.25">
      <c r="A225" t="str">
        <f t="shared" si="25"/>
        <v/>
      </c>
      <c r="B225" t="str">
        <f t="shared" si="26"/>
        <v/>
      </c>
      <c r="C225" t="str">
        <f t="shared" si="27"/>
        <v/>
      </c>
      <c r="I225">
        <f t="shared" si="28"/>
        <v>0</v>
      </c>
      <c r="J225" s="327">
        <f t="shared" si="33"/>
        <v>0</v>
      </c>
      <c r="K225" s="329">
        <f t="shared" ca="1" si="34"/>
        <v>39587</v>
      </c>
      <c r="L225">
        <f t="shared" ca="1" si="35"/>
        <v>39587</v>
      </c>
      <c r="M225" t="str">
        <f t="shared" ca="1" si="32"/>
        <v>FINISH</v>
      </c>
    </row>
    <row r="226" spans="1:13" x14ac:dyDescent="0.25">
      <c r="A226" t="str">
        <f t="shared" si="25"/>
        <v/>
      </c>
      <c r="B226" t="str">
        <f t="shared" si="26"/>
        <v/>
      </c>
      <c r="C226" t="str">
        <f t="shared" si="27"/>
        <v/>
      </c>
      <c r="I226">
        <f t="shared" si="28"/>
        <v>0</v>
      </c>
      <c r="J226" s="327">
        <f t="shared" si="33"/>
        <v>0</v>
      </c>
      <c r="K226" s="329">
        <f t="shared" ca="1" si="34"/>
        <v>39587</v>
      </c>
      <c r="L226">
        <f t="shared" ca="1" si="35"/>
        <v>39587</v>
      </c>
      <c r="M226" t="str">
        <f t="shared" ca="1" si="32"/>
        <v>FINISH</v>
      </c>
    </row>
    <row r="227" spans="1:13" x14ac:dyDescent="0.25">
      <c r="A227" t="str">
        <f t="shared" si="25"/>
        <v/>
      </c>
      <c r="B227" t="str">
        <f t="shared" si="26"/>
        <v/>
      </c>
      <c r="C227" t="str">
        <f t="shared" si="27"/>
        <v/>
      </c>
      <c r="I227">
        <f t="shared" si="28"/>
        <v>0</v>
      </c>
      <c r="J227" s="327">
        <f t="shared" si="33"/>
        <v>0</v>
      </c>
      <c r="K227" s="329">
        <f t="shared" ca="1" si="34"/>
        <v>39587</v>
      </c>
      <c r="L227">
        <f t="shared" ca="1" si="35"/>
        <v>39587</v>
      </c>
      <c r="M227" t="str">
        <f t="shared" ca="1" si="32"/>
        <v>FINISH</v>
      </c>
    </row>
    <row r="228" spans="1:13" x14ac:dyDescent="0.25">
      <c r="A228" t="str">
        <f t="shared" si="25"/>
        <v/>
      </c>
      <c r="B228" t="str">
        <f t="shared" si="26"/>
        <v/>
      </c>
      <c r="C228" t="str">
        <f t="shared" si="27"/>
        <v/>
      </c>
      <c r="I228">
        <f t="shared" si="28"/>
        <v>0</v>
      </c>
      <c r="J228" s="327">
        <f t="shared" si="33"/>
        <v>0</v>
      </c>
      <c r="K228" s="329">
        <f t="shared" ca="1" si="34"/>
        <v>39587</v>
      </c>
      <c r="L228">
        <f t="shared" ca="1" si="35"/>
        <v>39587</v>
      </c>
      <c r="M228" t="str">
        <f t="shared" ca="1" si="32"/>
        <v>FINISH</v>
      </c>
    </row>
    <row r="229" spans="1:13" x14ac:dyDescent="0.25">
      <c r="B229" t="str">
        <f t="shared" si="26"/>
        <v/>
      </c>
      <c r="C229" t="str">
        <f t="shared" si="27"/>
        <v/>
      </c>
      <c r="I229">
        <f t="shared" si="28"/>
        <v>0</v>
      </c>
      <c r="J229" s="327">
        <f t="shared" si="33"/>
        <v>0</v>
      </c>
      <c r="K229" s="329">
        <f t="shared" ca="1" si="34"/>
        <v>39587</v>
      </c>
      <c r="L229">
        <f t="shared" ca="1" si="35"/>
        <v>39587</v>
      </c>
      <c r="M229" t="str">
        <f t="shared" ca="1" si="32"/>
        <v>FINISH</v>
      </c>
    </row>
    <row r="230" spans="1:13" x14ac:dyDescent="0.25">
      <c r="B230" t="str">
        <f t="shared" si="26"/>
        <v/>
      </c>
      <c r="C230" t="str">
        <f t="shared" si="27"/>
        <v/>
      </c>
      <c r="I230">
        <f t="shared" si="28"/>
        <v>0</v>
      </c>
      <c r="J230" s="327">
        <f t="shared" si="33"/>
        <v>0</v>
      </c>
      <c r="K230" s="329">
        <f t="shared" ca="1" si="34"/>
        <v>39587</v>
      </c>
      <c r="L230">
        <f t="shared" ca="1" si="35"/>
        <v>39587</v>
      </c>
      <c r="M230" t="str">
        <f t="shared" ca="1" si="32"/>
        <v>FINISH</v>
      </c>
    </row>
    <row r="231" spans="1:13" x14ac:dyDescent="0.25">
      <c r="B231" t="str">
        <f t="shared" si="26"/>
        <v/>
      </c>
      <c r="C231" t="str">
        <f t="shared" si="27"/>
        <v/>
      </c>
      <c r="I231">
        <f t="shared" si="28"/>
        <v>0</v>
      </c>
      <c r="J231" s="327">
        <f t="shared" si="33"/>
        <v>0</v>
      </c>
      <c r="K231" s="329">
        <f t="shared" ca="1" si="34"/>
        <v>39587</v>
      </c>
      <c r="L231">
        <f t="shared" ca="1" si="35"/>
        <v>39587</v>
      </c>
      <c r="M231" t="str">
        <f t="shared" ca="1" si="32"/>
        <v>FINISH</v>
      </c>
    </row>
    <row r="232" spans="1:13" x14ac:dyDescent="0.25">
      <c r="B232" t="str">
        <f t="shared" si="26"/>
        <v/>
      </c>
      <c r="C232" t="str">
        <f t="shared" si="27"/>
        <v/>
      </c>
      <c r="I232">
        <f t="shared" si="28"/>
        <v>0</v>
      </c>
      <c r="J232" s="327">
        <f t="shared" si="33"/>
        <v>0</v>
      </c>
      <c r="K232" s="329">
        <f t="shared" ca="1" si="34"/>
        <v>39587</v>
      </c>
      <c r="L232">
        <f t="shared" ca="1" si="35"/>
        <v>39587</v>
      </c>
      <c r="M232" t="str">
        <f t="shared" ca="1" si="32"/>
        <v>FINISH</v>
      </c>
    </row>
    <row r="233" spans="1:13" x14ac:dyDescent="0.25">
      <c r="B233" t="str">
        <f t="shared" si="26"/>
        <v/>
      </c>
      <c r="C233" t="str">
        <f t="shared" si="27"/>
        <v/>
      </c>
      <c r="I233">
        <f t="shared" si="28"/>
        <v>0</v>
      </c>
      <c r="J233" s="327">
        <f t="shared" si="33"/>
        <v>0</v>
      </c>
      <c r="K233" s="329">
        <f t="shared" ca="1" si="34"/>
        <v>39587</v>
      </c>
      <c r="L233">
        <f t="shared" ca="1" si="35"/>
        <v>39587</v>
      </c>
      <c r="M233" t="str">
        <f t="shared" ca="1" si="32"/>
        <v>FINISH</v>
      </c>
    </row>
    <row r="234" spans="1:13" x14ac:dyDescent="0.25">
      <c r="B234" t="str">
        <f t="shared" si="26"/>
        <v/>
      </c>
      <c r="C234" t="str">
        <f t="shared" si="27"/>
        <v/>
      </c>
      <c r="I234">
        <f t="shared" si="28"/>
        <v>0</v>
      </c>
      <c r="J234" s="327">
        <f t="shared" si="33"/>
        <v>0</v>
      </c>
      <c r="K234" s="329">
        <f t="shared" ca="1" si="34"/>
        <v>39587</v>
      </c>
      <c r="L234">
        <f t="shared" ca="1" si="35"/>
        <v>39587</v>
      </c>
      <c r="M234" t="str">
        <f t="shared" ca="1" si="32"/>
        <v>FINISH</v>
      </c>
    </row>
    <row r="235" spans="1:13" x14ac:dyDescent="0.25">
      <c r="B235" t="str">
        <f t="shared" si="26"/>
        <v/>
      </c>
      <c r="C235" t="str">
        <f t="shared" si="27"/>
        <v/>
      </c>
      <c r="I235">
        <f t="shared" si="28"/>
        <v>0</v>
      </c>
      <c r="J235" s="327">
        <f t="shared" si="33"/>
        <v>0</v>
      </c>
      <c r="K235" s="329">
        <f t="shared" ca="1" si="34"/>
        <v>39587</v>
      </c>
      <c r="L235">
        <f t="shared" ca="1" si="35"/>
        <v>39587</v>
      </c>
      <c r="M235" t="str">
        <f t="shared" ca="1" si="32"/>
        <v>FINISH</v>
      </c>
    </row>
  </sheetData>
  <conditionalFormatting sqref="D4:M235">
    <cfRule type="expression" dxfId="24746" priority="1">
      <formula>$M4=0</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rgb="FFFFCCFF"/>
    <pageSetUpPr fitToPage="1"/>
  </sheetPr>
  <dimension ref="A1:P511"/>
  <sheetViews>
    <sheetView view="pageBreakPreview" topLeftCell="A158" zoomScale="20" zoomScaleNormal="20" zoomScaleSheetLayoutView="20" workbookViewId="0">
      <selection activeCell="F198" sqref="F198"/>
    </sheetView>
  </sheetViews>
  <sheetFormatPr defaultRowHeight="61.5" x14ac:dyDescent="0.9"/>
  <cols>
    <col min="1" max="1" width="152.42578125" style="163" customWidth="1"/>
    <col min="2" max="2" width="97" style="163" customWidth="1"/>
    <col min="3" max="3" width="133.7109375" style="163" customWidth="1"/>
    <col min="4" max="4" width="95" style="163" customWidth="1"/>
    <col min="5" max="5" width="130" style="163" customWidth="1"/>
    <col min="6" max="6" width="91.42578125" style="163" customWidth="1"/>
    <col min="7" max="7" width="197.28515625" style="163" bestFit="1" customWidth="1"/>
    <col min="8" max="8" width="132.28515625" style="163" customWidth="1"/>
    <col min="9" max="9" width="88" style="159" bestFit="1" customWidth="1"/>
    <col min="10" max="10" width="17.42578125" style="159" customWidth="1"/>
    <col min="11" max="11" width="12" bestFit="1" customWidth="1"/>
    <col min="12" max="12" width="9.28515625" customWidth="1"/>
    <col min="13" max="13" width="12" bestFit="1" customWidth="1"/>
    <col min="14" max="14" width="9.5703125" customWidth="1"/>
    <col min="15" max="15" width="16.140625" bestFit="1" customWidth="1"/>
    <col min="16" max="16" width="13.140625" bestFit="1" customWidth="1"/>
  </cols>
  <sheetData>
    <row r="1" spans="1:16" ht="222" customHeight="1" x14ac:dyDescent="0.9">
      <c r="A1" s="322" t="s">
        <v>8902</v>
      </c>
      <c r="B1" s="321">
        <f ca="1">TODAY()</f>
        <v>46184</v>
      </c>
      <c r="C1" s="160"/>
      <c r="D1" s="160"/>
      <c r="E1" s="160"/>
      <c r="F1" s="160"/>
      <c r="G1" s="160"/>
      <c r="H1" s="323" t="s">
        <v>12743</v>
      </c>
    </row>
    <row r="2" spans="1:16" x14ac:dyDescent="0.9">
      <c r="A2" s="422" t="s">
        <v>211</v>
      </c>
      <c r="B2" s="422"/>
      <c r="C2" s="422" t="s">
        <v>250</v>
      </c>
      <c r="D2" s="422"/>
      <c r="E2" s="422" t="s">
        <v>251</v>
      </c>
      <c r="F2" s="422"/>
      <c r="G2" s="422" t="s">
        <v>18</v>
      </c>
      <c r="H2" s="422"/>
    </row>
    <row r="3" spans="1:16" x14ac:dyDescent="0.7">
      <c r="A3" s="161" t="s">
        <v>524</v>
      </c>
      <c r="B3" s="161" t="s">
        <v>525</v>
      </c>
      <c r="C3" s="161" t="s">
        <v>524</v>
      </c>
      <c r="D3" s="161" t="s">
        <v>525</v>
      </c>
      <c r="E3" s="161" t="s">
        <v>524</v>
      </c>
      <c r="F3" s="161" t="s">
        <v>525</v>
      </c>
      <c r="G3" s="161" t="s">
        <v>524</v>
      </c>
      <c r="H3" s="161" t="s">
        <v>525</v>
      </c>
    </row>
    <row r="4" spans="1:16" x14ac:dyDescent="0.9">
      <c r="A4" s="162" t="str">
        <f>IF('Final List'!B4="","",'Final List'!B4)</f>
        <v/>
      </c>
      <c r="B4" s="162" t="str">
        <f>IF('Final List'!C4="","",'Final List'!C4)</f>
        <v/>
      </c>
      <c r="C4" s="162" t="str">
        <f>IF('Final List'!D4="","",'Final List'!D4)</f>
        <v/>
      </c>
      <c r="D4" s="162" t="str">
        <f>IF('Final List'!E4="","",'Final List'!E4)</f>
        <v/>
      </c>
      <c r="E4" s="162" t="str">
        <f>IF('Final List'!F4="","",'Final List'!F4)</f>
        <v/>
      </c>
      <c r="F4" s="162" t="str">
        <f>IF('Final List'!G4="","",'Final List'!G4)</f>
        <v/>
      </c>
      <c r="G4" s="162" t="str">
        <f>IF('Final List'!H4="","",'Final List'!H4)</f>
        <v/>
      </c>
      <c r="H4" s="162" t="str">
        <f>IF('Final List'!I4="","",'Final List'!I4)</f>
        <v/>
      </c>
    </row>
    <row r="5" spans="1:16" x14ac:dyDescent="0.9">
      <c r="A5" s="162" t="str">
        <f>IF('Final List'!B5="","",'Final List'!B5)</f>
        <v/>
      </c>
      <c r="B5" s="162" t="str">
        <f>IF('Final List'!C5="","",'Final List'!C5)</f>
        <v/>
      </c>
      <c r="C5" s="162" t="str">
        <f>IF('Final List'!D5="","",'Final List'!D5)</f>
        <v/>
      </c>
      <c r="D5" s="162" t="str">
        <f>IF('Final List'!E5="","",'Final List'!E5)</f>
        <v/>
      </c>
      <c r="E5" s="162" t="str">
        <f>IF('Final List'!F5="","",'Final List'!F5)</f>
        <v/>
      </c>
      <c r="F5" s="162" t="str">
        <f>IF('Final List'!G5="","",'Final List'!G5)</f>
        <v/>
      </c>
      <c r="G5" s="162" t="str">
        <f>IF('Final List'!H5="","",'Final List'!H5)</f>
        <v/>
      </c>
      <c r="H5" s="162" t="str">
        <f>IF('Final List'!I5="","",'Final List'!I5)</f>
        <v/>
      </c>
    </row>
    <row r="6" spans="1:16" x14ac:dyDescent="0.9">
      <c r="A6" s="162" t="str">
        <f>IF('Final List'!B6="","",'Final List'!B6)</f>
        <v/>
      </c>
      <c r="B6" s="162" t="str">
        <f>IF('Final List'!C6="","",'Final List'!C6)</f>
        <v/>
      </c>
      <c r="C6" s="162" t="str">
        <f>IF('Final List'!D6="","",'Final List'!D6)</f>
        <v/>
      </c>
      <c r="D6" s="162" t="str">
        <f>IF('Final List'!E6="","",'Final List'!E6)</f>
        <v/>
      </c>
      <c r="E6" s="162" t="str">
        <f>IF('Final List'!F6="","",'Final List'!F6)</f>
        <v/>
      </c>
      <c r="F6" s="162" t="str">
        <f>IF('Final List'!G6="","",'Final List'!G6)</f>
        <v/>
      </c>
      <c r="G6" s="162" t="str">
        <f>IF('Final List'!H6="","",'Final List'!H6)</f>
        <v/>
      </c>
      <c r="H6" s="162" t="str">
        <f>IF('Final List'!I6="","",'Final List'!I6)</f>
        <v/>
      </c>
    </row>
    <row r="7" spans="1:16" x14ac:dyDescent="0.9">
      <c r="A7" s="162" t="str">
        <f>IF('Final List'!B7="","",'Final List'!B7)</f>
        <v/>
      </c>
      <c r="B7" s="162" t="str">
        <f>IF('Final List'!C7="","",'Final List'!C7)</f>
        <v/>
      </c>
      <c r="C7" s="162" t="str">
        <f>IF('Final List'!D7="","",'Final List'!D7)</f>
        <v/>
      </c>
      <c r="D7" s="162" t="str">
        <f>IF('Final List'!E7="","",'Final List'!E7)</f>
        <v/>
      </c>
      <c r="E7" s="162" t="str">
        <f>IF('Final List'!F7="","",'Final List'!F7)</f>
        <v/>
      </c>
      <c r="F7" s="162" t="str">
        <f>IF('Final List'!G7="","",'Final List'!G7)</f>
        <v/>
      </c>
      <c r="G7" s="162" t="str">
        <f>IF('Final List'!H7="","",'Final List'!H7)</f>
        <v/>
      </c>
      <c r="H7" s="162" t="str">
        <f>IF('Final List'!I7="","",'Final List'!I7)</f>
        <v/>
      </c>
    </row>
    <row r="8" spans="1:16" x14ac:dyDescent="0.9">
      <c r="A8" s="162" t="str">
        <f>IF('Final List'!B8="","",'Final List'!B8)</f>
        <v/>
      </c>
      <c r="B8" s="162" t="str">
        <f>IF('Final List'!C8="","",'Final List'!C8)</f>
        <v/>
      </c>
      <c r="C8" s="162" t="str">
        <f>IF('Final List'!D8="","",'Final List'!D8)</f>
        <v/>
      </c>
      <c r="D8" s="162" t="str">
        <f>IF('Final List'!E8="","",'Final List'!E8)</f>
        <v/>
      </c>
      <c r="E8" s="162" t="str">
        <f>IF('Final List'!F8="","",'Final List'!F8)</f>
        <v/>
      </c>
      <c r="F8" s="162" t="str">
        <f>IF('Final List'!G8="","",'Final List'!G8)</f>
        <v/>
      </c>
      <c r="G8" s="162" t="str">
        <f>IF('Final List'!H8="","",'Final List'!H8)</f>
        <v/>
      </c>
      <c r="H8" s="162" t="str">
        <f>IF('Final List'!I8="","",'Final List'!I8)</f>
        <v/>
      </c>
      <c r="P8" t="s">
        <v>9737</v>
      </c>
    </row>
    <row r="9" spans="1:16" x14ac:dyDescent="0.9">
      <c r="A9" s="162" t="str">
        <f>IF('Final List'!B9="","",'Final List'!B9)</f>
        <v/>
      </c>
      <c r="B9" s="162" t="str">
        <f>IF('Final List'!C9="","",'Final List'!C9)</f>
        <v/>
      </c>
      <c r="C9" s="162" t="str">
        <f>IF('Final List'!D9="","",'Final List'!D9)</f>
        <v/>
      </c>
      <c r="D9" s="162" t="str">
        <f>IF('Final List'!E9="","",'Final List'!E9)</f>
        <v/>
      </c>
      <c r="E9" s="162" t="str">
        <f>IF('Final List'!F9="","",'Final List'!F9)</f>
        <v/>
      </c>
      <c r="F9" s="162" t="str">
        <f>IF('Final List'!G9="","",'Final List'!G9)</f>
        <v/>
      </c>
      <c r="G9" s="162" t="str">
        <f>IF('Final List'!H9="","",'Final List'!H9)</f>
        <v/>
      </c>
      <c r="H9" s="162" t="str">
        <f>IF('Final List'!I9="","",'Final List'!I9)</f>
        <v/>
      </c>
    </row>
    <row r="10" spans="1:16" x14ac:dyDescent="0.9">
      <c r="A10" s="162" t="str">
        <f>IF('Final List'!B10="","",'Final List'!B10)</f>
        <v/>
      </c>
      <c r="B10" s="162" t="str">
        <f>IF('Final List'!C10="","",'Final List'!C10)</f>
        <v/>
      </c>
      <c r="C10" s="162" t="str">
        <f>IF('Final List'!D10="","",'Final List'!D10)</f>
        <v/>
      </c>
      <c r="D10" s="162" t="str">
        <f>IF('Final List'!E10="","",'Final List'!E10)</f>
        <v/>
      </c>
      <c r="E10" s="162" t="str">
        <f>IF('Final List'!F10="","",'Final List'!F10)</f>
        <v/>
      </c>
      <c r="F10" s="162" t="str">
        <f>IF('Final List'!G10="","",'Final List'!G10)</f>
        <v/>
      </c>
      <c r="G10" s="162" t="str">
        <f>IF('Final List'!H10="","",'Final List'!H10)</f>
        <v/>
      </c>
      <c r="H10" s="162" t="str">
        <f>IF('Final List'!I10="","",'Final List'!I10)</f>
        <v/>
      </c>
    </row>
    <row r="11" spans="1:16" x14ac:dyDescent="0.9">
      <c r="A11" s="422" t="s">
        <v>19</v>
      </c>
      <c r="B11" s="422"/>
      <c r="C11" s="422" t="s">
        <v>396</v>
      </c>
      <c r="D11" s="422"/>
      <c r="E11" s="422" t="s">
        <v>21</v>
      </c>
      <c r="F11" s="422"/>
      <c r="G11" s="422" t="s">
        <v>22</v>
      </c>
      <c r="H11" s="422"/>
    </row>
    <row r="12" spans="1:16" x14ac:dyDescent="0.7">
      <c r="A12" s="161" t="s">
        <v>524</v>
      </c>
      <c r="B12" s="161" t="s">
        <v>525</v>
      </c>
      <c r="C12" s="161" t="s">
        <v>524</v>
      </c>
      <c r="D12" s="161" t="s">
        <v>525</v>
      </c>
      <c r="E12" s="161" t="s">
        <v>524</v>
      </c>
      <c r="F12" s="161" t="s">
        <v>525</v>
      </c>
      <c r="G12" s="161" t="s">
        <v>524</v>
      </c>
      <c r="H12" s="161" t="s">
        <v>525</v>
      </c>
    </row>
    <row r="13" spans="1:16" x14ac:dyDescent="0.9">
      <c r="A13" s="162" t="str">
        <f>IF('Final List'!J4="","",'Final List'!J4)</f>
        <v/>
      </c>
      <c r="B13" s="162" t="str">
        <f>IF('Final List'!K4="","",'Final List'!K4)</f>
        <v/>
      </c>
      <c r="C13" s="162" t="str">
        <f>IF('Final List'!L4="","",'Final List'!L4)</f>
        <v/>
      </c>
      <c r="D13" s="162" t="str">
        <f>IF('Final List'!M4="","",'Final List'!M4)</f>
        <v/>
      </c>
      <c r="E13" s="162" t="str">
        <f>IF('Final List'!N4="","",'Final List'!N4)</f>
        <v/>
      </c>
      <c r="F13" s="162" t="str">
        <f>IF('Final List'!O4="","",'Final List'!O4)</f>
        <v/>
      </c>
      <c r="G13" s="162" t="str">
        <f>IF('Final List'!P4="","",'Final List'!P4)</f>
        <v>L03_GHV_053W_ROBBING</v>
      </c>
      <c r="H13" s="162" t="str">
        <f>IF('Final List'!Q4="","",'Final List'!Q4)</f>
        <v>FERNANDEZ 6</v>
      </c>
    </row>
    <row r="14" spans="1:16" x14ac:dyDescent="0.9">
      <c r="A14" s="162" t="str">
        <f>IF('Final List'!J5="","",'Final List'!J5)</f>
        <v/>
      </c>
      <c r="B14" s="162" t="str">
        <f>IF('Final List'!K5="","",'Final List'!K5)</f>
        <v/>
      </c>
      <c r="C14" s="162" t="str">
        <f>IF('Final List'!L5="","",'Final List'!L5)</f>
        <v/>
      </c>
      <c r="D14" s="162" t="str">
        <f>IF('Final List'!M5="","",'Final List'!M5)</f>
        <v/>
      </c>
      <c r="E14" s="162" t="str">
        <f>IF('Final List'!N5="","",'Final List'!N5)</f>
        <v/>
      </c>
      <c r="F14" s="162" t="str">
        <f>IF('Final List'!O5="","",'Final List'!O5)</f>
        <v/>
      </c>
      <c r="G14" s="162" t="str">
        <f>IF('Final List'!P5="","",'Final List'!P5)</f>
        <v>L03_NONE_047E_MAINLINE CLEANING</v>
      </c>
      <c r="H14" s="162" t="str">
        <f>IF('Final List'!Q5="","",'Final List'!Q5)</f>
        <v>FERNANDEZ</v>
      </c>
    </row>
    <row r="15" spans="1:16" x14ac:dyDescent="0.9">
      <c r="A15" s="162" t="str">
        <f>IF('Final List'!J6="","",'Final List'!J6)</f>
        <v/>
      </c>
      <c r="B15" s="162" t="str">
        <f>IF('Final List'!K6="","",'Final List'!K6)</f>
        <v/>
      </c>
      <c r="C15" s="162" t="str">
        <f>IF('Final List'!L6="","",'Final List'!L6)</f>
        <v/>
      </c>
      <c r="D15" s="162" t="str">
        <f>IF('Final List'!M6="","",'Final List'!M6)</f>
        <v/>
      </c>
      <c r="E15" s="162" t="str">
        <f>IF('Final List'!N6="","",'Final List'!N6)</f>
        <v/>
      </c>
      <c r="F15" s="162" t="str">
        <f>IF('Final List'!O6="","",'Final List'!O6)</f>
        <v/>
      </c>
      <c r="G15" s="162" t="str">
        <f>IF('Final List'!P6="","",'Final List'!P6)</f>
        <v/>
      </c>
      <c r="H15" s="162" t="str">
        <f>IF('Final List'!Q6="","",'Final List'!Q6)</f>
        <v/>
      </c>
    </row>
    <row r="16" spans="1:16" x14ac:dyDescent="0.9">
      <c r="A16" s="162" t="str">
        <f>IF('Final List'!J7="","",'Final List'!J7)</f>
        <v/>
      </c>
      <c r="B16" s="162" t="str">
        <f>IF('Final List'!K7="","",'Final List'!K7)</f>
        <v/>
      </c>
      <c r="C16" s="162" t="str">
        <f>IF('Final List'!L7="","",'Final List'!L7)</f>
        <v/>
      </c>
      <c r="D16" s="162" t="str">
        <f>IF('Final List'!M7="","",'Final List'!M7)</f>
        <v/>
      </c>
      <c r="E16" s="162" t="str">
        <f>IF('Final List'!N7="","",'Final List'!N7)</f>
        <v/>
      </c>
      <c r="F16" s="162" t="str">
        <f>IF('Final List'!O7="","",'Final List'!O7)</f>
        <v/>
      </c>
      <c r="G16" s="162" t="str">
        <f>IF('Final List'!P7="","",'Final List'!P7)</f>
        <v/>
      </c>
      <c r="H16" s="162" t="str">
        <f>IF('Final List'!Q7="","",'Final List'!Q7)</f>
        <v/>
      </c>
    </row>
    <row r="17" spans="1:12" x14ac:dyDescent="0.9">
      <c r="A17" s="162" t="str">
        <f>IF('Final List'!J8="","",'Final List'!J8)</f>
        <v/>
      </c>
      <c r="B17" s="162" t="str">
        <f>IF('Final List'!K8="","",'Final List'!K8)</f>
        <v/>
      </c>
      <c r="C17" s="162" t="str">
        <f>IF('Final List'!L8="","",'Final List'!L8)</f>
        <v/>
      </c>
      <c r="D17" s="162" t="str">
        <f>IF('Final List'!M8="","",'Final List'!M8)</f>
        <v/>
      </c>
      <c r="E17" s="162" t="str">
        <f>IF('Final List'!N8="","",'Final List'!N8)</f>
        <v/>
      </c>
      <c r="F17" s="162" t="str">
        <f>IF('Final List'!O8="","",'Final List'!O8)</f>
        <v/>
      </c>
      <c r="G17" s="162" t="str">
        <f>IF('Final List'!P8="","",'Final List'!P8)</f>
        <v/>
      </c>
      <c r="H17" s="162" t="str">
        <f>IF('Final List'!Q8="","",'Final List'!Q8)</f>
        <v/>
      </c>
    </row>
    <row r="18" spans="1:12" x14ac:dyDescent="0.9">
      <c r="A18" s="162" t="str">
        <f>IF('Final List'!J9="","",'Final List'!J9)</f>
        <v/>
      </c>
      <c r="B18" s="162" t="str">
        <f>IF('Final List'!K9="","",'Final List'!K9)</f>
        <v/>
      </c>
      <c r="C18" s="162" t="str">
        <f>IF('Final List'!L9="","",'Final List'!L9)</f>
        <v/>
      </c>
      <c r="D18" s="162" t="str">
        <f>IF('Final List'!M9="","",'Final List'!M9)</f>
        <v/>
      </c>
      <c r="E18" s="162" t="str">
        <f>IF('Final List'!N9="","",'Final List'!N9)</f>
        <v/>
      </c>
      <c r="F18" s="162" t="str">
        <f>IF('Final List'!O9="","",'Final List'!O9)</f>
        <v/>
      </c>
      <c r="G18" s="162" t="str">
        <f>IF('Final List'!P9="","",'Final List'!P9)</f>
        <v/>
      </c>
      <c r="H18" s="162" t="str">
        <f>IF('Final List'!Q9="","",'Final List'!Q9)</f>
        <v/>
      </c>
    </row>
    <row r="19" spans="1:12" x14ac:dyDescent="0.9">
      <c r="A19" s="162" t="str">
        <f>IF('Final List'!J10="","",'Final List'!J10)</f>
        <v/>
      </c>
      <c r="B19" s="162" t="str">
        <f>IF('Final List'!K10="","",'Final List'!K10)</f>
        <v/>
      </c>
      <c r="C19" s="162" t="str">
        <f>IF('Final List'!L10="","",'Final List'!L10)</f>
        <v/>
      </c>
      <c r="D19" s="162" t="str">
        <f>IF('Final List'!M10="","",'Final List'!M10)</f>
        <v/>
      </c>
      <c r="E19" s="162" t="str">
        <f>IF('Final List'!N10="","",'Final List'!N10)</f>
        <v/>
      </c>
      <c r="F19" s="162" t="str">
        <f>IF('Final List'!O10="","",'Final List'!O10)</f>
        <v/>
      </c>
      <c r="G19" s="162" t="str">
        <f>IF('Final List'!P10="","",'Final List'!P10)</f>
        <v/>
      </c>
      <c r="H19" s="162" t="str">
        <f>IF('Final List'!Q10="","",'Final List'!Q10)</f>
        <v/>
      </c>
    </row>
    <row r="20" spans="1:12" x14ac:dyDescent="0.9">
      <c r="A20" s="162" t="str">
        <f>IF('Final List'!J11="","",'Final List'!J11)</f>
        <v/>
      </c>
      <c r="B20" s="162" t="str">
        <f>IF('Final List'!K11="","",'Final List'!K11)</f>
        <v/>
      </c>
      <c r="C20" s="162" t="str">
        <f>IF('Final List'!L11="","",'Final List'!L11)</f>
        <v/>
      </c>
      <c r="D20" s="162" t="str">
        <f>IF('Final List'!M11="","",'Final List'!M11)</f>
        <v/>
      </c>
      <c r="E20" s="162" t="str">
        <f>IF('Final List'!N11="","",'Final List'!N11)</f>
        <v/>
      </c>
      <c r="F20" s="162" t="str">
        <f>IF('Final List'!O11="","",'Final List'!O11)</f>
        <v/>
      </c>
      <c r="G20" s="162" t="str">
        <f>IF('Final List'!P11="","",'Final List'!P11)</f>
        <v/>
      </c>
      <c r="H20" s="162" t="str">
        <f>IF('Final List'!Q11="","",'Final List'!Q11)</f>
        <v/>
      </c>
    </row>
    <row r="21" spans="1:12" ht="170.25" customHeight="1" x14ac:dyDescent="0.9">
      <c r="D21" s="163" t="s">
        <v>40</v>
      </c>
      <c r="E21" s="374" t="s">
        <v>14973</v>
      </c>
      <c r="F21" s="375"/>
      <c r="G21" s="375"/>
      <c r="H21" s="313"/>
    </row>
    <row r="22" spans="1:12" x14ac:dyDescent="0.9">
      <c r="E22" s="367"/>
      <c r="F22" s="367" t="s">
        <v>5322</v>
      </c>
      <c r="G22" s="370"/>
      <c r="H22" s="254"/>
    </row>
    <row r="23" spans="1:12" x14ac:dyDescent="0.9">
      <c r="F23" s="365"/>
      <c r="G23" s="368"/>
      <c r="H23" s="254"/>
    </row>
    <row r="24" spans="1:12" x14ac:dyDescent="0.9">
      <c r="A24" s="162"/>
      <c r="B24" s="162"/>
      <c r="C24" s="162"/>
      <c r="D24" s="162"/>
      <c r="E24" s="162"/>
      <c r="F24" s="162"/>
      <c r="G24" s="162"/>
      <c r="H24" s="162"/>
      <c r="K24" s="78"/>
      <c r="L24" s="78"/>
    </row>
    <row r="25" spans="1:12" x14ac:dyDescent="0.9">
      <c r="A25" s="163" t="s">
        <v>211</v>
      </c>
      <c r="B25" s="162"/>
      <c r="C25" s="162" t="s">
        <v>250</v>
      </c>
      <c r="D25" s="162"/>
      <c r="E25" s="162" t="s">
        <v>251</v>
      </c>
      <c r="F25" s="162"/>
      <c r="G25" s="162" t="s">
        <v>18</v>
      </c>
      <c r="H25" s="162"/>
      <c r="K25" s="78"/>
      <c r="L25" s="78"/>
    </row>
    <row r="26" spans="1:12" x14ac:dyDescent="0.9">
      <c r="A26" s="160">
        <f>7-COUNTIF(A4:A10,"")</f>
        <v>0</v>
      </c>
      <c r="B26" s="162"/>
      <c r="C26" s="160">
        <f>7-COUNTIF(C4:C10,"")</f>
        <v>0</v>
      </c>
      <c r="D26" s="162"/>
      <c r="E26" s="160">
        <f>7-COUNTIF(E4:E10,"")</f>
        <v>0</v>
      </c>
      <c r="F26" s="162"/>
      <c r="G26" s="160">
        <f>7-COUNTIF(G4:G10,"")</f>
        <v>0</v>
      </c>
      <c r="H26" s="162"/>
      <c r="I26" s="165" t="s">
        <v>563</v>
      </c>
      <c r="J26" s="165">
        <f>A26+C26+E26+G26+A28+C28+E28+G28</f>
        <v>2</v>
      </c>
      <c r="K26" s="78"/>
      <c r="L26" s="78"/>
    </row>
    <row r="27" spans="1:12" x14ac:dyDescent="0.9">
      <c r="A27" s="162" t="s">
        <v>19</v>
      </c>
      <c r="B27" s="162"/>
      <c r="C27" s="162" t="s">
        <v>20</v>
      </c>
      <c r="D27" s="162"/>
      <c r="E27" s="162" t="s">
        <v>21</v>
      </c>
      <c r="F27" s="162"/>
      <c r="G27" s="162" t="s">
        <v>22</v>
      </c>
      <c r="H27" s="162"/>
      <c r="I27" s="165" t="s">
        <v>564</v>
      </c>
      <c r="J27" s="165">
        <f>'Final List'!T13</f>
        <v>2</v>
      </c>
      <c r="K27" s="78"/>
      <c r="L27" s="78"/>
    </row>
    <row r="28" spans="1:12" x14ac:dyDescent="0.9">
      <c r="A28" s="160">
        <f>8-COUNTIFS(A13:A20,"")</f>
        <v>0</v>
      </c>
      <c r="B28" s="162"/>
      <c r="C28" s="160">
        <f>8-COUNTIFS(C13:C20,"")</f>
        <v>0</v>
      </c>
      <c r="D28" s="162"/>
      <c r="E28" s="160">
        <f>8-COUNTIFS(E13:E20,"")</f>
        <v>0</v>
      </c>
      <c r="F28" s="162"/>
      <c r="G28" s="160">
        <f>8-COUNTIFS(G13:G20,"")</f>
        <v>2</v>
      </c>
      <c r="H28" s="162"/>
      <c r="K28" s="78"/>
      <c r="L28" s="78"/>
    </row>
    <row r="29" spans="1:12" x14ac:dyDescent="0.9">
      <c r="A29" s="160"/>
      <c r="B29" s="162"/>
      <c r="C29" s="160"/>
      <c r="D29" s="162"/>
      <c r="E29" s="160"/>
      <c r="F29" s="162"/>
      <c r="G29" s="160"/>
      <c r="H29" s="162"/>
      <c r="K29" s="78"/>
      <c r="L29" s="78"/>
    </row>
    <row r="30" spans="1:12" ht="50.25" customHeight="1" x14ac:dyDescent="0.9">
      <c r="A30" s="160"/>
      <c r="B30" s="162"/>
      <c r="C30" s="160"/>
      <c r="D30" s="162"/>
      <c r="E30" s="160"/>
      <c r="F30" s="162"/>
      <c r="G30" s="160"/>
      <c r="H30" s="162"/>
      <c r="K30" s="78"/>
      <c r="L30" s="78"/>
    </row>
    <row r="31" spans="1:12" s="78" customFormat="1" ht="222" customHeight="1" x14ac:dyDescent="0.9">
      <c r="A31" s="322" t="s">
        <v>6</v>
      </c>
      <c r="B31" s="321">
        <f ca="1">TODAY()</f>
        <v>46184</v>
      </c>
      <c r="C31" s="160"/>
      <c r="D31" s="160"/>
      <c r="E31" s="160"/>
      <c r="F31" s="160"/>
      <c r="G31" s="160"/>
      <c r="H31" s="323" t="str">
        <f>H1</f>
        <v>Doc.No. : ENG-PLN-FRM-002
Ver. No. : 1
Effectivity: October 25, 2024</v>
      </c>
      <c r="I31" s="159"/>
      <c r="J31" s="159"/>
    </row>
    <row r="32" spans="1:12" s="78" customFormat="1" x14ac:dyDescent="0.9">
      <c r="A32" s="422" t="s">
        <v>211</v>
      </c>
      <c r="B32" s="422"/>
      <c r="C32" s="422" t="s">
        <v>250</v>
      </c>
      <c r="D32" s="422"/>
      <c r="E32" s="422" t="s">
        <v>251</v>
      </c>
      <c r="F32" s="422"/>
      <c r="G32" s="422" t="s">
        <v>18</v>
      </c>
      <c r="H32" s="422"/>
      <c r="I32" s="159"/>
      <c r="J32" s="159"/>
    </row>
    <row r="33" spans="1:10" s="78" customFormat="1" x14ac:dyDescent="0.7">
      <c r="A33" s="161" t="s">
        <v>524</v>
      </c>
      <c r="B33" s="161" t="s">
        <v>525</v>
      </c>
      <c r="C33" s="161" t="s">
        <v>524</v>
      </c>
      <c r="D33" s="161" t="s">
        <v>525</v>
      </c>
      <c r="E33" s="161" t="s">
        <v>524</v>
      </c>
      <c r="F33" s="161" t="s">
        <v>525</v>
      </c>
      <c r="G33" s="161" t="s">
        <v>524</v>
      </c>
      <c r="H33" s="161" t="s">
        <v>525</v>
      </c>
      <c r="I33" s="159"/>
      <c r="J33" s="159"/>
    </row>
    <row r="34" spans="1:10" s="78" customFormat="1" x14ac:dyDescent="0.9">
      <c r="A34" s="162" t="str">
        <f>IF('Final List'!B14="","",'Final List'!B14)</f>
        <v/>
      </c>
      <c r="B34" s="162" t="str">
        <f>IF('Final List'!C14="","",'Final List'!C14)</f>
        <v/>
      </c>
      <c r="C34" s="162" t="str">
        <f>IF('Final List'!D14="","",'Final List'!D14)</f>
        <v/>
      </c>
      <c r="D34" s="162" t="str">
        <f>IF('Final List'!E14="","",'Final List'!E14)</f>
        <v/>
      </c>
      <c r="E34" s="162" t="str">
        <f>IF('Final List'!F14="","",'Final List'!F14)</f>
        <v/>
      </c>
      <c r="F34" s="162" t="str">
        <f>IF('Final List'!G14="","",'Final List'!G14)</f>
        <v/>
      </c>
      <c r="G34" s="162" t="str">
        <f>IF('Final List'!H14="","",'Final List'!H14)</f>
        <v/>
      </c>
      <c r="H34" s="162" t="str">
        <f>IF('Final List'!I14="","",'Final List'!I14)</f>
        <v/>
      </c>
      <c r="I34" s="159"/>
      <c r="J34" s="159"/>
    </row>
    <row r="35" spans="1:10" s="78" customFormat="1" x14ac:dyDescent="0.9">
      <c r="A35" s="162" t="str">
        <f>IF('Final List'!B15="","",'Final List'!B15)</f>
        <v/>
      </c>
      <c r="B35" s="162" t="str">
        <f>IF('Final List'!C15="","",'Final List'!C15)</f>
        <v/>
      </c>
      <c r="C35" s="162" t="str">
        <f>IF('Final List'!D15="","",'Final List'!D15)</f>
        <v/>
      </c>
      <c r="D35" s="162" t="str">
        <f>IF('Final List'!E15="","",'Final List'!E15)</f>
        <v/>
      </c>
      <c r="E35" s="162" t="str">
        <f>IF('Final List'!F15="","",'Final List'!F15)</f>
        <v/>
      </c>
      <c r="F35" s="162" t="str">
        <f>IF('Final List'!G15="","",'Final List'!G15)</f>
        <v/>
      </c>
      <c r="G35" s="162" t="str">
        <f>IF('Final List'!H15="","",'Final List'!H15)</f>
        <v/>
      </c>
      <c r="H35" s="162" t="str">
        <f>IF('Final List'!I15="","",'Final List'!I15)</f>
        <v/>
      </c>
      <c r="I35" s="159"/>
      <c r="J35" s="159"/>
    </row>
    <row r="36" spans="1:10" s="78" customFormat="1" x14ac:dyDescent="0.9">
      <c r="A36" s="162" t="str">
        <f>IF('Final List'!B16="","",'Final List'!B16)</f>
        <v/>
      </c>
      <c r="B36" s="162" t="str">
        <f>IF('Final List'!C16="","",'Final List'!C16)</f>
        <v/>
      </c>
      <c r="C36" s="162" t="str">
        <f>IF('Final List'!D16="","",'Final List'!D16)</f>
        <v/>
      </c>
      <c r="D36" s="162" t="str">
        <f>IF('Final List'!E16="","",'Final List'!E16)</f>
        <v/>
      </c>
      <c r="E36" s="162" t="str">
        <f>IF('Final List'!F16="","",'Final List'!F16)</f>
        <v/>
      </c>
      <c r="F36" s="162" t="str">
        <f>IF('Final List'!G16="","",'Final List'!G16)</f>
        <v/>
      </c>
      <c r="G36" s="162" t="str">
        <f>IF('Final List'!H16="","",'Final List'!H16)</f>
        <v/>
      </c>
      <c r="H36" s="162" t="str">
        <f>IF('Final List'!I16="","",'Final List'!I16)</f>
        <v/>
      </c>
      <c r="I36" s="159"/>
      <c r="J36" s="159"/>
    </row>
    <row r="37" spans="1:10" s="78" customFormat="1" x14ac:dyDescent="0.9">
      <c r="A37" s="162" t="str">
        <f>IF('Final List'!B17="","",'Final List'!B17)</f>
        <v/>
      </c>
      <c r="B37" s="162" t="str">
        <f>IF('Final List'!C17="","",'Final List'!C17)</f>
        <v/>
      </c>
      <c r="C37" s="162" t="str">
        <f>IF('Final List'!D17="","",'Final List'!D17)</f>
        <v/>
      </c>
      <c r="D37" s="162" t="str">
        <f>IF('Final List'!E17="","",'Final List'!E17)</f>
        <v/>
      </c>
      <c r="E37" s="162" t="str">
        <f>IF('Final List'!F17="","",'Final List'!F17)</f>
        <v/>
      </c>
      <c r="F37" s="162" t="str">
        <f>IF('Final List'!G17="","",'Final List'!G17)</f>
        <v/>
      </c>
      <c r="G37" s="162" t="str">
        <f>IF('Final List'!H17="","",'Final List'!H17)</f>
        <v/>
      </c>
      <c r="H37" s="162" t="str">
        <f>IF('Final List'!I17="","",'Final List'!I17)</f>
        <v/>
      </c>
      <c r="I37" s="159"/>
      <c r="J37" s="159"/>
    </row>
    <row r="38" spans="1:10" s="78" customFormat="1" x14ac:dyDescent="0.9">
      <c r="A38" s="162" t="str">
        <f>IF('Final List'!B18="","",'Final List'!B18)</f>
        <v/>
      </c>
      <c r="B38" s="162" t="str">
        <f>IF('Final List'!C18="","",'Final List'!C18)</f>
        <v/>
      </c>
      <c r="C38" s="162" t="str">
        <f>IF('Final List'!D18="","",'Final List'!D18)</f>
        <v/>
      </c>
      <c r="D38" s="162" t="str">
        <f>IF('Final List'!E18="","",'Final List'!E18)</f>
        <v/>
      </c>
      <c r="E38" s="162" t="str">
        <f>IF('Final List'!F18="","",'Final List'!F18)</f>
        <v/>
      </c>
      <c r="F38" s="162" t="str">
        <f>IF('Final List'!G18="","",'Final List'!G18)</f>
        <v/>
      </c>
      <c r="G38" s="162" t="str">
        <f>IF('Final List'!H18="","",'Final List'!H18)</f>
        <v/>
      </c>
      <c r="H38" s="162" t="str">
        <f>IF('Final List'!I18="","",'Final List'!I18)</f>
        <v/>
      </c>
      <c r="I38" s="159"/>
      <c r="J38" s="159"/>
    </row>
    <row r="39" spans="1:10" s="78" customFormat="1" x14ac:dyDescent="0.9">
      <c r="A39" s="162" t="str">
        <f>IF('Final List'!B19="","",'Final List'!B19)</f>
        <v/>
      </c>
      <c r="B39" s="162" t="str">
        <f>IF('Final List'!C19="","",'Final List'!C19)</f>
        <v/>
      </c>
      <c r="C39" s="162" t="str">
        <f>IF('Final List'!D19="","",'Final List'!D19)</f>
        <v/>
      </c>
      <c r="D39" s="162" t="str">
        <f>IF('Final List'!E19="","",'Final List'!E19)</f>
        <v/>
      </c>
      <c r="E39" s="162" t="str">
        <f>IF('Final List'!F19="","",'Final List'!F19)</f>
        <v/>
      </c>
      <c r="F39" s="162" t="str">
        <f>IF('Final List'!G19="","",'Final List'!G19)</f>
        <v/>
      </c>
      <c r="G39" s="162" t="str">
        <f>IF('Final List'!H19="","",'Final List'!H19)</f>
        <v/>
      </c>
      <c r="H39" s="162" t="str">
        <f>IF('Final List'!I19="","",'Final List'!I19)</f>
        <v/>
      </c>
      <c r="I39" s="159"/>
      <c r="J39" s="159"/>
    </row>
    <row r="40" spans="1:10" s="78" customFormat="1" x14ac:dyDescent="0.9">
      <c r="A40" s="162" t="str">
        <f>IF('Final List'!B20="","",'Final List'!B20)</f>
        <v/>
      </c>
      <c r="B40" s="162" t="str">
        <f>IF('Final List'!C20="","",'Final List'!C20)</f>
        <v/>
      </c>
      <c r="C40" s="162" t="str">
        <f>IF('Final List'!D20="","",'Final List'!D20)</f>
        <v/>
      </c>
      <c r="D40" s="162" t="str">
        <f>IF('Final List'!E20="","",'Final List'!E20)</f>
        <v/>
      </c>
      <c r="E40" s="162" t="str">
        <f>IF('Final List'!F20="","",'Final List'!F20)</f>
        <v/>
      </c>
      <c r="F40" s="162" t="str">
        <f>IF('Final List'!G20="","",'Final List'!G20)</f>
        <v/>
      </c>
      <c r="G40" s="162" t="str">
        <f>IF('Final List'!H20="","",'Final List'!H20)</f>
        <v/>
      </c>
      <c r="H40" s="162" t="str">
        <f>IF('Final List'!I20="","",'Final List'!I20)</f>
        <v/>
      </c>
      <c r="I40" s="159"/>
      <c r="J40" s="159"/>
    </row>
    <row r="41" spans="1:10" s="78" customFormat="1" x14ac:dyDescent="0.9">
      <c r="A41" s="162" t="str">
        <f>IF('Final List'!B21="","",'Final List'!B21)</f>
        <v/>
      </c>
      <c r="B41" s="162" t="str">
        <f>IF('Final List'!C21="","",'Final List'!C21)</f>
        <v/>
      </c>
      <c r="C41" s="162" t="str">
        <f>IF('Final List'!D21="","",'Final List'!D21)</f>
        <v/>
      </c>
      <c r="D41" s="162" t="str">
        <f>IF('Final List'!E21="","",'Final List'!E21)</f>
        <v/>
      </c>
      <c r="E41" s="162" t="str">
        <f>IF('Final List'!F21="","",'Final List'!F21)</f>
        <v/>
      </c>
      <c r="F41" s="162" t="str">
        <f>IF('Final List'!G21="","",'Final List'!G21)</f>
        <v/>
      </c>
      <c r="G41" s="162" t="str">
        <f>IF('Final List'!H21="","",'Final List'!H21)</f>
        <v/>
      </c>
      <c r="H41" s="162" t="str">
        <f>IF('Final List'!I21="","",'Final List'!I21)</f>
        <v xml:space="preserve"> </v>
      </c>
      <c r="I41" s="159"/>
      <c r="J41" s="159"/>
    </row>
    <row r="42" spans="1:10" s="78" customFormat="1" x14ac:dyDescent="0.9">
      <c r="A42" s="162" t="str">
        <f>IF('Final List'!B22="","",'Final List'!B22)</f>
        <v/>
      </c>
      <c r="B42" s="162" t="str">
        <f>IF('Final List'!C22="","",'Final List'!C22)</f>
        <v/>
      </c>
      <c r="C42" s="162" t="str">
        <f>IF('Final List'!D22="","",'Final List'!D22)</f>
        <v/>
      </c>
      <c r="D42" s="162" t="str">
        <f>IF('Final List'!E22="","",'Final List'!E22)</f>
        <v/>
      </c>
      <c r="E42" s="162" t="str">
        <f>IF('Final List'!F22="","",'Final List'!F22)</f>
        <v/>
      </c>
      <c r="F42" s="162" t="str">
        <f>IF('Final List'!G22="","",'Final List'!G22)</f>
        <v/>
      </c>
      <c r="G42" s="162" t="str">
        <f>IF('Final List'!H22="","",'Final List'!H22)</f>
        <v/>
      </c>
      <c r="H42" s="162" t="str">
        <f>IF('Final List'!I22="","",'Final List'!I22)</f>
        <v/>
      </c>
      <c r="I42" s="159"/>
      <c r="J42" s="159"/>
    </row>
    <row r="43" spans="1:10" s="78" customFormat="1" x14ac:dyDescent="0.9">
      <c r="A43" s="162" t="str">
        <f>IF('Final List'!B23="","",'Final List'!B23)</f>
        <v/>
      </c>
      <c r="B43" s="162" t="str">
        <f>IF('Final List'!C23="","",'Final List'!C23)</f>
        <v/>
      </c>
      <c r="C43" s="162" t="str">
        <f>IF('Final List'!D23="","",'Final List'!D23)</f>
        <v/>
      </c>
      <c r="D43" s="162" t="str">
        <f>IF('Final List'!E23="","",'Final List'!E23)</f>
        <v/>
      </c>
      <c r="E43" s="162" t="str">
        <f>IF('Final List'!F23="","",'Final List'!F23)</f>
        <v/>
      </c>
      <c r="F43" s="162" t="str">
        <f>IF('Final List'!G23="","",'Final List'!G23)</f>
        <v/>
      </c>
      <c r="G43" s="162" t="str">
        <f>IF('Final List'!H23="","",'Final List'!H23)</f>
        <v/>
      </c>
      <c r="H43" s="162" t="str">
        <f>IF('Final List'!I23="","",'Final List'!I23)</f>
        <v/>
      </c>
      <c r="I43" s="159"/>
      <c r="J43" s="159"/>
    </row>
    <row r="44" spans="1:10" s="78" customFormat="1" x14ac:dyDescent="0.9">
      <c r="A44" s="162" t="str">
        <f>IF('Final List'!B24="","",'Final List'!B24)</f>
        <v/>
      </c>
      <c r="B44" s="162" t="str">
        <f>IF('Final List'!C24="","",'Final List'!C24)</f>
        <v/>
      </c>
      <c r="C44" s="162" t="str">
        <f>IF('Final List'!D24="","",'Final List'!D24)</f>
        <v/>
      </c>
      <c r="D44" s="162" t="str">
        <f>IF('Final List'!E24="","",'Final List'!E24)</f>
        <v/>
      </c>
      <c r="E44" s="162" t="str">
        <f>IF('Final List'!F24="","",'Final List'!F24)</f>
        <v/>
      </c>
      <c r="F44" s="162" t="str">
        <f>IF('Final List'!G24="","",'Final List'!G24)</f>
        <v/>
      </c>
      <c r="G44" s="162" t="str">
        <f>IF('Final List'!H24="","",'Final List'!H24)</f>
        <v/>
      </c>
      <c r="H44" s="162" t="str">
        <f>IF('Final List'!I24="","",'Final List'!I24)</f>
        <v/>
      </c>
      <c r="I44" s="159"/>
      <c r="J44" s="159"/>
    </row>
    <row r="45" spans="1:10" s="78" customFormat="1" x14ac:dyDescent="0.9">
      <c r="A45" s="162" t="str">
        <f>IF('Final List'!B25="","",'Final List'!B25)</f>
        <v/>
      </c>
      <c r="B45" s="162" t="str">
        <f>IF('Final List'!C25="","",'Final List'!C25)</f>
        <v/>
      </c>
      <c r="C45" s="162" t="str">
        <f>IF('Final List'!D25="","",'Final List'!D25)</f>
        <v/>
      </c>
      <c r="D45" s="162" t="str">
        <f>IF('Final List'!E25="","",'Final List'!E25)</f>
        <v/>
      </c>
      <c r="E45" s="162" t="str">
        <f>IF('Final List'!F25="","",'Final List'!F25)</f>
        <v/>
      </c>
      <c r="F45" s="162" t="str">
        <f>IF('Final List'!G25="","",'Final List'!G25)</f>
        <v/>
      </c>
      <c r="G45" s="162" t="str">
        <f>IF('Final List'!H25="","",'Final List'!H25)</f>
        <v/>
      </c>
      <c r="H45" s="162" t="str">
        <f>IF('Final List'!I25="","",'Final List'!I25)</f>
        <v/>
      </c>
      <c r="I45" s="159"/>
      <c r="J45" s="159"/>
    </row>
    <row r="46" spans="1:10" s="78" customFormat="1" x14ac:dyDescent="0.9">
      <c r="A46" s="162" t="str">
        <f>IF('Final List'!B26="","",'Final List'!B26)</f>
        <v/>
      </c>
      <c r="B46" s="162" t="str">
        <f>IF('Final List'!C26="","",'Final List'!C26)</f>
        <v/>
      </c>
      <c r="C46" s="162" t="str">
        <f>IF('Final List'!D26="","",'Final List'!D26)</f>
        <v/>
      </c>
      <c r="D46" s="162" t="str">
        <f>IF('Final List'!E26="","",'Final List'!E26)</f>
        <v/>
      </c>
      <c r="E46" s="162" t="str">
        <f>IF('Final List'!F26="","",'Final List'!F26)</f>
        <v/>
      </c>
      <c r="F46" s="162" t="str">
        <f>IF('Final List'!G26="","",'Final List'!G26)</f>
        <v/>
      </c>
      <c r="G46" s="162" t="str">
        <f>IF('Final List'!H26="","",'Final List'!H26)</f>
        <v/>
      </c>
      <c r="H46" s="162" t="str">
        <f>IF('Final List'!I26="","",'Final List'!I26)</f>
        <v/>
      </c>
      <c r="I46" s="159"/>
      <c r="J46" s="159"/>
    </row>
    <row r="47" spans="1:10" s="78" customFormat="1" hidden="1" x14ac:dyDescent="0.9">
      <c r="A47" s="162" t="str">
        <f>IF('Final List'!B27="","",'Final List'!B27)</f>
        <v/>
      </c>
      <c r="B47" s="162" t="str">
        <f>IF('Final List'!C27="","",'Final List'!C27)</f>
        <v/>
      </c>
      <c r="C47" s="162" t="str">
        <f>IF('Final List'!D27="","",'Final List'!D27)</f>
        <v/>
      </c>
      <c r="D47" s="162" t="str">
        <f>IF('Final List'!E27="","",'Final List'!E27)</f>
        <v/>
      </c>
      <c r="E47" s="162" t="str">
        <f>IF('Final List'!F27="","",'Final List'!F27)</f>
        <v/>
      </c>
      <c r="F47" s="162" t="str">
        <f>IF('Final List'!G27="","",'Final List'!G27)</f>
        <v/>
      </c>
      <c r="G47" s="162" t="str">
        <f>IF('Final List'!H27="","",'Final List'!H27)</f>
        <v/>
      </c>
      <c r="H47" s="162" t="str">
        <f>IF('Final List'!I27="","",'Final List'!I27)</f>
        <v/>
      </c>
      <c r="I47" s="159"/>
      <c r="J47" s="159"/>
    </row>
    <row r="48" spans="1:10" s="78" customFormat="1" hidden="1" x14ac:dyDescent="0.9">
      <c r="A48" s="162" t="str">
        <f>IF('Final List'!B28="","",'Final List'!B28)</f>
        <v/>
      </c>
      <c r="B48" s="162" t="str">
        <f>IF('Final List'!C28="","",'Final List'!C28)</f>
        <v/>
      </c>
      <c r="C48" s="162" t="str">
        <f>IF('Final List'!D28="","",'Final List'!D28)</f>
        <v/>
      </c>
      <c r="D48" s="162" t="str">
        <f>IF('Final List'!E28="","",'Final List'!E28)</f>
        <v/>
      </c>
      <c r="E48" s="162" t="str">
        <f>IF('Final List'!F28="","",'Final List'!F28)</f>
        <v/>
      </c>
      <c r="F48" s="162" t="str">
        <f>IF('Final List'!G28="","",'Final List'!G28)</f>
        <v/>
      </c>
      <c r="G48" s="162" t="str">
        <f>IF('Final List'!H28="","",'Final List'!H28)</f>
        <v/>
      </c>
      <c r="H48" s="162" t="str">
        <f>IF('Final List'!I28="","",'Final List'!I28)</f>
        <v/>
      </c>
      <c r="I48" s="159"/>
      <c r="J48" s="159"/>
    </row>
    <row r="49" spans="1:10" s="78" customFormat="1" x14ac:dyDescent="0.9">
      <c r="A49" s="422" t="s">
        <v>19</v>
      </c>
      <c r="B49" s="422"/>
      <c r="C49" s="422" t="s">
        <v>396</v>
      </c>
      <c r="D49" s="422"/>
      <c r="E49" s="422" t="s">
        <v>21</v>
      </c>
      <c r="F49" s="422"/>
      <c r="G49" s="422" t="s">
        <v>22</v>
      </c>
      <c r="H49" s="422"/>
      <c r="I49" s="159"/>
      <c r="J49" s="159"/>
    </row>
    <row r="50" spans="1:10" s="78" customFormat="1" x14ac:dyDescent="0.7">
      <c r="A50" s="161" t="s">
        <v>524</v>
      </c>
      <c r="B50" s="161" t="s">
        <v>525</v>
      </c>
      <c r="C50" s="161" t="s">
        <v>524</v>
      </c>
      <c r="D50" s="161" t="s">
        <v>525</v>
      </c>
      <c r="E50" s="161" t="s">
        <v>524</v>
      </c>
      <c r="F50" s="161" t="s">
        <v>525</v>
      </c>
      <c r="G50" s="161" t="s">
        <v>524</v>
      </c>
      <c r="H50" s="161" t="s">
        <v>525</v>
      </c>
      <c r="I50" s="159"/>
      <c r="J50" s="159"/>
    </row>
    <row r="51" spans="1:10" s="78" customFormat="1" x14ac:dyDescent="0.9">
      <c r="A51" s="162" t="str">
        <f>IF('Final List'!J14="","",'Final List'!J14)</f>
        <v/>
      </c>
      <c r="B51" s="162" t="str">
        <f>IF('Final List'!K14="","",'Final List'!K14)</f>
        <v/>
      </c>
      <c r="C51" s="162" t="str">
        <f>IF('Final List'!L14="","",'Final List'!L14)</f>
        <v/>
      </c>
      <c r="D51" s="162" t="str">
        <f>IF('Final List'!M14="","",'Final List'!M14)</f>
        <v/>
      </c>
      <c r="E51" s="162" t="str">
        <f>IF('Final List'!N14="","",'Final List'!N14)</f>
        <v/>
      </c>
      <c r="F51" s="162" t="str">
        <f>IF('Final List'!O14="","",'Final List'!O14)</f>
        <v/>
      </c>
      <c r="G51" s="162" t="str">
        <f>IF('Final List'!P14="","",'Final List'!P14)</f>
        <v/>
      </c>
      <c r="H51" s="162" t="str">
        <f>IF('Final List'!Q14="","",'Final List'!Q14)</f>
        <v/>
      </c>
      <c r="I51" s="159"/>
      <c r="J51" s="159"/>
    </row>
    <row r="52" spans="1:10" s="78" customFormat="1" x14ac:dyDescent="0.9">
      <c r="A52" s="162" t="str">
        <f>IF('Final List'!J15="","",'Final List'!J15)</f>
        <v/>
      </c>
      <c r="B52" s="162" t="str">
        <f>IF('Final List'!K15="","",'Final List'!K15)</f>
        <v/>
      </c>
      <c r="C52" s="162" t="str">
        <f>IF('Final List'!L15="","",'Final List'!L15)</f>
        <v/>
      </c>
      <c r="D52" s="162" t="str">
        <f>IF('Final List'!M15="","",'Final List'!M15)</f>
        <v/>
      </c>
      <c r="E52" s="162" t="str">
        <f>IF('Final List'!N15="","",'Final List'!N15)</f>
        <v/>
      </c>
      <c r="F52" s="162" t="str">
        <f>IF('Final List'!O15="","",'Final List'!O15)</f>
        <v/>
      </c>
      <c r="G52" s="162" t="str">
        <f>IF('Final List'!P15="","",'Final List'!P15)</f>
        <v/>
      </c>
      <c r="H52" s="162" t="str">
        <f>IF('Final List'!Q15="","",'Final List'!Q15)</f>
        <v/>
      </c>
      <c r="I52" s="159"/>
      <c r="J52" s="159"/>
    </row>
    <row r="53" spans="1:10" s="78" customFormat="1" x14ac:dyDescent="0.9">
      <c r="A53" s="162" t="str">
        <f>IF('Final List'!J16="","",'Final List'!J16)</f>
        <v/>
      </c>
      <c r="B53" s="162" t="str">
        <f>IF('Final List'!K16="","",'Final List'!K16)</f>
        <v/>
      </c>
      <c r="C53" s="162" t="str">
        <f>IF('Final List'!L16="","",'Final List'!L16)</f>
        <v/>
      </c>
      <c r="D53" s="162" t="str">
        <f>IF('Final List'!M16="","",'Final List'!M16)</f>
        <v/>
      </c>
      <c r="E53" s="162" t="str">
        <f>IF('Final List'!N16="","",'Final List'!N16)</f>
        <v/>
      </c>
      <c r="F53" s="162" t="str">
        <f>IF('Final List'!O16="","",'Final List'!O16)</f>
        <v/>
      </c>
      <c r="G53" s="162" t="str">
        <f>IF('Final List'!P16="","",'Final List'!P16)</f>
        <v/>
      </c>
      <c r="H53" s="162" t="str">
        <f>IF('Final List'!Q16="","",'Final List'!Q16)</f>
        <v/>
      </c>
      <c r="I53" s="159"/>
      <c r="J53" s="159"/>
    </row>
    <row r="54" spans="1:10" s="78" customFormat="1" x14ac:dyDescent="0.9">
      <c r="A54" s="162" t="str">
        <f>IF('Final List'!J17="","",'Final List'!J17)</f>
        <v/>
      </c>
      <c r="B54" s="162" t="str">
        <f>IF('Final List'!K17="","",'Final List'!K17)</f>
        <v/>
      </c>
      <c r="C54" s="162" t="str">
        <f>IF('Final List'!L17="","",'Final List'!L17)</f>
        <v/>
      </c>
      <c r="D54" s="162" t="str">
        <f>IF('Final List'!M17="","",'Final List'!M17)</f>
        <v/>
      </c>
      <c r="E54" s="162" t="str">
        <f>IF('Final List'!N17="","",'Final List'!N17)</f>
        <v/>
      </c>
      <c r="F54" s="162" t="str">
        <f>IF('Final List'!O17="","",'Final List'!O17)</f>
        <v/>
      </c>
      <c r="G54" s="162" t="str">
        <f>IF('Final List'!P17="","",'Final List'!P17)</f>
        <v/>
      </c>
      <c r="H54" s="162" t="str">
        <f>IF('Final List'!Q17="","",'Final List'!Q17)</f>
        <v/>
      </c>
      <c r="I54" s="159"/>
      <c r="J54" s="159"/>
    </row>
    <row r="55" spans="1:10" s="78" customFormat="1" x14ac:dyDescent="0.9">
      <c r="A55" s="162" t="str">
        <f>IF('Final List'!J18="","",'Final List'!J18)</f>
        <v/>
      </c>
      <c r="B55" s="162" t="str">
        <f>IF('Final List'!K18="","",'Final List'!K18)</f>
        <v/>
      </c>
      <c r="C55" s="162" t="str">
        <f>IF('Final List'!L18="","",'Final List'!L18)</f>
        <v/>
      </c>
      <c r="D55" s="162" t="str">
        <f>IF('Final List'!M18="","",'Final List'!M18)</f>
        <v/>
      </c>
      <c r="E55" s="162" t="str">
        <f>IF('Final List'!N18="","",'Final List'!N18)</f>
        <v/>
      </c>
      <c r="F55" s="162" t="str">
        <f>IF('Final List'!O18="","",'Final List'!O18)</f>
        <v/>
      </c>
      <c r="G55" s="162" t="str">
        <f>IF('Final List'!P18="","",'Final List'!P18)</f>
        <v/>
      </c>
      <c r="H55" s="162" t="str">
        <f>IF('Final List'!Q18="","",'Final List'!Q18)</f>
        <v/>
      </c>
      <c r="I55" s="159"/>
      <c r="J55" s="159"/>
    </row>
    <row r="56" spans="1:10" s="78" customFormat="1" x14ac:dyDescent="0.9">
      <c r="A56" s="162" t="str">
        <f>IF('Final List'!J19="","",'Final List'!J19)</f>
        <v/>
      </c>
      <c r="B56" s="162" t="str">
        <f>IF('Final List'!K19="","",'Final List'!K19)</f>
        <v/>
      </c>
      <c r="C56" s="162" t="str">
        <f>IF('Final List'!L19="","",'Final List'!L19)</f>
        <v/>
      </c>
      <c r="D56" s="162" t="str">
        <f>IF('Final List'!M19="","",'Final List'!M19)</f>
        <v/>
      </c>
      <c r="E56" s="162" t="str">
        <f>IF('Final List'!N19="","",'Final List'!N19)</f>
        <v/>
      </c>
      <c r="F56" s="162" t="str">
        <f>IF('Final List'!O19="","",'Final List'!O19)</f>
        <v/>
      </c>
      <c r="G56" s="162" t="str">
        <f>IF('Final List'!P19="","",'Final List'!P19)</f>
        <v/>
      </c>
      <c r="H56" s="162" t="str">
        <f>IF('Final List'!Q19="","",'Final List'!Q19)</f>
        <v/>
      </c>
      <c r="I56" s="159"/>
      <c r="J56" s="159"/>
    </row>
    <row r="57" spans="1:10" s="78" customFormat="1" x14ac:dyDescent="0.9">
      <c r="A57" s="162" t="str">
        <f>IF('Final List'!J20="","",'Final List'!J20)</f>
        <v/>
      </c>
      <c r="B57" s="162" t="str">
        <f>IF('Final List'!K20="","",'Final List'!K20)</f>
        <v/>
      </c>
      <c r="C57" s="162" t="str">
        <f>IF('Final List'!L20="","",'Final List'!L20)</f>
        <v/>
      </c>
      <c r="D57" s="162" t="str">
        <f>IF('Final List'!M20="","",'Final List'!M20)</f>
        <v/>
      </c>
      <c r="E57" s="162" t="str">
        <f>IF('Final List'!N20="","",'Final List'!N20)</f>
        <v/>
      </c>
      <c r="F57" s="162" t="str">
        <f>IF('Final List'!O20="","",'Final List'!O20)</f>
        <v/>
      </c>
      <c r="G57" s="162" t="str">
        <f>IF('Final List'!P20="","",'Final List'!P20)</f>
        <v/>
      </c>
      <c r="H57" s="162" t="str">
        <f>IF('Final List'!Q20="","",'Final List'!Q20)</f>
        <v/>
      </c>
      <c r="I57" s="159"/>
      <c r="J57" s="159"/>
    </row>
    <row r="58" spans="1:10" s="78" customFormat="1" x14ac:dyDescent="0.9">
      <c r="A58" s="162" t="str">
        <f>IF('Final List'!J21="","",'Final List'!J21)</f>
        <v/>
      </c>
      <c r="B58" s="162" t="str">
        <f>IF('Final List'!K21="","",'Final List'!K21)</f>
        <v/>
      </c>
      <c r="C58" s="162" t="str">
        <f>IF('Final List'!L21="","",'Final List'!L21)</f>
        <v/>
      </c>
      <c r="D58" s="162" t="str">
        <f>IF('Final List'!M21="","",'Final List'!M21)</f>
        <v/>
      </c>
      <c r="E58" s="162" t="str">
        <f>IF('Final List'!N21="","",'Final List'!N21)</f>
        <v/>
      </c>
      <c r="F58" s="162" t="str">
        <f>IF('Final List'!O21="","",'Final List'!O21)</f>
        <v/>
      </c>
      <c r="G58" s="162" t="str">
        <f>IF('Final List'!P21="","",'Final List'!P21)</f>
        <v/>
      </c>
      <c r="H58" s="162" t="str">
        <f>IF('Final List'!Q21="","",'Final List'!Q21)</f>
        <v/>
      </c>
      <c r="I58" s="159"/>
      <c r="J58" s="159"/>
    </row>
    <row r="59" spans="1:10" s="78" customFormat="1" x14ac:dyDescent="0.9">
      <c r="A59" s="162" t="str">
        <f>IF('Final List'!J22="","",'Final List'!J22)</f>
        <v/>
      </c>
      <c r="B59" s="162" t="str">
        <f>IF('Final List'!K22="","",'Final List'!K22)</f>
        <v/>
      </c>
      <c r="C59" s="162" t="str">
        <f>IF('Final List'!L22="","",'Final List'!L22)</f>
        <v/>
      </c>
      <c r="D59" s="162" t="str">
        <f>IF('Final List'!M22="","",'Final List'!M22)</f>
        <v/>
      </c>
      <c r="E59" s="162" t="str">
        <f>IF('Final List'!N22="","",'Final List'!N22)</f>
        <v/>
      </c>
      <c r="F59" s="162" t="str">
        <f>IF('Final List'!O22="","",'Final List'!O22)</f>
        <v/>
      </c>
      <c r="G59" s="162" t="str">
        <f>IF('Final List'!P22="","",'Final List'!P22)</f>
        <v/>
      </c>
      <c r="H59" s="162" t="str">
        <f>IF('Final List'!Q22="","",'Final List'!Q22)</f>
        <v/>
      </c>
      <c r="I59" s="159"/>
      <c r="J59" s="159"/>
    </row>
    <row r="60" spans="1:10" s="78" customFormat="1" x14ac:dyDescent="0.9">
      <c r="A60" s="162" t="str">
        <f>IF('Final List'!J23="","",'Final List'!J23)</f>
        <v/>
      </c>
      <c r="B60" s="162" t="str">
        <f>IF('Final List'!K23="","",'Final List'!K23)</f>
        <v/>
      </c>
      <c r="C60" s="162" t="str">
        <f>IF('Final List'!L23="","",'Final List'!L23)</f>
        <v/>
      </c>
      <c r="D60" s="162" t="str">
        <f>IF('Final List'!M23="","",'Final List'!M23)</f>
        <v/>
      </c>
      <c r="E60" s="162" t="str">
        <f>IF('Final List'!N23="","",'Final List'!N23)</f>
        <v/>
      </c>
      <c r="F60" s="162" t="str">
        <f>IF('Final List'!O23="","",'Final List'!O23)</f>
        <v/>
      </c>
      <c r="G60" s="162" t="str">
        <f>IF('Final List'!P23="","",'Final List'!P23)</f>
        <v/>
      </c>
      <c r="H60" s="162" t="str">
        <f>IF('Final List'!Q23="","",'Final List'!Q23)</f>
        <v/>
      </c>
      <c r="I60" s="159"/>
      <c r="J60" s="159"/>
    </row>
    <row r="61" spans="1:10" s="78" customFormat="1" x14ac:dyDescent="0.9">
      <c r="A61" s="162" t="str">
        <f>IF('Final List'!J24="","",'Final List'!J24)</f>
        <v/>
      </c>
      <c r="B61" s="162" t="str">
        <f>IF('Final List'!K24="","",'Final List'!K24)</f>
        <v/>
      </c>
      <c r="C61" s="162" t="str">
        <f>IF('Final List'!L24="","",'Final List'!L24)</f>
        <v/>
      </c>
      <c r="D61" s="162" t="str">
        <f>IF('Final List'!M24="","",'Final List'!M24)</f>
        <v/>
      </c>
      <c r="E61" s="162" t="str">
        <f>IF('Final List'!N24="","",'Final List'!N24)</f>
        <v/>
      </c>
      <c r="F61" s="162" t="str">
        <f>IF('Final List'!O24="","",'Final List'!O24)</f>
        <v/>
      </c>
      <c r="G61" s="162" t="str">
        <f>IF('Final List'!P24="","",'Final List'!P24)</f>
        <v/>
      </c>
      <c r="H61" s="162" t="str">
        <f>IF('Final List'!Q24="","",'Final List'!Q24)</f>
        <v/>
      </c>
      <c r="I61" s="159"/>
      <c r="J61" s="159"/>
    </row>
    <row r="62" spans="1:10" s="78" customFormat="1" x14ac:dyDescent="0.9">
      <c r="A62" s="162" t="str">
        <f>IF('Final List'!J25="","",'Final List'!J25)</f>
        <v/>
      </c>
      <c r="B62" s="162" t="str">
        <f>IF('Final List'!K25="","",'Final List'!K25)</f>
        <v/>
      </c>
      <c r="C62" s="162" t="str">
        <f>IF('Final List'!L25="","",'Final List'!L25)</f>
        <v/>
      </c>
      <c r="D62" s="162" t="str">
        <f>IF('Final List'!M25="","",'Final List'!M25)</f>
        <v/>
      </c>
      <c r="E62" s="162" t="str">
        <f>IF('Final List'!N25="","",'Final List'!N25)</f>
        <v/>
      </c>
      <c r="F62" s="162" t="str">
        <f>IF('Final List'!O25="","",'Final List'!O25)</f>
        <v/>
      </c>
      <c r="G62" s="162" t="str">
        <f>IF('Final List'!P25="","",'Final List'!P25)</f>
        <v/>
      </c>
      <c r="H62" s="162" t="str">
        <f>IF('Final List'!Q25="","",'Final List'!Q25)</f>
        <v/>
      </c>
      <c r="I62" s="159"/>
      <c r="J62" s="159"/>
    </row>
    <row r="63" spans="1:10" s="78" customFormat="1" x14ac:dyDescent="0.9">
      <c r="A63" s="162" t="str">
        <f>IF('Final List'!J26="","",'Final List'!J26)</f>
        <v/>
      </c>
      <c r="B63" s="162" t="str">
        <f>IF('Final List'!K26="","",'Final List'!K26)</f>
        <v/>
      </c>
      <c r="C63" s="162" t="str">
        <f>IF('Final List'!L26="","",'Final List'!L26)</f>
        <v/>
      </c>
      <c r="D63" s="162" t="str">
        <f>IF('Final List'!M26="","",'Final List'!M26)</f>
        <v/>
      </c>
      <c r="E63" s="162" t="str">
        <f>IF('Final List'!N26="","",'Final List'!N26)</f>
        <v/>
      </c>
      <c r="F63" s="162" t="str">
        <f>IF('Final List'!O26="","",'Final List'!O26)</f>
        <v/>
      </c>
      <c r="G63" s="162" t="str">
        <f>IF('Final List'!P26="","",'Final List'!P26)</f>
        <v/>
      </c>
      <c r="H63" s="162" t="str">
        <f>IF('Final List'!Q26="","",'Final List'!Q26)</f>
        <v/>
      </c>
      <c r="I63" s="159"/>
      <c r="J63" s="159"/>
    </row>
    <row r="64" spans="1:10" s="78" customFormat="1" x14ac:dyDescent="0.9">
      <c r="A64" s="162" t="str">
        <f>IF('Final List'!J27="","",'Final List'!J27)</f>
        <v/>
      </c>
      <c r="B64" s="162" t="str">
        <f>IF('Final List'!K27="","",'Final List'!K27)</f>
        <v/>
      </c>
      <c r="C64" s="162" t="str">
        <f>IF('Final List'!L27="","",'Final List'!L27)</f>
        <v/>
      </c>
      <c r="D64" s="162" t="str">
        <f>IF('Final List'!M27="","",'Final List'!M27)</f>
        <v/>
      </c>
      <c r="E64" s="162" t="str">
        <f>IF('Final List'!N27="","",'Final List'!N27)</f>
        <v/>
      </c>
      <c r="F64" s="162" t="str">
        <f>IF('Final List'!O27="","",'Final List'!O27)</f>
        <v/>
      </c>
      <c r="G64" s="162" t="str">
        <f>IF('Final List'!P27="","",'Final List'!P27)</f>
        <v/>
      </c>
      <c r="H64" s="162" t="str">
        <f>IF('Final List'!Q27="","",'Final List'!Q27)</f>
        <v/>
      </c>
      <c r="I64" s="159"/>
      <c r="J64" s="159"/>
    </row>
    <row r="65" spans="1:10" s="78" customFormat="1" x14ac:dyDescent="0.9">
      <c r="A65" s="162" t="str">
        <f>IF('Final List'!J28="","",'Final List'!J28)</f>
        <v/>
      </c>
      <c r="B65" s="162" t="str">
        <f>IF('Final List'!K28="","",'Final List'!K28)</f>
        <v/>
      </c>
      <c r="C65" s="162" t="str">
        <f>IF('Final List'!L28="","",'Final List'!L28)</f>
        <v/>
      </c>
      <c r="D65" s="162" t="str">
        <f>IF('Final List'!M28="","",'Final List'!M28)</f>
        <v/>
      </c>
      <c r="E65" s="162" t="str">
        <f>IF('Final List'!N28="","",'Final List'!N28)</f>
        <v/>
      </c>
      <c r="F65" s="162" t="str">
        <f>IF('Final List'!O28="","",'Final List'!O28)</f>
        <v/>
      </c>
      <c r="G65" s="162" t="str">
        <f>IF('Final List'!P28="","",'Final List'!P28)</f>
        <v/>
      </c>
      <c r="H65" s="162" t="str">
        <f>IF('Final List'!Q28="","",'Final List'!Q28)</f>
        <v/>
      </c>
      <c r="I65" s="159"/>
      <c r="J65" s="159"/>
    </row>
    <row r="66" spans="1:10" s="78" customFormat="1" x14ac:dyDescent="0.9">
      <c r="A66" s="162" t="str">
        <f>IF('Final List'!J29="","",'Final List'!J29)</f>
        <v/>
      </c>
      <c r="B66" s="162" t="str">
        <f>IF('Final List'!K29="","",'Final List'!K29)</f>
        <v/>
      </c>
      <c r="C66" s="162" t="str">
        <f>IF('Final List'!L29="","",'Final List'!L29)</f>
        <v/>
      </c>
      <c r="D66" s="162" t="str">
        <f>IF('Final List'!M29="","",'Final List'!M29)</f>
        <v/>
      </c>
      <c r="E66" s="162" t="str">
        <f>IF('Final List'!N29="","",'Final List'!N29)</f>
        <v/>
      </c>
      <c r="F66" s="162" t="str">
        <f>IF('Final List'!O29="","",'Final List'!O29)</f>
        <v/>
      </c>
      <c r="G66" s="162" t="str">
        <f>IF('Final List'!P29="","",'Final List'!P29)</f>
        <v/>
      </c>
      <c r="H66" s="162" t="str">
        <f>IF('Final List'!Q29="","",'Final List'!Q29)</f>
        <v/>
      </c>
      <c r="I66" s="159"/>
      <c r="J66" s="159"/>
    </row>
    <row r="67" spans="1:10" s="78" customFormat="1" ht="219" customHeight="1" x14ac:dyDescent="0.9">
      <c r="A67" s="163"/>
      <c r="B67" s="163"/>
      <c r="C67" s="163"/>
      <c r="D67" s="163"/>
      <c r="E67" s="374" t="s">
        <v>14973</v>
      </c>
      <c r="F67" s="372"/>
      <c r="G67" s="372"/>
      <c r="H67" s="313"/>
      <c r="I67" s="159"/>
      <c r="J67" s="159"/>
    </row>
    <row r="68" spans="1:10" s="78" customFormat="1" x14ac:dyDescent="0.9">
      <c r="A68" s="163"/>
      <c r="B68" s="163"/>
      <c r="C68" s="163"/>
      <c r="D68" s="163"/>
      <c r="E68" s="365"/>
      <c r="F68" s="365" t="s">
        <v>5322</v>
      </c>
      <c r="G68" s="368"/>
      <c r="H68" s="254"/>
      <c r="I68" s="159"/>
      <c r="J68" s="159"/>
    </row>
    <row r="69" spans="1:10" s="78" customFormat="1" x14ac:dyDescent="0.9">
      <c r="A69" s="163"/>
      <c r="B69" s="163"/>
      <c r="C69" s="163"/>
      <c r="D69" s="163"/>
      <c r="E69" s="163"/>
      <c r="F69" s="365"/>
      <c r="G69" s="365"/>
      <c r="H69" s="163"/>
      <c r="I69" s="159"/>
      <c r="J69" s="159"/>
    </row>
    <row r="70" spans="1:10" s="78" customFormat="1" x14ac:dyDescent="0.9">
      <c r="A70" s="162" t="str">
        <f>IF('Final List'!M25="","",'Final List'!M25)</f>
        <v/>
      </c>
      <c r="B70" s="162" t="str">
        <f>IF('Final List'!N25="","",'Final List'!N25)</f>
        <v/>
      </c>
      <c r="C70" s="162" t="str">
        <f>IF('Final List'!L30="","",'Final List'!L30)</f>
        <v/>
      </c>
      <c r="D70" s="162" t="str">
        <f>IF('Final List'!M30="","",'Final List'!M30)</f>
        <v/>
      </c>
      <c r="E70" s="162" t="str">
        <f>IF('Final List'!N30="","",'Final List'!N30)</f>
        <v/>
      </c>
      <c r="F70" s="162" t="str">
        <f>IF('Final List'!O30="","",'Final List'!O30)</f>
        <v/>
      </c>
      <c r="G70" s="162" t="str">
        <f>IF('Final List'!P30="","",'Final List'!P30)</f>
        <v/>
      </c>
      <c r="H70" s="162" t="str">
        <f>IF('Final List'!Q30="","",'Final List'!Q30)</f>
        <v/>
      </c>
      <c r="I70" s="159"/>
      <c r="J70" s="159"/>
    </row>
    <row r="71" spans="1:10" s="78" customFormat="1" x14ac:dyDescent="0.9">
      <c r="A71" s="163" t="s">
        <v>211</v>
      </c>
      <c r="B71" s="162"/>
      <c r="C71" s="162" t="s">
        <v>250</v>
      </c>
      <c r="D71" s="162"/>
      <c r="E71" s="162" t="s">
        <v>251</v>
      </c>
      <c r="F71" s="162"/>
      <c r="G71" s="162" t="s">
        <v>18</v>
      </c>
      <c r="H71" s="162"/>
      <c r="I71" s="159"/>
      <c r="J71" s="159"/>
    </row>
    <row r="72" spans="1:10" s="78" customFormat="1" x14ac:dyDescent="0.9">
      <c r="A72" s="160">
        <f>13-COUNTIF(A34:A46,"")</f>
        <v>0</v>
      </c>
      <c r="B72" s="162"/>
      <c r="C72" s="160">
        <f>13-COUNTIFS(C34:C46,"")</f>
        <v>0</v>
      </c>
      <c r="D72" s="162"/>
      <c r="E72" s="160">
        <f>13-COUNTIFS(E34:E46,"")</f>
        <v>0</v>
      </c>
      <c r="F72" s="162"/>
      <c r="G72" s="160">
        <f>13-COUNTIFS(G34:G46,"")</f>
        <v>0</v>
      </c>
      <c r="H72" s="162"/>
      <c r="I72" s="165" t="s">
        <v>563</v>
      </c>
      <c r="J72" s="165">
        <f>A72+C72+E72+G72+A74+C74+E74+G74</f>
        <v>0</v>
      </c>
    </row>
    <row r="73" spans="1:10" s="78" customFormat="1" x14ac:dyDescent="0.9">
      <c r="A73" s="162" t="s">
        <v>19</v>
      </c>
      <c r="B73" s="162"/>
      <c r="C73" s="162" t="s">
        <v>20</v>
      </c>
      <c r="D73" s="162"/>
      <c r="E73" s="162" t="s">
        <v>21</v>
      </c>
      <c r="F73" s="162"/>
      <c r="G73" s="162" t="s">
        <v>22</v>
      </c>
      <c r="H73" s="162"/>
      <c r="I73" s="165" t="s">
        <v>564</v>
      </c>
      <c r="J73" s="165">
        <f>'Final List'!T31</f>
        <v>0</v>
      </c>
    </row>
    <row r="74" spans="1:10" s="78" customFormat="1" x14ac:dyDescent="0.9">
      <c r="A74" s="160">
        <f>16-COUNTIFS(A51:A66,"")</f>
        <v>0</v>
      </c>
      <c r="B74" s="162"/>
      <c r="C74" s="160">
        <f>16-COUNTIFS(C51:C66,"")</f>
        <v>0</v>
      </c>
      <c r="D74" s="162"/>
      <c r="E74" s="160">
        <f>16-COUNTIFS(E51:E66,"")</f>
        <v>0</v>
      </c>
      <c r="F74" s="162"/>
      <c r="G74" s="160">
        <f>16-COUNTIFS(G51:G66,"")</f>
        <v>0</v>
      </c>
      <c r="H74" s="162"/>
      <c r="I74" s="159"/>
      <c r="J74" s="159"/>
    </row>
    <row r="75" spans="1:10" s="78" customFormat="1" x14ac:dyDescent="0.9">
      <c r="A75" s="160"/>
      <c r="B75" s="162"/>
      <c r="C75" s="160"/>
      <c r="D75" s="162"/>
      <c r="E75" s="160"/>
      <c r="F75" s="162"/>
      <c r="G75" s="160"/>
      <c r="H75" s="162"/>
      <c r="I75" s="159"/>
      <c r="J75" s="159"/>
    </row>
    <row r="76" spans="1:10" s="78" customFormat="1" x14ac:dyDescent="0.9">
      <c r="A76" s="160"/>
      <c r="B76" s="162"/>
      <c r="C76" s="160"/>
      <c r="D76" s="162"/>
      <c r="E76" s="160"/>
      <c r="F76" s="162"/>
      <c r="G76" s="160"/>
      <c r="H76" s="162"/>
      <c r="I76" s="159"/>
      <c r="J76" s="159"/>
    </row>
    <row r="77" spans="1:10" s="78" customFormat="1" ht="222" customHeight="1" x14ac:dyDescent="0.9">
      <c r="A77" s="322" t="s">
        <v>8</v>
      </c>
      <c r="B77" s="321">
        <f ca="1">TODAY()</f>
        <v>46184</v>
      </c>
      <c r="C77" s="160"/>
      <c r="D77" s="160"/>
      <c r="E77" s="160"/>
      <c r="F77" s="160"/>
      <c r="G77" s="160"/>
      <c r="H77" s="323" t="str">
        <f>H31</f>
        <v>Doc.No. : ENG-PLN-FRM-002
Ver. No. : 1
Effectivity: October 25, 2024</v>
      </c>
      <c r="I77" s="159"/>
      <c r="J77" s="159"/>
    </row>
    <row r="78" spans="1:10" s="78" customFormat="1" x14ac:dyDescent="0.9">
      <c r="A78" s="422" t="s">
        <v>211</v>
      </c>
      <c r="B78" s="422"/>
      <c r="C78" s="422" t="s">
        <v>250</v>
      </c>
      <c r="D78" s="422"/>
      <c r="E78" s="422" t="s">
        <v>251</v>
      </c>
      <c r="F78" s="422"/>
      <c r="G78" s="422" t="s">
        <v>18</v>
      </c>
      <c r="H78" s="422"/>
      <c r="I78" s="159"/>
      <c r="J78" s="159"/>
    </row>
    <row r="79" spans="1:10" s="78" customFormat="1" x14ac:dyDescent="0.7">
      <c r="A79" s="161" t="s">
        <v>524</v>
      </c>
      <c r="B79" s="161" t="s">
        <v>525</v>
      </c>
      <c r="C79" s="161" t="s">
        <v>524</v>
      </c>
      <c r="D79" s="161" t="s">
        <v>525</v>
      </c>
      <c r="E79" s="161" t="s">
        <v>524</v>
      </c>
      <c r="F79" s="161" t="s">
        <v>525</v>
      </c>
      <c r="G79" s="161" t="s">
        <v>524</v>
      </c>
      <c r="H79" s="161" t="s">
        <v>525</v>
      </c>
      <c r="I79" s="159"/>
      <c r="J79" s="159"/>
    </row>
    <row r="80" spans="1:10" s="78" customFormat="1" x14ac:dyDescent="0.9">
      <c r="A80" s="162" t="str">
        <f>IF('Final List'!B32="","",'Final List'!B32)</f>
        <v/>
      </c>
      <c r="B80" s="162" t="str">
        <f>IF('Final List'!C32="","",'Final List'!C32)</f>
        <v/>
      </c>
      <c r="C80" s="162" t="str">
        <f>IF('Final List'!D32="","",'Final List'!D32)</f>
        <v/>
      </c>
      <c r="D80" s="162" t="str">
        <f>IF('Final List'!E32="","",'Final List'!E32)</f>
        <v/>
      </c>
      <c r="E80" s="162" t="str">
        <f>IF('Final List'!F32="","",'Final List'!F32)</f>
        <v/>
      </c>
      <c r="F80" s="162" t="str">
        <f>IF('Final List'!G32="","",'Final List'!G32)</f>
        <v/>
      </c>
      <c r="G80" s="162" t="str">
        <f>IF('Final List'!H32="","",'Final List'!H32)</f>
        <v/>
      </c>
      <c r="H80" s="162" t="str">
        <f>IF('Final List'!I32="","",'Final List'!I32)</f>
        <v/>
      </c>
      <c r="I80" s="159"/>
      <c r="J80" s="159"/>
    </row>
    <row r="81" spans="1:10" s="78" customFormat="1" x14ac:dyDescent="0.9">
      <c r="A81" s="162" t="str">
        <f>IF('Final List'!B33="","",'Final List'!B33)</f>
        <v/>
      </c>
      <c r="B81" s="162" t="str">
        <f>IF('Final List'!C33="","",'Final List'!C33)</f>
        <v/>
      </c>
      <c r="C81" s="162" t="str">
        <f>IF('Final List'!D33="","",'Final List'!D33)</f>
        <v/>
      </c>
      <c r="D81" s="162" t="str">
        <f>IF('Final List'!E33="","",'Final List'!E33)</f>
        <v/>
      </c>
      <c r="E81" s="162" t="str">
        <f>IF('Final List'!F33="","",'Final List'!F33)</f>
        <v/>
      </c>
      <c r="F81" s="162" t="str">
        <f>IF('Final List'!G33="","",'Final List'!G33)</f>
        <v/>
      </c>
      <c r="G81" s="162" t="str">
        <f>IF('Final List'!H33="","",'Final List'!H33)</f>
        <v/>
      </c>
      <c r="H81" s="162" t="str">
        <f>IF('Final List'!I33="","",'Final List'!I33)</f>
        <v/>
      </c>
      <c r="I81" s="159"/>
      <c r="J81" s="159"/>
    </row>
    <row r="82" spans="1:10" s="78" customFormat="1" x14ac:dyDescent="0.9">
      <c r="A82" s="162" t="str">
        <f>IF('Final List'!B34="","",'Final List'!B34)</f>
        <v/>
      </c>
      <c r="B82" s="162" t="str">
        <f>IF('Final List'!C34="","",'Final List'!C34)</f>
        <v/>
      </c>
      <c r="C82" s="162" t="str">
        <f>IF('Final List'!D34="","",'Final List'!D34)</f>
        <v/>
      </c>
      <c r="D82" s="162" t="str">
        <f>IF('Final List'!E34="","",'Final List'!E34)</f>
        <v/>
      </c>
      <c r="E82" s="162" t="str">
        <f>IF('Final List'!F34="","",'Final List'!F34)</f>
        <v/>
      </c>
      <c r="F82" s="162" t="str">
        <f>IF('Final List'!G34="","",'Final List'!G34)</f>
        <v/>
      </c>
      <c r="G82" s="162" t="str">
        <f>IF('Final List'!H34="","",'Final List'!H34)</f>
        <v/>
      </c>
      <c r="H82" s="162" t="str">
        <f>IF('Final List'!I34="","",'Final List'!I34)</f>
        <v/>
      </c>
      <c r="I82" s="159"/>
      <c r="J82" s="159"/>
    </row>
    <row r="83" spans="1:10" s="78" customFormat="1" x14ac:dyDescent="0.9">
      <c r="A83" s="162" t="str">
        <f>IF('Final List'!B35="","",'Final List'!B35)</f>
        <v/>
      </c>
      <c r="B83" s="162" t="str">
        <f>IF('Final List'!C35="","",'Final List'!C35)</f>
        <v/>
      </c>
      <c r="C83" s="162" t="str">
        <f>IF('Final List'!D35="","",'Final List'!D35)</f>
        <v/>
      </c>
      <c r="D83" s="162" t="str">
        <f>IF('Final List'!E35="","",'Final List'!E35)</f>
        <v/>
      </c>
      <c r="E83" s="162" t="str">
        <f>IF('Final List'!F35="","",'Final List'!F35)</f>
        <v/>
      </c>
      <c r="F83" s="162" t="str">
        <f>IF('Final List'!G35="","",'Final List'!G35)</f>
        <v/>
      </c>
      <c r="G83" s="162" t="str">
        <f>IF('Final List'!H35="","",'Final List'!H35)</f>
        <v/>
      </c>
      <c r="H83" s="162" t="str">
        <f>IF('Final List'!I35="","",'Final List'!I35)</f>
        <v/>
      </c>
      <c r="I83" s="159"/>
      <c r="J83" s="159"/>
    </row>
    <row r="84" spans="1:10" s="78" customFormat="1" x14ac:dyDescent="0.9">
      <c r="A84" s="162" t="str">
        <f>IF('Final List'!B36="","",'Final List'!B36)</f>
        <v/>
      </c>
      <c r="B84" s="162" t="str">
        <f>IF('Final List'!C36="","",'Final List'!C36)</f>
        <v/>
      </c>
      <c r="C84" s="162" t="str">
        <f>IF('Final List'!D36="","",'Final List'!D36)</f>
        <v/>
      </c>
      <c r="D84" s="162" t="str">
        <f>IF('Final List'!E36="","",'Final List'!E36)</f>
        <v/>
      </c>
      <c r="E84" s="162" t="str">
        <f>IF('Final List'!F36="","",'Final List'!F36)</f>
        <v/>
      </c>
      <c r="F84" s="162" t="str">
        <f>IF('Final List'!G36="","",'Final List'!G36)</f>
        <v/>
      </c>
      <c r="G84" s="162" t="str">
        <f>IF('Final List'!H36="","",'Final List'!H36)</f>
        <v/>
      </c>
      <c r="H84" s="162" t="str">
        <f>IF('Final List'!I36="","",'Final List'!I36)</f>
        <v/>
      </c>
      <c r="I84" s="159"/>
      <c r="J84" s="159"/>
    </row>
    <row r="85" spans="1:10" s="78" customFormat="1" x14ac:dyDescent="0.9">
      <c r="A85" s="162" t="str">
        <f>IF('Final List'!B37="","",'Final List'!B37)</f>
        <v/>
      </c>
      <c r="B85" s="162" t="str">
        <f>IF('Final List'!C37="","",'Final List'!C37)</f>
        <v/>
      </c>
      <c r="C85" s="162" t="str">
        <f>IF('Final List'!D37="","",'Final List'!D37)</f>
        <v/>
      </c>
      <c r="D85" s="162" t="str">
        <f>IF('Final List'!E37="","",'Final List'!E37)</f>
        <v/>
      </c>
      <c r="E85" s="162" t="str">
        <f>IF('Final List'!F37="","",'Final List'!F37)</f>
        <v/>
      </c>
      <c r="F85" s="162" t="str">
        <f>IF('Final List'!G37="","",'Final List'!G37)</f>
        <v/>
      </c>
      <c r="G85" s="162" t="str">
        <f>IF('Final List'!H37="","",'Final List'!H37)</f>
        <v/>
      </c>
      <c r="H85" s="162" t="str">
        <f>IF('Final List'!I37="","",'Final List'!I37)</f>
        <v/>
      </c>
      <c r="I85" s="159"/>
      <c r="J85" s="159"/>
    </row>
    <row r="86" spans="1:10" s="78" customFormat="1" x14ac:dyDescent="0.9">
      <c r="A86" s="162" t="str">
        <f>IF('Final List'!B38="","",'Final List'!B38)</f>
        <v/>
      </c>
      <c r="B86" s="162" t="str">
        <f>IF('Final List'!C38="","",'Final List'!C38)</f>
        <v/>
      </c>
      <c r="C86" s="162" t="str">
        <f>IF('Final List'!D38="","",'Final List'!D38)</f>
        <v/>
      </c>
      <c r="D86" s="162" t="str">
        <f>IF('Final List'!E38="","",'Final List'!E38)</f>
        <v/>
      </c>
      <c r="E86" s="162" t="str">
        <f>IF('Final List'!F38="","",'Final List'!F38)</f>
        <v/>
      </c>
      <c r="F86" s="162" t="str">
        <f>IF('Final List'!G38="","",'Final List'!G38)</f>
        <v/>
      </c>
      <c r="G86" s="162" t="str">
        <f>IF('Final List'!H38="","",'Final List'!H38)</f>
        <v/>
      </c>
      <c r="H86" s="162" t="str">
        <f>IF('Final List'!I38="","",'Final List'!I38)</f>
        <v/>
      </c>
      <c r="I86" s="159"/>
      <c r="J86" s="159"/>
    </row>
    <row r="87" spans="1:10" s="78" customFormat="1" x14ac:dyDescent="0.9">
      <c r="A87" s="162" t="str">
        <f>IF('Final List'!B39="","",'Final List'!B39)</f>
        <v/>
      </c>
      <c r="B87" s="162" t="str">
        <f>IF('Final List'!C39="","",'Final List'!C39)</f>
        <v/>
      </c>
      <c r="C87" s="162" t="str">
        <f>IF('Final List'!D39="","",'Final List'!D39)</f>
        <v/>
      </c>
      <c r="D87" s="162" t="str">
        <f>IF('Final List'!E39="","",'Final List'!E39)</f>
        <v/>
      </c>
      <c r="E87" s="162" t="str">
        <f>IF('Final List'!F39="","",'Final List'!F39)</f>
        <v/>
      </c>
      <c r="F87" s="162" t="str">
        <f>IF('Final List'!G39="","",'Final List'!G39)</f>
        <v/>
      </c>
      <c r="G87" s="162" t="str">
        <f>IF('Final List'!H39="","",'Final List'!H39)</f>
        <v/>
      </c>
      <c r="H87" s="162" t="str">
        <f>IF('Final List'!I39="","",'Final List'!I39)</f>
        <v/>
      </c>
      <c r="I87" s="159"/>
      <c r="J87" s="159"/>
    </row>
    <row r="88" spans="1:10" s="78" customFormat="1" x14ac:dyDescent="0.9">
      <c r="A88" s="162" t="str">
        <f>IF('Final List'!B40="","",'Final List'!B40)</f>
        <v/>
      </c>
      <c r="B88" s="162" t="str">
        <f>IF('Final List'!C40="","",'Final List'!C40)</f>
        <v/>
      </c>
      <c r="C88" s="162" t="str">
        <f>IF('Final List'!D40="","",'Final List'!D40)</f>
        <v/>
      </c>
      <c r="D88" s="162" t="str">
        <f>IF('Final List'!E40="","",'Final List'!E40)</f>
        <v/>
      </c>
      <c r="E88" s="162" t="str">
        <f>IF('Final List'!F40="","",'Final List'!F40)</f>
        <v/>
      </c>
      <c r="F88" s="162" t="str">
        <f>IF('Final List'!G40="","",'Final List'!G40)</f>
        <v/>
      </c>
      <c r="G88" s="162" t="str">
        <f>IF('Final List'!H40="","",'Final List'!H40)</f>
        <v/>
      </c>
      <c r="H88" s="162" t="str">
        <f>IF('Final List'!I40="","",'Final List'!I40)</f>
        <v/>
      </c>
      <c r="I88" s="159"/>
      <c r="J88" s="159"/>
    </row>
    <row r="89" spans="1:10" s="78" customFormat="1" x14ac:dyDescent="0.9">
      <c r="A89" s="162" t="str">
        <f>IF('Final List'!B41="","",'Final List'!B41)</f>
        <v/>
      </c>
      <c r="B89" s="162"/>
      <c r="C89" s="162" t="str">
        <f>IF('Final List'!D41="","",'Final List'!D41)</f>
        <v/>
      </c>
      <c r="D89" s="162" t="str">
        <f>IF('Final List'!E41="","",'Final List'!E41)</f>
        <v/>
      </c>
      <c r="E89" s="162" t="str">
        <f>IF('Final List'!F40="","",'Final List'!F40)</f>
        <v/>
      </c>
      <c r="F89" s="162" t="str">
        <f>IF('Final List'!G40="","",'Final List'!G40)</f>
        <v/>
      </c>
      <c r="G89" s="162" t="str">
        <f>IF('Final List'!H41="","",'Final List'!H41)</f>
        <v/>
      </c>
      <c r="H89" s="162" t="str">
        <f>IF('Final List'!I41="","",'Final List'!I41)</f>
        <v/>
      </c>
      <c r="I89" s="159"/>
      <c r="J89" s="159"/>
    </row>
    <row r="90" spans="1:10" s="78" customFormat="1" x14ac:dyDescent="0.9">
      <c r="A90" s="162" t="str">
        <f>IF('Final List'!B41="","",'Final List'!B41)</f>
        <v/>
      </c>
      <c r="B90" s="162" t="str">
        <f>IF('Final List'!C40="","",'Final List'!C40)</f>
        <v/>
      </c>
      <c r="C90" s="162" t="str">
        <f>IF('Final List'!D42="","",'Final List'!D42)</f>
        <v/>
      </c>
      <c r="D90" s="162" t="str">
        <f>IF('Final List'!E42="","",'Final List'!E42)</f>
        <v/>
      </c>
      <c r="E90" s="162" t="str">
        <f>IF('Final List'!F41="","",'Final List'!F41)</f>
        <v/>
      </c>
      <c r="F90" s="162" t="str">
        <f>IF('Final List'!G41="","",'Final List'!G41)</f>
        <v/>
      </c>
      <c r="G90" s="162" t="str">
        <f>IF('Final List'!H42="","",'Final List'!H42)</f>
        <v/>
      </c>
      <c r="H90" s="162" t="str">
        <f>IF('Final List'!I42="","",'Final List'!I42)</f>
        <v/>
      </c>
      <c r="I90" s="159"/>
      <c r="J90" s="159"/>
    </row>
    <row r="91" spans="1:10" s="78" customFormat="1" x14ac:dyDescent="0.9">
      <c r="A91" s="162" t="str">
        <f>IF('Final List'!B43="","",'Final List'!B43)</f>
        <v/>
      </c>
      <c r="B91" s="162" t="str">
        <f>IF('Final List'!C41="","",'Final List'!C41)</f>
        <v/>
      </c>
      <c r="C91" s="162" t="str">
        <f>IF('Final List'!D43="","",'Final List'!D43)</f>
        <v/>
      </c>
      <c r="D91" s="162" t="str">
        <f>IF('Final List'!E43="","",'Final List'!E43)</f>
        <v/>
      </c>
      <c r="E91" s="162" t="str">
        <f>IF('Final List'!F42="","",'Final List'!F42)</f>
        <v/>
      </c>
      <c r="F91" s="162" t="str">
        <f>IF('Final List'!G42="","",'Final List'!G42)</f>
        <v/>
      </c>
      <c r="G91" s="162" t="str">
        <f>IF('Final List'!H43="","",'Final List'!H43)</f>
        <v/>
      </c>
      <c r="H91" s="162" t="str">
        <f>IF('Final List'!I43="","",'Final List'!I43)</f>
        <v/>
      </c>
      <c r="I91" s="159"/>
      <c r="J91" s="159"/>
    </row>
    <row r="92" spans="1:10" s="78" customFormat="1" x14ac:dyDescent="0.9">
      <c r="A92" s="162" t="str">
        <f>IF('Final List'!B44="","",'Final List'!B44)</f>
        <v/>
      </c>
      <c r="B92" s="162" t="str">
        <f>IF('Final List'!C42="","",'Final List'!C42)</f>
        <v/>
      </c>
      <c r="C92" s="162" t="str">
        <f>IF('Final List'!D44="","",'Final List'!D44)</f>
        <v/>
      </c>
      <c r="D92" s="162" t="str">
        <f>IF('Final List'!E44="","",'Final List'!E44)</f>
        <v/>
      </c>
      <c r="E92" s="162" t="str">
        <f>IF('Final List'!F43="","",'Final List'!F43)</f>
        <v/>
      </c>
      <c r="F92" s="162" t="str">
        <f>IF('Final List'!G43="","",'Final List'!G43)</f>
        <v/>
      </c>
      <c r="G92" s="162" t="str">
        <f>IF('Final List'!H44="","",'Final List'!H44)</f>
        <v/>
      </c>
      <c r="H92" s="162" t="str">
        <f>IF('Final List'!I44="","",'Final List'!I44)</f>
        <v/>
      </c>
      <c r="I92" s="159"/>
      <c r="J92" s="159"/>
    </row>
    <row r="93" spans="1:10" s="78" customFormat="1" x14ac:dyDescent="0.9">
      <c r="A93" s="162" t="str">
        <f>IF('Final List'!B45="","",'Final List'!B45)</f>
        <v/>
      </c>
      <c r="B93" s="162" t="str">
        <f>IF('Final List'!C43="","",'Final List'!C43)</f>
        <v/>
      </c>
      <c r="C93" s="162" t="str">
        <f>IF('Final List'!D45="","",'Final List'!D45)</f>
        <v/>
      </c>
      <c r="D93" s="162" t="str">
        <f>IF('Final List'!E45="","",'Final List'!E45)</f>
        <v/>
      </c>
      <c r="E93" s="162" t="str">
        <f>IF('Final List'!F44="","",'Final List'!F44)</f>
        <v/>
      </c>
      <c r="F93" s="162" t="str">
        <f>IF('Final List'!G44="","",'Final List'!G44)</f>
        <v/>
      </c>
      <c r="G93" s="162" t="str">
        <f>IF('Final List'!H44="","",'Final List'!H44)</f>
        <v/>
      </c>
      <c r="H93" s="162" t="str">
        <f>IF('Final List'!I44="","",'Final List'!I44)</f>
        <v/>
      </c>
      <c r="I93" s="159"/>
      <c r="J93" s="159"/>
    </row>
    <row r="94" spans="1:10" s="78" customFormat="1" x14ac:dyDescent="0.9">
      <c r="A94" s="162" t="str">
        <f>IF('Final List'!B44="","",'Final List'!B44)</f>
        <v/>
      </c>
      <c r="B94" s="162" t="str">
        <f>IF('Final List'!C44="","",'Final List'!C44)</f>
        <v/>
      </c>
      <c r="C94" s="162" t="str">
        <f>IF('Final List'!D45="","",'Final List'!D45)</f>
        <v/>
      </c>
      <c r="D94" s="162" t="str">
        <f>IF('Final List'!E45="","",'Final List'!E45)</f>
        <v/>
      </c>
      <c r="E94" s="162" t="str">
        <f>IF('Final List'!F45="","",'Final List'!F45)</f>
        <v/>
      </c>
      <c r="F94" s="162" t="str">
        <f>IF('Final List'!G45="","",'Final List'!G45)</f>
        <v xml:space="preserve"> </v>
      </c>
      <c r="G94" s="162" t="str">
        <f>IF('Final List'!H44="","",'Final List'!H44)</f>
        <v/>
      </c>
      <c r="H94" s="162" t="str">
        <f>IF('Final List'!I44="","",'Final List'!I44)</f>
        <v/>
      </c>
      <c r="I94" s="159"/>
      <c r="J94" s="159"/>
    </row>
    <row r="95" spans="1:10" s="78" customFormat="1" x14ac:dyDescent="0.9">
      <c r="A95" s="422" t="s">
        <v>19</v>
      </c>
      <c r="B95" s="422"/>
      <c r="C95" s="422" t="s">
        <v>20</v>
      </c>
      <c r="D95" s="422"/>
      <c r="E95" s="422" t="s">
        <v>21</v>
      </c>
      <c r="F95" s="422"/>
      <c r="G95" s="422" t="s">
        <v>22</v>
      </c>
      <c r="H95" s="422"/>
      <c r="I95" s="159"/>
      <c r="J95" s="159"/>
    </row>
    <row r="96" spans="1:10" s="78" customFormat="1" x14ac:dyDescent="0.7">
      <c r="A96" s="161" t="s">
        <v>524</v>
      </c>
      <c r="B96" s="161" t="s">
        <v>525</v>
      </c>
      <c r="C96" s="161" t="s">
        <v>524</v>
      </c>
      <c r="D96" s="161" t="s">
        <v>525</v>
      </c>
      <c r="E96" s="161" t="s">
        <v>524</v>
      </c>
      <c r="F96" s="161" t="s">
        <v>525</v>
      </c>
      <c r="G96" s="161" t="s">
        <v>524</v>
      </c>
      <c r="H96" s="161" t="s">
        <v>525</v>
      </c>
      <c r="I96" s="159"/>
      <c r="J96" s="159"/>
    </row>
    <row r="97" spans="1:10" s="78" customFormat="1" x14ac:dyDescent="0.9">
      <c r="A97" s="162" t="str">
        <f>IF('Final List'!J32="","",'Final List'!J32)</f>
        <v/>
      </c>
      <c r="B97" s="162" t="str">
        <f>IF('Final List'!K32="","",'Final List'!K32)</f>
        <v/>
      </c>
      <c r="C97" s="162" t="str">
        <f>IF('Final List'!L32="","",'Final List'!L32)</f>
        <v/>
      </c>
      <c r="D97" s="162" t="str">
        <f>IF('Final List'!M32="","",'Final List'!M32)</f>
        <v/>
      </c>
      <c r="E97" s="162" t="str">
        <f>IF('Final List'!N32="","",'Final List'!N32)</f>
        <v/>
      </c>
      <c r="F97" s="162" t="str">
        <f>IF('Final List'!O32="","",'Final List'!O32)</f>
        <v/>
      </c>
      <c r="G97" s="162" t="str">
        <f>IF('Final List'!P32="","",'Final List'!P32)</f>
        <v/>
      </c>
      <c r="H97" s="162" t="str">
        <f>IF('Final List'!Q32="","",'Final List'!Q32)</f>
        <v/>
      </c>
      <c r="I97" s="159"/>
      <c r="J97" s="159"/>
    </row>
    <row r="98" spans="1:10" s="78" customFormat="1" x14ac:dyDescent="0.9">
      <c r="A98" s="162" t="str">
        <f>IF('Final List'!J33="","",'Final List'!J33)</f>
        <v/>
      </c>
      <c r="B98" s="162" t="str">
        <f>IF('Final List'!K33="","",'Final List'!K33)</f>
        <v/>
      </c>
      <c r="C98" s="162" t="str">
        <f>IF('Final List'!L33="","",'Final List'!L33)</f>
        <v/>
      </c>
      <c r="D98" s="162" t="str">
        <f>IF('Final List'!M33="","",'Final List'!M33)</f>
        <v/>
      </c>
      <c r="E98" s="162" t="str">
        <f>IF('Final List'!N33="","",'Final List'!N33)</f>
        <v/>
      </c>
      <c r="F98" s="162" t="str">
        <f>IF('Final List'!O33="","",'Final List'!O33)</f>
        <v/>
      </c>
      <c r="G98" s="162" t="str">
        <f>IF('Final List'!P33="","",'Final List'!P33)</f>
        <v/>
      </c>
      <c r="H98" s="162" t="str">
        <f>IF('Final List'!Q33="","",'Final List'!Q33)</f>
        <v/>
      </c>
      <c r="I98" s="159"/>
      <c r="J98" s="159"/>
    </row>
    <row r="99" spans="1:10" s="78" customFormat="1" x14ac:dyDescent="0.9">
      <c r="A99" s="162" t="str">
        <f>IF('Final List'!J34="","",'Final List'!J34)</f>
        <v/>
      </c>
      <c r="B99" s="162" t="str">
        <f>IF('Final List'!K34="","",'Final List'!K34)</f>
        <v/>
      </c>
      <c r="C99" s="162" t="str">
        <f>IF('Final List'!L34="","",'Final List'!L34)</f>
        <v/>
      </c>
      <c r="D99" s="162"/>
      <c r="E99" s="162" t="str">
        <f>IF('Final List'!N34="","",'Final List'!N34)</f>
        <v/>
      </c>
      <c r="F99" s="162" t="str">
        <f>IF('Final List'!O34="","",'Final List'!O34)</f>
        <v/>
      </c>
      <c r="G99" s="162" t="str">
        <f>IF('Final List'!P34="","",'Final List'!P34)</f>
        <v/>
      </c>
      <c r="H99" s="162" t="str">
        <f>IF('Final List'!Q34="","",'Final List'!Q34)</f>
        <v/>
      </c>
      <c r="I99" s="159"/>
      <c r="J99" s="159"/>
    </row>
    <row r="100" spans="1:10" s="78" customFormat="1" x14ac:dyDescent="0.9">
      <c r="A100" s="162" t="str">
        <f>IF('Final List'!J35="","",'Final List'!J35)</f>
        <v/>
      </c>
      <c r="B100" s="162" t="str">
        <f>IF('Final List'!K35="","",'Final List'!K35)</f>
        <v/>
      </c>
      <c r="C100" s="162" t="str">
        <f>IF('Final List'!L35="","",'Final List'!L35)</f>
        <v/>
      </c>
      <c r="D100" s="162" t="str">
        <f>IF('Final List'!M35="","",'Final List'!M35)</f>
        <v/>
      </c>
      <c r="E100" s="162" t="str">
        <f>IF('Final List'!N35="","",'Final List'!N35)</f>
        <v/>
      </c>
      <c r="F100" s="162" t="str">
        <f>IF('Final List'!O35="","",'Final List'!O35)</f>
        <v/>
      </c>
      <c r="G100" s="162" t="str">
        <f>IF('Final List'!P35="","",'Final List'!P35)</f>
        <v/>
      </c>
      <c r="H100" s="162" t="str">
        <f>IF('Final List'!Q35="","",'Final List'!Q35)</f>
        <v/>
      </c>
      <c r="I100" s="159"/>
      <c r="J100" s="159"/>
    </row>
    <row r="101" spans="1:10" s="78" customFormat="1" x14ac:dyDescent="0.9">
      <c r="A101" s="162" t="str">
        <f>IF('Final List'!J36="","",'Final List'!J36)</f>
        <v/>
      </c>
      <c r="B101" s="162" t="str">
        <f>IF('Final List'!K36="","",'Final List'!K36)</f>
        <v/>
      </c>
      <c r="C101" s="162" t="str">
        <f>IF('Final List'!L36="","",'Final List'!L36)</f>
        <v/>
      </c>
      <c r="D101" s="162" t="str">
        <f>IF('Final List'!M36="","",'Final List'!M36)</f>
        <v/>
      </c>
      <c r="E101" s="162" t="str">
        <f>IF('Final List'!N36="","",'Final List'!N36)</f>
        <v/>
      </c>
      <c r="F101" s="162" t="str">
        <f>IF('Final List'!O36="","",'Final List'!O36)</f>
        <v/>
      </c>
      <c r="G101" s="162" t="str">
        <f>IF('Final List'!P36="","",'Final List'!P36)</f>
        <v/>
      </c>
      <c r="H101" s="162" t="str">
        <f>IF('Final List'!Q36="","",'Final List'!Q36)</f>
        <v/>
      </c>
      <c r="I101" s="159"/>
      <c r="J101" s="159"/>
    </row>
    <row r="102" spans="1:10" s="78" customFormat="1" x14ac:dyDescent="0.9">
      <c r="A102" s="162" t="str">
        <f>IF('Final List'!J37="","",'Final List'!J37)</f>
        <v/>
      </c>
      <c r="B102" s="162" t="str">
        <f>IF('Final List'!K37="","",'Final List'!K37)</f>
        <v/>
      </c>
      <c r="C102" s="162" t="str">
        <f>IF('Final List'!L37="","",'Final List'!L37)</f>
        <v/>
      </c>
      <c r="D102" s="162" t="str">
        <f>IF('Final List'!M37="","",'Final List'!M37)</f>
        <v/>
      </c>
      <c r="E102" s="162" t="str">
        <f>IF('Final List'!N37="","",'Final List'!N37)</f>
        <v/>
      </c>
      <c r="F102" s="162" t="str">
        <f>IF('Final List'!O37="","",'Final List'!O37)</f>
        <v/>
      </c>
      <c r="G102" s="162" t="str">
        <f>IF('Final List'!P37="","",'Final List'!P37)</f>
        <v/>
      </c>
      <c r="H102" s="162" t="str">
        <f>IF('Final List'!Q37="","",'Final List'!Q37)</f>
        <v/>
      </c>
      <c r="I102" s="159"/>
      <c r="J102" s="159"/>
    </row>
    <row r="103" spans="1:10" s="78" customFormat="1" x14ac:dyDescent="0.9">
      <c r="A103" s="162" t="str">
        <f>IF('Final List'!J38="","",'Final List'!J38)</f>
        <v/>
      </c>
      <c r="B103" s="162" t="str">
        <f>IF('Final List'!K38="","",'Final List'!K38)</f>
        <v/>
      </c>
      <c r="C103" s="162" t="str">
        <f>IF('Final List'!L38="","",'Final List'!L38)</f>
        <v/>
      </c>
      <c r="D103" s="162" t="str">
        <f>IF('Final List'!M38="","",'Final List'!M38)</f>
        <v/>
      </c>
      <c r="E103" s="162" t="str">
        <f>IF('Final List'!N37="","",'Final List'!N37)</f>
        <v/>
      </c>
      <c r="F103" s="162" t="str">
        <f>IF('Final List'!O38="","",'Final List'!O38)</f>
        <v/>
      </c>
      <c r="G103" s="162" t="str">
        <f>IF('Final List'!P38="","",'Final List'!P38)</f>
        <v/>
      </c>
      <c r="H103" s="162" t="str">
        <f>IF('Final List'!Q38="","",'Final List'!Q38)</f>
        <v/>
      </c>
      <c r="I103" s="159"/>
      <c r="J103" s="159"/>
    </row>
    <row r="104" spans="1:10" s="78" customFormat="1" x14ac:dyDescent="0.9">
      <c r="A104" s="162" t="str">
        <f>IF('Final List'!J39="","",'Final List'!J39)</f>
        <v/>
      </c>
      <c r="B104" s="162" t="str">
        <f>IF('Final List'!K39="","",'Final List'!K39)</f>
        <v/>
      </c>
      <c r="C104" s="162" t="str">
        <f>IF('Final List'!L39="","",'Final List'!L39)</f>
        <v/>
      </c>
      <c r="D104" s="162" t="str">
        <f>IF('Final List'!M39="","",'Final List'!M39)</f>
        <v/>
      </c>
      <c r="E104" s="162" t="str">
        <f>IF('Final List'!N38="","",'Final List'!N38)</f>
        <v/>
      </c>
      <c r="F104" s="162" t="str">
        <f>IF('Final List'!O38="","",'Final List'!O38)</f>
        <v/>
      </c>
      <c r="G104" s="162" t="str">
        <f>IF('Final List'!P39="","",'Final List'!P39)</f>
        <v/>
      </c>
      <c r="H104" s="162" t="str">
        <f>IF('Final List'!Q38="","",'Final List'!Q38)</f>
        <v/>
      </c>
      <c r="I104" s="159"/>
      <c r="J104" s="159"/>
    </row>
    <row r="105" spans="1:10" s="78" customFormat="1" x14ac:dyDescent="0.9">
      <c r="A105" s="162" t="str">
        <f>IF('Final List'!J40="","",'Final List'!J40)</f>
        <v/>
      </c>
      <c r="B105" s="162" t="str">
        <f>IF('Final List'!K40="","",'Final List'!K40)</f>
        <v/>
      </c>
      <c r="C105" s="162" t="str">
        <f>IF('Final List'!L39="","",'Final List'!L39)</f>
        <v/>
      </c>
      <c r="D105" s="162" t="str">
        <f>IF('Final List'!M39="","",'Final List'!M39)</f>
        <v/>
      </c>
      <c r="E105" s="162" t="str">
        <f>IF('Final List'!N39="","",'Final List'!N39)</f>
        <v/>
      </c>
      <c r="F105" s="162" t="str">
        <f>IF('Final List'!O39="","",'Final List'!O39)</f>
        <v/>
      </c>
      <c r="G105" s="162" t="str">
        <f>IF('Final List'!P40="","",'Final List'!P40)</f>
        <v/>
      </c>
      <c r="H105" s="162" t="str">
        <f>IF('Final List'!Q39="","",'Final List'!Q39)</f>
        <v/>
      </c>
      <c r="I105" s="159"/>
      <c r="J105" s="159"/>
    </row>
    <row r="106" spans="1:10" s="78" customFormat="1" x14ac:dyDescent="0.9">
      <c r="A106" s="162" t="str">
        <f>IF('Final List'!J40="","",'Final List'!J40)</f>
        <v/>
      </c>
      <c r="B106" s="162" t="str">
        <f>IF('Final List'!K40="","",'Final List'!K40)</f>
        <v/>
      </c>
      <c r="C106" s="162" t="str">
        <f>IF('Final List'!L40="","",'Final List'!L40)</f>
        <v/>
      </c>
      <c r="D106" s="162" t="str">
        <f>IF('Final List'!M40="","",'Final List'!M40)</f>
        <v/>
      </c>
      <c r="E106" s="162" t="str">
        <f>IF('Final List'!N40="","",'Final List'!N40)</f>
        <v/>
      </c>
      <c r="F106" s="162" t="str">
        <f>IF('Final List'!O40="","",'Final List'!O40)</f>
        <v/>
      </c>
      <c r="G106" s="162" t="str">
        <f>IF('Final List'!P40="","",'Final List'!P40)</f>
        <v/>
      </c>
      <c r="H106" s="162" t="str">
        <f>IF('Final List'!Q40="","",'Final List'!Q40)</f>
        <v/>
      </c>
      <c r="I106" s="159"/>
      <c r="J106" s="159"/>
    </row>
    <row r="107" spans="1:10" s="78" customFormat="1" x14ac:dyDescent="0.9">
      <c r="A107" s="162" t="str">
        <f>IF('Final List'!J41="","",'Final List'!J41)</f>
        <v/>
      </c>
      <c r="B107" s="162" t="str">
        <f>IF('Final List'!K41="","",'Final List'!K41)</f>
        <v/>
      </c>
      <c r="C107" s="162" t="str">
        <f>IF('Final List'!L41="","",'Final List'!L41)</f>
        <v/>
      </c>
      <c r="D107" s="162" t="str">
        <f>IF('Final List'!M41="","",'Final List'!M41)</f>
        <v/>
      </c>
      <c r="E107" s="162" t="str">
        <f>IF('Final List'!N41="","",'Final List'!N41)</f>
        <v/>
      </c>
      <c r="F107" s="162" t="str">
        <f>IF('Final List'!O41="","",'Final List'!O41)</f>
        <v/>
      </c>
      <c r="G107" s="162" t="str">
        <f>IF('Final List'!P41="","",'Final List'!P41)</f>
        <v/>
      </c>
      <c r="H107" s="162" t="str">
        <f>IF('Final List'!Q41="","",'Final List'!Q41)</f>
        <v/>
      </c>
      <c r="I107" s="159"/>
      <c r="J107" s="159"/>
    </row>
    <row r="108" spans="1:10" s="78" customFormat="1" x14ac:dyDescent="0.9">
      <c r="A108" s="162" t="str">
        <f>IF('Final List'!J42="","",'Final List'!J42)</f>
        <v/>
      </c>
      <c r="B108" s="162" t="str">
        <f>IF('Final List'!K42="","",'Final List'!K42)</f>
        <v/>
      </c>
      <c r="C108" s="162" t="str">
        <f>IF('Final List'!L42="","",'Final List'!L42)</f>
        <v/>
      </c>
      <c r="D108" s="162" t="str">
        <f>IF('Final List'!M42="","",'Final List'!M42)</f>
        <v/>
      </c>
      <c r="E108" s="162" t="str">
        <f>IF('Final List'!N42="","",'Final List'!N42)</f>
        <v/>
      </c>
      <c r="F108" s="162" t="str">
        <f>IF('Final List'!O42="","",'Final List'!O42)</f>
        <v/>
      </c>
      <c r="G108" s="162" t="str">
        <f>IF('Final List'!P42="","",'Final List'!P42)</f>
        <v/>
      </c>
      <c r="H108" s="162" t="str">
        <f>IF('Final List'!Q42="","",'Final List'!Q42)</f>
        <v/>
      </c>
      <c r="I108" s="159"/>
      <c r="J108" s="159"/>
    </row>
    <row r="109" spans="1:10" s="78" customFormat="1" x14ac:dyDescent="0.9">
      <c r="A109" s="162" t="str">
        <f>IF('Final List'!J43="","",'Final List'!J43)</f>
        <v/>
      </c>
      <c r="B109" s="162" t="str">
        <f>IF('Final List'!K43="","",'Final List'!K43)</f>
        <v/>
      </c>
      <c r="C109" s="162" t="str">
        <f>IF('Final List'!L43="","",'Final List'!L43)</f>
        <v/>
      </c>
      <c r="D109" s="162" t="str">
        <f>IF('Final List'!M43="","",'Final List'!M43)</f>
        <v/>
      </c>
      <c r="E109" s="162" t="str">
        <f>IF('Final List'!N43="","",'Final List'!N43)</f>
        <v/>
      </c>
      <c r="F109" s="162" t="str">
        <f>IF('Final List'!O43="","",'Final List'!O43)</f>
        <v/>
      </c>
      <c r="G109" s="162" t="str">
        <f>IF('Final List'!P43="","",'Final List'!P43)</f>
        <v/>
      </c>
      <c r="H109" s="162" t="str">
        <f>IF('Final List'!Q43="","",'Final List'!Q43)</f>
        <v/>
      </c>
      <c r="I109" s="159"/>
      <c r="J109" s="159"/>
    </row>
    <row r="110" spans="1:10" s="78" customFormat="1" ht="200.25" customHeight="1" x14ac:dyDescent="0.9">
      <c r="A110" s="163"/>
      <c r="B110" s="163"/>
      <c r="C110" s="163"/>
      <c r="D110" s="163"/>
      <c r="E110" s="374" t="str">
        <f>E21</f>
        <v xml:space="preserve">            JC VILLARUEL  / MZ CUREG /KN PORLARES/JNS SILVEDERIO /EJ LUMACANG</v>
      </c>
      <c r="F110" s="372"/>
      <c r="G110" s="372"/>
      <c r="H110" s="313"/>
      <c r="I110" s="159"/>
      <c r="J110" s="159"/>
    </row>
    <row r="111" spans="1:10" s="78" customFormat="1" x14ac:dyDescent="0.9">
      <c r="A111" s="163"/>
      <c r="B111" s="163"/>
      <c r="C111" s="163"/>
      <c r="D111" s="163"/>
      <c r="E111" s="163"/>
      <c r="F111" s="163" t="s">
        <v>5322</v>
      </c>
      <c r="H111" s="254"/>
      <c r="I111" s="159"/>
      <c r="J111" s="159"/>
    </row>
    <row r="112" spans="1:10" s="78" customFormat="1" x14ac:dyDescent="0.9">
      <c r="A112" s="163"/>
      <c r="B112" s="163"/>
      <c r="C112" s="163"/>
      <c r="D112" s="163"/>
      <c r="E112" s="163"/>
      <c r="F112" s="163"/>
      <c r="G112" s="163"/>
      <c r="H112" s="163"/>
      <c r="I112" s="159"/>
      <c r="J112" s="159"/>
    </row>
    <row r="113" spans="1:10" s="78" customFormat="1" x14ac:dyDescent="0.9">
      <c r="A113" s="163" t="str">
        <f>IF('Final List'!J43="","",'Final List'!J43)</f>
        <v/>
      </c>
      <c r="B113" s="163" t="str">
        <f>IF('Final List'!K43="","",'Final List'!K43)</f>
        <v/>
      </c>
      <c r="C113" s="163" t="str">
        <f>IF('Final List'!L43="","",'Final List'!L43)</f>
        <v/>
      </c>
      <c r="D113" s="163" t="str">
        <f>IF('Final List'!M43="","",'Final List'!M43)</f>
        <v/>
      </c>
      <c r="E113" s="163" t="str">
        <f>IF('Final List'!N43="","",'Final List'!N43)</f>
        <v/>
      </c>
      <c r="F113" s="163" t="str">
        <f>IF('Final List'!O43="","",'Final List'!O43)</f>
        <v/>
      </c>
      <c r="G113" s="246" t="str">
        <f>IF('Final List'!P43="","",'Final List'!P43)</f>
        <v/>
      </c>
      <c r="H113" s="163" t="str">
        <f>IF('Final List'!Q43="","",'Final List'!Q43)</f>
        <v/>
      </c>
      <c r="I113" s="159"/>
      <c r="J113" s="159"/>
    </row>
    <row r="114" spans="1:10" s="78" customFormat="1" x14ac:dyDescent="0.9">
      <c r="A114" s="247" t="s">
        <v>211</v>
      </c>
      <c r="B114" s="162"/>
      <c r="C114" s="162" t="s">
        <v>250</v>
      </c>
      <c r="D114" s="162"/>
      <c r="E114" s="162" t="s">
        <v>251</v>
      </c>
      <c r="F114" s="162"/>
      <c r="G114" s="162" t="s">
        <v>18</v>
      </c>
      <c r="H114" s="162"/>
      <c r="I114" s="159"/>
      <c r="J114" s="159"/>
    </row>
    <row r="115" spans="1:10" s="78" customFormat="1" x14ac:dyDescent="0.9">
      <c r="A115" s="160">
        <f>15-COUNTIF(A80:A94,"")</f>
        <v>0</v>
      </c>
      <c r="B115" s="162"/>
      <c r="C115" s="160">
        <f>15-COUNTIFS(C80:C94,"")</f>
        <v>0</v>
      </c>
      <c r="D115" s="162"/>
      <c r="E115" s="160">
        <f>15-COUNTIFS(E80:E94,"")</f>
        <v>0</v>
      </c>
      <c r="F115" s="162"/>
      <c r="G115" s="160">
        <f>15-COUNTIFS(G80:G94,"")</f>
        <v>0</v>
      </c>
      <c r="H115" s="162"/>
      <c r="I115" s="165" t="s">
        <v>563</v>
      </c>
      <c r="J115" s="165">
        <f>A115+C115+E115+G115+A117+C117+E117+G117</f>
        <v>0</v>
      </c>
    </row>
    <row r="116" spans="1:10" s="78" customFormat="1" x14ac:dyDescent="0.9">
      <c r="A116" s="162" t="s">
        <v>19</v>
      </c>
      <c r="B116" s="162"/>
      <c r="C116" s="162" t="s">
        <v>20</v>
      </c>
      <c r="D116" s="162"/>
      <c r="E116" s="162" t="s">
        <v>21</v>
      </c>
      <c r="F116" s="162"/>
      <c r="G116" s="162" t="s">
        <v>22</v>
      </c>
      <c r="H116" s="162"/>
      <c r="I116" s="165" t="s">
        <v>564</v>
      </c>
      <c r="J116" s="165">
        <f>'Final List'!T50</f>
        <v>0</v>
      </c>
    </row>
    <row r="117" spans="1:10" s="78" customFormat="1" x14ac:dyDescent="0.9">
      <c r="A117" s="160">
        <f>13-COUNTIFS(A97:A109,"")</f>
        <v>0</v>
      </c>
      <c r="B117" s="162"/>
      <c r="C117" s="160">
        <f>13-COUNTIFS(C97:C109,"")</f>
        <v>0</v>
      </c>
      <c r="D117" s="162"/>
      <c r="E117" s="160">
        <f>13-COUNTIFS(E97:E109,"")</f>
        <v>0</v>
      </c>
      <c r="F117" s="162"/>
      <c r="G117" s="160">
        <f>13-COUNTIFS(G97:G109,"")</f>
        <v>0</v>
      </c>
      <c r="H117" s="162"/>
      <c r="I117" s="159"/>
      <c r="J117" s="159"/>
    </row>
    <row r="118" spans="1:10" s="78" customFormat="1" x14ac:dyDescent="0.9">
      <c r="A118" s="160"/>
      <c r="B118" s="162"/>
      <c r="C118" s="160"/>
      <c r="D118" s="162"/>
      <c r="E118" s="160"/>
      <c r="F118" s="162"/>
      <c r="G118" s="160"/>
      <c r="H118" s="162"/>
      <c r="I118" s="159"/>
      <c r="J118" s="159"/>
    </row>
    <row r="119" spans="1:10" s="78" customFormat="1" x14ac:dyDescent="0.9">
      <c r="A119" s="160"/>
      <c r="B119" s="162"/>
      <c r="C119" s="160"/>
      <c r="D119" s="162"/>
      <c r="E119" s="160"/>
      <c r="F119" s="162"/>
      <c r="G119" s="160"/>
      <c r="H119" s="162"/>
      <c r="I119" s="159"/>
      <c r="J119" s="159"/>
    </row>
    <row r="120" spans="1:10" s="78" customFormat="1" ht="222" customHeight="1" x14ac:dyDescent="0.9">
      <c r="A120" s="322" t="s">
        <v>10</v>
      </c>
      <c r="B120" s="321">
        <f ca="1">TODAY()</f>
        <v>46184</v>
      </c>
      <c r="C120" s="160"/>
      <c r="D120" s="160"/>
      <c r="E120" s="160"/>
      <c r="F120" s="160"/>
      <c r="G120" s="160"/>
      <c r="H120" s="323" t="str">
        <f>H77</f>
        <v>Doc.No. : ENG-PLN-FRM-002
Ver. No. : 1
Effectivity: October 25, 2024</v>
      </c>
      <c r="I120" s="159"/>
      <c r="J120" s="159"/>
    </row>
    <row r="121" spans="1:10" s="78" customFormat="1" x14ac:dyDescent="0.9">
      <c r="A121" s="422" t="s">
        <v>211</v>
      </c>
      <c r="B121" s="422"/>
      <c r="C121" s="422" t="s">
        <v>250</v>
      </c>
      <c r="D121" s="422"/>
      <c r="E121" s="422" t="s">
        <v>251</v>
      </c>
      <c r="F121" s="422"/>
      <c r="G121" s="422" t="s">
        <v>18</v>
      </c>
      <c r="H121" s="422"/>
      <c r="I121" s="159"/>
      <c r="J121" s="159"/>
    </row>
    <row r="122" spans="1:10" s="78" customFormat="1" x14ac:dyDescent="0.7">
      <c r="A122" s="161" t="s">
        <v>524</v>
      </c>
      <c r="B122" s="161" t="s">
        <v>525</v>
      </c>
      <c r="C122" s="161" t="s">
        <v>524</v>
      </c>
      <c r="D122" s="161" t="s">
        <v>525</v>
      </c>
      <c r="E122" s="161" t="s">
        <v>524</v>
      </c>
      <c r="F122" s="161" t="s">
        <v>525</v>
      </c>
      <c r="G122" s="161" t="s">
        <v>524</v>
      </c>
      <c r="H122" s="161" t="s">
        <v>525</v>
      </c>
      <c r="I122" s="159"/>
      <c r="J122" s="159"/>
    </row>
    <row r="123" spans="1:10" s="78" customFormat="1" x14ac:dyDescent="0.9">
      <c r="A123" s="162" t="str">
        <f>IF('Final List'!B51="","",'Final List'!B51)</f>
        <v/>
      </c>
      <c r="B123" s="162" t="str">
        <f>IF('Final List'!C51="","",'Final List'!C51)</f>
        <v/>
      </c>
      <c r="C123" s="162" t="str">
        <f>IF('Final List'!D51="","",'Final List'!D51)</f>
        <v/>
      </c>
      <c r="D123" s="162" t="str">
        <f>IF('Final List'!E51="","",'Final List'!E51)</f>
        <v/>
      </c>
      <c r="E123" s="162" t="str">
        <f>IF('Final List'!F51="","",'Final List'!F51)</f>
        <v/>
      </c>
      <c r="F123" s="162" t="str">
        <f>IF('Final List'!G51="","",'Final List'!G51)</f>
        <v/>
      </c>
      <c r="G123" s="162" t="str">
        <f>IF('Final List'!H51="","",'Final List'!H51)</f>
        <v/>
      </c>
      <c r="H123" s="162" t="str">
        <f>IF('Final List'!I51="","",'Final List'!I51)</f>
        <v/>
      </c>
      <c r="I123" s="159"/>
      <c r="J123" s="159"/>
    </row>
    <row r="124" spans="1:10" s="78" customFormat="1" x14ac:dyDescent="0.9">
      <c r="A124" s="162" t="str">
        <f>IF('Final List'!B52="","",'Final List'!B52)</f>
        <v/>
      </c>
      <c r="B124" s="162" t="str">
        <f>IF('Final List'!C52="","",'Final List'!C52)</f>
        <v/>
      </c>
      <c r="C124" s="162" t="str">
        <f>IF('Final List'!D52="","",'Final List'!D52)</f>
        <v/>
      </c>
      <c r="D124" s="162" t="str">
        <f>IF('Final List'!E52="","",'Final List'!E52)</f>
        <v xml:space="preserve"> </v>
      </c>
      <c r="E124" s="162" t="str">
        <f>IF('Final List'!F52="","",'Final List'!F52)</f>
        <v/>
      </c>
      <c r="F124" s="162" t="str">
        <f>IF('Final List'!G52="","",'Final List'!G52)</f>
        <v/>
      </c>
      <c r="G124" s="162" t="str">
        <f>IF('Final List'!H52="","",'Final List'!H52)</f>
        <v/>
      </c>
      <c r="H124" s="162" t="str">
        <f>IF('Final List'!I52="","",'Final List'!I52)</f>
        <v/>
      </c>
      <c r="I124" s="159"/>
      <c r="J124" s="159"/>
    </row>
    <row r="125" spans="1:10" s="78" customFormat="1" x14ac:dyDescent="0.9">
      <c r="A125" s="162" t="str">
        <f>IF('Final List'!B53="","",'Final List'!B53)</f>
        <v/>
      </c>
      <c r="B125" s="162" t="str">
        <f>IF('Final List'!C53="","",'Final List'!C53)</f>
        <v/>
      </c>
      <c r="C125" s="162" t="str">
        <f>IF('Final List'!D53="","",'Final List'!D53)</f>
        <v/>
      </c>
      <c r="D125" s="162" t="str">
        <f>IF('Final List'!E53="","",'Final List'!E53)</f>
        <v xml:space="preserve"> </v>
      </c>
      <c r="E125" s="162" t="str">
        <f>IF('Final List'!F53="","",'Final List'!F53)</f>
        <v/>
      </c>
      <c r="F125" s="162"/>
      <c r="G125" s="162" t="str">
        <f>IF('Final List'!H53="","",'Final List'!H53)</f>
        <v/>
      </c>
      <c r="H125" s="162" t="str">
        <f>IF('Final List'!I53="","",'Final List'!I53)</f>
        <v/>
      </c>
      <c r="I125" s="159"/>
      <c r="J125" s="159"/>
    </row>
    <row r="126" spans="1:10" s="78" customFormat="1" x14ac:dyDescent="0.9">
      <c r="A126" s="162" t="str">
        <f>IF('Final List'!B54="","",'Final List'!B54)</f>
        <v/>
      </c>
      <c r="B126" s="162" t="str">
        <f>IF('Final List'!C54="","",'Final List'!C54)</f>
        <v/>
      </c>
      <c r="C126" s="162" t="str">
        <f>IF('Final List'!D54="","",'Final List'!D54)</f>
        <v/>
      </c>
      <c r="D126" s="162" t="str">
        <f>IF('Final List'!E54="","",'Final List'!E54)</f>
        <v xml:space="preserve"> </v>
      </c>
      <c r="E126" s="162" t="str">
        <f>IF('Final List'!F54="","",'Final List'!F54)</f>
        <v/>
      </c>
      <c r="F126" s="162" t="str">
        <f>IF('Final List'!G54="","",'Final List'!G54)</f>
        <v/>
      </c>
      <c r="G126" s="162" t="str">
        <f>IF('Final List'!H54="","",'Final List'!H54)</f>
        <v/>
      </c>
      <c r="H126" s="162" t="str">
        <f>IF('Final List'!I54="","",'Final List'!I54)</f>
        <v/>
      </c>
      <c r="I126" s="159"/>
      <c r="J126" s="159"/>
    </row>
    <row r="127" spans="1:10" s="78" customFormat="1" x14ac:dyDescent="0.9">
      <c r="A127" s="162" t="str">
        <f>IF('Final List'!B55="","",'Final List'!B55)</f>
        <v/>
      </c>
      <c r="B127" s="162" t="str">
        <f>IF('Final List'!C55="","",'Final List'!C55)</f>
        <v/>
      </c>
      <c r="C127" s="162" t="str">
        <f>IF('Final List'!D55="","",'Final List'!D55)</f>
        <v/>
      </c>
      <c r="D127" s="162" t="str">
        <f>IF('Final List'!E55="","",'Final List'!E55)</f>
        <v xml:space="preserve"> </v>
      </c>
      <c r="E127" s="162"/>
      <c r="F127" s="162" t="str">
        <f>IF('Final List'!G55="","",'Final List'!G55)</f>
        <v/>
      </c>
      <c r="G127" s="162" t="str">
        <f>IF('Final List'!H55="","",'Final List'!H55)</f>
        <v/>
      </c>
      <c r="H127" s="162" t="str">
        <f>IF('Final List'!I55="","",'Final List'!I55)</f>
        <v/>
      </c>
      <c r="I127" s="159"/>
      <c r="J127" s="159"/>
    </row>
    <row r="128" spans="1:10" s="78" customFormat="1" x14ac:dyDescent="0.9">
      <c r="A128" s="162" t="str">
        <f>IF('Final List'!B56="","",'Final List'!B56)</f>
        <v/>
      </c>
      <c r="B128" s="162" t="str">
        <f>IF('Final List'!C56="","",'Final List'!C56)</f>
        <v/>
      </c>
      <c r="C128" s="162" t="str">
        <f>IF('Final List'!D56="","",'Final List'!D56)</f>
        <v/>
      </c>
      <c r="D128" s="162" t="str">
        <f>IF('Final List'!E56="","",'Final List'!E56)</f>
        <v xml:space="preserve"> </v>
      </c>
      <c r="E128" s="162" t="str">
        <f>IF('Final List'!F56="","",'Final List'!F56)</f>
        <v/>
      </c>
      <c r="F128" s="162" t="str">
        <f>IF('Final List'!G56="","",'Final List'!G56)</f>
        <v/>
      </c>
      <c r="G128" s="162" t="str">
        <f>IF('Final List'!H56="","",'Final List'!H56)</f>
        <v/>
      </c>
      <c r="H128" s="162" t="str">
        <f>IF('Final List'!I56="","",'Final List'!I56)</f>
        <v/>
      </c>
      <c r="I128" s="159"/>
      <c r="J128" s="159"/>
    </row>
    <row r="129" spans="1:10" s="78" customFormat="1" x14ac:dyDescent="0.9">
      <c r="A129" s="162" t="str">
        <f>IF('Final List'!B57="","",'Final List'!B57)</f>
        <v/>
      </c>
      <c r="B129" s="162" t="str">
        <f>IF('Final List'!C57="","",'Final List'!C57)</f>
        <v/>
      </c>
      <c r="C129" s="162" t="str">
        <f>IF('Final List'!D57="","",'Final List'!D57)</f>
        <v/>
      </c>
      <c r="D129" s="162" t="str">
        <f>IF('Final List'!E57="","",'Final List'!E57)</f>
        <v xml:space="preserve"> </v>
      </c>
      <c r="E129" s="162" t="str">
        <f>IF('Final List'!F57="","",'Final List'!F57)</f>
        <v/>
      </c>
      <c r="F129" s="162" t="str">
        <f>IF('Final List'!G57="","",'Final List'!G57)</f>
        <v/>
      </c>
      <c r="G129" s="162" t="str">
        <f>IF('Final List'!H57="","",'Final List'!H57)</f>
        <v/>
      </c>
      <c r="H129" s="162" t="str">
        <f>IF('Final List'!I57="","",'Final List'!I57)</f>
        <v/>
      </c>
      <c r="I129" s="159"/>
      <c r="J129" s="159"/>
    </row>
    <row r="130" spans="1:10" s="78" customFormat="1" x14ac:dyDescent="0.9">
      <c r="A130" s="162" t="str">
        <f>IF('Final List'!B58="","",'Final List'!B58)</f>
        <v/>
      </c>
      <c r="B130" s="162" t="str">
        <f>IF('Final List'!C58="","",'Final List'!C58)</f>
        <v/>
      </c>
      <c r="C130" s="162" t="str">
        <f>IF('Final List'!D58="","",'Final List'!D58)</f>
        <v/>
      </c>
      <c r="D130" s="162" t="str">
        <f>IF('Final List'!E58="","",'Final List'!E58)</f>
        <v xml:space="preserve"> </v>
      </c>
      <c r="E130" s="162" t="str">
        <f>IF('Final List'!F58="","",'Final List'!F58)</f>
        <v/>
      </c>
      <c r="F130" s="162" t="str">
        <f>IF('Final List'!G58="","",'Final List'!G58)</f>
        <v/>
      </c>
      <c r="G130" s="162" t="str">
        <f>IF('Final List'!H58="","",'Final List'!H58)</f>
        <v/>
      </c>
      <c r="H130" s="162" t="str">
        <f>IF('Final List'!I58="","",'Final List'!I58)</f>
        <v/>
      </c>
      <c r="I130" s="159"/>
      <c r="J130" s="159"/>
    </row>
    <row r="131" spans="1:10" s="78" customFormat="1" x14ac:dyDescent="0.9">
      <c r="A131" s="162" t="str">
        <f>IF('Final List'!B59="","",'Final List'!B59)</f>
        <v/>
      </c>
      <c r="B131" s="162" t="str">
        <f>IF('Final List'!C59="","",'Final List'!C59)</f>
        <v/>
      </c>
      <c r="C131" s="162" t="str">
        <f>IF('Final List'!D59="","",'Final List'!D59)</f>
        <v/>
      </c>
      <c r="D131" s="162" t="str">
        <f>IF('Final List'!E59="","",'Final List'!E59)</f>
        <v xml:space="preserve"> </v>
      </c>
      <c r="E131" s="162" t="str">
        <f>IF('Final List'!F59="","",'Final List'!F59)</f>
        <v/>
      </c>
      <c r="F131" s="162" t="str">
        <f>IF('Final List'!G59="","",'Final List'!G59)</f>
        <v/>
      </c>
      <c r="G131" s="162" t="str">
        <f>IF('Final List'!H59="","",'Final List'!H59)</f>
        <v/>
      </c>
      <c r="H131" s="162" t="str">
        <f>IF('Final List'!I59="","",'Final List'!I59)</f>
        <v/>
      </c>
      <c r="I131" s="159"/>
      <c r="J131" s="159"/>
    </row>
    <row r="132" spans="1:10" s="78" customFormat="1" x14ac:dyDescent="0.9">
      <c r="A132" s="162" t="str">
        <f>IF('Final List'!B60="","",'Final List'!B60)</f>
        <v/>
      </c>
      <c r="B132" s="162" t="str">
        <f>IF('Final List'!C60="","",'Final List'!C60)</f>
        <v/>
      </c>
      <c r="C132" s="162"/>
      <c r="D132" s="162" t="str">
        <f>IF('Final List'!E60="","",'Final List'!E60)</f>
        <v xml:space="preserve"> </v>
      </c>
      <c r="E132" s="162" t="str">
        <f>IF('Final List'!F60="","",'Final List'!F60)</f>
        <v/>
      </c>
      <c r="F132" s="162" t="str">
        <f>IF('Final List'!G60="","",'Final List'!G60)</f>
        <v/>
      </c>
      <c r="G132" s="162" t="str">
        <f>IF('Final List'!H60="","",'Final List'!H60)</f>
        <v/>
      </c>
      <c r="H132" s="162" t="str">
        <f>IF('Final List'!I60="","",'Final List'!I60)</f>
        <v/>
      </c>
      <c r="I132" s="159"/>
      <c r="J132" s="159"/>
    </row>
    <row r="133" spans="1:10" s="78" customFormat="1" x14ac:dyDescent="0.9">
      <c r="A133" s="162" t="str">
        <f>IF('Final List'!B61="","",'Final List'!B61)</f>
        <v/>
      </c>
      <c r="B133" s="162" t="str">
        <f>IF('Final List'!C61="","",'Final List'!C61)</f>
        <v/>
      </c>
      <c r="C133" s="162" t="str">
        <f>IF('Final List'!D61="","",'Final List'!D61)</f>
        <v/>
      </c>
      <c r="D133" s="162" t="str">
        <f>IF('Final List'!E61="","",'Final List'!E61)</f>
        <v xml:space="preserve"> </v>
      </c>
      <c r="E133" s="162" t="str">
        <f>IF('Final List'!F61="","",'Final List'!F61)</f>
        <v/>
      </c>
      <c r="F133" s="162" t="str">
        <f>IF('Final List'!G61="","",'Final List'!G61)</f>
        <v/>
      </c>
      <c r="G133" s="162" t="str">
        <f>IF('Final List'!H61="","",'Final List'!H61)</f>
        <v/>
      </c>
      <c r="H133" s="162" t="str">
        <f>IF('Final List'!I61="","",'Final List'!I61)</f>
        <v/>
      </c>
      <c r="I133" s="159"/>
      <c r="J133" s="159"/>
    </row>
    <row r="134" spans="1:10" s="78" customFormat="1" x14ac:dyDescent="0.9">
      <c r="A134" s="162" t="str">
        <f>IF('Final List'!B62="","",'Final List'!B62)</f>
        <v/>
      </c>
      <c r="B134" s="162" t="str">
        <f>IF('Final List'!C62="","",'Final List'!C62)</f>
        <v/>
      </c>
      <c r="C134" s="162" t="str">
        <f>IF('Final List'!D62="","",'Final List'!D62)</f>
        <v/>
      </c>
      <c r="D134" s="162" t="str">
        <f>IF('Final List'!E62="","",'Final List'!E62)</f>
        <v xml:space="preserve"> </v>
      </c>
      <c r="E134" s="162" t="str">
        <f>IF('Final List'!F62="","",'Final List'!F62)</f>
        <v/>
      </c>
      <c r="F134" s="162" t="str">
        <f>IF('Final List'!G62="","",'Final List'!G62)</f>
        <v/>
      </c>
      <c r="G134" s="162" t="str">
        <f>IF('Final List'!H62="","",'Final List'!H62)</f>
        <v/>
      </c>
      <c r="H134" s="162" t="str">
        <f>IF('Final List'!I62="","",'Final List'!I62)</f>
        <v/>
      </c>
      <c r="I134" s="159"/>
      <c r="J134" s="159"/>
    </row>
    <row r="135" spans="1:10" s="78" customFormat="1" x14ac:dyDescent="0.9">
      <c r="A135" s="162" t="str">
        <f>IF('Final List'!B63="","",'Final List'!B63)</f>
        <v/>
      </c>
      <c r="B135" s="162" t="str">
        <f>IF('Final List'!C63="","",'Final List'!C63)</f>
        <v/>
      </c>
      <c r="C135" s="162" t="str">
        <f>IF('Final List'!D63="","",'Final List'!D63)</f>
        <v/>
      </c>
      <c r="D135" s="162" t="str">
        <f>IF('Final List'!E63="","",'Final List'!E63)</f>
        <v xml:space="preserve"> </v>
      </c>
      <c r="E135" s="162" t="str">
        <f>IF('Final List'!F63="","",'Final List'!F63)</f>
        <v/>
      </c>
      <c r="F135" s="162" t="str">
        <f>IF('Final List'!G63="","",'Final List'!G63)</f>
        <v/>
      </c>
      <c r="G135" s="162" t="str">
        <f>IF('Final List'!H63="","",'Final List'!H63)</f>
        <v/>
      </c>
      <c r="H135" s="162" t="str">
        <f>IF('Final List'!I63="","",'Final List'!I63)</f>
        <v/>
      </c>
      <c r="I135" s="159"/>
      <c r="J135" s="159"/>
    </row>
    <row r="136" spans="1:10" s="78" customFormat="1" x14ac:dyDescent="0.9">
      <c r="A136" s="162" t="str">
        <f>IF('Final List'!B64="","",'Final List'!B64)</f>
        <v/>
      </c>
      <c r="B136" s="162" t="str">
        <f>IF('Final List'!C64="","",'Final List'!C64)</f>
        <v/>
      </c>
      <c r="C136" s="162" t="str">
        <f>IF('Final List'!D64="","",'Final List'!D64)</f>
        <v/>
      </c>
      <c r="D136" s="162" t="str">
        <f>IF('Final List'!E64="","",'Final List'!E64)</f>
        <v xml:space="preserve"> </v>
      </c>
      <c r="E136" s="162" t="str">
        <f>IF('Final List'!F64="","",'Final List'!F64)</f>
        <v/>
      </c>
      <c r="F136" s="162" t="str">
        <f>IF('Final List'!G64="","",'Final List'!G64)</f>
        <v/>
      </c>
      <c r="G136" s="162" t="str">
        <f>IF('Final List'!H64="","",'Final List'!H64)</f>
        <v/>
      </c>
      <c r="H136" s="162" t="str">
        <f>IF('Final List'!I64="","",'Final List'!I64)</f>
        <v/>
      </c>
      <c r="I136" s="159"/>
      <c r="J136" s="159"/>
    </row>
    <row r="137" spans="1:10" s="78" customFormat="1" x14ac:dyDescent="0.9">
      <c r="A137" s="162" t="str">
        <f>IF('Final List'!B65="","",'Final List'!B65)</f>
        <v/>
      </c>
      <c r="B137" s="162" t="str">
        <f>IF('Final List'!C65="","",'Final List'!C65)</f>
        <v/>
      </c>
      <c r="C137" s="162" t="str">
        <f>IF('Final List'!D65="","",'Final List'!D65)</f>
        <v/>
      </c>
      <c r="D137" s="162" t="str">
        <f>IF('Final List'!E65="","",'Final List'!E65)</f>
        <v xml:space="preserve"> </v>
      </c>
      <c r="E137" s="162" t="str">
        <f>IF('Final List'!F65="","",'Final List'!F65)</f>
        <v/>
      </c>
      <c r="F137" s="162" t="str">
        <f>IF('Final List'!G65="","",'Final List'!G65)</f>
        <v/>
      </c>
      <c r="G137" s="162" t="str">
        <f>IF('Final List'!H65="","",'Final List'!H65)</f>
        <v/>
      </c>
      <c r="H137" s="162" t="str">
        <f>IF('Final List'!I65="","",'Final List'!I65)</f>
        <v/>
      </c>
      <c r="I137" s="159"/>
      <c r="J137" s="159"/>
    </row>
    <row r="138" spans="1:10" s="78" customFormat="1" x14ac:dyDescent="0.9">
      <c r="A138" s="422" t="s">
        <v>19</v>
      </c>
      <c r="B138" s="422"/>
      <c r="C138" s="422" t="s">
        <v>20</v>
      </c>
      <c r="D138" s="422"/>
      <c r="E138" s="422" t="s">
        <v>21</v>
      </c>
      <c r="F138" s="422"/>
      <c r="G138" s="422" t="s">
        <v>22</v>
      </c>
      <c r="H138" s="422"/>
      <c r="I138" s="159"/>
      <c r="J138" s="159"/>
    </row>
    <row r="139" spans="1:10" s="78" customFormat="1" x14ac:dyDescent="0.7">
      <c r="A139" s="161" t="s">
        <v>524</v>
      </c>
      <c r="B139" s="161" t="s">
        <v>525</v>
      </c>
      <c r="C139" s="161" t="s">
        <v>524</v>
      </c>
      <c r="D139" s="161" t="s">
        <v>525</v>
      </c>
      <c r="E139" s="161" t="s">
        <v>524</v>
      </c>
      <c r="F139" s="161" t="s">
        <v>525</v>
      </c>
      <c r="G139" s="161" t="s">
        <v>524</v>
      </c>
      <c r="H139" s="161" t="s">
        <v>525</v>
      </c>
      <c r="I139" s="159"/>
      <c r="J139" s="159"/>
    </row>
    <row r="140" spans="1:10" s="78" customFormat="1" x14ac:dyDescent="0.9">
      <c r="A140" s="162" t="str">
        <f>IF('Final List'!J51="","",'Final List'!J51)</f>
        <v/>
      </c>
      <c r="B140" s="162" t="str">
        <f>IF('Final List'!K51="","",'Final List'!K51)</f>
        <v/>
      </c>
      <c r="C140" s="162" t="str">
        <f>IF('Final List'!L51="","",'Final List'!L51)</f>
        <v/>
      </c>
      <c r="D140" s="162" t="str">
        <f>IF('Final List'!M51="","",'Final List'!M51)</f>
        <v/>
      </c>
      <c r="E140" s="162" t="str">
        <f>IF('Final List'!N51="","",'Final List'!N51)</f>
        <v/>
      </c>
      <c r="F140" s="162" t="str">
        <f>IF('Final List'!O51="","",'Final List'!O51)</f>
        <v/>
      </c>
      <c r="G140" s="162" t="str">
        <f>IF('Final List'!P51="","",'Final List'!P51)</f>
        <v/>
      </c>
      <c r="H140" s="162" t="str">
        <f>IF('Final List'!Q51="","",'Final List'!Q51)</f>
        <v/>
      </c>
      <c r="I140" s="159"/>
      <c r="J140" s="159"/>
    </row>
    <row r="141" spans="1:10" s="78" customFormat="1" x14ac:dyDescent="0.9">
      <c r="A141" s="162" t="str">
        <f>IF('Final List'!J52="","",'Final List'!J52)</f>
        <v/>
      </c>
      <c r="B141" s="162" t="str">
        <f>IF('Final List'!K52="","",'Final List'!K52)</f>
        <v/>
      </c>
      <c r="C141" s="162" t="str">
        <f>IF('Final List'!L52="","",'Final List'!L52)</f>
        <v/>
      </c>
      <c r="D141" s="162" t="str">
        <f>IF('Final List'!M52="","",'Final List'!M52)</f>
        <v/>
      </c>
      <c r="E141" s="162" t="str">
        <f>IF('Final List'!N52="","",'Final List'!N52)</f>
        <v/>
      </c>
      <c r="F141" s="162" t="str">
        <f>IF('Final List'!O52="","",'Final List'!O52)</f>
        <v/>
      </c>
      <c r="G141" s="162" t="str">
        <f>IF('Final List'!P52="","",'Final List'!P52)</f>
        <v/>
      </c>
      <c r="H141" s="162" t="str">
        <f>IF('Final List'!Q52="","",'Final List'!Q52)</f>
        <v/>
      </c>
      <c r="I141" s="159"/>
      <c r="J141" s="159"/>
    </row>
    <row r="142" spans="1:10" s="78" customFormat="1" x14ac:dyDescent="0.9">
      <c r="A142" s="162" t="str">
        <f>IF('Final List'!J53="","",'Final List'!J53)</f>
        <v/>
      </c>
      <c r="B142" s="162" t="str">
        <f>IF('Final List'!K53="","",'Final List'!K53)</f>
        <v/>
      </c>
      <c r="C142" s="162" t="str">
        <f>IF('Final List'!L53="","",'Final List'!L53)</f>
        <v/>
      </c>
      <c r="D142" s="162" t="str">
        <f>IF('Final List'!M53="","",'Final List'!M53)</f>
        <v/>
      </c>
      <c r="E142" s="162" t="str">
        <f>IF('Final List'!N53="","",'Final List'!N53)</f>
        <v/>
      </c>
      <c r="F142" s="162" t="str">
        <f>IF('Final List'!O53="","",'Final List'!O53)</f>
        <v/>
      </c>
      <c r="G142" s="162" t="str">
        <f>IF('Final List'!P53="","",'Final List'!P53)</f>
        <v/>
      </c>
      <c r="H142" s="162" t="str">
        <f>IF('Final List'!Q53="","",'Final List'!Q53)</f>
        <v/>
      </c>
      <c r="I142" s="159"/>
      <c r="J142" s="159"/>
    </row>
    <row r="143" spans="1:10" s="78" customFormat="1" x14ac:dyDescent="0.9">
      <c r="A143" s="162" t="str">
        <f>IF('Final List'!J54="","",'Final List'!J54)</f>
        <v/>
      </c>
      <c r="B143" s="162" t="str">
        <f>IF('Final List'!K54="","",'Final List'!K54)</f>
        <v/>
      </c>
      <c r="C143" s="162" t="str">
        <f>IF('Final List'!L54="","",'Final List'!L54)</f>
        <v/>
      </c>
      <c r="D143" s="162" t="str">
        <f>IF('Final List'!M54="","",'Final List'!M54)</f>
        <v/>
      </c>
      <c r="E143" s="162" t="str">
        <f>IF('Final List'!N54="","",'Final List'!N54)</f>
        <v/>
      </c>
      <c r="F143" s="162" t="str">
        <f>IF('Final List'!O54="","",'Final List'!O54)</f>
        <v/>
      </c>
      <c r="G143" s="162" t="str">
        <f>IF('Final List'!P54="","",'Final List'!P54)</f>
        <v/>
      </c>
      <c r="H143" s="162" t="str">
        <f>IF('Final List'!Q54="","",'Final List'!Q54)</f>
        <v/>
      </c>
      <c r="I143" s="159"/>
      <c r="J143" s="159"/>
    </row>
    <row r="144" spans="1:10" s="78" customFormat="1" x14ac:dyDescent="0.9">
      <c r="A144" s="162" t="str">
        <f>IF('Final List'!J55="","",'Final List'!J55)</f>
        <v/>
      </c>
      <c r="B144" s="162" t="str">
        <f>IF('Final List'!K55="","",'Final List'!K55)</f>
        <v/>
      </c>
      <c r="C144" s="162" t="str">
        <f>IF('Final List'!L55="","",'Final List'!L55)</f>
        <v/>
      </c>
      <c r="D144" s="162" t="str">
        <f>IF('Final List'!M55="","",'Final List'!M55)</f>
        <v/>
      </c>
      <c r="E144" s="162" t="str">
        <f>IF('Final List'!N55="","",'Final List'!N55)</f>
        <v/>
      </c>
      <c r="F144" s="162" t="str">
        <f>IF('Final List'!O55="","",'Final List'!O55)</f>
        <v/>
      </c>
      <c r="G144" s="162" t="str">
        <f>IF('Final List'!P55="","",'Final List'!P55)</f>
        <v/>
      </c>
      <c r="H144" s="162" t="str">
        <f>IF('Final List'!Q55="","",'Final List'!Q55)</f>
        <v/>
      </c>
      <c r="I144" s="159"/>
      <c r="J144" s="159"/>
    </row>
    <row r="145" spans="1:10" s="78" customFormat="1" x14ac:dyDescent="0.9">
      <c r="A145" s="162" t="str">
        <f>IF('Final List'!J56="","",'Final List'!J56)</f>
        <v/>
      </c>
      <c r="B145" s="162" t="str">
        <f>IF('Final List'!K56="","",'Final List'!K56)</f>
        <v/>
      </c>
      <c r="C145" s="162" t="str">
        <f>IF('Final List'!L56="","",'Final List'!L56)</f>
        <v/>
      </c>
      <c r="D145" s="162" t="str">
        <f>IF('Final List'!M56="","",'Final List'!M56)</f>
        <v/>
      </c>
      <c r="E145" s="162" t="str">
        <f>IF('Final List'!N56="","",'Final List'!N56)</f>
        <v/>
      </c>
      <c r="F145" s="162" t="str">
        <f>IF('Final List'!O56="","",'Final List'!O56)</f>
        <v/>
      </c>
      <c r="G145" s="162" t="str">
        <f>IF('Final List'!P56="","",'Final List'!P56)</f>
        <v/>
      </c>
      <c r="H145" s="162" t="str">
        <f>IF('Final List'!Q56="","",'Final List'!Q56)</f>
        <v/>
      </c>
      <c r="I145" s="159"/>
      <c r="J145" s="159"/>
    </row>
    <row r="146" spans="1:10" s="78" customFormat="1" x14ac:dyDescent="0.9">
      <c r="A146" s="162" t="str">
        <f>IF('Final List'!J57="","",'Final List'!J57)</f>
        <v/>
      </c>
      <c r="B146" s="162" t="str">
        <f>IF('Final List'!K57="","",'Final List'!K57)</f>
        <v/>
      </c>
      <c r="C146" s="162" t="str">
        <f>IF('Final List'!L57="","",'Final List'!L57)</f>
        <v/>
      </c>
      <c r="D146" s="162" t="str">
        <f>IF('Final List'!M57="","",'Final List'!M57)</f>
        <v/>
      </c>
      <c r="E146" s="162" t="str">
        <f>IF('Final List'!N57="","",'Final List'!N57)</f>
        <v/>
      </c>
      <c r="F146" s="162" t="str">
        <f>IF('Final List'!O58="","",'Final List'!O58)</f>
        <v/>
      </c>
      <c r="G146" s="162" t="str">
        <f>IF('Final List'!P57="","",'Final List'!P57)</f>
        <v/>
      </c>
      <c r="H146" s="162" t="str">
        <f>IF('Final List'!Q57="","",'Final List'!Q57)</f>
        <v/>
      </c>
      <c r="I146" s="159"/>
      <c r="J146" s="159"/>
    </row>
    <row r="147" spans="1:10" s="78" customFormat="1" x14ac:dyDescent="0.9">
      <c r="A147" s="162"/>
      <c r="B147" s="162" t="str">
        <f>IF('Final List'!K58="","",'Final List'!K58)</f>
        <v/>
      </c>
      <c r="C147" s="162" t="str">
        <f>IF('Final List'!L58="","",'Final List'!L58)</f>
        <v/>
      </c>
      <c r="D147" s="162" t="str">
        <f>IF('Final List'!M58="","",'Final List'!M58)</f>
        <v/>
      </c>
      <c r="E147" s="162" t="str">
        <f>IF('Final List'!N58="","",'Final List'!N58)</f>
        <v/>
      </c>
      <c r="F147" s="162" t="str">
        <f>IF('Final List'!O59="","",'Final List'!O59)</f>
        <v/>
      </c>
      <c r="G147" s="162" t="str">
        <f>IF('Final List'!P58="","",'Final List'!P58)</f>
        <v/>
      </c>
      <c r="H147" s="162" t="str">
        <f>IF('Final List'!Q58="","",'Final List'!Q58)</f>
        <v/>
      </c>
      <c r="I147" s="159"/>
      <c r="J147" s="159"/>
    </row>
    <row r="148" spans="1:10" s="78" customFormat="1" x14ac:dyDescent="0.9">
      <c r="A148" s="162" t="str">
        <f>IF('Final List'!J59="","",'Final List'!J59)</f>
        <v/>
      </c>
      <c r="B148" s="162" t="str">
        <f>IF('Final List'!K59="","",'Final List'!K59)</f>
        <v/>
      </c>
      <c r="C148" s="162" t="str">
        <f>IF('Final List'!L59="","",'Final List'!L59)</f>
        <v/>
      </c>
      <c r="D148" s="162" t="str">
        <f>IF('Final List'!M59="","",'Final List'!M59)</f>
        <v/>
      </c>
      <c r="E148" s="162" t="str">
        <f>IF('Final List'!N59="","",'Final List'!N59)</f>
        <v/>
      </c>
      <c r="F148" s="162" t="str">
        <f>IF('Final List'!O60="","",'Final List'!O60)</f>
        <v/>
      </c>
      <c r="G148" s="162" t="str">
        <f>IF('Final List'!P59="","",'Final List'!P59)</f>
        <v/>
      </c>
      <c r="H148" s="162" t="str">
        <f>IF('Final List'!Q59="","",'Final List'!Q59)</f>
        <v/>
      </c>
      <c r="I148" s="159"/>
      <c r="J148" s="159"/>
    </row>
    <row r="149" spans="1:10" s="78" customFormat="1" x14ac:dyDescent="0.9">
      <c r="A149" s="162" t="str">
        <f>IF('Final List'!J60="","",'Final List'!J60)</f>
        <v/>
      </c>
      <c r="B149" s="162" t="str">
        <f>IF('Final List'!K60="","",'Final List'!K60)</f>
        <v/>
      </c>
      <c r="C149" s="162" t="str">
        <f>IF('Final List'!L60="","",'Final List'!L60)</f>
        <v/>
      </c>
      <c r="D149" s="162" t="str">
        <f>IF('Final List'!M60="","",'Final List'!M60)</f>
        <v/>
      </c>
      <c r="E149" s="162" t="str">
        <f>IF('Final List'!N60="","",'Final List'!N60)</f>
        <v/>
      </c>
      <c r="F149" s="162" t="str">
        <f>IF('Final List'!O61="","",'Final List'!O61)</f>
        <v/>
      </c>
      <c r="G149" s="162" t="str">
        <f>IF('Final List'!P60="","",'Final List'!P60)</f>
        <v/>
      </c>
      <c r="H149" s="162" t="str">
        <f>IF('Final List'!Q60="","",'Final List'!Q60)</f>
        <v/>
      </c>
      <c r="I149" s="159"/>
      <c r="J149" s="159"/>
    </row>
    <row r="150" spans="1:10" s="78" customFormat="1" x14ac:dyDescent="0.9">
      <c r="A150" s="162" t="str">
        <f>IF('Final List'!J61="","",'Final List'!J61)</f>
        <v/>
      </c>
      <c r="B150" s="162" t="str">
        <f>IF('Final List'!K61="","",'Final List'!K61)</f>
        <v/>
      </c>
      <c r="C150" s="162" t="str">
        <f>IF('Final List'!J58="","",'Final List'!J58)</f>
        <v/>
      </c>
      <c r="D150" s="162" t="str">
        <f>IF('Final List'!M61="","",'Final List'!M61)</f>
        <v/>
      </c>
      <c r="E150" s="162" t="str">
        <f>IF('Final List'!N61="","",'Final List'!N61)</f>
        <v/>
      </c>
      <c r="F150" s="162" t="str">
        <f>IF('Final List'!O62="","",'Final List'!O62)</f>
        <v/>
      </c>
      <c r="G150" s="162" t="str">
        <f>IF('Final List'!P61="","",'Final List'!P61)</f>
        <v/>
      </c>
      <c r="H150" s="162" t="str">
        <f>IF('Final List'!Q61="","",'Final List'!Q61)</f>
        <v/>
      </c>
      <c r="I150" s="159"/>
      <c r="J150" s="159"/>
    </row>
    <row r="151" spans="1:10" s="78" customFormat="1" x14ac:dyDescent="0.9">
      <c r="A151" s="162" t="str">
        <f>IF('Final List'!J62="","",'Final List'!J62)</f>
        <v/>
      </c>
      <c r="B151" s="162" t="str">
        <f>IF('Final List'!K62="","",'Final List'!K62)</f>
        <v/>
      </c>
      <c r="C151" s="162" t="str">
        <f>IF('Final List'!L62="","",'Final List'!L62)</f>
        <v/>
      </c>
      <c r="D151" s="162" t="str">
        <f>IF('Final List'!M62="","",'Final List'!M62)</f>
        <v/>
      </c>
      <c r="E151" s="162" t="str">
        <f>IF('Final List'!N62="","",'Final List'!N62)</f>
        <v/>
      </c>
      <c r="F151" s="162" t="str">
        <f>IF('Final List'!O63="","",'Final List'!O63)</f>
        <v/>
      </c>
      <c r="G151" s="162" t="str">
        <f>IF('Final List'!A61="","",'Final List'!A61)</f>
        <v/>
      </c>
      <c r="H151" s="162" t="str">
        <f>IF('Final List'!Q62="","",'Final List'!Q62)</f>
        <v/>
      </c>
      <c r="I151" s="159"/>
      <c r="J151" s="159"/>
    </row>
    <row r="152" spans="1:10" s="78" customFormat="1" x14ac:dyDescent="0.9">
      <c r="A152" s="162"/>
      <c r="B152" s="162" t="str">
        <f>IF('Final List'!K63="","",'Final List'!K63)</f>
        <v/>
      </c>
      <c r="C152" s="162" t="str">
        <f>IF('Final List'!L63="","",'Final List'!L63)</f>
        <v/>
      </c>
      <c r="D152" s="162" t="str">
        <f>IF('Final List'!M63="","",'Final List'!M63)</f>
        <v/>
      </c>
      <c r="E152" s="162" t="str">
        <f>IF('Final List'!N63="","",'Final List'!N63)</f>
        <v/>
      </c>
      <c r="F152" s="162" t="str">
        <f>IF('Final List'!O64="","",'Final List'!O64)</f>
        <v/>
      </c>
      <c r="G152" s="162" t="str">
        <f>IF('Final List'!P63="","",'Final List'!P63)</f>
        <v/>
      </c>
      <c r="H152" s="162" t="str">
        <f>IF('Final List'!Q63="","",'Final List'!Q63)</f>
        <v/>
      </c>
      <c r="I152" s="159"/>
      <c r="J152" s="159"/>
    </row>
    <row r="153" spans="1:10" s="78" customFormat="1" ht="180" customHeight="1" x14ac:dyDescent="0.9">
      <c r="A153" s="163"/>
      <c r="B153" s="163"/>
      <c r="C153" s="163"/>
      <c r="D153" s="163"/>
      <c r="E153" s="163" t="s">
        <v>40</v>
      </c>
      <c r="F153" s="374" t="str">
        <f>E21</f>
        <v xml:space="preserve">            JC VILLARUEL  / MZ CUREG /KN PORLARES/JNS SILVEDERIO /EJ LUMACANG</v>
      </c>
      <c r="G153" s="320"/>
      <c r="H153" s="320"/>
      <c r="I153" s="159"/>
      <c r="J153" s="159"/>
    </row>
    <row r="154" spans="1:10" s="78" customFormat="1" x14ac:dyDescent="0.9">
      <c r="A154" s="163"/>
      <c r="B154" s="163"/>
      <c r="C154" s="163"/>
      <c r="D154" s="163"/>
      <c r="E154" s="163"/>
      <c r="F154" s="163" t="s">
        <v>13724</v>
      </c>
      <c r="H154" s="254"/>
      <c r="I154" s="159"/>
      <c r="J154" s="159"/>
    </row>
    <row r="155" spans="1:10" s="78" customFormat="1" x14ac:dyDescent="0.9">
      <c r="A155" s="163"/>
      <c r="B155" s="163"/>
      <c r="C155" s="163"/>
      <c r="D155" s="163"/>
      <c r="E155" s="163"/>
      <c r="F155" s="163"/>
      <c r="G155" s="163"/>
      <c r="H155" s="163"/>
      <c r="I155" s="159"/>
      <c r="J155" s="159"/>
    </row>
    <row r="156" spans="1:10" s="78" customFormat="1" x14ac:dyDescent="0.9">
      <c r="A156" s="162" t="str">
        <f>IF('Final List'!J64="","",'Final List'!J64)</f>
        <v/>
      </c>
      <c r="B156" s="162" t="str">
        <f>IF('Final List'!K64="","",'Final List'!K64)</f>
        <v/>
      </c>
      <c r="C156" s="162" t="str">
        <f>IF('Final List'!L64="","",'Final List'!L64)</f>
        <v/>
      </c>
      <c r="D156" s="162" t="str">
        <f>IF('Final List'!M64="","",'Final List'!M64)</f>
        <v/>
      </c>
      <c r="E156" s="162" t="str">
        <f>IF('Final List'!N64="","",'Final List'!N64)</f>
        <v/>
      </c>
      <c r="F156" s="162">
        <v>2</v>
      </c>
      <c r="G156" s="162" t="str">
        <f>IF('Final List'!P64="","",'Final List'!P64)</f>
        <v/>
      </c>
      <c r="H156" s="162" t="str">
        <f>IF('Final List'!Q64="","",'Final List'!Q64)</f>
        <v/>
      </c>
      <c r="I156" s="159"/>
      <c r="J156" s="159"/>
    </row>
    <row r="157" spans="1:10" s="78" customFormat="1" x14ac:dyDescent="0.9">
      <c r="A157" s="163" t="s">
        <v>211</v>
      </c>
      <c r="B157" s="162"/>
      <c r="C157" s="162" t="s">
        <v>250</v>
      </c>
      <c r="D157" s="162"/>
      <c r="E157" s="162" t="s">
        <v>251</v>
      </c>
      <c r="F157" s="162"/>
      <c r="G157" s="162" t="s">
        <v>18</v>
      </c>
      <c r="H157" s="162"/>
      <c r="I157" s="159"/>
      <c r="J157" s="159"/>
    </row>
    <row r="158" spans="1:10" s="78" customFormat="1" x14ac:dyDescent="0.9">
      <c r="A158" s="160">
        <f>15-COUNTIF(A123:A137,"")</f>
        <v>0</v>
      </c>
      <c r="B158" s="162"/>
      <c r="C158" s="160">
        <f>15-COUNTIFS(C123:C137,"")</f>
        <v>0</v>
      </c>
      <c r="D158" s="162"/>
      <c r="E158" s="160">
        <f>15-COUNTIFS(E123:E137,"")</f>
        <v>0</v>
      </c>
      <c r="F158" s="162"/>
      <c r="G158" s="160">
        <f>15-COUNTIFS(G123:G137,"")</f>
        <v>0</v>
      </c>
      <c r="H158" s="162"/>
      <c r="I158" s="165" t="s">
        <v>563</v>
      </c>
      <c r="J158" s="165">
        <f>A158+C158+E158+G158+A160+C160+E160+G160</f>
        <v>0</v>
      </c>
    </row>
    <row r="159" spans="1:10" s="78" customFormat="1" x14ac:dyDescent="0.9">
      <c r="A159" s="162" t="s">
        <v>19</v>
      </c>
      <c r="B159" s="162"/>
      <c r="C159" s="162" t="s">
        <v>20</v>
      </c>
      <c r="D159" s="162"/>
      <c r="E159" s="162" t="s">
        <v>21</v>
      </c>
      <c r="F159" s="162"/>
      <c r="G159" s="162" t="s">
        <v>22</v>
      </c>
      <c r="H159" s="162"/>
      <c r="I159" s="165" t="s">
        <v>564</v>
      </c>
      <c r="J159" s="165">
        <f>'Final List'!T69</f>
        <v>0</v>
      </c>
    </row>
    <row r="160" spans="1:10" s="78" customFormat="1" x14ac:dyDescent="0.9">
      <c r="A160" s="160">
        <f>13-COUNTIFS(A140:A152,"")</f>
        <v>0</v>
      </c>
      <c r="B160" s="162"/>
      <c r="C160" s="160">
        <f>13-COUNTIFS(C140:C152,"")</f>
        <v>0</v>
      </c>
      <c r="D160" s="162"/>
      <c r="E160" s="160">
        <f>13-COUNTIFS(E140:E152,"")</f>
        <v>0</v>
      </c>
      <c r="F160" s="162"/>
      <c r="G160" s="160">
        <f>13-COUNTIFS(G140:G152,"")</f>
        <v>0</v>
      </c>
      <c r="H160" s="162"/>
      <c r="I160" s="159"/>
      <c r="J160" s="159"/>
    </row>
    <row r="161" spans="1:10" s="78" customFormat="1" x14ac:dyDescent="0.9">
      <c r="A161" s="160"/>
      <c r="B161" s="162"/>
      <c r="C161" s="160"/>
      <c r="D161" s="162"/>
      <c r="E161" s="160"/>
      <c r="F161" s="162"/>
      <c r="G161" s="160"/>
      <c r="H161" s="162"/>
      <c r="I161" s="159"/>
      <c r="J161" s="159"/>
    </row>
    <row r="162" spans="1:10" s="78" customFormat="1" x14ac:dyDescent="0.9">
      <c r="A162" s="160"/>
      <c r="B162" s="162"/>
      <c r="C162" s="160"/>
      <c r="D162" s="162"/>
      <c r="E162" s="160"/>
      <c r="F162" s="162"/>
      <c r="G162" s="160"/>
      <c r="H162" s="162"/>
      <c r="I162" s="159"/>
      <c r="J162" s="159"/>
    </row>
    <row r="163" spans="1:10" s="78" customFormat="1" ht="222" customHeight="1" x14ac:dyDescent="0.9">
      <c r="A163" s="322" t="s">
        <v>12</v>
      </c>
      <c r="B163" s="321">
        <f ca="1">TODAY()</f>
        <v>46184</v>
      </c>
      <c r="C163" s="160"/>
      <c r="D163" s="160"/>
      <c r="E163" s="160"/>
      <c r="F163" s="160"/>
      <c r="G163" s="160"/>
      <c r="H163" s="323" t="str">
        <f>H120</f>
        <v>Doc.No. : ENG-PLN-FRM-002
Ver. No. : 1
Effectivity: October 25, 2024</v>
      </c>
      <c r="I163" s="159"/>
      <c r="J163" s="159"/>
    </row>
    <row r="164" spans="1:10" s="78" customFormat="1" x14ac:dyDescent="0.9">
      <c r="A164" s="422" t="s">
        <v>211</v>
      </c>
      <c r="B164" s="422"/>
      <c r="C164" s="422" t="s">
        <v>250</v>
      </c>
      <c r="D164" s="422"/>
      <c r="E164" s="422" t="s">
        <v>251</v>
      </c>
      <c r="F164" s="422"/>
      <c r="G164" s="422" t="s">
        <v>18</v>
      </c>
      <c r="H164" s="422"/>
      <c r="I164" s="159"/>
      <c r="J164" s="159"/>
    </row>
    <row r="165" spans="1:10" s="78" customFormat="1" x14ac:dyDescent="0.7">
      <c r="A165" s="161" t="s">
        <v>524</v>
      </c>
      <c r="B165" s="161" t="s">
        <v>525</v>
      </c>
      <c r="C165" s="161" t="s">
        <v>524</v>
      </c>
      <c r="D165" s="161" t="s">
        <v>525</v>
      </c>
      <c r="E165" s="161" t="s">
        <v>524</v>
      </c>
      <c r="F165" s="161" t="s">
        <v>525</v>
      </c>
      <c r="G165" s="161" t="s">
        <v>524</v>
      </c>
      <c r="H165" s="161" t="s">
        <v>525</v>
      </c>
      <c r="I165" s="159"/>
      <c r="J165" s="159"/>
    </row>
    <row r="166" spans="1:10" s="78" customFormat="1" x14ac:dyDescent="0.9">
      <c r="A166" s="162" t="str">
        <f>IF('Final List'!B70="","",'Final List'!B70)</f>
        <v/>
      </c>
      <c r="B166" s="162" t="str">
        <f>IF('Final List'!C70="","",'Final List'!C70)</f>
        <v/>
      </c>
      <c r="C166" s="162" t="str">
        <f>IF('Final List'!D70="","",'Final List'!D70)</f>
        <v/>
      </c>
      <c r="D166" s="162" t="str">
        <f>IF('Final List'!E70="","",'Final List'!E70)</f>
        <v/>
      </c>
      <c r="E166" s="162" t="str">
        <f>IF('Final List'!F70="","",'Final List'!F70)</f>
        <v/>
      </c>
      <c r="F166" s="162" t="str">
        <f>IF('Final List'!G70="","",'Final List'!G70)</f>
        <v/>
      </c>
      <c r="G166" s="162" t="str">
        <f>IF('Final List'!H70="","",'Final List'!H70)</f>
        <v/>
      </c>
      <c r="H166" s="162" t="str">
        <f>IF('Final List'!I70="","",'Final List'!I70)</f>
        <v/>
      </c>
      <c r="I166" s="159"/>
      <c r="J166" s="159"/>
    </row>
    <row r="167" spans="1:10" s="78" customFormat="1" x14ac:dyDescent="0.9">
      <c r="A167" s="162" t="str">
        <f>IF('Final List'!B71="","",'Final List'!B71)</f>
        <v/>
      </c>
      <c r="B167" s="162" t="str">
        <f>IF('Final List'!C71="","",'Final List'!C71)</f>
        <v/>
      </c>
      <c r="C167" s="162" t="str">
        <f>IF('Final List'!D71="","",'Final List'!D71)</f>
        <v/>
      </c>
      <c r="D167" s="162" t="str">
        <f>IF('Final List'!E71="","",'Final List'!E71)</f>
        <v/>
      </c>
      <c r="E167" s="162" t="str">
        <f>IF('Final List'!F71="","",'Final List'!F71)</f>
        <v/>
      </c>
      <c r="F167" s="162" t="str">
        <f>IF('Final List'!G71="","",'Final List'!G71)</f>
        <v/>
      </c>
      <c r="G167" s="162" t="str">
        <f>IF('Final List'!H71="","",'Final List'!H71)</f>
        <v/>
      </c>
      <c r="H167" s="162" t="str">
        <f>IF('Final List'!I71="","",'Final List'!I71)</f>
        <v/>
      </c>
      <c r="I167" s="159"/>
      <c r="J167" s="159"/>
    </row>
    <row r="168" spans="1:10" s="78" customFormat="1" x14ac:dyDescent="0.9">
      <c r="A168" s="162" t="str">
        <f>IF('Final List'!B72="","",'Final List'!B72)</f>
        <v/>
      </c>
      <c r="B168" s="162" t="str">
        <f>IF('Final List'!C72="","",'Final List'!C72)</f>
        <v/>
      </c>
      <c r="C168" s="162" t="str">
        <f>IF('Final List'!D72="","",'Final List'!D72)</f>
        <v/>
      </c>
      <c r="D168" s="162" t="str">
        <f>IF('Final List'!E72="","",'Final List'!E72)</f>
        <v/>
      </c>
      <c r="E168" s="162" t="str">
        <f>IF('Final List'!F72="","",'Final List'!F72)</f>
        <v/>
      </c>
      <c r="F168" s="162" t="str">
        <f>IF('Final List'!G72="","",'Final List'!G72)</f>
        <v/>
      </c>
      <c r="G168" s="162" t="str">
        <f>IF('Final List'!H72="","",'Final List'!H72)</f>
        <v/>
      </c>
      <c r="H168" s="162" t="str">
        <f>IF('Final List'!I72="","",'Final List'!I72)</f>
        <v/>
      </c>
      <c r="I168" s="159"/>
      <c r="J168" s="159"/>
    </row>
    <row r="169" spans="1:10" s="78" customFormat="1" x14ac:dyDescent="0.9">
      <c r="A169" s="162" t="str">
        <f>IF('Final List'!B73="","",'Final List'!B73)</f>
        <v/>
      </c>
      <c r="B169" s="162" t="str">
        <f>IF('Final List'!C73="","",'Final List'!C73)</f>
        <v/>
      </c>
      <c r="C169" s="162" t="str">
        <f>IF('Final List'!D73="","",'Final List'!D73)</f>
        <v/>
      </c>
      <c r="D169" s="162" t="str">
        <f>IF('Final List'!E73="","",'Final List'!E73)</f>
        <v/>
      </c>
      <c r="E169" s="162" t="str">
        <f>IF('Final List'!F73="","",'Final List'!F73)</f>
        <v/>
      </c>
      <c r="F169" s="162" t="str">
        <f>IF('Final List'!G73="","",'Final List'!G73)</f>
        <v/>
      </c>
      <c r="G169" s="162" t="str">
        <f>IF('Final List'!H73="","",'Final List'!H73)</f>
        <v/>
      </c>
      <c r="H169" s="162" t="str">
        <f>IF('Final List'!I73="","",'Final List'!I73)</f>
        <v/>
      </c>
      <c r="I169" s="159"/>
      <c r="J169" s="159"/>
    </row>
    <row r="170" spans="1:10" s="78" customFormat="1" x14ac:dyDescent="0.9">
      <c r="A170" s="162" t="str">
        <f>IF('Final List'!B74="","",'Final List'!B74)</f>
        <v/>
      </c>
      <c r="B170" s="162" t="str">
        <f>IF('Final List'!C74="","",'Final List'!C74)</f>
        <v/>
      </c>
      <c r="C170" s="162" t="str">
        <f>IF('Final List'!D74="","",'Final List'!D74)</f>
        <v/>
      </c>
      <c r="D170" s="162" t="str">
        <f>IF('Final List'!E74="","",'Final List'!E74)</f>
        <v/>
      </c>
      <c r="E170" s="162" t="str">
        <f>IF('Final List'!F74="","",'Final List'!F74)</f>
        <v/>
      </c>
      <c r="F170" s="162" t="str">
        <f>IF('Final List'!G74="","",'Final List'!G74)</f>
        <v/>
      </c>
      <c r="G170" s="162" t="str">
        <f>IF('Final List'!H74="","",'Final List'!H74)</f>
        <v/>
      </c>
      <c r="H170" s="162" t="str">
        <f>IF('Final List'!I74="","",'Final List'!I74)</f>
        <v/>
      </c>
      <c r="I170" s="159"/>
      <c r="J170" s="159"/>
    </row>
    <row r="171" spans="1:10" s="78" customFormat="1" x14ac:dyDescent="0.9">
      <c r="A171" s="162" t="str">
        <f>IF('Final List'!B75="","",'Final List'!B75)</f>
        <v/>
      </c>
      <c r="B171" s="162" t="str">
        <f>IF('Final List'!C75="","",'Final List'!C75)</f>
        <v/>
      </c>
      <c r="C171" s="162" t="str">
        <f>IF('Final List'!D75="","",'Final List'!D75)</f>
        <v/>
      </c>
      <c r="D171" s="162" t="str">
        <f>IF('Final List'!E75="","",'Final List'!E75)</f>
        <v/>
      </c>
      <c r="E171" s="162" t="str">
        <f>IF('Final List'!F75="","",'Final List'!F75)</f>
        <v/>
      </c>
      <c r="F171" s="162" t="str">
        <f>IF('Final List'!G75="","",'Final List'!G75)</f>
        <v/>
      </c>
      <c r="G171" s="162" t="str">
        <f>IF('Final List'!H75="","",'Final List'!H75)</f>
        <v/>
      </c>
      <c r="H171" s="162" t="str">
        <f>IF('Final List'!I75="","",'Final List'!I75)</f>
        <v/>
      </c>
      <c r="I171" s="159"/>
      <c r="J171" s="159"/>
    </row>
    <row r="172" spans="1:10" s="78" customFormat="1" x14ac:dyDescent="0.9">
      <c r="A172" s="162" t="str">
        <f>IF('Final List'!B76="","",'Final List'!B76)</f>
        <v/>
      </c>
      <c r="B172" s="162" t="str">
        <f>IF('Final List'!C76="","",'Final List'!C76)</f>
        <v/>
      </c>
      <c r="C172" s="162" t="str">
        <f>IF('Final List'!D76="","",'Final List'!D76)</f>
        <v/>
      </c>
      <c r="D172" s="162" t="str">
        <f>IF('Final List'!E76="","",'Final List'!E76)</f>
        <v/>
      </c>
      <c r="E172" s="162" t="str">
        <f>IF('Final List'!F76="","",'Final List'!F76)</f>
        <v/>
      </c>
      <c r="F172" s="162" t="str">
        <f>IF('Final List'!G76="","",'Final List'!G76)</f>
        <v/>
      </c>
      <c r="G172" s="162" t="str">
        <f>IF('Final List'!H76="","",'Final List'!H76)</f>
        <v/>
      </c>
      <c r="H172" s="162" t="str">
        <f>IF('Final List'!I76="","",'Final List'!I76)</f>
        <v xml:space="preserve"> </v>
      </c>
      <c r="I172" s="159"/>
      <c r="J172" s="159"/>
    </row>
    <row r="173" spans="1:10" s="78" customFormat="1" x14ac:dyDescent="0.9">
      <c r="A173" s="162" t="str">
        <f>IF('Final List'!B77="","",'Final List'!B77)</f>
        <v/>
      </c>
      <c r="B173" s="162" t="str">
        <f>IF('Final List'!C77="","",'Final List'!C77)</f>
        <v/>
      </c>
      <c r="C173" s="162" t="str">
        <f>IF('Final List'!D77="","",'Final List'!D77)</f>
        <v/>
      </c>
      <c r="D173" s="162" t="str">
        <f>IF('Final List'!E77="","",'Final List'!E77)</f>
        <v/>
      </c>
      <c r="E173" s="162" t="str">
        <f>IF('Final List'!F77="","",'Final List'!F77)</f>
        <v/>
      </c>
      <c r="F173" s="162" t="str">
        <f>IF('Final List'!G77="","",'Final List'!G77)</f>
        <v/>
      </c>
      <c r="G173" s="162" t="str">
        <f>IF('Final List'!H77="","",'Final List'!H77)</f>
        <v/>
      </c>
      <c r="H173" s="162" t="str">
        <f>IF('Final List'!I77="","",'Final List'!I77)</f>
        <v/>
      </c>
      <c r="I173" s="159"/>
      <c r="J173" s="159"/>
    </row>
    <row r="174" spans="1:10" s="78" customFormat="1" x14ac:dyDescent="0.9">
      <c r="A174" s="162" t="str">
        <f>IF('Final List'!B78="","",'Final List'!B78)</f>
        <v/>
      </c>
      <c r="B174" s="162" t="str">
        <f>IF('Final List'!C78="","",'Final List'!C78)</f>
        <v/>
      </c>
      <c r="C174" s="162" t="str">
        <f>IF('Final List'!D78="","",'Final List'!D78)</f>
        <v/>
      </c>
      <c r="D174" s="162" t="str">
        <f>IF('Final List'!E78="","",'Final List'!E78)</f>
        <v/>
      </c>
      <c r="E174" s="162"/>
      <c r="F174" s="162" t="str">
        <f>IF('Final List'!G78="","",'Final List'!G78)</f>
        <v/>
      </c>
      <c r="G174" s="162" t="str">
        <f>IF('Final List'!H78="","",'Final List'!H78)</f>
        <v/>
      </c>
      <c r="H174" s="162" t="str">
        <f>IF('Final List'!I78="","",'Final List'!I78)</f>
        <v/>
      </c>
      <c r="I174" s="159"/>
      <c r="J174" s="159"/>
    </row>
    <row r="175" spans="1:10" s="78" customFormat="1" x14ac:dyDescent="0.9">
      <c r="A175" s="162" t="str">
        <f>IF('Final List'!B79="","",'Final List'!B79)</f>
        <v/>
      </c>
      <c r="B175" s="162" t="str">
        <f>IF('Final List'!C79="","",'Final List'!C79)</f>
        <v/>
      </c>
      <c r="C175" s="162" t="str">
        <f>IF('Final List'!D79="","",'Final List'!D79)</f>
        <v/>
      </c>
      <c r="D175" s="162" t="str">
        <f>IF('Final List'!E79="","",'Final List'!E79)</f>
        <v/>
      </c>
      <c r="E175" s="162" t="str">
        <f>IF('Final List'!F79="","",'Final List'!F79)</f>
        <v/>
      </c>
      <c r="F175" s="162" t="str">
        <f>IF('Final List'!G79="","",'Final List'!G79)</f>
        <v/>
      </c>
      <c r="G175" s="162" t="str">
        <f>IF('Final List'!H79="","",'Final List'!H79)</f>
        <v/>
      </c>
      <c r="H175" s="162" t="str">
        <f>IF('Final List'!I79="","",'Final List'!I79)</f>
        <v/>
      </c>
      <c r="I175" s="159"/>
      <c r="J175" s="159"/>
    </row>
    <row r="176" spans="1:10" s="78" customFormat="1" x14ac:dyDescent="0.9">
      <c r="A176" s="162" t="str">
        <f>IF('Final List'!B80="","",'Final List'!B80)</f>
        <v/>
      </c>
      <c r="B176" s="162" t="str">
        <f>IF('Final List'!C80="","",'Final List'!C80)</f>
        <v/>
      </c>
      <c r="C176" s="162" t="str">
        <f>IF('Final List'!D80="","",'Final List'!D80)</f>
        <v/>
      </c>
      <c r="D176" s="162" t="str">
        <f>IF('Final List'!E80="","",'Final List'!E80)</f>
        <v/>
      </c>
      <c r="E176" s="162" t="str">
        <f>IF('Final List'!F80="","",'Final List'!F80)</f>
        <v/>
      </c>
      <c r="F176" s="162" t="str">
        <f>IF('Final List'!G80="","",'Final List'!G80)</f>
        <v/>
      </c>
      <c r="G176" s="162" t="str">
        <f>IF('Final List'!H80="","",'Final List'!H80)</f>
        <v/>
      </c>
      <c r="H176" s="162" t="str">
        <f>IF('Final List'!I80="","",'Final List'!I80)</f>
        <v/>
      </c>
      <c r="I176" s="159"/>
      <c r="J176" s="159"/>
    </row>
    <row r="177" spans="1:10" s="78" customFormat="1" x14ac:dyDescent="0.9">
      <c r="A177" s="162" t="str">
        <f>IF('Final List'!B81="","",'Final List'!B81)</f>
        <v/>
      </c>
      <c r="B177" s="162" t="str">
        <f>IF('Final List'!C81="","",'Final List'!C81)</f>
        <v/>
      </c>
      <c r="C177" s="162" t="str">
        <f>IF('Final List'!D81="","",'Final List'!D81)</f>
        <v/>
      </c>
      <c r="D177" s="162" t="str">
        <f>IF('Final List'!E81="","",'Final List'!E81)</f>
        <v/>
      </c>
      <c r="E177" s="162" t="str">
        <f>IF('Final List'!F81="","",'Final List'!F81)</f>
        <v/>
      </c>
      <c r="F177" s="162" t="str">
        <f>IF('Final List'!G81="","",'Final List'!G81)</f>
        <v/>
      </c>
      <c r="G177" s="162" t="str">
        <f>IF('Final List'!H81="","",'Final List'!H81)</f>
        <v/>
      </c>
      <c r="H177" s="162" t="str">
        <f>IF('Final List'!I81="","",'Final List'!I81)</f>
        <v/>
      </c>
      <c r="I177" s="159"/>
      <c r="J177" s="159"/>
    </row>
    <row r="178" spans="1:10" s="78" customFormat="1" x14ac:dyDescent="0.9">
      <c r="A178" s="162" t="str">
        <f>IF('Final List'!B82="","",'Final List'!B82)</f>
        <v/>
      </c>
      <c r="B178" s="162" t="str">
        <f>IF('Final List'!C82="","",'Final List'!C82)</f>
        <v/>
      </c>
      <c r="C178" s="162" t="str">
        <f>IF('Final List'!D82="","",'Final List'!D82)</f>
        <v/>
      </c>
      <c r="D178" s="162" t="str">
        <f>IF('Final List'!E82="","",'Final List'!E82)</f>
        <v/>
      </c>
      <c r="E178" s="162" t="str">
        <f>IF('Final List'!F82="","",'Final List'!F82)</f>
        <v/>
      </c>
      <c r="F178" s="162" t="str">
        <f>IF('Final List'!G82="","",'Final List'!G82)</f>
        <v/>
      </c>
      <c r="G178" s="162" t="str">
        <f>IF('Final List'!H82="","",'Final List'!H82)</f>
        <v/>
      </c>
      <c r="H178" s="162" t="str">
        <f>IF('Final List'!I82="","",'Final List'!I82)</f>
        <v/>
      </c>
      <c r="I178" s="159"/>
      <c r="J178" s="159"/>
    </row>
    <row r="179" spans="1:10" s="78" customFormat="1" x14ac:dyDescent="0.9">
      <c r="A179" s="162" t="str">
        <f>IF('Final List'!B83="","",'Final List'!B83)</f>
        <v/>
      </c>
      <c r="B179" s="162" t="str">
        <f>IF('Final List'!C83="","",'Final List'!C83)</f>
        <v/>
      </c>
      <c r="C179" s="162" t="str">
        <f>IF('Final List'!D83="","",'Final List'!D83)</f>
        <v/>
      </c>
      <c r="D179" s="162" t="str">
        <f>IF('Final List'!E83="","",'Final List'!E83)</f>
        <v/>
      </c>
      <c r="E179" s="162" t="str">
        <f>IF('Final List'!F83="","",'Final List'!F83)</f>
        <v/>
      </c>
      <c r="F179" s="162" t="str">
        <f>IF('Final List'!G83="","",'Final List'!G83)</f>
        <v/>
      </c>
      <c r="G179" s="162" t="str">
        <f>IF('Final List'!H83="","",'Final List'!H83)</f>
        <v/>
      </c>
      <c r="H179" s="162" t="str">
        <f>IF('Final List'!I83="","",'Final List'!I83)</f>
        <v/>
      </c>
      <c r="I179" s="159"/>
      <c r="J179" s="159"/>
    </row>
    <row r="180" spans="1:10" s="78" customFormat="1" x14ac:dyDescent="0.9">
      <c r="A180" s="162" t="str">
        <f>IF('Final List'!B84="","",'Final List'!B84)</f>
        <v/>
      </c>
      <c r="B180" s="162" t="str">
        <f>IF('Final List'!C84="","",'Final List'!C84)</f>
        <v/>
      </c>
      <c r="C180" s="162" t="str">
        <f>IF('Final List'!D84="","",'Final List'!D84)</f>
        <v/>
      </c>
      <c r="D180" s="162" t="str">
        <f>IF('Final List'!E84="","",'Final List'!E84)</f>
        <v/>
      </c>
      <c r="E180" s="162" t="str">
        <f>IF('Final List'!F84="","",'Final List'!F84)</f>
        <v/>
      </c>
      <c r="F180" s="162" t="str">
        <f>IF('Final List'!G84="","",'Final List'!G84)</f>
        <v/>
      </c>
      <c r="G180" s="162" t="str">
        <f>IF('Final List'!H84="","",'Final List'!H84)</f>
        <v/>
      </c>
      <c r="H180" s="162" t="str">
        <f>IF('Final List'!I84="","",'Final List'!I84)</f>
        <v/>
      </c>
      <c r="I180" s="159"/>
      <c r="J180" s="159"/>
    </row>
    <row r="181" spans="1:10" s="78" customFormat="1" x14ac:dyDescent="0.9">
      <c r="A181" s="422" t="s">
        <v>19</v>
      </c>
      <c r="B181" s="422"/>
      <c r="C181" s="422" t="s">
        <v>20</v>
      </c>
      <c r="D181" s="422"/>
      <c r="E181" s="422" t="s">
        <v>21</v>
      </c>
      <c r="F181" s="422"/>
      <c r="G181" s="422" t="s">
        <v>22</v>
      </c>
      <c r="H181" s="422"/>
      <c r="I181" s="159"/>
      <c r="J181" s="159"/>
    </row>
    <row r="182" spans="1:10" s="78" customFormat="1" x14ac:dyDescent="0.7">
      <c r="A182" s="161" t="s">
        <v>524</v>
      </c>
      <c r="B182" s="161" t="s">
        <v>525</v>
      </c>
      <c r="C182" s="161" t="s">
        <v>524</v>
      </c>
      <c r="D182" s="161" t="s">
        <v>525</v>
      </c>
      <c r="E182" s="161" t="s">
        <v>524</v>
      </c>
      <c r="F182" s="161" t="s">
        <v>525</v>
      </c>
      <c r="G182" s="161" t="s">
        <v>524</v>
      </c>
      <c r="H182" s="161" t="s">
        <v>525</v>
      </c>
      <c r="I182" s="159"/>
      <c r="J182" s="159"/>
    </row>
    <row r="183" spans="1:10" s="78" customFormat="1" x14ac:dyDescent="0.9">
      <c r="A183" s="162" t="str">
        <f>IF('Final List'!J70="","",'Final List'!J70)</f>
        <v/>
      </c>
      <c r="B183" s="162" t="str">
        <f>IF('Final List'!K70="","",'Final List'!K70)</f>
        <v/>
      </c>
      <c r="C183" s="162" t="str">
        <f>IF('Final List'!L70="","",'Final List'!L70)</f>
        <v/>
      </c>
      <c r="D183" s="162" t="str">
        <f>IF('Final List'!M70="","",'Final List'!M70)</f>
        <v/>
      </c>
      <c r="E183" s="162" t="str">
        <f>IF('Final List'!N70="","",'Final List'!N70)</f>
        <v/>
      </c>
      <c r="F183" s="162" t="str">
        <f>IF('Final List'!O70="","",'Final List'!O70)</f>
        <v/>
      </c>
      <c r="G183" s="162" t="str">
        <f>IF('Final List'!P70="","",'Final List'!P70)</f>
        <v>L07_NONE_035E_XCS</v>
      </c>
      <c r="H183" s="162" t="str">
        <f>IF('Final List'!Q70="","",'Final List'!Q70)</f>
        <v>PMC MINERS</v>
      </c>
      <c r="I183" s="159"/>
      <c r="J183" s="159"/>
    </row>
    <row r="184" spans="1:10" s="78" customFormat="1" x14ac:dyDescent="0.9">
      <c r="A184" s="162" t="str">
        <f>IF('Final List'!J71="","",'Final List'!J71)</f>
        <v/>
      </c>
      <c r="B184" s="162" t="str">
        <f>IF('Final List'!K71="","",'Final List'!K71)</f>
        <v/>
      </c>
      <c r="C184" s="162" t="str">
        <f>IF('Final List'!L71="","",'Final List'!L71)</f>
        <v/>
      </c>
      <c r="D184" s="162" t="str">
        <f>IF('Final List'!M71="","",'Final List'!M71)</f>
        <v/>
      </c>
      <c r="E184" s="162" t="str">
        <f>IF('Final List'!N71="","",'Final List'!N71)</f>
        <v/>
      </c>
      <c r="F184" s="162" t="str">
        <f>IF('Final List'!O71="","",'Final List'!O71)</f>
        <v/>
      </c>
      <c r="G184" s="162" t="str">
        <f>IF('Final List'!P71="","",'Final List'!P71)</f>
        <v/>
      </c>
      <c r="H184" s="162" t="str">
        <f>IF('Final List'!Q71="","",'Final List'!Q71)</f>
        <v/>
      </c>
      <c r="I184" s="159"/>
      <c r="J184" s="159"/>
    </row>
    <row r="185" spans="1:10" s="78" customFormat="1" x14ac:dyDescent="0.9">
      <c r="A185" s="162" t="str">
        <f>IF('Final List'!J72="","",'Final List'!J72)</f>
        <v/>
      </c>
      <c r="B185" s="162" t="str">
        <f>IF('Final List'!K72="","",'Final List'!K72)</f>
        <v/>
      </c>
      <c r="C185" s="162" t="str">
        <f>IF('Final List'!L72="","",'Final List'!L72)</f>
        <v/>
      </c>
      <c r="D185" s="162" t="str">
        <f>IF('Final List'!M72="","",'Final List'!M72)</f>
        <v/>
      </c>
      <c r="E185" s="162" t="str">
        <f>IF('Final List'!N72="","",'Final List'!N72)</f>
        <v/>
      </c>
      <c r="F185" s="162" t="str">
        <f>IF('Final List'!O72="","",'Final List'!O72)</f>
        <v/>
      </c>
      <c r="G185" s="162" t="str">
        <f>IF('Final List'!P72="","",'Final List'!P72)</f>
        <v/>
      </c>
      <c r="H185" s="162" t="str">
        <f>IF('Final List'!Q72="","",'Final List'!Q72)</f>
        <v/>
      </c>
      <c r="I185" s="159"/>
      <c r="J185" s="159"/>
    </row>
    <row r="186" spans="1:10" s="78" customFormat="1" x14ac:dyDescent="0.9">
      <c r="A186" s="162" t="str">
        <f>IF('Final List'!J73="","",'Final List'!J73)</f>
        <v/>
      </c>
      <c r="B186" s="162" t="str">
        <f>IF('Final List'!K73="","",'Final List'!K73)</f>
        <v/>
      </c>
      <c r="C186" s="162" t="str">
        <f>IF('Final List'!L73="","",'Final List'!L73)</f>
        <v/>
      </c>
      <c r="D186" s="162" t="str">
        <f>IF('Final List'!M73="","",'Final List'!M73)</f>
        <v/>
      </c>
      <c r="E186" s="162" t="str">
        <f>IF('Final List'!N73="","",'Final List'!N73)</f>
        <v/>
      </c>
      <c r="F186" s="162" t="str">
        <f>IF('Final List'!O73="","",'Final List'!O73)</f>
        <v/>
      </c>
      <c r="G186" s="162" t="str">
        <f>IF('Final List'!P73="","",'Final List'!P73)</f>
        <v/>
      </c>
      <c r="H186" s="162" t="str">
        <f>IF('Final List'!Q73="","",'Final List'!Q73)</f>
        <v/>
      </c>
      <c r="I186" s="159"/>
      <c r="J186" s="159"/>
    </row>
    <row r="187" spans="1:10" s="78" customFormat="1" x14ac:dyDescent="0.9">
      <c r="A187" s="162" t="str">
        <f>IF('Final List'!J74="","",'Final List'!J74)</f>
        <v/>
      </c>
      <c r="B187" s="162" t="str">
        <f>IF('Final List'!K74="","",'Final List'!K74)</f>
        <v/>
      </c>
      <c r="C187" s="162" t="str">
        <f>IF('Final List'!L74="","",'Final List'!L74)</f>
        <v/>
      </c>
      <c r="D187" s="162" t="str">
        <f>IF('Final List'!M74="","",'Final List'!M74)</f>
        <v/>
      </c>
      <c r="E187" s="162" t="str">
        <f>IF('Final List'!N74="","",'Final List'!N74)</f>
        <v/>
      </c>
      <c r="F187" s="162" t="str">
        <f>IF('Final List'!O74="","",'Final List'!O74)</f>
        <v/>
      </c>
      <c r="G187" s="162" t="str">
        <f>IF('Final List'!P74="","",'Final List'!P74)</f>
        <v/>
      </c>
      <c r="H187" s="162" t="str">
        <f>IF('Final List'!Q74="","",'Final List'!Q74)</f>
        <v/>
      </c>
      <c r="I187" s="159"/>
      <c r="J187" s="159"/>
    </row>
    <row r="188" spans="1:10" s="78" customFormat="1" x14ac:dyDescent="0.9">
      <c r="A188" s="162" t="str">
        <f>IF('Final List'!J75="","",'Final List'!J75)</f>
        <v/>
      </c>
      <c r="B188" s="162" t="str">
        <f>IF('Final List'!K75="","",'Final List'!K75)</f>
        <v/>
      </c>
      <c r="C188" s="162" t="str">
        <f>IF('Final List'!L75="","",'Final List'!L75)</f>
        <v/>
      </c>
      <c r="D188" s="162" t="str">
        <f>IF('Final List'!M75="","",'Final List'!M75)</f>
        <v/>
      </c>
      <c r="E188" s="162" t="str">
        <f>IF('Final List'!N75="","",'Final List'!N75)</f>
        <v/>
      </c>
      <c r="F188" s="162" t="str">
        <f>IF('Final List'!O75="","",'Final List'!O75)</f>
        <v/>
      </c>
      <c r="G188" s="162" t="str">
        <f>IF('Final List'!P75="","",'Final List'!P75)</f>
        <v/>
      </c>
      <c r="H188" s="162" t="str">
        <f>IF('Final List'!Q75="","",'Final List'!Q75)</f>
        <v/>
      </c>
      <c r="I188" s="159"/>
      <c r="J188" s="159"/>
    </row>
    <row r="189" spans="1:10" s="78" customFormat="1" x14ac:dyDescent="0.9">
      <c r="A189" s="162" t="str">
        <f>IF('Final List'!J76="","",'Final List'!J76)</f>
        <v/>
      </c>
      <c r="B189" s="162" t="str">
        <f>IF('Final List'!K76="","",'Final List'!K76)</f>
        <v/>
      </c>
      <c r="C189" s="162" t="str">
        <f>IF('Final List'!L76="","",'Final List'!L76)</f>
        <v/>
      </c>
      <c r="D189" s="162" t="str">
        <f>IF('Final List'!M76="","",'Final List'!M76)</f>
        <v/>
      </c>
      <c r="E189" s="162" t="str">
        <f>IF('Final List'!N76="","",'Final List'!N76)</f>
        <v/>
      </c>
      <c r="F189" s="162" t="str">
        <f>IF('Final List'!O76="","",'Final List'!O76)</f>
        <v/>
      </c>
      <c r="G189" s="162" t="str">
        <f>IF('Final List'!P76="","",'Final List'!P76)</f>
        <v/>
      </c>
      <c r="H189" s="162" t="str">
        <f>IF('Final List'!Q76="","",'Final List'!Q76)</f>
        <v/>
      </c>
      <c r="I189" s="159"/>
      <c r="J189" s="159"/>
    </row>
    <row r="190" spans="1:10" s="78" customFormat="1" x14ac:dyDescent="0.9">
      <c r="A190" s="162" t="str">
        <f>IF('Final List'!J77="","",'Final List'!J77)</f>
        <v/>
      </c>
      <c r="B190" s="162" t="str">
        <f>IF('Final List'!K77="","",'Final List'!K77)</f>
        <v/>
      </c>
      <c r="C190" s="162" t="str">
        <f>IF('Final List'!L77="","",'Final List'!L77)</f>
        <v/>
      </c>
      <c r="D190" s="162" t="str">
        <f>IF('Final List'!M77="","",'Final List'!M77)</f>
        <v/>
      </c>
      <c r="E190" s="162" t="str">
        <f>IF('Final List'!N77="","",'Final List'!N77)</f>
        <v/>
      </c>
      <c r="F190" s="162" t="str">
        <f>IF('Final List'!O77="","",'Final List'!O77)</f>
        <v/>
      </c>
      <c r="G190" s="162" t="str">
        <f>IF('Final List'!P77="","",'Final List'!P77)</f>
        <v/>
      </c>
      <c r="H190" s="162" t="str">
        <f>IF('Final List'!Q77="","",'Final List'!Q77)</f>
        <v/>
      </c>
      <c r="I190" s="159"/>
      <c r="J190" s="159"/>
    </row>
    <row r="191" spans="1:10" s="78" customFormat="1" x14ac:dyDescent="0.9">
      <c r="A191" s="162" t="str">
        <f>IF('Final List'!J78="","",'Final List'!J78)</f>
        <v/>
      </c>
      <c r="B191" s="162" t="str">
        <f>IF('Final List'!K78="","",'Final List'!K78)</f>
        <v/>
      </c>
      <c r="C191" s="162" t="str">
        <f>IF('Final List'!L78="","",'Final List'!L78)</f>
        <v/>
      </c>
      <c r="D191" s="162" t="str">
        <f>IF('Final List'!M78="","",'Final List'!M78)</f>
        <v/>
      </c>
      <c r="E191" s="162" t="str">
        <f>IF('Final List'!N78="","",'Final List'!N78)</f>
        <v/>
      </c>
      <c r="F191" s="162" t="str">
        <f>IF('Final List'!O78="","",'Final List'!O78)</f>
        <v/>
      </c>
      <c r="G191" s="162" t="str">
        <f>IF('Final List'!P78="","",'Final List'!P78)</f>
        <v/>
      </c>
      <c r="H191" s="162" t="str">
        <f>IF('Final List'!Q78="","",'Final List'!Q78)</f>
        <v/>
      </c>
      <c r="I191" s="159"/>
      <c r="J191" s="159"/>
    </row>
    <row r="192" spans="1:10" s="78" customFormat="1" x14ac:dyDescent="0.9">
      <c r="A192" s="162" t="str">
        <f>IF('Final List'!J79="","",'Final List'!J79)</f>
        <v/>
      </c>
      <c r="B192" s="162" t="str">
        <f>IF('Final List'!K79="","",'Final List'!K79)</f>
        <v/>
      </c>
      <c r="C192" s="162" t="str">
        <f>IF('Final List'!L79="","",'Final List'!L79)</f>
        <v/>
      </c>
      <c r="D192" s="162" t="str">
        <f>IF('Final List'!M79="","",'Final List'!M79)</f>
        <v/>
      </c>
      <c r="E192" s="162" t="str">
        <f>IF('Final List'!N79="","",'Final List'!N79)</f>
        <v/>
      </c>
      <c r="F192" s="162" t="str">
        <f>IF('Final List'!O79="","",'Final List'!O79)</f>
        <v/>
      </c>
      <c r="G192" s="162" t="str">
        <f>IF('Final List'!P79="","",'Final List'!P79)</f>
        <v/>
      </c>
      <c r="H192" s="162" t="str">
        <f>IF('Final List'!Q79="","",'Final List'!Q79)</f>
        <v/>
      </c>
      <c r="I192" s="159"/>
      <c r="J192" s="159"/>
    </row>
    <row r="193" spans="1:10" s="78" customFormat="1" x14ac:dyDescent="0.9">
      <c r="A193" s="162" t="str">
        <f>IF('Final List'!J80="","",'Final List'!J80)</f>
        <v/>
      </c>
      <c r="B193" s="162" t="str">
        <f>IF('Final List'!K80="","",'Final List'!K80)</f>
        <v/>
      </c>
      <c r="C193" s="162" t="str">
        <f>IF('Final List'!L80="","",'Final List'!L80)</f>
        <v/>
      </c>
      <c r="D193" s="162" t="str">
        <f>IF('Final List'!M80="","",'Final List'!M80)</f>
        <v/>
      </c>
      <c r="E193" s="162" t="str">
        <f>IF('Final List'!N80="","",'Final List'!N80)</f>
        <v/>
      </c>
      <c r="F193" s="162" t="str">
        <f>IF('Final List'!O80="","",'Final List'!O80)</f>
        <v/>
      </c>
      <c r="G193" s="162" t="str">
        <f>IF('Final List'!P80="","",'Final List'!P80)</f>
        <v/>
      </c>
      <c r="H193" s="162" t="str">
        <f>IF('Final List'!Q80="","",'Final List'!Q80)</f>
        <v/>
      </c>
      <c r="I193" s="159"/>
      <c r="J193" s="159"/>
    </row>
    <row r="194" spans="1:10" s="78" customFormat="1" x14ac:dyDescent="0.9">
      <c r="A194" s="162" t="str">
        <f>IF('Final List'!J81="","",'Final List'!J81)</f>
        <v/>
      </c>
      <c r="B194" s="162" t="str">
        <f>IF('Final List'!K81="","",'Final List'!K81)</f>
        <v/>
      </c>
      <c r="C194" s="162" t="str">
        <f>IF('Final List'!L81="","",'Final List'!L81)</f>
        <v/>
      </c>
      <c r="D194" s="162" t="str">
        <f>IF('Final List'!M81="","",'Final List'!M81)</f>
        <v/>
      </c>
      <c r="E194" s="162" t="str">
        <f>IF('Final List'!N81="","",'Final List'!N81)</f>
        <v/>
      </c>
      <c r="F194" s="162" t="str">
        <f>IF('Final List'!O81="","",'Final List'!O81)</f>
        <v/>
      </c>
      <c r="G194" s="162" t="str">
        <f>IF('Final List'!P81="","",'Final List'!P81)</f>
        <v/>
      </c>
      <c r="H194" s="162" t="str">
        <f>IF('Final List'!Q81="","",'Final List'!Q81)</f>
        <v/>
      </c>
      <c r="I194" s="159"/>
      <c r="J194" s="159"/>
    </row>
    <row r="195" spans="1:10" s="78" customFormat="1" x14ac:dyDescent="0.9">
      <c r="A195" s="162" t="str">
        <f>IF('Final List'!J82="","",'Final List'!J82)</f>
        <v/>
      </c>
      <c r="B195" s="162" t="str">
        <f>IF('Final List'!K82="","",'Final List'!K82)</f>
        <v/>
      </c>
      <c r="C195" s="162" t="str">
        <f>IF('Final List'!L82="","",'Final List'!L82)</f>
        <v/>
      </c>
      <c r="D195" s="162" t="str">
        <f>IF('Final List'!M82="","",'Final List'!M82)</f>
        <v/>
      </c>
      <c r="E195" s="162" t="str">
        <f>IF('Final List'!N82="","",'Final List'!N82)</f>
        <v/>
      </c>
      <c r="F195" s="162" t="str">
        <f>IF('Final List'!O82="","",'Final List'!O82)</f>
        <v/>
      </c>
      <c r="G195" s="162" t="str">
        <f>IF('Final List'!P82="","",'Final List'!P82)</f>
        <v/>
      </c>
      <c r="H195" s="162" t="str">
        <f>IF('Final List'!Q82="","",'Final List'!Q82)</f>
        <v/>
      </c>
      <c r="I195" s="159"/>
      <c r="J195" s="159"/>
    </row>
    <row r="196" spans="1:10" s="78" customFormat="1" ht="209.25" customHeight="1" x14ac:dyDescent="0.9">
      <c r="A196" s="163"/>
      <c r="B196" s="163"/>
      <c r="C196" s="163"/>
      <c r="D196" s="163"/>
      <c r="E196" s="374" t="str">
        <f>E21</f>
        <v xml:space="preserve">            JC VILLARUEL  / MZ CUREG /KN PORLARES/JNS SILVEDERIO /EJ LUMACANG</v>
      </c>
      <c r="F196" s="372"/>
      <c r="G196" s="372"/>
      <c r="H196" s="313"/>
      <c r="I196" s="159"/>
      <c r="J196" s="159"/>
    </row>
    <row r="197" spans="1:10" s="78" customFormat="1" ht="69" customHeight="1" x14ac:dyDescent="0.9">
      <c r="A197" s="163"/>
      <c r="B197" s="163"/>
      <c r="C197" s="163"/>
      <c r="D197" s="163"/>
      <c r="E197" s="163"/>
      <c r="F197" s="365" t="s">
        <v>5322</v>
      </c>
      <c r="G197" s="368"/>
      <c r="H197" s="254"/>
      <c r="I197" s="159"/>
      <c r="J197" s="159"/>
    </row>
    <row r="198" spans="1:10" s="78" customFormat="1" x14ac:dyDescent="0.9">
      <c r="A198" s="163"/>
      <c r="B198" s="163"/>
      <c r="C198" s="163"/>
      <c r="D198" s="163"/>
      <c r="E198" s="163"/>
      <c r="F198" s="163"/>
      <c r="G198" s="163"/>
      <c r="H198" s="163"/>
      <c r="I198" s="159"/>
      <c r="J198" s="159"/>
    </row>
    <row r="199" spans="1:10" s="78" customFormat="1" x14ac:dyDescent="0.9">
      <c r="A199" s="162" t="str">
        <f>IF('Final List'!J83="","",'Final List'!J83)</f>
        <v/>
      </c>
      <c r="B199" s="162" t="str">
        <f>IF('Final List'!K83="","",'Final List'!K83)</f>
        <v/>
      </c>
      <c r="C199" s="162" t="str">
        <f>IF('Final List'!L83="","",'Final List'!L83)</f>
        <v/>
      </c>
      <c r="D199" s="162" t="str">
        <f>IF('Final List'!M83="","",'Final List'!M83)</f>
        <v/>
      </c>
      <c r="E199" s="162" t="str">
        <f>IF('Final List'!N83="","",'Final List'!N83)</f>
        <v/>
      </c>
      <c r="F199" s="162" t="str">
        <f>IF('Final List'!O83="","",'Final List'!O83)</f>
        <v/>
      </c>
      <c r="G199" s="162" t="str">
        <f>IF('Final List'!P83="","",'Final List'!P83)</f>
        <v/>
      </c>
      <c r="H199" s="162" t="str">
        <f>IF('Final List'!Q83="","",'Final List'!Q83)</f>
        <v/>
      </c>
      <c r="I199" s="159"/>
      <c r="J199" s="159"/>
    </row>
    <row r="200" spans="1:10" s="78" customFormat="1" x14ac:dyDescent="0.9">
      <c r="A200" s="163" t="s">
        <v>211</v>
      </c>
      <c r="B200" s="162"/>
      <c r="C200" s="162" t="s">
        <v>250</v>
      </c>
      <c r="D200" s="162"/>
      <c r="E200" s="162" t="s">
        <v>251</v>
      </c>
      <c r="F200" s="162"/>
      <c r="G200" s="162" t="s">
        <v>18</v>
      </c>
      <c r="H200" s="162"/>
      <c r="I200" s="159"/>
      <c r="J200" s="159"/>
    </row>
    <row r="201" spans="1:10" s="78" customFormat="1" x14ac:dyDescent="0.9">
      <c r="A201" s="160">
        <f>15-COUNTIF(A166:A180,"")</f>
        <v>0</v>
      </c>
      <c r="B201" s="162"/>
      <c r="C201" s="160">
        <f>15-COUNTIFS(C166:C180,"")</f>
        <v>0</v>
      </c>
      <c r="D201" s="162"/>
      <c r="E201" s="160">
        <f>15-COUNTIFS(E166:E180,"")</f>
        <v>0</v>
      </c>
      <c r="F201" s="162"/>
      <c r="G201" s="160">
        <f>15-COUNTIFS(G166:G180,"")</f>
        <v>0</v>
      </c>
      <c r="H201" s="162"/>
      <c r="I201" s="165" t="s">
        <v>563</v>
      </c>
      <c r="J201" s="165">
        <f>A201+C201+E201+G201+A203+C203+E203+G203</f>
        <v>1</v>
      </c>
    </row>
    <row r="202" spans="1:10" s="78" customFormat="1" x14ac:dyDescent="0.9">
      <c r="A202" s="162" t="s">
        <v>19</v>
      </c>
      <c r="B202" s="162"/>
      <c r="C202" s="162" t="s">
        <v>20</v>
      </c>
      <c r="D202" s="162"/>
      <c r="E202" s="162" t="s">
        <v>21</v>
      </c>
      <c r="F202" s="162"/>
      <c r="G202" s="162" t="s">
        <v>22</v>
      </c>
      <c r="H202" s="162"/>
      <c r="I202" s="165" t="s">
        <v>564</v>
      </c>
      <c r="J202" s="165">
        <f>'Final List'!T88</f>
        <v>1</v>
      </c>
    </row>
    <row r="203" spans="1:10" s="78" customFormat="1" x14ac:dyDescent="0.9">
      <c r="A203" s="160">
        <f>13-COUNTIFS(A183:A195,"")</f>
        <v>0</v>
      </c>
      <c r="B203" s="162"/>
      <c r="C203" s="160">
        <f>13-COUNTIFS(C183:C195,"")</f>
        <v>0</v>
      </c>
      <c r="D203" s="162"/>
      <c r="E203" s="160">
        <f>13-COUNTIFS(E183:E195,"")</f>
        <v>0</v>
      </c>
      <c r="F203" s="162"/>
      <c r="G203" s="160">
        <f>13-COUNTIFS(G183:G195,"")</f>
        <v>1</v>
      </c>
      <c r="H203" s="162"/>
      <c r="I203" s="159"/>
      <c r="J203" s="159"/>
    </row>
    <row r="204" spans="1:10" s="78" customFormat="1" x14ac:dyDescent="0.9">
      <c r="A204" s="160"/>
      <c r="B204" s="162"/>
      <c r="C204" s="160"/>
      <c r="D204" s="162"/>
      <c r="E204" s="160"/>
      <c r="F204" s="162"/>
      <c r="G204" s="160"/>
      <c r="H204" s="162"/>
      <c r="I204" s="159"/>
      <c r="J204" s="159"/>
    </row>
    <row r="205" spans="1:10" s="78" customFormat="1" x14ac:dyDescent="0.9">
      <c r="A205" s="160"/>
      <c r="B205" s="162"/>
      <c r="C205" s="160"/>
      <c r="D205" s="162"/>
      <c r="E205" s="160"/>
      <c r="F205" s="162"/>
      <c r="G205" s="160"/>
      <c r="H205" s="162"/>
      <c r="I205" s="159"/>
      <c r="J205" s="159"/>
    </row>
    <row r="206" spans="1:10" s="78" customFormat="1" ht="222" customHeight="1" x14ac:dyDescent="0.9">
      <c r="A206" s="322" t="s">
        <v>13</v>
      </c>
      <c r="B206" s="321">
        <f ca="1">TODAY()</f>
        <v>46184</v>
      </c>
      <c r="C206" s="160"/>
      <c r="D206" s="160"/>
      <c r="E206" s="160"/>
      <c r="F206" s="160"/>
      <c r="G206" s="160"/>
      <c r="H206" s="323" t="str">
        <f>H163</f>
        <v>Doc.No. : ENG-PLN-FRM-002
Ver. No. : 1
Effectivity: October 25, 2024</v>
      </c>
      <c r="I206" s="159"/>
      <c r="J206" s="159"/>
    </row>
    <row r="207" spans="1:10" s="78" customFormat="1" x14ac:dyDescent="0.9">
      <c r="A207" s="422" t="s">
        <v>211</v>
      </c>
      <c r="B207" s="422"/>
      <c r="C207" s="422" t="s">
        <v>250</v>
      </c>
      <c r="D207" s="422"/>
      <c r="E207" s="422" t="s">
        <v>251</v>
      </c>
      <c r="F207" s="422"/>
      <c r="G207" s="422" t="s">
        <v>18</v>
      </c>
      <c r="H207" s="422"/>
      <c r="I207" s="159"/>
      <c r="J207" s="159"/>
    </row>
    <row r="208" spans="1:10" s="78" customFormat="1" x14ac:dyDescent="0.7">
      <c r="A208" s="161" t="s">
        <v>524</v>
      </c>
      <c r="B208" s="161" t="s">
        <v>525</v>
      </c>
      <c r="C208" s="161" t="s">
        <v>524</v>
      </c>
      <c r="D208" s="161" t="s">
        <v>525</v>
      </c>
      <c r="E208" s="161" t="s">
        <v>40</v>
      </c>
      <c r="F208" s="161" t="s">
        <v>525</v>
      </c>
      <c r="G208" s="161" t="s">
        <v>524</v>
      </c>
      <c r="H208" s="161" t="s">
        <v>525</v>
      </c>
      <c r="I208" s="159"/>
      <c r="J208" s="159"/>
    </row>
    <row r="209" spans="1:10" s="78" customFormat="1" x14ac:dyDescent="0.9">
      <c r="A209" s="162" t="str">
        <f>IF('Final List'!B89="","",'Final List'!B89)</f>
        <v>L08_JV_020E_STOPE PREP</v>
      </c>
      <c r="B209" s="162" t="str">
        <f>IF('Final List'!C89="","",'Final List'!C89)</f>
        <v>CAPUYAN</v>
      </c>
      <c r="C209" s="162" t="str">
        <f>IF('Final List'!D89="","",'Final List'!D89)</f>
        <v>L08_JV_021E_STOPE</v>
      </c>
      <c r="D209" s="162" t="str">
        <f>IF('Final List'!E89="","",'Final List'!E89)</f>
        <v>CAPUYAN</v>
      </c>
      <c r="E209" s="162" t="str">
        <f>IF('Final List'!F89="","",'Final List'!F89)</f>
        <v/>
      </c>
      <c r="F209" s="162" t="str">
        <f>IF('Final List'!G89="","",'Final List'!G89)</f>
        <v/>
      </c>
      <c r="G209" s="162" t="str">
        <f>IF('Final List'!H89="","",'Final List'!H89)</f>
        <v>L08_DPVE_032E_DW_ISL_A</v>
      </c>
      <c r="H209" s="162" t="str">
        <f>IF('Final List'!I89="","",'Final List'!I89)</f>
        <v>FERNANDEZ</v>
      </c>
      <c r="I209" s="159"/>
      <c r="J209" s="159"/>
    </row>
    <row r="210" spans="1:10" s="78" customFormat="1" x14ac:dyDescent="0.9">
      <c r="A210" s="162" t="str">
        <f>IF('Final List'!B90="","",'Final List'!B90)</f>
        <v>L08_JV_019E_STOPE PREP</v>
      </c>
      <c r="B210" s="162" t="str">
        <f>IF('Final List'!C90="","",'Final List'!C90)</f>
        <v>FERNANDEZ 7</v>
      </c>
      <c r="C210" s="162" t="str">
        <f>IF('Final List'!D90="","",'Final List'!D90)</f>
        <v>L08_DPVE_039E_WINZE_STOPE</v>
      </c>
      <c r="D210" s="162" t="str">
        <f>IF('Final List'!E90="","",'Final List'!E90)</f>
        <v>CANTAGO 4</v>
      </c>
      <c r="E210" s="162" t="str">
        <f>IF('Final List'!F90="","",'Final List'!F90)</f>
        <v/>
      </c>
      <c r="F210" s="162" t="str">
        <f>IF('Final List'!G90="","",'Final List'!G90)</f>
        <v/>
      </c>
      <c r="G210" s="162" t="str">
        <f>IF('Final List'!H90="","",'Final List'!H90)</f>
        <v/>
      </c>
      <c r="H210" s="162" t="str">
        <f>IF('Final List'!I90="","",'Final List'!I90)</f>
        <v/>
      </c>
      <c r="I210" s="159"/>
      <c r="J210" s="159"/>
    </row>
    <row r="211" spans="1:10" s="78" customFormat="1" x14ac:dyDescent="0.9">
      <c r="A211" s="162" t="str">
        <f>IF('Final List'!B91="","",'Final List'!B91)</f>
        <v>L08_JV_026E_WINZE STOPE PREP</v>
      </c>
      <c r="B211" s="162" t="str">
        <f>IF('Final List'!C91="","",'Final List'!C91)</f>
        <v>NITRO CM</v>
      </c>
      <c r="C211" s="162" t="str">
        <f>IF('Final List'!D91="","",'Final List'!D91)</f>
        <v>L08_JV_049E_WINZE_STOPE</v>
      </c>
      <c r="D211" s="162" t="str">
        <f>IF('Final List'!E91="","",'Final List'!E91)</f>
        <v>CANTAGO 3</v>
      </c>
      <c r="E211" s="162" t="str">
        <f>IF('Final List'!F91="","",'Final List'!F91)</f>
        <v/>
      </c>
      <c r="F211" s="162" t="str">
        <f>IF('Final List'!G91="","",'Final List'!G91)</f>
        <v/>
      </c>
      <c r="G211" s="162" t="str">
        <f>IF('Final List'!H91="","",'Final List'!H91)</f>
        <v/>
      </c>
      <c r="H211" s="162" t="str">
        <f>IF('Final List'!I91="","",'Final List'!I91)</f>
        <v/>
      </c>
      <c r="I211" s="159"/>
      <c r="J211" s="159"/>
    </row>
    <row r="212" spans="1:10" s="78" customFormat="1" x14ac:dyDescent="0.9">
      <c r="A212" s="162" t="str">
        <f>IF('Final List'!B92="","",'Final List'!B92)</f>
        <v/>
      </c>
      <c r="B212" s="162" t="str">
        <f>IF('Final List'!C92="","",'Final List'!C92)</f>
        <v/>
      </c>
      <c r="C212" s="162" t="str">
        <f>IF('Final List'!D92="","",'Final List'!D92)</f>
        <v/>
      </c>
      <c r="D212" s="162" t="str">
        <f>IF('Final List'!E92="","",'Final List'!E92)</f>
        <v/>
      </c>
      <c r="E212" s="162" t="str">
        <f>IF('Final List'!F92="","",'Final List'!F92)</f>
        <v/>
      </c>
      <c r="F212" s="162" t="str">
        <f>IF('Final List'!G92="","",'Final List'!G92)</f>
        <v/>
      </c>
      <c r="G212" s="162" t="str">
        <f>IF('Final List'!H92="","",'Final List'!H92)</f>
        <v/>
      </c>
      <c r="H212" s="162" t="str">
        <f>IF('Final List'!I92="","",'Final List'!I92)</f>
        <v/>
      </c>
      <c r="I212" s="159"/>
      <c r="J212" s="159"/>
    </row>
    <row r="213" spans="1:10" s="78" customFormat="1" x14ac:dyDescent="0.9">
      <c r="A213" s="162" t="str">
        <f>IF('Final List'!B93="","",'Final List'!B93)</f>
        <v/>
      </c>
      <c r="B213" s="162" t="str">
        <f>IF('Final List'!C93="","",'Final List'!C93)</f>
        <v/>
      </c>
      <c r="C213" s="162" t="str">
        <f>IF('Final List'!D93="","",'Final List'!D93)</f>
        <v/>
      </c>
      <c r="D213" s="162" t="str">
        <f>IF('Final List'!E93="","",'Final List'!E93)</f>
        <v/>
      </c>
      <c r="E213" s="162" t="s">
        <v>47</v>
      </c>
      <c r="F213" s="162" t="str">
        <f>IF('Final List'!G93="","",'Final List'!G93)</f>
        <v/>
      </c>
      <c r="G213" s="162" t="str">
        <f>IF('Final List'!H93="","",'Final List'!H93)</f>
        <v/>
      </c>
      <c r="H213" s="162" t="str">
        <f>IF('Final List'!I93="","",'Final List'!I93)</f>
        <v/>
      </c>
      <c r="I213" s="159"/>
      <c r="J213" s="159"/>
    </row>
    <row r="214" spans="1:10" s="78" customFormat="1" x14ac:dyDescent="0.9">
      <c r="A214" s="162" t="str">
        <f>IF('Final List'!B94="","",'Final List'!B94)</f>
        <v/>
      </c>
      <c r="B214" s="162" t="str">
        <f>IF('Final List'!C94="","",'Final List'!C94)</f>
        <v/>
      </c>
      <c r="C214" s="162" t="str">
        <f>IF('Final List'!D94="","",'Final List'!D94)</f>
        <v/>
      </c>
      <c r="D214" s="162" t="str">
        <f>IF('Final List'!E94="","",'Final List'!E94)</f>
        <v/>
      </c>
      <c r="E214" s="162" t="str">
        <f>IF('Final List'!F94="","",'Final List'!F94)</f>
        <v/>
      </c>
      <c r="F214" s="162" t="str">
        <f>IF('Final List'!G94="","",'Final List'!G94)</f>
        <v/>
      </c>
      <c r="G214" s="162" t="str">
        <f>IF('Final List'!H94="","",'Final List'!H94)</f>
        <v/>
      </c>
      <c r="H214" s="162" t="str">
        <f>IF('Final List'!I94="","",'Final List'!I94)</f>
        <v/>
      </c>
      <c r="I214" s="159"/>
      <c r="J214" s="159"/>
    </row>
    <row r="215" spans="1:10" s="78" customFormat="1" x14ac:dyDescent="0.9">
      <c r="A215" s="162" t="str">
        <f>IF('Final List'!B95="","",'Final List'!B95)</f>
        <v/>
      </c>
      <c r="B215" s="162" t="str">
        <f>IF('Final List'!C95="","",'Final List'!C95)</f>
        <v/>
      </c>
      <c r="C215" s="162" t="str">
        <f>IF('Final List'!D95="","",'Final List'!D95)</f>
        <v/>
      </c>
      <c r="D215" s="162" t="str">
        <f>IF('Final List'!E95="","",'Final List'!E95)</f>
        <v/>
      </c>
      <c r="E215" s="162" t="str">
        <f>IF('Final List'!F95="","",'Final List'!F95)</f>
        <v/>
      </c>
      <c r="F215" s="162" t="str">
        <f>IF('Final List'!G95="","",'Final List'!G95)</f>
        <v/>
      </c>
      <c r="G215" s="162" t="str">
        <f>IF('Final List'!H95="","",'Final List'!H95)</f>
        <v/>
      </c>
      <c r="H215" s="162" t="str">
        <f>IF('Final List'!I95="","",'Final List'!I95)</f>
        <v/>
      </c>
      <c r="I215" s="159"/>
      <c r="J215" s="159"/>
    </row>
    <row r="216" spans="1:10" s="78" customFormat="1" x14ac:dyDescent="0.9">
      <c r="A216" s="162" t="str">
        <f>IF('Final List'!B96="","",'Final List'!B96)</f>
        <v/>
      </c>
      <c r="B216" s="162" t="str">
        <f>IF('Final List'!C96="","",'Final List'!C96)</f>
        <v/>
      </c>
      <c r="C216" s="162" t="str">
        <f>IF('Final List'!D96="","",'Final List'!D96)</f>
        <v/>
      </c>
      <c r="D216" s="162" t="str">
        <f>IF('Final List'!E96="","",'Final List'!E96)</f>
        <v/>
      </c>
      <c r="E216" s="162" t="str">
        <f>IF('Final List'!F96="","",'Final List'!F96)</f>
        <v/>
      </c>
      <c r="F216" s="162" t="str">
        <f>IF('Final List'!G96="","",'Final List'!G96)</f>
        <v/>
      </c>
      <c r="G216" s="162" t="str">
        <f>IF('Final List'!H96="","",'Final List'!H96)</f>
        <v/>
      </c>
      <c r="H216" s="162" t="str">
        <f>IF('Final List'!I96="","",'Final List'!I96)</f>
        <v/>
      </c>
      <c r="I216" s="159"/>
      <c r="J216" s="159"/>
    </row>
    <row r="217" spans="1:10" s="78" customFormat="1" x14ac:dyDescent="0.9">
      <c r="A217" s="162" t="str">
        <f>IF('Final List'!B97="","",'Final List'!B97)</f>
        <v/>
      </c>
      <c r="B217" s="162" t="str">
        <f>IF('Final List'!C97="","",'Final List'!C97)</f>
        <v/>
      </c>
      <c r="C217" s="162" t="str">
        <f>IF('Final List'!D97="","",'Final List'!D97)</f>
        <v/>
      </c>
      <c r="D217" s="162" t="str">
        <f>IF('Final List'!E97="","",'Final List'!E97)</f>
        <v/>
      </c>
      <c r="E217" s="162" t="str">
        <f>IF('Final List'!F97="","",'Final List'!F97)</f>
        <v/>
      </c>
      <c r="F217" s="162" t="str">
        <f>IF('Final List'!G97="","",'Final List'!G97)</f>
        <v/>
      </c>
      <c r="G217" s="162" t="str">
        <f>IF('Final List'!H97="","",'Final List'!H97)</f>
        <v/>
      </c>
      <c r="H217" s="162" t="str">
        <f>IF('Final List'!I97="","",'Final List'!I97)</f>
        <v/>
      </c>
      <c r="I217" s="159"/>
      <c r="J217" s="159"/>
    </row>
    <row r="218" spans="1:10" s="78" customFormat="1" x14ac:dyDescent="0.9">
      <c r="A218" s="162" t="str">
        <f>IF('Final List'!B98="","",'Final List'!B98)</f>
        <v/>
      </c>
      <c r="B218" s="162" t="str">
        <f>IF('Final List'!C98="","",'Final List'!C98)</f>
        <v/>
      </c>
      <c r="C218" s="162" t="str">
        <f>IF('Final List'!D98="","",'Final List'!D98)</f>
        <v/>
      </c>
      <c r="D218" s="162" t="str">
        <f>IF('Final List'!E98="","",'Final List'!E98)</f>
        <v/>
      </c>
      <c r="E218" s="162" t="str">
        <f>IF('Final List'!F98="","",'Final List'!F98)</f>
        <v/>
      </c>
      <c r="F218" s="162" t="str">
        <f>IF('Final List'!G98="","",'Final List'!G98)</f>
        <v/>
      </c>
      <c r="G218" s="162" t="str">
        <f>IF('Final List'!H98="","",'Final List'!H98)</f>
        <v/>
      </c>
      <c r="H218" s="162" t="str">
        <f>IF('Final List'!I98="","",'Final List'!I98)</f>
        <v/>
      </c>
      <c r="I218" s="159"/>
      <c r="J218" s="159"/>
    </row>
    <row r="219" spans="1:10" s="78" customFormat="1" x14ac:dyDescent="0.9">
      <c r="A219" s="162" t="str">
        <f>IF('Final List'!B99="","",'Final List'!B99)</f>
        <v/>
      </c>
      <c r="B219" s="162" t="str">
        <f>IF('Final List'!C99="","",'Final List'!C99)</f>
        <v/>
      </c>
      <c r="C219" s="162" t="str">
        <f>IF('Final List'!D99="","",'Final List'!D99)</f>
        <v/>
      </c>
      <c r="D219" s="162" t="str">
        <f>IF('Final List'!E99="","",'Final List'!E99)</f>
        <v/>
      </c>
      <c r="E219" s="162" t="str">
        <f>IF('Final List'!F99="","",'Final List'!F99)</f>
        <v/>
      </c>
      <c r="F219" s="162" t="str">
        <f>IF('Final List'!G99="","",'Final List'!G99)</f>
        <v/>
      </c>
      <c r="G219" s="162" t="str">
        <f>IF('Final List'!H99="","",'Final List'!H99)</f>
        <v/>
      </c>
      <c r="H219" s="162" t="str">
        <f>IF('Final List'!I99="","",'Final List'!I99)</f>
        <v/>
      </c>
      <c r="I219" s="159"/>
      <c r="J219" s="159"/>
    </row>
    <row r="220" spans="1:10" s="78" customFormat="1" x14ac:dyDescent="0.9">
      <c r="A220" s="162" t="str">
        <f>IF('Final List'!B100="","",'Final List'!B100)</f>
        <v/>
      </c>
      <c r="B220" s="162" t="str">
        <f>IF('Final List'!C100="","",'Final List'!C100)</f>
        <v/>
      </c>
      <c r="C220" s="162" t="str">
        <f>IF('Final List'!D100="","",'Final List'!D100)</f>
        <v/>
      </c>
      <c r="D220" s="162" t="str">
        <f>IF('Final List'!E100="","",'Final List'!E100)</f>
        <v/>
      </c>
      <c r="E220" s="162" t="str">
        <f>IF('Final List'!F100="","",'Final List'!F100)</f>
        <v/>
      </c>
      <c r="F220" s="162" t="str">
        <f>IF('Final List'!G100="","",'Final List'!G100)</f>
        <v/>
      </c>
      <c r="G220" s="162" t="str">
        <f>IF('Final List'!H100="","",'Final List'!H100)</f>
        <v/>
      </c>
      <c r="H220" s="162" t="str">
        <f>IF('Final List'!I100="","",'Final List'!I100)</f>
        <v/>
      </c>
      <c r="I220" s="159"/>
      <c r="J220" s="159"/>
    </row>
    <row r="221" spans="1:10" s="78" customFormat="1" x14ac:dyDescent="0.9">
      <c r="A221" s="162" t="str">
        <f>IF('Final List'!B101="","",'Final List'!B101)</f>
        <v/>
      </c>
      <c r="B221" s="162" t="str">
        <f>IF('Final List'!C101="","",'Final List'!C101)</f>
        <v/>
      </c>
      <c r="C221" s="162" t="str">
        <f>IF('Final List'!D101="","",'Final List'!D101)</f>
        <v/>
      </c>
      <c r="D221" s="162" t="str">
        <f>IF('Final List'!E101="","",'Final List'!E101)</f>
        <v/>
      </c>
      <c r="E221" s="162" t="str">
        <f>IF('Final List'!F101="","",'Final List'!F101)</f>
        <v/>
      </c>
      <c r="F221" s="162" t="str">
        <f>IF('Final List'!G101="","",'Final List'!G101)</f>
        <v/>
      </c>
      <c r="G221" s="162" t="str">
        <f>IF('Final List'!H101="","",'Final List'!H101)</f>
        <v/>
      </c>
      <c r="H221" s="162" t="str">
        <f>IF('Final List'!I101="","",'Final List'!I101)</f>
        <v/>
      </c>
      <c r="I221" s="159"/>
      <c r="J221" s="159"/>
    </row>
    <row r="222" spans="1:10" s="78" customFormat="1" x14ac:dyDescent="0.9">
      <c r="A222" s="162" t="str">
        <f>IF('Final List'!B102="","",'Final List'!B102)</f>
        <v/>
      </c>
      <c r="B222" s="162" t="str">
        <f>IF('Final List'!C102="","",'Final List'!C102)</f>
        <v/>
      </c>
      <c r="C222" s="162" t="str">
        <f>IF('Final List'!D102="","",'Final List'!D102)</f>
        <v/>
      </c>
      <c r="D222" s="162" t="str">
        <f>IF('Final List'!E102="","",'Final List'!E102)</f>
        <v/>
      </c>
      <c r="E222" s="162" t="str">
        <f>IF('Final List'!F102="","",'Final List'!F102)</f>
        <v/>
      </c>
      <c r="F222" s="162" t="str">
        <f>IF('Final List'!G102="","",'Final List'!G102)</f>
        <v/>
      </c>
      <c r="G222" s="162" t="str">
        <f>IF('Final List'!H102="","",'Final List'!H102)</f>
        <v/>
      </c>
      <c r="H222" s="162" t="str">
        <f>IF('Final List'!I102="","",'Final List'!I102)</f>
        <v/>
      </c>
      <c r="I222" s="159"/>
      <c r="J222" s="159"/>
    </row>
    <row r="223" spans="1:10" s="78" customFormat="1" x14ac:dyDescent="0.9">
      <c r="A223" s="162" t="str">
        <f>IF('Final List'!B103="","",'Final List'!B103)</f>
        <v/>
      </c>
      <c r="B223" s="162" t="str">
        <f>IF('Final List'!C103="","",'Final List'!C103)</f>
        <v/>
      </c>
      <c r="C223" s="162" t="str">
        <f>IF('Final List'!D103="","",'Final List'!D103)</f>
        <v/>
      </c>
      <c r="D223" s="162" t="str">
        <f>IF('Final List'!E103="","",'Final List'!E103)</f>
        <v/>
      </c>
      <c r="E223" s="162" t="str">
        <f>IF('Final List'!F103="","",'Final List'!F103)</f>
        <v/>
      </c>
      <c r="F223" s="162" t="str">
        <f>IF('Final List'!G103="","",'Final List'!G103)</f>
        <v/>
      </c>
      <c r="G223" s="162" t="str">
        <f>IF('Final List'!H103="","",'Final List'!H103)</f>
        <v/>
      </c>
      <c r="H223" s="162" t="str">
        <f>IF('Final List'!I103="","",'Final List'!I103)</f>
        <v/>
      </c>
      <c r="I223" s="159"/>
      <c r="J223" s="159"/>
    </row>
    <row r="224" spans="1:10" s="78" customFormat="1" x14ac:dyDescent="0.9">
      <c r="A224" s="422" t="s">
        <v>19</v>
      </c>
      <c r="B224" s="422"/>
      <c r="C224" s="422" t="s">
        <v>20</v>
      </c>
      <c r="D224" s="422"/>
      <c r="E224" s="422" t="s">
        <v>21</v>
      </c>
      <c r="F224" s="422"/>
      <c r="G224" s="422" t="s">
        <v>22</v>
      </c>
      <c r="H224" s="422"/>
      <c r="I224" s="159"/>
      <c r="J224" s="159"/>
    </row>
    <row r="225" spans="1:13" s="78" customFormat="1" x14ac:dyDescent="0.7">
      <c r="A225" s="161" t="s">
        <v>524</v>
      </c>
      <c r="B225" s="161" t="s">
        <v>525</v>
      </c>
      <c r="C225" s="161" t="s">
        <v>524</v>
      </c>
      <c r="D225" s="161" t="s">
        <v>525</v>
      </c>
      <c r="E225" s="161" t="s">
        <v>524</v>
      </c>
      <c r="F225" s="161" t="s">
        <v>525</v>
      </c>
      <c r="G225" s="161" t="s">
        <v>524</v>
      </c>
      <c r="H225" s="161" t="s">
        <v>525</v>
      </c>
      <c r="I225" s="159"/>
      <c r="J225" s="159"/>
    </row>
    <row r="226" spans="1:13" s="78" customFormat="1" x14ac:dyDescent="0.9">
      <c r="A226" s="162" t="str">
        <f>IF('Final List'!J89="","",'Final List'!J89)</f>
        <v/>
      </c>
      <c r="B226" s="162" t="str">
        <f>IF('Final List'!K89="","",'Final List'!K89)</f>
        <v/>
      </c>
      <c r="C226" s="162" t="str">
        <f>IF('Final List'!L89="","",'Final List'!L89)</f>
        <v>L08_DPVE_014W_WINZE</v>
      </c>
      <c r="D226" s="162" t="str">
        <f>IF('Final List'!M89="","",'Final List'!M89)</f>
        <v>NITRO CN</v>
      </c>
      <c r="E226" s="162" t="str">
        <f>IF('Final List'!N89="","",'Final List'!N89)</f>
        <v>L08_NONE_043W_XCN</v>
      </c>
      <c r="F226" s="162" t="str">
        <f>IF('Final List'!O89="","",'Final List'!O89)</f>
        <v>CAPUYAN</v>
      </c>
      <c r="G226" s="162" t="str">
        <f>IF('Final List'!P89="","",'Final List'!P89)</f>
        <v>L08_GHV_006E_ROBBING</v>
      </c>
      <c r="H226" s="162" t="str">
        <f>IF('Final List'!Q89="","",'Final List'!Q89)</f>
        <v>FERNANDEZ</v>
      </c>
      <c r="I226" s="159"/>
      <c r="J226" s="159"/>
    </row>
    <row r="227" spans="1:13" s="78" customFormat="1" x14ac:dyDescent="0.9">
      <c r="A227" s="162" t="str">
        <f>IF('Final List'!J90="","",'Final List'!J90)</f>
        <v/>
      </c>
      <c r="B227" s="162" t="str">
        <f>IF('Final List'!K90="","",'Final List'!K90)</f>
        <v/>
      </c>
      <c r="C227" s="162" t="str">
        <f>IF('Final List'!L90="","",'Final List'!L90)</f>
        <v>L08_GHVHW_016E_WINZE</v>
      </c>
      <c r="D227" s="162" t="str">
        <f>IF('Final List'!M90="","",'Final List'!M90)</f>
        <v>CANTAGO</v>
      </c>
      <c r="E227" s="162" t="str">
        <f>IF('Final List'!N90="","",'Final List'!N90)</f>
        <v/>
      </c>
      <c r="F227" s="162" t="str">
        <f>IF('Final List'!O90="","",'Final List'!O90)</f>
        <v/>
      </c>
      <c r="G227" s="162" t="str">
        <f>IF('Final List'!P90="","",'Final List'!P90)</f>
        <v>L08_GHV_017W_ROBBING</v>
      </c>
      <c r="H227" s="162" t="str">
        <f>IF('Final List'!Q90="","",'Final List'!Q90)</f>
        <v>NITRO CQ</v>
      </c>
      <c r="I227" s="159"/>
      <c r="J227" s="159"/>
    </row>
    <row r="228" spans="1:13" s="78" customFormat="1" x14ac:dyDescent="0.9">
      <c r="A228" s="162" t="str">
        <f>IF('Final List'!J91="","",'Final List'!J91)</f>
        <v/>
      </c>
      <c r="B228" s="162" t="str">
        <f>IF('Final List'!K91="","",'Final List'!K91)</f>
        <v/>
      </c>
      <c r="C228" s="162" t="str">
        <f>IF('Final List'!L91="","",'Final List'!L91)</f>
        <v/>
      </c>
      <c r="D228" s="162" t="str">
        <f>IF('Final List'!M91="","",'Final List'!M91)</f>
        <v/>
      </c>
      <c r="E228" s="162" t="str">
        <f>IF('Final List'!N91="","",'Final List'!N91)</f>
        <v/>
      </c>
      <c r="F228" s="162" t="str">
        <f>IF('Final List'!O91="","",'Final List'!O91)</f>
        <v/>
      </c>
      <c r="G228" s="162" t="str">
        <f>IF('Final List'!P91="","",'Final List'!P91)</f>
        <v>L08_GHV_002W_ROBBING</v>
      </c>
      <c r="H228" s="162" t="str">
        <f>IF('Final List'!Q91="","",'Final List'!Q91)</f>
        <v>NITRO CQ</v>
      </c>
      <c r="I228" s="159"/>
      <c r="J228" s="159"/>
    </row>
    <row r="229" spans="1:13" s="78" customFormat="1" x14ac:dyDescent="0.9">
      <c r="A229" s="162" t="str">
        <f>IF('Final List'!J92="","",'Final List'!J92)</f>
        <v/>
      </c>
      <c r="B229" s="162" t="str">
        <f>IF('Final List'!K92="","",'Final List'!K92)</f>
        <v/>
      </c>
      <c r="C229" s="162" t="str">
        <f>IF('Final List'!L92="","",'Final List'!L92)</f>
        <v/>
      </c>
      <c r="D229" s="162" t="str">
        <f>IF('Final List'!M92="","",'Final List'!M92)</f>
        <v/>
      </c>
      <c r="E229" s="162" t="str">
        <f>IF('Final List'!N92="","",'Final List'!N92)</f>
        <v/>
      </c>
      <c r="F229" s="162" t="str">
        <f>IF('Final List'!O92="","",'Final List'!O92)</f>
        <v/>
      </c>
      <c r="G229" s="162" t="str">
        <f>IF('Final List'!P92="","",'Final List'!P92)</f>
        <v>L08_NONE_034E_WIDENING</v>
      </c>
      <c r="H229" s="162" t="str">
        <f>IF('Final List'!Q92="","",'Final List'!Q92)</f>
        <v>CAPUYAN 1</v>
      </c>
      <c r="I229" s="159"/>
      <c r="J229" s="159"/>
    </row>
    <row r="230" spans="1:13" s="78" customFormat="1" x14ac:dyDescent="0.9">
      <c r="A230" s="162" t="str">
        <f>IF('Final List'!J93="","",'Final List'!J93)</f>
        <v/>
      </c>
      <c r="B230" s="162" t="str">
        <f>IF('Final List'!K93="","",'Final List'!K93)</f>
        <v/>
      </c>
      <c r="C230" s="162" t="str">
        <f>IF('Final List'!L93="","",'Final List'!L93)</f>
        <v/>
      </c>
      <c r="D230" s="162" t="str">
        <f>IF('Final List'!M93="","",'Final List'!M93)</f>
        <v/>
      </c>
      <c r="E230" s="162" t="str">
        <f>IF('Final List'!N93="","",'Final List'!N93)</f>
        <v/>
      </c>
      <c r="F230" s="162" t="str">
        <f>IF('Final List'!O93="","",'Final List'!O93)</f>
        <v/>
      </c>
      <c r="G230" s="162" t="str">
        <f>IF('Final List'!P93="","",'Final List'!P93)</f>
        <v>L08_GHV_012W_ROBBING</v>
      </c>
      <c r="H230" s="162" t="str">
        <f>IF('Final List'!Q93="","",'Final List'!Q93)</f>
        <v>FERNANDEZ 5</v>
      </c>
      <c r="I230" s="159"/>
      <c r="J230" s="159"/>
    </row>
    <row r="231" spans="1:13" s="78" customFormat="1" x14ac:dyDescent="0.9">
      <c r="A231" s="162" t="str">
        <f>IF('Final List'!J94="","",'Final List'!J94)</f>
        <v/>
      </c>
      <c r="B231" s="162" t="str">
        <f>IF('Final List'!K94="","",'Final List'!K94)</f>
        <v/>
      </c>
      <c r="C231" s="162" t="str">
        <f>IF('Final List'!L94="","",'Final List'!L94)</f>
        <v/>
      </c>
      <c r="D231" s="162" t="str">
        <f>IF('Final List'!M94="","",'Final List'!M94)</f>
        <v/>
      </c>
      <c r="E231" s="162" t="str">
        <f>IF('Final List'!N94="","",'Final List'!N94)</f>
        <v/>
      </c>
      <c r="F231" s="162" t="str">
        <f>IF('Final List'!O94="","",'Final List'!O94)</f>
        <v/>
      </c>
      <c r="G231" s="162" t="str">
        <f>IF('Final List'!P94="","",'Final List'!P94)</f>
        <v>L08_JV_022E_MAINLINE CLEANING</v>
      </c>
      <c r="H231" s="162" t="str">
        <f>IF('Final List'!Q94="","",'Final List'!Q94)</f>
        <v>CAPUYAN</v>
      </c>
      <c r="I231" s="159"/>
      <c r="J231" s="159"/>
    </row>
    <row r="232" spans="1:13" s="78" customFormat="1" x14ac:dyDescent="0.9">
      <c r="A232" s="162" t="str">
        <f>IF('Final List'!J95="","",'Final List'!J95)</f>
        <v/>
      </c>
      <c r="B232" s="162" t="str">
        <f>IF('Final List'!K95="","",'Final List'!K95)</f>
        <v/>
      </c>
      <c r="C232" s="162" t="str">
        <f>IF('Final List'!L95="","",'Final List'!L95)</f>
        <v/>
      </c>
      <c r="D232" s="162" t="str">
        <f>IF('Final List'!M95="","",'Final List'!M95)</f>
        <v/>
      </c>
      <c r="E232" s="162" t="str">
        <f>IF('Final List'!N95="","",'Final List'!N95)</f>
        <v/>
      </c>
      <c r="F232" s="162" t="str">
        <f>IF('Final List'!O95="","",'Final List'!O95)</f>
        <v/>
      </c>
      <c r="G232" s="162" t="str">
        <f>IF('Final List'!P95="","",'Final List'!P95)</f>
        <v>L08_NONE_038E_ALIMAK_RAISE</v>
      </c>
      <c r="H232" s="162" t="str">
        <f>IF('Final List'!Q95="","",'Final List'!Q95)</f>
        <v>PMC MINERS</v>
      </c>
      <c r="I232" s="159"/>
      <c r="J232" s="159"/>
    </row>
    <row r="233" spans="1:13" s="78" customFormat="1" x14ac:dyDescent="0.9">
      <c r="A233" s="162" t="str">
        <f>IF('Final List'!J96="","",'Final List'!J96)</f>
        <v/>
      </c>
      <c r="B233" s="162" t="str">
        <f>IF('Final List'!K96="","",'Final List'!K96)</f>
        <v/>
      </c>
      <c r="C233" s="162" t="str">
        <f>IF('Final List'!L96="","",'Final List'!L96)</f>
        <v/>
      </c>
      <c r="D233" s="162" t="str">
        <f>IF('Final List'!M96="","",'Final List'!M96)</f>
        <v/>
      </c>
      <c r="E233" s="162" t="str">
        <f>IF('Final List'!N96="","",'Final List'!N96)</f>
        <v/>
      </c>
      <c r="F233" s="162" t="str">
        <f>IF('Final List'!O96="","",'Final List'!O96)</f>
        <v/>
      </c>
      <c r="G233" s="162" t="str">
        <f>IF('Final List'!P96="","",'Final List'!P96)</f>
        <v>L08_JV_023E_ROBBING</v>
      </c>
      <c r="H233" s="162" t="str">
        <f>IF('Final List'!Q96="","",'Final List'!Q96)</f>
        <v>CAPUYAN</v>
      </c>
      <c r="I233" s="159"/>
      <c r="J233" s="159"/>
    </row>
    <row r="234" spans="1:13" s="78" customFormat="1" x14ac:dyDescent="0.9">
      <c r="A234" s="162" t="str">
        <f>IF('Final List'!J97="","",'Final List'!J97)</f>
        <v/>
      </c>
      <c r="B234" s="162" t="str">
        <f>IF('Final List'!K97="","",'Final List'!K97)</f>
        <v/>
      </c>
      <c r="C234" s="162" t="str">
        <f>IF('Final List'!L97="","",'Final List'!L97)</f>
        <v/>
      </c>
      <c r="D234" s="162" t="str">
        <f>IF('Final List'!M97="","",'Final List'!M97)</f>
        <v/>
      </c>
      <c r="E234" s="162" t="str">
        <f>IF('Final List'!N97="","",'Final List'!N97)</f>
        <v/>
      </c>
      <c r="F234" s="162" t="str">
        <f>IF('Final List'!O97="","",'Final List'!O97)</f>
        <v/>
      </c>
      <c r="G234" s="162" t="str">
        <f>IF('Final List'!P97="","",'Final List'!P97)</f>
        <v/>
      </c>
      <c r="H234" s="162" t="str">
        <f>IF('Final List'!Q97="","",'Final List'!Q97)</f>
        <v/>
      </c>
      <c r="I234" s="159"/>
      <c r="J234" s="159"/>
    </row>
    <row r="235" spans="1:13" s="78" customFormat="1" x14ac:dyDescent="0.9">
      <c r="A235" s="162" t="str">
        <f>IF('Final List'!J98="","",'Final List'!J98)</f>
        <v/>
      </c>
      <c r="B235" s="162" t="str">
        <f>IF('Final List'!K98="","",'Final List'!K98)</f>
        <v/>
      </c>
      <c r="C235" s="162" t="str">
        <f>IF('Final List'!L98="","",'Final List'!L98)</f>
        <v/>
      </c>
      <c r="D235" s="162" t="str">
        <f>IF('Final List'!M98="","",'Final List'!M98)</f>
        <v/>
      </c>
      <c r="E235" s="162" t="str">
        <f>IF('Final List'!N98="","",'Final List'!N98)</f>
        <v/>
      </c>
      <c r="F235" s="162" t="str">
        <f>IF('Final List'!O98="","",'Final List'!O98)</f>
        <v/>
      </c>
      <c r="G235" s="162" t="str">
        <f>IF('Final List'!P98="","",'Final List'!P98)</f>
        <v/>
      </c>
      <c r="H235" s="162" t="str">
        <f>IF('Final List'!Q98="","",'Final List'!Q98)</f>
        <v/>
      </c>
      <c r="I235" s="159"/>
      <c r="J235" s="159"/>
    </row>
    <row r="236" spans="1:13" s="78" customFormat="1" x14ac:dyDescent="0.9">
      <c r="A236" s="162" t="str">
        <f>IF('Final List'!J99="","",'Final List'!J99)</f>
        <v/>
      </c>
      <c r="B236" s="162" t="str">
        <f>IF('Final List'!K99="","",'Final List'!K99)</f>
        <v/>
      </c>
      <c r="C236" s="162" t="str">
        <f>IF('Final List'!L99="","",'Final List'!L99)</f>
        <v/>
      </c>
      <c r="D236" s="162" t="str">
        <f>IF('Final List'!M99="","",'Final List'!M99)</f>
        <v/>
      </c>
      <c r="E236" s="162" t="str">
        <f>IF('Final List'!N99="","",'Final List'!N99)</f>
        <v/>
      </c>
      <c r="F236" s="162" t="str">
        <f>IF('Final List'!O99="","",'Final List'!O99)</f>
        <v/>
      </c>
      <c r="G236" s="162" t="str">
        <f>IF('Final List'!P99="","",'Final List'!P99)</f>
        <v/>
      </c>
      <c r="H236" s="162" t="str">
        <f>IF('Final List'!Q99="","",'Final List'!Q99)</f>
        <v/>
      </c>
      <c r="I236" s="159"/>
      <c r="J236" s="159"/>
    </row>
    <row r="237" spans="1:13" s="78" customFormat="1" x14ac:dyDescent="0.9">
      <c r="A237" s="162" t="str">
        <f>IF('Final List'!J100="","",'Final List'!J100)</f>
        <v/>
      </c>
      <c r="B237" s="162" t="str">
        <f>IF('Final List'!K100="","",'Final List'!K100)</f>
        <v/>
      </c>
      <c r="C237" s="162" t="str">
        <f>IF('Final List'!L100="","",'Final List'!L100)</f>
        <v/>
      </c>
      <c r="D237" s="162" t="str">
        <f>IF('Final List'!M100="","",'Final List'!M100)</f>
        <v/>
      </c>
      <c r="E237" s="162" t="str">
        <f>IF('Final List'!N100="","",'Final List'!N100)</f>
        <v/>
      </c>
      <c r="F237" s="162" t="str">
        <f>IF('Final List'!O100="","",'Final List'!O100)</f>
        <v/>
      </c>
      <c r="G237" s="162" t="str">
        <f>IF('Final List'!P100="","",'Final List'!P100)</f>
        <v/>
      </c>
      <c r="H237" s="162" t="str">
        <f>IF('Final List'!Q100="","",'Final List'!Q100)</f>
        <v/>
      </c>
      <c r="I237" s="159"/>
      <c r="J237" s="159"/>
    </row>
    <row r="238" spans="1:13" s="78" customFormat="1" x14ac:dyDescent="0.9">
      <c r="A238" s="162" t="str">
        <f>IF('Final List'!J101="","",'Final List'!J101)</f>
        <v/>
      </c>
      <c r="B238" s="162" t="str">
        <f>IF('Final List'!K101="","",'Final List'!K101)</f>
        <v/>
      </c>
      <c r="C238" s="162" t="str">
        <f>IF('Final List'!L101="","",'Final List'!L101)</f>
        <v/>
      </c>
      <c r="D238" s="162" t="str">
        <f>IF('Final List'!M101="","",'Final List'!M101)</f>
        <v/>
      </c>
      <c r="E238" s="162" t="str">
        <f>IF('Final List'!N101="","",'Final List'!N101)</f>
        <v/>
      </c>
      <c r="F238" s="162" t="str">
        <f>IF('Final List'!O101="","",'Final List'!O101)</f>
        <v/>
      </c>
      <c r="G238" s="162" t="str">
        <f>IF('Final List'!P101="","",'Final List'!P101)</f>
        <v/>
      </c>
      <c r="H238" s="162" t="str">
        <f>IF('Final List'!Q101="","",'Final List'!Q101)</f>
        <v/>
      </c>
      <c r="I238" s="159"/>
      <c r="J238" s="159"/>
      <c r="M238" s="79"/>
    </row>
    <row r="239" spans="1:13" s="78" customFormat="1" x14ac:dyDescent="0.9">
      <c r="A239" s="162" t="str">
        <f>IF('Final List'!J102="","",'Final List'!J102)</f>
        <v/>
      </c>
      <c r="B239" s="162" t="str">
        <f>IF('Final List'!K102="","",'Final List'!K102)</f>
        <v/>
      </c>
      <c r="C239" s="162" t="str">
        <f>IF('Final List'!L102="","",'Final List'!L102)</f>
        <v/>
      </c>
      <c r="D239" s="162"/>
      <c r="E239" s="162" t="str">
        <f>IF('Final List'!N102="","",'Final List'!N102)</f>
        <v/>
      </c>
      <c r="F239" s="162" t="str">
        <f>IF('Final List'!O102="","",'Final List'!O102)</f>
        <v/>
      </c>
      <c r="G239" s="162" t="str">
        <f>IF('Final List'!P102="","",'Final List'!P102)</f>
        <v/>
      </c>
      <c r="H239" s="162" t="str">
        <f>IF('Final List'!Q102="","",'Final List'!Q102)</f>
        <v/>
      </c>
      <c r="I239" s="159"/>
      <c r="J239" s="159"/>
      <c r="M239" s="79"/>
    </row>
    <row r="240" spans="1:13" s="78" customFormat="1" ht="198.75" customHeight="1" x14ac:dyDescent="0.9">
      <c r="A240" s="163"/>
      <c r="B240" s="163"/>
      <c r="C240" s="163"/>
      <c r="D240" s="163"/>
      <c r="E240" s="374" t="str">
        <f>E21</f>
        <v xml:space="preserve">            JC VILLARUEL  / MZ CUREG /KN PORLARES/JNS SILVEDERIO /EJ LUMACANG</v>
      </c>
      <c r="F240" s="372"/>
      <c r="G240" s="372"/>
      <c r="H240" s="313"/>
      <c r="I240" s="159"/>
      <c r="J240" s="159"/>
    </row>
    <row r="241" spans="1:10" s="78" customFormat="1" x14ac:dyDescent="0.9">
      <c r="A241" s="163"/>
      <c r="B241" s="163"/>
      <c r="C241" s="163"/>
      <c r="D241" s="163"/>
      <c r="E241" s="163"/>
      <c r="F241" s="365" t="s">
        <v>5322</v>
      </c>
      <c r="G241" s="368"/>
      <c r="H241" s="254"/>
      <c r="I241" s="159"/>
      <c r="J241" s="159"/>
    </row>
    <row r="242" spans="1:10" s="78" customFormat="1" x14ac:dyDescent="0.9">
      <c r="A242" s="163"/>
      <c r="B242" s="163"/>
      <c r="C242" s="163"/>
      <c r="D242" s="163"/>
      <c r="E242" s="163"/>
      <c r="F242" s="163"/>
      <c r="G242" s="163"/>
      <c r="H242" s="163"/>
      <c r="I242" s="159"/>
      <c r="J242" s="159" t="s">
        <v>5965</v>
      </c>
    </row>
    <row r="243" spans="1:10" s="78" customFormat="1" x14ac:dyDescent="0.9">
      <c r="A243" s="162" t="str">
        <f>IF('Final List'!J103="","",'Final List'!J103)</f>
        <v/>
      </c>
      <c r="B243" s="162" t="str">
        <f>IF('Final List'!K103="","",'Final List'!K103)</f>
        <v/>
      </c>
      <c r="C243" s="162" t="str">
        <f>IF('Final List'!L103="","",'Final List'!L103)</f>
        <v/>
      </c>
      <c r="D243" s="162" t="str">
        <f>IF('Final List'!M103="","",'Final List'!M103)</f>
        <v/>
      </c>
      <c r="E243" s="162" t="str">
        <f>IF('Final List'!N103="","",'Final List'!N103)</f>
        <v/>
      </c>
      <c r="F243" s="162" t="str">
        <f>IF('Final List'!O103="","",'Final List'!O103)</f>
        <v/>
      </c>
      <c r="G243" s="162" t="str">
        <f>IF('Final List'!P103="","",'Final List'!P103)</f>
        <v/>
      </c>
      <c r="H243" s="162" t="str">
        <f>IF('Final List'!Q103="","",'Final List'!Q103)</f>
        <v/>
      </c>
      <c r="I243" s="159"/>
      <c r="J243" s="159"/>
    </row>
    <row r="244" spans="1:10" s="78" customFormat="1" x14ac:dyDescent="0.9">
      <c r="A244" s="163" t="s">
        <v>211</v>
      </c>
      <c r="B244" s="162"/>
      <c r="C244" s="162" t="s">
        <v>250</v>
      </c>
      <c r="D244" s="162"/>
      <c r="E244" s="162" t="s">
        <v>251</v>
      </c>
      <c r="F244" s="162"/>
      <c r="G244" s="162" t="s">
        <v>18</v>
      </c>
      <c r="H244" s="162"/>
      <c r="I244" s="159"/>
      <c r="J244" s="159"/>
    </row>
    <row r="245" spans="1:10" s="78" customFormat="1" x14ac:dyDescent="0.9">
      <c r="A245" s="160">
        <f>15-COUNTIF(A209:A223,"")</f>
        <v>3</v>
      </c>
      <c r="B245" s="162"/>
      <c r="C245" s="160">
        <f>15-COUNTIF(C209:C223,"")</f>
        <v>3</v>
      </c>
      <c r="D245" s="162"/>
      <c r="E245" s="160">
        <f>15-COUNTIF(E209:E223,"")</f>
        <v>1</v>
      </c>
      <c r="F245" s="162"/>
      <c r="G245" s="160">
        <f>15-COUNTIF(G209:G223,"")</f>
        <v>1</v>
      </c>
      <c r="H245" s="162"/>
      <c r="I245" s="165" t="s">
        <v>563</v>
      </c>
      <c r="J245" s="165">
        <f>A245+C245+E245+G245+A247+C247+E247+G247</f>
        <v>19</v>
      </c>
    </row>
    <row r="246" spans="1:10" s="78" customFormat="1" x14ac:dyDescent="0.9">
      <c r="A246" s="162" t="s">
        <v>19</v>
      </c>
      <c r="B246" s="162"/>
      <c r="C246" s="162" t="s">
        <v>20</v>
      </c>
      <c r="D246" s="162"/>
      <c r="E246" s="162" t="s">
        <v>21</v>
      </c>
      <c r="F246" s="162"/>
      <c r="G246" s="162" t="s">
        <v>22</v>
      </c>
      <c r="H246" s="162"/>
      <c r="I246" s="165" t="s">
        <v>564</v>
      </c>
      <c r="J246" s="165">
        <f>'Final List'!T110</f>
        <v>18</v>
      </c>
    </row>
    <row r="247" spans="1:10" s="78" customFormat="1" x14ac:dyDescent="0.9">
      <c r="A247" s="160">
        <f>14-COUNTIFS(A226:A239,"")</f>
        <v>0</v>
      </c>
      <c r="B247" s="162"/>
      <c r="C247" s="160">
        <f>14-COUNTIFS(C226:C239,"")</f>
        <v>2</v>
      </c>
      <c r="D247" s="162"/>
      <c r="E247" s="160">
        <f>14-COUNTIFS(E226:E239,"")</f>
        <v>1</v>
      </c>
      <c r="F247" s="162"/>
      <c r="G247" s="160">
        <f>14-COUNTIFS(G226:G239,"")</f>
        <v>8</v>
      </c>
      <c r="H247" s="162"/>
      <c r="I247" s="159"/>
      <c r="J247" s="159"/>
    </row>
    <row r="248" spans="1:10" s="78" customFormat="1" x14ac:dyDescent="0.9">
      <c r="A248" s="160"/>
      <c r="B248" s="162"/>
      <c r="C248" s="160"/>
      <c r="D248" s="162"/>
      <c r="E248" s="160"/>
      <c r="F248" s="162"/>
      <c r="G248" s="160"/>
      <c r="H248" s="162"/>
      <c r="I248" s="159"/>
      <c r="J248" s="159"/>
    </row>
    <row r="249" spans="1:10" s="78" customFormat="1" x14ac:dyDescent="0.9">
      <c r="A249" s="160"/>
      <c r="B249" s="162"/>
      <c r="C249" s="160"/>
      <c r="D249" s="162"/>
      <c r="E249" s="160"/>
      <c r="F249" s="162"/>
      <c r="G249" s="160"/>
      <c r="H249" s="162"/>
      <c r="I249" s="159"/>
      <c r="J249" s="159"/>
    </row>
    <row r="250" spans="1:10" s="78" customFormat="1" ht="222" customHeight="1" x14ac:dyDescent="0.9">
      <c r="A250" s="322" t="s">
        <v>65</v>
      </c>
      <c r="B250" s="321">
        <f ca="1">TODAY()</f>
        <v>46184</v>
      </c>
      <c r="C250" s="160"/>
      <c r="D250" s="160"/>
      <c r="E250" s="160"/>
      <c r="F250" s="160"/>
      <c r="G250" s="160"/>
      <c r="H250" s="323" t="str">
        <f>H206</f>
        <v>Doc.No. : ENG-PLN-FRM-002
Ver. No. : 1
Effectivity: October 25, 2024</v>
      </c>
      <c r="I250" s="159"/>
      <c r="J250" s="159"/>
    </row>
    <row r="251" spans="1:10" s="78" customFormat="1" x14ac:dyDescent="0.9">
      <c r="A251" s="422" t="s">
        <v>211</v>
      </c>
      <c r="B251" s="422"/>
      <c r="C251" s="422" t="s">
        <v>250</v>
      </c>
      <c r="D251" s="422"/>
      <c r="E251" s="422" t="s">
        <v>251</v>
      </c>
      <c r="F251" s="422"/>
      <c r="G251" s="422" t="s">
        <v>18</v>
      </c>
      <c r="H251" s="422"/>
      <c r="I251" s="159"/>
      <c r="J251" s="159"/>
    </row>
    <row r="252" spans="1:10" s="78" customFormat="1" x14ac:dyDescent="0.9">
      <c r="A252" s="161" t="s">
        <v>524</v>
      </c>
      <c r="B252" s="164" t="s">
        <v>211</v>
      </c>
      <c r="C252" s="161" t="s">
        <v>524</v>
      </c>
      <c r="D252" s="161" t="s">
        <v>525</v>
      </c>
      <c r="E252" s="161" t="s">
        <v>524</v>
      </c>
      <c r="F252" s="161" t="s">
        <v>525</v>
      </c>
      <c r="G252" s="161" t="s">
        <v>524</v>
      </c>
      <c r="H252" s="161" t="s">
        <v>525</v>
      </c>
      <c r="I252" s="159"/>
      <c r="J252" s="159"/>
    </row>
    <row r="253" spans="1:10" s="78" customFormat="1" x14ac:dyDescent="0.9">
      <c r="A253" s="162" t="str">
        <f>IF('Final List'!B111="","",'Final List'!B111)</f>
        <v/>
      </c>
      <c r="B253" s="162" t="str">
        <f>IF('Final List'!C111="","",'Final List'!C111)</f>
        <v/>
      </c>
      <c r="C253" s="162" t="str">
        <f>IF('Final List'!D111="","",'Final List'!D111)</f>
        <v>L09_DPVE_036E_WINZE STOPE</v>
      </c>
      <c r="D253" s="162" t="str">
        <f>IF('Final List'!E111="","",'Final List'!E111)</f>
        <v>NITRO CJ</v>
      </c>
      <c r="E253" s="162" t="str">
        <f>IF('Final List'!F111="","",'Final List'!F111)</f>
        <v/>
      </c>
      <c r="F253" s="162" t="str">
        <f>IF('Final List'!G111="","",'Final List'!G111)</f>
        <v/>
      </c>
      <c r="G253" s="162" t="str">
        <f>IF('Final List'!H111="","",'Final List'!H111)</f>
        <v>L09_GHV_026E_DE_ISL_A</v>
      </c>
      <c r="H253" s="162" t="str">
        <f>IF('Final List'!I111="","",'Final List'!I111)</f>
        <v>FERNANDEZ</v>
      </c>
      <c r="I253" s="159"/>
      <c r="J253" s="159"/>
    </row>
    <row r="254" spans="1:10" s="78" customFormat="1" x14ac:dyDescent="0.9">
      <c r="A254" s="162" t="str">
        <f>IF('Final List'!B112="","",'Final List'!B112)</f>
        <v/>
      </c>
      <c r="B254" s="162" t="str">
        <f>IF('Final List'!C112="","",'Final List'!C112)</f>
        <v/>
      </c>
      <c r="C254" s="162" t="str">
        <f>IF('Final List'!D112="","",'Final List'!D112)</f>
        <v/>
      </c>
      <c r="D254" s="162" t="str">
        <f>IF('Final List'!E112="","",'Final List'!E112)</f>
        <v/>
      </c>
      <c r="E254" s="162" t="str">
        <f>IF('Final List'!F112="","",'Final List'!F112)</f>
        <v/>
      </c>
      <c r="F254" s="162" t="str">
        <f>IF('Final List'!G112="","",'Final List'!G112)</f>
        <v/>
      </c>
      <c r="G254" s="162" t="str">
        <f>IF('Final List'!H112="","",'Final List'!H112)</f>
        <v>L09_DPVE_086E_DW_ISL_B</v>
      </c>
      <c r="H254" s="162" t="str">
        <f>IF('Final List'!I112="","",'Final List'!I112)</f>
        <v>QUIJANO</v>
      </c>
      <c r="I254" s="159"/>
      <c r="J254" s="159"/>
    </row>
    <row r="255" spans="1:10" s="78" customFormat="1" x14ac:dyDescent="0.9">
      <c r="A255" s="162" t="str">
        <f>IF('Final List'!B113="","",'Final List'!B113)</f>
        <v/>
      </c>
      <c r="B255" s="162" t="str">
        <f>IF('Final List'!C113="","",'Final List'!C113)</f>
        <v/>
      </c>
      <c r="C255" s="162" t="str">
        <f>IF('Final List'!D113="","",'Final List'!D113)</f>
        <v/>
      </c>
      <c r="D255" s="162" t="str">
        <f>IF('Final List'!E113="","",'Final List'!E113)</f>
        <v/>
      </c>
      <c r="E255" s="162" t="str">
        <f>IF('Final List'!F113="","",'Final List'!F113)</f>
        <v/>
      </c>
      <c r="F255" s="162" t="str">
        <f>IF('Final List'!G113="","",'Final List'!G113)</f>
        <v/>
      </c>
      <c r="G255" s="162" t="str">
        <f>IF('Final List'!H113="","",'Final List'!H113)</f>
        <v/>
      </c>
      <c r="H255" s="162" t="str">
        <f>IF('Final List'!I113="","",'Final List'!I113)</f>
        <v/>
      </c>
      <c r="I255" s="159"/>
      <c r="J255" s="159"/>
    </row>
    <row r="256" spans="1:10" s="78" customFormat="1" x14ac:dyDescent="0.9">
      <c r="A256" s="162" t="str">
        <f>IF('Final List'!B114="","",'Final List'!B114)</f>
        <v/>
      </c>
      <c r="B256" s="162" t="str">
        <f>IF('Final List'!C114="","",'Final List'!C114)</f>
        <v/>
      </c>
      <c r="C256" s="162" t="str">
        <f>IF('Final List'!D114="","",'Final List'!D114)</f>
        <v/>
      </c>
      <c r="D256" s="162" t="str">
        <f>IF('Final List'!E114="","",'Final List'!E114)</f>
        <v/>
      </c>
      <c r="E256" s="162" t="str">
        <f>IF('Final List'!F114="","",'Final List'!F114)</f>
        <v/>
      </c>
      <c r="F256" s="162" t="str">
        <f>IF('Final List'!G114="","",'Final List'!G114)</f>
        <v/>
      </c>
      <c r="G256" s="162" t="str">
        <f>IF('Final List'!H114="","",'Final List'!H114)</f>
        <v/>
      </c>
      <c r="H256" s="162" t="str">
        <f>IF('Final List'!I114="","",'Final List'!I114)</f>
        <v/>
      </c>
      <c r="I256" s="159"/>
      <c r="J256" s="159"/>
    </row>
    <row r="257" spans="1:10" s="78" customFormat="1" x14ac:dyDescent="0.9">
      <c r="A257" s="162" t="str">
        <f>IF('Final List'!B115="","",'Final List'!B115)</f>
        <v/>
      </c>
      <c r="B257" s="162" t="str">
        <f>IF('Final List'!C115="","",'Final List'!C115)</f>
        <v/>
      </c>
      <c r="C257" s="162" t="str">
        <f>IF('Final List'!D115="","",'Final List'!D115)</f>
        <v/>
      </c>
      <c r="D257" s="162" t="str">
        <f>IF('Final List'!E115="","",'Final List'!E115)</f>
        <v/>
      </c>
      <c r="E257" s="162" t="str">
        <f>IF('Final List'!F115="","",'Final List'!F115)</f>
        <v/>
      </c>
      <c r="F257" s="162" t="str">
        <f>IF('Final List'!G115="","",'Final List'!G115)</f>
        <v/>
      </c>
      <c r="G257" s="162" t="str">
        <f>IF('Final List'!H115="","",'Final List'!H115)</f>
        <v/>
      </c>
      <c r="H257" s="162" t="str">
        <f>IF('Final List'!I115="","",'Final List'!I115)</f>
        <v/>
      </c>
      <c r="I257" s="159"/>
      <c r="J257" s="159"/>
    </row>
    <row r="258" spans="1:10" s="78" customFormat="1" x14ac:dyDescent="0.9">
      <c r="A258" s="162" t="str">
        <f>IF('Final List'!B116="","",'Final List'!B116)</f>
        <v/>
      </c>
      <c r="B258" s="162" t="str">
        <f>IF('Final List'!C116="","",'Final List'!C116)</f>
        <v/>
      </c>
      <c r="C258" s="162" t="str">
        <f>IF('Final List'!D116="","",'Final List'!D116)</f>
        <v/>
      </c>
      <c r="D258" s="162" t="str">
        <f>IF('Final List'!E116="","",'Final List'!E116)</f>
        <v/>
      </c>
      <c r="E258" s="162" t="str">
        <f>IF('Final List'!F116="","",'Final List'!F116)</f>
        <v/>
      </c>
      <c r="F258" s="162" t="str">
        <f>IF('Final List'!G116="","",'Final List'!G116)</f>
        <v/>
      </c>
      <c r="G258" s="162" t="str">
        <f>IF('Final List'!H116="","",'Final List'!H116)</f>
        <v/>
      </c>
      <c r="H258" s="162" t="str">
        <f>IF('Final List'!I116="","",'Final List'!I116)</f>
        <v/>
      </c>
      <c r="I258" s="159"/>
      <c r="J258" s="159"/>
    </row>
    <row r="259" spans="1:10" s="78" customFormat="1" x14ac:dyDescent="0.9">
      <c r="A259" s="162" t="str">
        <f>IF('Final List'!B117="","",'Final List'!B117)</f>
        <v/>
      </c>
      <c r="B259" s="162" t="str">
        <f>IF('Final List'!C117="","",'Final List'!C117)</f>
        <v/>
      </c>
      <c r="C259" s="162" t="str">
        <f>IF('Final List'!D117="","",'Final List'!D117)</f>
        <v/>
      </c>
      <c r="D259" s="162" t="str">
        <f>IF('Final List'!E117="","",'Final List'!E117)</f>
        <v/>
      </c>
      <c r="E259" s="162" t="str">
        <f>IF('Final List'!F117="","",'Final List'!F117)</f>
        <v/>
      </c>
      <c r="F259" s="162" t="str">
        <f>IF('Final List'!G117="","",'Final List'!G117)</f>
        <v/>
      </c>
      <c r="G259" s="162" t="str">
        <f>IF('Final List'!H117="","",'Final List'!H117)</f>
        <v/>
      </c>
      <c r="H259" s="162" t="str">
        <f>IF('Final List'!I117="","",'Final List'!I117)</f>
        <v/>
      </c>
      <c r="I259" s="159"/>
      <c r="J259" s="159"/>
    </row>
    <row r="260" spans="1:10" s="78" customFormat="1" x14ac:dyDescent="0.9">
      <c r="A260" s="162" t="str">
        <f>IF('Final List'!B118="","",'Final List'!B118)</f>
        <v/>
      </c>
      <c r="B260" s="162" t="str">
        <f>IF('Final List'!C118="","",'Final List'!C118)</f>
        <v/>
      </c>
      <c r="C260" s="162" t="str">
        <f>IF('Final List'!D118="","",'Final List'!D118)</f>
        <v/>
      </c>
      <c r="D260" s="162"/>
      <c r="E260" s="162" t="str">
        <f>IF('Final List'!F118="","",'Final List'!F118)</f>
        <v/>
      </c>
      <c r="F260" s="162" t="str">
        <f>IF('Final List'!G118="","",'Final List'!G118)</f>
        <v/>
      </c>
      <c r="G260" s="162" t="str">
        <f>IF('Final List'!H118="","",'Final List'!H118)</f>
        <v/>
      </c>
      <c r="H260" s="162" t="str">
        <f>IF('Final List'!I118="","",'Final List'!I118)</f>
        <v/>
      </c>
      <c r="I260" s="159"/>
      <c r="J260" s="159"/>
    </row>
    <row r="261" spans="1:10" s="78" customFormat="1" x14ac:dyDescent="0.9">
      <c r="A261" s="162" t="str">
        <f>IF('Final List'!B119="","",'Final List'!B119)</f>
        <v/>
      </c>
      <c r="B261" s="162" t="str">
        <f>IF('Final List'!C119="","",'Final List'!C119)</f>
        <v/>
      </c>
      <c r="C261" s="162" t="str">
        <f>IF('Final List'!D119="","",'Final List'!D119)</f>
        <v/>
      </c>
      <c r="D261" s="162" t="str">
        <f>IF('Final List'!E118="","",'Final List'!E118)</f>
        <v/>
      </c>
      <c r="E261" s="162" t="str">
        <f>IF('Final List'!F119="","",'Final List'!F119)</f>
        <v/>
      </c>
      <c r="F261" s="162" t="str">
        <f>IF('Final List'!G119="","",'Final List'!G119)</f>
        <v/>
      </c>
      <c r="G261" s="162" t="str">
        <f>IF('Final List'!H119="","",'Final List'!H119)</f>
        <v/>
      </c>
      <c r="H261" s="162" t="str">
        <f>IF('Final List'!I119="","",'Final List'!I119)</f>
        <v/>
      </c>
      <c r="I261" s="159"/>
      <c r="J261" s="159"/>
    </row>
    <row r="262" spans="1:10" s="78" customFormat="1" x14ac:dyDescent="0.9">
      <c r="A262" s="162" t="str">
        <f>IF('Final List'!B120="","",'Final List'!B120)</f>
        <v/>
      </c>
      <c r="B262" s="162" t="str">
        <f>IF('Final List'!C120="","",'Final List'!C120)</f>
        <v/>
      </c>
      <c r="C262" s="162" t="str">
        <f>IF('Final List'!D120="","",'Final List'!D120)</f>
        <v/>
      </c>
      <c r="D262" s="162" t="str">
        <f>IF('Final List'!E120="","",'Final List'!E120)</f>
        <v/>
      </c>
      <c r="E262" s="162" t="str">
        <f>IF('Final List'!F120="","",'Final List'!F120)</f>
        <v/>
      </c>
      <c r="F262" s="162" t="str">
        <f>IF('Final List'!G120="","",'Final List'!G120)</f>
        <v xml:space="preserve">  </v>
      </c>
      <c r="G262" s="162" t="str">
        <f>IF('Final List'!H120="","",'Final List'!H120)</f>
        <v/>
      </c>
      <c r="H262" s="162" t="str">
        <f>IF('Final List'!I120="","",'Final List'!I120)</f>
        <v/>
      </c>
      <c r="I262" s="159"/>
      <c r="J262" s="159"/>
    </row>
    <row r="263" spans="1:10" s="78" customFormat="1" x14ac:dyDescent="0.9">
      <c r="A263" s="162" t="str">
        <f>IF('Final List'!B121="","",'Final List'!B121)</f>
        <v/>
      </c>
      <c r="B263" s="162" t="str">
        <f>IF('Final List'!C121="","",'Final List'!C121)</f>
        <v/>
      </c>
      <c r="C263" s="162" t="str">
        <f>IF('Final List'!D121="","",'Final List'!D121)</f>
        <v/>
      </c>
      <c r="D263" s="162" t="str">
        <f>IF('Final List'!E121="","",'Final List'!E121)</f>
        <v/>
      </c>
      <c r="E263" s="162" t="str">
        <f>IF('Final List'!F121="","",'Final List'!F121)</f>
        <v/>
      </c>
      <c r="F263" s="162" t="str">
        <f>IF('Final List'!G121="","",'Final List'!G121)</f>
        <v/>
      </c>
      <c r="G263" s="162" t="str">
        <f>IF('Final List'!H121="","",'Final List'!H121)</f>
        <v/>
      </c>
      <c r="H263" s="162" t="str">
        <f>IF('Final List'!I121="","",'Final List'!I121)</f>
        <v/>
      </c>
      <c r="I263" s="159"/>
      <c r="J263" s="159"/>
    </row>
    <row r="264" spans="1:10" s="78" customFormat="1" x14ac:dyDescent="0.9">
      <c r="A264" s="162" t="str">
        <f>IF('Final List'!B122="","",'Final List'!B122)</f>
        <v/>
      </c>
      <c r="B264" s="162" t="str">
        <f>IF('Final List'!C122="","",'Final List'!C122)</f>
        <v/>
      </c>
      <c r="C264" s="162" t="str">
        <f>IF('Final List'!D122="","",'Final List'!D122)</f>
        <v/>
      </c>
      <c r="D264" s="162" t="str">
        <f>IF('Final List'!E122="","",'Final List'!E122)</f>
        <v/>
      </c>
      <c r="E264" s="162" t="str">
        <f>IF('Final List'!F122="","",'Final List'!F122)</f>
        <v/>
      </c>
      <c r="F264" s="162" t="str">
        <f>IF('Final List'!G122="","",'Final List'!G122)</f>
        <v/>
      </c>
      <c r="G264" s="162" t="str">
        <f>IF('Final List'!H122="","",'Final List'!H122)</f>
        <v/>
      </c>
      <c r="H264" s="162" t="str">
        <f>IF('Final List'!I122="","",'Final List'!I122)</f>
        <v/>
      </c>
      <c r="I264" s="159"/>
      <c r="J264" s="159"/>
    </row>
    <row r="265" spans="1:10" s="78" customFormat="1" x14ac:dyDescent="0.9">
      <c r="A265" s="162" t="str">
        <f>IF('Final List'!B123="","",'Final List'!B123)</f>
        <v/>
      </c>
      <c r="B265" s="162" t="str">
        <f>IF('Final List'!C123="","",'Final List'!C123)</f>
        <v/>
      </c>
      <c r="C265" s="162" t="str">
        <f>IF('Final List'!D123="","",'Final List'!D123)</f>
        <v/>
      </c>
      <c r="D265" s="162" t="str">
        <f>IF('Final List'!E123="","",'Final List'!E123)</f>
        <v/>
      </c>
      <c r="E265" s="162" t="str">
        <f>IF('Final List'!F123="","",'Final List'!F123)</f>
        <v/>
      </c>
      <c r="F265" s="162" t="str">
        <f>IF('Final List'!G123="","",'Final List'!G123)</f>
        <v/>
      </c>
      <c r="G265" s="162" t="str">
        <f>IF('Final List'!H123="","",'Final List'!H123)</f>
        <v/>
      </c>
      <c r="H265" s="162" t="str">
        <f>IF('Final List'!I123="","",'Final List'!I123)</f>
        <v/>
      </c>
      <c r="I265" s="159"/>
      <c r="J265" s="159"/>
    </row>
    <row r="266" spans="1:10" s="78" customFormat="1" x14ac:dyDescent="0.9">
      <c r="A266" s="162" t="str">
        <f>IF('Final List'!B124="","",'Final List'!B124)</f>
        <v/>
      </c>
      <c r="B266" s="162" t="str">
        <f>IF('Final List'!C124="","",'Final List'!C124)</f>
        <v/>
      </c>
      <c r="C266" s="162" t="str">
        <f>IF('Final List'!D124="","",'Final List'!D124)</f>
        <v/>
      </c>
      <c r="D266" s="162" t="str">
        <f>IF('Final List'!E124="","",'Final List'!E124)</f>
        <v/>
      </c>
      <c r="E266" s="162" t="str">
        <f>IF('Final List'!F124="","",'Final List'!F124)</f>
        <v/>
      </c>
      <c r="F266" s="162" t="str">
        <f>IF('Final List'!G124="","",'Final List'!G124)</f>
        <v/>
      </c>
      <c r="G266" s="162" t="str">
        <f>IF('Final List'!H124="","",'Final List'!H124)</f>
        <v/>
      </c>
      <c r="H266" s="162" t="str">
        <f>IF('Final List'!I124="","",'Final List'!I124)</f>
        <v/>
      </c>
      <c r="I266" s="159"/>
      <c r="J266" s="159"/>
    </row>
    <row r="267" spans="1:10" s="78" customFormat="1" x14ac:dyDescent="0.9">
      <c r="A267" s="162" t="str">
        <f>IF('Final List'!B125="","",'Final List'!B125)</f>
        <v/>
      </c>
      <c r="B267" s="162" t="str">
        <f>IF('Final List'!C125="","",'Final List'!C125)</f>
        <v/>
      </c>
      <c r="C267" s="162" t="str">
        <f>IF('Final List'!D125="","",'Final List'!D125)</f>
        <v/>
      </c>
      <c r="D267" s="162" t="str">
        <f>IF('Final List'!F124="","",'Final List'!F124)</f>
        <v/>
      </c>
      <c r="E267" s="162" t="str">
        <f>IF('Final List'!F125="","",'Final List'!F125)</f>
        <v/>
      </c>
      <c r="F267" s="162" t="str">
        <f>IF('Final List'!G125="","",'Final List'!G125)</f>
        <v/>
      </c>
      <c r="G267" s="162" t="str">
        <f>IF('Final List'!H125="","",'Final List'!H125)</f>
        <v/>
      </c>
      <c r="H267" s="162" t="str">
        <f>IF('Final List'!I125="","",'Final List'!I125)</f>
        <v/>
      </c>
      <c r="I267" s="159"/>
      <c r="J267" s="159"/>
    </row>
    <row r="268" spans="1:10" s="78" customFormat="1" x14ac:dyDescent="0.9">
      <c r="A268" s="422" t="s">
        <v>19</v>
      </c>
      <c r="B268" s="422"/>
      <c r="C268" s="422" t="s">
        <v>20</v>
      </c>
      <c r="D268" s="422"/>
      <c r="E268" s="422" t="s">
        <v>21</v>
      </c>
      <c r="F268" s="422"/>
      <c r="G268" s="422" t="s">
        <v>22</v>
      </c>
      <c r="H268" s="422"/>
      <c r="I268" s="159"/>
      <c r="J268" s="159"/>
    </row>
    <row r="269" spans="1:10" s="78" customFormat="1" x14ac:dyDescent="0.7">
      <c r="A269" s="161" t="s">
        <v>524</v>
      </c>
      <c r="B269" s="161" t="s">
        <v>525</v>
      </c>
      <c r="C269" s="161" t="s">
        <v>524</v>
      </c>
      <c r="D269" s="161" t="s">
        <v>525</v>
      </c>
      <c r="E269" s="161" t="s">
        <v>524</v>
      </c>
      <c r="F269" s="161" t="s">
        <v>525</v>
      </c>
      <c r="G269" s="161" t="s">
        <v>524</v>
      </c>
      <c r="H269" s="161" t="s">
        <v>525</v>
      </c>
      <c r="I269" s="159"/>
      <c r="J269" s="159"/>
    </row>
    <row r="270" spans="1:10" s="78" customFormat="1" x14ac:dyDescent="0.9">
      <c r="A270" s="162" t="str">
        <f>IF('Final List'!J111="","",'Final List'!J111)</f>
        <v/>
      </c>
      <c r="B270" s="162" t="str">
        <f>IF('Final List'!K111="","",'Final List'!K111)</f>
        <v/>
      </c>
      <c r="C270" s="162" t="str">
        <f>IF('Final List'!L111="","",'Final List'!L111)</f>
        <v/>
      </c>
      <c r="D270" s="162" t="str">
        <f>IF('Final List'!M111="","",'Final List'!M111)</f>
        <v/>
      </c>
      <c r="E270" s="162" t="str">
        <f>IF('Final List'!N111="","",'Final List'!N111)</f>
        <v/>
      </c>
      <c r="F270" s="162" t="str">
        <f>IF('Final List'!O111="","",'Final List'!O111)</f>
        <v/>
      </c>
      <c r="G270" s="162" t="str">
        <f>IF('Final List'!P111="","",'Final List'!P111)</f>
        <v>L09_NONE_008E_XCS</v>
      </c>
      <c r="H270" s="162" t="str">
        <f>IF('Final List'!Q111="","",'Final List'!Q111)</f>
        <v>FERNANDEZ</v>
      </c>
      <c r="I270" s="159"/>
      <c r="J270" s="159"/>
    </row>
    <row r="271" spans="1:10" s="78" customFormat="1" x14ac:dyDescent="0.9">
      <c r="A271" s="162" t="str">
        <f>IF('Final List'!J112="","",'Final List'!J112)</f>
        <v/>
      </c>
      <c r="B271" s="162" t="str">
        <f>IF('Final List'!K112="","",'Final List'!K112)</f>
        <v/>
      </c>
      <c r="C271" s="162" t="str">
        <f>IF('Final List'!L112="","",'Final List'!L112)</f>
        <v/>
      </c>
      <c r="D271" s="162" t="str">
        <f>IF('Final List'!M112="","",'Final List'!M112)</f>
        <v/>
      </c>
      <c r="E271" s="162" t="str">
        <f>IF('Final List'!N112="","",'Final List'!N112)</f>
        <v/>
      </c>
      <c r="F271" s="162" t="str">
        <f>IF('Final List'!O112="","",'Final List'!O112)</f>
        <v/>
      </c>
      <c r="G271" s="162" t="str">
        <f>IF('Final List'!P112="","",'Final List'!P112)</f>
        <v>L09_JV_051E_ROBBING</v>
      </c>
      <c r="H271" s="162" t="str">
        <f>IF('Final List'!Q112="","",'Final List'!Q112)</f>
        <v>QUIJANO 2</v>
      </c>
      <c r="I271" s="159"/>
      <c r="J271" s="159"/>
    </row>
    <row r="272" spans="1:10" s="78" customFormat="1" x14ac:dyDescent="0.9">
      <c r="A272" s="162" t="str">
        <f>IF('Final List'!J113="","",'Final List'!J113)</f>
        <v/>
      </c>
      <c r="B272" s="162" t="str">
        <f>IF('Final List'!K113="","",'Final List'!K113)</f>
        <v/>
      </c>
      <c r="C272" s="162" t="str">
        <f>IF('Final List'!L113="","",'Final List'!L113)</f>
        <v/>
      </c>
      <c r="D272" s="162" t="str">
        <f>IF('Final List'!M113="","",'Final List'!M113)</f>
        <v/>
      </c>
      <c r="E272" s="162" t="str">
        <f>IF('Final List'!N113="","",'Final List'!N113)</f>
        <v/>
      </c>
      <c r="F272" s="162" t="str">
        <f>IF('Final List'!O113="","",'Final List'!O113)</f>
        <v/>
      </c>
      <c r="G272" s="162" t="str">
        <f>IF('Final List'!P113="","",'Final List'!P113)</f>
        <v>L09_DPVE_073E_ROBBING</v>
      </c>
      <c r="H272" s="162" t="str">
        <f>IF('Final List'!Q113="","",'Final List'!Q113)</f>
        <v>DELOS REYES 3</v>
      </c>
      <c r="I272" s="159"/>
      <c r="J272" s="159"/>
    </row>
    <row r="273" spans="1:10" s="78" customFormat="1" x14ac:dyDescent="0.9">
      <c r="A273" s="162" t="str">
        <f>IF('Final List'!J114="","",'Final List'!J114)</f>
        <v/>
      </c>
      <c r="B273" s="162" t="str">
        <f>IF('Final List'!K114="","",'Final List'!K114)</f>
        <v/>
      </c>
      <c r="C273" s="162" t="str">
        <f>IF('Final List'!L114="","",'Final List'!L114)</f>
        <v/>
      </c>
      <c r="D273" s="162" t="str">
        <f>IF('Final List'!M114="","",'Final List'!M114)</f>
        <v/>
      </c>
      <c r="E273" s="162" t="str">
        <f>IF('Final List'!N114="","",'Final List'!N114)</f>
        <v/>
      </c>
      <c r="F273" s="162" t="str">
        <f>IF('Final List'!O114="","",'Final List'!O114)</f>
        <v/>
      </c>
      <c r="G273" s="162" t="str">
        <f>IF('Final List'!P114="","",'Final List'!P114)</f>
        <v>L09_GHV_009E_ROBBING</v>
      </c>
      <c r="H273" s="162" t="str">
        <f>IF('Final List'!Q114="","",'Final List'!Q114)</f>
        <v>FERNANDEZ</v>
      </c>
      <c r="I273" s="159"/>
      <c r="J273" s="159"/>
    </row>
    <row r="274" spans="1:10" s="78" customFormat="1" x14ac:dyDescent="0.9">
      <c r="A274" s="162" t="str">
        <f>IF('Final List'!J115="","",'Final List'!J115)</f>
        <v/>
      </c>
      <c r="B274" s="162" t="str">
        <f>IF('Final List'!K115="","",'Final List'!K115)</f>
        <v/>
      </c>
      <c r="C274" s="162" t="str">
        <f>IF('Final List'!L115="","",'Final List'!L115)</f>
        <v/>
      </c>
      <c r="D274" s="162" t="str">
        <f>IF('Final List'!M115="","",'Final List'!M115)</f>
        <v/>
      </c>
      <c r="E274" s="162" t="str">
        <f>IF('Final List'!N115="","",'Final List'!N115)</f>
        <v/>
      </c>
      <c r="F274" s="162" t="str">
        <f>IF('Final List'!O115="","",'Final List'!O115)</f>
        <v/>
      </c>
      <c r="G274" s="162" t="str">
        <f>IF('Final List'!P115="","",'Final List'!P115)</f>
        <v>L09_GHV_004E_ROBBING</v>
      </c>
      <c r="H274" s="162" t="str">
        <f>IF('Final List'!Q115="","",'Final List'!Q115)</f>
        <v>FERNANDEZ</v>
      </c>
      <c r="I274" s="159"/>
      <c r="J274" s="159"/>
    </row>
    <row r="275" spans="1:10" s="78" customFormat="1" x14ac:dyDescent="0.9">
      <c r="A275" s="162" t="str">
        <f>IF('Final List'!J116="","",'Final List'!J116)</f>
        <v/>
      </c>
      <c r="B275" s="162" t="str">
        <f>IF('Final List'!K116="","",'Final List'!K116)</f>
        <v/>
      </c>
      <c r="C275" s="162" t="str">
        <f>IF('Final List'!L116="","",'Final List'!L116)</f>
        <v/>
      </c>
      <c r="D275" s="162" t="str">
        <f>IF('Final List'!M116="","",'Final List'!M116)</f>
        <v/>
      </c>
      <c r="E275" s="162" t="str">
        <f>IF('Final List'!N116="","",'Final List'!N116)</f>
        <v/>
      </c>
      <c r="F275" s="162" t="str">
        <f>IF('Final List'!O116="","",'Final List'!O116)</f>
        <v/>
      </c>
      <c r="G275" s="162" t="str">
        <f>IF('Final List'!P116="","",'Final List'!P116)</f>
        <v>L09_GHV_007E_ROBBING</v>
      </c>
      <c r="H275" s="162" t="str">
        <f>IF('Final List'!Q116="","",'Final List'!Q116)</f>
        <v>FERNANDEZ</v>
      </c>
      <c r="I275" s="159"/>
      <c r="J275" s="159"/>
    </row>
    <row r="276" spans="1:10" s="78" customFormat="1" x14ac:dyDescent="0.9">
      <c r="A276" s="162" t="str">
        <f>IF('Final List'!J117="","",'Final List'!J117)</f>
        <v/>
      </c>
      <c r="B276" s="162" t="str">
        <f>IF('Final List'!K117="","",'Final List'!K117)</f>
        <v/>
      </c>
      <c r="C276" s="162" t="str">
        <f>IF('Final List'!L117="","",'Final List'!L117)</f>
        <v/>
      </c>
      <c r="D276" s="162" t="str">
        <f>IF('Final List'!M117="","",'Final List'!M117)</f>
        <v/>
      </c>
      <c r="E276" s="162" t="str">
        <f>IF('Final List'!N117="","",'Final List'!N117)</f>
        <v/>
      </c>
      <c r="F276" s="162" t="str">
        <f>IF('Final List'!O117="","",'Final List'!O117)</f>
        <v/>
      </c>
      <c r="G276" s="162" t="str">
        <f>IF('Final List'!P117="","",'Final List'!P117)</f>
        <v>L09_JV_037E_ROBBING</v>
      </c>
      <c r="H276" s="162" t="str">
        <f>IF('Final List'!Q117="","",'Final List'!Q117)</f>
        <v>DELOS REYES</v>
      </c>
      <c r="I276" s="159"/>
      <c r="J276" s="159"/>
    </row>
    <row r="277" spans="1:10" s="78" customFormat="1" x14ac:dyDescent="0.9">
      <c r="A277" s="162" t="str">
        <f>IF('Final List'!J118="","",'Final List'!J118)</f>
        <v/>
      </c>
      <c r="B277" s="162" t="str">
        <f>IF('Final List'!K118="","",'Final List'!K118)</f>
        <v/>
      </c>
      <c r="C277" s="162" t="str">
        <f>IF('Final List'!L118="","",'Final List'!L118)</f>
        <v/>
      </c>
      <c r="D277" s="162" t="str">
        <f>IF('Final List'!M118="","",'Final List'!M118)</f>
        <v/>
      </c>
      <c r="E277" s="162" t="str">
        <f>IF('Final List'!N118="","",'Final List'!N118)</f>
        <v/>
      </c>
      <c r="F277" s="162" t="str">
        <f>IF('Final List'!O118="","",'Final List'!O118)</f>
        <v/>
      </c>
      <c r="G277" s="162" t="str">
        <f>IF('Final List'!P118="","",'Final List'!P118)</f>
        <v>L09_DPVE_029E_ROBBING</v>
      </c>
      <c r="H277" s="162" t="str">
        <f>IF('Final List'!Q118="","",'Final List'!Q118)</f>
        <v>QUIJANO</v>
      </c>
      <c r="I277" s="159"/>
      <c r="J277" s="159"/>
    </row>
    <row r="278" spans="1:10" s="78" customFormat="1" x14ac:dyDescent="0.9">
      <c r="A278" s="162" t="str">
        <f>IF('Final List'!J119="","",'Final List'!J119)</f>
        <v/>
      </c>
      <c r="B278" s="162" t="str">
        <f>IF('Final List'!K119="","",'Final List'!K119)</f>
        <v/>
      </c>
      <c r="C278" s="162" t="str">
        <f>IF('Final List'!L119="","",'Final List'!L119)</f>
        <v/>
      </c>
      <c r="D278" s="162" t="str">
        <f>IF('Final List'!M119="","",'Final List'!M119)</f>
        <v/>
      </c>
      <c r="E278" s="162" t="str">
        <f>IF('Final List'!N119="","",'Final List'!N119)</f>
        <v/>
      </c>
      <c r="F278" s="162" t="str">
        <f>IF('Final List'!O119="","",'Final List'!O119)</f>
        <v/>
      </c>
      <c r="G278" s="162" t="str">
        <f>IF('Final List'!P119="","",'Final List'!P119)</f>
        <v/>
      </c>
      <c r="H278" s="162" t="str">
        <f>IF('Final List'!Q119="","",'Final List'!Q119)</f>
        <v/>
      </c>
      <c r="I278" s="159"/>
      <c r="J278" s="159"/>
    </row>
    <row r="279" spans="1:10" s="78" customFormat="1" x14ac:dyDescent="0.9">
      <c r="A279" s="162" t="str">
        <f>IF('Final List'!J120="","",'Final List'!J120)</f>
        <v/>
      </c>
      <c r="B279" s="162" t="str">
        <f>IF('Final List'!K120="","",'Final List'!K120)</f>
        <v/>
      </c>
      <c r="C279" s="162" t="str">
        <f>IF('Final List'!L120="","",'Final List'!L120)</f>
        <v/>
      </c>
      <c r="D279" s="162" t="str">
        <f>IF('Final List'!M120="","",'Final List'!M120)</f>
        <v/>
      </c>
      <c r="E279" s="162" t="str">
        <f>IF('Final List'!N120="","",'Final List'!N120)</f>
        <v/>
      </c>
      <c r="F279" s="162" t="str">
        <f>IF('Final List'!O120="","",'Final List'!O120)</f>
        <v/>
      </c>
      <c r="G279" s="162" t="str">
        <f>IF('Final List'!P120="","",'Final List'!P120)</f>
        <v/>
      </c>
      <c r="H279" s="162" t="str">
        <f>IF('Final List'!Q120="","",'Final List'!Q120)</f>
        <v/>
      </c>
      <c r="I279" s="159"/>
      <c r="J279" s="159"/>
    </row>
    <row r="280" spans="1:10" s="78" customFormat="1" x14ac:dyDescent="0.9">
      <c r="A280" s="162" t="str">
        <f>IF('Final List'!J121="","",'Final List'!J121)</f>
        <v/>
      </c>
      <c r="B280" s="162" t="str">
        <f>IF('Final List'!K121="","",'Final List'!K121)</f>
        <v/>
      </c>
      <c r="C280" s="162" t="str">
        <f>IF('Final List'!L121="","",'Final List'!L121)</f>
        <v/>
      </c>
      <c r="D280" s="162" t="str">
        <f>IF('Final List'!M121="","",'Final List'!M121)</f>
        <v/>
      </c>
      <c r="E280" s="162" t="str">
        <f>IF('Final List'!N121="","",'Final List'!N121)</f>
        <v/>
      </c>
      <c r="F280" s="162" t="str">
        <f>IF('Final List'!O121="","",'Final List'!O121)</f>
        <v/>
      </c>
      <c r="G280" s="162" t="str">
        <f>IF('Final List'!P121="","",'Final List'!P121)</f>
        <v/>
      </c>
      <c r="H280" s="162" t="str">
        <f>IF('Final List'!Q121="","",'Final List'!Q121)</f>
        <v/>
      </c>
      <c r="I280" s="159"/>
      <c r="J280" s="159"/>
    </row>
    <row r="281" spans="1:10" s="78" customFormat="1" x14ac:dyDescent="0.9">
      <c r="A281" s="162" t="str">
        <f>IF('Final List'!J122="","",'Final List'!J122)</f>
        <v/>
      </c>
      <c r="B281" s="162" t="str">
        <f>IF('Final List'!K122="","",'Final List'!K122)</f>
        <v/>
      </c>
      <c r="C281" s="162" t="str">
        <f>IF('Final List'!L122="","",'Final List'!L122)</f>
        <v/>
      </c>
      <c r="D281" s="162" t="str">
        <f>IF('Final List'!M122="","",'Final List'!M122)</f>
        <v/>
      </c>
      <c r="E281" s="162" t="str">
        <f>IF('Final List'!N122="","",'Final List'!N122)</f>
        <v/>
      </c>
      <c r="F281" s="162" t="str">
        <f>IF('Final List'!O122="","",'Final List'!O122)</f>
        <v/>
      </c>
      <c r="G281" s="162" t="str">
        <f>IF('Final List'!P122="","",'Final List'!P122)</f>
        <v/>
      </c>
      <c r="H281" s="162" t="str">
        <f>IF('Final List'!Q122="","",'Final List'!Q122)</f>
        <v/>
      </c>
      <c r="I281" s="159"/>
      <c r="J281" s="159"/>
    </row>
    <row r="282" spans="1:10" s="78" customFormat="1" x14ac:dyDescent="0.9">
      <c r="A282" s="162" t="str">
        <f>IF('Final List'!J123="","",'Final List'!J123)</f>
        <v/>
      </c>
      <c r="B282" s="162" t="str">
        <f>IF('Final List'!K123="","",'Final List'!K123)</f>
        <v/>
      </c>
      <c r="C282" s="162" t="str">
        <f>IF('Final List'!L123="","",'Final List'!L123)</f>
        <v/>
      </c>
      <c r="D282" s="162" t="str">
        <f>IF('Final List'!M123="","",'Final List'!M123)</f>
        <v/>
      </c>
      <c r="E282" s="162" t="str">
        <f>IF('Final List'!N123="","",'Final List'!N123)</f>
        <v/>
      </c>
      <c r="F282" s="162" t="str">
        <f>IF('Final List'!O123="","",'Final List'!O123)</f>
        <v/>
      </c>
      <c r="G282" s="162" t="str">
        <f>IF('Final List'!P123="","",'Final List'!P123)</f>
        <v/>
      </c>
      <c r="H282" s="162" t="str">
        <f>IF('Final List'!Q123="","",'Final List'!Q123)</f>
        <v/>
      </c>
      <c r="I282" s="159"/>
      <c r="J282" s="159"/>
    </row>
    <row r="283" spans="1:10" s="78" customFormat="1" x14ac:dyDescent="0.9">
      <c r="A283" s="162" t="str">
        <f>IF('Final List'!J124="","",'Final List'!J124)</f>
        <v/>
      </c>
      <c r="B283" s="162" t="str">
        <f>IF('Final List'!K124="","",'Final List'!K124)</f>
        <v/>
      </c>
      <c r="C283" s="162" t="str">
        <f>IF('Final List'!L124="","",'Final List'!L124)</f>
        <v/>
      </c>
      <c r="D283" s="162" t="str">
        <f>IF('Final List'!M124="","",'Final List'!M124)</f>
        <v/>
      </c>
      <c r="E283" s="162" t="str">
        <f>IF('Final List'!N124="","",'Final List'!N124)</f>
        <v/>
      </c>
      <c r="F283" s="162" t="str">
        <f>IF('Final List'!O124="","",'Final List'!O124)</f>
        <v/>
      </c>
      <c r="G283" s="162" t="str">
        <f>IF('Final List'!P124="","",'Final List'!P124)</f>
        <v/>
      </c>
      <c r="H283" s="162" t="str">
        <f>IF('Final List'!Q124="","",'Final List'!Q124)</f>
        <v/>
      </c>
      <c r="I283" s="159"/>
      <c r="J283" s="159"/>
    </row>
    <row r="284" spans="1:10" s="78" customFormat="1" x14ac:dyDescent="0.9">
      <c r="A284" s="162" t="str">
        <f>IF('Final List'!J125="","",'Final List'!J125)</f>
        <v/>
      </c>
      <c r="B284" s="162" t="str">
        <f>IF('Final List'!K125="","",'Final List'!K125)</f>
        <v/>
      </c>
      <c r="C284" s="162" t="str">
        <f>IF('Final List'!L125="","",'Final List'!L125)</f>
        <v/>
      </c>
      <c r="D284" s="162" t="str">
        <f>IF('Final List'!M125="","",'Final List'!M125)</f>
        <v/>
      </c>
      <c r="E284" s="162" t="str">
        <f>IF('Final List'!N125="","",'Final List'!N125)</f>
        <v/>
      </c>
      <c r="F284" s="162" t="str">
        <f>IF('Final List'!O125="","",'Final List'!O125)</f>
        <v/>
      </c>
      <c r="G284" s="162" t="str">
        <f>IF('Final List'!P125="","",'Final List'!P125)</f>
        <v/>
      </c>
      <c r="H284" s="162" t="str">
        <f>IF('Final List'!Q125="","",'Final List'!Q125)</f>
        <v/>
      </c>
      <c r="I284" s="159"/>
      <c r="J284" s="159"/>
    </row>
    <row r="285" spans="1:10" s="78" customFormat="1" x14ac:dyDescent="0.9">
      <c r="A285" s="162" t="str">
        <f>IF('Final List'!J126="","",'Final List'!J126)</f>
        <v/>
      </c>
      <c r="B285" s="162" t="str">
        <f>IF('Final List'!K126="","",'Final List'!K126)</f>
        <v/>
      </c>
      <c r="C285" s="162" t="str">
        <f>IF('Final List'!L126="","",'Final List'!L126)</f>
        <v/>
      </c>
      <c r="D285" s="162" t="str">
        <f>IF('Final List'!M126="","",'Final List'!M126)</f>
        <v/>
      </c>
      <c r="E285" s="162" t="str">
        <f>IF('Final List'!N126="","",'Final List'!N126)</f>
        <v/>
      </c>
      <c r="F285" s="162" t="str">
        <f>IF('Final List'!O126="","",'Final List'!O126)</f>
        <v/>
      </c>
      <c r="G285" s="162" t="str">
        <f>IF('Final List'!P126="","",'Final List'!P126)</f>
        <v/>
      </c>
      <c r="H285" s="162" t="str">
        <f>IF('Final List'!Q126="","",'Final List'!Q126)</f>
        <v/>
      </c>
      <c r="I285" s="159"/>
      <c r="J285" s="159"/>
    </row>
    <row r="286" spans="1:10" s="78" customFormat="1" x14ac:dyDescent="0.9">
      <c r="A286" s="162" t="str">
        <f>IF('Final List'!J127="","",'Final List'!J127)</f>
        <v/>
      </c>
      <c r="B286" s="162" t="str">
        <f>IF('Final List'!K127="","",'Final List'!K127)</f>
        <v/>
      </c>
      <c r="C286" s="162" t="str">
        <f>IF('Final List'!L127="","",'Final List'!L127)</f>
        <v/>
      </c>
      <c r="D286" s="162" t="str">
        <f>IF('Final List'!M127="","",'Final List'!M127)</f>
        <v/>
      </c>
      <c r="E286" s="162" t="str">
        <f>IF('Final List'!N127="","",'Final List'!N127)</f>
        <v/>
      </c>
      <c r="F286" s="162" t="str">
        <f>IF('Final List'!O127="","",'Final List'!O127)</f>
        <v/>
      </c>
      <c r="G286" s="162" t="str">
        <f>IF('Final List'!P127="","",'Final List'!P127)</f>
        <v/>
      </c>
      <c r="H286" s="162" t="str">
        <f>IF('Final List'!Q127="","",'Final List'!Q127)</f>
        <v/>
      </c>
      <c r="I286" s="159"/>
      <c r="J286" s="159"/>
    </row>
    <row r="287" spans="1:10" s="78" customFormat="1" ht="171" customHeight="1" x14ac:dyDescent="0.9">
      <c r="A287" s="163"/>
      <c r="B287" s="163"/>
      <c r="C287" s="163"/>
      <c r="D287" s="373"/>
      <c r="E287" s="374" t="str">
        <f>E21</f>
        <v xml:space="preserve">            JC VILLARUEL  / MZ CUREG /KN PORLARES/JNS SILVEDERIO /EJ LUMACANG</v>
      </c>
      <c r="F287" s="372"/>
      <c r="G287" s="372"/>
      <c r="H287" s="374"/>
      <c r="I287" s="159"/>
      <c r="J287" s="159"/>
    </row>
    <row r="288" spans="1:10" s="78" customFormat="1" x14ac:dyDescent="0.9">
      <c r="A288" s="163"/>
      <c r="B288" s="163"/>
      <c r="C288" s="163"/>
      <c r="D288" s="163"/>
      <c r="E288" s="163"/>
      <c r="F288" s="163" t="s">
        <v>5322</v>
      </c>
      <c r="H288" s="254"/>
      <c r="I288" s="159"/>
      <c r="J288" s="159"/>
    </row>
    <row r="289" spans="1:10" s="78" customFormat="1" x14ac:dyDescent="0.9">
      <c r="A289" s="163"/>
      <c r="B289" s="163"/>
      <c r="C289" s="163"/>
      <c r="D289" s="163"/>
      <c r="E289" s="163"/>
      <c r="F289" s="163"/>
      <c r="G289" s="163"/>
      <c r="H289" s="163"/>
      <c r="I289" s="159"/>
      <c r="J289" s="159"/>
    </row>
    <row r="290" spans="1:10" s="78" customFormat="1" x14ac:dyDescent="0.9">
      <c r="A290" s="162" t="str">
        <f>IF('Final List'!J127="","",'Final List'!J127)</f>
        <v/>
      </c>
      <c r="B290" s="162" t="str">
        <f>IF('Final List'!K128="","",'Final List'!K128)</f>
        <v/>
      </c>
      <c r="C290" s="162" t="str">
        <f>IF('Final List'!L128="","",'Final List'!L128)</f>
        <v/>
      </c>
      <c r="D290" s="162" t="str">
        <f>IF('Final List'!M128="","",'Final List'!M128)</f>
        <v/>
      </c>
      <c r="E290" s="162" t="str">
        <f>IF('Final List'!N128="","",'Final List'!N128)</f>
        <v/>
      </c>
      <c r="F290" s="162" t="str">
        <f>IF('Final List'!O128="","",'Final List'!O128)</f>
        <v/>
      </c>
      <c r="G290" s="162" t="str">
        <f>IF('Final List'!P128="","",'Final List'!P128)</f>
        <v/>
      </c>
      <c r="H290" s="162" t="str">
        <f>IF('Final List'!Q128="","",'Final List'!Q128)</f>
        <v/>
      </c>
      <c r="I290" s="159"/>
      <c r="J290" s="159"/>
    </row>
    <row r="291" spans="1:10" s="78" customFormat="1" x14ac:dyDescent="0.9">
      <c r="A291" s="163" t="s">
        <v>211</v>
      </c>
      <c r="B291" s="162"/>
      <c r="C291" s="162" t="s">
        <v>250</v>
      </c>
      <c r="D291" s="162"/>
      <c r="E291" s="162" t="s">
        <v>251</v>
      </c>
      <c r="F291" s="162"/>
      <c r="G291" s="162" t="s">
        <v>18</v>
      </c>
      <c r="H291" s="162"/>
      <c r="I291" s="159"/>
      <c r="J291" s="159"/>
    </row>
    <row r="292" spans="1:10" s="78" customFormat="1" x14ac:dyDescent="0.9">
      <c r="A292" s="160">
        <f>15-COUNTIF(A253:A267,"")</f>
        <v>0</v>
      </c>
      <c r="B292" s="162"/>
      <c r="C292" s="160">
        <f>15-COUNTIF(C253:C267,"")</f>
        <v>1</v>
      </c>
      <c r="D292" s="162"/>
      <c r="E292" s="160">
        <f>15-COUNTIF(E253:E267,"")</f>
        <v>0</v>
      </c>
      <c r="F292" s="162"/>
      <c r="G292" s="160">
        <f>15-COUNTIF(G253:G267,"")</f>
        <v>2</v>
      </c>
      <c r="H292" s="162"/>
      <c r="I292" s="165" t="s">
        <v>563</v>
      </c>
      <c r="J292" s="165">
        <f>A292+C292+E292+G292+A294+C294+E294+G294</f>
        <v>11</v>
      </c>
    </row>
    <row r="293" spans="1:10" s="78" customFormat="1" x14ac:dyDescent="0.9">
      <c r="A293" s="162" t="s">
        <v>19</v>
      </c>
      <c r="B293" s="162"/>
      <c r="C293" s="162" t="s">
        <v>20</v>
      </c>
      <c r="D293" s="162"/>
      <c r="E293" s="162" t="s">
        <v>21</v>
      </c>
      <c r="F293" s="162"/>
      <c r="G293" s="162" t="s">
        <v>22</v>
      </c>
      <c r="H293" s="162"/>
      <c r="I293" s="165" t="s">
        <v>564</v>
      </c>
      <c r="J293" s="165">
        <f>'Final List'!T136</f>
        <v>11</v>
      </c>
    </row>
    <row r="294" spans="1:10" s="78" customFormat="1" x14ac:dyDescent="0.9">
      <c r="A294" s="160">
        <f>17-COUNTIFS(A270:A286,"")</f>
        <v>0</v>
      </c>
      <c r="B294" s="162"/>
      <c r="C294" s="160">
        <f>17-COUNTIFS(C270:C286,"")</f>
        <v>0</v>
      </c>
      <c r="D294" s="162"/>
      <c r="E294" s="160">
        <f>17-COUNTIFS(E270:E286,"")</f>
        <v>0</v>
      </c>
      <c r="F294" s="162"/>
      <c r="G294" s="160">
        <f>17-COUNTIFS(G270:G286,"")</f>
        <v>8</v>
      </c>
      <c r="H294" s="162"/>
      <c r="I294" s="159"/>
      <c r="J294" s="159"/>
    </row>
    <row r="295" spans="1:10" s="78" customFormat="1" x14ac:dyDescent="0.9">
      <c r="A295" s="160"/>
      <c r="B295" s="162"/>
      <c r="C295" s="160"/>
      <c r="D295" s="162"/>
      <c r="E295" s="160"/>
      <c r="F295" s="162"/>
      <c r="G295" s="160"/>
      <c r="H295" s="162"/>
      <c r="I295" s="159"/>
      <c r="J295" s="159"/>
    </row>
    <row r="296" spans="1:10" s="78" customFormat="1" x14ac:dyDescent="0.9">
      <c r="A296" s="160"/>
      <c r="B296" s="162"/>
      <c r="C296" s="160"/>
      <c r="D296" s="162"/>
      <c r="E296" s="160"/>
      <c r="F296" s="162"/>
      <c r="G296" s="160"/>
      <c r="H296" s="162"/>
      <c r="I296" s="159"/>
      <c r="J296" s="159"/>
    </row>
    <row r="297" spans="1:10" s="78" customFormat="1" ht="222" customHeight="1" x14ac:dyDescent="0.9">
      <c r="A297" s="322" t="s">
        <v>257</v>
      </c>
      <c r="B297" s="321">
        <f ca="1">TODAY()</f>
        <v>46184</v>
      </c>
      <c r="C297" s="160"/>
      <c r="D297" s="160"/>
      <c r="E297" s="160"/>
      <c r="F297" s="160"/>
      <c r="G297" s="160"/>
      <c r="H297" s="323" t="str">
        <f>H250</f>
        <v>Doc.No. : ENG-PLN-FRM-002
Ver. No. : 1
Effectivity: October 25, 2024</v>
      </c>
      <c r="I297" s="159"/>
      <c r="J297" s="159"/>
    </row>
    <row r="298" spans="1:10" s="78" customFormat="1" x14ac:dyDescent="0.9">
      <c r="A298" s="422" t="s">
        <v>211</v>
      </c>
      <c r="B298" s="422"/>
      <c r="C298" s="422" t="s">
        <v>250</v>
      </c>
      <c r="D298" s="422"/>
      <c r="E298" s="422" t="s">
        <v>251</v>
      </c>
      <c r="F298" s="422"/>
      <c r="G298" s="422" t="s">
        <v>18</v>
      </c>
      <c r="H298" s="422"/>
      <c r="I298" s="159"/>
      <c r="J298" s="159" t="s">
        <v>47</v>
      </c>
    </row>
    <row r="299" spans="1:10" s="78" customFormat="1" x14ac:dyDescent="0.7">
      <c r="A299" s="161" t="s">
        <v>524</v>
      </c>
      <c r="B299" s="161" t="s">
        <v>525</v>
      </c>
      <c r="C299" s="161" t="s">
        <v>524</v>
      </c>
      <c r="D299" s="161" t="s">
        <v>525</v>
      </c>
      <c r="E299" s="161" t="s">
        <v>524</v>
      </c>
      <c r="F299" s="161" t="s">
        <v>525</v>
      </c>
      <c r="G299" s="161" t="s">
        <v>524</v>
      </c>
      <c r="H299" s="161" t="s">
        <v>525</v>
      </c>
      <c r="I299" s="159"/>
      <c r="J299" s="159"/>
    </row>
    <row r="300" spans="1:10" s="78" customFormat="1" x14ac:dyDescent="0.9">
      <c r="A300" s="162" t="str">
        <f>IF('Final List'!B137="","",'Final List'!B137)</f>
        <v/>
      </c>
      <c r="B300" s="162" t="str">
        <f>IF('Final List'!C137="","",'Final List'!C137)</f>
        <v/>
      </c>
      <c r="C300" s="162" t="str">
        <f>IF('Final List'!D137="","",'Final List'!D137)</f>
        <v>L10_DPVE_015W_STOPE</v>
      </c>
      <c r="D300" s="162" t="str">
        <f>IF('Final List'!E137="","",'Final List'!E137)</f>
        <v>LARGO 3</v>
      </c>
      <c r="E300" s="162" t="str">
        <f>IF('Final List'!F137="","",'Final List'!F137)</f>
        <v/>
      </c>
      <c r="F300" s="162" t="str">
        <f>IF('Final List'!G137="","",'Final List'!G137)</f>
        <v/>
      </c>
      <c r="G300" s="162" t="str">
        <f>IF('Final List'!H137="","",'Final List'!H137)</f>
        <v>L10_DPVE_049E_DE</v>
      </c>
      <c r="H300" s="162" t="str">
        <f>IF('Final List'!I137="","",'Final List'!I137)</f>
        <v>NITRO CN</v>
      </c>
      <c r="I300" s="159"/>
      <c r="J300" s="159"/>
    </row>
    <row r="301" spans="1:10" s="78" customFormat="1" x14ac:dyDescent="0.9">
      <c r="A301" s="162" t="str">
        <f>IF('Final List'!B138="","",'Final List'!B138)</f>
        <v/>
      </c>
      <c r="B301" s="162" t="str">
        <f>IF('Final List'!C138="","",'Final List'!C138)</f>
        <v/>
      </c>
      <c r="C301" s="162" t="str">
        <f>IF('Final List'!D138="","",'Final List'!D138)</f>
        <v>L10_JV_026W_STOPE</v>
      </c>
      <c r="D301" s="162" t="str">
        <f>IF('Final List'!E138="","",'Final List'!E138)</f>
        <v>LARGO 2</v>
      </c>
      <c r="E301" s="162" t="str">
        <f>IF('Final List'!F138="","",'Final List'!F138)</f>
        <v/>
      </c>
      <c r="F301" s="162" t="str">
        <f>IF('Final List'!G138="","",'Final List'!G138)</f>
        <v/>
      </c>
      <c r="G301" s="162" t="str">
        <f>IF('Final List'!H138="","",'Final List'!H138)</f>
        <v/>
      </c>
      <c r="H301" s="162" t="str">
        <f>IF('Final List'!I138="","",'Final List'!I138)</f>
        <v/>
      </c>
      <c r="I301" s="159"/>
      <c r="J301" s="159"/>
    </row>
    <row r="302" spans="1:10" s="78" customFormat="1" x14ac:dyDescent="0.9">
      <c r="A302" s="162" t="str">
        <f>IF('Final List'!B139="","",'Final List'!B139)</f>
        <v/>
      </c>
      <c r="B302" s="162" t="str">
        <f>IF('Final List'!C139="","",'Final List'!C139)</f>
        <v/>
      </c>
      <c r="C302" s="162" t="str">
        <f>IF('Final List'!D139="","",'Final List'!D139)</f>
        <v>L10_JV_028W_STOPE</v>
      </c>
      <c r="D302" s="162" t="str">
        <f>IF('Final List'!E139="","",'Final List'!E139)</f>
        <v>LARGO 2</v>
      </c>
      <c r="E302" s="162" t="str">
        <f>IF('Final List'!F139="","",'Final List'!F139)</f>
        <v/>
      </c>
      <c r="F302" s="162" t="str">
        <f>IF('Final List'!G139="","",'Final List'!G139)</f>
        <v/>
      </c>
      <c r="G302" s="162" t="str">
        <f>IF('Final List'!H139="","",'Final List'!H139)</f>
        <v/>
      </c>
      <c r="H302" s="162" t="str">
        <f>IF('Final List'!I139="","",'Final List'!I139)</f>
        <v/>
      </c>
      <c r="I302" s="159"/>
      <c r="J302" s="159"/>
    </row>
    <row r="303" spans="1:10" s="78" customFormat="1" x14ac:dyDescent="0.9">
      <c r="A303" s="162" t="str">
        <f>IF('Final List'!B140="","",'Final List'!B140)</f>
        <v/>
      </c>
      <c r="B303" s="162" t="str">
        <f>IF('Final List'!C140="","",'Final List'!C140)</f>
        <v/>
      </c>
      <c r="C303" s="162" t="str">
        <f>IF('Final List'!D140="","",'Final List'!D140)</f>
        <v/>
      </c>
      <c r="D303" s="162" t="str">
        <f>IF('Final List'!E140="","",'Final List'!E140)</f>
        <v/>
      </c>
      <c r="E303" s="162" t="str">
        <f>IF('Final List'!F140="","",'Final List'!F140)</f>
        <v/>
      </c>
      <c r="F303" s="162" t="str">
        <f>IF('Final List'!G140="","",'Final List'!G140)</f>
        <v/>
      </c>
      <c r="G303" s="162" t="str">
        <f>IF('Final List'!H140="","",'Final List'!H140)</f>
        <v/>
      </c>
      <c r="H303" s="162" t="str">
        <f>IF('Final List'!I140="","",'Final List'!I140)</f>
        <v/>
      </c>
      <c r="I303" s="159"/>
      <c r="J303" s="159"/>
    </row>
    <row r="304" spans="1:10" s="78" customFormat="1" x14ac:dyDescent="0.9">
      <c r="A304" s="162" t="str">
        <f>IF('Final List'!B141="","",'Final List'!B141)</f>
        <v/>
      </c>
      <c r="B304" s="162" t="str">
        <f>IF('Final List'!C141="","",'Final List'!C141)</f>
        <v/>
      </c>
      <c r="C304" s="162" t="str">
        <f>IF('Final List'!D141="","",'Final List'!D141)</f>
        <v/>
      </c>
      <c r="D304" s="162" t="str">
        <f>IF('Final List'!E141="","",'Final List'!E141)</f>
        <v/>
      </c>
      <c r="E304" s="162" t="str">
        <f>IF('Final List'!F141="","",'Final List'!F141)</f>
        <v/>
      </c>
      <c r="F304" s="162" t="str">
        <f>IF('Final List'!G141="","",'Final List'!G141)</f>
        <v/>
      </c>
      <c r="G304" s="162" t="str">
        <f>IF('Final List'!H141="","",'Final List'!H141)</f>
        <v/>
      </c>
      <c r="H304" s="162" t="str">
        <f>IF('Final List'!I141="","",'Final List'!I141)</f>
        <v/>
      </c>
      <c r="I304" s="159"/>
      <c r="J304" s="159"/>
    </row>
    <row r="305" spans="1:10" s="78" customFormat="1" x14ac:dyDescent="0.9">
      <c r="A305" s="162" t="str">
        <f>IF('Final List'!B142="","",'Final List'!B142)</f>
        <v/>
      </c>
      <c r="B305" s="162" t="str">
        <f>IF('Final List'!C142="","",'Final List'!C142)</f>
        <v/>
      </c>
      <c r="C305" s="162" t="str">
        <f>IF('Final List'!D142="","",'Final List'!D142)</f>
        <v/>
      </c>
      <c r="D305" s="162" t="str">
        <f>IF('Final List'!E142="","",'Final List'!E142)</f>
        <v/>
      </c>
      <c r="E305" s="162" t="str">
        <f>IF('Final List'!F142="","",'Final List'!F142)</f>
        <v/>
      </c>
      <c r="F305" s="162" t="str">
        <f>IF('Final List'!G142="","",'Final List'!G142)</f>
        <v/>
      </c>
      <c r="G305" s="162" t="str">
        <f>IF('Final List'!H142="","",'Final List'!H142)</f>
        <v/>
      </c>
      <c r="H305" s="162" t="str">
        <f>IF('Final List'!I142="","",'Final List'!I142)</f>
        <v/>
      </c>
      <c r="I305" s="159"/>
      <c r="J305" s="159"/>
    </row>
    <row r="306" spans="1:10" s="78" customFormat="1" x14ac:dyDescent="0.9">
      <c r="A306" s="162" t="str">
        <f>IF('Final List'!B143="","",'Final List'!B143)</f>
        <v/>
      </c>
      <c r="B306" s="162" t="str">
        <f>IF('Final List'!C143="","",'Final List'!C143)</f>
        <v/>
      </c>
      <c r="C306" s="162" t="str">
        <f>IF('Final List'!D143="","",'Final List'!D143)</f>
        <v/>
      </c>
      <c r="D306" s="162" t="str">
        <f>IF('Final List'!E143="","",'Final List'!E143)</f>
        <v/>
      </c>
      <c r="E306" s="162" t="str">
        <f>IF('Final List'!F143="","",'Final List'!F143)</f>
        <v/>
      </c>
      <c r="F306" s="162" t="str">
        <f>IF('Final List'!G143="","",'Final List'!G143)</f>
        <v/>
      </c>
      <c r="G306" s="162" t="str">
        <f>IF('Final List'!H143="","",'Final List'!H143)</f>
        <v/>
      </c>
      <c r="H306" s="162" t="str">
        <f>IF('Final List'!I143="","",'Final List'!I143)</f>
        <v/>
      </c>
      <c r="I306" s="159"/>
      <c r="J306" s="159"/>
    </row>
    <row r="307" spans="1:10" s="78" customFormat="1" x14ac:dyDescent="0.9">
      <c r="A307" s="162" t="str">
        <f>IF('Final List'!B144="","",'Final List'!B144)</f>
        <v/>
      </c>
      <c r="B307" s="162" t="str">
        <f>IF('Final List'!C144="","",'Final List'!C144)</f>
        <v/>
      </c>
      <c r="C307" s="162" t="str">
        <f>IF('Final List'!D144="","",'Final List'!D144)</f>
        <v/>
      </c>
      <c r="D307" s="162" t="str">
        <f>IF('Final List'!E144="","",'Final List'!E144)</f>
        <v/>
      </c>
      <c r="E307" s="162" t="str">
        <f>IF('Final List'!F144="","",'Final List'!F144)</f>
        <v/>
      </c>
      <c r="F307" s="162" t="str">
        <f>IF('Final List'!G144="","",'Final List'!G144)</f>
        <v/>
      </c>
      <c r="G307" s="162" t="str">
        <f>IF('Final List'!H144="","",'Final List'!H144)</f>
        <v/>
      </c>
      <c r="H307" s="162" t="str">
        <f>IF('Final List'!I144="","",'Final List'!I144)</f>
        <v/>
      </c>
      <c r="I307" s="159"/>
      <c r="J307" s="159"/>
    </row>
    <row r="308" spans="1:10" s="78" customFormat="1" x14ac:dyDescent="0.9">
      <c r="A308" s="162" t="str">
        <f>IF('Final List'!B145="","",'Final List'!B145)</f>
        <v/>
      </c>
      <c r="B308" s="162" t="str">
        <f>IF('Final List'!C145="","",'Final List'!C145)</f>
        <v/>
      </c>
      <c r="C308" s="162" t="str">
        <f>IF('Final List'!D145="","",'Final List'!D145)</f>
        <v/>
      </c>
      <c r="D308" s="162" t="str">
        <f>IF('Final List'!E145="","",'Final List'!E145)</f>
        <v/>
      </c>
      <c r="E308" s="162" t="str">
        <f>IF('Final List'!F145="","",'Final List'!F145)</f>
        <v/>
      </c>
      <c r="F308" s="162" t="str">
        <f>IF('Final List'!G145="","",'Final List'!G145)</f>
        <v/>
      </c>
      <c r="G308" s="162" t="str">
        <f>IF('Final List'!H145="","",'Final List'!H145)</f>
        <v/>
      </c>
      <c r="H308" s="162" t="str">
        <f>IF('Final List'!I145="","",'Final List'!I145)</f>
        <v/>
      </c>
      <c r="I308" s="159"/>
      <c r="J308" s="159"/>
    </row>
    <row r="309" spans="1:10" s="78" customFormat="1" x14ac:dyDescent="0.9">
      <c r="A309" s="162" t="str">
        <f>IF('Final List'!B146="","",'Final List'!B146)</f>
        <v/>
      </c>
      <c r="B309" s="162" t="str">
        <f>IF('Final List'!C146="","",'Final List'!C146)</f>
        <v/>
      </c>
      <c r="C309" s="162" t="str">
        <f>IF('Final List'!D146="","",'Final List'!D146)</f>
        <v/>
      </c>
      <c r="D309" s="162" t="str">
        <f>IF('Final List'!E146="","",'Final List'!E146)</f>
        <v/>
      </c>
      <c r="E309" s="162" t="str">
        <f>IF('Final List'!F146="","",'Final List'!F146)</f>
        <v/>
      </c>
      <c r="F309" s="162" t="str">
        <f>IF('Final List'!G146="","",'Final List'!G146)</f>
        <v/>
      </c>
      <c r="G309" s="162" t="str">
        <f>IF('Final List'!H146="","",'Final List'!H146)</f>
        <v/>
      </c>
      <c r="H309" s="162" t="str">
        <f>IF('Final List'!I146="","",'Final List'!I146)</f>
        <v/>
      </c>
      <c r="I309" s="159"/>
      <c r="J309" s="159"/>
    </row>
    <row r="310" spans="1:10" s="78" customFormat="1" x14ac:dyDescent="0.9">
      <c r="A310" s="162" t="str">
        <f>IF('Final List'!B147="","",'Final List'!B147)</f>
        <v/>
      </c>
      <c r="B310" s="162" t="str">
        <f>IF('Final List'!C147="","",'Final List'!C147)</f>
        <v/>
      </c>
      <c r="C310" s="162" t="str">
        <f>IF('Final List'!D147="","",'Final List'!D147)</f>
        <v/>
      </c>
      <c r="D310" s="162" t="str">
        <f>IF('Final List'!E147="","",'Final List'!E147)</f>
        <v/>
      </c>
      <c r="E310" s="162" t="str">
        <f>IF('Final List'!F147="","",'Final List'!F147)</f>
        <v/>
      </c>
      <c r="F310" s="162" t="str">
        <f>IF('Final List'!G147="","",'Final List'!G147)</f>
        <v/>
      </c>
      <c r="G310" s="162" t="str">
        <f>IF('Final List'!H147="","",'Final List'!H147)</f>
        <v/>
      </c>
      <c r="H310" s="162" t="str">
        <f>IF('Final List'!I147="","",'Final List'!I147)</f>
        <v/>
      </c>
      <c r="I310" s="159"/>
      <c r="J310" s="159"/>
    </row>
    <row r="311" spans="1:10" s="78" customFormat="1" x14ac:dyDescent="0.9">
      <c r="A311" s="162" t="str">
        <f>IF('Final List'!B148="","",'Final List'!B148)</f>
        <v/>
      </c>
      <c r="B311" s="162" t="str">
        <f>IF('Final List'!C148="","",'Final List'!C148)</f>
        <v/>
      </c>
      <c r="C311" s="162" t="str">
        <f>IF('Final List'!D148="","",'Final List'!D148)</f>
        <v/>
      </c>
      <c r="D311" s="162" t="str">
        <f>IF('Final List'!E148="","",'Final List'!E148)</f>
        <v/>
      </c>
      <c r="E311" s="162" t="str">
        <f>IF('Final List'!F148="","",'Final List'!F148)</f>
        <v/>
      </c>
      <c r="F311" s="162" t="str">
        <f>IF('Final List'!G148="","",'Final List'!G148)</f>
        <v/>
      </c>
      <c r="G311" s="162" t="str">
        <f>IF('Final List'!H148="","",'Final List'!H148)</f>
        <v/>
      </c>
      <c r="H311" s="162" t="str">
        <f>IF('Final List'!I148="","",'Final List'!I148)</f>
        <v/>
      </c>
      <c r="I311" s="159"/>
      <c r="J311" s="159"/>
    </row>
    <row r="312" spans="1:10" s="78" customFormat="1" x14ac:dyDescent="0.9">
      <c r="A312" s="162" t="str">
        <f>IF('Final List'!B149="","",'Final List'!B149)</f>
        <v/>
      </c>
      <c r="B312" s="162" t="str">
        <f>IF('Final List'!C149="","",'Final List'!C149)</f>
        <v/>
      </c>
      <c r="C312" s="162" t="str">
        <f>IF('Final List'!D149="","",'Final List'!D149)</f>
        <v/>
      </c>
      <c r="D312" s="162" t="str">
        <f>IF('Final List'!E149="","",'Final List'!E149)</f>
        <v/>
      </c>
      <c r="E312" s="162" t="str">
        <f>IF('Final List'!F149="","",'Final List'!F149)</f>
        <v/>
      </c>
      <c r="F312" s="162" t="str">
        <f>IF('Final List'!G149="","",'Final List'!G149)</f>
        <v/>
      </c>
      <c r="G312" s="162" t="str">
        <f>IF('Final List'!H149="","",'Final List'!H149)</f>
        <v/>
      </c>
      <c r="H312" s="162" t="str">
        <f>IF('Final List'!I149="","",'Final List'!I149)</f>
        <v/>
      </c>
      <c r="I312" s="159"/>
      <c r="J312" s="159"/>
    </row>
    <row r="313" spans="1:10" s="78" customFormat="1" x14ac:dyDescent="0.9">
      <c r="A313" s="162" t="str">
        <f>IF('Final List'!B150="","",'Final List'!B150)</f>
        <v/>
      </c>
      <c r="B313" s="162" t="str">
        <f>IF('Final List'!C150="","",'Final List'!C150)</f>
        <v/>
      </c>
      <c r="C313" s="162" t="str">
        <f>IF('Final List'!D150="","",'Final List'!D150)</f>
        <v/>
      </c>
      <c r="D313" s="162" t="str">
        <f>IF('Final List'!E150="","",'Final List'!E150)</f>
        <v/>
      </c>
      <c r="E313" s="162" t="str">
        <f>IF('Final List'!F150="","",'Final List'!F150)</f>
        <v/>
      </c>
      <c r="F313" s="162" t="str">
        <f>IF('Final List'!G150="","",'Final List'!G150)</f>
        <v/>
      </c>
      <c r="G313" s="162" t="str">
        <f>IF('Final List'!H150="","",'Final List'!H150)</f>
        <v/>
      </c>
      <c r="H313" s="162" t="str">
        <f>IF('Final List'!I150="","",'Final List'!I150)</f>
        <v/>
      </c>
      <c r="I313" s="159"/>
      <c r="J313" s="159"/>
    </row>
    <row r="314" spans="1:10" s="78" customFormat="1" x14ac:dyDescent="0.9">
      <c r="A314" s="162" t="str">
        <f>IF('Final List'!B151="","",'Final List'!B151)</f>
        <v/>
      </c>
      <c r="B314" s="162" t="str">
        <f>IF('Final List'!C151="","",'Final List'!C151)</f>
        <v/>
      </c>
      <c r="C314" s="162" t="str">
        <f>IF('Final List'!D151="","",'Final List'!D151)</f>
        <v/>
      </c>
      <c r="D314" s="162" t="str">
        <f>IF('Final List'!E151="","",'Final List'!E151)</f>
        <v/>
      </c>
      <c r="E314" s="162" t="str">
        <f>IF('Final List'!F151="","",'Final List'!F151)</f>
        <v/>
      </c>
      <c r="F314" s="162" t="str">
        <f>IF('Final List'!G151="","",'Final List'!G151)</f>
        <v/>
      </c>
      <c r="G314" s="162" t="str">
        <f>IF('Final List'!H151="","",'Final List'!H151)</f>
        <v/>
      </c>
      <c r="H314" s="162" t="str">
        <f>IF('Final List'!I151="","",'Final List'!I151)</f>
        <v/>
      </c>
      <c r="I314" s="159"/>
      <c r="J314" s="159"/>
    </row>
    <row r="315" spans="1:10" s="78" customFormat="1" x14ac:dyDescent="0.9">
      <c r="A315" s="424" t="s">
        <v>19</v>
      </c>
      <c r="B315" s="425"/>
      <c r="C315" s="424" t="s">
        <v>20</v>
      </c>
      <c r="D315" s="425"/>
      <c r="E315" s="422" t="s">
        <v>21</v>
      </c>
      <c r="F315" s="422"/>
      <c r="G315" s="424" t="s">
        <v>22</v>
      </c>
      <c r="H315" s="425"/>
      <c r="I315" s="159"/>
      <c r="J315" s="159"/>
    </row>
    <row r="316" spans="1:10" s="78" customFormat="1" x14ac:dyDescent="0.7">
      <c r="A316" s="161" t="s">
        <v>524</v>
      </c>
      <c r="B316" s="161" t="s">
        <v>525</v>
      </c>
      <c r="C316" s="161" t="s">
        <v>524</v>
      </c>
      <c r="D316" s="161" t="s">
        <v>525</v>
      </c>
      <c r="E316" s="161" t="s">
        <v>524</v>
      </c>
      <c r="F316" s="161" t="s">
        <v>525</v>
      </c>
      <c r="G316" s="161" t="s">
        <v>524</v>
      </c>
      <c r="H316" s="161" t="s">
        <v>525</v>
      </c>
      <c r="I316" s="159"/>
      <c r="J316" s="159"/>
    </row>
    <row r="317" spans="1:10" s="78" customFormat="1" x14ac:dyDescent="0.9">
      <c r="A317" s="162" t="str">
        <f>IF('Final List'!J137="","",'Final List'!J137)</f>
        <v/>
      </c>
      <c r="B317" s="162" t="str">
        <f>IF('Final List'!K137="","",'Final List'!K137)</f>
        <v/>
      </c>
      <c r="C317" s="162" t="str">
        <f>IF('Final List'!L137="","",'Final List'!L137)</f>
        <v/>
      </c>
      <c r="D317" s="162" t="str">
        <f>IF('Final List'!M137="","",'Final List'!M137)</f>
        <v/>
      </c>
      <c r="E317" s="162" t="str">
        <f>IF('Final List'!N137="","",'Final List'!N137)</f>
        <v>L10_NONE_012W_XCN</v>
      </c>
      <c r="F317" s="162" t="str">
        <f>IF('Final List'!O137="","",'Final List'!O137)</f>
        <v>DELOS REYES</v>
      </c>
      <c r="G317" s="162" t="str">
        <f>IF('Final List'!P137="","",'Final List'!P137)</f>
        <v>L10_NONE_017W_DRILLING CHAMBER</v>
      </c>
      <c r="H317" s="162" t="str">
        <f>IF('Final List'!Q137="","",'Final List'!Q137)</f>
        <v>NITRO BD</v>
      </c>
      <c r="I317" s="159"/>
      <c r="J317" s="159"/>
    </row>
    <row r="318" spans="1:10" s="78" customFormat="1" x14ac:dyDescent="0.9">
      <c r="A318" s="162" t="str">
        <f>IF('Final List'!J138="","",'Final List'!J138)</f>
        <v/>
      </c>
      <c r="B318" s="162" t="str">
        <f>IF('Final List'!K138="","",'Final List'!K138)</f>
        <v/>
      </c>
      <c r="C318" s="162" t="str">
        <f>IF('Final List'!L138="","",'Final List'!L138)</f>
        <v/>
      </c>
      <c r="D318" s="162" t="str">
        <f>IF('Final List'!M138="","",'Final List'!M138)</f>
        <v/>
      </c>
      <c r="E318" s="162" t="str">
        <f>IF('Final List'!N138="","",'Final List'!N138)</f>
        <v/>
      </c>
      <c r="F318" s="162" t="str">
        <f>IF('Final List'!O138="","",'Final List'!O138)</f>
        <v/>
      </c>
      <c r="G318" s="162" t="str">
        <f>IF('Final List'!P138="","",'Final List'!P138)</f>
        <v>L10_GHV_065E_ROBBING</v>
      </c>
      <c r="H318" s="162" t="str">
        <f>IF('Final List'!Q138="","",'Final List'!Q138)</f>
        <v>FERNANDEZ</v>
      </c>
      <c r="I318" s="159"/>
      <c r="J318" s="159"/>
    </row>
    <row r="319" spans="1:10" s="78" customFormat="1" x14ac:dyDescent="0.9">
      <c r="A319" s="162" t="str">
        <f>IF('Final List'!J139="","",'Final List'!J139)</f>
        <v/>
      </c>
      <c r="B319" s="162" t="str">
        <f>IF('Final List'!K139="","",'Final List'!K139)</f>
        <v/>
      </c>
      <c r="C319" s="162" t="str">
        <f>IF('Final List'!L139="","",'Final List'!L139)</f>
        <v/>
      </c>
      <c r="D319" s="162" t="str">
        <f>IF('Final List'!M139="","",'Final List'!M139)</f>
        <v/>
      </c>
      <c r="E319" s="162" t="str">
        <f>IF('Final List'!N139="","",'Final List'!N139)</f>
        <v/>
      </c>
      <c r="F319" s="162" t="str">
        <f>IF('Final List'!O139="","",'Final List'!O139)</f>
        <v/>
      </c>
      <c r="G319" s="162" t="str">
        <f>IF('Final List'!P139="","",'Final List'!P139)</f>
        <v/>
      </c>
      <c r="H319" s="162" t="str">
        <f>IF('Final List'!Q139="","",'Final List'!Q139)</f>
        <v/>
      </c>
      <c r="I319" s="159"/>
      <c r="J319" s="159"/>
    </row>
    <row r="320" spans="1:10" s="78" customFormat="1" x14ac:dyDescent="0.9">
      <c r="A320" s="162" t="str">
        <f>IF('Final List'!J140="","",'Final List'!J140)</f>
        <v/>
      </c>
      <c r="B320" s="162" t="str">
        <f>IF('Final List'!K140="","",'Final List'!K140)</f>
        <v/>
      </c>
      <c r="C320" s="162" t="str">
        <f>IF('Final List'!L140="","",'Final List'!L140)</f>
        <v/>
      </c>
      <c r="D320" s="162" t="str">
        <f>IF('Final List'!M140="","",'Final List'!M140)</f>
        <v/>
      </c>
      <c r="E320" s="162" t="str">
        <f>IF('Final List'!N140="","",'Final List'!N140)</f>
        <v/>
      </c>
      <c r="F320" s="162" t="str">
        <f>IF('Final List'!O140="","",'Final List'!O140)</f>
        <v/>
      </c>
      <c r="G320" s="162" t="str">
        <f>IF('Final List'!P140="","",'Final List'!P140)</f>
        <v/>
      </c>
      <c r="H320" s="162" t="str">
        <f>IF('Final List'!Q140="","",'Final List'!Q140)</f>
        <v/>
      </c>
      <c r="I320" s="159"/>
      <c r="J320" s="159"/>
    </row>
    <row r="321" spans="1:10" s="78" customFormat="1" x14ac:dyDescent="0.9">
      <c r="A321" s="162" t="str">
        <f>IF('Final List'!J141="","",'Final List'!J141)</f>
        <v/>
      </c>
      <c r="B321" s="162" t="str">
        <f>IF('Final List'!K141="","",'Final List'!K141)</f>
        <v/>
      </c>
      <c r="C321" s="162" t="str">
        <f>IF('Final List'!L141="","",'Final List'!L141)</f>
        <v/>
      </c>
      <c r="D321" s="162" t="str">
        <f>IF('Final List'!M141="","",'Final List'!M141)</f>
        <v/>
      </c>
      <c r="E321" s="162" t="str">
        <f>IF('Final List'!N141="","",'Final List'!N141)</f>
        <v/>
      </c>
      <c r="F321" s="162" t="str">
        <f>IF('Final List'!O141="","",'Final List'!O141)</f>
        <v/>
      </c>
      <c r="G321" s="162" t="str">
        <f>IF('Final List'!P141="","",'Final List'!P141)</f>
        <v/>
      </c>
      <c r="H321" s="162" t="str">
        <f>IF('Final List'!Q141="","",'Final List'!Q141)</f>
        <v/>
      </c>
      <c r="I321" s="159"/>
      <c r="J321" s="159"/>
    </row>
    <row r="322" spans="1:10" s="78" customFormat="1" x14ac:dyDescent="0.9">
      <c r="A322" s="162" t="str">
        <f>IF('Final List'!J142="","",'Final List'!J142)</f>
        <v/>
      </c>
      <c r="B322" s="162" t="str">
        <f>IF('Final List'!K142="","",'Final List'!K142)</f>
        <v/>
      </c>
      <c r="C322" s="162" t="str">
        <f>IF('Final List'!L142="","",'Final List'!L142)</f>
        <v/>
      </c>
      <c r="D322" s="162" t="str">
        <f>IF('Final List'!M142="","",'Final List'!M142)</f>
        <v/>
      </c>
      <c r="E322" s="162" t="str">
        <f>IF('Final List'!N142="","",'Final List'!N142)</f>
        <v/>
      </c>
      <c r="F322" s="162" t="str">
        <f>IF('Final List'!O142="","",'Final List'!O142)</f>
        <v/>
      </c>
      <c r="G322" s="162" t="str">
        <f>IF('Final List'!P142="","",'Final List'!P142)</f>
        <v/>
      </c>
      <c r="H322" s="162" t="str">
        <f>IF('Final List'!Q142="","",'Final List'!Q142)</f>
        <v/>
      </c>
      <c r="I322" s="159"/>
      <c r="J322" s="159"/>
    </row>
    <row r="323" spans="1:10" s="78" customFormat="1" x14ac:dyDescent="0.9">
      <c r="A323" s="162" t="str">
        <f>IF('Final List'!J143="","",'Final List'!J143)</f>
        <v/>
      </c>
      <c r="B323" s="162" t="str">
        <f>IF('Final List'!K143="","",'Final List'!K143)</f>
        <v/>
      </c>
      <c r="C323" s="162" t="str">
        <f>IF('Final List'!L143="","",'Final List'!L143)</f>
        <v/>
      </c>
      <c r="D323" s="162" t="str">
        <f>IF('Final List'!M143="","",'Final List'!M143)</f>
        <v/>
      </c>
      <c r="E323" s="162" t="str">
        <f>IF('Final List'!N143="","",'Final List'!N143)</f>
        <v/>
      </c>
      <c r="F323" s="162" t="str">
        <f>IF('Final List'!O143="","",'Final List'!O143)</f>
        <v xml:space="preserve">                                                                                                                                                                                                                                                                                                                                                                                                                                                                                                                                                                    </v>
      </c>
      <c r="G323" s="162" t="str">
        <f>IF('Final List'!P143="","",'Final List'!P143)</f>
        <v/>
      </c>
      <c r="H323" s="162" t="str">
        <f>IF('Final List'!Q143="","",'Final List'!Q143)</f>
        <v/>
      </c>
      <c r="I323" s="159"/>
      <c r="J323" s="159"/>
    </row>
    <row r="324" spans="1:10" s="78" customFormat="1" x14ac:dyDescent="0.9">
      <c r="A324" s="162" t="str">
        <f>IF('Final List'!J144="","",'Final List'!J144)</f>
        <v/>
      </c>
      <c r="B324" s="162" t="str">
        <f>IF('Final List'!K144="","",'Final List'!K144)</f>
        <v/>
      </c>
      <c r="C324" s="162" t="str">
        <f>IF('Final List'!L144="","",'Final List'!L144)</f>
        <v/>
      </c>
      <c r="D324" s="162" t="str">
        <f>IF('Final List'!M144="","",'Final List'!M144)</f>
        <v/>
      </c>
      <c r="E324" s="162" t="str">
        <f>IF('Final List'!N144="","",'Final List'!N144)</f>
        <v/>
      </c>
      <c r="F324" s="162" t="str">
        <f>IF('Final List'!O144="","",'Final List'!O144)</f>
        <v/>
      </c>
      <c r="G324" s="162" t="str">
        <f>IF('Final List'!P144="","",'Final List'!P144)</f>
        <v/>
      </c>
      <c r="H324" s="162" t="str">
        <f>IF('Final List'!Q144="","",'Final List'!Q144)</f>
        <v/>
      </c>
      <c r="I324" s="159"/>
      <c r="J324" s="159"/>
    </row>
    <row r="325" spans="1:10" s="78" customFormat="1" x14ac:dyDescent="0.9">
      <c r="A325" s="162" t="str">
        <f>IF('Final List'!J145="","",'Final List'!J145)</f>
        <v/>
      </c>
      <c r="B325" s="162" t="str">
        <f>IF('Final List'!K145="","",'Final List'!K145)</f>
        <v/>
      </c>
      <c r="C325" s="162" t="str">
        <f>IF('Final List'!L145="","",'Final List'!L145)</f>
        <v/>
      </c>
      <c r="D325" s="162" t="str">
        <f>IF('Final List'!M145="","",'Final List'!M145)</f>
        <v/>
      </c>
      <c r="E325" s="162" t="str">
        <f>IF('Final List'!N145="","",'Final List'!N145)</f>
        <v/>
      </c>
      <c r="F325" s="162" t="str">
        <f>IF('Final List'!O145="","",'Final List'!O145)</f>
        <v/>
      </c>
      <c r="G325" s="162" t="str">
        <f>IF('Final List'!P145="","",'Final List'!P145)</f>
        <v/>
      </c>
      <c r="H325" s="162" t="str">
        <f>IF('Final List'!Q145="","",'Final List'!Q145)</f>
        <v/>
      </c>
      <c r="I325" s="159"/>
      <c r="J325" s="159"/>
    </row>
    <row r="326" spans="1:10" s="78" customFormat="1" x14ac:dyDescent="0.9">
      <c r="A326" s="162" t="str">
        <f>IF('Final List'!J146="","",'Final List'!J146)</f>
        <v/>
      </c>
      <c r="B326" s="162" t="str">
        <f>IF('Final List'!K146="","",'Final List'!K146)</f>
        <v/>
      </c>
      <c r="C326" s="162" t="str">
        <f>IF('Final List'!L146="","",'Final List'!L146)</f>
        <v/>
      </c>
      <c r="D326" s="162" t="str">
        <f>IF('Final List'!M146="","",'Final List'!M146)</f>
        <v/>
      </c>
      <c r="E326" s="162" t="str">
        <f>IF('Final List'!N146="","",'Final List'!N146)</f>
        <v/>
      </c>
      <c r="F326" s="162" t="str">
        <f>IF('Final List'!O146="","",'Final List'!O146)</f>
        <v/>
      </c>
      <c r="G326" s="162" t="str">
        <f>IF('Final List'!P146="","",'Final List'!P146)</f>
        <v/>
      </c>
      <c r="H326" s="162" t="str">
        <f>IF('Final List'!Q146="","",'Final List'!Q146)</f>
        <v/>
      </c>
      <c r="I326" s="159"/>
      <c r="J326" s="159"/>
    </row>
    <row r="327" spans="1:10" s="78" customFormat="1" x14ac:dyDescent="0.9">
      <c r="A327" s="162" t="str">
        <f>IF('Final List'!J147="","",'Final List'!J147)</f>
        <v/>
      </c>
      <c r="B327" s="162" t="str">
        <f>IF('Final List'!K147="","",'Final List'!K147)</f>
        <v/>
      </c>
      <c r="C327" s="162" t="str">
        <f>IF('Final List'!L147="","",'Final List'!L147)</f>
        <v/>
      </c>
      <c r="D327" s="162" t="str">
        <f>IF('Final List'!M147="","",'Final List'!M147)</f>
        <v/>
      </c>
      <c r="E327" s="162" t="str">
        <f>IF('Final List'!N147="","",'Final List'!N147)</f>
        <v/>
      </c>
      <c r="F327" s="162" t="str">
        <f>IF('Final List'!O147="","",'Final List'!O147)</f>
        <v/>
      </c>
      <c r="G327" s="162" t="str">
        <f>IF('Final List'!P147="","",'Final List'!P147)</f>
        <v/>
      </c>
      <c r="H327" s="162" t="str">
        <f>IF('Final List'!Q147="","",'Final List'!Q147)</f>
        <v/>
      </c>
      <c r="I327" s="159"/>
      <c r="J327" s="159"/>
    </row>
    <row r="328" spans="1:10" s="78" customFormat="1" x14ac:dyDescent="0.9">
      <c r="A328" s="162" t="str">
        <f>IF('Final List'!J148="","",'Final List'!J148)</f>
        <v/>
      </c>
      <c r="B328" s="162" t="str">
        <f>IF('Final List'!K148="","",'Final List'!K148)</f>
        <v/>
      </c>
      <c r="C328" s="162" t="str">
        <f>IF('Final List'!L148="","",'Final List'!L148)</f>
        <v/>
      </c>
      <c r="D328" s="162" t="str">
        <f>IF('Final List'!M148="","",'Final List'!M148)</f>
        <v/>
      </c>
      <c r="E328" s="162" t="str">
        <f>IF('Final List'!N148="","",'Final List'!N148)</f>
        <v/>
      </c>
      <c r="F328" s="162" t="str">
        <f>IF('Final List'!O148="","",'Final List'!O148)</f>
        <v/>
      </c>
      <c r="G328" s="162" t="str">
        <f>IF('Final List'!P148="","",'Final List'!P148)</f>
        <v/>
      </c>
      <c r="H328" s="162" t="str">
        <f>IF('Final List'!Q148="","",'Final List'!Q148)</f>
        <v/>
      </c>
      <c r="I328" s="159"/>
      <c r="J328" s="159"/>
    </row>
    <row r="329" spans="1:10" s="78" customFormat="1" x14ac:dyDescent="0.9">
      <c r="A329" s="162" t="str">
        <f>IF('Final List'!J149="","",'Final List'!J149)</f>
        <v/>
      </c>
      <c r="B329" s="162" t="str">
        <f>IF('Final List'!K149="","",'Final List'!K149)</f>
        <v/>
      </c>
      <c r="C329" s="162" t="str">
        <f>IF('Final List'!L149="","",'Final List'!L149)</f>
        <v/>
      </c>
      <c r="D329" s="162" t="str">
        <f>IF('Final List'!M149="","",'Final List'!M149)</f>
        <v/>
      </c>
      <c r="E329" s="162" t="str">
        <f>IF('Final List'!N149="","",'Final List'!N149)</f>
        <v/>
      </c>
      <c r="F329" s="162" t="str">
        <f>IF('Final List'!O149="","",'Final List'!O149)</f>
        <v/>
      </c>
      <c r="G329" s="162" t="str">
        <f>IF('Final List'!P149="","",'Final List'!P149)</f>
        <v/>
      </c>
      <c r="H329" s="162" t="str">
        <f>IF('Final List'!Q149="","",'Final List'!Q149)</f>
        <v/>
      </c>
      <c r="I329" s="159"/>
      <c r="J329" s="159"/>
    </row>
    <row r="330" spans="1:10" s="78" customFormat="1" x14ac:dyDescent="0.9">
      <c r="A330" s="162" t="str">
        <f>IF('Final List'!J150="","",'Final List'!J150)</f>
        <v/>
      </c>
      <c r="B330" s="162" t="str">
        <f>IF('Final List'!K150="","",'Final List'!K150)</f>
        <v/>
      </c>
      <c r="C330" s="162" t="str">
        <f>IF('Final List'!L150="","",'Final List'!L150)</f>
        <v/>
      </c>
      <c r="D330" s="162" t="str">
        <f>IF('Final List'!M150="","",'Final List'!M150)</f>
        <v/>
      </c>
      <c r="E330" s="162" t="str">
        <f>IF('Final List'!N150="","",'Final List'!N150)</f>
        <v/>
      </c>
      <c r="F330" s="162" t="str">
        <f>IF('Final List'!O150="","",'Final List'!O150)</f>
        <v/>
      </c>
      <c r="G330" s="162" t="str">
        <f>IF('Final List'!P150="","",'Final List'!P150)</f>
        <v/>
      </c>
      <c r="H330" s="162" t="str">
        <f>IF('Final List'!Q150="","",'Final List'!Q150)</f>
        <v/>
      </c>
      <c r="I330" s="159"/>
      <c r="J330" s="159"/>
    </row>
    <row r="331" spans="1:10" s="78" customFormat="1" ht="168.75" customHeight="1" x14ac:dyDescent="0.9">
      <c r="A331" s="163"/>
      <c r="B331" s="163"/>
      <c r="C331" s="366"/>
      <c r="D331" s="371" t="s">
        <v>13725</v>
      </c>
      <c r="E331" s="374" t="str">
        <f>E21</f>
        <v xml:space="preserve">            JC VILLARUEL  / MZ CUREG /KN PORLARES/JNS SILVEDERIO /EJ LUMACANG</v>
      </c>
      <c r="F331" s="372"/>
      <c r="G331" s="372"/>
      <c r="H331" s="313"/>
      <c r="I331" s="159"/>
      <c r="J331" s="159"/>
    </row>
    <row r="332" spans="1:10" s="78" customFormat="1" x14ac:dyDescent="0.9">
      <c r="A332" s="163"/>
      <c r="B332" s="163"/>
      <c r="C332" s="163"/>
      <c r="D332" s="163"/>
      <c r="E332" s="367"/>
      <c r="F332" s="367" t="s">
        <v>5322</v>
      </c>
      <c r="G332" s="370"/>
      <c r="H332" s="254"/>
      <c r="I332" s="159"/>
      <c r="J332" s="159"/>
    </row>
    <row r="333" spans="1:10" s="78" customFormat="1" x14ac:dyDescent="0.9">
      <c r="A333" s="163"/>
      <c r="B333" s="163"/>
      <c r="C333" s="163"/>
      <c r="D333" s="163"/>
      <c r="E333" s="163"/>
      <c r="F333" s="163"/>
      <c r="G333" s="163"/>
      <c r="H333" s="163"/>
      <c r="I333" s="159"/>
      <c r="J333" s="159"/>
    </row>
    <row r="334" spans="1:10" s="78" customFormat="1" x14ac:dyDescent="0.9">
      <c r="A334" s="162"/>
      <c r="B334" s="162"/>
      <c r="C334" s="162"/>
      <c r="D334" s="162"/>
      <c r="E334" s="162"/>
      <c r="F334" s="162"/>
      <c r="G334" s="162"/>
      <c r="H334" s="162"/>
      <c r="I334" s="159"/>
      <c r="J334" s="159"/>
    </row>
    <row r="335" spans="1:10" s="78" customFormat="1" x14ac:dyDescent="0.9">
      <c r="A335" s="163" t="s">
        <v>211</v>
      </c>
      <c r="B335" s="162"/>
      <c r="C335" s="162" t="s">
        <v>250</v>
      </c>
      <c r="D335" s="162"/>
      <c r="E335" s="162" t="s">
        <v>251</v>
      </c>
      <c r="F335" s="162"/>
      <c r="G335" s="162" t="s">
        <v>18</v>
      </c>
      <c r="H335" s="162"/>
      <c r="I335" s="159"/>
      <c r="J335" s="159"/>
    </row>
    <row r="336" spans="1:10" s="78" customFormat="1" x14ac:dyDescent="0.9">
      <c r="A336" s="160">
        <f>15-COUNTIF(A300:A314,"")</f>
        <v>0</v>
      </c>
      <c r="B336" s="162"/>
      <c r="C336" s="160">
        <f>15-COUNTIF(C300:C314,"")</f>
        <v>3</v>
      </c>
      <c r="D336" s="162"/>
      <c r="E336" s="160">
        <f>15-COUNTIF(E300:E314,"")</f>
        <v>0</v>
      </c>
      <c r="F336" s="162"/>
      <c r="G336" s="160">
        <f>15-COUNTIF(G300:G314,"")</f>
        <v>1</v>
      </c>
      <c r="H336" s="162"/>
      <c r="I336" s="165" t="s">
        <v>563</v>
      </c>
      <c r="J336" s="165">
        <f>A336+C336+E336+G336+A338+C338+E338+G338</f>
        <v>7</v>
      </c>
    </row>
    <row r="337" spans="1:15" s="78" customFormat="1" x14ac:dyDescent="0.9">
      <c r="A337" s="162" t="s">
        <v>19</v>
      </c>
      <c r="B337" s="162"/>
      <c r="C337" s="162" t="s">
        <v>20</v>
      </c>
      <c r="D337" s="162"/>
      <c r="E337" s="162" t="s">
        <v>21</v>
      </c>
      <c r="F337" s="162"/>
      <c r="G337" s="162" t="s">
        <v>22</v>
      </c>
      <c r="H337" s="162"/>
      <c r="I337" s="165" t="s">
        <v>564</v>
      </c>
      <c r="J337" s="165">
        <f>'Final List'!T158</f>
        <v>7</v>
      </c>
    </row>
    <row r="338" spans="1:15" s="78" customFormat="1" x14ac:dyDescent="0.9">
      <c r="A338" s="160">
        <f>14-COUNTIFS(A317:A330,"")</f>
        <v>0</v>
      </c>
      <c r="B338" s="162"/>
      <c r="C338" s="160">
        <f>14-COUNTIFS(C317:C330,"")</f>
        <v>0</v>
      </c>
      <c r="D338" s="162"/>
      <c r="E338" s="160">
        <f>14-COUNTIFS(E317:E330,"")</f>
        <v>1</v>
      </c>
      <c r="F338" s="162"/>
      <c r="G338" s="160">
        <f>14-COUNTIFS(G317:G330,"")</f>
        <v>2</v>
      </c>
      <c r="H338" s="162"/>
      <c r="I338" s="159"/>
      <c r="J338" s="159"/>
    </row>
    <row r="339" spans="1:15" s="78" customFormat="1" x14ac:dyDescent="0.9">
      <c r="A339" s="160"/>
      <c r="B339" s="162"/>
      <c r="C339" s="160"/>
      <c r="D339" s="162"/>
      <c r="E339" s="160"/>
      <c r="F339" s="162"/>
      <c r="G339" s="160"/>
      <c r="H339" s="162"/>
      <c r="I339" s="159"/>
      <c r="J339" s="159"/>
    </row>
    <row r="340" spans="1:15" s="78" customFormat="1" x14ac:dyDescent="0.9">
      <c r="A340" s="160"/>
      <c r="B340" s="162"/>
      <c r="C340" s="160"/>
      <c r="D340" s="162"/>
      <c r="E340" s="160"/>
      <c r="F340" s="162"/>
      <c r="G340" s="160"/>
      <c r="H340" s="162"/>
      <c r="I340" s="159"/>
      <c r="J340" s="159"/>
    </row>
    <row r="341" spans="1:15" s="78" customFormat="1" ht="222" customHeight="1" x14ac:dyDescent="0.9">
      <c r="A341" s="322" t="s">
        <v>1152</v>
      </c>
      <c r="B341" s="321">
        <f ca="1">TODAY()</f>
        <v>46184</v>
      </c>
      <c r="C341" s="160"/>
      <c r="D341" s="160"/>
      <c r="E341" s="160"/>
      <c r="F341" s="160"/>
      <c r="G341" s="160"/>
      <c r="H341" s="323" t="str">
        <f>H297</f>
        <v>Doc.No. : ENG-PLN-FRM-002
Ver. No. : 1
Effectivity: October 25, 2024</v>
      </c>
      <c r="I341" s="159"/>
      <c r="J341" s="159"/>
    </row>
    <row r="342" spans="1:15" s="78" customFormat="1" x14ac:dyDescent="0.9">
      <c r="A342" s="422" t="s">
        <v>211</v>
      </c>
      <c r="B342" s="422"/>
      <c r="C342" s="422" t="s">
        <v>250</v>
      </c>
      <c r="D342" s="422"/>
      <c r="E342" s="422" t="s">
        <v>251</v>
      </c>
      <c r="F342" s="422"/>
      <c r="G342" s="422" t="s">
        <v>18</v>
      </c>
      <c r="H342" s="422"/>
      <c r="I342" s="159"/>
      <c r="J342" s="159"/>
    </row>
    <row r="343" spans="1:15" s="78" customFormat="1" x14ac:dyDescent="0.7">
      <c r="A343" s="161" t="s">
        <v>524</v>
      </c>
      <c r="B343" s="161" t="s">
        <v>525</v>
      </c>
      <c r="C343" s="161" t="s">
        <v>524</v>
      </c>
      <c r="D343" s="161" t="s">
        <v>525</v>
      </c>
      <c r="E343" s="161" t="s">
        <v>524</v>
      </c>
      <c r="F343" s="161" t="s">
        <v>525</v>
      </c>
      <c r="G343" s="161" t="s">
        <v>524</v>
      </c>
      <c r="H343" s="161" t="s">
        <v>525</v>
      </c>
      <c r="I343" s="159"/>
      <c r="J343" s="159"/>
    </row>
    <row r="344" spans="1:15" s="78" customFormat="1" x14ac:dyDescent="0.9">
      <c r="A344" s="162" t="str">
        <f>IF('Final List'!B159="","",'Final List'!B159)</f>
        <v/>
      </c>
      <c r="B344" s="162" t="str">
        <f>IF('Final List'!C159="","",'Final List'!C159)</f>
        <v/>
      </c>
      <c r="C344" s="162" t="str">
        <f>IF('Final List'!D159="","",'Final List'!D159)</f>
        <v>L11_DPVE_103E_STOPE</v>
      </c>
      <c r="D344" s="162" t="str">
        <f>IF('Final List'!E159="","",'Final List'!E159)</f>
        <v>COMAINGKING</v>
      </c>
      <c r="E344" s="162" t="str">
        <f>IF('Final List'!F159="","",'Final List'!F159)</f>
        <v/>
      </c>
      <c r="F344" s="162" t="str">
        <f>IF('Final List'!G159="","",'Final List'!G159)</f>
        <v/>
      </c>
      <c r="G344" s="162" t="str">
        <f>IF('Final List'!H159="","",'Final List'!H159)</f>
        <v>L11_DPVE_007W_DE</v>
      </c>
      <c r="H344" s="162" t="str">
        <f>IF('Final List'!I159="","",'Final List'!I159)</f>
        <v>NITRO BB3</v>
      </c>
      <c r="I344" s="159"/>
      <c r="J344" s="159"/>
    </row>
    <row r="345" spans="1:15" s="78" customFormat="1" x14ac:dyDescent="0.9">
      <c r="A345" s="162" t="str">
        <f>IF('Final List'!B160="","",'Final List'!B160)</f>
        <v/>
      </c>
      <c r="B345" s="162" t="str">
        <f>IF('Final List'!C160="","",'Final List'!C160)</f>
        <v/>
      </c>
      <c r="C345" s="162" t="str">
        <f>IF('Final List'!D160="","",'Final List'!D160)</f>
        <v>L11_DPVE_080E_STOPE</v>
      </c>
      <c r="D345" s="162" t="str">
        <f>IF('Final List'!E160="","",'Final List'!E160)</f>
        <v>NITRO CR</v>
      </c>
      <c r="E345" s="162" t="str">
        <f>IF('Final List'!F160="","",'Final List'!F160)</f>
        <v/>
      </c>
      <c r="F345" s="162" t="str">
        <f>IF('Final List'!G160="","",'Final List'!G160)</f>
        <v/>
      </c>
      <c r="G345" s="162" t="str">
        <f>IF('Final List'!H160="","",'Final List'!H160)</f>
        <v>L11_DPVE_012W_DE</v>
      </c>
      <c r="H345" s="162" t="str">
        <f>IF('Final List'!I160="","",'Final List'!I160)</f>
        <v>MAPAYO</v>
      </c>
      <c r="I345" s="159"/>
      <c r="J345" s="159"/>
    </row>
    <row r="346" spans="1:15" s="78" customFormat="1" x14ac:dyDescent="0.9">
      <c r="A346" s="162" t="str">
        <f>IF('Final List'!B161="","",'Final List'!B161)</f>
        <v/>
      </c>
      <c r="B346" s="162" t="str">
        <f>IF('Final List'!C161="","",'Final List'!C161)</f>
        <v/>
      </c>
      <c r="C346" s="162" t="str">
        <f>IF('Final List'!D161="","",'Final List'!D161)</f>
        <v>L11_DPVE_104E_STOPE</v>
      </c>
      <c r="D346" s="162" t="str">
        <f>IF('Final List'!E161="","",'Final List'!E161)</f>
        <v>BAÑEZ</v>
      </c>
      <c r="E346" s="162" t="str">
        <f>IF('Final List'!F161="","",'Final List'!F161)</f>
        <v/>
      </c>
      <c r="F346" s="162" t="str">
        <f>IF('Final List'!G161="","",'Final List'!G161)</f>
        <v/>
      </c>
      <c r="G346" s="162" t="str">
        <f>IF('Final List'!H161="","",'Final List'!H161)</f>
        <v>L11_DPVE_011E_DW</v>
      </c>
      <c r="H346" s="162" t="str">
        <f>IF('Final List'!I161="","",'Final List'!I161)</f>
        <v>GOC-ONG</v>
      </c>
      <c r="I346" s="159"/>
      <c r="J346" s="159"/>
    </row>
    <row r="347" spans="1:15" s="78" customFormat="1" x14ac:dyDescent="0.9">
      <c r="A347" s="162" t="str">
        <f>IF('Final List'!B162="","",'Final List'!B162)</f>
        <v/>
      </c>
      <c r="B347" s="162" t="str">
        <f>IF('Final List'!C162="","",'Final List'!C162)</f>
        <v/>
      </c>
      <c r="C347" s="162" t="str">
        <f>IF('Final List'!D162="","",'Final List'!D162)</f>
        <v>L11_DPVE_098E_STOPE</v>
      </c>
      <c r="D347" s="162" t="str">
        <f>IF('Final List'!E162="","",'Final List'!E162)</f>
        <v>BELICAN</v>
      </c>
      <c r="E347" s="162" t="str">
        <f>IF('Final List'!F162="","",'Final List'!F162)</f>
        <v/>
      </c>
      <c r="F347" s="162" t="str">
        <f>IF('Final List'!G162="","",'Final List'!G162)</f>
        <v/>
      </c>
      <c r="G347" s="162" t="str">
        <f>IF('Final List'!H162="","",'Final List'!H162)</f>
        <v>L11_DPVE_010W_DW</v>
      </c>
      <c r="H347" s="162" t="str">
        <f>IF('Final List'!I162="","",'Final List'!I162)</f>
        <v>NITRO BB1</v>
      </c>
      <c r="I347" s="159"/>
      <c r="J347" s="159"/>
    </row>
    <row r="348" spans="1:15" s="78" customFormat="1" x14ac:dyDescent="0.9">
      <c r="A348" s="162" t="str">
        <f>IF('Final List'!B163="","",'Final List'!B163)</f>
        <v/>
      </c>
      <c r="B348" s="162" t="str">
        <f>IF('Final List'!C163="","",'Final List'!C163)</f>
        <v/>
      </c>
      <c r="C348" s="162" t="str">
        <f>IF('Final List'!D163="","",'Final List'!D163)</f>
        <v>L11_DPVE_040E_WINZE STOPE</v>
      </c>
      <c r="D348" s="162" t="str">
        <f>IF('Final List'!E163="","",'Final List'!E163)</f>
        <v>COMAINGKING</v>
      </c>
      <c r="E348" s="162" t="str">
        <f>IF('Final List'!F163="","",'Final List'!F163)</f>
        <v/>
      </c>
      <c r="F348" s="162" t="str">
        <f>IF('Final List'!G163="","",'Final List'!G163)</f>
        <v/>
      </c>
      <c r="G348" s="162" t="str">
        <f>IF('Final List'!H163="","",'Final List'!H163)</f>
        <v>L11_DPVE_015E_DE</v>
      </c>
      <c r="H348" s="162" t="str">
        <f>IF('Final List'!I163="","",'Final List'!I163)</f>
        <v>GOC-ONG 2</v>
      </c>
      <c r="I348" s="159"/>
      <c r="J348" s="159"/>
      <c r="O348" s="78" t="s">
        <v>47</v>
      </c>
    </row>
    <row r="349" spans="1:15" s="78" customFormat="1" x14ac:dyDescent="0.9">
      <c r="A349" s="162" t="str">
        <f>IF('Final List'!B164="","",'Final List'!B164)</f>
        <v/>
      </c>
      <c r="B349" s="162" t="str">
        <f>IF('Final List'!C164="","",'Final List'!C164)</f>
        <v/>
      </c>
      <c r="C349" s="162" t="str">
        <f>IF('Final List'!D164="","",'Final List'!D164)</f>
        <v>L11_DPVE_044E_STOPE</v>
      </c>
      <c r="D349" s="162" t="str">
        <f>IF('Final List'!E164="","",'Final List'!E164)</f>
        <v>BAÑEZ</v>
      </c>
      <c r="E349" s="162" t="str">
        <f>IF('Final List'!F164="","",'Final List'!F164)</f>
        <v/>
      </c>
      <c r="F349" s="162" t="str">
        <f>IF('Final List'!G164="","",'Final List'!G164)</f>
        <v/>
      </c>
      <c r="G349" s="162" t="str">
        <f>IF('Final List'!H164="","",'Final List'!H164)</f>
        <v/>
      </c>
      <c r="H349" s="162" t="str">
        <f>IF('Final List'!I164="","",'Final List'!I164)</f>
        <v/>
      </c>
      <c r="I349" s="159"/>
      <c r="J349" s="159"/>
    </row>
    <row r="350" spans="1:15" s="78" customFormat="1" x14ac:dyDescent="0.9">
      <c r="A350" s="162" t="str">
        <f>IF('Final List'!B165="","",'Final List'!B165)</f>
        <v/>
      </c>
      <c r="B350" s="162" t="str">
        <f>IF('Final List'!C165="","",'Final List'!C165)</f>
        <v/>
      </c>
      <c r="C350" s="162" t="str">
        <f>IF('Final List'!D165="","",'Final List'!D165)</f>
        <v/>
      </c>
      <c r="D350" s="162" t="str">
        <f>IF('Final List'!E165="","",'Final List'!E165)</f>
        <v/>
      </c>
      <c r="E350" s="162" t="str">
        <f>IF('Final List'!F165="","",'Final List'!F165)</f>
        <v/>
      </c>
      <c r="F350" s="162" t="str">
        <f>IF('Final List'!G165="","",'Final List'!G165)</f>
        <v/>
      </c>
      <c r="G350" s="162" t="str">
        <f>IF('Final List'!H165="","",'Final List'!H165)</f>
        <v/>
      </c>
      <c r="H350" s="162" t="str">
        <f>IF('Final List'!I165="","",'Final List'!I165)</f>
        <v/>
      </c>
      <c r="I350" s="159"/>
      <c r="J350" s="159"/>
    </row>
    <row r="351" spans="1:15" s="78" customFormat="1" x14ac:dyDescent="0.9">
      <c r="A351" s="162" t="str">
        <f>IF('Final List'!B166="","",'Final List'!B166)</f>
        <v/>
      </c>
      <c r="B351" s="162" t="str">
        <f>IF('Final List'!C166="","",'Final List'!C166)</f>
        <v/>
      </c>
      <c r="C351" s="162" t="str">
        <f>IF('Final List'!D166="","",'Final List'!D166)</f>
        <v/>
      </c>
      <c r="D351" s="162" t="str">
        <f>IF('Final List'!E166="","",'Final List'!E166)</f>
        <v/>
      </c>
      <c r="E351" s="162" t="str">
        <f>IF('Final List'!F166="","",'Final List'!F166)</f>
        <v/>
      </c>
      <c r="F351" s="162" t="str">
        <f>IF('Final List'!G166="","",'Final List'!G166)</f>
        <v/>
      </c>
      <c r="G351" s="162" t="str">
        <f>IF('Final List'!H166="","",'Final List'!H166)</f>
        <v/>
      </c>
      <c r="H351" s="162" t="str">
        <f>IF('Final List'!I166="","",'Final List'!I166)</f>
        <v/>
      </c>
      <c r="I351" s="159"/>
      <c r="J351" s="159"/>
    </row>
    <row r="352" spans="1:15" s="78" customFormat="1" x14ac:dyDescent="0.9">
      <c r="A352" s="162" t="str">
        <f>IF('Final List'!B167="","",'Final List'!B167)</f>
        <v/>
      </c>
      <c r="B352" s="162" t="str">
        <f>IF('Final List'!C167="","",'Final List'!C167)</f>
        <v/>
      </c>
      <c r="C352" s="162" t="str">
        <f>IF('Final List'!D167="","",'Final List'!D167)</f>
        <v/>
      </c>
      <c r="D352" s="162" t="str">
        <f>IF('Final List'!E167="","",'Final List'!E167)</f>
        <v/>
      </c>
      <c r="E352" s="162" t="str">
        <f>IF('Final List'!F167="","",'Final List'!F167)</f>
        <v/>
      </c>
      <c r="F352" s="162" t="str">
        <f>IF('Final List'!G167="","",'Final List'!G167)</f>
        <v/>
      </c>
      <c r="G352" s="162" t="str">
        <f>IF('Final List'!H167="","",'Final List'!H167)</f>
        <v/>
      </c>
      <c r="H352" s="162" t="str">
        <f>IF('Final List'!I167="","",'Final List'!I167)</f>
        <v/>
      </c>
      <c r="I352" s="159"/>
      <c r="J352" s="159"/>
    </row>
    <row r="353" spans="1:10" s="78" customFormat="1" x14ac:dyDescent="0.9">
      <c r="A353" s="162" t="str">
        <f>IF('Final List'!B168="","",'Final List'!B168)</f>
        <v/>
      </c>
      <c r="B353" s="162" t="str">
        <f>IF('Final List'!C168="","",'Final List'!C168)</f>
        <v/>
      </c>
      <c r="C353" s="162" t="str">
        <f>IF('Final List'!D168="","",'Final List'!D168)</f>
        <v/>
      </c>
      <c r="D353" s="162" t="str">
        <f>IF('Final List'!E168="","",'Final List'!E168)</f>
        <v/>
      </c>
      <c r="E353" s="162" t="str">
        <f>IF('Final List'!F168="","",'Final List'!F168)</f>
        <v/>
      </c>
      <c r="F353" s="162" t="str">
        <f>IF('Final List'!G168="","",'Final List'!G168)</f>
        <v/>
      </c>
      <c r="G353" s="162" t="str">
        <f>IF('Final List'!H168="","",'Final List'!H168)</f>
        <v/>
      </c>
      <c r="H353" s="162" t="str">
        <f>IF('Final List'!I168="","",'Final List'!I168)</f>
        <v/>
      </c>
      <c r="I353" s="159"/>
      <c r="J353" s="159"/>
    </row>
    <row r="354" spans="1:10" s="78" customFormat="1" ht="62.25" thickBot="1" x14ac:dyDescent="0.95">
      <c r="A354" s="162" t="str">
        <f>IF('Final List'!B169="","",'Final List'!B169)</f>
        <v/>
      </c>
      <c r="B354" s="162" t="str">
        <f>IF('Final List'!C169="","",'Final List'!C169)</f>
        <v/>
      </c>
      <c r="C354" s="162" t="str">
        <f>IF('Final List'!D169="","",'Final List'!D169)</f>
        <v/>
      </c>
      <c r="D354" s="162" t="str">
        <f>IF('Final List'!E169="","",'Final List'!E169)</f>
        <v/>
      </c>
      <c r="E354" s="162" t="str">
        <f>IF('Final List'!F169="","",'Final List'!F169)</f>
        <v/>
      </c>
      <c r="F354" s="162" t="str">
        <f>IF('Final List'!G169="","",'Final List'!G169)</f>
        <v/>
      </c>
      <c r="G354" s="162" t="str">
        <f>IF('Final List'!H169="","",'Final List'!H169)</f>
        <v/>
      </c>
      <c r="H354" s="162" t="str">
        <f>IF('Final List'!I169="","",'Final List'!I169)</f>
        <v/>
      </c>
      <c r="I354" s="159"/>
      <c r="J354" s="159"/>
    </row>
    <row r="355" spans="1:10" s="334" customFormat="1" x14ac:dyDescent="0.9">
      <c r="A355" s="336" t="str">
        <f>IF('Final List'!B170="","",'Final List'!B170)</f>
        <v/>
      </c>
      <c r="B355" s="336" t="str">
        <f>IF('Final List'!C170="","",'Final List'!C170)</f>
        <v/>
      </c>
      <c r="C355" s="336" t="str">
        <f>IF('Final List'!D170="","",'Final List'!D170)</f>
        <v/>
      </c>
      <c r="D355" s="336" t="str">
        <f>IF('Final List'!E170="","",'Final List'!E170)</f>
        <v xml:space="preserve"> </v>
      </c>
      <c r="E355" s="336" t="str">
        <f>IF('Final List'!F170="","",'Final List'!F170)</f>
        <v/>
      </c>
      <c r="F355" s="336" t="str">
        <f>IF('Final List'!G170="","",'Final List'!G170)</f>
        <v/>
      </c>
      <c r="G355" s="336" t="str">
        <f>IF('Final List'!H170="","",'Final List'!H170)</f>
        <v/>
      </c>
      <c r="H355" s="337" t="str">
        <f>IF('Final List'!I170="","",'Final List'!I170)</f>
        <v/>
      </c>
      <c r="I355" s="333"/>
      <c r="J355" s="333"/>
    </row>
    <row r="356" spans="1:10" s="334" customFormat="1" x14ac:dyDescent="0.9">
      <c r="A356" s="332" t="str">
        <f>IF('Final List'!B171="","",'Final List'!B171)</f>
        <v/>
      </c>
      <c r="B356" s="332" t="str">
        <f>IF('Final List'!C171="","",'Final List'!C171)</f>
        <v/>
      </c>
      <c r="C356" s="332" t="str">
        <f>IF('Final List'!D171="","",'Final List'!D171)</f>
        <v/>
      </c>
      <c r="D356" s="332" t="str">
        <f>IF('Final List'!E171="","",'Final List'!E171)</f>
        <v xml:space="preserve"> </v>
      </c>
      <c r="E356" s="332" t="str">
        <f>IF('Final List'!F171="","",'Final List'!F171)</f>
        <v/>
      </c>
      <c r="F356" s="332" t="str">
        <f>IF('Final List'!G171="","",'Final List'!G171)</f>
        <v/>
      </c>
      <c r="G356" s="332" t="str">
        <f>IF('Final List'!H171="","",'Final List'!H171)</f>
        <v/>
      </c>
      <c r="H356" s="339" t="str">
        <f>IF('Final List'!I171="","",'Final List'!I171)</f>
        <v>.</v>
      </c>
      <c r="I356" s="333"/>
      <c r="J356" s="333"/>
    </row>
    <row r="357" spans="1:10" s="334" customFormat="1" x14ac:dyDescent="0.9">
      <c r="A357" s="332" t="str">
        <f>IF('Final List'!B172="","",'Final List'!B172)</f>
        <v/>
      </c>
      <c r="B357" s="332" t="str">
        <f>IF('Final List'!C172="","",'Final List'!C172)</f>
        <v/>
      </c>
      <c r="C357" s="332" t="str">
        <f>IF('Final List'!D172="","",'Final List'!D172)</f>
        <v/>
      </c>
      <c r="D357" s="332" t="str">
        <f>IF('Final List'!E172="","",'Final List'!E172)</f>
        <v/>
      </c>
      <c r="E357" s="332" t="str">
        <f>IF('Final List'!F172="","",'Final List'!F172)</f>
        <v/>
      </c>
      <c r="F357" s="332" t="str">
        <f>IF('Final List'!G172="","",'Final List'!G172)</f>
        <v/>
      </c>
      <c r="G357" s="332" t="str">
        <f>IF('Final List'!H172="","",'Final List'!H172)</f>
        <v/>
      </c>
      <c r="H357" s="339" t="str">
        <f>IF('Final List'!I172="","",'Final List'!I172)</f>
        <v/>
      </c>
      <c r="I357" s="333"/>
      <c r="J357" s="333"/>
    </row>
    <row r="358" spans="1:10" s="334" customFormat="1" ht="62.25" thickBot="1" x14ac:dyDescent="0.95">
      <c r="A358" s="341" t="str">
        <f>IF('Final List'!B173="","",'Final List'!B173)</f>
        <v/>
      </c>
      <c r="B358" s="341" t="str">
        <f>IF('Final List'!C173="","",'Final List'!C173)</f>
        <v/>
      </c>
      <c r="C358" s="341" t="str">
        <f>IF('Final List'!D173="","",'Final List'!D173)</f>
        <v/>
      </c>
      <c r="D358" s="341" t="str">
        <f>IF('Final List'!E173="","",'Final List'!E173)</f>
        <v/>
      </c>
      <c r="E358" s="341" t="str">
        <f>IF('Final List'!F173="","",'Final List'!F173)</f>
        <v/>
      </c>
      <c r="F358" s="341" t="str">
        <f>IF('Final List'!G173="","",'Final List'!G173)</f>
        <v/>
      </c>
      <c r="G358" s="341" t="str">
        <f>IF('Final List'!H173="","",'Final List'!H173)</f>
        <v/>
      </c>
      <c r="H358" s="342" t="str">
        <f>IF('Final List'!I173="","",'Final List'!I173)</f>
        <v/>
      </c>
      <c r="I358" s="333"/>
      <c r="J358" s="333"/>
    </row>
    <row r="359" spans="1:10" s="78" customFormat="1" x14ac:dyDescent="0.9">
      <c r="A359" s="423" t="s">
        <v>19</v>
      </c>
      <c r="B359" s="423"/>
      <c r="C359" s="423" t="s">
        <v>20</v>
      </c>
      <c r="D359" s="423"/>
      <c r="E359" s="423" t="s">
        <v>21</v>
      </c>
      <c r="F359" s="423"/>
      <c r="G359" s="423" t="s">
        <v>22</v>
      </c>
      <c r="H359" s="423"/>
      <c r="I359" s="159"/>
      <c r="J359" s="159"/>
    </row>
    <row r="360" spans="1:10" s="78" customFormat="1" x14ac:dyDescent="0.7">
      <c r="A360" s="161" t="s">
        <v>524</v>
      </c>
      <c r="B360" s="161" t="s">
        <v>525</v>
      </c>
      <c r="C360" s="161" t="s">
        <v>524</v>
      </c>
      <c r="D360" s="161" t="s">
        <v>525</v>
      </c>
      <c r="E360" s="161" t="s">
        <v>524</v>
      </c>
      <c r="F360" s="161" t="s">
        <v>525</v>
      </c>
      <c r="G360" s="161" t="s">
        <v>524</v>
      </c>
      <c r="H360" s="161" t="s">
        <v>525</v>
      </c>
      <c r="I360" s="159"/>
      <c r="J360" s="159"/>
    </row>
    <row r="361" spans="1:10" s="78" customFormat="1" x14ac:dyDescent="0.9">
      <c r="A361" s="162" t="str">
        <f>IF('Final List'!J159="","",'Final List'!J159)</f>
        <v>L11_DPVE_004W_RAISE</v>
      </c>
      <c r="B361" s="162" t="str">
        <f>IF('Final List'!K159="","",'Final List'!K159)</f>
        <v>NITRO BB</v>
      </c>
      <c r="C361" s="162" t="str">
        <f>IF('Final List'!L159="","",'Final List'!L159)</f>
        <v>L11_DPVE_110E_WINZE</v>
      </c>
      <c r="D361" s="162" t="str">
        <f>IF('Final List'!M159="","",'Final List'!M159)</f>
        <v>HANGDAAN</v>
      </c>
      <c r="E361" s="162" t="str">
        <f>IF('Final List'!N159="","",'Final List'!N159)</f>
        <v/>
      </c>
      <c r="F361" s="162" t="str">
        <f>IF('Final List'!O159="","",'Final List'!O159)</f>
        <v/>
      </c>
      <c r="G361" s="162" t="str">
        <f>IF('Final List'!P159="","",'Final List'!P159)</f>
        <v/>
      </c>
      <c r="H361" s="162" t="str">
        <f>IF('Final List'!Q159="","",'Final List'!Q159)</f>
        <v/>
      </c>
      <c r="I361" s="159"/>
      <c r="J361" s="159"/>
    </row>
    <row r="362" spans="1:10" s="78" customFormat="1" x14ac:dyDescent="0.9">
      <c r="A362" s="162" t="str">
        <f>IF('Final List'!J160="","",'Final List'!J160)</f>
        <v>L11_DPVE_014W_RAISE</v>
      </c>
      <c r="B362" s="162" t="str">
        <f>IF('Final List'!K160="","",'Final List'!K160)</f>
        <v>NITRO BB</v>
      </c>
      <c r="C362" s="162" t="str">
        <f>IF('Final List'!L160="","",'Final List'!L160)</f>
        <v>L11_DPVE_095E_WINZE</v>
      </c>
      <c r="D362" s="162" t="str">
        <f>IF('Final List'!M160="","",'Final List'!M160)</f>
        <v>MAPAYO 2</v>
      </c>
      <c r="E362" s="162" t="str">
        <f>IF('Final List'!N160="","",'Final List'!N160)</f>
        <v/>
      </c>
      <c r="F362" s="162" t="str">
        <f>IF('Final List'!O160="","",'Final List'!O160)</f>
        <v/>
      </c>
      <c r="G362" s="162" t="str">
        <f>IF('Final List'!P160="","",'Final List'!P160)</f>
        <v/>
      </c>
      <c r="H362" s="162" t="str">
        <f>IF('Final List'!Q160="","",'Final List'!Q160)</f>
        <v/>
      </c>
      <c r="I362" s="159"/>
      <c r="J362" s="159"/>
    </row>
    <row r="363" spans="1:10" s="78" customFormat="1" x14ac:dyDescent="0.9">
      <c r="A363" s="162" t="str">
        <f>IF('Final List'!J161="","",'Final List'!J161)</f>
        <v/>
      </c>
      <c r="B363" s="162" t="str">
        <f>IF('Final List'!K161="","",'Final List'!K161)</f>
        <v/>
      </c>
      <c r="C363" s="162" t="str">
        <f>IF('Final List'!L161="","",'Final List'!L161)</f>
        <v>L11_JV_042E_WINZE</v>
      </c>
      <c r="D363" s="162" t="str">
        <f>IF('Final List'!M161="","",'Final List'!M161)</f>
        <v>MAPAYO</v>
      </c>
      <c r="E363" s="162" t="str">
        <f>IF('Final List'!N161="","",'Final List'!N161)</f>
        <v/>
      </c>
      <c r="F363" s="162" t="str">
        <f>IF('Final List'!O161="","",'Final List'!O161)</f>
        <v/>
      </c>
      <c r="G363" s="162" t="str">
        <f>IF('Final List'!P161="","",'Final List'!P161)</f>
        <v/>
      </c>
      <c r="H363" s="162" t="str">
        <f>IF('Final List'!Q161="","",'Final List'!Q161)</f>
        <v/>
      </c>
      <c r="I363" s="159"/>
      <c r="J363" s="159"/>
    </row>
    <row r="364" spans="1:10" s="78" customFormat="1" x14ac:dyDescent="0.9">
      <c r="A364" s="162" t="str">
        <f>IF('Final List'!J162="","",'Final List'!J162)</f>
        <v/>
      </c>
      <c r="B364" s="162" t="str">
        <f>IF('Final List'!K162="","",'Final List'!K162)</f>
        <v/>
      </c>
      <c r="C364" s="162" t="str">
        <f>IF('Final List'!L162="","",'Final List'!L162)</f>
        <v/>
      </c>
      <c r="D364" s="162" t="str">
        <f>IF('Final List'!M162="","",'Final List'!M162)</f>
        <v/>
      </c>
      <c r="E364" s="162" t="str">
        <f>IF('Final List'!N162="","",'Final List'!N162)</f>
        <v/>
      </c>
      <c r="F364" s="162" t="str">
        <f>IF('Final List'!O162="","",'Final List'!O162)</f>
        <v/>
      </c>
      <c r="G364" s="162" t="str">
        <f>IF('Final List'!P162="","",'Final List'!P162)</f>
        <v/>
      </c>
      <c r="H364" s="162" t="str">
        <f>IF('Final List'!Q162="","",'Final List'!Q162)</f>
        <v/>
      </c>
      <c r="I364" s="159"/>
      <c r="J364" s="159"/>
    </row>
    <row r="365" spans="1:10" s="78" customFormat="1" x14ac:dyDescent="0.9">
      <c r="A365" s="162" t="str">
        <f>IF('Final List'!J163="","",'Final List'!J163)</f>
        <v/>
      </c>
      <c r="B365" s="162" t="str">
        <f>IF('Final List'!K163="","",'Final List'!K163)</f>
        <v/>
      </c>
      <c r="C365" s="162" t="str">
        <f>IF('Final List'!L163="","",'Final List'!L163)</f>
        <v/>
      </c>
      <c r="D365" s="162" t="str">
        <f>IF('Final List'!M163="","",'Final List'!M163)</f>
        <v/>
      </c>
      <c r="E365" s="162" t="str">
        <f>IF('Final List'!N163="","",'Final List'!N163)</f>
        <v/>
      </c>
      <c r="F365" s="162" t="str">
        <f>IF('Final List'!O163="","",'Final List'!O163)</f>
        <v/>
      </c>
      <c r="G365" s="162" t="str">
        <f>IF('Final List'!P163="","",'Final List'!P163)</f>
        <v/>
      </c>
      <c r="H365" s="162" t="str">
        <f>IF('Final List'!Q163="","",'Final List'!Q163)</f>
        <v/>
      </c>
      <c r="I365" s="159"/>
      <c r="J365" s="159"/>
    </row>
    <row r="366" spans="1:10" s="78" customFormat="1" x14ac:dyDescent="0.9">
      <c r="A366" s="162" t="str">
        <f>IF('Final List'!J164="","",'Final List'!J164)</f>
        <v/>
      </c>
      <c r="B366" s="162" t="str">
        <f>IF('Final List'!K164="","",'Final List'!K164)</f>
        <v/>
      </c>
      <c r="C366" s="162" t="str">
        <f>IF('Final List'!L164="","",'Final List'!L164)</f>
        <v/>
      </c>
      <c r="D366" s="162" t="str">
        <f>IF('Final List'!M164="","",'Final List'!M164)</f>
        <v/>
      </c>
      <c r="E366" s="162" t="str">
        <f>IF('Final List'!N164="","",'Final List'!N164)</f>
        <v/>
      </c>
      <c r="F366" s="162" t="str">
        <f>IF('Final List'!O164="","",'Final List'!O164)</f>
        <v/>
      </c>
      <c r="G366" s="162" t="str">
        <f>IF('Final List'!P164="","",'Final List'!P164)</f>
        <v/>
      </c>
      <c r="H366" s="162" t="str">
        <f>IF('Final List'!Q164="","",'Final List'!Q164)</f>
        <v/>
      </c>
      <c r="I366" s="159"/>
      <c r="J366" s="159"/>
    </row>
    <row r="367" spans="1:10" s="78" customFormat="1" x14ac:dyDescent="0.9">
      <c r="A367" s="162" t="str">
        <f>IF('Final List'!J165="","",'Final List'!J165)</f>
        <v/>
      </c>
      <c r="B367" s="162" t="str">
        <f>IF('Final List'!K165="","",'Final List'!K165)</f>
        <v/>
      </c>
      <c r="C367" s="162" t="str">
        <f>IF('Final List'!L165="","",'Final List'!L165)</f>
        <v/>
      </c>
      <c r="D367" s="162" t="str">
        <f>IF('Final List'!M165="","",'Final List'!M165)</f>
        <v/>
      </c>
      <c r="E367" s="162" t="str">
        <f>IF('Final List'!N165="","",'Final List'!N165)</f>
        <v/>
      </c>
      <c r="F367" s="162" t="str">
        <f>IF('Final List'!O165="","",'Final List'!O165)</f>
        <v/>
      </c>
      <c r="G367" s="162" t="str">
        <f>IF('Final List'!P165="","",'Final List'!P165)</f>
        <v/>
      </c>
      <c r="H367" s="162" t="str">
        <f>IF('Final List'!Q165="","",'Final List'!Q165)</f>
        <v/>
      </c>
      <c r="I367" s="159"/>
      <c r="J367" s="159"/>
    </row>
    <row r="368" spans="1:10" s="78" customFormat="1" ht="62.25" thickBot="1" x14ac:dyDescent="0.95">
      <c r="A368" s="162" t="str">
        <f>IF('Final List'!J166="","",'Final List'!J166)</f>
        <v/>
      </c>
      <c r="B368" s="162" t="str">
        <f>IF('Final List'!K166="","",'Final List'!K166)</f>
        <v/>
      </c>
      <c r="C368" s="162" t="str">
        <f>IF('Final List'!L166="","",'Final List'!L166)</f>
        <v/>
      </c>
      <c r="D368" s="162" t="str">
        <f>IF('Final List'!M166="","",'Final List'!M166)</f>
        <v/>
      </c>
      <c r="E368" s="162" t="str">
        <f>IF('Final List'!N166="","",'Final List'!N166)</f>
        <v/>
      </c>
      <c r="F368" s="162" t="str">
        <f>IF('Final List'!O166="","",'Final List'!O166)</f>
        <v/>
      </c>
      <c r="G368" s="162" t="str">
        <f>IF('Final List'!P166="","",'Final List'!P166)</f>
        <v/>
      </c>
      <c r="H368" s="162" t="str">
        <f>IF('Final List'!Q166="","",'Final List'!Q166)</f>
        <v/>
      </c>
      <c r="I368" s="159"/>
      <c r="J368" s="159"/>
    </row>
    <row r="369" spans="1:10" s="78" customFormat="1" x14ac:dyDescent="0.9">
      <c r="A369" s="338" t="str">
        <f>IF('Final List'!J167="","",'Final List'!J167)</f>
        <v/>
      </c>
      <c r="B369" s="332" t="str">
        <f>IF('Final List'!K167="","",'Final List'!K167)</f>
        <v/>
      </c>
      <c r="C369" s="335" t="str">
        <f>IF('Final List'!L167="","",'Final List'!L167)</f>
        <v/>
      </c>
      <c r="D369" s="336" t="str">
        <f>IF('Final List'!M167="","",'Final List'!M167)</f>
        <v/>
      </c>
      <c r="E369" s="335" t="str">
        <f>IF('Final List'!N167="","",'Final List'!N167)</f>
        <v/>
      </c>
      <c r="F369" s="336" t="str">
        <f>IF('Final List'!O167="","",'Final List'!O167)</f>
        <v/>
      </c>
      <c r="G369" s="335" t="str">
        <f>IF('Final List'!P167="","",'Final List'!P167)</f>
        <v/>
      </c>
      <c r="H369" s="336" t="str">
        <f>IF('Final List'!Q167="","",'Final List'!Q167)</f>
        <v/>
      </c>
      <c r="I369" s="159"/>
      <c r="J369" s="159"/>
    </row>
    <row r="370" spans="1:10" s="78" customFormat="1" x14ac:dyDescent="0.9">
      <c r="A370" s="338" t="str">
        <f>IF('Final List'!J168="","",'Final List'!J168)</f>
        <v/>
      </c>
      <c r="B370" s="332" t="str">
        <f>IF('Final List'!K168="","",'Final List'!K168)</f>
        <v/>
      </c>
      <c r="C370" s="338" t="str">
        <f>IF('Final List'!L168="","",'Final List'!L168)</f>
        <v/>
      </c>
      <c r="D370" s="332" t="str">
        <f>IF('Final List'!M168="","",'Final List'!M168)</f>
        <v/>
      </c>
      <c r="E370" s="338" t="str">
        <f>IF('Final List'!N168="","",'Final List'!N168)</f>
        <v/>
      </c>
      <c r="F370" s="332" t="str">
        <f>IF('Final List'!O168="","",'Final List'!O168)</f>
        <v/>
      </c>
      <c r="G370" s="338" t="str">
        <f>IF('Final List'!P168="","",'Final List'!P168)</f>
        <v/>
      </c>
      <c r="H370" s="332" t="str">
        <f>IF('Final List'!Q168="","",'Final List'!Q168)</f>
        <v/>
      </c>
      <c r="I370" s="159"/>
      <c r="J370" s="159"/>
    </row>
    <row r="371" spans="1:10" s="78" customFormat="1" x14ac:dyDescent="0.9">
      <c r="A371" s="338" t="str">
        <f>IF('Final List'!J169="","",'Final List'!J169)</f>
        <v/>
      </c>
      <c r="B371" s="332" t="str">
        <f>IF('Final List'!K169="","",'Final List'!K169)</f>
        <v/>
      </c>
      <c r="C371" s="338" t="str">
        <f>IF('Final List'!L169="","",'Final List'!L169)</f>
        <v/>
      </c>
      <c r="D371" s="332" t="str">
        <f>IF('Final List'!M169="","",'Final List'!M169)</f>
        <v/>
      </c>
      <c r="E371" s="338" t="str">
        <f>IF('Final List'!N169="","",'Final List'!N169)</f>
        <v/>
      </c>
      <c r="F371" s="332" t="str">
        <f>IF('Final List'!O169="","",'Final List'!O169)</f>
        <v/>
      </c>
      <c r="G371" s="338" t="str">
        <f>IF('Final List'!P169="","",'Final List'!P169)</f>
        <v/>
      </c>
      <c r="H371" s="332" t="str">
        <f>IF('Final List'!Q169="","",'Final List'!Q169)</f>
        <v/>
      </c>
      <c r="I371" s="159"/>
      <c r="J371" s="159"/>
    </row>
    <row r="372" spans="1:10" s="78" customFormat="1" ht="62.25" thickBot="1" x14ac:dyDescent="0.95">
      <c r="A372" s="340" t="str">
        <f>IF('Final List'!J170="","",'Final List'!J170)</f>
        <v/>
      </c>
      <c r="B372" s="341" t="str">
        <f>IF('Final List'!K170="","",'Final List'!K170)</f>
        <v/>
      </c>
      <c r="C372" s="340" t="str">
        <f>IF('Final List'!L170="","",'Final List'!L170)</f>
        <v/>
      </c>
      <c r="D372" s="341" t="str">
        <f>IF('Final List'!M170="","",'Final List'!M170)</f>
        <v/>
      </c>
      <c r="E372" s="340" t="str">
        <f>IF('Final List'!N170="","",'Final List'!N170)</f>
        <v/>
      </c>
      <c r="F372" s="341" t="str">
        <f>IF('Final List'!O170="","",'Final List'!O170)</f>
        <v/>
      </c>
      <c r="G372" s="340" t="str">
        <f>IF('Final List'!P170="","",'Final List'!P170)</f>
        <v/>
      </c>
      <c r="H372" s="341" t="str">
        <f>IF('Final List'!Q170="","",'Final List'!Q170)</f>
        <v/>
      </c>
      <c r="I372" s="159"/>
      <c r="J372" s="159"/>
    </row>
    <row r="373" spans="1:10" s="78" customFormat="1" ht="178.5" customHeight="1" x14ac:dyDescent="0.9">
      <c r="A373" s="421" t="s">
        <v>13039</v>
      </c>
      <c r="B373" s="421"/>
      <c r="C373" s="421"/>
      <c r="D373" s="421"/>
      <c r="E373" s="374" t="str">
        <f>E21</f>
        <v xml:space="preserve">            JC VILLARUEL  / MZ CUREG /KN PORLARES/JNS SILVEDERIO /EJ LUMACANG</v>
      </c>
      <c r="F373" s="372"/>
      <c r="G373" s="372"/>
      <c r="H373" s="313"/>
      <c r="I373" s="159"/>
      <c r="J373" s="159"/>
    </row>
    <row r="374" spans="1:10" s="78" customFormat="1" x14ac:dyDescent="0.9">
      <c r="A374" s="163"/>
      <c r="B374" s="163"/>
      <c r="C374" s="163"/>
      <c r="D374" s="163"/>
      <c r="E374" s="365"/>
      <c r="F374" s="365" t="s">
        <v>5322</v>
      </c>
      <c r="G374" s="368"/>
      <c r="H374" s="254"/>
      <c r="I374" s="159"/>
      <c r="J374" s="159"/>
    </row>
    <row r="375" spans="1:10" s="78" customFormat="1" x14ac:dyDescent="0.9">
      <c r="A375" s="163"/>
      <c r="B375" s="163"/>
      <c r="C375" s="163"/>
      <c r="D375" s="163"/>
      <c r="E375" s="163"/>
      <c r="F375" s="163"/>
      <c r="G375" s="163"/>
      <c r="H375" s="163"/>
      <c r="I375" s="159"/>
      <c r="J375" s="159"/>
    </row>
    <row r="376" spans="1:10" s="78" customFormat="1" x14ac:dyDescent="0.9">
      <c r="A376" s="162" t="str">
        <f>IF('Final List'!C166="","",'Final List'!C166)</f>
        <v/>
      </c>
      <c r="B376" s="162" t="str">
        <f>IF('Final List'!D166="","",'Final List'!D166)</f>
        <v/>
      </c>
      <c r="C376" s="162" t="str">
        <f>IF('Final List'!E166="","",'Final List'!E166)</f>
        <v/>
      </c>
      <c r="D376" s="162" t="str">
        <f>IF('Final List'!M166="","",'Final List'!M166)</f>
        <v/>
      </c>
      <c r="E376" s="162" t="str">
        <f>IF('Final List'!N166="","",'Final List'!N166)</f>
        <v/>
      </c>
      <c r="F376" s="162" t="str">
        <f>IF('Final List'!O166="","",'Final List'!O166)</f>
        <v/>
      </c>
      <c r="G376" s="162" t="str">
        <f>IF('Final List'!P166="","",'Final List'!P166)</f>
        <v/>
      </c>
      <c r="H376" s="162" t="str">
        <f>IF('Final List'!Q166="","",'Final List'!Q166)</f>
        <v/>
      </c>
      <c r="I376" s="159"/>
      <c r="J376" s="159"/>
    </row>
    <row r="377" spans="1:10" s="78" customFormat="1" x14ac:dyDescent="0.9">
      <c r="A377" s="163" t="s">
        <v>211</v>
      </c>
      <c r="B377" s="162"/>
      <c r="C377" s="162" t="s">
        <v>250</v>
      </c>
      <c r="D377" s="162"/>
      <c r="E377" s="162" t="s">
        <v>251</v>
      </c>
      <c r="F377" s="162"/>
      <c r="G377" s="162" t="s">
        <v>18</v>
      </c>
      <c r="H377" s="162"/>
      <c r="I377" s="159"/>
      <c r="J377" s="159"/>
    </row>
    <row r="378" spans="1:10" s="78" customFormat="1" x14ac:dyDescent="0.9">
      <c r="A378" s="160">
        <f>15-COUNTIF(A344:A358,"")</f>
        <v>0</v>
      </c>
      <c r="B378" s="162"/>
      <c r="C378" s="160">
        <f>15-COUNTIF(C344:C358,"")</f>
        <v>6</v>
      </c>
      <c r="D378" s="162"/>
      <c r="E378" s="160">
        <f>15-COUNTIF(E344:E358,"")</f>
        <v>0</v>
      </c>
      <c r="F378" s="162"/>
      <c r="G378" s="160">
        <f>15-COUNTIF(G344:G358,"")</f>
        <v>5</v>
      </c>
      <c r="H378" s="162"/>
      <c r="I378" s="165" t="s">
        <v>563</v>
      </c>
      <c r="J378" s="165">
        <f>A378+C378+E378+G378+A380+C380+E380+G380</f>
        <v>16</v>
      </c>
    </row>
    <row r="379" spans="1:10" s="78" customFormat="1" x14ac:dyDescent="0.9">
      <c r="A379" s="162" t="s">
        <v>19</v>
      </c>
      <c r="B379" s="162"/>
      <c r="C379" s="162" t="s">
        <v>20</v>
      </c>
      <c r="D379" s="162"/>
      <c r="E379" s="162" t="s">
        <v>21</v>
      </c>
      <c r="F379" s="162"/>
      <c r="G379" s="162" t="s">
        <v>22</v>
      </c>
      <c r="H379" s="162"/>
      <c r="I379" s="165" t="s">
        <v>564</v>
      </c>
      <c r="J379" s="165">
        <f>'Final List'!T174</f>
        <v>16</v>
      </c>
    </row>
    <row r="380" spans="1:10" s="78" customFormat="1" x14ac:dyDescent="0.9">
      <c r="A380" s="160">
        <f>12-COUNTIFS(A361:A372,"")</f>
        <v>2</v>
      </c>
      <c r="B380" s="162"/>
      <c r="C380" s="160">
        <f>12-COUNTIFS(C361:C372,"")</f>
        <v>3</v>
      </c>
      <c r="D380" s="162"/>
      <c r="E380" s="160">
        <f>12-COUNTIFS(E361:E372,"")</f>
        <v>0</v>
      </c>
      <c r="F380" s="162"/>
      <c r="G380" s="160">
        <f>12-COUNTIFS(G361:G372,"")</f>
        <v>0</v>
      </c>
      <c r="H380" s="162"/>
      <c r="I380" s="159"/>
      <c r="J380" s="159"/>
    </row>
    <row r="384" spans="1:10" ht="222" customHeight="1" x14ac:dyDescent="0.9">
      <c r="A384" s="322" t="s">
        <v>1153</v>
      </c>
      <c r="B384" s="321">
        <f ca="1">TODAY()</f>
        <v>46184</v>
      </c>
      <c r="C384" s="160"/>
      <c r="D384" s="160"/>
      <c r="E384" s="160"/>
      <c r="F384" s="160"/>
      <c r="G384" s="160"/>
      <c r="H384" s="323" t="str">
        <f>H341</f>
        <v>Doc.No. : ENG-PLN-FRM-002
Ver. No. : 1
Effectivity: October 25, 2024</v>
      </c>
    </row>
    <row r="385" spans="1:12" x14ac:dyDescent="0.9">
      <c r="A385" s="422" t="s">
        <v>211</v>
      </c>
      <c r="B385" s="422"/>
      <c r="C385" s="422" t="s">
        <v>250</v>
      </c>
      <c r="D385" s="422"/>
      <c r="E385" s="422" t="s">
        <v>251</v>
      </c>
      <c r="F385" s="422"/>
      <c r="G385" s="422" t="s">
        <v>18</v>
      </c>
      <c r="H385" s="422"/>
    </row>
    <row r="386" spans="1:12" x14ac:dyDescent="0.7">
      <c r="A386" s="161" t="s">
        <v>524</v>
      </c>
      <c r="B386" s="161" t="s">
        <v>525</v>
      </c>
      <c r="C386" s="161" t="s">
        <v>524</v>
      </c>
      <c r="D386" s="161" t="s">
        <v>525</v>
      </c>
      <c r="E386" s="161" t="s">
        <v>524</v>
      </c>
      <c r="F386" s="161" t="s">
        <v>525</v>
      </c>
      <c r="G386" s="161" t="s">
        <v>524</v>
      </c>
      <c r="H386" s="161" t="s">
        <v>525</v>
      </c>
    </row>
    <row r="387" spans="1:12" x14ac:dyDescent="0.9">
      <c r="A387" s="162" t="str">
        <f>IF('Final List'!B175="","",'Final List'!B175)</f>
        <v>L12_DPVE_025E_STOPE PREP</v>
      </c>
      <c r="B387" s="162" t="str">
        <f>IF('Final List'!C175="","",'Final List'!C175)</f>
        <v>DURANGO</v>
      </c>
      <c r="C387" s="162" t="str">
        <f>IF('Final List'!D175="","",'Final List'!D175)</f>
        <v>L12_GHVSPLIT_045E_STOPE</v>
      </c>
      <c r="D387" s="162" t="str">
        <f>IF('Final List'!E175="","",'Final List'!E175)</f>
        <v>DURANGO</v>
      </c>
      <c r="E387" s="162" t="str">
        <f>IF('Final List'!F175="","",'Final List'!F175)</f>
        <v/>
      </c>
      <c r="F387" s="162" t="str">
        <f>IF('Final List'!G175="","",'Final List'!G175)</f>
        <v/>
      </c>
      <c r="G387" s="162" t="str">
        <f>IF('Final List'!H175="","",'Final List'!H175)</f>
        <v>L12_JV_077E_DW_ISL_A</v>
      </c>
      <c r="H387" s="162" t="str">
        <f>IF('Final List'!I175="","",'Final List'!I175)</f>
        <v>LANTACA</v>
      </c>
    </row>
    <row r="388" spans="1:12" x14ac:dyDescent="0.9">
      <c r="A388" s="162" t="str">
        <f>IF('Final List'!B176="","",'Final List'!B176)</f>
        <v>L12_GHVSPLIT_057E_STOPE PREP</v>
      </c>
      <c r="B388" s="162" t="str">
        <f>IF('Final List'!C176="","",'Final List'!C176)</f>
        <v>HAGANAS</v>
      </c>
      <c r="C388" s="162" t="str">
        <f>IF('Final List'!D176="","",'Final List'!D176)</f>
        <v>L12_GHVSPLIT_046E_STOPE</v>
      </c>
      <c r="D388" s="162" t="str">
        <f>IF('Final List'!E176="","",'Final List'!E176)</f>
        <v>CAYMAN</v>
      </c>
      <c r="E388" s="162" t="str">
        <f>IF('Final List'!F176="","",'Final List'!F176)</f>
        <v/>
      </c>
      <c r="F388" s="162" t="str">
        <f>IF('Final List'!G176="","",'Final List'!G176)</f>
        <v/>
      </c>
      <c r="G388" s="162" t="str">
        <f>IF('Final List'!H176="","",'Final List'!H176)</f>
        <v>L12_DPVE_071E_DW</v>
      </c>
      <c r="H388" s="162" t="str">
        <f>IF('Final List'!I176="","",'Final List'!I176)</f>
        <v>CAYMAN</v>
      </c>
    </row>
    <row r="389" spans="1:12" x14ac:dyDescent="0.9">
      <c r="A389" s="162" t="str">
        <f>IF('Final List'!B177="","",'Final List'!B177)</f>
        <v>L12_DPVE_047E_STOPE PREP</v>
      </c>
      <c r="B389" s="162" t="str">
        <f>IF('Final List'!C177="","",'Final List'!C177)</f>
        <v>BABOR</v>
      </c>
      <c r="C389" s="162" t="str">
        <f>IF('Final List'!D177="","",'Final List'!D177)</f>
        <v>L12_JV_078E_STOPE</v>
      </c>
      <c r="D389" s="162" t="str">
        <f>IF('Final List'!E177="","",'Final List'!E177)</f>
        <v>NITRO CK</v>
      </c>
      <c r="E389" s="162" t="str">
        <f>IF('Final List'!F177="","",'Final List'!F177)</f>
        <v/>
      </c>
      <c r="F389" s="162" t="str">
        <f>IF('Final List'!G177="","",'Final List'!G177)</f>
        <v/>
      </c>
      <c r="G389" s="162" t="str">
        <f>IF('Final List'!H177="","",'Final List'!H177)</f>
        <v>L12_DPVE_060E_DW</v>
      </c>
      <c r="H389" s="162" t="str">
        <f>IF('Final List'!I177="","",'Final List'!I177)</f>
        <v>DUHIG, P</v>
      </c>
    </row>
    <row r="390" spans="1:12" x14ac:dyDescent="0.9">
      <c r="A390" s="162" t="str">
        <f>IF('Final List'!B178="","",'Final List'!B178)</f>
        <v/>
      </c>
      <c r="B390" s="162" t="str">
        <f>IF('Final List'!C178="","",'Final List'!C178)</f>
        <v/>
      </c>
      <c r="C390" s="162" t="str">
        <f>IF('Final List'!D178="","",'Final List'!D178)</f>
        <v>L12_JVHW_048E_STOPE</v>
      </c>
      <c r="D390" s="162" t="str">
        <f>IF('Final List'!E178="","",'Final List'!E178)</f>
        <v>NITRO CG</v>
      </c>
      <c r="E390" s="162" t="str">
        <f>IF('Final List'!F178="","",'Final List'!F178)</f>
        <v/>
      </c>
      <c r="F390" s="162" t="str">
        <f>IF('Final List'!G178="","",'Final List'!G178)</f>
        <v/>
      </c>
      <c r="G390" s="162" t="str">
        <f>IF('Final List'!H178="","",'Final List'!H178)</f>
        <v>L12_GHV_023E_DW</v>
      </c>
      <c r="H390" s="162" t="str">
        <f>IF('Final List'!I178="","",'Final List'!I178)</f>
        <v>HAGANAS</v>
      </c>
    </row>
    <row r="391" spans="1:12" x14ac:dyDescent="0.9">
      <c r="A391" s="162" t="str">
        <f>IF('Final List'!B179="","",'Final List'!B179)</f>
        <v/>
      </c>
      <c r="B391" s="162" t="str">
        <f>IF('Final List'!C179="","",'Final List'!C179)</f>
        <v/>
      </c>
      <c r="C391" s="162" t="str">
        <f>IF('Final List'!D179="","",'Final List'!D179)</f>
        <v/>
      </c>
      <c r="D391" s="162" t="str">
        <f>IF('Final List'!E179="","",'Final List'!E179)</f>
        <v/>
      </c>
      <c r="E391" s="162" t="str">
        <f>IF('Final List'!F179="","",'Final List'!F179)</f>
        <v/>
      </c>
      <c r="F391" s="162" t="str">
        <f>IF('Final List'!G179="","",'Final List'!G179)</f>
        <v/>
      </c>
      <c r="G391" s="162" t="str">
        <f>IF('Final List'!H179="","",'Final List'!H179)</f>
        <v/>
      </c>
      <c r="H391" s="162" t="str">
        <f>IF('Final List'!I179="","",'Final List'!I179)</f>
        <v/>
      </c>
    </row>
    <row r="392" spans="1:12" x14ac:dyDescent="0.9">
      <c r="A392" s="162" t="str">
        <f>IF('Final List'!B180="","",'Final List'!B180)</f>
        <v/>
      </c>
      <c r="B392" s="162" t="str">
        <f>IF('Final List'!C180="","",'Final List'!C180)</f>
        <v/>
      </c>
      <c r="C392" s="162" t="str">
        <f>IF('Final List'!D180="","",'Final List'!D180)</f>
        <v/>
      </c>
      <c r="D392" s="162" t="str">
        <f>IF('Final List'!E180="","",'Final List'!E180)</f>
        <v/>
      </c>
      <c r="E392" s="162" t="str">
        <f>IF('Final List'!F180="","",'Final List'!F180)</f>
        <v/>
      </c>
      <c r="F392" s="162" t="str">
        <f>IF('Final List'!G180="","",'Final List'!G180)</f>
        <v/>
      </c>
      <c r="G392" s="162" t="str">
        <f>IF('Final List'!H180="","",'Final List'!H180)</f>
        <v/>
      </c>
      <c r="H392" s="162" t="str">
        <f>IF('Final List'!I180="","",'Final List'!I180)</f>
        <v/>
      </c>
    </row>
    <row r="393" spans="1:12" x14ac:dyDescent="0.9">
      <c r="A393" s="162" t="str">
        <f>IF('Final List'!B181="","",'Final List'!B181)</f>
        <v/>
      </c>
      <c r="B393" s="162" t="str">
        <f>IF('Final List'!C181="","",'Final List'!C181)</f>
        <v/>
      </c>
      <c r="C393" s="162" t="str">
        <f>IF('Final List'!D181="","",'Final List'!D181)</f>
        <v/>
      </c>
      <c r="D393" s="162" t="str">
        <f>IF('Final List'!E181="","",'Final List'!E181)</f>
        <v/>
      </c>
      <c r="E393" s="162" t="str">
        <f>IF('Final List'!F181="","",'Final List'!F181)</f>
        <v/>
      </c>
      <c r="F393" s="162" t="str">
        <f>IF('Final List'!G181="","",'Final List'!G181)</f>
        <v/>
      </c>
      <c r="G393" s="162" t="str">
        <f>IF('Final List'!H181="","",'Final List'!H181)</f>
        <v/>
      </c>
      <c r="H393" s="162" t="str">
        <f>IF('Final List'!I181="","",'Final List'!I181)</f>
        <v/>
      </c>
      <c r="L393">
        <v>0</v>
      </c>
    </row>
    <row r="394" spans="1:12" x14ac:dyDescent="0.9">
      <c r="A394" s="162" t="str">
        <f>IF('Final List'!B182="","",'Final List'!B182)</f>
        <v/>
      </c>
      <c r="B394" s="162" t="str">
        <f>IF('Final List'!C182="","",'Final List'!C182)</f>
        <v/>
      </c>
      <c r="C394" s="162" t="str">
        <f>IF('Final List'!D182="","",'Final List'!D182)</f>
        <v/>
      </c>
      <c r="D394" s="162" t="str">
        <f>IF('Final List'!E182="","",'Final List'!E182)</f>
        <v/>
      </c>
      <c r="E394" s="162" t="str">
        <f>IF('Final List'!F182="","",'Final List'!F182)</f>
        <v/>
      </c>
      <c r="F394" s="162" t="str">
        <f>IF('Final List'!G182="","",'Final List'!G182)</f>
        <v/>
      </c>
      <c r="G394" s="162" t="str">
        <f>IF('Final List'!H182="","",'Final List'!H182)</f>
        <v/>
      </c>
      <c r="H394" s="162" t="str">
        <f>IF('Final List'!I182="","",'Final List'!I182)</f>
        <v/>
      </c>
    </row>
    <row r="395" spans="1:12" x14ac:dyDescent="0.9">
      <c r="A395" s="162" t="str">
        <f>IF('Final List'!B183="","",'Final List'!B183)</f>
        <v/>
      </c>
      <c r="B395" s="162" t="str">
        <f>IF('Final List'!C183="","",'Final List'!C183)</f>
        <v/>
      </c>
      <c r="C395" s="162" t="str">
        <f>IF('Final List'!D183="","",'Final List'!D183)</f>
        <v/>
      </c>
      <c r="D395" s="162" t="str">
        <f>IF('Final List'!E183="","",'Final List'!E183)</f>
        <v/>
      </c>
      <c r="E395" s="162" t="str">
        <f>IF('Final List'!F183="","",'Final List'!F183)</f>
        <v/>
      </c>
      <c r="F395" s="162" t="str">
        <f>IF('Final List'!G183="","",'Final List'!G183)</f>
        <v/>
      </c>
      <c r="G395" s="162" t="str">
        <f>IF('Final List'!H183="","",'Final List'!H183)</f>
        <v/>
      </c>
      <c r="H395" s="162" t="str">
        <f>IF('Final List'!I183="","",'Final List'!I183)</f>
        <v/>
      </c>
    </row>
    <row r="396" spans="1:12" x14ac:dyDescent="0.9">
      <c r="A396" s="162" t="str">
        <f>IF('Final List'!B184="","",'Final List'!B184)</f>
        <v/>
      </c>
      <c r="B396" s="162" t="str">
        <f>IF('Final List'!C184="","",'Final List'!C184)</f>
        <v/>
      </c>
      <c r="C396" s="162" t="str">
        <f>IF('Final List'!D184="","",'Final List'!D184)</f>
        <v/>
      </c>
      <c r="D396" s="162" t="str">
        <f>IF('Final List'!E184="","",'Final List'!E184)</f>
        <v/>
      </c>
      <c r="E396" s="162" t="str">
        <f>IF('Final List'!F184="","",'Final List'!F184)</f>
        <v/>
      </c>
      <c r="F396" s="162" t="str">
        <f>IF('Final List'!G184="","",'Final List'!G184)</f>
        <v/>
      </c>
      <c r="G396" s="162" t="str">
        <f>IF('Final List'!H184="","",'Final List'!H184)</f>
        <v/>
      </c>
      <c r="H396" s="162" t="str">
        <f>IF('Final List'!I184="","",'Final List'!I184)</f>
        <v/>
      </c>
    </row>
    <row r="397" spans="1:12" x14ac:dyDescent="0.9">
      <c r="A397" s="162" t="str">
        <f>IF('Final List'!B185="","",'Final List'!B185)</f>
        <v/>
      </c>
      <c r="B397" s="162" t="str">
        <f>IF('Final List'!C185="","",'Final List'!C185)</f>
        <v/>
      </c>
      <c r="C397" s="162" t="str">
        <f>IF('Final List'!D185="","",'Final List'!D185)</f>
        <v/>
      </c>
      <c r="D397" s="162" t="str">
        <f>IF('Final List'!E185="","",'Final List'!E185)</f>
        <v/>
      </c>
      <c r="E397" s="162" t="str">
        <f>IF('Final List'!F185="","",'Final List'!F185)</f>
        <v/>
      </c>
      <c r="F397" s="162" t="str">
        <f>IF('Final List'!G185="","",'Final List'!G185)</f>
        <v/>
      </c>
      <c r="G397" s="162" t="str">
        <f>IF('Final List'!H185="","",'Final List'!H185)</f>
        <v/>
      </c>
      <c r="H397" s="162" t="str">
        <f>IF('Final List'!I185="","",'Final List'!I185)</f>
        <v/>
      </c>
    </row>
    <row r="398" spans="1:12" x14ac:dyDescent="0.9">
      <c r="A398" s="162" t="str">
        <f>IF('Final List'!B186="","",'Final List'!B186)</f>
        <v/>
      </c>
      <c r="B398" s="162" t="str">
        <f>IF('Final List'!C186="","",'Final List'!C186)</f>
        <v/>
      </c>
      <c r="C398" s="162" t="str">
        <f>IF('Final List'!D186="","",'Final List'!D186)</f>
        <v/>
      </c>
      <c r="D398" s="162" t="str">
        <f>IF('Final List'!E186="","",'Final List'!E186)</f>
        <v/>
      </c>
      <c r="E398" s="162" t="str">
        <f>IF('Final List'!F186="","",'Final List'!F186)</f>
        <v/>
      </c>
      <c r="F398" s="162" t="str">
        <f>IF('Final List'!G186="","",'Final List'!G186)</f>
        <v/>
      </c>
      <c r="G398" s="162" t="str">
        <f>IF('Final List'!H186="","",'Final List'!H186)</f>
        <v/>
      </c>
      <c r="H398" s="162" t="str">
        <f>IF('Final List'!I186="","",'Final List'!I186)</f>
        <v/>
      </c>
    </row>
    <row r="399" spans="1:12" x14ac:dyDescent="0.9">
      <c r="A399" s="162" t="str">
        <f>IF('Final List'!B187="","",'Final List'!B187)</f>
        <v/>
      </c>
      <c r="B399" s="162" t="str">
        <f>IF('Final List'!C187="","",'Final List'!C187)</f>
        <v/>
      </c>
      <c r="C399" s="162" t="str">
        <f>IF('Final List'!D187="","",'Final List'!D187)</f>
        <v/>
      </c>
      <c r="D399" s="162" t="str">
        <f>IF('Final List'!E187="","",'Final List'!E187)</f>
        <v/>
      </c>
      <c r="E399" s="162" t="str">
        <f>IF('Final List'!F187="","",'Final List'!F187)</f>
        <v/>
      </c>
      <c r="F399" s="162" t="str">
        <f>IF('Final List'!G187="","",'Final List'!G187)</f>
        <v/>
      </c>
      <c r="G399" s="162" t="str">
        <f>IF('Final List'!H187="","",'Final List'!H187)</f>
        <v/>
      </c>
      <c r="H399" s="162" t="str">
        <f>IF('Final List'!I187="","",'Final List'!I187)</f>
        <v/>
      </c>
    </row>
    <row r="400" spans="1:12" x14ac:dyDescent="0.9">
      <c r="A400" s="162" t="str">
        <f>IF('Final List'!B188="","",'Final List'!B188)</f>
        <v/>
      </c>
      <c r="B400" s="162" t="str">
        <f>IF('Final List'!C188="","",'Final List'!C188)</f>
        <v/>
      </c>
      <c r="C400" s="162" t="str">
        <f>IF('Final List'!D188="","",'Final List'!D188)</f>
        <v/>
      </c>
      <c r="D400" s="162" t="str">
        <f>IF('Final List'!E188="","",'Final List'!E188)</f>
        <v/>
      </c>
      <c r="E400" s="162" t="str">
        <f>IF('Final List'!F188="","",'Final List'!F188)</f>
        <v/>
      </c>
      <c r="F400" s="162" t="str">
        <f>IF('Final List'!G188="","",'Final List'!G188)</f>
        <v/>
      </c>
      <c r="G400" s="162" t="str">
        <f>IF('Final List'!H188="","",'Final List'!H188)</f>
        <v/>
      </c>
      <c r="H400" s="162" t="str">
        <f>IF('Final List'!I188="","",'Final List'!I188)</f>
        <v/>
      </c>
    </row>
    <row r="401" spans="1:10" x14ac:dyDescent="0.9">
      <c r="A401" s="162" t="str">
        <f>IF('Final List'!B189="","",'Final List'!B189)</f>
        <v/>
      </c>
      <c r="B401" s="162" t="str">
        <f>IF('Final List'!C189="","",'Final List'!C189)</f>
        <v/>
      </c>
      <c r="C401" s="162" t="str">
        <f>IF('Final List'!D189="","",'Final List'!D189)</f>
        <v/>
      </c>
      <c r="D401" s="162" t="str">
        <f>IF('Final List'!E189="","",'Final List'!E189)</f>
        <v/>
      </c>
      <c r="E401" s="162" t="str">
        <f>IF('Final List'!F189="","",'Final List'!F189)</f>
        <v/>
      </c>
      <c r="F401" s="162" t="str">
        <f>IF('Final List'!G189="","",'Final List'!G189)</f>
        <v/>
      </c>
      <c r="G401" s="162" t="str">
        <f>IF('Final List'!H189="","",'Final List'!H189)</f>
        <v/>
      </c>
      <c r="H401" s="162" t="str">
        <f>IF('Final List'!I189="","",'Final List'!I189)</f>
        <v/>
      </c>
    </row>
    <row r="402" spans="1:10" x14ac:dyDescent="0.9">
      <c r="A402" s="422" t="s">
        <v>19</v>
      </c>
      <c r="B402" s="422"/>
      <c r="C402" s="422" t="s">
        <v>20</v>
      </c>
      <c r="D402" s="422"/>
      <c r="E402" s="422" t="s">
        <v>21</v>
      </c>
      <c r="F402" s="422"/>
      <c r="G402" s="422" t="s">
        <v>22</v>
      </c>
      <c r="H402" s="422"/>
    </row>
    <row r="403" spans="1:10" x14ac:dyDescent="0.7">
      <c r="A403" s="161" t="s">
        <v>524</v>
      </c>
      <c r="B403" s="161" t="s">
        <v>525</v>
      </c>
      <c r="C403" s="161" t="s">
        <v>524</v>
      </c>
      <c r="D403" s="161" t="s">
        <v>525</v>
      </c>
      <c r="E403" s="161" t="s">
        <v>524</v>
      </c>
      <c r="F403" s="161" t="s">
        <v>525</v>
      </c>
      <c r="G403" s="161" t="s">
        <v>524</v>
      </c>
      <c r="H403" s="161" t="s">
        <v>525</v>
      </c>
    </row>
    <row r="404" spans="1:10" x14ac:dyDescent="0.9">
      <c r="A404" s="162" t="str">
        <f>IF('Final List'!J175="","",'Final List'!J175)</f>
        <v>L12_GHVFW_033E_RAISE</v>
      </c>
      <c r="B404" s="162" t="str">
        <f>IF('Final List'!K175="","",'Final List'!K175)</f>
        <v>NITRO BM</v>
      </c>
      <c r="C404" s="162" t="str">
        <f>IF('Final List'!L175="","",'Final List'!L175)</f>
        <v/>
      </c>
      <c r="D404" s="162" t="str">
        <f>IF('Final List'!M175="","",'Final List'!M175)</f>
        <v/>
      </c>
      <c r="E404" s="162" t="str">
        <f>IF('Final List'!$N175="","",'Final List'!N175)</f>
        <v>L12_NONE_075E_XCN</v>
      </c>
      <c r="F404" s="162" t="str">
        <f>IF('Final List'!O175="","",'Final List'!O175)</f>
        <v>CAYMAN</v>
      </c>
      <c r="G404" s="162" t="str">
        <f>IF('Final List'!P175="","",'Final List'!P175)</f>
        <v>L12_NONE_040E_MECHANICAL CHAMBER</v>
      </c>
      <c r="H404" s="162" t="str">
        <f>IF('Final List'!Q175="","",'Final List'!Q175)</f>
        <v>DURANGO, R</v>
      </c>
    </row>
    <row r="405" spans="1:10" x14ac:dyDescent="0.9">
      <c r="A405" s="162" t="str">
        <f>IF('Final List'!J176="","",'Final List'!J176)</f>
        <v/>
      </c>
      <c r="B405" s="162" t="str">
        <f>IF('Final List'!K176="","",'Final List'!K176)</f>
        <v/>
      </c>
      <c r="C405" s="162" t="str">
        <f>IF('Final List'!L176="","",'Final List'!L176)</f>
        <v/>
      </c>
      <c r="D405" s="162" t="str">
        <f>IF('Final List'!M176="","",'Final List'!M176)</f>
        <v/>
      </c>
      <c r="E405" s="162" t="str">
        <f>IF('Final List'!$N176="","",'Final List'!N176)</f>
        <v/>
      </c>
      <c r="F405" s="162" t="str">
        <f>IF('Final List'!O176="","",'Final List'!O176)</f>
        <v/>
      </c>
      <c r="G405" s="162" t="str">
        <f>IF('Final List'!P176="","",'Final List'!P176)</f>
        <v/>
      </c>
      <c r="H405" s="162" t="str">
        <f>IF('Final List'!Q176="","",'Final List'!Q176)</f>
        <v/>
      </c>
    </row>
    <row r="406" spans="1:10" x14ac:dyDescent="0.9">
      <c r="A406" s="162" t="str">
        <f>IF('Final List'!J177="","",'Final List'!J177)</f>
        <v/>
      </c>
      <c r="B406" s="162" t="str">
        <f>IF('Final List'!K177="","",'Final List'!K177)</f>
        <v/>
      </c>
      <c r="C406" s="162" t="str">
        <f>IF('Final List'!L177="","",'Final List'!L177)</f>
        <v/>
      </c>
      <c r="D406" s="162" t="str">
        <f>IF('Final List'!M177="","",'Final List'!M177)</f>
        <v/>
      </c>
      <c r="E406" s="162" t="str">
        <f>IF('Final List'!$N177="","",'Final List'!N177)</f>
        <v/>
      </c>
      <c r="F406" s="162" t="str">
        <f>IF('Final List'!O177="","",'Final List'!O177)</f>
        <v/>
      </c>
      <c r="G406" s="162" t="str">
        <f>IF('Final List'!P177="","",'Final List'!P177)</f>
        <v/>
      </c>
      <c r="H406" s="162" t="str">
        <f>IF('Final List'!Q177="","",'Final List'!Q177)</f>
        <v/>
      </c>
    </row>
    <row r="407" spans="1:10" x14ac:dyDescent="0.9">
      <c r="A407" s="162" t="str">
        <f>IF('Final List'!J178="","",'Final List'!J178)</f>
        <v/>
      </c>
      <c r="B407" s="162" t="str">
        <f>IF('Final List'!K178="","",'Final List'!K178)</f>
        <v/>
      </c>
      <c r="C407" s="162" t="str">
        <f>IF('Final List'!L178="","",'Final List'!L178)</f>
        <v/>
      </c>
      <c r="D407" s="162" t="str">
        <f>IF('Final List'!M178="","",'Final List'!M178)</f>
        <v/>
      </c>
      <c r="E407" s="162" t="str">
        <f>IF('Final List'!$N178="","",'Final List'!N178)</f>
        <v/>
      </c>
      <c r="F407" s="162" t="str">
        <f>IF('Final List'!O178="","",'Final List'!O178)</f>
        <v/>
      </c>
      <c r="G407" s="162" t="str">
        <f>IF('Final List'!P178="","",'Final List'!P178)</f>
        <v/>
      </c>
      <c r="H407" s="162" t="str">
        <f>IF('Final List'!Q178="","",'Final List'!Q178)</f>
        <v/>
      </c>
    </row>
    <row r="408" spans="1:10" x14ac:dyDescent="0.9">
      <c r="A408" s="162" t="str">
        <f>IF('Final List'!J179="","",'Final List'!J179)</f>
        <v/>
      </c>
      <c r="B408" s="162" t="str">
        <f>IF('Final List'!K179="","",'Final List'!K179)</f>
        <v/>
      </c>
      <c r="C408" s="162" t="str">
        <f>IF('Final List'!L179="","",'Final List'!L179)</f>
        <v/>
      </c>
      <c r="D408" s="162" t="str">
        <f>IF('Final List'!M179="","",'Final List'!M179)</f>
        <v/>
      </c>
      <c r="E408" s="162" t="str">
        <f>IF('Final List'!$N179="","",'Final List'!N179)</f>
        <v/>
      </c>
      <c r="F408" s="162" t="str">
        <f>IF('Final List'!O179="","",'Final List'!O179)</f>
        <v/>
      </c>
      <c r="G408" s="162" t="str">
        <f>IF('Final List'!P179="","",'Final List'!P179)</f>
        <v/>
      </c>
      <c r="H408" s="162" t="str">
        <f>IF('Final List'!Q179="","",'Final List'!Q179)</f>
        <v/>
      </c>
    </row>
    <row r="409" spans="1:10" x14ac:dyDescent="0.9">
      <c r="A409" s="162" t="str">
        <f>IF('Final List'!J180="","",'Final List'!J180)</f>
        <v/>
      </c>
      <c r="B409" s="162" t="str">
        <f>IF('Final List'!K180="","",'Final List'!K180)</f>
        <v/>
      </c>
      <c r="C409" s="162" t="str">
        <f>IF('Final List'!L180="","",'Final List'!L180)</f>
        <v/>
      </c>
      <c r="D409" s="162" t="str">
        <f>IF('Final List'!M180="","",'Final List'!M180)</f>
        <v/>
      </c>
      <c r="E409" s="162" t="str">
        <f>IF('Final List'!$N180="","",'Final List'!N180)</f>
        <v/>
      </c>
      <c r="F409" s="162" t="str">
        <f>IF('Final List'!O180="","",'Final List'!O180)</f>
        <v/>
      </c>
      <c r="G409" s="162" t="str">
        <f>IF('Final List'!P180="","",'Final List'!P180)</f>
        <v/>
      </c>
      <c r="H409" s="162" t="str">
        <f>IF('Final List'!Q180="","",'Final List'!Q180)</f>
        <v/>
      </c>
    </row>
    <row r="410" spans="1:10" x14ac:dyDescent="0.9">
      <c r="A410" s="162" t="str">
        <f>IF('Final List'!J181="","",'Final List'!J181)</f>
        <v/>
      </c>
      <c r="B410" s="162" t="str">
        <f>IF('Final List'!K181="","",'Final List'!K181)</f>
        <v/>
      </c>
      <c r="C410" s="162" t="str">
        <f>IF('Final List'!L181="","",'Final List'!L181)</f>
        <v/>
      </c>
      <c r="D410" s="162" t="str">
        <f>IF('Final List'!M181="","",'Final List'!M181)</f>
        <v/>
      </c>
      <c r="E410" s="162" t="str">
        <f>IF('Final List'!$N181="","",'Final List'!N181)</f>
        <v/>
      </c>
      <c r="F410" s="162" t="str">
        <f>IF('Final List'!O181="","",'Final List'!O181)</f>
        <v/>
      </c>
      <c r="G410" s="162" t="str">
        <f>IF('Final List'!P181="","",'Final List'!P181)</f>
        <v/>
      </c>
      <c r="H410" s="162" t="str">
        <f>IF('Final List'!Q181="","",'Final List'!Q181)</f>
        <v/>
      </c>
    </row>
    <row r="411" spans="1:10" x14ac:dyDescent="0.9">
      <c r="A411" s="162" t="str">
        <f>IF('Final List'!J182="","",'Final List'!J182)</f>
        <v/>
      </c>
      <c r="B411" s="162" t="str">
        <f>IF('Final List'!K182="","",'Final List'!K182)</f>
        <v/>
      </c>
      <c r="C411" s="162" t="str">
        <f>IF('Final List'!L182="","",'Final List'!L182)</f>
        <v/>
      </c>
      <c r="D411" s="162" t="str">
        <f>IF('Final List'!M182="","",'Final List'!M182)</f>
        <v/>
      </c>
      <c r="E411" s="162" t="str">
        <f>IF('Final List'!$N182="","",'Final List'!N182)</f>
        <v/>
      </c>
      <c r="F411" s="162" t="str">
        <f>IF('Final List'!O182="","",'Final List'!O182)</f>
        <v/>
      </c>
      <c r="G411" s="162" t="str">
        <f>IF('Final List'!P182="","",'Final List'!P182)</f>
        <v/>
      </c>
      <c r="H411" s="162" t="str">
        <f>IF('Final List'!Q182="","",'Final List'!Q182)</f>
        <v/>
      </c>
    </row>
    <row r="412" spans="1:10" x14ac:dyDescent="0.9">
      <c r="A412" s="162" t="str">
        <f>IF('Final List'!J183="","",'Final List'!J183)</f>
        <v/>
      </c>
      <c r="B412" s="162" t="str">
        <f>IF('Final List'!K183="","",'Final List'!K183)</f>
        <v/>
      </c>
      <c r="C412" s="162" t="str">
        <f>IF('Final List'!L183="","",'Final List'!L183)</f>
        <v/>
      </c>
      <c r="D412" s="162" t="str">
        <f>IF('Final List'!M183="","",'Final List'!M183)</f>
        <v/>
      </c>
      <c r="E412" s="162" t="str">
        <f>IF('Final List'!$N183="","",'Final List'!N183)</f>
        <v/>
      </c>
      <c r="F412" s="162" t="str">
        <f>IF('Final List'!O183="","",'Final List'!O183)</f>
        <v/>
      </c>
      <c r="G412" s="162" t="str">
        <f>IF('Final List'!P183="","",'Final List'!P183)</f>
        <v/>
      </c>
      <c r="H412" s="162" t="str">
        <f>IF('Final List'!Q183="","",'Final List'!Q183)</f>
        <v/>
      </c>
    </row>
    <row r="413" spans="1:10" x14ac:dyDescent="0.9">
      <c r="A413" s="162" t="str">
        <f>IF('Final List'!J184="","",'Final List'!J184)</f>
        <v/>
      </c>
      <c r="B413" s="162" t="str">
        <f>IF('Final List'!K184="","",'Final List'!K184)</f>
        <v/>
      </c>
      <c r="C413" s="162" t="str">
        <f>IF('Final List'!L184="","",'Final List'!L184)</f>
        <v/>
      </c>
      <c r="D413" s="162" t="str">
        <f>IF('Final List'!M184="","",'Final List'!M184)</f>
        <v/>
      </c>
      <c r="E413" s="162" t="str">
        <f>IF('Final List'!$N184="","",'Final List'!N184)</f>
        <v/>
      </c>
      <c r="F413" s="162" t="str">
        <f>IF('Final List'!O184="","",'Final List'!O184)</f>
        <v/>
      </c>
      <c r="G413" s="162" t="str">
        <f>IF('Final List'!P184="","",'Final List'!P184)</f>
        <v/>
      </c>
      <c r="H413" s="162" t="str">
        <f>IF('Final List'!Q184="","",'Final List'!Q184)</f>
        <v/>
      </c>
    </row>
    <row r="414" spans="1:10" x14ac:dyDescent="0.9">
      <c r="A414" s="162" t="str">
        <f>IF('Final List'!J185="","",'Final List'!J185)</f>
        <v/>
      </c>
      <c r="B414" s="162" t="str">
        <f>IF('Final List'!K185="","",'Final List'!K185)</f>
        <v/>
      </c>
      <c r="C414" s="162" t="str">
        <f>IF('Final List'!L185="","",'Final List'!L185)</f>
        <v/>
      </c>
      <c r="D414" s="162" t="str">
        <f>IF('Final List'!M185="","",'Final List'!M185)</f>
        <v/>
      </c>
      <c r="E414" s="162" t="str">
        <f>IF('Final List'!$N185="","",'Final List'!N185)</f>
        <v/>
      </c>
      <c r="F414" s="162" t="str">
        <f>IF('Final List'!O185="","",'Final List'!O185)</f>
        <v/>
      </c>
      <c r="G414" s="162" t="str">
        <f>IF('Final List'!P185="","",'Final List'!P185)</f>
        <v/>
      </c>
      <c r="H414" s="162" t="str">
        <f>IF('Final List'!Q185="","",'Final List'!Q185)</f>
        <v/>
      </c>
    </row>
    <row r="415" spans="1:10" x14ac:dyDescent="0.9">
      <c r="A415" s="162" t="str">
        <f>IF('Final List'!J186="","",'Final List'!J186)</f>
        <v/>
      </c>
      <c r="B415" s="162" t="str">
        <f>IF('Final List'!K186="","",'Final List'!K186)</f>
        <v/>
      </c>
      <c r="C415" s="162" t="str">
        <f>IF('Final List'!L186="","",'Final List'!L186)</f>
        <v/>
      </c>
      <c r="D415" s="162" t="str">
        <f>IF('Final List'!M186="","",'Final List'!M186)</f>
        <v/>
      </c>
      <c r="E415" s="162" t="str">
        <f>IF('Final List'!$N186="","",'Final List'!N186)</f>
        <v/>
      </c>
      <c r="F415" s="162" t="str">
        <f>IF('Final List'!O186="","",'Final List'!O186)</f>
        <v/>
      </c>
      <c r="G415" s="162" t="str">
        <f>IF('Final List'!P186="","",'Final List'!P186)</f>
        <v/>
      </c>
      <c r="H415" s="162" t="str">
        <f>IF('Final List'!Q186="","",'Final List'!Q186)</f>
        <v/>
      </c>
    </row>
    <row r="416" spans="1:10" s="78" customFormat="1" ht="198.75" customHeight="1" x14ac:dyDescent="0.9">
      <c r="A416" s="163"/>
      <c r="B416" s="163"/>
      <c r="C416" s="163"/>
      <c r="D416" s="163"/>
      <c r="E416" s="374" t="str">
        <f>E21</f>
        <v xml:space="preserve">            JC VILLARUEL  / MZ CUREG /KN PORLARES/JNS SILVEDERIO /EJ LUMACANG</v>
      </c>
      <c r="F416" s="372"/>
      <c r="G416" s="372"/>
      <c r="H416" s="313"/>
      <c r="I416" s="159"/>
      <c r="J416" s="159"/>
    </row>
    <row r="417" spans="1:12" s="78" customFormat="1" x14ac:dyDescent="0.9">
      <c r="A417" s="163"/>
      <c r="B417" s="163"/>
      <c r="C417" s="163"/>
      <c r="D417" s="163"/>
      <c r="E417" s="365"/>
      <c r="F417" s="365" t="s">
        <v>5322</v>
      </c>
      <c r="G417" s="368"/>
      <c r="H417" s="254"/>
      <c r="I417" s="159"/>
      <c r="J417" s="159"/>
    </row>
    <row r="418" spans="1:12" x14ac:dyDescent="0.9">
      <c r="A418" s="162" t="str">
        <f>IF('Final List'!J143="","",'Final List'!J143)</f>
        <v/>
      </c>
      <c r="B418" s="162" t="str">
        <f>IF('Final List'!K143="","",'Final List'!K143)</f>
        <v/>
      </c>
      <c r="C418" s="162" t="str">
        <f>IF('Final List'!L143="","",'Final List'!L143)</f>
        <v/>
      </c>
      <c r="D418" s="162" t="str">
        <f>IF('Final List'!M143="","",'Final List'!M143)</f>
        <v/>
      </c>
      <c r="E418" s="162" t="str">
        <f>IF('Final List'!N143="","",'Final List'!N143)</f>
        <v/>
      </c>
      <c r="F418" s="162" t="str">
        <f>IF('Final List'!O143="","",'Final List'!O143)</f>
        <v xml:space="preserve">                                                                                                                                                                                                                                                                                                                                                                                                                                                                                                                                                                    </v>
      </c>
      <c r="G418" s="162" t="str">
        <f>IF('Final List'!P143="","",'Final List'!P143)</f>
        <v/>
      </c>
      <c r="H418" s="162" t="str">
        <f>IF('Final List'!Q143="","",'Final List'!Q143)</f>
        <v/>
      </c>
    </row>
    <row r="419" spans="1:12" x14ac:dyDescent="0.9">
      <c r="A419" s="163" t="s">
        <v>211</v>
      </c>
      <c r="B419" s="162"/>
      <c r="C419" s="162" t="s">
        <v>250</v>
      </c>
      <c r="D419" s="162"/>
      <c r="E419" s="162"/>
      <c r="F419" s="162"/>
      <c r="G419" s="162" t="s">
        <v>18</v>
      </c>
      <c r="H419" s="162"/>
    </row>
    <row r="420" spans="1:12" x14ac:dyDescent="0.9">
      <c r="A420" s="160">
        <f>15-COUNTIFS(A387:A401,"")</f>
        <v>3</v>
      </c>
      <c r="B420" s="162"/>
      <c r="C420" s="160">
        <f>15-COUNTIFS(C387:C401,"")</f>
        <v>4</v>
      </c>
      <c r="D420" s="162"/>
      <c r="E420" s="160">
        <f>15-COUNTIFS(E387:E401,"")</f>
        <v>0</v>
      </c>
      <c r="F420" s="162"/>
      <c r="G420" s="160">
        <f>15-COUNTIFS(G387:G401,"")</f>
        <v>4</v>
      </c>
      <c r="H420" s="162"/>
      <c r="I420" s="165" t="s">
        <v>563</v>
      </c>
      <c r="J420" s="165">
        <f>A420+C420+E420+G420+A422+C422+E422+G422</f>
        <v>14</v>
      </c>
    </row>
    <row r="421" spans="1:12" x14ac:dyDescent="0.9">
      <c r="A421" s="162" t="s">
        <v>19</v>
      </c>
      <c r="B421" s="162"/>
      <c r="C421" s="162" t="s">
        <v>20</v>
      </c>
      <c r="D421" s="162"/>
      <c r="E421" s="162" t="s">
        <v>21</v>
      </c>
      <c r="F421" s="162"/>
      <c r="G421" s="162" t="s">
        <v>22</v>
      </c>
      <c r="H421" s="162"/>
      <c r="I421" s="165" t="s">
        <v>6766</v>
      </c>
      <c r="J421" s="165">
        <f>'Final List'!T192</f>
        <v>14</v>
      </c>
    </row>
    <row r="422" spans="1:12" x14ac:dyDescent="0.9">
      <c r="A422" s="160">
        <f>12-COUNTIFS(A404:A415,"")</f>
        <v>1</v>
      </c>
      <c r="B422" s="162"/>
      <c r="C422" s="160">
        <f>12-COUNTIFS(C404:C415,"")</f>
        <v>0</v>
      </c>
      <c r="D422" s="162"/>
      <c r="E422" s="160">
        <f>12-COUNTIFS(E404:E415,"")</f>
        <v>1</v>
      </c>
      <c r="F422" s="162"/>
      <c r="G422" s="160">
        <f>12-COUNTIFS(G404:G415,"")</f>
        <v>1</v>
      </c>
      <c r="H422" s="162"/>
    </row>
    <row r="423" spans="1:12" ht="222" customHeight="1" x14ac:dyDescent="0.9">
      <c r="A423" s="322" t="s">
        <v>14144</v>
      </c>
      <c r="B423" s="321">
        <f ca="1">TODAY()</f>
        <v>46184</v>
      </c>
      <c r="C423" s="160"/>
      <c r="D423" s="160"/>
      <c r="E423" s="160"/>
      <c r="F423" s="160"/>
      <c r="G423" s="160"/>
      <c r="H423" s="323" t="str">
        <f>H384</f>
        <v>Doc.No. : ENG-PLN-FRM-002
Ver. No. : 1
Effectivity: October 25, 2024</v>
      </c>
    </row>
    <row r="424" spans="1:12" x14ac:dyDescent="0.9">
      <c r="A424" s="422" t="s">
        <v>211</v>
      </c>
      <c r="B424" s="422"/>
      <c r="C424" s="422" t="s">
        <v>250</v>
      </c>
      <c r="D424" s="422"/>
      <c r="E424" s="422" t="s">
        <v>251</v>
      </c>
      <c r="F424" s="422"/>
      <c r="G424" s="422" t="s">
        <v>18</v>
      </c>
      <c r="H424" s="422"/>
    </row>
    <row r="425" spans="1:12" x14ac:dyDescent="0.7">
      <c r="A425" s="161" t="s">
        <v>524</v>
      </c>
      <c r="B425" s="161" t="s">
        <v>525</v>
      </c>
      <c r="C425" s="161" t="s">
        <v>524</v>
      </c>
      <c r="D425" s="161" t="s">
        <v>525</v>
      </c>
      <c r="E425" s="161" t="s">
        <v>524</v>
      </c>
      <c r="F425" s="161" t="s">
        <v>525</v>
      </c>
      <c r="G425" s="161" t="s">
        <v>524</v>
      </c>
      <c r="H425" s="161" t="s">
        <v>525</v>
      </c>
    </row>
    <row r="426" spans="1:12" x14ac:dyDescent="0.9">
      <c r="A426" s="162" t="str">
        <f>IF('Final List'!B193="","",'Final List'!B193)</f>
        <v>L425_GHVSPLIT_043E_STOPE PREP</v>
      </c>
      <c r="B426" s="162" t="str">
        <f>IF('Final List'!C193="","",'Final List'!C193)</f>
        <v>ESPINOSA 1</v>
      </c>
      <c r="C426" s="162" t="str">
        <f>IF('Final List'!D193="","",'Final List'!D193)</f>
        <v>L425_GHVHW_071E_STOPE</v>
      </c>
      <c r="D426" s="162" t="str">
        <f>IF('Final List'!E193="","",'Final List'!E193)</f>
        <v>ESPINOSA 4</v>
      </c>
      <c r="E426" s="162" t="str">
        <f>IF('Final List'!F193="","",'Final List'!F193)</f>
        <v>L425_JVFW_041E_STOPE</v>
      </c>
      <c r="F426" s="162" t="str">
        <f>IF('Final List'!G193="","",'Final List'!G193)</f>
        <v>ESPINOSA 1</v>
      </c>
      <c r="G426" s="162" t="str">
        <f>IF('Final List'!H193="","",'Final List'!H193)</f>
        <v>L425_JV_036E_DW</v>
      </c>
      <c r="H426" s="162" t="str">
        <f>IF('Final List'!I193="","",'Final List'!I193)</f>
        <v>OLIVEROS</v>
      </c>
    </row>
    <row r="427" spans="1:12" x14ac:dyDescent="0.9">
      <c r="A427" s="162" t="str">
        <f>IF('Final List'!B194="","",'Final List'!B194)</f>
        <v>L425_GHV_069E_STOPE PREP</v>
      </c>
      <c r="B427" s="162" t="str">
        <f>IF('Final List'!C194="","",'Final List'!C194)</f>
        <v>BAÑEZ</v>
      </c>
      <c r="C427" s="162" t="str">
        <f>IF('Final List'!D194="","",'Final List'!D194)</f>
        <v>L425_GHVHW_062E_STOPE</v>
      </c>
      <c r="D427" s="162" t="str">
        <f>IF('Final List'!E194="","",'Final List'!E194)</f>
        <v>BABOR 3</v>
      </c>
      <c r="E427" s="162" t="str">
        <f>IF('Final List'!F194="","",'Final List'!F194)</f>
        <v>L425_JVFW_042E_STOPE</v>
      </c>
      <c r="F427" s="162" t="str">
        <f>IF('Final List'!G194="","",'Final List'!G194)</f>
        <v>BAÑEZ </v>
      </c>
      <c r="G427" s="162" t="str">
        <f>IF('Final List'!H194="","",'Final List'!H194)</f>
        <v>L425_JVHW_032E_DE</v>
      </c>
      <c r="H427" s="162" t="str">
        <f>IF('Final List'!I194="","",'Final List'!I194)</f>
        <v>LERIO</v>
      </c>
    </row>
    <row r="428" spans="1:12" x14ac:dyDescent="0.9">
      <c r="A428" s="162" t="str">
        <f>IF('Final List'!B195="","",'Final List'!B195)</f>
        <v/>
      </c>
      <c r="B428" s="162" t="str">
        <f>IF('Final List'!C195="","",'Final List'!C195)</f>
        <v/>
      </c>
      <c r="C428" s="162" t="str">
        <f>IF('Final List'!D195="","",'Final List'!D195)</f>
        <v>L425_GHVHW_056E_STOPE</v>
      </c>
      <c r="D428" s="162" t="str">
        <f>IF('Final List'!E195="","",'Final List'!E195)</f>
        <v>BABOR 5</v>
      </c>
      <c r="E428" s="162" t="str">
        <f>IF('Final List'!F195="","",'Final List'!F195)</f>
        <v/>
      </c>
      <c r="F428" s="162" t="str">
        <f>IF('Final List'!G195="","",'Final List'!G195)</f>
        <v/>
      </c>
      <c r="G428" s="162" t="str">
        <f>IF('Final List'!H195="","",'Final List'!H195)</f>
        <v>L425_GHVSPLIT_068E_DE</v>
      </c>
      <c r="H428" s="162" t="str">
        <f>IF('Final List'!I195="","",'Final List'!I195)</f>
        <v>REBOTE</v>
      </c>
    </row>
    <row r="429" spans="1:12" x14ac:dyDescent="0.9">
      <c r="A429" s="162" t="str">
        <f>IF('Final List'!B196="","",'Final List'!B196)</f>
        <v/>
      </c>
      <c r="B429" s="162" t="str">
        <f>IF('Final List'!C196="","",'Final List'!C196)</f>
        <v/>
      </c>
      <c r="C429" s="162" t="str">
        <f>IF('Final List'!D196="","",'Final List'!D196)</f>
        <v>L425_JV_031E_STOPE</v>
      </c>
      <c r="D429" s="162" t="str">
        <f>IF('Final List'!E196="","",'Final List'!E196)</f>
        <v>OLIVEROS</v>
      </c>
      <c r="E429" s="162" t="str">
        <f>IF('Final List'!F196="","",'Final List'!F196)</f>
        <v/>
      </c>
      <c r="F429" s="162" t="str">
        <f>IF('Final List'!G196="","",'Final List'!G196)</f>
        <v/>
      </c>
      <c r="G429" s="162" t="str">
        <f>IF('Final List'!H196="","",'Final List'!H196)</f>
        <v>L425_JVHW_034E_DW</v>
      </c>
      <c r="H429" s="162" t="str">
        <f>IF('Final List'!I196="","",'Final List'!I196)</f>
        <v>OLIVEROS</v>
      </c>
    </row>
    <row r="430" spans="1:12" x14ac:dyDescent="0.9">
      <c r="A430" s="162" t="str">
        <f>IF('Final List'!B197="","",'Final List'!B197)</f>
        <v/>
      </c>
      <c r="B430" s="162" t="str">
        <f>IF('Final List'!C197="","",'Final List'!C197)</f>
        <v/>
      </c>
      <c r="C430" s="162" t="str">
        <f>IF('Final List'!D197="","",'Final List'!D197)</f>
        <v>L425_DPVE_044E_STOPE</v>
      </c>
      <c r="D430" s="162" t="str">
        <f>IF('Final List'!E197="","",'Final List'!E197)</f>
        <v>BAÑEZ </v>
      </c>
      <c r="E430" s="162" t="str">
        <f>IF('Final List'!F197="","",'Final List'!F197)</f>
        <v/>
      </c>
      <c r="F430" s="162" t="str">
        <f>IF('Final List'!G197="","",'Final List'!G197)</f>
        <v/>
      </c>
      <c r="G430" s="162" t="str">
        <f>IF('Final List'!H197="","",'Final List'!H197)</f>
        <v>L425_GHVSPLIT_079E_DE</v>
      </c>
      <c r="H430" s="162" t="str">
        <f>IF('Final List'!I197="","",'Final List'!I197)</f>
        <v>NITRO CO</v>
      </c>
    </row>
    <row r="431" spans="1:12" x14ac:dyDescent="0.9">
      <c r="A431" s="162" t="str">
        <f>IF('Final List'!B198="","",'Final List'!B198)</f>
        <v/>
      </c>
      <c r="B431" s="162" t="str">
        <f>IF('Final List'!C198="","",'Final List'!C198)</f>
        <v/>
      </c>
      <c r="C431" s="162" t="str">
        <f>IF('Final List'!D198="","",'Final List'!D198)</f>
        <v>L425_GHVHW_065E_STOPE</v>
      </c>
      <c r="D431" s="162" t="str">
        <f>IF('Final List'!E198="","",'Final List'!E198)</f>
        <v>BABOR 4</v>
      </c>
      <c r="E431" s="162" t="str">
        <f>IF('Final List'!F198="","",'Final List'!F198)</f>
        <v/>
      </c>
      <c r="F431" s="162" t="str">
        <f>IF('Final List'!G198="","",'Final List'!G198)</f>
        <v/>
      </c>
      <c r="G431" s="162" t="str">
        <f>IF('Final List'!H198="","",'Final List'!H198)</f>
        <v>L425_JVHW_078E_DE</v>
      </c>
      <c r="H431" s="162" t="str">
        <f>IF('Final List'!I198="","",'Final List'!I198)</f>
        <v>DELOS REYES</v>
      </c>
    </row>
    <row r="432" spans="1:12" x14ac:dyDescent="0.9">
      <c r="A432" s="162" t="str">
        <f>IF('Final List'!B199="","",'Final List'!B199)</f>
        <v/>
      </c>
      <c r="B432" s="162" t="str">
        <f>IF('Final List'!C199="","",'Final List'!C199)</f>
        <v/>
      </c>
      <c r="C432" s="162" t="str">
        <f>IF('Final List'!D199="","",'Final List'!D199)</f>
        <v>L425_GHV_058E_STOPE</v>
      </c>
      <c r="D432" s="162" t="str">
        <f>IF('Final List'!E199="","",'Final List'!E199)</f>
        <v>ESPINOSA 2</v>
      </c>
      <c r="E432" s="162" t="str">
        <f>IF('Final List'!F199="","",'Final List'!F199)</f>
        <v/>
      </c>
      <c r="F432" s="162" t="str">
        <f>IF('Final List'!G199="","",'Final List'!G199)</f>
        <v/>
      </c>
      <c r="G432" s="162" t="str">
        <f>IF('Final List'!H199="","",'Final List'!H199)</f>
        <v/>
      </c>
      <c r="H432" s="162" t="str">
        <f>IF('Final List'!I199="","",'Final List'!I199)</f>
        <v/>
      </c>
      <c r="L432">
        <v>0</v>
      </c>
    </row>
    <row r="433" spans="1:8" x14ac:dyDescent="0.9">
      <c r="A433" s="162" t="str">
        <f>IF('Final List'!B200="","",'Final List'!B200)</f>
        <v/>
      </c>
      <c r="B433" s="162" t="str">
        <f>IF('Final List'!C200="","",'Final List'!C200)</f>
        <v/>
      </c>
      <c r="C433" s="162" t="str">
        <f>IF('Final List'!D200="","",'Final List'!D200)</f>
        <v/>
      </c>
      <c r="D433" s="162" t="str">
        <f>IF('Final List'!E200="","",'Final List'!E200)</f>
        <v/>
      </c>
      <c r="E433" s="162" t="str">
        <f>IF('Final List'!F200="","",'Final List'!F200)</f>
        <v/>
      </c>
      <c r="F433" s="162" t="str">
        <f>IF('Final List'!G200="","",'Final List'!G200)</f>
        <v/>
      </c>
      <c r="G433" s="162" t="str">
        <f>IF('Final List'!H200="","",'Final List'!H200)</f>
        <v/>
      </c>
      <c r="H433" s="162" t="str">
        <f>IF('Final List'!I200="","",'Final List'!I200)</f>
        <v/>
      </c>
    </row>
    <row r="434" spans="1:8" x14ac:dyDescent="0.9">
      <c r="A434" s="162" t="str">
        <f>IF('Final List'!B201="","",'Final List'!B201)</f>
        <v/>
      </c>
      <c r="B434" s="162" t="str">
        <f>IF('Final List'!C201="","",'Final List'!C201)</f>
        <v/>
      </c>
      <c r="C434" s="162" t="str">
        <f>IF('Final List'!D201="","",'Final List'!D201)</f>
        <v/>
      </c>
      <c r="D434" s="162" t="str">
        <f>IF('Final List'!E201="","",'Final List'!E201)</f>
        <v/>
      </c>
      <c r="E434" s="162" t="str">
        <f>IF('Final List'!F201="","",'Final List'!F201)</f>
        <v/>
      </c>
      <c r="F434" s="162" t="str">
        <f>IF('Final List'!G201="","",'Final List'!G201)</f>
        <v/>
      </c>
      <c r="G434" s="162" t="str">
        <f>IF('Final List'!H201="","",'Final List'!H201)</f>
        <v/>
      </c>
      <c r="H434" s="162" t="str">
        <f>IF('Final List'!I201="","",'Final List'!I201)</f>
        <v/>
      </c>
    </row>
    <row r="435" spans="1:8" x14ac:dyDescent="0.9">
      <c r="A435" s="162" t="str">
        <f>IF('Final List'!B202="","",'Final List'!B202)</f>
        <v/>
      </c>
      <c r="B435" s="162" t="str">
        <f>IF('Final List'!C202="","",'Final List'!C202)</f>
        <v/>
      </c>
      <c r="C435" s="162" t="str">
        <f>IF('Final List'!D202="","",'Final List'!D202)</f>
        <v/>
      </c>
      <c r="D435" s="162" t="str">
        <f>IF('Final List'!E202="","",'Final List'!E202)</f>
        <v/>
      </c>
      <c r="E435" s="162" t="str">
        <f>IF('Final List'!F202="","",'Final List'!F202)</f>
        <v/>
      </c>
      <c r="F435" s="162" t="str">
        <f>IF('Final List'!G202="","",'Final List'!G202)</f>
        <v/>
      </c>
      <c r="G435" s="162" t="str">
        <f>IF('Final List'!H202="","",'Final List'!H202)</f>
        <v/>
      </c>
      <c r="H435" s="162" t="str">
        <f>IF('Final List'!I202="","",'Final List'!I202)</f>
        <v/>
      </c>
    </row>
    <row r="436" spans="1:8" x14ac:dyDescent="0.9">
      <c r="A436" s="162" t="str">
        <f>IF('Final List'!B203="","",'Final List'!B203)</f>
        <v/>
      </c>
      <c r="B436" s="162" t="str">
        <f>IF('Final List'!C203="","",'Final List'!C203)</f>
        <v/>
      </c>
      <c r="C436" s="162" t="str">
        <f>IF('Final List'!D203="","",'Final List'!D203)</f>
        <v/>
      </c>
      <c r="D436" s="162" t="str">
        <f>IF('Final List'!E203="","",'Final List'!E203)</f>
        <v/>
      </c>
      <c r="E436" s="162" t="str">
        <f>IF('Final List'!F203="","",'Final List'!F203)</f>
        <v/>
      </c>
      <c r="F436" s="162" t="str">
        <f>IF('Final List'!G203="","",'Final List'!G203)</f>
        <v/>
      </c>
      <c r="G436" s="162" t="str">
        <f>IF('Final List'!H203="","",'Final List'!H203)</f>
        <v/>
      </c>
      <c r="H436" s="162" t="str">
        <f>IF('Final List'!I203="","",'Final List'!I203)</f>
        <v/>
      </c>
    </row>
    <row r="437" spans="1:8" x14ac:dyDescent="0.9">
      <c r="A437" s="162" t="str">
        <f>IF('Final List'!B204="","",'Final List'!B204)</f>
        <v/>
      </c>
      <c r="B437" s="162" t="str">
        <f>IF('Final List'!C204="","",'Final List'!C204)</f>
        <v/>
      </c>
      <c r="C437" s="162" t="str">
        <f>IF('Final List'!D204="","",'Final List'!D204)</f>
        <v/>
      </c>
      <c r="D437" s="162" t="str">
        <f>IF('Final List'!E204="","",'Final List'!E204)</f>
        <v/>
      </c>
      <c r="E437" s="162" t="str">
        <f>IF('Final List'!F204="","",'Final List'!F204)</f>
        <v/>
      </c>
      <c r="F437" s="162" t="str">
        <f>IF('Final List'!G204="","",'Final List'!G204)</f>
        <v/>
      </c>
      <c r="G437" s="162" t="str">
        <f>IF('Final List'!H204="","",'Final List'!H204)</f>
        <v/>
      </c>
      <c r="H437" s="162" t="str">
        <f>IF('Final List'!I204="","",'Final List'!I204)</f>
        <v/>
      </c>
    </row>
    <row r="438" spans="1:8" x14ac:dyDescent="0.9">
      <c r="A438" s="162" t="str">
        <f>IF('Final List'!B205="","",'Final List'!B205)</f>
        <v/>
      </c>
      <c r="B438" s="162" t="str">
        <f>IF('Final List'!C205="","",'Final List'!C205)</f>
        <v/>
      </c>
      <c r="C438" s="162" t="str">
        <f>IF('Final List'!D205="","",'Final List'!D205)</f>
        <v/>
      </c>
      <c r="D438" s="162" t="str">
        <f>IF('Final List'!E205="","",'Final List'!E205)</f>
        <v/>
      </c>
      <c r="E438" s="162" t="str">
        <f>IF('Final List'!F205="","",'Final List'!F205)</f>
        <v/>
      </c>
      <c r="F438" s="162" t="str">
        <f>IF('Final List'!G205="","",'Final List'!G205)</f>
        <v/>
      </c>
      <c r="G438" s="162" t="str">
        <f>IF('Final List'!H205="","",'Final List'!H205)</f>
        <v/>
      </c>
      <c r="H438" s="162" t="str">
        <f>IF('Final List'!I205="","",'Final List'!I205)</f>
        <v/>
      </c>
    </row>
    <row r="439" spans="1:8" x14ac:dyDescent="0.9">
      <c r="A439" s="162" t="str">
        <f>IF('Final List'!B206="","",'Final List'!B206)</f>
        <v/>
      </c>
      <c r="B439" s="162" t="str">
        <f>IF('Final List'!C206="","",'Final List'!C206)</f>
        <v/>
      </c>
      <c r="C439" s="162" t="str">
        <f>IF('Final List'!D206="","",'Final List'!D206)</f>
        <v/>
      </c>
      <c r="D439" s="162" t="str">
        <f>IF('Final List'!E206="","",'Final List'!E206)</f>
        <v/>
      </c>
      <c r="E439" s="162" t="str">
        <f>IF('Final List'!F206="","",'Final List'!F206)</f>
        <v/>
      </c>
      <c r="F439" s="162" t="str">
        <f>IF('Final List'!G206="","",'Final List'!G206)</f>
        <v/>
      </c>
      <c r="G439" s="162" t="str">
        <f>IF('Final List'!H206="","",'Final List'!H206)</f>
        <v/>
      </c>
      <c r="H439" s="162" t="str">
        <f>IF('Final List'!I206="","",'Final List'!I206)</f>
        <v/>
      </c>
    </row>
    <row r="440" spans="1:8" ht="57.75" customHeight="1" x14ac:dyDescent="0.9">
      <c r="A440" s="162" t="str">
        <f>IF('Final List'!B207="","",'Final List'!B207)</f>
        <v/>
      </c>
      <c r="B440" s="162" t="str">
        <f>IF('Final List'!C207="","",'Final List'!C207)</f>
        <v/>
      </c>
      <c r="C440" s="162" t="str">
        <f>IF('Final List'!D207="","",'Final List'!D207)</f>
        <v/>
      </c>
      <c r="D440" s="162" t="str">
        <f>IF('Final List'!E207="","",'Final List'!E207)</f>
        <v/>
      </c>
      <c r="E440" s="162" t="str">
        <f>IF('Final List'!F207="","",'Final List'!F207)</f>
        <v/>
      </c>
      <c r="F440" s="162" t="str">
        <f>IF('Final List'!G207="","",'Final List'!G207)</f>
        <v/>
      </c>
      <c r="G440" s="162" t="str">
        <f>IF('Final List'!H207="","",'Final List'!H207)</f>
        <v/>
      </c>
      <c r="H440" s="162" t="str">
        <f>IF('Final List'!I207="","",'Final List'!I207)</f>
        <v/>
      </c>
    </row>
    <row r="441" spans="1:8" x14ac:dyDescent="0.9">
      <c r="A441" s="422" t="s">
        <v>19</v>
      </c>
      <c r="B441" s="422"/>
      <c r="C441" s="422" t="s">
        <v>20</v>
      </c>
      <c r="D441" s="422"/>
      <c r="E441" s="422" t="s">
        <v>21</v>
      </c>
      <c r="F441" s="422"/>
      <c r="G441" s="422" t="s">
        <v>22</v>
      </c>
      <c r="H441" s="422"/>
    </row>
    <row r="442" spans="1:8" x14ac:dyDescent="0.7">
      <c r="A442" s="161" t="s">
        <v>524</v>
      </c>
      <c r="B442" s="161" t="s">
        <v>525</v>
      </c>
      <c r="C442" s="161" t="s">
        <v>524</v>
      </c>
      <c r="D442" s="161" t="s">
        <v>525</v>
      </c>
      <c r="E442" s="161" t="s">
        <v>524</v>
      </c>
      <c r="F442" s="161" t="s">
        <v>525</v>
      </c>
      <c r="G442" s="161" t="s">
        <v>524</v>
      </c>
      <c r="H442" s="161" t="s">
        <v>525</v>
      </c>
    </row>
    <row r="443" spans="1:8" x14ac:dyDescent="0.9">
      <c r="A443" s="162" t="str">
        <f>IF('Final List'!J193="","",'Final List'!J193)</f>
        <v>L425_JVSPLIT_057E_RAISE</v>
      </c>
      <c r="B443" s="162" t="str">
        <f>IF('Final List'!K193="","",'Final List'!K193)</f>
        <v>NITRO CO</v>
      </c>
      <c r="C443" s="162" t="str">
        <f>IF('Final List'!L193="","",'Final List'!L193)</f>
        <v>L425_JVHW_045E_WINZE</v>
      </c>
      <c r="D443" s="162" t="str">
        <f>IF('Final List'!M193="","",'Final List'!M193)</f>
        <v>NITRO CP</v>
      </c>
      <c r="E443" s="162" t="str">
        <f>IF('Final List'!N193="","",'Final List'!N193)</f>
        <v>L425_NONE_075E_XCN</v>
      </c>
      <c r="F443" s="162" t="str">
        <f>IF('Final List'!O193="","",'Final List'!O193)</f>
        <v>BAÑEZ 1</v>
      </c>
      <c r="G443" s="162" t="str">
        <f>IF('Final List'!P193="","",'Final List'!P193)</f>
        <v/>
      </c>
      <c r="H443" s="162" t="str">
        <f>IF('Final List'!Q193="","",'Final List'!Q193)</f>
        <v/>
      </c>
    </row>
    <row r="444" spans="1:8" x14ac:dyDescent="0.9">
      <c r="A444" s="162" t="str">
        <f>IF('Final List'!J194="","",'Final List'!J194)</f>
        <v>L425_JVFW_064E_RAISE</v>
      </c>
      <c r="B444" s="162" t="str">
        <f>IF('Final List'!K194="","",'Final List'!K194)</f>
        <v>DELOS REYES 5</v>
      </c>
      <c r="C444" s="162" t="str">
        <f>IF('Final List'!L194="","",'Final List'!L194)</f>
        <v>L425_GHV_059E_WINZE</v>
      </c>
      <c r="D444" s="162" t="str">
        <f>IF('Final List'!M194="","",'Final List'!M194)</f>
        <v>NITRO CO</v>
      </c>
      <c r="E444" s="162" t="str">
        <f>IF('Final List'!N194="","",'Final List'!N194)</f>
        <v>L425_NONE_070E_XCN</v>
      </c>
      <c r="F444" s="162" t="str">
        <f>IF('Final List'!O194="","",'Final List'!O194)</f>
        <v>BAÑEZ</v>
      </c>
      <c r="G444" s="162" t="str">
        <f>IF('Final List'!P194="","",'Final List'!P194)</f>
        <v/>
      </c>
      <c r="H444" s="162" t="str">
        <f>IF('Final List'!Q194="","",'Final List'!Q194)</f>
        <v/>
      </c>
    </row>
    <row r="445" spans="1:8" x14ac:dyDescent="0.9">
      <c r="A445" s="162" t="str">
        <f>IF('Final List'!J195="","",'Final List'!J195)</f>
        <v>L425_JVSPLIT_067E_RAISE</v>
      </c>
      <c r="B445" s="162" t="str">
        <f>IF('Final List'!K195="","",'Final List'!K195)</f>
        <v>LERIO</v>
      </c>
      <c r="C445" s="162" t="str">
        <f>IF('Final List'!L195="","",'Final List'!L195)</f>
        <v/>
      </c>
      <c r="D445" s="162" t="str">
        <f>IF('Final List'!M195="","",'Final List'!M195)</f>
        <v/>
      </c>
      <c r="E445" s="162" t="str">
        <f>IF('Final List'!N195="","",'Final List'!N195)</f>
        <v/>
      </c>
      <c r="F445" s="162" t="str">
        <f>IF('Final List'!O195="","",'Final List'!O195)</f>
        <v/>
      </c>
      <c r="G445" s="162" t="str">
        <f>IF('Final List'!P195="","",'Final List'!P195)</f>
        <v/>
      </c>
      <c r="H445" s="162" t="str">
        <f>IF('Final List'!Q195="","",'Final List'!Q195)</f>
        <v/>
      </c>
    </row>
    <row r="446" spans="1:8" x14ac:dyDescent="0.9">
      <c r="A446" s="162" t="str">
        <f>IF('Final List'!J196="","",'Final List'!J196)</f>
        <v>L425_DPVE_046E_RAISE</v>
      </c>
      <c r="B446" s="162" t="str">
        <f>IF('Final List'!K196="","",'Final List'!K196)</f>
        <v>BABOR 2</v>
      </c>
      <c r="C446" s="162" t="str">
        <f>IF('Final List'!L196="","",'Final List'!L196)</f>
        <v/>
      </c>
      <c r="D446" s="162" t="str">
        <f>IF('Final List'!M196="","",'Final List'!M196)</f>
        <v/>
      </c>
      <c r="E446" s="162" t="str">
        <f>IF('Final List'!N196="","",'Final List'!N196)</f>
        <v/>
      </c>
      <c r="F446" s="162" t="str">
        <f>IF('Final List'!O196="","",'Final List'!O196)</f>
        <v/>
      </c>
      <c r="G446" s="162" t="str">
        <f>IF('Final List'!P196="","",'Final List'!P196)</f>
        <v/>
      </c>
      <c r="H446" s="162" t="str">
        <f>IF('Final List'!Q196="","",'Final List'!Q196)</f>
        <v/>
      </c>
    </row>
    <row r="447" spans="1:8" x14ac:dyDescent="0.9">
      <c r="A447" s="162" t="str">
        <f>IF('Final List'!J197="","",'Final List'!J197)</f>
        <v>L425_GHV_060E_RAISE</v>
      </c>
      <c r="B447" s="162" t="str">
        <f>IF('Final List'!K197="","",'Final List'!K197)</f>
        <v>OLIVEROS</v>
      </c>
      <c r="C447" s="162" t="str">
        <f>IF('Final List'!L197="","",'Final List'!L197)</f>
        <v/>
      </c>
      <c r="D447" s="162" t="str">
        <f>IF('Final List'!M197="","",'Final List'!M197)</f>
        <v/>
      </c>
      <c r="E447" s="162" t="str">
        <f>IF('Final List'!N197="","",'Final List'!N197)</f>
        <v/>
      </c>
      <c r="F447" s="162" t="str">
        <f>IF('Final List'!O197="","",'Final List'!O197)</f>
        <v/>
      </c>
      <c r="G447" s="162" t="str">
        <f>IF('Final List'!P197="","",'Final List'!P197)</f>
        <v/>
      </c>
      <c r="H447" s="162" t="str">
        <f>IF('Final List'!Q197="","",'Final List'!Q197)</f>
        <v/>
      </c>
    </row>
    <row r="448" spans="1:8" x14ac:dyDescent="0.9">
      <c r="A448" s="162" t="str">
        <f>IF('Final List'!J198="","",'Final List'!J198)</f>
        <v/>
      </c>
      <c r="B448" s="162" t="str">
        <f>IF('Final List'!K198="","",'Final List'!K198)</f>
        <v/>
      </c>
      <c r="C448" s="162" t="str">
        <f>IF('Final List'!L198="","",'Final List'!L198)</f>
        <v/>
      </c>
      <c r="D448" s="162" t="str">
        <f>IF('Final List'!M198="","",'Final List'!M198)</f>
        <v/>
      </c>
      <c r="E448" s="162" t="str">
        <f>IF('Final List'!N198="","",'Final List'!N198)</f>
        <v/>
      </c>
      <c r="F448" s="162" t="str">
        <f>IF('Final List'!O198="","",'Final List'!O198)</f>
        <v/>
      </c>
      <c r="G448" s="162" t="str">
        <f>IF('Final List'!P198="","",'Final List'!P198)</f>
        <v/>
      </c>
      <c r="H448" s="162" t="str">
        <f>IF('Final List'!Q198="","",'Final List'!Q198)</f>
        <v/>
      </c>
    </row>
    <row r="449" spans="1:10" x14ac:dyDescent="0.9">
      <c r="A449" s="162" t="str">
        <f>IF('Final List'!J199="","",'Final List'!J199)</f>
        <v/>
      </c>
      <c r="B449" s="162" t="str">
        <f>IF('Final List'!K199="","",'Final List'!K199)</f>
        <v/>
      </c>
      <c r="C449" s="162" t="str">
        <f>IF('Final List'!L199="","",'Final List'!L199)</f>
        <v/>
      </c>
      <c r="D449" s="162" t="str">
        <f>IF('Final List'!M199="","",'Final List'!M199)</f>
        <v/>
      </c>
      <c r="E449" s="162" t="str">
        <f>IF('Final List'!N199="","",'Final List'!N199)</f>
        <v/>
      </c>
      <c r="F449" s="162" t="str">
        <f>IF('Final List'!O199="","",'Final List'!O199)</f>
        <v/>
      </c>
      <c r="G449" s="162" t="str">
        <f>IF('Final List'!P199="","",'Final List'!P199)</f>
        <v/>
      </c>
      <c r="H449" s="162" t="str">
        <f>IF('Final List'!Q199="","",'Final List'!Q199)</f>
        <v/>
      </c>
    </row>
    <row r="450" spans="1:10" x14ac:dyDescent="0.9">
      <c r="A450" s="162" t="str">
        <f>IF('Final List'!J200="","",'Final List'!J200)</f>
        <v/>
      </c>
      <c r="B450" s="162" t="str">
        <f>IF('Final List'!K200="","",'Final List'!K200)</f>
        <v/>
      </c>
      <c r="C450" s="162" t="str">
        <f>IF('Final List'!L200="","",'Final List'!L200)</f>
        <v/>
      </c>
      <c r="D450" s="162" t="str">
        <f>IF('Final List'!M200="","",'Final List'!M200)</f>
        <v/>
      </c>
      <c r="E450" s="162" t="str">
        <f>IF('Final List'!N200="","",'Final List'!N200)</f>
        <v/>
      </c>
      <c r="F450" s="162" t="str">
        <f>IF('Final List'!O200="","",'Final List'!O200)</f>
        <v/>
      </c>
      <c r="G450" s="162" t="str">
        <f>IF('Final List'!P200="","",'Final List'!P200)</f>
        <v/>
      </c>
      <c r="H450" s="162" t="str">
        <f>IF('Final List'!Q200="","",'Final List'!Q200)</f>
        <v/>
      </c>
    </row>
    <row r="451" spans="1:10" x14ac:dyDescent="0.9">
      <c r="A451" s="162" t="str">
        <f>IF('Final List'!J201="","",'Final List'!J201)</f>
        <v/>
      </c>
      <c r="B451" s="162" t="str">
        <f>IF('Final List'!K201="","",'Final List'!K201)</f>
        <v/>
      </c>
      <c r="C451" s="162" t="str">
        <f>IF('Final List'!L201="","",'Final List'!L201)</f>
        <v/>
      </c>
      <c r="D451" s="162" t="str">
        <f>IF('Final List'!M201="","",'Final List'!M201)</f>
        <v/>
      </c>
      <c r="E451" s="162" t="str">
        <f>IF('Final List'!N201="","",'Final List'!N201)</f>
        <v/>
      </c>
      <c r="F451" s="162" t="str">
        <f>IF('Final List'!O201="","",'Final List'!O201)</f>
        <v/>
      </c>
      <c r="G451" s="162" t="str">
        <f>IF('Final List'!P201="","",'Final List'!P201)</f>
        <v/>
      </c>
      <c r="H451" s="162" t="str">
        <f>IF('Final List'!Q201="","",'Final List'!Q201)</f>
        <v/>
      </c>
    </row>
    <row r="452" spans="1:10" x14ac:dyDescent="0.9">
      <c r="A452" s="162" t="str">
        <f>IF('Final List'!J202="","",'Final List'!J202)</f>
        <v/>
      </c>
      <c r="B452" s="162" t="str">
        <f>IF('Final List'!K202="","",'Final List'!K202)</f>
        <v/>
      </c>
      <c r="C452" s="162" t="str">
        <f>IF('Final List'!L202="","",'Final List'!L202)</f>
        <v/>
      </c>
      <c r="D452" s="162" t="str">
        <f>IF('Final List'!M202="","",'Final List'!M202)</f>
        <v/>
      </c>
      <c r="E452" s="162" t="str">
        <f>IF('Final List'!N202="","",'Final List'!N202)</f>
        <v/>
      </c>
      <c r="F452" s="162" t="str">
        <f>IF('Final List'!O202="","",'Final List'!O202)</f>
        <v/>
      </c>
      <c r="G452" s="162" t="str">
        <f>IF('Final List'!P202="","",'Final List'!P202)</f>
        <v/>
      </c>
      <c r="H452" s="162" t="str">
        <f>IF('Final List'!Q202="","",'Final List'!Q202)</f>
        <v/>
      </c>
    </row>
    <row r="453" spans="1:10" x14ac:dyDescent="0.9">
      <c r="A453" s="162" t="str">
        <f>IF('Final List'!J203="","",'Final List'!J203)</f>
        <v/>
      </c>
      <c r="B453" s="162" t="str">
        <f>IF('Final List'!K203="","",'Final List'!K203)</f>
        <v/>
      </c>
      <c r="C453" s="162" t="str">
        <f>IF('Final List'!L203="","",'Final List'!L203)</f>
        <v/>
      </c>
      <c r="D453" s="162" t="str">
        <f>IF('Final List'!M203="","",'Final List'!M203)</f>
        <v/>
      </c>
      <c r="E453" s="162" t="str">
        <f>IF('Final List'!N203="","",'Final List'!N203)</f>
        <v/>
      </c>
      <c r="F453" s="162" t="str">
        <f>IF('Final List'!O203="","",'Final List'!O203)</f>
        <v/>
      </c>
      <c r="G453" s="162" t="str">
        <f>IF('Final List'!P203="","",'Final List'!P203)</f>
        <v/>
      </c>
      <c r="H453" s="162" t="str">
        <f>IF('Final List'!Q203="","",'Final List'!Q203)</f>
        <v/>
      </c>
    </row>
    <row r="454" spans="1:10" x14ac:dyDescent="0.9">
      <c r="A454" s="162" t="str">
        <f>IF('Final List'!J204="","",'Final List'!J204)</f>
        <v/>
      </c>
      <c r="B454" s="162" t="str">
        <f>IF('Final List'!K204="","",'Final List'!K204)</f>
        <v/>
      </c>
      <c r="C454" s="162" t="str">
        <f>IF('Final List'!L204="","",'Final List'!L204)</f>
        <v/>
      </c>
      <c r="D454" s="162" t="s">
        <v>47</v>
      </c>
      <c r="E454" s="162" t="str">
        <f>IF('Final List'!N204="","",'Final List'!N204)</f>
        <v/>
      </c>
      <c r="F454" s="162" t="str">
        <f>IF('Final List'!O204="","",'Final List'!O204)</f>
        <v/>
      </c>
      <c r="G454" s="162" t="str">
        <f>IF('Final List'!P204="","",'Final List'!P204)</f>
        <v/>
      </c>
      <c r="H454" s="162" t="str">
        <f>IF('Final List'!Q204="","",'Final List'!Q204)</f>
        <v/>
      </c>
    </row>
    <row r="455" spans="1:10" s="78" customFormat="1" ht="198.75" customHeight="1" x14ac:dyDescent="0.9">
      <c r="A455" s="163"/>
      <c r="B455" s="163"/>
      <c r="C455" s="163"/>
      <c r="D455" s="163"/>
      <c r="E455" s="163"/>
      <c r="F455" s="374" t="str">
        <f>E21</f>
        <v xml:space="preserve">            JC VILLARUEL  / MZ CUREG /KN PORLARES/JNS SILVEDERIO /EJ LUMACANG</v>
      </c>
      <c r="G455" s="320"/>
      <c r="H455" s="320"/>
      <c r="I455" s="159"/>
      <c r="J455" s="159"/>
    </row>
    <row r="456" spans="1:10" s="78" customFormat="1" x14ac:dyDescent="0.9">
      <c r="A456" s="163"/>
      <c r="B456" s="163"/>
      <c r="C456" s="163"/>
      <c r="D456" s="163"/>
      <c r="E456" s="163"/>
      <c r="F456" s="366" t="s">
        <v>13726</v>
      </c>
      <c r="G456" s="369"/>
      <c r="H456" s="254"/>
      <c r="I456" s="159"/>
      <c r="J456" s="159"/>
    </row>
    <row r="457" spans="1:10" s="78" customFormat="1" x14ac:dyDescent="0.9">
      <c r="A457" s="163"/>
      <c r="B457" s="163"/>
      <c r="C457" s="163"/>
      <c r="D457" s="163"/>
      <c r="E457" s="163"/>
      <c r="F457" s="366"/>
      <c r="G457" s="369"/>
      <c r="H457" s="254"/>
      <c r="I457" s="159"/>
      <c r="J457" s="159"/>
    </row>
    <row r="458" spans="1:10" x14ac:dyDescent="0.9">
      <c r="A458" s="162" t="str">
        <f>IF('Final List'!J183="","",'Final List'!J183)</f>
        <v/>
      </c>
      <c r="B458" s="162" t="str">
        <f>IF('Final List'!K183="","",'Final List'!K183)</f>
        <v/>
      </c>
      <c r="C458" s="162" t="str">
        <f>IF('Final List'!L183="","",'Final List'!L183)</f>
        <v/>
      </c>
      <c r="D458" s="162" t="str">
        <f>IF('Final List'!M183="","",'Final List'!M183)</f>
        <v/>
      </c>
      <c r="E458" s="162" t="str">
        <f>IF('Final List'!N183="","",'Final List'!N183)</f>
        <v/>
      </c>
      <c r="F458" s="162" t="str">
        <f>IF('Final List'!O183="","",'Final List'!O183)</f>
        <v/>
      </c>
      <c r="G458" s="162" t="str">
        <f>IF('Final List'!P183="","",'Final List'!P183)</f>
        <v/>
      </c>
      <c r="H458" s="162" t="str">
        <f>IF('Final List'!Q183="","",'Final List'!Q183)</f>
        <v/>
      </c>
    </row>
    <row r="459" spans="1:10" x14ac:dyDescent="0.9">
      <c r="A459" s="163" t="s">
        <v>211</v>
      </c>
      <c r="B459" s="162"/>
      <c r="C459" s="162" t="s">
        <v>250</v>
      </c>
      <c r="D459" s="162"/>
      <c r="E459" s="162" t="s">
        <v>251</v>
      </c>
      <c r="F459" s="162"/>
      <c r="G459" s="162" t="s">
        <v>18</v>
      </c>
      <c r="H459" s="162"/>
    </row>
    <row r="460" spans="1:10" x14ac:dyDescent="0.9">
      <c r="A460" s="160">
        <f>15-COUNTIFS(A426:A440,"")</f>
        <v>2</v>
      </c>
      <c r="B460" s="162"/>
      <c r="C460" s="160">
        <f>15-COUNTIFS(C426:C440,"")</f>
        <v>7</v>
      </c>
      <c r="D460" s="162"/>
      <c r="E460" s="160">
        <f>15-COUNTIFS(E426:E440,"")</f>
        <v>2</v>
      </c>
      <c r="F460" s="162"/>
      <c r="G460" s="160">
        <f>15-COUNTIFS(G426:G440,"")</f>
        <v>6</v>
      </c>
      <c r="H460" s="162"/>
      <c r="I460" s="165" t="s">
        <v>563</v>
      </c>
      <c r="J460" s="165">
        <f>A460+C460+E460+G460+A462+C462+E462+G462</f>
        <v>26</v>
      </c>
    </row>
    <row r="461" spans="1:10" x14ac:dyDescent="0.9">
      <c r="A461" s="162" t="s">
        <v>19</v>
      </c>
      <c r="B461" s="162"/>
      <c r="C461" s="162" t="s">
        <v>20</v>
      </c>
      <c r="D461" s="162"/>
      <c r="E461" s="162" t="s">
        <v>21</v>
      </c>
      <c r="F461" s="162"/>
      <c r="G461" s="162" t="s">
        <v>22</v>
      </c>
      <c r="H461" s="162"/>
      <c r="I461" s="165" t="s">
        <v>6766</v>
      </c>
      <c r="J461" s="165">
        <f>'Final List'!T221</f>
        <v>26</v>
      </c>
    </row>
    <row r="462" spans="1:10" x14ac:dyDescent="0.9">
      <c r="A462" s="160">
        <f>12-COUNTIFS(A443:A454,"")</f>
        <v>5</v>
      </c>
      <c r="B462" s="162"/>
      <c r="C462" s="160">
        <f>12-COUNTIFS(C443:C454,"")</f>
        <v>2</v>
      </c>
      <c r="D462" s="162"/>
      <c r="E462" s="160">
        <f>12-COUNTIFS(E443:E454,"")</f>
        <v>2</v>
      </c>
      <c r="F462" s="162"/>
      <c r="G462" s="160">
        <f>12-COUNTIFS(G443:G454,"")</f>
        <v>0</v>
      </c>
      <c r="H462" s="162"/>
    </row>
    <row r="463" spans="1:10" s="78" customFormat="1" x14ac:dyDescent="0.9">
      <c r="A463" s="163"/>
      <c r="B463" s="163"/>
      <c r="C463" s="163"/>
      <c r="D463" s="163"/>
      <c r="E463" s="163"/>
      <c r="F463" s="366"/>
      <c r="G463" s="369"/>
      <c r="H463" s="254"/>
      <c r="I463" s="159"/>
      <c r="J463" s="159"/>
    </row>
    <row r="464" spans="1:10" s="78" customFormat="1" x14ac:dyDescent="0.9">
      <c r="A464" s="163"/>
      <c r="B464" s="163"/>
      <c r="C464" s="163"/>
      <c r="D464" s="163"/>
      <c r="E464" s="163"/>
      <c r="F464" s="366"/>
      <c r="G464" s="369"/>
      <c r="H464" s="254"/>
      <c r="I464" s="159"/>
      <c r="J464" s="159"/>
    </row>
    <row r="465" spans="1:12" ht="222" customHeight="1" x14ac:dyDescent="0.9">
      <c r="A465" s="322" t="s">
        <v>14145</v>
      </c>
      <c r="B465" s="321">
        <f ca="1">TODAY()</f>
        <v>46184</v>
      </c>
      <c r="C465" s="160"/>
      <c r="D465" s="160"/>
      <c r="E465" s="160"/>
      <c r="F465" s="160"/>
      <c r="G465" s="160"/>
      <c r="H465" s="323" t="str">
        <f>H428</f>
        <v>REBOTE</v>
      </c>
    </row>
    <row r="466" spans="1:12" x14ac:dyDescent="0.9">
      <c r="A466" s="422" t="s">
        <v>211</v>
      </c>
      <c r="B466" s="422"/>
      <c r="C466" s="422" t="s">
        <v>250</v>
      </c>
      <c r="D466" s="422"/>
      <c r="E466" s="422" t="s">
        <v>251</v>
      </c>
      <c r="F466" s="422"/>
      <c r="G466" s="422" t="s">
        <v>18</v>
      </c>
      <c r="H466" s="422"/>
    </row>
    <row r="467" spans="1:12" x14ac:dyDescent="0.7">
      <c r="A467" s="161" t="s">
        <v>524</v>
      </c>
      <c r="B467" s="161" t="s">
        <v>525</v>
      </c>
      <c r="C467" s="161" t="s">
        <v>524</v>
      </c>
      <c r="D467" s="161" t="s">
        <v>525</v>
      </c>
      <c r="E467" s="161" t="s">
        <v>524</v>
      </c>
      <c r="F467" s="161" t="s">
        <v>525</v>
      </c>
      <c r="G467" s="161" t="s">
        <v>524</v>
      </c>
      <c r="H467" s="161" t="s">
        <v>525</v>
      </c>
    </row>
    <row r="468" spans="1:12" x14ac:dyDescent="0.9">
      <c r="A468" s="162" t="str">
        <f>IF('Final List'!B222="","",'Final List'!B222)</f>
        <v/>
      </c>
      <c r="B468" s="162" t="str">
        <f>IF('Final List'!C222="","",'Final List'!C222)</f>
        <v/>
      </c>
      <c r="C468" s="162" t="str">
        <f>IF('Final List'!D222="","",'Final List'!D222)</f>
        <v/>
      </c>
      <c r="D468" s="162" t="str">
        <f>IF('Final List'!E222="","",'Final List'!E222)</f>
        <v/>
      </c>
      <c r="E468" s="162" t="str">
        <f>IF('Final List'!F222="","",'Final List'!F222)</f>
        <v/>
      </c>
      <c r="F468" s="162" t="str">
        <f>IF('Final List'!G222="","",'Final List'!G222)</f>
        <v/>
      </c>
      <c r="G468" s="162" t="str">
        <f>IF('Final List'!H222="","",'Final List'!H222)</f>
        <v>L460_GHV_048E_DW</v>
      </c>
      <c r="H468" s="162" t="str">
        <f>IF('Final List'!I222="","",'Final List'!I222)</f>
        <v>DUHIG, R1</v>
      </c>
    </row>
    <row r="469" spans="1:12" x14ac:dyDescent="0.9">
      <c r="A469" s="162" t="str">
        <f>IF('Final List'!B223="","",'Final List'!B223)</f>
        <v/>
      </c>
      <c r="B469" s="162" t="str">
        <f>IF('Final List'!C223="","",'Final List'!C223)</f>
        <v/>
      </c>
      <c r="C469" s="162" t="str">
        <f>IF('Final List'!D223="","",'Final List'!D223)</f>
        <v/>
      </c>
      <c r="D469" s="162" t="str">
        <f>IF('Final List'!E223="","",'Final List'!E223)</f>
        <v/>
      </c>
      <c r="E469" s="162" t="str">
        <f>IF('Final List'!F223="","",'Final List'!F223)</f>
        <v/>
      </c>
      <c r="F469" s="162" t="str">
        <f>IF('Final List'!G223="","",'Final List'!G223)</f>
        <v/>
      </c>
      <c r="G469" s="162" t="str">
        <f>IF('Final List'!H223="","",'Final List'!H223)</f>
        <v>L460_GHVSPLIT_056E_DE</v>
      </c>
      <c r="H469" s="162" t="str">
        <f>IF('Final List'!I223="","",'Final List'!I223)</f>
        <v>DUHIG,P3</v>
      </c>
    </row>
    <row r="470" spans="1:12" x14ac:dyDescent="0.9">
      <c r="A470" s="162" t="str">
        <f>IF('Final List'!B224="","",'Final List'!B224)</f>
        <v/>
      </c>
      <c r="B470" s="162" t="str">
        <f>IF('Final List'!C224="","",'Final List'!C224)</f>
        <v/>
      </c>
      <c r="C470" s="162" t="str">
        <f>IF('Final List'!D224="","",'Final List'!D224)</f>
        <v/>
      </c>
      <c r="D470" s="162" t="str">
        <f>IF('Final List'!E224="","",'Final List'!E224)</f>
        <v/>
      </c>
      <c r="E470" s="162" t="str">
        <f>IF('Final List'!F224="","",'Final List'!F224)</f>
        <v/>
      </c>
      <c r="F470" s="162" t="str">
        <f>IF('Final List'!G224="","",'Final List'!G224)</f>
        <v/>
      </c>
      <c r="G470" s="162" t="str">
        <f>IF('Final List'!H224="","",'Final List'!H224)</f>
        <v>L460_GHV_060E_DE</v>
      </c>
      <c r="H470" s="162" t="str">
        <f>IF('Final List'!I224="","",'Final List'!I224)</f>
        <v>NITRO CL</v>
      </c>
    </row>
    <row r="471" spans="1:12" x14ac:dyDescent="0.9">
      <c r="A471" s="162" t="str">
        <f>IF('Final List'!B225="","",'Final List'!B225)</f>
        <v/>
      </c>
      <c r="B471" s="162" t="str">
        <f>IF('Final List'!C225="","",'Final List'!C225)</f>
        <v/>
      </c>
      <c r="C471" s="162" t="str">
        <f>IF('Final List'!D225="","",'Final List'!D225)</f>
        <v/>
      </c>
      <c r="D471" s="162" t="str">
        <f>IF('Final List'!E225="","",'Final List'!E225)</f>
        <v/>
      </c>
      <c r="E471" s="162" t="str">
        <f>IF('Final List'!F225="","",'Final List'!F225)</f>
        <v/>
      </c>
      <c r="F471" s="162" t="str">
        <f>IF('Final List'!G225="","",'Final List'!G225)</f>
        <v/>
      </c>
      <c r="G471" s="162" t="str">
        <f>IF('Final List'!H225="","",'Final List'!H225)</f>
        <v>L460_GHVSPLIT_054E_DW</v>
      </c>
      <c r="H471" s="162" t="str">
        <f>IF('Final List'!I225="","",'Final List'!I225)</f>
        <v>DUHIG, P3</v>
      </c>
    </row>
    <row r="472" spans="1:12" x14ac:dyDescent="0.9">
      <c r="A472" s="162" t="str">
        <f>IF('Final List'!B226="","",'Final List'!B226)</f>
        <v/>
      </c>
      <c r="B472" s="162" t="str">
        <f>IF('Final List'!C226="","",'Final List'!C226)</f>
        <v/>
      </c>
      <c r="C472" s="162" t="str">
        <f>IF('Final List'!D226="","",'Final List'!D226)</f>
        <v/>
      </c>
      <c r="D472" s="162" t="str">
        <f>IF('Final List'!E226="","",'Final List'!E226)</f>
        <v/>
      </c>
      <c r="E472" s="162" t="str">
        <f>IF('Final List'!F226="","",'Final List'!F226)</f>
        <v/>
      </c>
      <c r="F472" s="162" t="str">
        <f>IF('Final List'!G226="","",'Final List'!G226)</f>
        <v/>
      </c>
      <c r="G472" s="162" t="str">
        <f>IF('Final List'!H226="","",'Final List'!H226)</f>
        <v>L460_GHVSPLIT_062E_DE</v>
      </c>
      <c r="H472" s="162" t="str">
        <f>IF('Final List'!I226="","",'Final List'!I226)</f>
        <v>NITRO CL</v>
      </c>
    </row>
    <row r="473" spans="1:12" x14ac:dyDescent="0.9">
      <c r="A473" s="162" t="str">
        <f>IF('Final List'!B227="","",'Final List'!B227)</f>
        <v/>
      </c>
      <c r="B473" s="162" t="str">
        <f>IF('Final List'!C227="","",'Final List'!C227)</f>
        <v/>
      </c>
      <c r="C473" s="162" t="str">
        <f>IF('Final List'!D227="","",'Final List'!D227)</f>
        <v/>
      </c>
      <c r="D473" s="162" t="str">
        <f>IF('Final List'!E227="","",'Final List'!E227)</f>
        <v/>
      </c>
      <c r="E473" s="162" t="str">
        <f>IF('Final List'!F227="","",'Final List'!F227)</f>
        <v/>
      </c>
      <c r="F473" s="162" t="str">
        <f>IF('Final List'!G227="","",'Final List'!G227)</f>
        <v/>
      </c>
      <c r="G473" s="162" t="str">
        <f>IF('Final List'!H227="","",'Final List'!H227)</f>
        <v/>
      </c>
      <c r="H473" s="162" t="str">
        <f>IF('Final List'!I227="","",'Final List'!I227)</f>
        <v/>
      </c>
    </row>
    <row r="474" spans="1:12" x14ac:dyDescent="0.9">
      <c r="A474" s="162" t="str">
        <f>IF('Final List'!B228="","",'Final List'!B228)</f>
        <v/>
      </c>
      <c r="B474" s="162" t="str">
        <f>IF('Final List'!C228="","",'Final List'!C228)</f>
        <v/>
      </c>
      <c r="C474" s="162" t="str">
        <f>IF('Final List'!D228="","",'Final List'!D228)</f>
        <v/>
      </c>
      <c r="D474" s="162" t="str">
        <f>IF('Final List'!E228="","",'Final List'!E228)</f>
        <v/>
      </c>
      <c r="E474" s="162" t="str">
        <f>IF('Final List'!F228="","",'Final List'!F228)</f>
        <v/>
      </c>
      <c r="F474" s="162" t="str">
        <f>IF('Final List'!G228="","",'Final List'!G228)</f>
        <v/>
      </c>
      <c r="G474" s="162" t="str">
        <f>IF('Final List'!H228="","",'Final List'!H228)</f>
        <v/>
      </c>
      <c r="H474" s="162" t="str">
        <f>IF('Final List'!I228="","",'Final List'!I228)</f>
        <v/>
      </c>
      <c r="L474">
        <v>0</v>
      </c>
    </row>
    <row r="475" spans="1:12" x14ac:dyDescent="0.9">
      <c r="A475" s="162" t="str">
        <f>IF('Final List'!B229="","",'Final List'!B229)</f>
        <v/>
      </c>
      <c r="B475" s="162" t="str">
        <f>IF('Final List'!C229="","",'Final List'!C229)</f>
        <v/>
      </c>
      <c r="C475" s="162" t="str">
        <f>IF('Final List'!D229="","",'Final List'!D229)</f>
        <v/>
      </c>
      <c r="D475" s="162" t="str">
        <f>IF('Final List'!E229="","",'Final List'!E229)</f>
        <v/>
      </c>
      <c r="E475" s="162" t="str">
        <f>IF('Final List'!F229="","",'Final List'!F229)</f>
        <v/>
      </c>
      <c r="F475" s="162" t="str">
        <f>IF('Final List'!G229="","",'Final List'!G229)</f>
        <v/>
      </c>
      <c r="G475" s="162" t="str">
        <f>IF('Final List'!H229="","",'Final List'!H229)</f>
        <v/>
      </c>
      <c r="H475" s="162" t="str">
        <f>IF('Final List'!I229="","",'Final List'!I229)</f>
        <v/>
      </c>
    </row>
    <row r="476" spans="1:12" x14ac:dyDescent="0.9">
      <c r="A476" s="162" t="str">
        <f>IF('Final List'!B230="","",'Final List'!B230)</f>
        <v/>
      </c>
      <c r="B476" s="162" t="str">
        <f>IF('Final List'!C230="","",'Final List'!C230)</f>
        <v/>
      </c>
      <c r="C476" s="162" t="str">
        <f>IF('Final List'!D230="","",'Final List'!D230)</f>
        <v/>
      </c>
      <c r="D476" s="162" t="str">
        <f>IF('Final List'!E230="","",'Final List'!E230)</f>
        <v/>
      </c>
      <c r="E476" s="162" t="str">
        <f>IF('Final List'!F230="","",'Final List'!F230)</f>
        <v/>
      </c>
      <c r="F476" s="162" t="str">
        <f>IF('Final List'!G230="","",'Final List'!G230)</f>
        <v/>
      </c>
      <c r="G476" s="162" t="str">
        <f>IF('Final List'!H230="","",'Final List'!H230)</f>
        <v/>
      </c>
      <c r="H476" s="162" t="str">
        <f>IF('Final List'!I230="","",'Final List'!I230)</f>
        <v/>
      </c>
    </row>
    <row r="477" spans="1:12" x14ac:dyDescent="0.9">
      <c r="A477" s="162" t="str">
        <f>IF('Final List'!B231="","",'Final List'!B231)</f>
        <v/>
      </c>
      <c r="B477" s="162" t="str">
        <f>IF('Final List'!C231="","",'Final List'!C231)</f>
        <v/>
      </c>
      <c r="C477" s="162" t="str">
        <f>IF('Final List'!D231="","",'Final List'!D231)</f>
        <v/>
      </c>
      <c r="D477" s="162" t="str">
        <f>IF('Final List'!E231="","",'Final List'!E231)</f>
        <v/>
      </c>
      <c r="E477" s="162" t="str">
        <f>IF('Final List'!F231="","",'Final List'!F231)</f>
        <v/>
      </c>
      <c r="F477" s="162" t="str">
        <f>IF('Final List'!G231="","",'Final List'!G231)</f>
        <v/>
      </c>
      <c r="G477" s="162" t="str">
        <f>IF('Final List'!H231="","",'Final List'!H231)</f>
        <v/>
      </c>
      <c r="H477" s="162" t="str">
        <f>IF('Final List'!I231="","",'Final List'!I231)</f>
        <v/>
      </c>
    </row>
    <row r="478" spans="1:12" x14ac:dyDescent="0.9">
      <c r="A478" s="162" t="str">
        <f>IF('Final List'!B232="","",'Final List'!B232)</f>
        <v/>
      </c>
      <c r="B478" s="162" t="str">
        <f>IF('Final List'!C232="","",'Final List'!C232)</f>
        <v/>
      </c>
      <c r="C478" s="162" t="str">
        <f>IF('Final List'!D232="","",'Final List'!D232)</f>
        <v/>
      </c>
      <c r="D478" s="162" t="str">
        <f>IF('Final List'!E232="","",'Final List'!E232)</f>
        <v/>
      </c>
      <c r="E478" s="162" t="str">
        <f>IF('Final List'!F232="","",'Final List'!F232)</f>
        <v/>
      </c>
      <c r="F478" s="162" t="str">
        <f>IF('Final List'!G232="","",'Final List'!G232)</f>
        <v/>
      </c>
      <c r="G478" s="162" t="str">
        <f>IF('Final List'!H232="","",'Final List'!H232)</f>
        <v/>
      </c>
      <c r="H478" s="162" t="str">
        <f>IF('Final List'!I232="","",'Final List'!I232)</f>
        <v/>
      </c>
    </row>
    <row r="479" spans="1:12" x14ac:dyDescent="0.9">
      <c r="A479" s="162" t="str">
        <f>IF('Final List'!B233="","",'Final List'!B233)</f>
        <v/>
      </c>
      <c r="B479" s="162" t="str">
        <f>IF('Final List'!C233="","",'Final List'!C233)</f>
        <v/>
      </c>
      <c r="C479" s="162" t="str">
        <f>IF('Final List'!D233="","",'Final List'!D233)</f>
        <v/>
      </c>
      <c r="D479" s="162" t="str">
        <f>IF('Final List'!E233="","",'Final List'!E233)</f>
        <v/>
      </c>
      <c r="E479" s="162" t="str">
        <f>IF('Final List'!F233="","",'Final List'!F233)</f>
        <v/>
      </c>
      <c r="F479" s="162" t="str">
        <f>IF('Final List'!G233="","",'Final List'!G233)</f>
        <v/>
      </c>
      <c r="G479" s="162" t="str">
        <f>IF('Final List'!H233="","",'Final List'!H233)</f>
        <v/>
      </c>
      <c r="H479" s="162" t="str">
        <f>IF('Final List'!I233="","",'Final List'!I233)</f>
        <v/>
      </c>
    </row>
    <row r="480" spans="1:12" x14ac:dyDescent="0.9">
      <c r="A480" s="162" t="str">
        <f>IF('Final List'!B234="","",'Final List'!B234)</f>
        <v/>
      </c>
      <c r="B480" s="162" t="str">
        <f>IF('Final List'!C234="","",'Final List'!C234)</f>
        <v/>
      </c>
      <c r="C480" s="162" t="str">
        <f>IF('Final List'!D234="","",'Final List'!D234)</f>
        <v/>
      </c>
      <c r="D480" s="162" t="str">
        <f>IF('Final List'!E234="","",'Final List'!E234)</f>
        <v/>
      </c>
      <c r="E480" s="162" t="str">
        <f>IF('Final List'!F234="","",'Final List'!F234)</f>
        <v/>
      </c>
      <c r="F480" s="162" t="str">
        <f>IF('Final List'!G234="","",'Final List'!G234)</f>
        <v/>
      </c>
      <c r="G480" s="162" t="str">
        <f>IF('Final List'!H234="","",'Final List'!H234)</f>
        <v/>
      </c>
      <c r="H480" s="162" t="str">
        <f>IF('Final List'!I234="","",'Final List'!I234)</f>
        <v/>
      </c>
    </row>
    <row r="481" spans="1:8" x14ac:dyDescent="0.9">
      <c r="A481" s="162" t="str">
        <f>IF('Final List'!B235="","",'Final List'!B235)</f>
        <v/>
      </c>
      <c r="B481" s="162" t="str">
        <f>IF('Final List'!C235="","",'Final List'!C235)</f>
        <v/>
      </c>
      <c r="C481" s="162" t="str">
        <f>IF('Final List'!D235="","",'Final List'!D235)</f>
        <v/>
      </c>
      <c r="D481" s="162" t="str">
        <f>IF('Final List'!E235="","",'Final List'!E235)</f>
        <v/>
      </c>
      <c r="E481" s="162" t="str">
        <f>IF('Final List'!F235="","",'Final List'!F235)</f>
        <v/>
      </c>
      <c r="F481" s="162" t="str">
        <f>IF('Final List'!G235="","",'Final List'!G235)</f>
        <v/>
      </c>
      <c r="G481" s="162" t="str">
        <f>IF('Final List'!H235="","",'Final List'!H235)</f>
        <v/>
      </c>
      <c r="H481" s="162" t="str">
        <f>IF('Final List'!I235="","",'Final List'!I235)</f>
        <v/>
      </c>
    </row>
    <row r="482" spans="1:8" x14ac:dyDescent="0.9">
      <c r="A482" s="162" t="str">
        <f>IF('Final List'!B236="","",'Final List'!B236)</f>
        <v/>
      </c>
      <c r="B482" s="162" t="str">
        <f>IF('Final List'!C236="","",'Final List'!C236)</f>
        <v/>
      </c>
      <c r="C482" s="162" t="str">
        <f>IF('Final List'!D236="","",'Final List'!D236)</f>
        <v/>
      </c>
      <c r="D482" s="162" t="str">
        <f>IF('Final List'!E236="","",'Final List'!E236)</f>
        <v/>
      </c>
      <c r="E482" s="162" t="str">
        <f>IF('Final List'!F236="","",'Final List'!F236)</f>
        <v/>
      </c>
      <c r="F482" s="162" t="str">
        <f>IF('Final List'!G236="","",'Final List'!G236)</f>
        <v/>
      </c>
      <c r="G482" s="162" t="str">
        <f>IF('Final List'!H236="","",'Final List'!H236)</f>
        <v/>
      </c>
      <c r="H482" s="162" t="str">
        <f>IF('Final List'!I236="","",'Final List'!I236)</f>
        <v/>
      </c>
    </row>
    <row r="483" spans="1:8" x14ac:dyDescent="0.9">
      <c r="A483" s="422" t="s">
        <v>19</v>
      </c>
      <c r="B483" s="422"/>
      <c r="C483" s="422" t="s">
        <v>20</v>
      </c>
      <c r="D483" s="422"/>
      <c r="E483" s="422" t="s">
        <v>21</v>
      </c>
      <c r="F483" s="422"/>
      <c r="G483" s="422" t="s">
        <v>22</v>
      </c>
      <c r="H483" s="422"/>
    </row>
    <row r="484" spans="1:8" x14ac:dyDescent="0.7">
      <c r="A484" s="161" t="s">
        <v>524</v>
      </c>
      <c r="B484" s="161" t="s">
        <v>525</v>
      </c>
      <c r="C484" s="161" t="s">
        <v>524</v>
      </c>
      <c r="D484" s="161" t="s">
        <v>525</v>
      </c>
      <c r="E484" s="161" t="s">
        <v>524</v>
      </c>
      <c r="F484" s="161" t="s">
        <v>525</v>
      </c>
      <c r="G484" s="161" t="s">
        <v>524</v>
      </c>
      <c r="H484" s="161" t="s">
        <v>525</v>
      </c>
    </row>
    <row r="485" spans="1:8" x14ac:dyDescent="0.9">
      <c r="A485" s="162" t="str">
        <f>IF('Final List'!J222="","",'Final List'!J222)</f>
        <v>L460_GHVSPLIT_052E_RAISE</v>
      </c>
      <c r="B485" s="162" t="str">
        <f>IF('Final List'!K222="","",'Final List'!K222)</f>
        <v>DUHIG, P3</v>
      </c>
      <c r="C485" s="162" t="str">
        <f>IF('Final List'!L222="","",'Final List'!L222)</f>
        <v/>
      </c>
      <c r="D485" s="162" t="str">
        <f>IF('Final List'!M222="","",'Final List'!M222)</f>
        <v/>
      </c>
      <c r="E485" s="162" t="str">
        <f>IF('Final List'!N222="","",'Final List'!N222)</f>
        <v>L460_NONE_050E_XCN</v>
      </c>
      <c r="F485" s="162" t="str">
        <f>IF('Final List'!O222="","",'Final List'!O222)</f>
        <v>DUHIG P1</v>
      </c>
      <c r="G485" s="162" t="str">
        <f>IF('Final List'!P222="","",'Final List'!P222)</f>
        <v/>
      </c>
      <c r="H485" s="162" t="str">
        <f>IF('Final List'!Q222="","",'Final List'!Q222)</f>
        <v/>
      </c>
    </row>
    <row r="486" spans="1:8" x14ac:dyDescent="0.9">
      <c r="A486" s="162" t="str">
        <f>IF('Final List'!J223="","",'Final List'!J223)</f>
        <v/>
      </c>
      <c r="B486" s="162" t="str">
        <f>IF('Final List'!K223="","",'Final List'!K223)</f>
        <v/>
      </c>
      <c r="C486" s="162" t="str">
        <f>IF('Final List'!L223="","",'Final List'!L223)</f>
        <v/>
      </c>
      <c r="D486" s="162" t="str">
        <f>IF('Final List'!M223="","",'Final List'!M223)</f>
        <v/>
      </c>
      <c r="E486" s="162" t="str">
        <f>IF('Final List'!N223="","",'Final List'!N223)</f>
        <v>L460_NONE_049E_XCN</v>
      </c>
      <c r="F486" s="162" t="str">
        <f>IF('Final List'!O223="","",'Final List'!O223)</f>
        <v>DUHIG P2</v>
      </c>
      <c r="G486" s="162" t="str">
        <f>IF('Final List'!P223="","",'Final List'!P223)</f>
        <v/>
      </c>
      <c r="H486" s="162" t="str">
        <f>IF('Final List'!Q223="","",'Final List'!Q223)</f>
        <v/>
      </c>
    </row>
    <row r="487" spans="1:8" x14ac:dyDescent="0.9">
      <c r="A487" s="162" t="str">
        <f>IF('Final List'!J224="","",'Final List'!J224)</f>
        <v/>
      </c>
      <c r="B487" s="162" t="str">
        <f>IF('Final List'!K224="","",'Final List'!K224)</f>
        <v/>
      </c>
      <c r="C487" s="162" t="str">
        <f>IF('Final List'!L224="","",'Final List'!L224)</f>
        <v/>
      </c>
      <c r="D487" s="162" t="str">
        <f>IF('Final List'!M224="","",'Final List'!M224)</f>
        <v/>
      </c>
      <c r="E487" s="162" t="str">
        <f>IF('Final List'!N224="","",'Final List'!N224)</f>
        <v/>
      </c>
      <c r="F487" s="162" t="str">
        <f>IF('Final List'!O224="","",'Final List'!O224)</f>
        <v/>
      </c>
      <c r="G487" s="162" t="str">
        <f>IF('Final List'!P224="","",'Final List'!P224)</f>
        <v/>
      </c>
      <c r="H487" s="162" t="str">
        <f>IF('Final List'!Q224="","",'Final List'!Q224)</f>
        <v/>
      </c>
    </row>
    <row r="488" spans="1:8" x14ac:dyDescent="0.9">
      <c r="A488" s="162" t="str">
        <f>IF('Final List'!J225="","",'Final List'!J225)</f>
        <v/>
      </c>
      <c r="B488" s="162" t="str">
        <f>IF('Final List'!K225="","",'Final List'!K225)</f>
        <v/>
      </c>
      <c r="C488" s="162" t="str">
        <f>IF('Final List'!L225="","",'Final List'!L225)</f>
        <v/>
      </c>
      <c r="D488" s="162" t="str">
        <f>IF('Final List'!M225="","",'Final List'!M225)</f>
        <v/>
      </c>
      <c r="E488" s="162" t="str">
        <f>IF('Final List'!N225="","",'Final List'!N225)</f>
        <v/>
      </c>
      <c r="F488" s="162" t="str">
        <f>IF('Final List'!O225="","",'Final List'!O225)</f>
        <v/>
      </c>
      <c r="G488" s="162" t="str">
        <f>IF('Final List'!P225="","",'Final List'!P225)</f>
        <v/>
      </c>
      <c r="H488" s="162" t="str">
        <f>IF('Final List'!Q225="","",'Final List'!Q225)</f>
        <v/>
      </c>
    </row>
    <row r="489" spans="1:8" x14ac:dyDescent="0.9">
      <c r="A489" s="162" t="str">
        <f>IF('Final List'!J226="","",'Final List'!J226)</f>
        <v/>
      </c>
      <c r="B489" s="162" t="str">
        <f>IF('Final List'!K226="","",'Final List'!K226)</f>
        <v/>
      </c>
      <c r="C489" s="162" t="str">
        <f>IF('Final List'!L226="","",'Final List'!L226)</f>
        <v/>
      </c>
      <c r="D489" s="162" t="str">
        <f>IF('Final List'!M226="","",'Final List'!M226)</f>
        <v/>
      </c>
      <c r="E489" s="162" t="str">
        <f>IF('Final List'!N226="","",'Final List'!N226)</f>
        <v/>
      </c>
      <c r="F489" s="162" t="str">
        <f>IF('Final List'!O226="","",'Final List'!O226)</f>
        <v/>
      </c>
      <c r="G489" s="162" t="str">
        <f>IF('Final List'!P226="","",'Final List'!P226)</f>
        <v/>
      </c>
      <c r="H489" s="162" t="str">
        <f>IF('Final List'!Q226="","",'Final List'!Q226)</f>
        <v/>
      </c>
    </row>
    <row r="490" spans="1:8" x14ac:dyDescent="0.9">
      <c r="A490" s="162" t="str">
        <f>IF('Final List'!J227="","",'Final List'!J227)</f>
        <v/>
      </c>
      <c r="B490" s="162" t="str">
        <f>IF('Final List'!K227="","",'Final List'!K227)</f>
        <v/>
      </c>
      <c r="C490" s="162" t="str">
        <f>IF('Final List'!L227="","",'Final List'!L227)</f>
        <v/>
      </c>
      <c r="D490" s="162" t="str">
        <f>IF('Final List'!M227="","",'Final List'!M227)</f>
        <v/>
      </c>
      <c r="E490" s="162" t="str">
        <f>IF('Final List'!N227="","",'Final List'!N227)</f>
        <v/>
      </c>
      <c r="F490" s="162" t="str">
        <f>IF('Final List'!O227="","",'Final List'!O227)</f>
        <v/>
      </c>
      <c r="G490" s="162" t="str">
        <f>IF('Final List'!P227="","",'Final List'!P227)</f>
        <v/>
      </c>
      <c r="H490" s="162" t="str">
        <f>IF('Final List'!Q227="","",'Final List'!Q227)</f>
        <v/>
      </c>
    </row>
    <row r="491" spans="1:8" x14ac:dyDescent="0.9">
      <c r="A491" s="162" t="str">
        <f>IF('Final List'!J228="","",'Final List'!J228)</f>
        <v/>
      </c>
      <c r="B491" s="162" t="str">
        <f>IF('Final List'!K228="","",'Final List'!K228)</f>
        <v/>
      </c>
      <c r="C491" s="162" t="str">
        <f>IF('Final List'!L228="","",'Final List'!L228)</f>
        <v/>
      </c>
      <c r="D491" s="162" t="str">
        <f>IF('Final List'!M228="","",'Final List'!M228)</f>
        <v/>
      </c>
      <c r="E491" s="162" t="str">
        <f>IF('Final List'!N228="","",'Final List'!N228)</f>
        <v/>
      </c>
      <c r="F491" s="162" t="str">
        <f>IF('Final List'!O228="","",'Final List'!O228)</f>
        <v/>
      </c>
      <c r="G491" s="162" t="str">
        <f>IF('Final List'!P228="","",'Final List'!P228)</f>
        <v/>
      </c>
      <c r="H491" s="162" t="str">
        <f>IF('Final List'!Q228="","",'Final List'!Q228)</f>
        <v/>
      </c>
    </row>
    <row r="492" spans="1:8" x14ac:dyDescent="0.9">
      <c r="A492" s="162" t="str">
        <f>IF('Final List'!J229="","",'Final List'!J229)</f>
        <v/>
      </c>
      <c r="B492" s="162" t="str">
        <f>IF('Final List'!K229="","",'Final List'!K229)</f>
        <v/>
      </c>
      <c r="C492" s="162" t="str">
        <f>IF('Final List'!L229="","",'Final List'!L229)</f>
        <v/>
      </c>
      <c r="D492" s="162" t="str">
        <f>IF('Final List'!M229="","",'Final List'!M229)</f>
        <v/>
      </c>
      <c r="E492" s="162" t="str">
        <f>IF('Final List'!N229="","",'Final List'!N229)</f>
        <v/>
      </c>
      <c r="F492" s="162" t="str">
        <f>IF('Final List'!O229="","",'Final List'!O229)</f>
        <v/>
      </c>
      <c r="G492" s="162" t="str">
        <f>IF('Final List'!P229="","",'Final List'!P229)</f>
        <v/>
      </c>
      <c r="H492" s="162" t="str">
        <f>IF('Final List'!Q229="","",'Final List'!Q229)</f>
        <v/>
      </c>
    </row>
    <row r="493" spans="1:8" x14ac:dyDescent="0.9">
      <c r="A493" s="162" t="str">
        <f>IF('Final List'!J230="","",'Final List'!J230)</f>
        <v/>
      </c>
      <c r="B493" s="162" t="str">
        <f>IF('Final List'!K230="","",'Final List'!K230)</f>
        <v/>
      </c>
      <c r="C493" s="162" t="str">
        <f>IF('Final List'!L230="","",'Final List'!L230)</f>
        <v/>
      </c>
      <c r="D493" s="162" t="str">
        <f>IF('Final List'!M230="","",'Final List'!M230)</f>
        <v/>
      </c>
      <c r="E493" s="162" t="str">
        <f>IF('Final List'!N230="","",'Final List'!N230)</f>
        <v/>
      </c>
      <c r="F493" s="162" t="str">
        <f>IF('Final List'!O230="","",'Final List'!O230)</f>
        <v/>
      </c>
      <c r="G493" s="162" t="str">
        <f>IF('Final List'!P230="","",'Final List'!P230)</f>
        <v/>
      </c>
      <c r="H493" s="162" t="str">
        <f>IF('Final List'!Q230="","",'Final List'!Q230)</f>
        <v/>
      </c>
    </row>
    <row r="494" spans="1:8" x14ac:dyDescent="0.9">
      <c r="A494" s="162" t="str">
        <f>IF('Final List'!J231="","",'Final List'!J231)</f>
        <v/>
      </c>
      <c r="B494" s="162" t="str">
        <f>IF('Final List'!K231="","",'Final List'!K231)</f>
        <v/>
      </c>
      <c r="C494" s="162" t="str">
        <f>IF('Final List'!L231="","",'Final List'!L231)</f>
        <v/>
      </c>
      <c r="D494" s="162" t="str">
        <f>IF('Final List'!M231="","",'Final List'!M231)</f>
        <v/>
      </c>
      <c r="E494" s="162" t="str">
        <f>IF('Final List'!N231="","",'Final List'!N231)</f>
        <v/>
      </c>
      <c r="F494" s="162" t="str">
        <f>IF('Final List'!O231="","",'Final List'!O231)</f>
        <v/>
      </c>
      <c r="G494" s="162" t="str">
        <f>IF('Final List'!P231="","",'Final List'!P231)</f>
        <v/>
      </c>
      <c r="H494" s="162" t="str">
        <f>IF('Final List'!Q231="","",'Final List'!Q231)</f>
        <v/>
      </c>
    </row>
    <row r="495" spans="1:8" x14ac:dyDescent="0.9">
      <c r="A495" s="162" t="str">
        <f>IF('Final List'!J232="","",'Final List'!J232)</f>
        <v/>
      </c>
      <c r="B495" s="162" t="str">
        <f>IF('Final List'!K232="","",'Final List'!K232)</f>
        <v/>
      </c>
      <c r="C495" s="162" t="str">
        <f>IF('Final List'!L232="","",'Final List'!L232)</f>
        <v/>
      </c>
      <c r="D495" s="162" t="str">
        <f>IF('Final List'!M232="","",'Final List'!M232)</f>
        <v/>
      </c>
      <c r="E495" s="162" t="str">
        <f>IF('Final List'!N232="","",'Final List'!N232)</f>
        <v/>
      </c>
      <c r="F495" s="162" t="str">
        <f>IF('Final List'!O232="","",'Final List'!O232)</f>
        <v/>
      </c>
      <c r="G495" s="162" t="str">
        <f>IF('Final List'!P232="","",'Final List'!P232)</f>
        <v/>
      </c>
      <c r="H495" s="162" t="str">
        <f>IF('Final List'!Q232="","",'Final List'!Q232)</f>
        <v/>
      </c>
    </row>
    <row r="496" spans="1:8" x14ac:dyDescent="0.9">
      <c r="A496" s="162" t="str">
        <f>IF('Final List'!J233="","",'Final List'!J233)</f>
        <v/>
      </c>
      <c r="B496" s="162" t="str">
        <f>IF('Final List'!K233="","",'Final List'!K233)</f>
        <v/>
      </c>
      <c r="C496" s="162" t="str">
        <f>IF('Final List'!L233="","",'Final List'!L233)</f>
        <v/>
      </c>
      <c r="D496" s="162" t="str">
        <f>IF('Final List'!M233="","",'Final List'!M233)</f>
        <v/>
      </c>
      <c r="E496" s="162" t="str">
        <f>IF('Final List'!N233="","",'Final List'!N233)</f>
        <v/>
      </c>
      <c r="F496" s="162" t="str">
        <f>IF('Final List'!O233="","",'Final List'!O233)</f>
        <v/>
      </c>
      <c r="G496" s="162" t="str">
        <f>IF('Final List'!P233="","",'Final List'!P233)</f>
        <v/>
      </c>
      <c r="H496" s="162" t="str">
        <f>IF('Final List'!Q233="","",'Final List'!Q233)</f>
        <v/>
      </c>
    </row>
    <row r="497" spans="1:10" x14ac:dyDescent="0.9">
      <c r="A497" s="162" t="str">
        <f>IF('Final List'!J234="","",'Final List'!J234)</f>
        <v/>
      </c>
      <c r="B497" s="162" t="str">
        <f>IF('Final List'!K234="","",'Final List'!K234)</f>
        <v/>
      </c>
      <c r="C497" s="162" t="str">
        <f>IF('Final List'!L234="","",'Final List'!L234)</f>
        <v/>
      </c>
      <c r="D497" s="162" t="str">
        <f>IF('Final List'!M234="","",'Final List'!M234)</f>
        <v/>
      </c>
      <c r="E497" s="162" t="str">
        <f>IF('Final List'!N234="","",'Final List'!N234)</f>
        <v/>
      </c>
      <c r="F497" s="162" t="str">
        <f>IF('Final List'!O234="","",'Final List'!O234)</f>
        <v/>
      </c>
      <c r="G497" s="162" t="str">
        <f>IF('Final List'!P234="","",'Final List'!P234)</f>
        <v/>
      </c>
      <c r="H497" s="162" t="str">
        <f>IF('Final List'!Q234="","",'Final List'!Q234)</f>
        <v/>
      </c>
    </row>
    <row r="498" spans="1:10" x14ac:dyDescent="0.9">
      <c r="A498" s="162" t="str">
        <f>IF('Final List'!J235="","",'Final List'!J235)</f>
        <v/>
      </c>
      <c r="B498" s="162" t="str">
        <f>IF('Final List'!K235="","",'Final List'!K235)</f>
        <v/>
      </c>
      <c r="C498" s="162" t="str">
        <f>IF('Final List'!L235="","",'Final List'!L235)</f>
        <v/>
      </c>
      <c r="D498" s="162" t="str">
        <f>IF('Final List'!M235="","",'Final List'!M235)</f>
        <v/>
      </c>
      <c r="E498" s="162" t="str">
        <f>IF('Final List'!N235="","",'Final List'!N235)</f>
        <v/>
      </c>
      <c r="F498" s="162" t="str">
        <f>IF('Final List'!O235="","",'Final List'!O235)</f>
        <v/>
      </c>
      <c r="G498" s="162" t="str">
        <f>IF('Final List'!P235="","",'Final List'!P235)</f>
        <v/>
      </c>
      <c r="H498" s="162" t="str">
        <f>IF('Final List'!Q235="","",'Final List'!Q235)</f>
        <v/>
      </c>
    </row>
    <row r="499" spans="1:10" x14ac:dyDescent="0.9">
      <c r="A499" s="162" t="str">
        <f>IF('Final List'!J236="","",'Final List'!J236)</f>
        <v/>
      </c>
      <c r="B499" s="162" t="str">
        <f>IF('Final List'!K236="","",'Final List'!K236)</f>
        <v/>
      </c>
      <c r="C499" s="162" t="str">
        <f>IF('Final List'!L236="","",'Final List'!L236)</f>
        <v/>
      </c>
      <c r="D499" s="162" t="str">
        <f>IF('Final List'!M236="","",'Final List'!M236)</f>
        <v/>
      </c>
      <c r="E499" s="162" t="str">
        <f>IF('Final List'!N236="","",'Final List'!N236)</f>
        <v/>
      </c>
      <c r="F499" s="162" t="str">
        <f>IF('Final List'!O236="","",'Final List'!O236)</f>
        <v/>
      </c>
      <c r="G499" s="162" t="str">
        <f>IF('Final List'!P236="","",'Final List'!P236)</f>
        <v/>
      </c>
      <c r="H499" s="162" t="str">
        <f>IF('Final List'!Q236="","",'Final List'!Q236)</f>
        <v/>
      </c>
    </row>
    <row r="500" spans="1:10" s="78" customFormat="1" ht="198.75" customHeight="1" x14ac:dyDescent="0.9">
      <c r="A500" s="163"/>
      <c r="B500" s="163"/>
      <c r="C500" s="163"/>
      <c r="D500" s="163"/>
      <c r="E500" s="163"/>
      <c r="F500" s="374" t="str">
        <f>E21</f>
        <v xml:space="preserve">            JC VILLARUEL  / MZ CUREG /KN PORLARES/JNS SILVEDERIO /EJ LUMACANG</v>
      </c>
      <c r="G500" s="320"/>
      <c r="H500" s="320"/>
      <c r="I500" s="159"/>
      <c r="J500" s="159"/>
    </row>
    <row r="501" spans="1:10" s="78" customFormat="1" x14ac:dyDescent="0.9">
      <c r="A501" s="163"/>
      <c r="B501" s="163"/>
      <c r="C501" s="163"/>
      <c r="D501" s="163"/>
      <c r="E501" s="163"/>
      <c r="F501" s="366" t="s">
        <v>13726</v>
      </c>
      <c r="G501" s="369"/>
      <c r="H501" s="254"/>
      <c r="I501" s="159"/>
      <c r="J501" s="159"/>
    </row>
    <row r="502" spans="1:10" s="78" customFormat="1" x14ac:dyDescent="0.9">
      <c r="A502" s="163"/>
      <c r="B502" s="163"/>
      <c r="C502" s="163"/>
      <c r="D502" s="163"/>
      <c r="E502" s="163"/>
      <c r="F502" s="163"/>
      <c r="G502" s="163"/>
      <c r="H502" s="163"/>
      <c r="I502" s="159"/>
      <c r="J502" s="159"/>
    </row>
    <row r="503" spans="1:10" x14ac:dyDescent="0.9">
      <c r="A503" s="162" t="str">
        <f>IF('Final List'!J226="","",'Final List'!J226)</f>
        <v/>
      </c>
      <c r="B503" s="162" t="str">
        <f>IF('Final List'!K226="","",'Final List'!K226)</f>
        <v/>
      </c>
      <c r="C503" s="162" t="str">
        <f>IF('Final List'!L226="","",'Final List'!L226)</f>
        <v/>
      </c>
      <c r="D503" s="162" t="str">
        <f>IF('Final List'!M226="","",'Final List'!M226)</f>
        <v/>
      </c>
      <c r="E503" s="162" t="str">
        <f>IF('Final List'!N226="","",'Final List'!N226)</f>
        <v/>
      </c>
      <c r="F503" s="162" t="str">
        <f>IF('Final List'!O226="","",'Final List'!O226)</f>
        <v/>
      </c>
      <c r="G503" s="162" t="str">
        <f>IF('Final List'!P226="","",'Final List'!P226)</f>
        <v/>
      </c>
      <c r="H503" s="162" t="str">
        <f>IF('Final List'!Q226="","",'Final List'!Q226)</f>
        <v/>
      </c>
    </row>
    <row r="504" spans="1:10" x14ac:dyDescent="0.9">
      <c r="A504" s="163" t="s">
        <v>211</v>
      </c>
      <c r="B504" s="162"/>
      <c r="C504" s="162" t="s">
        <v>250</v>
      </c>
      <c r="D504" s="162"/>
      <c r="E504" s="162" t="s">
        <v>251</v>
      </c>
      <c r="F504" s="162"/>
      <c r="G504" s="162" t="s">
        <v>18</v>
      </c>
      <c r="H504" s="162"/>
    </row>
    <row r="505" spans="1:10" x14ac:dyDescent="0.9">
      <c r="A505" s="160">
        <f>15-COUNTIFS(A468:A482,"")</f>
        <v>0</v>
      </c>
      <c r="B505" s="162"/>
      <c r="C505" s="160">
        <f>15-COUNTIFS(C468:C482,"")</f>
        <v>0</v>
      </c>
      <c r="D505" s="162"/>
      <c r="E505" s="160">
        <f>15-COUNTIFS(E468:E482,"")</f>
        <v>0</v>
      </c>
      <c r="F505" s="162"/>
      <c r="G505" s="160">
        <f>15-COUNTIFS(G468:G482,"")</f>
        <v>5</v>
      </c>
      <c r="H505" s="162"/>
      <c r="I505" s="165" t="s">
        <v>563</v>
      </c>
      <c r="J505" s="165">
        <f>A505+C505+E505+G505+A507+C507+E507+G507</f>
        <v>8</v>
      </c>
    </row>
    <row r="506" spans="1:10" x14ac:dyDescent="0.9">
      <c r="A506" s="162" t="s">
        <v>19</v>
      </c>
      <c r="B506" s="162"/>
      <c r="C506" s="162" t="s">
        <v>20</v>
      </c>
      <c r="D506" s="162"/>
      <c r="E506" s="162" t="s">
        <v>21</v>
      </c>
      <c r="F506" s="162"/>
      <c r="G506" s="162" t="s">
        <v>22</v>
      </c>
      <c r="H506" s="162"/>
      <c r="I506" s="165" t="s">
        <v>6766</v>
      </c>
      <c r="J506" s="165">
        <f>'Final List'!T250</f>
        <v>8</v>
      </c>
    </row>
    <row r="507" spans="1:10" x14ac:dyDescent="0.9">
      <c r="A507" s="160">
        <f>15-COUNTIFS(A485:A499,"")</f>
        <v>1</v>
      </c>
      <c r="B507" s="162"/>
      <c r="C507" s="160">
        <f>15-COUNTIFS(C485:C499,"")</f>
        <v>0</v>
      </c>
      <c r="D507" s="162"/>
      <c r="E507" s="160">
        <f>15-COUNTIFS(E485:E499,"")</f>
        <v>2</v>
      </c>
      <c r="F507" s="162"/>
      <c r="G507" s="160">
        <f>15-COUNTIFS(G485:G499,"")</f>
        <v>0</v>
      </c>
      <c r="H507" s="162"/>
    </row>
    <row r="510" spans="1:10" x14ac:dyDescent="0.9">
      <c r="I510" s="159" t="s">
        <v>14</v>
      </c>
      <c r="J510" s="159">
        <f>J72+J115+J158+J201+J245+J292+J336+J378+J460</f>
        <v>80</v>
      </c>
    </row>
    <row r="511" spans="1:10" x14ac:dyDescent="0.9">
      <c r="J511" s="159">
        <f>J73+J116+J159+J202+J246+J293+J379+J461+J337</f>
        <v>79</v>
      </c>
    </row>
  </sheetData>
  <customSheetViews>
    <customSheetView guid="{80854372-D2ED-4B6A-8325-BF67270E20DC}" scale="85" showPageBreaks="1" fitToPage="1" printArea="1" hiddenRows="1" view="pageBreakPreview" topLeftCell="A290">
      <selection activeCell="H326" sqref="A302:H326"/>
      <pageMargins left="0.25" right="0.25" top="0.75" bottom="0.75" header="0.3" footer="0.3"/>
      <pageSetup paperSize="14" scale="61" orientation="landscape" r:id="rId1"/>
    </customSheetView>
    <customSheetView guid="{AF6A22A6-5407-4536-A5A9-9818B972C404}" scale="85" showPageBreaks="1" fitToPage="1" printArea="1" hiddenRows="1" view="pageBreakPreview" topLeftCell="A260">
      <selection activeCell="A263" sqref="A263:H297"/>
      <pageMargins left="0.25" right="0.25" top="0.75" bottom="0.75" header="0.3" footer="0.3"/>
      <pageSetup paperSize="14" scale="61" orientation="landscape" r:id="rId2"/>
    </customSheetView>
  </customSheetViews>
  <mergeCells count="97">
    <mergeCell ref="A466:B466"/>
    <mergeCell ref="C466:D466"/>
    <mergeCell ref="E466:F466"/>
    <mergeCell ref="G466:H466"/>
    <mergeCell ref="A483:B483"/>
    <mergeCell ref="C483:D483"/>
    <mergeCell ref="E483:F483"/>
    <mergeCell ref="G483:H483"/>
    <mergeCell ref="G181:H181"/>
    <mergeCell ref="G164:H164"/>
    <mergeCell ref="A181:B181"/>
    <mergeCell ref="C181:D181"/>
    <mergeCell ref="E181:F181"/>
    <mergeCell ref="A164:B164"/>
    <mergeCell ref="C164:D164"/>
    <mergeCell ref="E164:F164"/>
    <mergeCell ref="A207:B207"/>
    <mergeCell ref="C207:D207"/>
    <mergeCell ref="E207:F207"/>
    <mergeCell ref="G207:H207"/>
    <mergeCell ref="A224:B224"/>
    <mergeCell ref="C224:D224"/>
    <mergeCell ref="E224:F224"/>
    <mergeCell ref="G224:H224"/>
    <mergeCell ref="A121:B121"/>
    <mergeCell ref="C121:D121"/>
    <mergeCell ref="E121:F121"/>
    <mergeCell ref="G121:H121"/>
    <mergeCell ref="A138:B138"/>
    <mergeCell ref="C138:D138"/>
    <mergeCell ref="E138:F138"/>
    <mergeCell ref="G138:H138"/>
    <mergeCell ref="A315:B315"/>
    <mergeCell ref="C315:D315"/>
    <mergeCell ref="E315:F315"/>
    <mergeCell ref="G315:H315"/>
    <mergeCell ref="A251:B251"/>
    <mergeCell ref="C251:D251"/>
    <mergeCell ref="E251:F251"/>
    <mergeCell ref="G251:H251"/>
    <mergeCell ref="A268:B268"/>
    <mergeCell ref="C268:D268"/>
    <mergeCell ref="E268:F268"/>
    <mergeCell ref="G268:H268"/>
    <mergeCell ref="A298:B298"/>
    <mergeCell ref="C298:D298"/>
    <mergeCell ref="E298:F298"/>
    <mergeCell ref="G298:H298"/>
    <mergeCell ref="C78:D78"/>
    <mergeCell ref="E78:F78"/>
    <mergeCell ref="G78:H78"/>
    <mergeCell ref="A95:B95"/>
    <mergeCell ref="C95:D95"/>
    <mergeCell ref="E95:F95"/>
    <mergeCell ref="G95:H95"/>
    <mergeCell ref="A78:B78"/>
    <mergeCell ref="A32:B32"/>
    <mergeCell ref="C32:D32"/>
    <mergeCell ref="E32:F32"/>
    <mergeCell ref="G32:H32"/>
    <mergeCell ref="A49:B49"/>
    <mergeCell ref="C49:D49"/>
    <mergeCell ref="E49:F49"/>
    <mergeCell ref="G49:H49"/>
    <mergeCell ref="A342:B342"/>
    <mergeCell ref="C342:D342"/>
    <mergeCell ref="E342:F342"/>
    <mergeCell ref="G342:H342"/>
    <mergeCell ref="A359:B359"/>
    <mergeCell ref="C359:D359"/>
    <mergeCell ref="E359:F359"/>
    <mergeCell ref="G359:H359"/>
    <mergeCell ref="A441:B441"/>
    <mergeCell ref="C441:D441"/>
    <mergeCell ref="E441:F441"/>
    <mergeCell ref="G441:H441"/>
    <mergeCell ref="A2:B2"/>
    <mergeCell ref="C2:D2"/>
    <mergeCell ref="E2:F2"/>
    <mergeCell ref="G2:H2"/>
    <mergeCell ref="A11:B11"/>
    <mergeCell ref="C11:D11"/>
    <mergeCell ref="E11:F11"/>
    <mergeCell ref="G11:H11"/>
    <mergeCell ref="A402:B402"/>
    <mergeCell ref="C402:D402"/>
    <mergeCell ref="E402:F402"/>
    <mergeCell ref="G402:H402"/>
    <mergeCell ref="A373:D373"/>
    <mergeCell ref="A424:B424"/>
    <mergeCell ref="C424:D424"/>
    <mergeCell ref="E424:F424"/>
    <mergeCell ref="G424:H424"/>
    <mergeCell ref="A385:B385"/>
    <mergeCell ref="C385:D385"/>
    <mergeCell ref="E385:F385"/>
    <mergeCell ref="G385:H385"/>
  </mergeCells>
  <conditionalFormatting sqref="B426:B440 B450:H454 C443:H449 A450:A467 A483:A484 A468:B482 A500:A1048576 A1:A341 A374:A407 A409:A442">
    <cfRule type="duplicateValues" dxfId="24745" priority="126"/>
  </conditionalFormatting>
  <conditionalFormatting sqref="C508:C1048576 C374:C377 C461 C463:C484 C500:C504 C506 C379 C337 C339:C341 C246 C248:C335 C1:C25 C27 C29:C244 C421:C459 C381:C419">
    <cfRule type="duplicateValues" dxfId="24744" priority="125"/>
  </conditionalFormatting>
  <conditionalFormatting sqref="E508:E1048576 E68:E109 E111:E152 E154:E195 E332:E335 E374:E377 E417:E419 E456:E459 E483:E484 E461 E463:E467 E501:E504 E506 E381:E386 E379 E288:E330 E337 E339:E341 E241:E244 E197:E239 E246 E248:E286 E1:E25 E27 E29:E66 E421:E454 E402:E415 F317:F330">
    <cfRule type="duplicateValues" dxfId="24743" priority="124"/>
  </conditionalFormatting>
  <conditionalFormatting sqref="A373">
    <cfRule type="duplicateValues" dxfId="24742" priority="115"/>
  </conditionalFormatting>
  <conditionalFormatting sqref="A373">
    <cfRule type="containsBlanks" priority="114" stopIfTrue="1">
      <formula>LEN(TRIM(A373))=0</formula>
    </cfRule>
  </conditionalFormatting>
  <conditionalFormatting sqref="A342:H372">
    <cfRule type="duplicateValues" dxfId="24741" priority="112"/>
  </conditionalFormatting>
  <conditionalFormatting sqref="D331">
    <cfRule type="duplicateValues" dxfId="24740" priority="94"/>
  </conditionalFormatting>
  <conditionalFormatting sqref="A443:B449">
    <cfRule type="duplicateValues" dxfId="24739" priority="90"/>
  </conditionalFormatting>
  <conditionalFormatting sqref="E387:E401">
    <cfRule type="duplicateValues" dxfId="24738" priority="89"/>
  </conditionalFormatting>
  <conditionalFormatting sqref="D468:H482">
    <cfRule type="duplicateValues" dxfId="24737" priority="77"/>
  </conditionalFormatting>
  <conditionalFormatting sqref="A485:H499">
    <cfRule type="duplicateValues" dxfId="24736" priority="76"/>
  </conditionalFormatting>
  <conditionalFormatting sqref="C468:C482">
    <cfRule type="duplicateValues" dxfId="24735" priority="203140"/>
  </conditionalFormatting>
  <conditionalFormatting sqref="C426:D440">
    <cfRule type="duplicateValues" dxfId="24734" priority="203175"/>
  </conditionalFormatting>
  <conditionalFormatting sqref="E426:E440">
    <cfRule type="duplicateValues" dxfId="24733" priority="203176"/>
  </conditionalFormatting>
  <conditionalFormatting sqref="E426:F440">
    <cfRule type="duplicateValues" dxfId="24732" priority="203177"/>
  </conditionalFormatting>
  <conditionalFormatting sqref="G426:G440">
    <cfRule type="duplicateValues" dxfId="24731" priority="203178"/>
  </conditionalFormatting>
  <conditionalFormatting sqref="G426:H440">
    <cfRule type="duplicateValues" dxfId="24730" priority="203180"/>
  </conditionalFormatting>
  <conditionalFormatting sqref="C460">
    <cfRule type="duplicateValues" dxfId="24729" priority="75"/>
  </conditionalFormatting>
  <conditionalFormatting sqref="E460">
    <cfRule type="duplicateValues" dxfId="24728" priority="74"/>
  </conditionalFormatting>
  <conditionalFormatting sqref="G460">
    <cfRule type="duplicateValues" dxfId="24727" priority="73"/>
  </conditionalFormatting>
  <conditionalFormatting sqref="C462">
    <cfRule type="duplicateValues" dxfId="24726" priority="72"/>
  </conditionalFormatting>
  <conditionalFormatting sqref="E462">
    <cfRule type="duplicateValues" dxfId="24725" priority="71"/>
  </conditionalFormatting>
  <conditionalFormatting sqref="G462">
    <cfRule type="duplicateValues" dxfId="24724" priority="70"/>
  </conditionalFormatting>
  <conditionalFormatting sqref="C505">
    <cfRule type="duplicateValues" dxfId="24723" priority="63"/>
  </conditionalFormatting>
  <conditionalFormatting sqref="E505">
    <cfRule type="duplicateValues" dxfId="24722" priority="62"/>
  </conditionalFormatting>
  <conditionalFormatting sqref="G505">
    <cfRule type="duplicateValues" dxfId="24721" priority="61"/>
  </conditionalFormatting>
  <conditionalFormatting sqref="C507">
    <cfRule type="duplicateValues" dxfId="24720" priority="57"/>
  </conditionalFormatting>
  <conditionalFormatting sqref="E507">
    <cfRule type="duplicateValues" dxfId="24719" priority="56"/>
  </conditionalFormatting>
  <conditionalFormatting sqref="G507">
    <cfRule type="duplicateValues" dxfId="24718" priority="55"/>
  </conditionalFormatting>
  <conditionalFormatting sqref="C380">
    <cfRule type="duplicateValues" dxfId="24717" priority="54"/>
  </conditionalFormatting>
  <conditionalFormatting sqref="E380">
    <cfRule type="duplicateValues" dxfId="24716" priority="53"/>
  </conditionalFormatting>
  <conditionalFormatting sqref="G380">
    <cfRule type="duplicateValues" dxfId="24715" priority="52"/>
  </conditionalFormatting>
  <conditionalFormatting sqref="C378">
    <cfRule type="duplicateValues" dxfId="24714" priority="51"/>
  </conditionalFormatting>
  <conditionalFormatting sqref="E378">
    <cfRule type="duplicateValues" dxfId="24713" priority="50"/>
  </conditionalFormatting>
  <conditionalFormatting sqref="G378">
    <cfRule type="duplicateValues" dxfId="24712" priority="49"/>
  </conditionalFormatting>
  <conditionalFormatting sqref="G336 E336 C336">
    <cfRule type="duplicateValues" dxfId="24711" priority="48"/>
  </conditionalFormatting>
  <conditionalFormatting sqref="G338 E338 C338">
    <cfRule type="duplicateValues" dxfId="24710" priority="47"/>
  </conditionalFormatting>
  <conditionalFormatting sqref="C245">
    <cfRule type="duplicateValues" dxfId="24709" priority="46"/>
  </conditionalFormatting>
  <conditionalFormatting sqref="E245">
    <cfRule type="duplicateValues" dxfId="24708" priority="45"/>
  </conditionalFormatting>
  <conditionalFormatting sqref="G245">
    <cfRule type="duplicateValues" dxfId="24707" priority="44"/>
  </conditionalFormatting>
  <conditionalFormatting sqref="C247">
    <cfRule type="duplicateValues" dxfId="24706" priority="43"/>
  </conditionalFormatting>
  <conditionalFormatting sqref="E247">
    <cfRule type="duplicateValues" dxfId="24705" priority="42"/>
  </conditionalFormatting>
  <conditionalFormatting sqref="G247">
    <cfRule type="duplicateValues" dxfId="24704" priority="41"/>
  </conditionalFormatting>
  <conditionalFormatting sqref="C26">
    <cfRule type="duplicateValues" dxfId="24703" priority="40"/>
  </conditionalFormatting>
  <conditionalFormatting sqref="E26">
    <cfRule type="duplicateValues" dxfId="24702" priority="39"/>
  </conditionalFormatting>
  <conditionalFormatting sqref="G26">
    <cfRule type="duplicateValues" dxfId="24701" priority="38"/>
  </conditionalFormatting>
  <conditionalFormatting sqref="C28">
    <cfRule type="duplicateValues" dxfId="24700" priority="34"/>
  </conditionalFormatting>
  <conditionalFormatting sqref="E28">
    <cfRule type="duplicateValues" dxfId="24699" priority="33"/>
  </conditionalFormatting>
  <conditionalFormatting sqref="G28">
    <cfRule type="duplicateValues" dxfId="24698" priority="32"/>
  </conditionalFormatting>
  <conditionalFormatting sqref="C420">
    <cfRule type="duplicateValues" dxfId="24697" priority="31"/>
  </conditionalFormatting>
  <conditionalFormatting sqref="E420">
    <cfRule type="duplicateValues" dxfId="24696" priority="30"/>
  </conditionalFormatting>
  <conditionalFormatting sqref="G420">
    <cfRule type="duplicateValues" dxfId="24695" priority="29"/>
  </conditionalFormatting>
  <conditionalFormatting sqref="E110">
    <cfRule type="duplicateValues" dxfId="24694" priority="16"/>
  </conditionalFormatting>
  <conditionalFormatting sqref="F153">
    <cfRule type="duplicateValues" dxfId="24693" priority="15"/>
  </conditionalFormatting>
  <conditionalFormatting sqref="E196">
    <cfRule type="duplicateValues" dxfId="24692" priority="14"/>
  </conditionalFormatting>
  <conditionalFormatting sqref="E240">
    <cfRule type="duplicateValues" dxfId="24691" priority="13"/>
  </conditionalFormatting>
  <conditionalFormatting sqref="E287">
    <cfRule type="duplicateValues" dxfId="24690" priority="12"/>
  </conditionalFormatting>
  <conditionalFormatting sqref="E331">
    <cfRule type="duplicateValues" dxfId="24689" priority="11"/>
  </conditionalFormatting>
  <conditionalFormatting sqref="E373">
    <cfRule type="duplicateValues" dxfId="24688" priority="6"/>
  </conditionalFormatting>
  <conditionalFormatting sqref="E416">
    <cfRule type="duplicateValues" dxfId="24687" priority="5"/>
  </conditionalFormatting>
  <conditionalFormatting sqref="F455">
    <cfRule type="duplicateValues" dxfId="24686" priority="4"/>
  </conditionalFormatting>
  <conditionalFormatting sqref="F500">
    <cfRule type="duplicateValues" dxfId="24685" priority="3"/>
  </conditionalFormatting>
  <conditionalFormatting sqref="A408">
    <cfRule type="duplicateValues" dxfId="24684" priority="2"/>
  </conditionalFormatting>
  <conditionalFormatting sqref="E67">
    <cfRule type="duplicateValues" dxfId="24683" priority="1"/>
  </conditionalFormatting>
  <printOptions horizontalCentered="1"/>
  <pageMargins left="0.23622047244094491" right="0.23622047244094491" top="0.74803149606299213" bottom="0.74803149606299213" header="0.31496062992125984" footer="0.31496062992125984"/>
  <pageSetup paperSize="9" scale="14" orientation="landscape" r:id="rId3"/>
  <rowBreaks count="1" manualBreakCount="1">
    <brk id="422" max="7" man="1"/>
  </rowBreaks>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Z110"/>
  <sheetViews>
    <sheetView topLeftCell="C85" workbookViewId="0">
      <selection activeCell="U43" sqref="U43"/>
    </sheetView>
  </sheetViews>
  <sheetFormatPr defaultRowHeight="15" x14ac:dyDescent="0.25"/>
  <cols>
    <col min="1" max="1" width="16" customWidth="1"/>
    <col min="2" max="2" width="12.85546875" bestFit="1" customWidth="1"/>
    <col min="3" max="3" width="11" bestFit="1" customWidth="1"/>
    <col min="4" max="4" width="10.42578125" bestFit="1" customWidth="1"/>
    <col min="5" max="6" width="7.7109375" bestFit="1" customWidth="1"/>
    <col min="7" max="7" width="7.5703125" bestFit="1" customWidth="1"/>
    <col min="8" max="8" width="11" bestFit="1" customWidth="1"/>
    <col min="9" max="9" width="17.85546875" bestFit="1" customWidth="1"/>
    <col min="10" max="10" width="11" customWidth="1"/>
    <col min="11" max="11" width="6.42578125" customWidth="1"/>
    <col min="12" max="12" width="10.7109375" customWidth="1"/>
    <col min="13" max="13" width="11.85546875" customWidth="1"/>
    <col min="14" max="14" width="11.140625" customWidth="1"/>
    <col min="15" max="15" width="8" customWidth="1"/>
    <col min="16" max="16" width="10" customWidth="1"/>
    <col min="17" max="17" width="11" customWidth="1"/>
    <col min="18" max="18" width="23.28515625" bestFit="1" customWidth="1"/>
    <col min="19" max="20" width="15.7109375" customWidth="1"/>
    <col min="21" max="21" width="9.7109375" customWidth="1"/>
    <col min="22" max="22" width="24.7109375" customWidth="1"/>
    <col min="23" max="23" width="15" bestFit="1" customWidth="1"/>
    <col min="24" max="24" width="13.5703125" bestFit="1" customWidth="1"/>
    <col min="25" max="26" width="17.85546875" bestFit="1" customWidth="1"/>
    <col min="28" max="29" width="15.28515625" bestFit="1" customWidth="1"/>
    <col min="30" max="30" width="11.5703125" bestFit="1" customWidth="1"/>
    <col min="32" max="32" width="9.140625" customWidth="1"/>
  </cols>
  <sheetData>
    <row r="1" spans="1:24" ht="21" x14ac:dyDescent="0.35">
      <c r="A1" s="435" t="s">
        <v>76</v>
      </c>
      <c r="B1" s="436"/>
      <c r="C1" s="436"/>
      <c r="D1" s="436"/>
      <c r="E1" s="436"/>
      <c r="F1" s="436"/>
      <c r="G1" s="436"/>
      <c r="H1" s="436"/>
      <c r="I1" s="436"/>
      <c r="J1" s="436"/>
      <c r="K1" s="436"/>
      <c r="L1" s="436"/>
      <c r="M1" s="436"/>
      <c r="N1" s="436"/>
      <c r="O1" s="436"/>
      <c r="P1" s="25"/>
    </row>
    <row r="2" spans="1:24" ht="18.75" x14ac:dyDescent="0.25">
      <c r="A2" s="1"/>
      <c r="B2" s="437" t="s">
        <v>0</v>
      </c>
      <c r="C2" s="438"/>
      <c r="D2" s="439"/>
      <c r="E2" s="442" t="s">
        <v>16</v>
      </c>
      <c r="F2" s="442"/>
      <c r="G2" s="442"/>
      <c r="H2" s="442"/>
      <c r="I2" s="427" t="s">
        <v>22</v>
      </c>
      <c r="J2" s="428"/>
      <c r="K2" s="6"/>
      <c r="L2" s="429" t="s">
        <v>14</v>
      </c>
      <c r="M2" s="429" t="s">
        <v>26</v>
      </c>
      <c r="N2" s="429" t="s">
        <v>27</v>
      </c>
      <c r="O2" s="429" t="s">
        <v>28</v>
      </c>
      <c r="P2" s="429" t="s">
        <v>62</v>
      </c>
    </row>
    <row r="3" spans="1:24" ht="15.75" x14ac:dyDescent="0.25">
      <c r="A3" s="1"/>
      <c r="B3" s="2" t="s">
        <v>211</v>
      </c>
      <c r="C3" s="2" t="s">
        <v>23</v>
      </c>
      <c r="D3" s="2" t="s">
        <v>1</v>
      </c>
      <c r="E3" s="3" t="s">
        <v>18</v>
      </c>
      <c r="F3" s="3" t="s">
        <v>19</v>
      </c>
      <c r="G3" s="3" t="s">
        <v>20</v>
      </c>
      <c r="H3" s="3" t="s">
        <v>21</v>
      </c>
      <c r="I3" s="3" t="s">
        <v>28</v>
      </c>
      <c r="J3" s="3" t="s">
        <v>62</v>
      </c>
      <c r="K3" s="7"/>
      <c r="L3" s="429"/>
      <c r="M3" s="429"/>
      <c r="N3" s="429"/>
      <c r="O3" s="429"/>
      <c r="P3" s="429"/>
      <c r="R3" s="3" t="s">
        <v>29</v>
      </c>
      <c r="S3" s="10" t="s">
        <v>25</v>
      </c>
      <c r="V3" s="47" t="s">
        <v>626</v>
      </c>
      <c r="W3" s="47" t="s">
        <v>501</v>
      </c>
      <c r="X3" s="47" t="s">
        <v>510</v>
      </c>
    </row>
    <row r="4" spans="1:24" x14ac:dyDescent="0.25">
      <c r="A4" s="1" t="s">
        <v>8902</v>
      </c>
      <c r="B4" s="252">
        <f>'Final List'!B13</f>
        <v>0</v>
      </c>
      <c r="C4" s="27">
        <f>'Final List'!D13</f>
        <v>0</v>
      </c>
      <c r="D4" s="27">
        <f>'Final List'!F13</f>
        <v>0</v>
      </c>
      <c r="E4" s="27">
        <f>'Final List'!H13</f>
        <v>0</v>
      </c>
      <c r="F4" s="27">
        <f>'Final List'!J13</f>
        <v>0</v>
      </c>
      <c r="G4" s="27">
        <f>'Final List'!L13</f>
        <v>0</v>
      </c>
      <c r="H4" s="27">
        <f>'Final List'!N13</f>
        <v>0</v>
      </c>
      <c r="I4" s="27">
        <f>'Final List'!P13-'LEVEL QUOTA'!J4</f>
        <v>1</v>
      </c>
      <c r="J4" s="27">
        <f>'Final List'!V13</f>
        <v>1</v>
      </c>
      <c r="K4">
        <f>SUM(B4:H4)+J4</f>
        <v>1</v>
      </c>
      <c r="L4" s="26">
        <f>SUM(M4:P4)</f>
        <v>2</v>
      </c>
      <c r="M4" s="27">
        <f>SUM(B4:D4)</f>
        <v>0</v>
      </c>
      <c r="N4" s="27">
        <f>SUM(E4:G4)</f>
        <v>0</v>
      </c>
      <c r="O4" s="27">
        <f>SUM(H4:I4)</f>
        <v>1</v>
      </c>
      <c r="P4" s="27">
        <f>SUM(J4)</f>
        <v>1</v>
      </c>
      <c r="Q4">
        <f>R4*S4</f>
        <v>44</v>
      </c>
      <c r="R4" s="1">
        <v>30</v>
      </c>
      <c r="S4" s="15">
        <f t="shared" ref="S4:S14" si="0">SUM(M21:P21)/R4</f>
        <v>1.4666666666666666</v>
      </c>
      <c r="T4" t="s">
        <v>9810</v>
      </c>
      <c r="U4" t="s">
        <v>8903</v>
      </c>
      <c r="V4" s="85">
        <f t="shared" ref="V4:V14" si="1">(SUM(M21:P21)-O21)/R4</f>
        <v>0.46666666666666667</v>
      </c>
      <c r="W4" s="46">
        <f t="shared" ref="W4:W14" si="2">IFERROR((M38+P38)/(M38+N38+P38),0)</f>
        <v>1</v>
      </c>
      <c r="X4" s="48">
        <f>S4</f>
        <v>1.4666666666666666</v>
      </c>
    </row>
    <row r="5" spans="1:24" x14ac:dyDescent="0.25">
      <c r="A5" s="1" t="s">
        <v>6</v>
      </c>
      <c r="B5" s="252">
        <f>'Final List'!B31</f>
        <v>0</v>
      </c>
      <c r="C5" s="27">
        <f>'Final List'!D31</f>
        <v>0</v>
      </c>
      <c r="D5" s="27">
        <f>'Final List'!F31</f>
        <v>0</v>
      </c>
      <c r="E5" s="27">
        <f>'Final List'!H31</f>
        <v>0</v>
      </c>
      <c r="F5" s="27">
        <f>'Final List'!J31</f>
        <v>0</v>
      </c>
      <c r="G5" s="27">
        <f>'Final List'!L31</f>
        <v>0</v>
      </c>
      <c r="H5" s="27">
        <f>'Final List'!N31</f>
        <v>0</v>
      </c>
      <c r="I5" s="27">
        <f>'Final List'!P31-'LEVEL QUOTA'!J5</f>
        <v>0</v>
      </c>
      <c r="J5" s="27">
        <f>'Final List'!V31</f>
        <v>0</v>
      </c>
      <c r="K5">
        <f>SUM(B5:H5)+J5</f>
        <v>0</v>
      </c>
      <c r="L5" s="26">
        <f t="shared" ref="L5:L13" si="3">SUM(M5:P5)</f>
        <v>0</v>
      </c>
      <c r="M5" s="27">
        <f t="shared" ref="M5:M13" si="4">SUM(B5:D5)</f>
        <v>0</v>
      </c>
      <c r="N5" s="27">
        <f>SUM(E5:G5)</f>
        <v>0</v>
      </c>
      <c r="O5" s="27">
        <f t="shared" ref="O5:O13" si="5">SUM(H5:I5)</f>
        <v>0</v>
      </c>
      <c r="P5" s="27">
        <f t="shared" ref="P5:P13" si="6">SUM(J5)</f>
        <v>0</v>
      </c>
      <c r="Q5">
        <f>R5*S5</f>
        <v>0</v>
      </c>
      <c r="R5" s="1">
        <v>150</v>
      </c>
      <c r="S5" s="15">
        <f t="shared" si="0"/>
        <v>0</v>
      </c>
      <c r="T5" t="s">
        <v>6359</v>
      </c>
      <c r="U5" t="s">
        <v>502</v>
      </c>
      <c r="V5" s="85">
        <f t="shared" si="1"/>
        <v>0</v>
      </c>
      <c r="W5" s="46">
        <f t="shared" si="2"/>
        <v>0</v>
      </c>
      <c r="X5" s="48">
        <f t="shared" ref="X5:X16" si="7">S5</f>
        <v>0</v>
      </c>
    </row>
    <row r="6" spans="1:24" x14ac:dyDescent="0.25">
      <c r="A6" s="249" t="s">
        <v>8</v>
      </c>
      <c r="B6" s="27">
        <f>'Final List'!B50</f>
        <v>0</v>
      </c>
      <c r="C6" s="251">
        <f>'Final List'!D50</f>
        <v>0</v>
      </c>
      <c r="D6" s="27">
        <f>'Final List'!F50</f>
        <v>0</v>
      </c>
      <c r="E6" s="27">
        <f>'Final List'!H50</f>
        <v>0</v>
      </c>
      <c r="F6" s="27">
        <f>'Final List'!J50</f>
        <v>0</v>
      </c>
      <c r="G6" s="27">
        <f>'Final List'!L50</f>
        <v>0</v>
      </c>
      <c r="H6" s="27">
        <f>'Final List'!N50</f>
        <v>0</v>
      </c>
      <c r="I6" s="27">
        <f>'Final List'!$P$50-J6</f>
        <v>0</v>
      </c>
      <c r="J6" s="27">
        <f>'Final List'!$V$50</f>
        <v>0</v>
      </c>
      <c r="K6">
        <f t="shared" ref="K6:K16" si="8">SUM(B6:H6)+J6</f>
        <v>0</v>
      </c>
      <c r="L6" s="26">
        <f t="shared" si="3"/>
        <v>0</v>
      </c>
      <c r="M6" s="27">
        <f t="shared" si="4"/>
        <v>0</v>
      </c>
      <c r="N6" s="27">
        <f>SUM(E6:G6)</f>
        <v>0</v>
      </c>
      <c r="O6" s="27">
        <f t="shared" si="5"/>
        <v>0</v>
      </c>
      <c r="P6" s="27">
        <f t="shared" si="6"/>
        <v>0</v>
      </c>
      <c r="Q6">
        <f t="shared" ref="Q6:Q14" si="9">R6*S6</f>
        <v>0</v>
      </c>
      <c r="R6" s="1">
        <v>150</v>
      </c>
      <c r="S6" s="15">
        <f t="shared" si="0"/>
        <v>0</v>
      </c>
      <c r="T6" t="s">
        <v>6274</v>
      </c>
      <c r="U6" t="s">
        <v>503</v>
      </c>
      <c r="V6" s="85">
        <f t="shared" si="1"/>
        <v>0</v>
      </c>
      <c r="W6" s="46">
        <f t="shared" si="2"/>
        <v>0</v>
      </c>
      <c r="X6" s="48">
        <f>S6</f>
        <v>0</v>
      </c>
    </row>
    <row r="7" spans="1:24" x14ac:dyDescent="0.25">
      <c r="A7" s="249" t="s">
        <v>10</v>
      </c>
      <c r="B7" s="27">
        <f>'Final List'!B69</f>
        <v>0</v>
      </c>
      <c r="C7" s="251">
        <f>'Final List'!D69</f>
        <v>0</v>
      </c>
      <c r="D7" s="27">
        <f>'Final List'!F69</f>
        <v>0</v>
      </c>
      <c r="E7" s="27">
        <f>'Final List'!H69</f>
        <v>0</v>
      </c>
      <c r="F7" s="27">
        <f>'Final List'!J69</f>
        <v>0</v>
      </c>
      <c r="G7" s="27">
        <f>'Final List'!L69</f>
        <v>0</v>
      </c>
      <c r="H7" s="27">
        <f>'Final List'!N69</f>
        <v>0</v>
      </c>
      <c r="I7" s="27">
        <f>'Final List'!$P$69-J7</f>
        <v>0</v>
      </c>
      <c r="J7" s="27">
        <f>'Final List'!$V$69</f>
        <v>0</v>
      </c>
      <c r="K7">
        <f t="shared" si="8"/>
        <v>0</v>
      </c>
      <c r="L7" s="26">
        <f t="shared" si="3"/>
        <v>0</v>
      </c>
      <c r="M7" s="27">
        <f t="shared" si="4"/>
        <v>0</v>
      </c>
      <c r="N7" s="27">
        <f>SUM(E7:G7)</f>
        <v>0</v>
      </c>
      <c r="O7" s="27">
        <f t="shared" si="5"/>
        <v>0</v>
      </c>
      <c r="P7" s="27">
        <f t="shared" si="6"/>
        <v>0</v>
      </c>
      <c r="Q7">
        <f t="shared" si="9"/>
        <v>0</v>
      </c>
      <c r="R7" s="1">
        <v>90</v>
      </c>
      <c r="S7" s="15">
        <f t="shared" si="0"/>
        <v>0</v>
      </c>
      <c r="T7" t="s">
        <v>9811</v>
      </c>
      <c r="U7" t="s">
        <v>504</v>
      </c>
      <c r="V7" s="85">
        <f t="shared" si="1"/>
        <v>0</v>
      </c>
      <c r="W7" s="46">
        <f t="shared" si="2"/>
        <v>0</v>
      </c>
      <c r="X7" s="48">
        <f t="shared" si="7"/>
        <v>0</v>
      </c>
    </row>
    <row r="8" spans="1:24" x14ac:dyDescent="0.25">
      <c r="A8" s="249" t="s">
        <v>12</v>
      </c>
      <c r="B8" s="27">
        <f>'Final List'!B88</f>
        <v>0</v>
      </c>
      <c r="C8" s="251">
        <f>'Final List'!D88</f>
        <v>0</v>
      </c>
      <c r="D8" s="27">
        <f>'Final List'!F88</f>
        <v>0</v>
      </c>
      <c r="E8" s="27">
        <f>'Final List'!H88</f>
        <v>0</v>
      </c>
      <c r="F8" s="27">
        <f>'Final List'!J88</f>
        <v>0</v>
      </c>
      <c r="G8" s="27">
        <f>'Final List'!L88</f>
        <v>0</v>
      </c>
      <c r="H8" s="27">
        <f>'Final List'!N88</f>
        <v>0</v>
      </c>
      <c r="I8" s="27">
        <f>'Final List'!$P$88-J8</f>
        <v>1</v>
      </c>
      <c r="J8" s="27">
        <f>'Final List'!V88</f>
        <v>0</v>
      </c>
      <c r="K8">
        <f t="shared" si="8"/>
        <v>0</v>
      </c>
      <c r="L8" s="26">
        <f t="shared" si="3"/>
        <v>1</v>
      </c>
      <c r="M8" s="27">
        <f t="shared" si="4"/>
        <v>0</v>
      </c>
      <c r="N8" s="27">
        <f t="shared" ref="N8:N13" si="10">SUM(E8:G8)</f>
        <v>0</v>
      </c>
      <c r="O8" s="27">
        <f t="shared" si="5"/>
        <v>1</v>
      </c>
      <c r="P8" s="27">
        <f t="shared" si="6"/>
        <v>0</v>
      </c>
      <c r="Q8">
        <f t="shared" si="9"/>
        <v>30</v>
      </c>
      <c r="R8" s="1">
        <v>60</v>
      </c>
      <c r="S8" s="15">
        <f t="shared" si="0"/>
        <v>0.5</v>
      </c>
      <c r="T8" t="s">
        <v>9285</v>
      </c>
      <c r="U8" t="s">
        <v>505</v>
      </c>
      <c r="V8" s="85">
        <f t="shared" si="1"/>
        <v>0</v>
      </c>
      <c r="W8" s="46">
        <f t="shared" si="2"/>
        <v>0</v>
      </c>
      <c r="X8" s="48">
        <f t="shared" si="7"/>
        <v>0.5</v>
      </c>
    </row>
    <row r="9" spans="1:24" x14ac:dyDescent="0.25">
      <c r="A9" s="249" t="s">
        <v>13</v>
      </c>
      <c r="B9" s="27">
        <f>'Final List'!B110</f>
        <v>3</v>
      </c>
      <c r="C9" s="251">
        <f>'Final List'!D110</f>
        <v>3</v>
      </c>
      <c r="D9" s="27">
        <f>'Final List'!F110</f>
        <v>0</v>
      </c>
      <c r="E9" s="27">
        <f>'Final List'!H110</f>
        <v>1</v>
      </c>
      <c r="F9" s="27">
        <f>'Final List'!J110</f>
        <v>0</v>
      </c>
      <c r="G9" s="27">
        <f>'Final List'!L110</f>
        <v>2</v>
      </c>
      <c r="H9" s="27">
        <f>'Final List'!N110</f>
        <v>1</v>
      </c>
      <c r="I9" s="27">
        <f>'Final List'!$P$110-J9</f>
        <v>3</v>
      </c>
      <c r="J9" s="27">
        <f>'Final List'!$V$110</f>
        <v>5</v>
      </c>
      <c r="K9">
        <f t="shared" si="8"/>
        <v>15</v>
      </c>
      <c r="L9" s="26">
        <f t="shared" si="3"/>
        <v>18</v>
      </c>
      <c r="M9" s="27">
        <f t="shared" si="4"/>
        <v>6</v>
      </c>
      <c r="N9" s="27">
        <f t="shared" si="10"/>
        <v>3</v>
      </c>
      <c r="O9" s="27">
        <f t="shared" si="5"/>
        <v>4</v>
      </c>
      <c r="P9" s="27">
        <f t="shared" si="6"/>
        <v>5</v>
      </c>
      <c r="Q9">
        <f t="shared" si="9"/>
        <v>256</v>
      </c>
      <c r="R9" s="1">
        <v>200</v>
      </c>
      <c r="S9" s="15">
        <f t="shared" si="0"/>
        <v>1.28</v>
      </c>
      <c r="T9" t="s">
        <v>8119</v>
      </c>
      <c r="U9" t="s">
        <v>506</v>
      </c>
      <c r="V9" s="85">
        <f t="shared" si="1"/>
        <v>0.76500000000000001</v>
      </c>
      <c r="W9" s="46">
        <f t="shared" si="2"/>
        <v>0.82352941176470584</v>
      </c>
      <c r="X9" s="48">
        <f t="shared" si="7"/>
        <v>1.28</v>
      </c>
    </row>
    <row r="10" spans="1:24" x14ac:dyDescent="0.25">
      <c r="A10" s="249" t="s">
        <v>65</v>
      </c>
      <c r="B10" s="27">
        <f>'Final List'!B136</f>
        <v>0</v>
      </c>
      <c r="C10" s="251">
        <f>'Final List'!D136</f>
        <v>1</v>
      </c>
      <c r="D10" s="27">
        <f>'Final List'!F136</f>
        <v>0</v>
      </c>
      <c r="E10" s="27">
        <f>'Final List'!H136</f>
        <v>2</v>
      </c>
      <c r="F10" s="27">
        <f>'Final List'!J136</f>
        <v>0</v>
      </c>
      <c r="G10" s="27">
        <f>'Final List'!L136</f>
        <v>0</v>
      </c>
      <c r="H10" s="27">
        <f>'Final List'!N136</f>
        <v>0</v>
      </c>
      <c r="I10" s="27">
        <f>'Final List'!$P$136-J10</f>
        <v>1</v>
      </c>
      <c r="J10" s="27">
        <f>'Final List'!$V$136</f>
        <v>7</v>
      </c>
      <c r="K10">
        <f t="shared" si="8"/>
        <v>10</v>
      </c>
      <c r="L10" s="26">
        <f t="shared" si="3"/>
        <v>11</v>
      </c>
      <c r="M10" s="27">
        <f t="shared" si="4"/>
        <v>1</v>
      </c>
      <c r="N10" s="27">
        <f t="shared" si="10"/>
        <v>2</v>
      </c>
      <c r="O10" s="27">
        <f t="shared" si="5"/>
        <v>1</v>
      </c>
      <c r="P10" s="27">
        <f t="shared" si="6"/>
        <v>7</v>
      </c>
      <c r="Q10">
        <f t="shared" si="9"/>
        <v>168</v>
      </c>
      <c r="R10" s="1">
        <v>250</v>
      </c>
      <c r="S10" s="15">
        <f t="shared" si="0"/>
        <v>0.67200000000000004</v>
      </c>
      <c r="T10" t="s">
        <v>12829</v>
      </c>
      <c r="U10" t="s">
        <v>507</v>
      </c>
      <c r="V10" s="85">
        <f t="shared" si="1"/>
        <v>0.55200000000000005</v>
      </c>
      <c r="W10" s="46">
        <f t="shared" si="2"/>
        <v>0.73913043478260876</v>
      </c>
      <c r="X10" s="48">
        <f t="shared" si="7"/>
        <v>0.67200000000000004</v>
      </c>
    </row>
    <row r="11" spans="1:24" ht="14.25" customHeight="1" x14ac:dyDescent="0.25">
      <c r="A11" s="249" t="s">
        <v>257</v>
      </c>
      <c r="B11" s="27">
        <f>'Final List'!B158</f>
        <v>0</v>
      </c>
      <c r="C11" s="251">
        <f>'Final List'!D158</f>
        <v>3</v>
      </c>
      <c r="D11" s="27">
        <f>'Final List'!F158</f>
        <v>0</v>
      </c>
      <c r="E11" s="27">
        <f>'Final List'!H158</f>
        <v>1</v>
      </c>
      <c r="F11" s="27">
        <f>'Final List'!J158</f>
        <v>0</v>
      </c>
      <c r="G11" s="27">
        <f>'Final List'!L158</f>
        <v>0</v>
      </c>
      <c r="H11" s="27">
        <f>'Final List'!N158</f>
        <v>1</v>
      </c>
      <c r="I11" s="27">
        <f>'Final List'!$P$158-J11</f>
        <v>1</v>
      </c>
      <c r="J11" s="27">
        <f>'Final List'!V158</f>
        <v>1</v>
      </c>
      <c r="K11">
        <f t="shared" si="8"/>
        <v>6</v>
      </c>
      <c r="L11" s="26">
        <f t="shared" si="3"/>
        <v>7</v>
      </c>
      <c r="M11" s="27">
        <f t="shared" si="4"/>
        <v>3</v>
      </c>
      <c r="N11" s="27">
        <f t="shared" si="10"/>
        <v>1</v>
      </c>
      <c r="O11" s="27">
        <f t="shared" si="5"/>
        <v>2</v>
      </c>
      <c r="P11" s="27">
        <f t="shared" si="6"/>
        <v>1</v>
      </c>
      <c r="Q11">
        <f t="shared" si="9"/>
        <v>122</v>
      </c>
      <c r="R11" s="1">
        <v>250</v>
      </c>
      <c r="S11" s="15">
        <f t="shared" si="0"/>
        <v>0.48799999999999999</v>
      </c>
      <c r="T11" t="s">
        <v>12828</v>
      </c>
      <c r="U11" t="s">
        <v>508</v>
      </c>
      <c r="V11" s="85">
        <f t="shared" si="1"/>
        <v>0.29599999999999999</v>
      </c>
      <c r="W11" s="46">
        <f t="shared" si="2"/>
        <v>0.7567567567567568</v>
      </c>
      <c r="X11" s="48">
        <f t="shared" si="7"/>
        <v>0.48799999999999999</v>
      </c>
    </row>
    <row r="12" spans="1:24" ht="15.75" customHeight="1" x14ac:dyDescent="0.25">
      <c r="A12" s="249" t="s">
        <v>1152</v>
      </c>
      <c r="B12" s="27">
        <f>'Final List'!B174</f>
        <v>0</v>
      </c>
      <c r="C12" s="251">
        <f>'Final List'!D174</f>
        <v>6</v>
      </c>
      <c r="D12" s="27">
        <f>'Final List'!F174</f>
        <v>0</v>
      </c>
      <c r="E12" s="27">
        <f>'Final List'!H174</f>
        <v>5</v>
      </c>
      <c r="F12" s="27">
        <f>'Final List'!J174</f>
        <v>2</v>
      </c>
      <c r="G12" s="27">
        <f>'Final List'!L174</f>
        <v>3</v>
      </c>
      <c r="H12" s="27">
        <f>'Final List'!N174</f>
        <v>0</v>
      </c>
      <c r="I12" s="27">
        <f>'Final List'!$P$174-J12</f>
        <v>0</v>
      </c>
      <c r="J12" s="27">
        <f>'Final List'!V174</f>
        <v>0</v>
      </c>
      <c r="K12">
        <f t="shared" si="8"/>
        <v>16</v>
      </c>
      <c r="L12" s="26">
        <f t="shared" si="3"/>
        <v>16</v>
      </c>
      <c r="M12" s="27">
        <f t="shared" si="4"/>
        <v>6</v>
      </c>
      <c r="N12" s="27">
        <f t="shared" si="10"/>
        <v>10</v>
      </c>
      <c r="O12" s="27">
        <f t="shared" si="5"/>
        <v>0</v>
      </c>
      <c r="P12" s="27">
        <f t="shared" si="6"/>
        <v>0</v>
      </c>
      <c r="Q12">
        <f t="shared" si="9"/>
        <v>215</v>
      </c>
      <c r="R12" s="52">
        <f>400+250</f>
        <v>650</v>
      </c>
      <c r="S12" s="15">
        <f t="shared" si="0"/>
        <v>0.33076923076923076</v>
      </c>
      <c r="T12" t="s">
        <v>12827</v>
      </c>
      <c r="U12" t="s">
        <v>1155</v>
      </c>
      <c r="V12" s="85">
        <f t="shared" si="1"/>
        <v>0.33076923076923076</v>
      </c>
      <c r="W12" s="46">
        <f t="shared" si="2"/>
        <v>0.37209302325581395</v>
      </c>
      <c r="X12" s="48">
        <f>S12</f>
        <v>0.33076923076923076</v>
      </c>
    </row>
    <row r="13" spans="1:24" x14ac:dyDescent="0.25">
      <c r="A13" s="249" t="s">
        <v>1153</v>
      </c>
      <c r="B13" s="27">
        <f>'Final List'!B192</f>
        <v>3</v>
      </c>
      <c r="C13" s="251">
        <f>'Final List'!D192</f>
        <v>4</v>
      </c>
      <c r="D13" s="27">
        <f>'Final List'!F192</f>
        <v>0</v>
      </c>
      <c r="E13" s="27">
        <f>'Final List'!H192</f>
        <v>4</v>
      </c>
      <c r="F13" s="27">
        <f>'Final List'!J192</f>
        <v>1</v>
      </c>
      <c r="G13" s="27">
        <f>'Final List'!L192</f>
        <v>0</v>
      </c>
      <c r="H13" s="27">
        <f>'Final List'!N192</f>
        <v>1</v>
      </c>
      <c r="I13" s="27">
        <f>'Final List'!$P$192-J13</f>
        <v>1</v>
      </c>
      <c r="J13" s="27">
        <f>'Final List'!V192</f>
        <v>0</v>
      </c>
      <c r="K13">
        <f t="shared" si="8"/>
        <v>13</v>
      </c>
      <c r="L13" s="26">
        <f t="shared" si="3"/>
        <v>14</v>
      </c>
      <c r="M13" s="27">
        <f t="shared" si="4"/>
        <v>7</v>
      </c>
      <c r="N13" s="27">
        <f t="shared" si="10"/>
        <v>5</v>
      </c>
      <c r="O13" s="27">
        <f t="shared" si="5"/>
        <v>2</v>
      </c>
      <c r="P13" s="27">
        <f t="shared" si="6"/>
        <v>0</v>
      </c>
      <c r="Q13">
        <f t="shared" si="9"/>
        <v>179</v>
      </c>
      <c r="R13" s="52">
        <f>150+700</f>
        <v>850</v>
      </c>
      <c r="S13" s="15">
        <f t="shared" si="0"/>
        <v>0.21058823529411766</v>
      </c>
      <c r="T13" t="s">
        <v>12825</v>
      </c>
      <c r="U13" t="s">
        <v>1156</v>
      </c>
      <c r="V13" s="85">
        <f t="shared" si="1"/>
        <v>0.18941176470588236</v>
      </c>
      <c r="W13" s="46">
        <f t="shared" si="2"/>
        <v>0.47826086956521741</v>
      </c>
      <c r="X13" s="48">
        <f t="shared" si="7"/>
        <v>0.21058823529411766</v>
      </c>
    </row>
    <row r="14" spans="1:24" x14ac:dyDescent="0.25">
      <c r="A14" s="249" t="s">
        <v>12394</v>
      </c>
      <c r="B14" s="27">
        <f>'Final List'!B221</f>
        <v>2</v>
      </c>
      <c r="C14" s="251">
        <f>'Final List'!D221</f>
        <v>7</v>
      </c>
      <c r="D14" s="27">
        <f>'Final List'!F221</f>
        <v>2</v>
      </c>
      <c r="E14" s="27">
        <f>'Final List'!H221</f>
        <v>6</v>
      </c>
      <c r="F14" s="27">
        <f>'Final List'!J221</f>
        <v>5</v>
      </c>
      <c r="G14" s="27">
        <f>'Final List'!L221</f>
        <v>2</v>
      </c>
      <c r="H14" s="27">
        <f>'Final List'!N221</f>
        <v>2</v>
      </c>
      <c r="I14" s="27">
        <f>'Final List'!$P$221-J14</f>
        <v>0</v>
      </c>
      <c r="J14" s="27">
        <f>'Final List'!V221</f>
        <v>0</v>
      </c>
      <c r="K14">
        <f>SUM(B14:H14)+J14</f>
        <v>26</v>
      </c>
      <c r="L14" s="26">
        <f>SUM(M14:P14)</f>
        <v>26</v>
      </c>
      <c r="M14" s="27">
        <f>SUM(B14:D14)</f>
        <v>11</v>
      </c>
      <c r="N14" s="27">
        <f>SUM(E14:G14)</f>
        <v>13</v>
      </c>
      <c r="O14" s="27">
        <f>SUM(H14:I14)</f>
        <v>2</v>
      </c>
      <c r="P14" s="27">
        <f>SUM(J14)</f>
        <v>0</v>
      </c>
      <c r="Q14">
        <f t="shared" si="9"/>
        <v>394</v>
      </c>
      <c r="R14" s="52">
        <v>250</v>
      </c>
      <c r="S14" s="15">
        <f t="shared" si="0"/>
        <v>1.5760000000000001</v>
      </c>
      <c r="T14" t="s">
        <v>12826</v>
      </c>
      <c r="U14" t="s">
        <v>12689</v>
      </c>
      <c r="V14" s="85">
        <f t="shared" si="1"/>
        <v>1.4319999999999999</v>
      </c>
      <c r="W14" s="46">
        <f t="shared" si="2"/>
        <v>0.49162011173184356</v>
      </c>
      <c r="X14" s="48">
        <f t="shared" si="7"/>
        <v>1.5760000000000001</v>
      </c>
    </row>
    <row r="15" spans="1:24" x14ac:dyDescent="0.25">
      <c r="A15" s="249" t="s">
        <v>14094</v>
      </c>
      <c r="B15" s="27">
        <f>'Final List'!B250</f>
        <v>0</v>
      </c>
      <c r="C15" s="251">
        <f>'Final List'!D250</f>
        <v>0</v>
      </c>
      <c r="D15" s="27">
        <f>'Final List'!F250</f>
        <v>0</v>
      </c>
      <c r="E15" s="27">
        <f>'Final List'!H250</f>
        <v>5</v>
      </c>
      <c r="F15" s="27">
        <f>'Final List'!J250</f>
        <v>1</v>
      </c>
      <c r="G15" s="27">
        <f>'Final List'!L250</f>
        <v>0</v>
      </c>
      <c r="H15" s="27">
        <f>'Final List'!N250</f>
        <v>2</v>
      </c>
      <c r="I15" s="27">
        <f>'Final List'!$P$250-J15</f>
        <v>0</v>
      </c>
      <c r="J15" s="27">
        <f>'Final List'!V250</f>
        <v>0</v>
      </c>
      <c r="K15">
        <f>SUM(B15:H15)+J15</f>
        <v>8</v>
      </c>
      <c r="L15" s="26">
        <f>SUM(M15:P15)</f>
        <v>8</v>
      </c>
      <c r="M15" s="27">
        <f>SUM(B15:D15)</f>
        <v>0</v>
      </c>
      <c r="N15" s="27">
        <f>SUM(E15:G15)</f>
        <v>6</v>
      </c>
      <c r="O15" s="27">
        <f>SUM(H15:I15)</f>
        <v>2</v>
      </c>
      <c r="P15" s="27">
        <f>SUM(J15)</f>
        <v>0</v>
      </c>
      <c r="Q15">
        <f>R15*S15</f>
        <v>1546</v>
      </c>
      <c r="R15" s="52">
        <v>250</v>
      </c>
      <c r="S15" s="15">
        <f>SUM(M33:P33)/R15</f>
        <v>6.1840000000000002</v>
      </c>
      <c r="T15" t="s">
        <v>14100</v>
      </c>
      <c r="U15" t="s">
        <v>14101</v>
      </c>
      <c r="V15" s="85">
        <f>(SUM(M33:P33)-O33)/R15</f>
        <v>4.8600000000000003</v>
      </c>
      <c r="W15" s="46">
        <f>IFERROR((M50+P50)/(M50+N50+P50),0)</f>
        <v>0.51006220519396928</v>
      </c>
      <c r="X15" s="48">
        <f>S15</f>
        <v>6.1840000000000002</v>
      </c>
    </row>
    <row r="16" spans="1:24" ht="15.75" customHeight="1" x14ac:dyDescent="0.25">
      <c r="A16" s="250" t="s">
        <v>14</v>
      </c>
      <c r="B16" s="28">
        <f>SUM(B4:B14)</f>
        <v>8</v>
      </c>
      <c r="C16" s="28">
        <f t="shared" ref="C16:J16" si="11">SUM(C4:C14)</f>
        <v>24</v>
      </c>
      <c r="D16" s="28">
        <f t="shared" si="11"/>
        <v>2</v>
      </c>
      <c r="E16" s="28">
        <f t="shared" si="11"/>
        <v>19</v>
      </c>
      <c r="F16" s="28">
        <f t="shared" si="11"/>
        <v>8</v>
      </c>
      <c r="G16" s="28">
        <f t="shared" si="11"/>
        <v>7</v>
      </c>
      <c r="H16" s="28">
        <f t="shared" si="11"/>
        <v>5</v>
      </c>
      <c r="I16" s="28">
        <f t="shared" si="11"/>
        <v>8</v>
      </c>
      <c r="J16" s="28">
        <f t="shared" si="11"/>
        <v>14</v>
      </c>
      <c r="K16">
        <f t="shared" si="8"/>
        <v>87</v>
      </c>
      <c r="L16" s="54">
        <f>SUM(L4:L15)</f>
        <v>103</v>
      </c>
      <c r="M16" s="54">
        <f>SUM(M4:M14)</f>
        <v>34</v>
      </c>
      <c r="N16" s="54">
        <f>SUM(N4:N14)</f>
        <v>34</v>
      </c>
      <c r="O16" s="54">
        <f>SUM(O4:O14)</f>
        <v>13</v>
      </c>
      <c r="P16" s="54">
        <f>SUM(P4:P14)</f>
        <v>14</v>
      </c>
      <c r="Q16">
        <f>R16*S16</f>
        <v>1546</v>
      </c>
      <c r="R16" s="56">
        <f>SUM(R9:R14)+R4</f>
        <v>2480</v>
      </c>
      <c r="S16" s="16">
        <f>SUM(M33:P33)/R16</f>
        <v>0.62338709677419357</v>
      </c>
      <c r="U16" t="s">
        <v>509</v>
      </c>
      <c r="V16" s="85">
        <f>(SUM(M33:P33)-O33)/R16</f>
        <v>0.48991935483870969</v>
      </c>
      <c r="W16" s="46">
        <f>IFERROR((M50+P50)/(M50+N50+P50),0)</f>
        <v>0.51006220519396928</v>
      </c>
      <c r="X16" s="48">
        <f t="shared" si="7"/>
        <v>0.62338709677419357</v>
      </c>
    </row>
    <row r="18" spans="1:26" ht="21" x14ac:dyDescent="0.35">
      <c r="A18" s="435" t="s">
        <v>24</v>
      </c>
      <c r="B18" s="436"/>
      <c r="C18" s="436"/>
      <c r="D18" s="436"/>
      <c r="E18" s="436"/>
      <c r="F18" s="436"/>
      <c r="G18" s="436"/>
      <c r="H18" s="436"/>
      <c r="I18" s="436"/>
      <c r="J18" s="436"/>
      <c r="K18" s="436"/>
      <c r="L18" s="436"/>
      <c r="M18" s="436"/>
      <c r="N18" s="436"/>
      <c r="O18" s="436"/>
      <c r="P18" s="25"/>
      <c r="R18" s="3" t="s">
        <v>1178</v>
      </c>
      <c r="S18" s="3" t="s">
        <v>1188</v>
      </c>
      <c r="T18" s="3" t="s">
        <v>1189</v>
      </c>
      <c r="V18" s="431" t="s">
        <v>31</v>
      </c>
      <c r="W18" s="430">
        <f>(M50+P50)/(M50+N50+P50)</f>
        <v>0.51006220519396928</v>
      </c>
    </row>
    <row r="19" spans="1:26" ht="18.75" x14ac:dyDescent="0.25">
      <c r="A19" s="201"/>
      <c r="B19" s="447" t="s">
        <v>0</v>
      </c>
      <c r="C19" s="448"/>
      <c r="D19" s="449"/>
      <c r="E19" s="446" t="s">
        <v>16</v>
      </c>
      <c r="F19" s="446"/>
      <c r="G19" s="446"/>
      <c r="H19" s="446"/>
      <c r="I19" s="450" t="s">
        <v>22</v>
      </c>
      <c r="J19" s="451"/>
      <c r="K19" s="6"/>
      <c r="L19" s="429" t="s">
        <v>14</v>
      </c>
      <c r="M19" s="429" t="s">
        <v>26</v>
      </c>
      <c r="N19" s="429" t="s">
        <v>27</v>
      </c>
      <c r="O19" s="429" t="s">
        <v>28</v>
      </c>
      <c r="P19" s="429" t="s">
        <v>62</v>
      </c>
      <c r="R19" s="61" t="s">
        <v>18</v>
      </c>
      <c r="S19" s="318">
        <f>1.5*1.8*2.1*2.36</f>
        <v>13.381200000000002</v>
      </c>
      <c r="T19" s="318">
        <f>1.5*2.1*2.4*2.36</f>
        <v>17.8416</v>
      </c>
      <c r="U19" t="s">
        <v>12313</v>
      </c>
      <c r="V19" s="431"/>
      <c r="W19" s="430"/>
    </row>
    <row r="20" spans="1:26" ht="15.75" x14ac:dyDescent="0.25">
      <c r="A20" s="201"/>
      <c r="B20" s="202" t="s">
        <v>211</v>
      </c>
      <c r="C20" s="202" t="s">
        <v>23</v>
      </c>
      <c r="D20" s="202" t="s">
        <v>1</v>
      </c>
      <c r="E20" s="202" t="s">
        <v>18</v>
      </c>
      <c r="F20" s="202" t="s">
        <v>19</v>
      </c>
      <c r="G20" s="202" t="s">
        <v>20</v>
      </c>
      <c r="H20" s="202" t="s">
        <v>21</v>
      </c>
      <c r="I20" s="202" t="s">
        <v>28</v>
      </c>
      <c r="J20" s="202" t="s">
        <v>62</v>
      </c>
      <c r="K20" s="9"/>
      <c r="L20" s="429"/>
      <c r="M20" s="429"/>
      <c r="N20" s="429"/>
      <c r="O20" s="429"/>
      <c r="P20" s="429"/>
      <c r="R20" s="61" t="s">
        <v>21</v>
      </c>
      <c r="S20" s="318">
        <f>1.5*1.8*2.1*2.36</f>
        <v>13.381200000000002</v>
      </c>
      <c r="T20" s="318">
        <f>1.5*2.1*2.4*2.36</f>
        <v>17.8416</v>
      </c>
      <c r="U20" t="s">
        <v>12314</v>
      </c>
      <c r="V20" s="431"/>
      <c r="W20" s="430"/>
    </row>
    <row r="21" spans="1:26" ht="17.25" customHeight="1" x14ac:dyDescent="0.25">
      <c r="A21" s="203" t="s">
        <v>8904</v>
      </c>
      <c r="B21" s="204">
        <f>CONTROLLER!P39</f>
        <v>0</v>
      </c>
      <c r="C21" s="204">
        <f>CONTROLLER!Q39</f>
        <v>0</v>
      </c>
      <c r="D21" s="204">
        <f>CONTROLLER!R39</f>
        <v>0</v>
      </c>
      <c r="E21" s="204">
        <f>CONTROLLER!S39</f>
        <v>0</v>
      </c>
      <c r="F21" s="204">
        <f>CONTROLLER!T39</f>
        <v>0</v>
      </c>
      <c r="G21" s="204">
        <f>CONTROLLER!U39</f>
        <v>0</v>
      </c>
      <c r="H21" s="204">
        <f>CONTROLLER!V39</f>
        <v>0</v>
      </c>
      <c r="I21" s="204">
        <f>CONTROLLER!W39</f>
        <v>30</v>
      </c>
      <c r="J21" s="204">
        <f>CONTROLLER!X39</f>
        <v>14</v>
      </c>
      <c r="L21" s="13">
        <f>SUM(M21:P21)</f>
        <v>44</v>
      </c>
      <c r="M21" s="5">
        <f>SUM(B21:D21)</f>
        <v>0</v>
      </c>
      <c r="N21" s="5">
        <f>SUM(E21:G21)</f>
        <v>0</v>
      </c>
      <c r="O21" s="5">
        <f>SUM(H21:I21)</f>
        <v>30</v>
      </c>
      <c r="P21" s="55">
        <f>J21</f>
        <v>14</v>
      </c>
      <c r="R21" s="61" t="s">
        <v>1179</v>
      </c>
      <c r="S21" s="318">
        <f>1.15*1.8*2.1*2.36</f>
        <v>10.258919999999998</v>
      </c>
      <c r="T21" s="318">
        <f>1.15*1.8*2.1*2.36</f>
        <v>10.258919999999998</v>
      </c>
      <c r="U21" t="s">
        <v>12316</v>
      </c>
      <c r="V21" s="271"/>
      <c r="W21" s="270"/>
      <c r="Z21" s="151"/>
    </row>
    <row r="22" spans="1:26" x14ac:dyDescent="0.25">
      <c r="A22" s="203" t="s">
        <v>91</v>
      </c>
      <c r="B22" s="204">
        <f>CONTROLLER!P40</f>
        <v>0</v>
      </c>
      <c r="C22" s="204">
        <f>CONTROLLER!Q40</f>
        <v>0</v>
      </c>
      <c r="D22" s="204">
        <f>CONTROLLER!R40</f>
        <v>0</v>
      </c>
      <c r="E22" s="204">
        <f>CONTROLLER!S40</f>
        <v>0</v>
      </c>
      <c r="F22" s="204">
        <f>CONTROLLER!T40</f>
        <v>0</v>
      </c>
      <c r="G22" s="204">
        <f>CONTROLLER!U40</f>
        <v>0</v>
      </c>
      <c r="H22" s="204">
        <f>CONTROLLER!V40</f>
        <v>0</v>
      </c>
      <c r="I22" s="204">
        <f>CONTROLLER!W40</f>
        <v>0</v>
      </c>
      <c r="J22" s="204">
        <f>CONTROLLER!X40</f>
        <v>0</v>
      </c>
      <c r="L22" s="13">
        <f t="shared" ref="L22:L30" si="12">SUM(M22:P22)</f>
        <v>0</v>
      </c>
      <c r="M22" s="5">
        <f t="shared" ref="M22:M30" si="13">SUM(B22:D22)</f>
        <v>0</v>
      </c>
      <c r="N22" s="5">
        <f t="shared" ref="N22:N30" si="14">SUM(E22:G22)</f>
        <v>0</v>
      </c>
      <c r="O22" s="5">
        <f t="shared" ref="O22:O30" si="15">SUM(H22:I22)</f>
        <v>0</v>
      </c>
      <c r="P22" s="55">
        <f t="shared" ref="P22:P30" si="16">J22</f>
        <v>0</v>
      </c>
      <c r="R22" s="61" t="s">
        <v>19</v>
      </c>
      <c r="S22" s="318">
        <f>1.15*3*1.5*2.36</f>
        <v>12.212999999999999</v>
      </c>
      <c r="T22" s="318">
        <f>1.15*3*1.5*2.36</f>
        <v>12.212999999999999</v>
      </c>
      <c r="U22" t="s">
        <v>12315</v>
      </c>
    </row>
    <row r="23" spans="1:26" x14ac:dyDescent="0.25">
      <c r="A23" s="203" t="s">
        <v>92</v>
      </c>
      <c r="B23" s="204">
        <f>CONTROLLER!P41</f>
        <v>0</v>
      </c>
      <c r="C23" s="204">
        <f>CONTROLLER!Q41</f>
        <v>0</v>
      </c>
      <c r="D23" s="204">
        <f>CONTROLLER!R41</f>
        <v>0</v>
      </c>
      <c r="E23" s="204">
        <f>CONTROLLER!S41</f>
        <v>0</v>
      </c>
      <c r="F23" s="204">
        <f>CONTROLLER!T41</f>
        <v>0</v>
      </c>
      <c r="G23" s="204">
        <f>CONTROLLER!U41</f>
        <v>0</v>
      </c>
      <c r="H23" s="204">
        <f>CONTROLLER!V41</f>
        <v>0</v>
      </c>
      <c r="I23" s="204">
        <f>CONTROLLER!W41</f>
        <v>0</v>
      </c>
      <c r="J23" s="204">
        <f>CONTROLLER!X41</f>
        <v>0</v>
      </c>
      <c r="L23" s="13">
        <f t="shared" si="12"/>
        <v>0</v>
      </c>
      <c r="M23" s="5">
        <f t="shared" si="13"/>
        <v>0</v>
      </c>
      <c r="N23" s="5">
        <f t="shared" si="14"/>
        <v>0</v>
      </c>
      <c r="O23" s="5">
        <f t="shared" si="15"/>
        <v>0</v>
      </c>
      <c r="P23" s="55">
        <f t="shared" si="16"/>
        <v>0</v>
      </c>
      <c r="R23" s="61" t="s">
        <v>1180</v>
      </c>
      <c r="S23" s="81">
        <v>10</v>
      </c>
      <c r="T23" s="81">
        <v>10</v>
      </c>
    </row>
    <row r="24" spans="1:26" x14ac:dyDescent="0.25">
      <c r="A24" s="203" t="s">
        <v>93</v>
      </c>
      <c r="B24" s="204">
        <f>CONTROLLER!P42</f>
        <v>0</v>
      </c>
      <c r="C24" s="204">
        <f>CONTROLLER!Q42</f>
        <v>0</v>
      </c>
      <c r="D24" s="204">
        <f>CONTROLLER!R42</f>
        <v>0</v>
      </c>
      <c r="E24" s="204">
        <f>CONTROLLER!S42</f>
        <v>0</v>
      </c>
      <c r="F24" s="204">
        <f>CONTROLLER!T42</f>
        <v>0</v>
      </c>
      <c r="G24" s="204">
        <f>CONTROLLER!U42</f>
        <v>0</v>
      </c>
      <c r="H24" s="204">
        <f>CONTROLLER!V42</f>
        <v>0</v>
      </c>
      <c r="I24" s="204">
        <f>CONTROLLER!W42</f>
        <v>0</v>
      </c>
      <c r="J24" s="204">
        <f>CONTROLLER!X42</f>
        <v>0</v>
      </c>
      <c r="L24" s="13">
        <f t="shared" si="12"/>
        <v>0</v>
      </c>
      <c r="M24" s="5">
        <f t="shared" si="13"/>
        <v>0</v>
      </c>
      <c r="N24" s="5">
        <f t="shared" si="14"/>
        <v>0</v>
      </c>
      <c r="O24" s="5">
        <f t="shared" si="15"/>
        <v>0</v>
      </c>
      <c r="P24" s="55">
        <f t="shared" si="16"/>
        <v>0</v>
      </c>
      <c r="R24" s="61" t="s">
        <v>1181</v>
      </c>
      <c r="S24" s="81">
        <v>21</v>
      </c>
      <c r="T24" s="81">
        <v>21</v>
      </c>
    </row>
    <row r="25" spans="1:26" x14ac:dyDescent="0.25">
      <c r="A25" s="203" t="s">
        <v>94</v>
      </c>
      <c r="B25" s="204">
        <f>CONTROLLER!P43</f>
        <v>0</v>
      </c>
      <c r="C25" s="204">
        <f>CONTROLLER!Q43</f>
        <v>0</v>
      </c>
      <c r="D25" s="204">
        <f>CONTROLLER!R43</f>
        <v>0</v>
      </c>
      <c r="E25" s="204">
        <f>CONTROLLER!S43</f>
        <v>0</v>
      </c>
      <c r="F25" s="204">
        <f>CONTROLLER!T43</f>
        <v>0</v>
      </c>
      <c r="G25" s="204">
        <f>CONTROLLER!U43</f>
        <v>0</v>
      </c>
      <c r="H25" s="204">
        <f>CONTROLLER!V43</f>
        <v>0</v>
      </c>
      <c r="I25" s="204">
        <f>CONTROLLER!W43</f>
        <v>30</v>
      </c>
      <c r="J25" s="204">
        <f>CONTROLLER!X43</f>
        <v>0</v>
      </c>
      <c r="L25" s="13">
        <f t="shared" si="12"/>
        <v>30</v>
      </c>
      <c r="M25" s="5">
        <f t="shared" si="13"/>
        <v>0</v>
      </c>
      <c r="N25" s="5">
        <f t="shared" si="14"/>
        <v>0</v>
      </c>
      <c r="O25" s="5">
        <f t="shared" si="15"/>
        <v>30</v>
      </c>
      <c r="P25" s="55">
        <f t="shared" si="16"/>
        <v>0</v>
      </c>
      <c r="R25" s="61" t="s">
        <v>20</v>
      </c>
      <c r="S25" s="318">
        <v>6.5</v>
      </c>
      <c r="T25" s="318">
        <v>6.5</v>
      </c>
      <c r="U25" t="s">
        <v>12317</v>
      </c>
    </row>
    <row r="26" spans="1:26" x14ac:dyDescent="0.25">
      <c r="A26" s="203" t="s">
        <v>95</v>
      </c>
      <c r="B26" s="204">
        <f>CONTROLLER!P44</f>
        <v>20</v>
      </c>
      <c r="C26" s="204">
        <f>CONTROLLER!Q44</f>
        <v>42</v>
      </c>
      <c r="D26" s="204">
        <f>CONTROLLER!R44</f>
        <v>0</v>
      </c>
      <c r="E26" s="204">
        <f>CONTROLLER!S44</f>
        <v>13</v>
      </c>
      <c r="F26" s="204">
        <f>CONTROLLER!T44</f>
        <v>0</v>
      </c>
      <c r="G26" s="204">
        <f>CONTROLLER!U44</f>
        <v>14</v>
      </c>
      <c r="H26" s="204">
        <f>CONTROLLER!V44</f>
        <v>13</v>
      </c>
      <c r="I26" s="204">
        <f>CONTROLLER!W44</f>
        <v>90</v>
      </c>
      <c r="J26" s="204">
        <f>CONTROLLER!X44</f>
        <v>64</v>
      </c>
      <c r="L26" s="13">
        <f t="shared" si="12"/>
        <v>256</v>
      </c>
      <c r="M26" s="5">
        <f t="shared" si="13"/>
        <v>62</v>
      </c>
      <c r="N26" s="5">
        <f t="shared" si="14"/>
        <v>27</v>
      </c>
      <c r="O26" s="5">
        <f t="shared" si="15"/>
        <v>103</v>
      </c>
      <c r="P26" s="55">
        <f t="shared" si="16"/>
        <v>64</v>
      </c>
      <c r="R26" s="61" t="s">
        <v>71</v>
      </c>
      <c r="S26" s="81">
        <v>10</v>
      </c>
      <c r="T26" s="81">
        <v>10</v>
      </c>
    </row>
    <row r="27" spans="1:26" x14ac:dyDescent="0.25">
      <c r="A27" s="203" t="s">
        <v>96</v>
      </c>
      <c r="B27" s="204">
        <f>CONTROLLER!P45</f>
        <v>0</v>
      </c>
      <c r="C27" s="204">
        <f>CONTROLLER!Q45</f>
        <v>10</v>
      </c>
      <c r="D27" s="204">
        <f>CONTROLLER!R45</f>
        <v>0</v>
      </c>
      <c r="E27" s="204">
        <f>CONTROLLER!S45</f>
        <v>36</v>
      </c>
      <c r="F27" s="204">
        <f>CONTROLLER!T45</f>
        <v>0</v>
      </c>
      <c r="G27" s="204">
        <f>CONTROLLER!U45</f>
        <v>0</v>
      </c>
      <c r="H27" s="204">
        <f>CONTROLLER!V45</f>
        <v>0</v>
      </c>
      <c r="I27" s="204">
        <f>CONTROLLER!W45</f>
        <v>30</v>
      </c>
      <c r="J27" s="204">
        <f>CONTROLLER!X45</f>
        <v>92</v>
      </c>
      <c r="L27" s="13">
        <f t="shared" si="12"/>
        <v>168</v>
      </c>
      <c r="M27" s="5">
        <f t="shared" si="13"/>
        <v>10</v>
      </c>
      <c r="N27" s="5">
        <f t="shared" si="14"/>
        <v>36</v>
      </c>
      <c r="O27" s="5">
        <f t="shared" si="15"/>
        <v>30</v>
      </c>
      <c r="P27" s="55">
        <f t="shared" si="16"/>
        <v>92</v>
      </c>
      <c r="Q27" s="31"/>
      <c r="R27" s="61" t="s">
        <v>211</v>
      </c>
      <c r="S27" s="81">
        <v>7</v>
      </c>
      <c r="T27" s="81">
        <v>7</v>
      </c>
      <c r="Y27" t="s">
        <v>47</v>
      </c>
    </row>
    <row r="28" spans="1:26" x14ac:dyDescent="0.25">
      <c r="A28" s="203" t="s">
        <v>258</v>
      </c>
      <c r="B28" s="204">
        <f>CONTROLLER!P46</f>
        <v>0</v>
      </c>
      <c r="C28" s="204">
        <f>CONTROLLER!Q46</f>
        <v>42</v>
      </c>
      <c r="D28" s="204">
        <f>CONTROLLER!R46</f>
        <v>0</v>
      </c>
      <c r="E28" s="204">
        <f>CONTROLLER!S46</f>
        <v>18</v>
      </c>
      <c r="F28" s="204">
        <f>CONTROLLER!T46</f>
        <v>0</v>
      </c>
      <c r="G28" s="204">
        <f>CONTROLLER!U46</f>
        <v>0</v>
      </c>
      <c r="H28" s="204">
        <f>CONTROLLER!V46</f>
        <v>18</v>
      </c>
      <c r="I28" s="204">
        <f>CONTROLLER!W46</f>
        <v>30</v>
      </c>
      <c r="J28" s="204">
        <f>CONTROLLER!X46</f>
        <v>14</v>
      </c>
      <c r="L28" s="13">
        <f t="shared" si="12"/>
        <v>122</v>
      </c>
      <c r="M28" s="5">
        <f t="shared" si="13"/>
        <v>42</v>
      </c>
      <c r="N28" s="5">
        <f t="shared" si="14"/>
        <v>18</v>
      </c>
      <c r="O28" s="5">
        <f t="shared" si="15"/>
        <v>48</v>
      </c>
      <c r="P28" s="55">
        <f t="shared" si="16"/>
        <v>14</v>
      </c>
      <c r="Q28" s="31"/>
      <c r="R28" s="61" t="s">
        <v>250</v>
      </c>
      <c r="S28" s="81">
        <v>14</v>
      </c>
      <c r="T28" s="81">
        <v>14</v>
      </c>
    </row>
    <row r="29" spans="1:26" x14ac:dyDescent="0.25">
      <c r="A29" s="203" t="s">
        <v>1166</v>
      </c>
      <c r="B29" s="204">
        <f>CONTROLLER!P47</f>
        <v>0</v>
      </c>
      <c r="C29" s="204">
        <f>CONTROLLER!Q47</f>
        <v>80</v>
      </c>
      <c r="D29" s="204">
        <f>CONTROLLER!R47</f>
        <v>0</v>
      </c>
      <c r="E29" s="204">
        <f>CONTROLLER!S47</f>
        <v>90</v>
      </c>
      <c r="F29" s="204">
        <f>CONTROLLER!T47</f>
        <v>24</v>
      </c>
      <c r="G29" s="204">
        <f>CONTROLLER!U47</f>
        <v>21</v>
      </c>
      <c r="H29" s="204">
        <f>CONTROLLER!V47</f>
        <v>0</v>
      </c>
      <c r="I29" s="204">
        <f>CONTROLLER!W47</f>
        <v>0</v>
      </c>
      <c r="J29" s="204">
        <f>CONTROLLER!X47</f>
        <v>0</v>
      </c>
      <c r="L29" s="13">
        <f t="shared" si="12"/>
        <v>215</v>
      </c>
      <c r="M29" s="5">
        <f t="shared" si="13"/>
        <v>80</v>
      </c>
      <c r="N29" s="5">
        <f t="shared" si="14"/>
        <v>135</v>
      </c>
      <c r="O29" s="5">
        <f t="shared" si="15"/>
        <v>0</v>
      </c>
      <c r="P29" s="55">
        <f t="shared" si="16"/>
        <v>0</v>
      </c>
      <c r="Q29" s="117"/>
      <c r="R29" s="61" t="s">
        <v>1184</v>
      </c>
      <c r="S29" s="81">
        <v>32</v>
      </c>
      <c r="T29" s="81">
        <v>32</v>
      </c>
      <c r="U29" t="s">
        <v>9274</v>
      </c>
    </row>
    <row r="30" spans="1:26" ht="17.25" customHeight="1" x14ac:dyDescent="0.25">
      <c r="A30" s="203" t="s">
        <v>1167</v>
      </c>
      <c r="B30" s="204">
        <f>CONTROLLER!P48</f>
        <v>21</v>
      </c>
      <c r="C30" s="204">
        <f>CONTROLLER!Q48</f>
        <v>56</v>
      </c>
      <c r="D30" s="204">
        <f>CONTROLLER!R48</f>
        <v>0</v>
      </c>
      <c r="E30" s="204">
        <f>CONTROLLER!S48</f>
        <v>72</v>
      </c>
      <c r="F30" s="204">
        <f>CONTROLLER!T48</f>
        <v>12</v>
      </c>
      <c r="G30" s="204">
        <f>CONTROLLER!U48</f>
        <v>0</v>
      </c>
      <c r="H30" s="204">
        <f>CONTROLLER!V48</f>
        <v>18</v>
      </c>
      <c r="I30" s="204">
        <f>CONTROLLER!W48</f>
        <v>0</v>
      </c>
      <c r="J30" s="204">
        <f>CONTROLLER!X48</f>
        <v>0</v>
      </c>
      <c r="L30" s="13">
        <f t="shared" si="12"/>
        <v>179</v>
      </c>
      <c r="M30" s="5">
        <f t="shared" si="13"/>
        <v>77</v>
      </c>
      <c r="N30" s="5">
        <f t="shared" si="14"/>
        <v>84</v>
      </c>
      <c r="O30" s="5">
        <f t="shared" si="15"/>
        <v>18</v>
      </c>
      <c r="P30" s="55">
        <f t="shared" si="16"/>
        <v>0</v>
      </c>
      <c r="Q30" s="31"/>
      <c r="R30" s="288" t="s">
        <v>441</v>
      </c>
      <c r="S30" s="81">
        <v>6</v>
      </c>
      <c r="T30" s="81">
        <v>6</v>
      </c>
      <c r="U30" t="s">
        <v>9358</v>
      </c>
    </row>
    <row r="31" spans="1:26" ht="17.25" customHeight="1" x14ac:dyDescent="0.25">
      <c r="A31" s="203" t="s">
        <v>12320</v>
      </c>
      <c r="B31" s="204">
        <f>CONTROLLER!P49</f>
        <v>14</v>
      </c>
      <c r="C31" s="204">
        <f>CONTROLLER!Q49</f>
        <v>98</v>
      </c>
      <c r="D31" s="204">
        <f>CONTROLLER!R49</f>
        <v>64</v>
      </c>
      <c r="E31" s="204">
        <f>CONTROLLER!S49</f>
        <v>108</v>
      </c>
      <c r="F31" s="204">
        <f>CONTROLLER!T49</f>
        <v>60</v>
      </c>
      <c r="G31" s="204">
        <f>CONTROLLER!U49</f>
        <v>14</v>
      </c>
      <c r="H31" s="204">
        <f>CONTROLLER!V49</f>
        <v>36</v>
      </c>
      <c r="I31" s="204">
        <f>CONTROLLER!W49</f>
        <v>0</v>
      </c>
      <c r="J31" s="204">
        <f>CONTROLLER!X49</f>
        <v>0</v>
      </c>
      <c r="L31" s="13">
        <f>SUM(M31:P31)</f>
        <v>394</v>
      </c>
      <c r="M31" s="5">
        <f>SUM(B31:D31)</f>
        <v>176</v>
      </c>
      <c r="N31" s="5">
        <f>SUM(E31:G31)</f>
        <v>182</v>
      </c>
      <c r="O31" s="5">
        <f>SUM(H31:I31)</f>
        <v>36</v>
      </c>
      <c r="P31" s="55">
        <f>J31</f>
        <v>0</v>
      </c>
      <c r="Q31" s="31"/>
      <c r="R31" s="288" t="s">
        <v>441</v>
      </c>
      <c r="S31" s="81">
        <v>6</v>
      </c>
      <c r="T31" s="81">
        <v>6</v>
      </c>
      <c r="U31" t="s">
        <v>9358</v>
      </c>
    </row>
    <row r="32" spans="1:26" x14ac:dyDescent="0.25">
      <c r="A32" s="203" t="s">
        <v>14095</v>
      </c>
      <c r="B32" s="204">
        <f>CONTROLLER!P50</f>
        <v>0</v>
      </c>
      <c r="C32" s="204">
        <f>CONTROLLER!Q50</f>
        <v>0</v>
      </c>
      <c r="D32" s="204">
        <f>CONTROLLER!R50</f>
        <v>0</v>
      </c>
      <c r="E32" s="204">
        <f>CONTROLLER!S50</f>
        <v>90</v>
      </c>
      <c r="F32" s="204">
        <f>CONTROLLER!T50</f>
        <v>12</v>
      </c>
      <c r="G32" s="204">
        <f>CONTROLLER!U50</f>
        <v>0</v>
      </c>
      <c r="H32" s="204">
        <f>CONTROLLER!V50</f>
        <v>36</v>
      </c>
      <c r="I32" s="204">
        <f>CONTROLLER!W50</f>
        <v>0</v>
      </c>
      <c r="J32" s="204">
        <f>CONTROLLER!X50</f>
        <v>0</v>
      </c>
      <c r="L32" s="13">
        <f>SUM(M32:P32)</f>
        <v>138</v>
      </c>
      <c r="M32" s="5">
        <f>SUM(B32:D32)</f>
        <v>0</v>
      </c>
      <c r="N32" s="5">
        <f>SUM(E32:G32)</f>
        <v>102</v>
      </c>
      <c r="O32" s="5">
        <f>SUM(H32:I32)</f>
        <v>36</v>
      </c>
      <c r="P32" s="55">
        <f>J32</f>
        <v>0</v>
      </c>
      <c r="Q32" s="31"/>
      <c r="R32" s="288" t="s">
        <v>1182</v>
      </c>
      <c r="S32" s="81">
        <v>10</v>
      </c>
      <c r="T32" s="81">
        <v>10</v>
      </c>
      <c r="U32" t="s">
        <v>9359</v>
      </c>
    </row>
    <row r="33" spans="1:21" x14ac:dyDescent="0.25">
      <c r="A33" s="205" t="s">
        <v>14</v>
      </c>
      <c r="B33" s="206">
        <f>SUM(B21:B32)</f>
        <v>55</v>
      </c>
      <c r="C33" s="206">
        <f t="shared" ref="C33:J33" si="17">SUM(C21:C32)</f>
        <v>328</v>
      </c>
      <c r="D33" s="206">
        <f t="shared" si="17"/>
        <v>64</v>
      </c>
      <c r="E33" s="206">
        <f t="shared" si="17"/>
        <v>427</v>
      </c>
      <c r="F33" s="206">
        <f t="shared" si="17"/>
        <v>108</v>
      </c>
      <c r="G33" s="206">
        <f t="shared" si="17"/>
        <v>49</v>
      </c>
      <c r="H33" s="206">
        <f t="shared" si="17"/>
        <v>121</v>
      </c>
      <c r="I33" s="206">
        <f t="shared" si="17"/>
        <v>210</v>
      </c>
      <c r="J33" s="206">
        <f t="shared" si="17"/>
        <v>184</v>
      </c>
      <c r="L33" s="13">
        <f>SUM(L21:L32)</f>
        <v>1546</v>
      </c>
      <c r="M33" s="13">
        <f>SUM(M21:M32)</f>
        <v>447</v>
      </c>
      <c r="N33" s="13">
        <f>SUM(N21:N32)</f>
        <v>584</v>
      </c>
      <c r="O33" s="13">
        <f>SUM(O21:O32)</f>
        <v>331</v>
      </c>
      <c r="P33" s="13">
        <f>SUM(P21:P32)</f>
        <v>184</v>
      </c>
      <c r="Q33" s="31"/>
      <c r="R33" s="288" t="s">
        <v>1183</v>
      </c>
      <c r="S33" s="81">
        <v>20</v>
      </c>
      <c r="T33" s="81">
        <v>20</v>
      </c>
      <c r="U33" t="s">
        <v>9360</v>
      </c>
    </row>
    <row r="34" spans="1:21" x14ac:dyDescent="0.25">
      <c r="Q34" s="31"/>
      <c r="R34" s="288" t="s">
        <v>1185</v>
      </c>
      <c r="S34" s="81">
        <v>14</v>
      </c>
      <c r="T34" s="81">
        <v>14</v>
      </c>
    </row>
    <row r="35" spans="1:21" ht="21" x14ac:dyDescent="0.35">
      <c r="A35" s="435" t="s">
        <v>33</v>
      </c>
      <c r="B35" s="436"/>
      <c r="C35" s="436"/>
      <c r="D35" s="436"/>
      <c r="E35" s="436"/>
      <c r="F35" s="436"/>
      <c r="G35" s="436"/>
      <c r="H35" s="436"/>
      <c r="I35" s="436"/>
      <c r="J35" s="436"/>
      <c r="K35" s="436"/>
      <c r="L35" s="436"/>
      <c r="M35" s="436"/>
      <c r="N35" s="436"/>
      <c r="O35" s="436"/>
      <c r="P35" s="436"/>
      <c r="R35" s="61" t="s">
        <v>1186</v>
      </c>
      <c r="S35" s="27">
        <v>8</v>
      </c>
      <c r="T35" s="27">
        <v>8</v>
      </c>
    </row>
    <row r="36" spans="1:21" ht="18.75" x14ac:dyDescent="0.25">
      <c r="A36" s="1"/>
      <c r="B36" s="142" t="s">
        <v>0</v>
      </c>
      <c r="C36" s="143"/>
      <c r="D36" s="144"/>
      <c r="E36" s="432" t="s">
        <v>16</v>
      </c>
      <c r="F36" s="433"/>
      <c r="G36" s="433"/>
      <c r="H36" s="434"/>
      <c r="I36" s="137" t="s">
        <v>22</v>
      </c>
      <c r="J36" s="138"/>
      <c r="K36" s="6"/>
      <c r="L36" s="3" t="s">
        <v>14</v>
      </c>
      <c r="M36" s="3" t="s">
        <v>26</v>
      </c>
      <c r="N36" s="3" t="s">
        <v>27</v>
      </c>
      <c r="O36" s="3" t="s">
        <v>28</v>
      </c>
      <c r="P36" s="3" t="s">
        <v>62</v>
      </c>
      <c r="R36" s="61" t="s">
        <v>1187</v>
      </c>
      <c r="S36" s="81">
        <v>10</v>
      </c>
      <c r="T36" s="81">
        <v>10</v>
      </c>
    </row>
    <row r="37" spans="1:21" ht="15.75" x14ac:dyDescent="0.25">
      <c r="A37" s="1"/>
      <c r="B37" s="2" t="s">
        <v>211</v>
      </c>
      <c r="C37" s="2" t="s">
        <v>23</v>
      </c>
      <c r="D37" s="2" t="s">
        <v>1</v>
      </c>
      <c r="E37" s="3" t="s">
        <v>18</v>
      </c>
      <c r="F37" s="3" t="s">
        <v>19</v>
      </c>
      <c r="G37" s="3" t="s">
        <v>20</v>
      </c>
      <c r="H37" s="3" t="s">
        <v>21</v>
      </c>
      <c r="I37" s="3" t="s">
        <v>28</v>
      </c>
      <c r="J37" s="3" t="s">
        <v>62</v>
      </c>
      <c r="K37" s="7"/>
      <c r="L37" s="3"/>
      <c r="M37" s="3"/>
      <c r="N37" s="3"/>
      <c r="O37" s="3"/>
      <c r="P37" s="3"/>
    </row>
    <row r="38" spans="1:21" x14ac:dyDescent="0.25">
      <c r="A38" s="1" t="s">
        <v>8902</v>
      </c>
      <c r="B38" s="5">
        <f t="shared" ref="B38:J38" si="18">IFERROR(B21/$S4,0)</f>
        <v>0</v>
      </c>
      <c r="C38" s="5">
        <f t="shared" si="18"/>
        <v>0</v>
      </c>
      <c r="D38" s="5">
        <f t="shared" si="18"/>
        <v>0</v>
      </c>
      <c r="E38" s="5">
        <f t="shared" si="18"/>
        <v>0</v>
      </c>
      <c r="F38" s="5">
        <f t="shared" si="18"/>
        <v>0</v>
      </c>
      <c r="G38" s="5">
        <f t="shared" si="18"/>
        <v>0</v>
      </c>
      <c r="H38" s="5">
        <f t="shared" si="18"/>
        <v>0</v>
      </c>
      <c r="I38" s="5">
        <f t="shared" si="18"/>
        <v>20.454545454545457</v>
      </c>
      <c r="J38" s="5">
        <f t="shared" si="18"/>
        <v>9.5454545454545467</v>
      </c>
      <c r="K38" s="23"/>
      <c r="L38" s="13">
        <f>SUM(M38:P38)</f>
        <v>30.000000000000004</v>
      </c>
      <c r="M38" s="253">
        <f>SUM(B38:D38)</f>
        <v>0</v>
      </c>
      <c r="N38" s="253">
        <f>SUM(E38:G38)</f>
        <v>0</v>
      </c>
      <c r="O38" s="253">
        <f>SUM(H38:I38)</f>
        <v>20.454545454545457</v>
      </c>
      <c r="P38" s="253">
        <f>SUM(J38)</f>
        <v>9.5454545454545467</v>
      </c>
    </row>
    <row r="39" spans="1:21" x14ac:dyDescent="0.25">
      <c r="A39" s="1" t="s">
        <v>6</v>
      </c>
      <c r="B39" s="5">
        <f t="shared" ref="B39:J39" si="19">IFERROR(B22/$S5,0)</f>
        <v>0</v>
      </c>
      <c r="C39" s="5">
        <f t="shared" si="19"/>
        <v>0</v>
      </c>
      <c r="D39" s="5">
        <f t="shared" si="19"/>
        <v>0</v>
      </c>
      <c r="E39" s="5">
        <f t="shared" si="19"/>
        <v>0</v>
      </c>
      <c r="F39" s="5">
        <f t="shared" si="19"/>
        <v>0</v>
      </c>
      <c r="G39" s="5">
        <f t="shared" si="19"/>
        <v>0</v>
      </c>
      <c r="H39" s="5">
        <f t="shared" si="19"/>
        <v>0</v>
      </c>
      <c r="I39" s="5">
        <f t="shared" si="19"/>
        <v>0</v>
      </c>
      <c r="J39" s="5">
        <f t="shared" si="19"/>
        <v>0</v>
      </c>
      <c r="K39" s="23"/>
      <c r="L39" s="13">
        <f t="shared" ref="L39:L45" si="20">SUM(M39:P39)</f>
        <v>0</v>
      </c>
      <c r="M39" s="253">
        <f t="shared" ref="M39:M47" si="21">SUM(B39:D39)</f>
        <v>0</v>
      </c>
      <c r="N39" s="253">
        <f t="shared" ref="N39:N47" si="22">SUM(E39:G39)</f>
        <v>0</v>
      </c>
      <c r="O39" s="253">
        <f t="shared" ref="O39:O45" si="23">SUM(H39:I39)</f>
        <v>0</v>
      </c>
      <c r="P39" s="253">
        <f t="shared" ref="P39:P45" si="24">SUM(J39)</f>
        <v>0</v>
      </c>
    </row>
    <row r="40" spans="1:21" ht="15" customHeight="1" x14ac:dyDescent="0.25">
      <c r="A40" s="1" t="s">
        <v>8</v>
      </c>
      <c r="B40" s="5">
        <f t="shared" ref="B40:J40" si="25">IFERROR(B23/$S6,0)</f>
        <v>0</v>
      </c>
      <c r="C40" s="5">
        <f t="shared" si="25"/>
        <v>0</v>
      </c>
      <c r="D40" s="5">
        <f t="shared" si="25"/>
        <v>0</v>
      </c>
      <c r="E40" s="5">
        <f t="shared" si="25"/>
        <v>0</v>
      </c>
      <c r="F40" s="5">
        <f t="shared" si="25"/>
        <v>0</v>
      </c>
      <c r="G40" s="5">
        <f t="shared" si="25"/>
        <v>0</v>
      </c>
      <c r="H40" s="5">
        <f t="shared" si="25"/>
        <v>0</v>
      </c>
      <c r="I40" s="5">
        <f t="shared" si="25"/>
        <v>0</v>
      </c>
      <c r="J40" s="5">
        <f t="shared" si="25"/>
        <v>0</v>
      </c>
      <c r="K40" s="23"/>
      <c r="L40" s="13">
        <f t="shared" si="20"/>
        <v>0</v>
      </c>
      <c r="M40" s="253">
        <f t="shared" si="21"/>
        <v>0</v>
      </c>
      <c r="N40" s="253">
        <f t="shared" si="22"/>
        <v>0</v>
      </c>
      <c r="O40" s="253">
        <f t="shared" si="23"/>
        <v>0</v>
      </c>
      <c r="P40" s="253">
        <f t="shared" si="24"/>
        <v>0</v>
      </c>
    </row>
    <row r="41" spans="1:21" x14ac:dyDescent="0.25">
      <c r="A41" s="1" t="s">
        <v>10</v>
      </c>
      <c r="B41" s="5">
        <f t="shared" ref="B41:J41" si="26">IFERROR(B24/$S7,0)</f>
        <v>0</v>
      </c>
      <c r="C41" s="5">
        <f t="shared" si="26"/>
        <v>0</v>
      </c>
      <c r="D41" s="5">
        <f t="shared" si="26"/>
        <v>0</v>
      </c>
      <c r="E41" s="5">
        <f t="shared" si="26"/>
        <v>0</v>
      </c>
      <c r="F41" s="5">
        <f t="shared" si="26"/>
        <v>0</v>
      </c>
      <c r="G41" s="5">
        <f t="shared" si="26"/>
        <v>0</v>
      </c>
      <c r="H41" s="5">
        <f t="shared" si="26"/>
        <v>0</v>
      </c>
      <c r="I41" s="5">
        <f t="shared" si="26"/>
        <v>0</v>
      </c>
      <c r="J41" s="5">
        <f t="shared" si="26"/>
        <v>0</v>
      </c>
      <c r="K41" s="23"/>
      <c r="L41" s="13">
        <f t="shared" si="20"/>
        <v>0</v>
      </c>
      <c r="M41" s="253">
        <f t="shared" si="21"/>
        <v>0</v>
      </c>
      <c r="N41" s="253">
        <f t="shared" si="22"/>
        <v>0</v>
      </c>
      <c r="O41" s="253">
        <f t="shared" si="23"/>
        <v>0</v>
      </c>
      <c r="P41" s="253">
        <f t="shared" si="24"/>
        <v>0</v>
      </c>
      <c r="S41" s="32"/>
    </row>
    <row r="42" spans="1:21" x14ac:dyDescent="0.25">
      <c r="A42" s="1" t="s">
        <v>12</v>
      </c>
      <c r="B42" s="5">
        <f t="shared" ref="B42:J42" si="27">IFERROR(B25/$S8,0)</f>
        <v>0</v>
      </c>
      <c r="C42" s="5">
        <f t="shared" si="27"/>
        <v>0</v>
      </c>
      <c r="D42" s="5">
        <f t="shared" si="27"/>
        <v>0</v>
      </c>
      <c r="E42" s="5">
        <f t="shared" si="27"/>
        <v>0</v>
      </c>
      <c r="F42" s="5">
        <f t="shared" si="27"/>
        <v>0</v>
      </c>
      <c r="G42" s="5">
        <f t="shared" si="27"/>
        <v>0</v>
      </c>
      <c r="H42" s="5">
        <f t="shared" si="27"/>
        <v>0</v>
      </c>
      <c r="I42" s="5">
        <f t="shared" si="27"/>
        <v>60</v>
      </c>
      <c r="J42" s="5">
        <f t="shared" si="27"/>
        <v>0</v>
      </c>
      <c r="K42" s="23"/>
      <c r="L42" s="13">
        <f t="shared" si="20"/>
        <v>60</v>
      </c>
      <c r="M42" s="253">
        <f t="shared" si="21"/>
        <v>0</v>
      </c>
      <c r="N42" s="253">
        <f t="shared" si="22"/>
        <v>0</v>
      </c>
      <c r="O42" s="253">
        <f t="shared" si="23"/>
        <v>60</v>
      </c>
      <c r="P42" s="253">
        <f t="shared" si="24"/>
        <v>0</v>
      </c>
    </row>
    <row r="43" spans="1:21" x14ac:dyDescent="0.25">
      <c r="A43" s="1" t="s">
        <v>13</v>
      </c>
      <c r="B43" s="5">
        <f t="shared" ref="B43:J43" si="28">IFERROR(B26/$S9,0)</f>
        <v>15.625</v>
      </c>
      <c r="C43" s="5">
        <f t="shared" si="28"/>
        <v>32.8125</v>
      </c>
      <c r="D43" s="5">
        <f t="shared" si="28"/>
        <v>0</v>
      </c>
      <c r="E43" s="5">
        <f t="shared" si="28"/>
        <v>10.15625</v>
      </c>
      <c r="F43" s="5">
        <f t="shared" si="28"/>
        <v>0</v>
      </c>
      <c r="G43" s="5">
        <f t="shared" si="28"/>
        <v>10.9375</v>
      </c>
      <c r="H43" s="5">
        <f t="shared" si="28"/>
        <v>10.15625</v>
      </c>
      <c r="I43" s="5">
        <f t="shared" si="28"/>
        <v>70.3125</v>
      </c>
      <c r="J43" s="5">
        <f t="shared" si="28"/>
        <v>50</v>
      </c>
      <c r="K43" s="23"/>
      <c r="L43" s="13">
        <f t="shared" si="20"/>
        <v>200</v>
      </c>
      <c r="M43" s="253">
        <f t="shared" si="21"/>
        <v>48.4375</v>
      </c>
      <c r="N43" s="253">
        <f t="shared" si="22"/>
        <v>21.09375</v>
      </c>
      <c r="O43" s="253">
        <f>SUM(H43:I43)</f>
        <v>80.46875</v>
      </c>
      <c r="P43" s="253">
        <f t="shared" si="24"/>
        <v>50</v>
      </c>
      <c r="S43" s="32"/>
    </row>
    <row r="44" spans="1:21" x14ac:dyDescent="0.25">
      <c r="A44" s="1" t="s">
        <v>65</v>
      </c>
      <c r="B44" s="5">
        <f t="shared" ref="B44:J44" si="29">IFERROR(B27/$S10,0)</f>
        <v>0</v>
      </c>
      <c r="C44" s="5">
        <f t="shared" si="29"/>
        <v>14.88095238095238</v>
      </c>
      <c r="D44" s="5">
        <f t="shared" si="29"/>
        <v>0</v>
      </c>
      <c r="E44" s="5">
        <f t="shared" si="29"/>
        <v>53.571428571428569</v>
      </c>
      <c r="F44" s="5">
        <f t="shared" si="29"/>
        <v>0</v>
      </c>
      <c r="G44" s="5">
        <f t="shared" si="29"/>
        <v>0</v>
      </c>
      <c r="H44" s="5">
        <f t="shared" si="29"/>
        <v>0</v>
      </c>
      <c r="I44" s="5">
        <f t="shared" si="29"/>
        <v>44.642857142857139</v>
      </c>
      <c r="J44" s="5">
        <f t="shared" si="29"/>
        <v>136.9047619047619</v>
      </c>
      <c r="K44" s="8"/>
      <c r="L44" s="13">
        <f t="shared" si="20"/>
        <v>250</v>
      </c>
      <c r="M44" s="253">
        <f t="shared" si="21"/>
        <v>14.88095238095238</v>
      </c>
      <c r="N44" s="253">
        <f t="shared" si="22"/>
        <v>53.571428571428569</v>
      </c>
      <c r="O44" s="253">
        <f t="shared" si="23"/>
        <v>44.642857142857139</v>
      </c>
      <c r="P44" s="253">
        <f t="shared" si="24"/>
        <v>136.9047619047619</v>
      </c>
    </row>
    <row r="45" spans="1:21" x14ac:dyDescent="0.25">
      <c r="A45" s="1" t="s">
        <v>257</v>
      </c>
      <c r="B45" s="5">
        <f t="shared" ref="B45:J45" si="30">IFERROR(B28/$S11,0)</f>
        <v>0</v>
      </c>
      <c r="C45" s="5">
        <f t="shared" si="30"/>
        <v>86.06557377049181</v>
      </c>
      <c r="D45" s="5">
        <f t="shared" si="30"/>
        <v>0</v>
      </c>
      <c r="E45" s="5">
        <f t="shared" si="30"/>
        <v>36.885245901639344</v>
      </c>
      <c r="F45" s="5">
        <f t="shared" si="30"/>
        <v>0</v>
      </c>
      <c r="G45" s="5">
        <f t="shared" si="30"/>
        <v>0</v>
      </c>
      <c r="H45" s="5">
        <f t="shared" si="30"/>
        <v>36.885245901639344</v>
      </c>
      <c r="I45" s="5">
        <f t="shared" si="30"/>
        <v>61.475409836065573</v>
      </c>
      <c r="J45" s="5">
        <f t="shared" si="30"/>
        <v>28.688524590163937</v>
      </c>
      <c r="K45" s="8"/>
      <c r="L45" s="13">
        <f t="shared" si="20"/>
        <v>250</v>
      </c>
      <c r="M45" s="253">
        <f t="shared" si="21"/>
        <v>86.06557377049181</v>
      </c>
      <c r="N45" s="253">
        <f t="shared" si="22"/>
        <v>36.885245901639344</v>
      </c>
      <c r="O45" s="253">
        <f t="shared" si="23"/>
        <v>98.360655737704917</v>
      </c>
      <c r="P45" s="253">
        <f t="shared" si="24"/>
        <v>28.688524590163937</v>
      </c>
      <c r="R45" s="31"/>
    </row>
    <row r="46" spans="1:21" ht="15.75" customHeight="1" x14ac:dyDescent="0.25">
      <c r="A46" s="1" t="s">
        <v>1152</v>
      </c>
      <c r="B46" s="5">
        <f t="shared" ref="B46:J46" si="31">IFERROR(B29/$S12,0)</f>
        <v>0</v>
      </c>
      <c r="C46" s="5">
        <f t="shared" si="31"/>
        <v>241.86046511627907</v>
      </c>
      <c r="D46" s="5">
        <f t="shared" si="31"/>
        <v>0</v>
      </c>
      <c r="E46" s="5">
        <f t="shared" si="31"/>
        <v>272.09302325581399</v>
      </c>
      <c r="F46" s="5">
        <f t="shared" si="31"/>
        <v>72.558139534883722</v>
      </c>
      <c r="G46" s="5">
        <f t="shared" si="31"/>
        <v>63.488372093023258</v>
      </c>
      <c r="H46" s="5">
        <f t="shared" si="31"/>
        <v>0</v>
      </c>
      <c r="I46" s="5">
        <f t="shared" si="31"/>
        <v>0</v>
      </c>
      <c r="J46" s="5">
        <f t="shared" si="31"/>
        <v>0</v>
      </c>
      <c r="K46" s="8"/>
      <c r="L46" s="13">
        <f>SUM(M46:P46)</f>
        <v>650</v>
      </c>
      <c r="M46" s="253">
        <f t="shared" si="21"/>
        <v>241.86046511627907</v>
      </c>
      <c r="N46" s="253">
        <f t="shared" si="22"/>
        <v>408.13953488372096</v>
      </c>
      <c r="O46" s="253">
        <f>SUM(H46:I46)</f>
        <v>0</v>
      </c>
      <c r="P46" s="253">
        <f>SUM(J46)</f>
        <v>0</v>
      </c>
      <c r="Q46" s="32"/>
      <c r="R46" s="32"/>
    </row>
    <row r="47" spans="1:21" ht="15.75" customHeight="1" x14ac:dyDescent="0.25">
      <c r="A47" s="1" t="s">
        <v>1153</v>
      </c>
      <c r="B47" s="5">
        <f t="shared" ref="B47:J47" si="32">IFERROR(B30/$S13,0)</f>
        <v>99.720670391061446</v>
      </c>
      <c r="C47" s="5">
        <f t="shared" si="32"/>
        <v>265.92178770949721</v>
      </c>
      <c r="D47" s="5">
        <f t="shared" si="32"/>
        <v>0</v>
      </c>
      <c r="E47" s="5">
        <f t="shared" si="32"/>
        <v>341.89944134078212</v>
      </c>
      <c r="F47" s="5">
        <f t="shared" si="32"/>
        <v>56.983240223463682</v>
      </c>
      <c r="G47" s="5">
        <f t="shared" si="32"/>
        <v>0</v>
      </c>
      <c r="H47" s="5">
        <f t="shared" si="32"/>
        <v>85.47486033519553</v>
      </c>
      <c r="I47" s="5">
        <f t="shared" si="32"/>
        <v>0</v>
      </c>
      <c r="J47" s="5">
        <f t="shared" si="32"/>
        <v>0</v>
      </c>
      <c r="K47" s="8"/>
      <c r="L47" s="13">
        <f>SUM(M47:P47)</f>
        <v>850</v>
      </c>
      <c r="M47" s="5">
        <f t="shared" si="21"/>
        <v>365.64245810055866</v>
      </c>
      <c r="N47" s="5">
        <f t="shared" si="22"/>
        <v>398.88268156424579</v>
      </c>
      <c r="O47" s="5">
        <f>SUM(H47:I47)</f>
        <v>85.47486033519553</v>
      </c>
      <c r="P47" s="5">
        <f>SUM(J47)</f>
        <v>0</v>
      </c>
      <c r="Q47" s="32"/>
      <c r="R47" s="32"/>
    </row>
    <row r="48" spans="1:21" x14ac:dyDescent="0.25">
      <c r="A48" s="249" t="s">
        <v>12394</v>
      </c>
      <c r="B48" s="5">
        <f t="shared" ref="B48:J48" si="33">IFERROR(B31/$S14,0)</f>
        <v>8.8832487309644659</v>
      </c>
      <c r="C48" s="5">
        <f t="shared" si="33"/>
        <v>62.182741116751266</v>
      </c>
      <c r="D48" s="5">
        <f t="shared" si="33"/>
        <v>40.609137055837564</v>
      </c>
      <c r="E48" s="5">
        <f t="shared" si="33"/>
        <v>68.527918781725887</v>
      </c>
      <c r="F48" s="5">
        <f t="shared" si="33"/>
        <v>38.071065989847718</v>
      </c>
      <c r="G48" s="5">
        <f t="shared" si="33"/>
        <v>8.8832487309644659</v>
      </c>
      <c r="H48" s="5">
        <f t="shared" si="33"/>
        <v>22.842639593908629</v>
      </c>
      <c r="I48" s="5">
        <f t="shared" si="33"/>
        <v>0</v>
      </c>
      <c r="J48" s="5">
        <f t="shared" si="33"/>
        <v>0</v>
      </c>
      <c r="K48" s="8"/>
      <c r="L48" s="13">
        <f>SUM(M48:P48)</f>
        <v>250</v>
      </c>
      <c r="M48" s="5">
        <f>SUM(B48:D48)</f>
        <v>111.67512690355329</v>
      </c>
      <c r="N48" s="5">
        <f>SUM(E48:G48)</f>
        <v>115.48223350253808</v>
      </c>
      <c r="O48" s="5">
        <f>SUM(H48:I48)</f>
        <v>22.842639593908629</v>
      </c>
      <c r="P48" s="5">
        <f>SUM(J48)</f>
        <v>0</v>
      </c>
      <c r="Q48" s="32"/>
      <c r="R48" s="32"/>
    </row>
    <row r="49" spans="1:22" x14ac:dyDescent="0.25">
      <c r="A49" s="249" t="s">
        <v>14094</v>
      </c>
      <c r="B49" s="5">
        <f t="shared" ref="B49:J49" si="34">IFERROR(B32/$S15,0)</f>
        <v>0</v>
      </c>
      <c r="C49" s="5">
        <f t="shared" si="34"/>
        <v>0</v>
      </c>
      <c r="D49" s="5">
        <f t="shared" si="34"/>
        <v>0</v>
      </c>
      <c r="E49" s="5">
        <f t="shared" si="34"/>
        <v>14.553686934023286</v>
      </c>
      <c r="F49" s="5">
        <f t="shared" si="34"/>
        <v>1.9404915912031047</v>
      </c>
      <c r="G49" s="5">
        <f t="shared" si="34"/>
        <v>0</v>
      </c>
      <c r="H49" s="5">
        <f t="shared" si="34"/>
        <v>5.8214747736093146</v>
      </c>
      <c r="I49" s="5">
        <f t="shared" si="34"/>
        <v>0</v>
      </c>
      <c r="J49" s="5">
        <f t="shared" si="34"/>
        <v>0</v>
      </c>
      <c r="K49" s="8"/>
      <c r="L49" s="13">
        <f>SUM(M49:P49)</f>
        <v>22.315653298835706</v>
      </c>
      <c r="M49" s="5">
        <f>SUM(B49:D49)</f>
        <v>0</v>
      </c>
      <c r="N49" s="5">
        <f>SUM(E49:G49)</f>
        <v>16.494178525226392</v>
      </c>
      <c r="O49" s="5">
        <f>SUM(H49:I49)</f>
        <v>5.8214747736093146</v>
      </c>
      <c r="P49" s="5">
        <f>SUM(J49)</f>
        <v>0</v>
      </c>
    </row>
    <row r="50" spans="1:22" x14ac:dyDescent="0.25">
      <c r="A50" s="11" t="s">
        <v>14</v>
      </c>
      <c r="B50" s="13">
        <f>SUM(B38:B49)</f>
        <v>124.22891912202591</v>
      </c>
      <c r="C50" s="13">
        <f t="shared" ref="C50:J50" si="35">SUM(C38:C49)</f>
        <v>703.7240200939716</v>
      </c>
      <c r="D50" s="13">
        <f t="shared" si="35"/>
        <v>40.609137055837564</v>
      </c>
      <c r="E50" s="13">
        <f t="shared" si="35"/>
        <v>797.68699478541328</v>
      </c>
      <c r="F50" s="13">
        <f t="shared" si="35"/>
        <v>169.55293733939823</v>
      </c>
      <c r="G50" s="13">
        <f t="shared" si="35"/>
        <v>83.309120823987726</v>
      </c>
      <c r="H50" s="13">
        <f t="shared" si="35"/>
        <v>161.18047060435279</v>
      </c>
      <c r="I50" s="13">
        <f t="shared" si="35"/>
        <v>256.88531243346813</v>
      </c>
      <c r="J50" s="13">
        <f t="shared" si="35"/>
        <v>225.13874104038035</v>
      </c>
      <c r="K50" s="8"/>
      <c r="L50" s="13">
        <f>SUM(L38:L49)</f>
        <v>2562.3156532988355</v>
      </c>
      <c r="M50" s="13">
        <f>SUM(M38:M49)</f>
        <v>868.56207627183517</v>
      </c>
      <c r="N50" s="13">
        <f>SUM(N38:N49)</f>
        <v>1050.549052948799</v>
      </c>
      <c r="O50" s="13">
        <f>SUM(O38:O49)</f>
        <v>418.06578303782101</v>
      </c>
      <c r="P50" s="13">
        <f>SUM(P38:P49)</f>
        <v>225.13874104038035</v>
      </c>
    </row>
    <row r="51" spans="1:22" x14ac:dyDescent="0.25">
      <c r="A51" s="18"/>
      <c r="B51" s="19"/>
      <c r="C51" s="19"/>
      <c r="D51" s="19"/>
      <c r="E51" s="19"/>
      <c r="F51" s="19"/>
      <c r="G51" s="19"/>
      <c r="H51" s="19"/>
      <c r="I51" s="19"/>
      <c r="J51" s="19"/>
      <c r="K51" s="8"/>
      <c r="L51" s="20"/>
      <c r="M51" s="20"/>
      <c r="N51" s="20"/>
      <c r="O51" s="20"/>
      <c r="P51" s="20"/>
    </row>
    <row r="52" spans="1:22" ht="21" x14ac:dyDescent="0.35">
      <c r="A52" s="140" t="s">
        <v>34</v>
      </c>
      <c r="B52" s="25"/>
      <c r="C52" s="25"/>
      <c r="D52" s="25"/>
      <c r="E52" s="25"/>
      <c r="F52" s="25"/>
      <c r="G52" s="25"/>
      <c r="H52" s="25"/>
      <c r="I52" s="25"/>
      <c r="J52" s="25"/>
      <c r="K52" s="25"/>
      <c r="L52" s="25"/>
      <c r="M52" s="25"/>
      <c r="N52" s="25"/>
      <c r="O52" s="25"/>
      <c r="P52" s="25"/>
      <c r="V52" s="49"/>
    </row>
    <row r="53" spans="1:22" ht="18.75" x14ac:dyDescent="0.25">
      <c r="A53" s="189"/>
      <c r="B53" s="190" t="s">
        <v>0</v>
      </c>
      <c r="C53" s="191"/>
      <c r="D53" s="192"/>
      <c r="E53" s="443" t="s">
        <v>16</v>
      </c>
      <c r="F53" s="444"/>
      <c r="G53" s="444"/>
      <c r="H53" s="445"/>
      <c r="I53" s="193" t="s">
        <v>22</v>
      </c>
      <c r="K53" s="6"/>
      <c r="L53" s="198" t="s">
        <v>14</v>
      </c>
      <c r="M53" s="198" t="s">
        <v>26</v>
      </c>
      <c r="N53" s="198" t="s">
        <v>27</v>
      </c>
      <c r="O53" s="194" t="s">
        <v>28</v>
      </c>
      <c r="P53" s="139"/>
    </row>
    <row r="54" spans="1:22" ht="15.75" x14ac:dyDescent="0.25">
      <c r="A54" s="189"/>
      <c r="B54" s="194" t="s">
        <v>211</v>
      </c>
      <c r="C54" s="194" t="s">
        <v>23</v>
      </c>
      <c r="D54" s="194" t="s">
        <v>1</v>
      </c>
      <c r="E54" s="194" t="s">
        <v>18</v>
      </c>
      <c r="F54" s="194" t="s">
        <v>19</v>
      </c>
      <c r="G54" s="194" t="s">
        <v>20</v>
      </c>
      <c r="H54" s="194" t="s">
        <v>21</v>
      </c>
      <c r="I54" s="194" t="s">
        <v>28</v>
      </c>
      <c r="K54" s="7"/>
      <c r="L54" s="199"/>
      <c r="M54" s="199"/>
      <c r="N54" s="199"/>
      <c r="O54" s="194"/>
      <c r="P54" s="139"/>
    </row>
    <row r="55" spans="1:22" x14ac:dyDescent="0.25">
      <c r="A55" s="189" t="s">
        <v>8902</v>
      </c>
      <c r="B55" s="195">
        <f t="shared" ref="B55:B66" si="36">B38*1.1</f>
        <v>0</v>
      </c>
      <c r="C55" s="195">
        <f t="shared" ref="C55:C66" si="37">(C38*1.1)+(J38*1.1)</f>
        <v>10.500000000000002</v>
      </c>
      <c r="D55" s="195">
        <f t="shared" ref="D55:I66" si="38">D38*1.1</f>
        <v>0</v>
      </c>
      <c r="E55" s="195">
        <f t="shared" si="38"/>
        <v>0</v>
      </c>
      <c r="F55" s="195">
        <f t="shared" si="38"/>
        <v>0</v>
      </c>
      <c r="G55" s="195">
        <f t="shared" si="38"/>
        <v>0</v>
      </c>
      <c r="H55" s="195">
        <f t="shared" si="38"/>
        <v>0</v>
      </c>
      <c r="I55" s="195">
        <f t="shared" si="38"/>
        <v>22.500000000000004</v>
      </c>
      <c r="K55" s="29"/>
      <c r="L55" s="197">
        <f>SUM(M55:O55)</f>
        <v>33.000000000000007</v>
      </c>
      <c r="M55" s="200">
        <f>SUM(B55:D55)</f>
        <v>10.500000000000002</v>
      </c>
      <c r="N55" s="200">
        <f>SUM(E55:G55)</f>
        <v>0</v>
      </c>
      <c r="O55" s="200">
        <f>SUM(H55:I55)</f>
        <v>22.500000000000004</v>
      </c>
      <c r="P55" s="8"/>
    </row>
    <row r="56" spans="1:22" x14ac:dyDescent="0.25">
      <c r="A56" s="189" t="s">
        <v>6</v>
      </c>
      <c r="B56" s="195">
        <f t="shared" si="36"/>
        <v>0</v>
      </c>
      <c r="C56" s="195">
        <f t="shared" si="37"/>
        <v>0</v>
      </c>
      <c r="D56" s="195">
        <f t="shared" si="38"/>
        <v>0</v>
      </c>
      <c r="E56" s="195">
        <f t="shared" si="38"/>
        <v>0</v>
      </c>
      <c r="F56" s="195">
        <f t="shared" si="38"/>
        <v>0</v>
      </c>
      <c r="G56" s="195">
        <f t="shared" si="38"/>
        <v>0</v>
      </c>
      <c r="H56" s="195">
        <f t="shared" si="38"/>
        <v>0</v>
      </c>
      <c r="I56" s="195">
        <f t="shared" si="38"/>
        <v>0</v>
      </c>
      <c r="K56" s="29"/>
      <c r="L56" s="197">
        <f t="shared" ref="L56:L64" si="39">SUM(M56:O56)</f>
        <v>0</v>
      </c>
      <c r="M56" s="200">
        <f t="shared" ref="M56:M64" si="40">SUM(B56:D56)</f>
        <v>0</v>
      </c>
      <c r="N56" s="200">
        <f t="shared" ref="N56:N64" si="41">SUM(E56:G56)</f>
        <v>0</v>
      </c>
      <c r="O56" s="200">
        <f t="shared" ref="O56:O64" si="42">SUM(H56:I56)</f>
        <v>0</v>
      </c>
      <c r="P56" s="8"/>
    </row>
    <row r="57" spans="1:22" x14ac:dyDescent="0.25">
      <c r="A57" s="189" t="s">
        <v>8</v>
      </c>
      <c r="B57" s="195">
        <f t="shared" si="36"/>
        <v>0</v>
      </c>
      <c r="C57" s="195">
        <f t="shared" si="37"/>
        <v>0</v>
      </c>
      <c r="D57" s="195">
        <f t="shared" si="38"/>
        <v>0</v>
      </c>
      <c r="E57" s="195">
        <f t="shared" si="38"/>
        <v>0</v>
      </c>
      <c r="F57" s="195">
        <f t="shared" si="38"/>
        <v>0</v>
      </c>
      <c r="G57" s="195">
        <f t="shared" si="38"/>
        <v>0</v>
      </c>
      <c r="H57" s="195">
        <f t="shared" si="38"/>
        <v>0</v>
      </c>
      <c r="I57" s="195">
        <f t="shared" si="38"/>
        <v>0</v>
      </c>
      <c r="K57" s="29"/>
      <c r="L57" s="197">
        <f t="shared" si="39"/>
        <v>0</v>
      </c>
      <c r="M57" s="200">
        <f t="shared" si="40"/>
        <v>0</v>
      </c>
      <c r="N57" s="200">
        <f t="shared" si="41"/>
        <v>0</v>
      </c>
      <c r="O57" s="200">
        <f t="shared" si="42"/>
        <v>0</v>
      </c>
      <c r="P57" s="8"/>
    </row>
    <row r="58" spans="1:22" x14ac:dyDescent="0.25">
      <c r="A58" s="189" t="s">
        <v>10</v>
      </c>
      <c r="B58" s="195">
        <f t="shared" si="36"/>
        <v>0</v>
      </c>
      <c r="C58" s="195">
        <f t="shared" si="37"/>
        <v>0</v>
      </c>
      <c r="D58" s="195">
        <f t="shared" si="38"/>
        <v>0</v>
      </c>
      <c r="E58" s="195">
        <f t="shared" si="38"/>
        <v>0</v>
      </c>
      <c r="F58" s="195">
        <f t="shared" si="38"/>
        <v>0</v>
      </c>
      <c r="G58" s="195">
        <f t="shared" si="38"/>
        <v>0</v>
      </c>
      <c r="H58" s="195">
        <f t="shared" si="38"/>
        <v>0</v>
      </c>
      <c r="I58" s="195">
        <f t="shared" si="38"/>
        <v>0</v>
      </c>
      <c r="K58" s="29"/>
      <c r="L58" s="197">
        <f t="shared" si="39"/>
        <v>0</v>
      </c>
      <c r="M58" s="200">
        <f t="shared" si="40"/>
        <v>0</v>
      </c>
      <c r="N58" s="200">
        <f t="shared" si="41"/>
        <v>0</v>
      </c>
      <c r="O58" s="200">
        <f t="shared" si="42"/>
        <v>0</v>
      </c>
      <c r="P58" s="8"/>
    </row>
    <row r="59" spans="1:22" x14ac:dyDescent="0.25">
      <c r="A59" s="189" t="s">
        <v>12</v>
      </c>
      <c r="B59" s="195">
        <f t="shared" si="36"/>
        <v>0</v>
      </c>
      <c r="C59" s="195">
        <f t="shared" si="37"/>
        <v>0</v>
      </c>
      <c r="D59" s="195">
        <f t="shared" si="38"/>
        <v>0</v>
      </c>
      <c r="E59" s="195">
        <f t="shared" si="38"/>
        <v>0</v>
      </c>
      <c r="F59" s="195">
        <f t="shared" si="38"/>
        <v>0</v>
      </c>
      <c r="G59" s="195">
        <f t="shared" si="38"/>
        <v>0</v>
      </c>
      <c r="H59" s="195">
        <f t="shared" si="38"/>
        <v>0</v>
      </c>
      <c r="I59" s="195">
        <f t="shared" si="38"/>
        <v>66</v>
      </c>
      <c r="K59" s="29"/>
      <c r="L59" s="197">
        <f t="shared" si="39"/>
        <v>66</v>
      </c>
      <c r="M59" s="200">
        <f t="shared" si="40"/>
        <v>0</v>
      </c>
      <c r="N59" s="200">
        <f t="shared" si="41"/>
        <v>0</v>
      </c>
      <c r="O59" s="200">
        <f t="shared" si="42"/>
        <v>66</v>
      </c>
      <c r="P59" s="8"/>
    </row>
    <row r="60" spans="1:22" x14ac:dyDescent="0.25">
      <c r="A60" s="189" t="s">
        <v>13</v>
      </c>
      <c r="B60" s="195">
        <f t="shared" si="36"/>
        <v>17.1875</v>
      </c>
      <c r="C60" s="195">
        <f t="shared" si="37"/>
        <v>91.09375</v>
      </c>
      <c r="D60" s="195">
        <f t="shared" si="38"/>
        <v>0</v>
      </c>
      <c r="E60" s="195">
        <f t="shared" si="38"/>
        <v>11.171875000000002</v>
      </c>
      <c r="F60" s="195">
        <f t="shared" si="38"/>
        <v>0</v>
      </c>
      <c r="G60" s="195">
        <f t="shared" si="38"/>
        <v>12.031250000000002</v>
      </c>
      <c r="H60" s="195">
        <f t="shared" si="38"/>
        <v>11.171875000000002</v>
      </c>
      <c r="I60" s="195">
        <f t="shared" si="38"/>
        <v>77.34375</v>
      </c>
      <c r="K60" s="29"/>
      <c r="L60" s="197">
        <f t="shared" si="39"/>
        <v>220</v>
      </c>
      <c r="M60" s="200">
        <f t="shared" si="40"/>
        <v>108.28125</v>
      </c>
      <c r="N60" s="200">
        <f t="shared" si="41"/>
        <v>23.203125000000004</v>
      </c>
      <c r="O60" s="200">
        <f t="shared" si="42"/>
        <v>88.515625</v>
      </c>
      <c r="P60" s="8"/>
    </row>
    <row r="61" spans="1:22" x14ac:dyDescent="0.25">
      <c r="A61" s="189" t="s">
        <v>65</v>
      </c>
      <c r="B61" s="195">
        <f t="shared" si="36"/>
        <v>0</v>
      </c>
      <c r="C61" s="195">
        <f t="shared" si="37"/>
        <v>166.96428571428572</v>
      </c>
      <c r="D61" s="195">
        <f t="shared" si="38"/>
        <v>0</v>
      </c>
      <c r="E61" s="195">
        <f t="shared" si="38"/>
        <v>58.928571428571431</v>
      </c>
      <c r="F61" s="195">
        <f t="shared" si="38"/>
        <v>0</v>
      </c>
      <c r="G61" s="195">
        <f t="shared" si="38"/>
        <v>0</v>
      </c>
      <c r="H61" s="195">
        <f t="shared" si="38"/>
        <v>0</v>
      </c>
      <c r="I61" s="195">
        <f t="shared" si="38"/>
        <v>49.107142857142854</v>
      </c>
      <c r="L61" s="197">
        <f t="shared" si="39"/>
        <v>275</v>
      </c>
      <c r="M61" s="200">
        <f t="shared" si="40"/>
        <v>166.96428571428572</v>
      </c>
      <c r="N61" s="200">
        <f t="shared" si="41"/>
        <v>58.928571428571431</v>
      </c>
      <c r="O61" s="200">
        <f t="shared" si="42"/>
        <v>49.107142857142854</v>
      </c>
      <c r="P61" s="8"/>
    </row>
    <row r="62" spans="1:22" x14ac:dyDescent="0.25">
      <c r="A62" s="189" t="s">
        <v>257</v>
      </c>
      <c r="B62" s="195">
        <f t="shared" si="36"/>
        <v>0</v>
      </c>
      <c r="C62" s="195">
        <f t="shared" si="37"/>
        <v>126.22950819672133</v>
      </c>
      <c r="D62" s="195">
        <f t="shared" si="38"/>
        <v>0</v>
      </c>
      <c r="E62" s="195">
        <f t="shared" si="38"/>
        <v>40.57377049180328</v>
      </c>
      <c r="F62" s="195">
        <f t="shared" si="38"/>
        <v>0</v>
      </c>
      <c r="G62" s="195">
        <f t="shared" si="38"/>
        <v>0</v>
      </c>
      <c r="H62" s="195">
        <f t="shared" si="38"/>
        <v>40.57377049180328</v>
      </c>
      <c r="I62" s="195">
        <f t="shared" si="38"/>
        <v>67.622950819672141</v>
      </c>
      <c r="L62" s="197">
        <f t="shared" si="39"/>
        <v>275</v>
      </c>
      <c r="M62" s="200">
        <f t="shared" si="40"/>
        <v>126.22950819672133</v>
      </c>
      <c r="N62" s="200">
        <f t="shared" si="41"/>
        <v>40.57377049180328</v>
      </c>
      <c r="O62" s="200">
        <f t="shared" si="42"/>
        <v>108.19672131147541</v>
      </c>
      <c r="P62" s="8"/>
    </row>
    <row r="63" spans="1:22" x14ac:dyDescent="0.25">
      <c r="A63" s="189" t="s">
        <v>1152</v>
      </c>
      <c r="B63" s="195">
        <f t="shared" si="36"/>
        <v>0</v>
      </c>
      <c r="C63" s="195">
        <f t="shared" si="37"/>
        <v>266.04651162790702</v>
      </c>
      <c r="D63" s="195">
        <f t="shared" si="38"/>
        <v>0</v>
      </c>
      <c r="E63" s="195">
        <f t="shared" si="38"/>
        <v>299.30232558139539</v>
      </c>
      <c r="F63" s="195">
        <f t="shared" si="38"/>
        <v>79.813953488372107</v>
      </c>
      <c r="G63" s="195">
        <f t="shared" si="38"/>
        <v>69.83720930232559</v>
      </c>
      <c r="H63" s="195">
        <f t="shared" si="38"/>
        <v>0</v>
      </c>
      <c r="I63" s="195">
        <f t="shared" si="38"/>
        <v>0</v>
      </c>
      <c r="L63" s="197">
        <f t="shared" si="39"/>
        <v>715.00000000000023</v>
      </c>
      <c r="M63" s="200">
        <f t="shared" si="40"/>
        <v>266.04651162790702</v>
      </c>
      <c r="N63" s="200">
        <f t="shared" si="41"/>
        <v>448.95348837209315</v>
      </c>
      <c r="O63" s="200">
        <f t="shared" si="42"/>
        <v>0</v>
      </c>
      <c r="P63" s="8"/>
    </row>
    <row r="64" spans="1:22" x14ac:dyDescent="0.25">
      <c r="A64" s="189" t="s">
        <v>1153</v>
      </c>
      <c r="B64" s="195">
        <f t="shared" si="36"/>
        <v>109.6927374301676</v>
      </c>
      <c r="C64" s="195">
        <f t="shared" si="37"/>
        <v>292.51396648044698</v>
      </c>
      <c r="D64" s="195">
        <f t="shared" si="38"/>
        <v>0</v>
      </c>
      <c r="E64" s="195">
        <f t="shared" si="38"/>
        <v>376.08938547486036</v>
      </c>
      <c r="F64" s="195">
        <f t="shared" si="38"/>
        <v>62.681564245810058</v>
      </c>
      <c r="G64" s="195">
        <f t="shared" si="38"/>
        <v>0</v>
      </c>
      <c r="H64" s="195">
        <f t="shared" si="38"/>
        <v>94.022346368715091</v>
      </c>
      <c r="I64" s="195">
        <f t="shared" si="38"/>
        <v>0</v>
      </c>
      <c r="L64" s="197">
        <f t="shared" si="39"/>
        <v>935</v>
      </c>
      <c r="M64" s="200">
        <f t="shared" si="40"/>
        <v>402.20670391061458</v>
      </c>
      <c r="N64" s="200">
        <f t="shared" si="41"/>
        <v>438.77094972067044</v>
      </c>
      <c r="O64" s="200">
        <f t="shared" si="42"/>
        <v>94.022346368715091</v>
      </c>
      <c r="P64" s="20"/>
    </row>
    <row r="65" spans="1:16" x14ac:dyDescent="0.25">
      <c r="A65" s="189" t="s">
        <v>12394</v>
      </c>
      <c r="B65" s="195">
        <f t="shared" si="36"/>
        <v>9.7715736040609134</v>
      </c>
      <c r="C65" s="195">
        <f t="shared" si="37"/>
        <v>68.401015228426402</v>
      </c>
      <c r="D65" s="195">
        <f t="shared" si="38"/>
        <v>44.670050761421322</v>
      </c>
      <c r="E65" s="195">
        <f t="shared" si="38"/>
        <v>75.380710659898483</v>
      </c>
      <c r="F65" s="195">
        <f t="shared" si="38"/>
        <v>41.878172588832491</v>
      </c>
      <c r="G65" s="195">
        <f t="shared" si="38"/>
        <v>9.7715736040609134</v>
      </c>
      <c r="H65" s="195">
        <f t="shared" si="38"/>
        <v>25.126903553299496</v>
      </c>
      <c r="I65" s="195">
        <f t="shared" si="38"/>
        <v>0</v>
      </c>
      <c r="L65" s="197">
        <f>SUM(M65:O65)</f>
        <v>275</v>
      </c>
      <c r="M65" s="200">
        <f>SUM(B65:D65)</f>
        <v>122.84263959390864</v>
      </c>
      <c r="N65" s="200">
        <f>SUM(E65:G65)</f>
        <v>127.03045685279189</v>
      </c>
      <c r="O65" s="200">
        <f>SUM(H65:I65)</f>
        <v>25.126903553299496</v>
      </c>
      <c r="P65" s="20"/>
    </row>
    <row r="66" spans="1:16" x14ac:dyDescent="0.25">
      <c r="A66" s="189" t="s">
        <v>14094</v>
      </c>
      <c r="B66" s="195">
        <f t="shared" si="36"/>
        <v>0</v>
      </c>
      <c r="C66" s="195">
        <f t="shared" si="37"/>
        <v>0</v>
      </c>
      <c r="D66" s="195">
        <f t="shared" si="38"/>
        <v>0</v>
      </c>
      <c r="E66" s="195">
        <f t="shared" si="38"/>
        <v>16.009055627425617</v>
      </c>
      <c r="F66" s="195">
        <f t="shared" si="38"/>
        <v>2.1345407503234153</v>
      </c>
      <c r="G66" s="195">
        <f t="shared" si="38"/>
        <v>0</v>
      </c>
      <c r="H66" s="195">
        <f t="shared" si="38"/>
        <v>6.4036222509702467</v>
      </c>
      <c r="I66" s="195">
        <f t="shared" si="38"/>
        <v>0</v>
      </c>
      <c r="L66" s="197">
        <f>SUM(M66:O66)</f>
        <v>24.547218628719282</v>
      </c>
      <c r="M66" s="200">
        <f>SUM(B66:D66)</f>
        <v>0</v>
      </c>
      <c r="N66" s="200">
        <f>SUM(E66:G66)</f>
        <v>18.143596377749034</v>
      </c>
      <c r="O66" s="200">
        <f>SUM(H66:I66)</f>
        <v>6.4036222509702467</v>
      </c>
      <c r="P66" s="20"/>
    </row>
    <row r="67" spans="1:16" x14ac:dyDescent="0.25">
      <c r="A67" s="196" t="s">
        <v>14</v>
      </c>
      <c r="B67" s="197">
        <f>SUM(B55:B66)</f>
        <v>136.6518110342285</v>
      </c>
      <c r="C67" s="197">
        <f t="shared" ref="C67:I67" si="43">SUM(C55:C66)</f>
        <v>1021.7490372477874</v>
      </c>
      <c r="D67" s="197">
        <f t="shared" si="43"/>
        <v>44.670050761421322</v>
      </c>
      <c r="E67" s="197">
        <f t="shared" si="43"/>
        <v>877.45569426395457</v>
      </c>
      <c r="F67" s="197">
        <f t="shared" si="43"/>
        <v>186.50823107333807</v>
      </c>
      <c r="G67" s="197">
        <f t="shared" si="43"/>
        <v>91.640032906386509</v>
      </c>
      <c r="H67" s="197">
        <f t="shared" si="43"/>
        <v>177.29851766478811</v>
      </c>
      <c r="I67" s="197">
        <f t="shared" si="43"/>
        <v>282.57384367681499</v>
      </c>
      <c r="L67" s="197">
        <f>SUM(L55:L66)</f>
        <v>2818.5472186287193</v>
      </c>
      <c r="M67" s="197">
        <f>SUM(M55:M66)</f>
        <v>1203.0708990434373</v>
      </c>
      <c r="N67" s="197">
        <f>SUM(N55:N66)</f>
        <v>1155.6039582436792</v>
      </c>
      <c r="O67" s="197">
        <f>SUM(O55:O66)</f>
        <v>459.8723613416031</v>
      </c>
      <c r="P67" s="281"/>
    </row>
    <row r="69" spans="1:16" ht="21" x14ac:dyDescent="0.35">
      <c r="A69" s="140" t="s">
        <v>35</v>
      </c>
      <c r="B69" s="25"/>
      <c r="C69" s="25"/>
      <c r="D69" s="25"/>
      <c r="E69" s="25"/>
      <c r="F69" s="25"/>
      <c r="G69" s="25"/>
      <c r="H69" s="25"/>
      <c r="I69" s="25"/>
      <c r="J69" s="25"/>
      <c r="K69" s="25"/>
      <c r="L69" s="25"/>
      <c r="M69" s="25"/>
      <c r="N69" s="25"/>
      <c r="O69" s="25"/>
      <c r="P69" s="25"/>
    </row>
    <row r="70" spans="1:16" ht="18.75" x14ac:dyDescent="0.25">
      <c r="A70" s="1"/>
      <c r="B70" s="142" t="s">
        <v>0</v>
      </c>
      <c r="C70" s="143"/>
      <c r="D70" s="144"/>
      <c r="E70" s="432" t="s">
        <v>16</v>
      </c>
      <c r="F70" s="433"/>
      <c r="G70" s="433"/>
      <c r="H70" s="434"/>
      <c r="I70" s="137" t="s">
        <v>22</v>
      </c>
      <c r="J70" s="138"/>
      <c r="K70" s="6"/>
      <c r="L70" s="3" t="s">
        <v>14</v>
      </c>
      <c r="M70" s="3" t="s">
        <v>26</v>
      </c>
      <c r="N70" s="3" t="s">
        <v>27</v>
      </c>
      <c r="O70" s="3" t="s">
        <v>28</v>
      </c>
      <c r="P70" s="3" t="s">
        <v>62</v>
      </c>
    </row>
    <row r="71" spans="1:16" ht="15.75" x14ac:dyDescent="0.25">
      <c r="A71" s="1"/>
      <c r="B71" s="2" t="s">
        <v>211</v>
      </c>
      <c r="C71" s="2" t="s">
        <v>23</v>
      </c>
      <c r="D71" s="2" t="s">
        <v>1</v>
      </c>
      <c r="E71" s="3" t="s">
        <v>18</v>
      </c>
      <c r="F71" s="3" t="s">
        <v>19</v>
      </c>
      <c r="G71" s="3" t="s">
        <v>20</v>
      </c>
      <c r="H71" s="3" t="s">
        <v>21</v>
      </c>
      <c r="I71" s="3" t="s">
        <v>28</v>
      </c>
      <c r="J71" s="3" t="s">
        <v>62</v>
      </c>
      <c r="K71" s="9"/>
      <c r="L71" s="3"/>
      <c r="M71" s="3"/>
      <c r="N71" s="3"/>
      <c r="O71" s="3"/>
      <c r="P71" s="3"/>
    </row>
    <row r="72" spans="1:16" x14ac:dyDescent="0.25">
      <c r="A72" s="1" t="s">
        <v>8902</v>
      </c>
      <c r="B72" s="1"/>
      <c r="C72" s="14"/>
      <c r="D72" s="14"/>
      <c r="E72" s="4">
        <f>E55/2.6/2.4/2.1</f>
        <v>0</v>
      </c>
      <c r="F72" s="4">
        <f>F55/2.6/2.4/2.1</f>
        <v>0</v>
      </c>
      <c r="G72" s="4">
        <f>G55/2.6/2.4/2.1</f>
        <v>0</v>
      </c>
      <c r="H72" s="4">
        <f>H55/2.6/2.4/2.1</f>
        <v>0</v>
      </c>
      <c r="I72" s="14" t="s">
        <v>30</v>
      </c>
      <c r="J72" s="14"/>
      <c r="L72" s="12">
        <f>SUM(M72:P72)</f>
        <v>0</v>
      </c>
      <c r="M72" s="4">
        <f>SUM(B72:D72)</f>
        <v>0</v>
      </c>
      <c r="N72" s="4">
        <f>SUM(E72:G72)</f>
        <v>0</v>
      </c>
      <c r="O72" s="4">
        <f>SUM(H72:I72)</f>
        <v>0</v>
      </c>
      <c r="P72" s="4">
        <f>J72</f>
        <v>0</v>
      </c>
    </row>
    <row r="73" spans="1:16" x14ac:dyDescent="0.25">
      <c r="A73" s="1" t="s">
        <v>6</v>
      </c>
      <c r="B73" s="1"/>
      <c r="C73" s="14"/>
      <c r="D73" s="14"/>
      <c r="E73" s="4">
        <f t="shared" ref="E73:E83" si="44">E56/2.6/2.4/2.1</f>
        <v>0</v>
      </c>
      <c r="F73" s="4">
        <f t="shared" ref="F73:G83" si="45">F56/2.6/3/1.5</f>
        <v>0</v>
      </c>
      <c r="G73" s="4">
        <f t="shared" si="45"/>
        <v>0</v>
      </c>
      <c r="H73" s="4">
        <f t="shared" ref="H73:H83" si="46">H56/2.6/2.4/2.1</f>
        <v>0</v>
      </c>
      <c r="I73" s="14" t="s">
        <v>30</v>
      </c>
      <c r="J73" s="14"/>
      <c r="L73" s="12">
        <f t="shared" ref="L73:L81" si="47">SUM(M73:P73)</f>
        <v>0</v>
      </c>
      <c r="M73" s="4">
        <f t="shared" ref="M73:M81" si="48">SUM(B73:D73)</f>
        <v>0</v>
      </c>
      <c r="N73" s="4">
        <f t="shared" ref="N73:N81" si="49">SUM(E73:G73)</f>
        <v>0</v>
      </c>
      <c r="O73" s="4">
        <f t="shared" ref="O73:O81" si="50">SUM(H73:I73)</f>
        <v>0</v>
      </c>
      <c r="P73" s="4">
        <f t="shared" ref="P73:P81" si="51">J73</f>
        <v>0</v>
      </c>
    </row>
    <row r="74" spans="1:16" x14ac:dyDescent="0.25">
      <c r="A74" s="1" t="s">
        <v>8</v>
      </c>
      <c r="B74" s="1"/>
      <c r="C74" s="14"/>
      <c r="D74" s="14"/>
      <c r="E74" s="4">
        <f t="shared" si="44"/>
        <v>0</v>
      </c>
      <c r="F74" s="4">
        <f t="shared" si="45"/>
        <v>0</v>
      </c>
      <c r="G74" s="4">
        <f t="shared" si="45"/>
        <v>0</v>
      </c>
      <c r="H74" s="4">
        <f t="shared" si="46"/>
        <v>0</v>
      </c>
      <c r="I74" s="14" t="s">
        <v>30</v>
      </c>
      <c r="J74" s="14"/>
      <c r="L74" s="12">
        <f t="shared" si="47"/>
        <v>0</v>
      </c>
      <c r="M74" s="4">
        <f t="shared" si="48"/>
        <v>0</v>
      </c>
      <c r="N74" s="4">
        <f t="shared" si="49"/>
        <v>0</v>
      </c>
      <c r="O74" s="4">
        <f t="shared" si="50"/>
        <v>0</v>
      </c>
      <c r="P74" s="4">
        <f t="shared" si="51"/>
        <v>0</v>
      </c>
    </row>
    <row r="75" spans="1:16" x14ac:dyDescent="0.25">
      <c r="A75" s="1" t="s">
        <v>10</v>
      </c>
      <c r="B75" s="1"/>
      <c r="C75" s="14"/>
      <c r="D75" s="14"/>
      <c r="E75" s="4">
        <f t="shared" si="44"/>
        <v>0</v>
      </c>
      <c r="F75" s="4">
        <f t="shared" si="45"/>
        <v>0</v>
      </c>
      <c r="G75" s="4">
        <f t="shared" si="45"/>
        <v>0</v>
      </c>
      <c r="H75" s="4">
        <f t="shared" si="46"/>
        <v>0</v>
      </c>
      <c r="I75" s="14" t="s">
        <v>30</v>
      </c>
      <c r="J75" s="14"/>
      <c r="L75" s="12">
        <f t="shared" si="47"/>
        <v>0</v>
      </c>
      <c r="M75" s="4">
        <f t="shared" si="48"/>
        <v>0</v>
      </c>
      <c r="N75" s="4">
        <f t="shared" si="49"/>
        <v>0</v>
      </c>
      <c r="O75" s="4">
        <f t="shared" si="50"/>
        <v>0</v>
      </c>
      <c r="P75" s="4">
        <f t="shared" si="51"/>
        <v>0</v>
      </c>
    </row>
    <row r="76" spans="1:16" x14ac:dyDescent="0.25">
      <c r="A76" s="1" t="s">
        <v>12</v>
      </c>
      <c r="B76" s="1"/>
      <c r="C76" s="14"/>
      <c r="D76" s="14"/>
      <c r="E76" s="4">
        <f t="shared" si="44"/>
        <v>0</v>
      </c>
      <c r="F76" s="4">
        <f t="shared" si="45"/>
        <v>0</v>
      </c>
      <c r="G76" s="4">
        <f t="shared" si="45"/>
        <v>0</v>
      </c>
      <c r="H76" s="4">
        <f t="shared" si="46"/>
        <v>0</v>
      </c>
      <c r="I76" s="14" t="s">
        <v>30</v>
      </c>
      <c r="J76" s="14"/>
      <c r="L76" s="12">
        <f t="shared" si="47"/>
        <v>0</v>
      </c>
      <c r="M76" s="4">
        <f t="shared" si="48"/>
        <v>0</v>
      </c>
      <c r="N76" s="4">
        <f t="shared" si="49"/>
        <v>0</v>
      </c>
      <c r="O76" s="4">
        <f t="shared" si="50"/>
        <v>0</v>
      </c>
      <c r="P76" s="4">
        <f t="shared" si="51"/>
        <v>0</v>
      </c>
    </row>
    <row r="77" spans="1:16" x14ac:dyDescent="0.25">
      <c r="A77" s="1" t="s">
        <v>13</v>
      </c>
      <c r="B77" s="1"/>
      <c r="C77" s="14"/>
      <c r="D77" s="14"/>
      <c r="E77" s="4">
        <f t="shared" si="44"/>
        <v>0.8525545634920636</v>
      </c>
      <c r="F77" s="4">
        <f t="shared" si="45"/>
        <v>0</v>
      </c>
      <c r="G77" s="4">
        <f t="shared" si="45"/>
        <v>1.0283119658119659</v>
      </c>
      <c r="H77" s="4">
        <f t="shared" si="46"/>
        <v>0.8525545634920636</v>
      </c>
      <c r="I77" s="14" t="s">
        <v>30</v>
      </c>
      <c r="J77" s="14"/>
      <c r="L77" s="12">
        <f t="shared" si="47"/>
        <v>2.7334210927960934</v>
      </c>
      <c r="M77" s="4">
        <f t="shared" si="48"/>
        <v>0</v>
      </c>
      <c r="N77" s="4">
        <f t="shared" si="49"/>
        <v>1.8808665293040296</v>
      </c>
      <c r="O77" s="4">
        <f t="shared" si="50"/>
        <v>0.8525545634920636</v>
      </c>
      <c r="P77" s="4">
        <f t="shared" si="51"/>
        <v>0</v>
      </c>
    </row>
    <row r="78" spans="1:16" x14ac:dyDescent="0.25">
      <c r="A78" s="1" t="s">
        <v>65</v>
      </c>
      <c r="B78" s="1"/>
      <c r="C78" s="14"/>
      <c r="D78" s="14"/>
      <c r="E78" s="4">
        <f t="shared" si="44"/>
        <v>4.4969911041339614</v>
      </c>
      <c r="F78" s="4">
        <f t="shared" si="45"/>
        <v>0</v>
      </c>
      <c r="G78" s="4">
        <f t="shared" si="45"/>
        <v>0</v>
      </c>
      <c r="H78" s="4">
        <f t="shared" si="46"/>
        <v>0</v>
      </c>
      <c r="I78" s="14" t="s">
        <v>30</v>
      </c>
      <c r="J78" s="14"/>
      <c r="L78" s="12">
        <f t="shared" si="47"/>
        <v>4.4969911041339614</v>
      </c>
      <c r="M78" s="4">
        <f t="shared" si="48"/>
        <v>0</v>
      </c>
      <c r="N78" s="4">
        <f t="shared" si="49"/>
        <v>4.4969911041339614</v>
      </c>
      <c r="O78" s="4">
        <f t="shared" si="50"/>
        <v>0</v>
      </c>
      <c r="P78" s="4">
        <f t="shared" si="51"/>
        <v>0</v>
      </c>
    </row>
    <row r="79" spans="1:16" x14ac:dyDescent="0.25">
      <c r="A79" s="1" t="s">
        <v>257</v>
      </c>
      <c r="B79" s="1"/>
      <c r="C79" s="14"/>
      <c r="D79" s="14"/>
      <c r="E79" s="4">
        <f t="shared" si="44"/>
        <v>3.0962889569446945</v>
      </c>
      <c r="F79" s="4">
        <f t="shared" si="45"/>
        <v>0</v>
      </c>
      <c r="G79" s="4">
        <f t="shared" si="45"/>
        <v>0</v>
      </c>
      <c r="H79" s="4">
        <f t="shared" si="46"/>
        <v>3.0962889569446945</v>
      </c>
      <c r="I79" s="14" t="s">
        <v>30</v>
      </c>
      <c r="J79" s="14"/>
      <c r="L79" s="12">
        <f t="shared" si="47"/>
        <v>6.1925779138893891</v>
      </c>
      <c r="M79" s="4">
        <f t="shared" si="48"/>
        <v>0</v>
      </c>
      <c r="N79" s="4">
        <f t="shared" si="49"/>
        <v>3.0962889569446945</v>
      </c>
      <c r="O79" s="4">
        <f t="shared" si="50"/>
        <v>3.0962889569446945</v>
      </c>
      <c r="P79" s="4">
        <f t="shared" si="51"/>
        <v>0</v>
      </c>
    </row>
    <row r="80" spans="1:16" x14ac:dyDescent="0.25">
      <c r="A80" s="1" t="s">
        <v>1152</v>
      </c>
      <c r="B80" s="1"/>
      <c r="C80" s="14"/>
      <c r="D80" s="14"/>
      <c r="E80" s="4">
        <f t="shared" si="44"/>
        <v>22.840531561461798</v>
      </c>
      <c r="F80" s="4">
        <f t="shared" si="45"/>
        <v>6.8217054263565906</v>
      </c>
      <c r="G80" s="4">
        <f t="shared" si="45"/>
        <v>5.9689922480620163</v>
      </c>
      <c r="H80" s="4">
        <f t="shared" si="46"/>
        <v>0</v>
      </c>
      <c r="I80" s="14" t="s">
        <v>30</v>
      </c>
      <c r="J80" s="14"/>
      <c r="K80" s="57"/>
      <c r="L80" s="12">
        <f t="shared" si="47"/>
        <v>35.631229235880404</v>
      </c>
      <c r="M80" s="4">
        <f t="shared" si="48"/>
        <v>0</v>
      </c>
      <c r="N80" s="4">
        <f t="shared" si="49"/>
        <v>35.631229235880404</v>
      </c>
      <c r="O80" s="4">
        <f t="shared" si="50"/>
        <v>0</v>
      </c>
      <c r="P80" s="4">
        <f t="shared" si="51"/>
        <v>0</v>
      </c>
    </row>
    <row r="81" spans="1:26" x14ac:dyDescent="0.25">
      <c r="A81" s="1" t="s">
        <v>1153</v>
      </c>
      <c r="B81" s="1"/>
      <c r="C81" s="14"/>
      <c r="D81" s="14"/>
      <c r="E81" s="4">
        <f t="shared" si="44"/>
        <v>28.700349929400211</v>
      </c>
      <c r="F81" s="4">
        <f t="shared" si="45"/>
        <v>5.3573986534880396</v>
      </c>
      <c r="G81" s="4">
        <f t="shared" si="45"/>
        <v>0</v>
      </c>
      <c r="H81" s="4">
        <f t="shared" si="46"/>
        <v>7.1750874823500528</v>
      </c>
      <c r="I81" s="14" t="s">
        <v>30</v>
      </c>
      <c r="J81" s="14"/>
      <c r="K81" s="57"/>
      <c r="L81" s="12">
        <f t="shared" si="47"/>
        <v>41.232836065238303</v>
      </c>
      <c r="M81" s="4">
        <f t="shared" si="48"/>
        <v>0</v>
      </c>
      <c r="N81" s="4">
        <f t="shared" si="49"/>
        <v>34.057748582888252</v>
      </c>
      <c r="O81" s="4">
        <f t="shared" si="50"/>
        <v>7.1750874823500528</v>
      </c>
      <c r="P81" s="4">
        <f t="shared" si="51"/>
        <v>0</v>
      </c>
    </row>
    <row r="82" spans="1:26" x14ac:dyDescent="0.25">
      <c r="A82" s="1" t="s">
        <v>12394</v>
      </c>
      <c r="B82" s="1"/>
      <c r="C82" s="14"/>
      <c r="D82" s="14"/>
      <c r="E82" s="4">
        <f t="shared" si="44"/>
        <v>5.7524962347297377</v>
      </c>
      <c r="F82" s="4">
        <f t="shared" si="45"/>
        <v>3.5793309904985033</v>
      </c>
      <c r="G82" s="4">
        <f t="shared" si="45"/>
        <v>0.83517723111631736</v>
      </c>
      <c r="H82" s="4">
        <f t="shared" si="46"/>
        <v>1.9174987449099126</v>
      </c>
      <c r="I82" s="14" t="s">
        <v>30</v>
      </c>
      <c r="J82" s="14"/>
      <c r="K82" s="57"/>
      <c r="L82" s="12">
        <f>SUM(M82:P82)</f>
        <v>12.084503201254471</v>
      </c>
      <c r="M82" s="4">
        <f>SUM(B82:D82)</f>
        <v>0</v>
      </c>
      <c r="N82" s="4">
        <f>SUM(E82:G82)</f>
        <v>10.167004456344559</v>
      </c>
      <c r="O82" s="4">
        <f>SUM(H82:I82)</f>
        <v>1.9174987449099126</v>
      </c>
      <c r="P82" s="4">
        <f>J82</f>
        <v>0</v>
      </c>
    </row>
    <row r="83" spans="1:26" x14ac:dyDescent="0.25">
      <c r="A83" s="1" t="s">
        <v>14094</v>
      </c>
      <c r="B83" s="1"/>
      <c r="C83" s="14"/>
      <c r="D83" s="14"/>
      <c r="E83" s="4">
        <f t="shared" si="44"/>
        <v>1.2216922792601965</v>
      </c>
      <c r="F83" s="4">
        <f t="shared" si="45"/>
        <v>0.18243938036952267</v>
      </c>
      <c r="G83" s="4">
        <f t="shared" si="45"/>
        <v>0</v>
      </c>
      <c r="H83" s="4">
        <f t="shared" si="46"/>
        <v>0.48867691170407862</v>
      </c>
      <c r="I83" s="14" t="s">
        <v>30</v>
      </c>
      <c r="J83" s="14"/>
      <c r="K83" s="57"/>
      <c r="L83" s="12">
        <f>SUM(M83:P83)</f>
        <v>1.8928085713337979</v>
      </c>
      <c r="M83" s="4">
        <f>SUM(B83:D83)</f>
        <v>0</v>
      </c>
      <c r="N83" s="4">
        <f>SUM(E83:G83)</f>
        <v>1.4041316596297193</v>
      </c>
      <c r="O83" s="4">
        <f>SUM(H83:I83)</f>
        <v>0.48867691170407862</v>
      </c>
      <c r="P83" s="4">
        <f>J83</f>
        <v>0</v>
      </c>
    </row>
    <row r="84" spans="1:26" x14ac:dyDescent="0.25">
      <c r="A84" s="11" t="s">
        <v>14</v>
      </c>
      <c r="B84" s="13">
        <f>SUM(B72:B81)</f>
        <v>0</v>
      </c>
      <c r="C84" s="13">
        <f>SUM(C72:C81)</f>
        <v>0</v>
      </c>
      <c r="D84" s="13">
        <f>SUM(D72:D81)</f>
        <v>0</v>
      </c>
      <c r="E84" s="13">
        <f>SUM(E72:E83)</f>
        <v>66.960904629422657</v>
      </c>
      <c r="F84" s="13">
        <f>SUM(F72:F83)</f>
        <v>15.940874450712657</v>
      </c>
      <c r="G84" s="13">
        <f>SUM(G72:G83)</f>
        <v>7.8324814449902993</v>
      </c>
      <c r="H84" s="13">
        <f>SUM(H72:H83)</f>
        <v>13.530106659400804</v>
      </c>
      <c r="I84" s="13"/>
      <c r="J84" s="13"/>
      <c r="L84" s="13">
        <f>SUM(L72:L83)</f>
        <v>104.26436718452644</v>
      </c>
      <c r="M84" s="13">
        <f>SUM(M72:M83)</f>
        <v>0</v>
      </c>
      <c r="N84" s="13">
        <f>SUM(N72:N83)</f>
        <v>90.73426052512562</v>
      </c>
      <c r="O84" s="13">
        <f>SUM(O72:O83)</f>
        <v>13.530106659400804</v>
      </c>
      <c r="P84" s="13">
        <f>SUM(P72:P83)</f>
        <v>0</v>
      </c>
    </row>
    <row r="85" spans="1:26" x14ac:dyDescent="0.25">
      <c r="E85" s="17"/>
    </row>
    <row r="86" spans="1:26" ht="21" x14ac:dyDescent="0.35">
      <c r="A86" s="440" t="s">
        <v>32</v>
      </c>
      <c r="B86" s="441"/>
      <c r="C86" s="441"/>
      <c r="D86" s="441"/>
      <c r="E86" s="441"/>
      <c r="F86" s="441"/>
      <c r="G86" s="441"/>
      <c r="H86" s="441"/>
      <c r="I86" s="441"/>
      <c r="J86" s="441"/>
    </row>
    <row r="87" spans="1:26" ht="18.75" x14ac:dyDescent="0.25">
      <c r="A87" s="1"/>
      <c r="B87" s="437" t="s">
        <v>0</v>
      </c>
      <c r="C87" s="438"/>
      <c r="D87" s="439"/>
      <c r="E87" s="442" t="s">
        <v>16</v>
      </c>
      <c r="F87" s="442"/>
      <c r="G87" s="442"/>
      <c r="H87" s="442"/>
      <c r="I87" s="427" t="s">
        <v>22</v>
      </c>
      <c r="J87" s="428"/>
      <c r="K87" s="6"/>
      <c r="M87" s="1"/>
      <c r="N87" s="30" t="s">
        <v>16</v>
      </c>
      <c r="O87" s="30"/>
      <c r="P87" s="30"/>
      <c r="Q87" s="30"/>
      <c r="R87" s="427" t="s">
        <v>237</v>
      </c>
      <c r="S87" s="428"/>
      <c r="T87" s="427" t="s">
        <v>19</v>
      </c>
      <c r="U87" s="428"/>
      <c r="V87" s="427" t="s">
        <v>20</v>
      </c>
      <c r="W87" s="426"/>
      <c r="X87" s="426" t="s">
        <v>21</v>
      </c>
      <c r="Y87" s="426"/>
    </row>
    <row r="88" spans="1:26" ht="15.75" x14ac:dyDescent="0.25">
      <c r="A88" s="1"/>
      <c r="B88" s="2" t="s">
        <v>211</v>
      </c>
      <c r="C88" s="2" t="s">
        <v>23</v>
      </c>
      <c r="D88" s="2" t="s">
        <v>1</v>
      </c>
      <c r="E88" s="3" t="s">
        <v>18</v>
      </c>
      <c r="F88" s="3" t="s">
        <v>19</v>
      </c>
      <c r="G88" s="3" t="s">
        <v>20</v>
      </c>
      <c r="H88" s="3" t="s">
        <v>21</v>
      </c>
      <c r="I88" s="3" t="s">
        <v>28</v>
      </c>
      <c r="J88" s="3" t="s">
        <v>62</v>
      </c>
      <c r="K88" s="9"/>
      <c r="M88" s="1"/>
      <c r="N88" s="3" t="s">
        <v>18</v>
      </c>
      <c r="O88" s="3" t="s">
        <v>19</v>
      </c>
      <c r="P88" s="3" t="s">
        <v>20</v>
      </c>
      <c r="Q88" s="3" t="s">
        <v>21</v>
      </c>
      <c r="R88" s="3" t="s">
        <v>236</v>
      </c>
      <c r="S88" s="3" t="s">
        <v>238</v>
      </c>
      <c r="T88" s="3" t="s">
        <v>236</v>
      </c>
      <c r="U88" s="3" t="s">
        <v>238</v>
      </c>
      <c r="V88" s="3" t="s">
        <v>236</v>
      </c>
      <c r="W88" s="3" t="s">
        <v>238</v>
      </c>
      <c r="X88" s="3" t="s">
        <v>236</v>
      </c>
      <c r="Y88" s="3" t="s">
        <v>238</v>
      </c>
    </row>
    <row r="89" spans="1:26" x14ac:dyDescent="0.25">
      <c r="A89" s="1" t="s">
        <v>8902</v>
      </c>
      <c r="B89" s="1"/>
      <c r="C89" s="14"/>
      <c r="D89" s="14"/>
      <c r="E89" s="22">
        <f t="shared" ref="E89:H100" si="52">IF(E4=0,0,E72/E4)</f>
        <v>0</v>
      </c>
      <c r="F89" s="22">
        <f t="shared" si="52"/>
        <v>0</v>
      </c>
      <c r="G89" s="22">
        <f t="shared" si="52"/>
        <v>0</v>
      </c>
      <c r="H89" s="22">
        <f t="shared" si="52"/>
        <v>0</v>
      </c>
      <c r="I89" s="21" t="s">
        <v>30</v>
      </c>
      <c r="J89" s="21"/>
      <c r="K89" s="24"/>
      <c r="M89" s="1" t="s">
        <v>8902</v>
      </c>
      <c r="N89" s="22">
        <f>IFERROR(((COUNTIF(#REF!,"TOP")*R$90)+(#REF!-COUNTIF(#REF!,"TOP"))*S$90)/#REF!,0)</f>
        <v>0</v>
      </c>
      <c r="O89" s="22">
        <f>IFERROR(((COUNTIF(#REF!,"TOP")*T$90)+(#REF!-COUNTIF(#REF!,"TOP"))*U$90)/#REF!,0)</f>
        <v>0</v>
      </c>
      <c r="P89" s="22">
        <f>IFERROR(((COUNTIF(#REF!,"TOP")*V$90)+(#REF!-COUNTIF(#REF!,"TOP"))*W$90)/#REF!,0)</f>
        <v>0</v>
      </c>
      <c r="Q89" s="22">
        <f>IFERROR(((COUNTIF(#REF!,"TOP")*X$90)+(#REF!-COUNTIF(#REF!,"TOP"))*Y$90)/#REF!,0)</f>
        <v>0</v>
      </c>
      <c r="R89" s="289">
        <v>1.5</v>
      </c>
      <c r="S89" s="289">
        <v>1.1000000000000001</v>
      </c>
      <c r="T89" s="289">
        <v>1.1499999999999999</v>
      </c>
      <c r="U89" s="22">
        <v>1</v>
      </c>
      <c r="V89" s="22">
        <v>0.56000000000000005</v>
      </c>
      <c r="W89" s="289">
        <f t="shared" ref="W89:W98" si="53">V89*0.8</f>
        <v>0.44800000000000006</v>
      </c>
      <c r="X89" s="289">
        <v>1.46</v>
      </c>
      <c r="Y89" s="22">
        <v>1.1499999999999999</v>
      </c>
    </row>
    <row r="90" spans="1:26" x14ac:dyDescent="0.25">
      <c r="A90" s="1" t="s">
        <v>6</v>
      </c>
      <c r="B90" s="1"/>
      <c r="C90" s="14"/>
      <c r="D90" s="14"/>
      <c r="E90" s="22">
        <f t="shared" si="52"/>
        <v>0</v>
      </c>
      <c r="F90" s="22">
        <f t="shared" si="52"/>
        <v>0</v>
      </c>
      <c r="G90" s="22">
        <f t="shared" si="52"/>
        <v>0</v>
      </c>
      <c r="H90" s="22">
        <f t="shared" si="52"/>
        <v>0</v>
      </c>
      <c r="I90" s="21" t="s">
        <v>30</v>
      </c>
      <c r="J90" s="21"/>
      <c r="K90" s="24"/>
      <c r="M90" s="1" t="s">
        <v>6</v>
      </c>
      <c r="N90" s="22">
        <f>IFERROR(((COUNTIF(#REF!,"TOP")*R$90)+(#REF!-COUNTIF(#REF!,"TOP"))*S$90)/#REF!,0)</f>
        <v>0</v>
      </c>
      <c r="O90" s="22">
        <f>IFERROR(((COUNTIF(#REF!,"TOP")*T$90)+(#REF!-COUNTIF(#REF!,"TOP"))*U$90)/#REF!,0)</f>
        <v>0</v>
      </c>
      <c r="P90" s="22">
        <f>IFERROR(((COUNTIF(#REF!,"TOP")*V$90)+(#REF!-COUNTIF(#REF!,"TOP"))*W$90)/#REF!,0)</f>
        <v>0</v>
      </c>
      <c r="Q90" s="22">
        <f>IFERROR(((COUNTIF(#REF!,"TOP")*X$90)+(#REF!-COUNTIF(#REF!,"TOP"))*Y$90)/#REF!,0)</f>
        <v>0</v>
      </c>
      <c r="R90" s="289">
        <v>1.5</v>
      </c>
      <c r="S90" s="289">
        <v>1.1000000000000001</v>
      </c>
      <c r="T90" s="289">
        <v>1.1499999999999999</v>
      </c>
      <c r="U90" s="22">
        <v>1</v>
      </c>
      <c r="V90" s="22">
        <v>0.56000000000000005</v>
      </c>
      <c r="W90" s="289">
        <f t="shared" si="53"/>
        <v>0.44800000000000006</v>
      </c>
      <c r="X90" s="289">
        <v>1.46</v>
      </c>
      <c r="Y90" s="22">
        <v>1.1499999999999999</v>
      </c>
    </row>
    <row r="91" spans="1:26" x14ac:dyDescent="0.25">
      <c r="A91" s="1" t="s">
        <v>8</v>
      </c>
      <c r="B91" s="1"/>
      <c r="C91" s="14"/>
      <c r="D91" s="14"/>
      <c r="E91" s="22">
        <f t="shared" si="52"/>
        <v>0</v>
      </c>
      <c r="F91" s="22">
        <f t="shared" si="52"/>
        <v>0</v>
      </c>
      <c r="G91" s="22">
        <f t="shared" si="52"/>
        <v>0</v>
      </c>
      <c r="H91" s="22">
        <f t="shared" si="52"/>
        <v>0</v>
      </c>
      <c r="I91" s="21" t="s">
        <v>30</v>
      </c>
      <c r="J91" s="21"/>
      <c r="K91" s="24"/>
      <c r="M91" s="1" t="s">
        <v>8</v>
      </c>
      <c r="N91" s="22">
        <f>IFERROR(((COUNTIF(#REF!,"TOP")*R$91)+(#REF!-COUNTIF(#REF!,"TOP"))*S$91)/#REF!,0)</f>
        <v>0</v>
      </c>
      <c r="O91" s="22">
        <f>IFERROR(((COUNTIF(#REF!,"TOP")*T$91)+(#REF!-COUNTIF(#REF!,"TOP"))*U$91)/#REF!,0)</f>
        <v>0</v>
      </c>
      <c r="P91" s="22">
        <f>IFERROR(((COUNTIF(#REF!,"TOP")*V$91)+(#REF!-COUNTIF(#REF!,"TOP"))*W$91)/#REF!,0)</f>
        <v>0</v>
      </c>
      <c r="Q91" s="22">
        <f>IFERROR(((COUNTIF(#REF!,"TOP")*X$91)+(#REF!-COUNTIF(#REF!,"TOP"))*Y$91)/#REF!,0)</f>
        <v>0</v>
      </c>
      <c r="R91" s="289">
        <v>1.5</v>
      </c>
      <c r="S91" s="289">
        <v>1.1000000000000001</v>
      </c>
      <c r="T91" s="289">
        <v>1.1499999999999999</v>
      </c>
      <c r="U91" s="22">
        <v>1</v>
      </c>
      <c r="V91" s="22">
        <v>0.56000000000000005</v>
      </c>
      <c r="W91" s="289">
        <f t="shared" si="53"/>
        <v>0.44800000000000006</v>
      </c>
      <c r="X91" s="289">
        <v>1.46</v>
      </c>
      <c r="Y91" s="22">
        <v>1.1499999999999999</v>
      </c>
      <c r="Z91" s="80"/>
    </row>
    <row r="92" spans="1:26" x14ac:dyDescent="0.25">
      <c r="A92" s="1" t="s">
        <v>10</v>
      </c>
      <c r="B92" s="1"/>
      <c r="C92" s="14"/>
      <c r="D92" s="14"/>
      <c r="E92" s="22">
        <f t="shared" si="52"/>
        <v>0</v>
      </c>
      <c r="F92" s="22">
        <f t="shared" si="52"/>
        <v>0</v>
      </c>
      <c r="G92" s="22">
        <f t="shared" si="52"/>
        <v>0</v>
      </c>
      <c r="H92" s="22">
        <f t="shared" si="52"/>
        <v>0</v>
      </c>
      <c r="I92" s="21" t="s">
        <v>30</v>
      </c>
      <c r="J92" s="21"/>
      <c r="K92" s="24"/>
      <c r="M92" s="1" t="s">
        <v>10</v>
      </c>
      <c r="N92" s="22">
        <f>IFERROR(((COUNTIF(#REF!,"TOP")*R$92)+(#REF!-COUNTIF(#REF!,"TOP"))*S$92)/#REF!,0)</f>
        <v>0</v>
      </c>
      <c r="O92" s="22">
        <f>IFERROR(((COUNTIF(#REF!,"TOP")*T$92)+(#REF!-COUNTIF(#REF!,"TOP"))*U$92)/#REF!,0)</f>
        <v>0</v>
      </c>
      <c r="P92" s="22">
        <f>IFERROR(((COUNTIF(#REF!,"TOP")*V$92)+(#REF!-COUNTIF(#REF!,"TOP"))*W$92)/#REF!,0)</f>
        <v>0</v>
      </c>
      <c r="Q92" s="22">
        <f>IFERROR(((COUNTIF(#REF!,"TOP")*X$92)+(#REF!-COUNTIF(#REF!,"TOP"))*Y$92)/#REF!,0)</f>
        <v>0</v>
      </c>
      <c r="R92" s="289">
        <v>1.5</v>
      </c>
      <c r="S92" s="289">
        <v>1.1000000000000001</v>
      </c>
      <c r="T92" s="289">
        <v>1.1499999999999999</v>
      </c>
      <c r="U92" s="22">
        <v>1</v>
      </c>
      <c r="V92" s="22">
        <v>0.56000000000000005</v>
      </c>
      <c r="W92" s="289">
        <f t="shared" si="53"/>
        <v>0.44800000000000006</v>
      </c>
      <c r="X92" s="289">
        <v>1.46</v>
      </c>
      <c r="Y92" s="22">
        <v>1.1499999999999999</v>
      </c>
    </row>
    <row r="93" spans="1:26" x14ac:dyDescent="0.25">
      <c r="A93" s="1" t="s">
        <v>12</v>
      </c>
      <c r="B93" s="1"/>
      <c r="C93" s="14"/>
      <c r="D93" s="14"/>
      <c r="E93" s="22">
        <f t="shared" si="52"/>
        <v>0</v>
      </c>
      <c r="F93" s="22">
        <f t="shared" si="52"/>
        <v>0</v>
      </c>
      <c r="G93" s="22">
        <f t="shared" si="52"/>
        <v>0</v>
      </c>
      <c r="H93" s="22">
        <f t="shared" si="52"/>
        <v>0</v>
      </c>
      <c r="I93" s="21" t="s">
        <v>30</v>
      </c>
      <c r="J93" s="21"/>
      <c r="K93" s="24"/>
      <c r="M93" s="1" t="s">
        <v>12</v>
      </c>
      <c r="N93" s="22">
        <f>IFERROR(((COUNTIF(#REF!,"TOP")*R$93)+(#REF!-COUNTIF(#REF!,"TOP"))*S$93)/#REF!,0)</f>
        <v>0</v>
      </c>
      <c r="O93" s="22">
        <f>IFERROR(((COUNTIF(#REF!,"TOP")*T$93)+(#REF!-COUNTIF(#REF!,"TOP"))*U$93)/#REF!,0)</f>
        <v>0</v>
      </c>
      <c r="P93" s="22">
        <f>IFERROR(((COUNTIF(#REF!,"TOP")*V$93)+(#REF!-COUNTIF(#REF!,"TOP"))*W$93)/#REF!,0)</f>
        <v>0</v>
      </c>
      <c r="Q93" s="22">
        <f>IFERROR(((COUNTIF(#REF!,"TOP")*X$93)+(#REF!-COUNTIF(#REF!,"TOP"))*Y$93)/#REF!,0)</f>
        <v>0</v>
      </c>
      <c r="R93" s="289">
        <v>1.5</v>
      </c>
      <c r="S93" s="289">
        <v>1.1000000000000001</v>
      </c>
      <c r="T93" s="289">
        <v>1.1499999999999999</v>
      </c>
      <c r="U93" s="22">
        <v>1</v>
      </c>
      <c r="V93" s="22">
        <v>0.56000000000000005</v>
      </c>
      <c r="W93" s="289">
        <f t="shared" si="53"/>
        <v>0.44800000000000006</v>
      </c>
      <c r="X93" s="289">
        <v>1.46</v>
      </c>
      <c r="Y93" s="22">
        <v>1.1499999999999999</v>
      </c>
    </row>
    <row r="94" spans="1:26" x14ac:dyDescent="0.25">
      <c r="A94" s="1" t="s">
        <v>13</v>
      </c>
      <c r="B94" s="1"/>
      <c r="C94" s="14"/>
      <c r="D94" s="14"/>
      <c r="E94" s="22">
        <f t="shared" si="52"/>
        <v>0.8525545634920636</v>
      </c>
      <c r="F94" s="22">
        <f t="shared" si="52"/>
        <v>0</v>
      </c>
      <c r="G94" s="22">
        <f t="shared" si="52"/>
        <v>0.51415598290598297</v>
      </c>
      <c r="H94" s="22">
        <f t="shared" si="52"/>
        <v>0.8525545634920636</v>
      </c>
      <c r="I94" s="21" t="s">
        <v>30</v>
      </c>
      <c r="J94" s="21"/>
      <c r="K94" s="24"/>
      <c r="M94" s="1" t="s">
        <v>13</v>
      </c>
      <c r="N94" s="22">
        <f>IFERROR(((COUNTIF(#REF!,"TOP")*R$94)+(#REF!-COUNTIF(#REF!,"TOP"))*S$94)/#REF!,0)</f>
        <v>0</v>
      </c>
      <c r="O94" s="22">
        <f>IFERROR(((COUNTIF(#REF!,"TOP")*T$94)+(#REF!-COUNTIF(#REF!,"TOP"))*U$94)/#REF!,0)</f>
        <v>0</v>
      </c>
      <c r="P94" s="22">
        <f>IFERROR(((COUNTIF(#REF!,"TOP")*V$94)+(#REF!-COUNTIF(#REF!,"TOP"))*W$94)/#REF!,0)</f>
        <v>0</v>
      </c>
      <c r="Q94" s="22">
        <f>IFERROR(((COUNTIF(#REF!,"TOP")*X$94)+(#REF!-COUNTIF(#REF!,"TOP"))*Y$94)/#REF!,0)</f>
        <v>0</v>
      </c>
      <c r="R94" s="289">
        <v>1.5</v>
      </c>
      <c r="S94" s="289">
        <v>1.1000000000000001</v>
      </c>
      <c r="T94" s="289">
        <v>1.1499999999999999</v>
      </c>
      <c r="U94" s="22">
        <v>1</v>
      </c>
      <c r="V94" s="22">
        <v>0.56000000000000005</v>
      </c>
      <c r="W94" s="289">
        <f t="shared" si="53"/>
        <v>0.44800000000000006</v>
      </c>
      <c r="X94" s="289">
        <v>1.46</v>
      </c>
      <c r="Y94" s="22">
        <v>1.1499999999999999</v>
      </c>
    </row>
    <row r="95" spans="1:26" x14ac:dyDescent="0.25">
      <c r="A95" s="1" t="s">
        <v>65</v>
      </c>
      <c r="B95" s="1"/>
      <c r="C95" s="14"/>
      <c r="D95" s="14"/>
      <c r="E95" s="22">
        <f t="shared" si="52"/>
        <v>2.2484955520669807</v>
      </c>
      <c r="F95" s="22">
        <f t="shared" si="52"/>
        <v>0</v>
      </c>
      <c r="G95" s="22">
        <f t="shared" si="52"/>
        <v>0</v>
      </c>
      <c r="H95" s="22">
        <f t="shared" si="52"/>
        <v>0</v>
      </c>
      <c r="I95" s="21" t="s">
        <v>30</v>
      </c>
      <c r="J95" s="21"/>
      <c r="K95" s="24"/>
      <c r="M95" s="1" t="s">
        <v>65</v>
      </c>
      <c r="N95" s="22">
        <f>IFERROR(((COUNTIF(#REF!,"TOP")*R$95)+(#REF!-COUNTIF(#REF!,"TOP"))*S$95)/#REF!,0)</f>
        <v>0</v>
      </c>
      <c r="O95" s="22">
        <f>IFERROR(((COUNTIF(#REF!,"TOP")*T$95)+(#REF!-COUNTIF(#REF!,"TOP"))*U$95)/#REF!,0)</f>
        <v>0</v>
      </c>
      <c r="P95" s="22">
        <f>IFERROR(((COUNTIF(#REF!,"TOP")*V$95)+(#REF!-COUNTIF(#REF!,"TOP"))*W$95)/#REF!,0)</f>
        <v>0</v>
      </c>
      <c r="Q95" s="22">
        <f>IFERROR(((COUNTIF(#REF!,"TOP")*X$95)+(#REF!-COUNTIF(#REF!,"TOP"))*Y$95)/#REF!,0)</f>
        <v>0</v>
      </c>
      <c r="R95" s="289">
        <v>1.5</v>
      </c>
      <c r="S95" s="289">
        <v>1.1000000000000001</v>
      </c>
      <c r="T95" s="289">
        <v>1.1499999999999999</v>
      </c>
      <c r="U95" s="22">
        <v>1</v>
      </c>
      <c r="V95" s="22">
        <v>0.56000000000000005</v>
      </c>
      <c r="W95" s="289">
        <f t="shared" si="53"/>
        <v>0.44800000000000006</v>
      </c>
      <c r="X95" s="289">
        <v>1.46</v>
      </c>
      <c r="Y95" s="22">
        <v>1.1499999999999999</v>
      </c>
    </row>
    <row r="96" spans="1:26" x14ac:dyDescent="0.25">
      <c r="A96" s="1" t="s">
        <v>257</v>
      </c>
      <c r="B96" s="1"/>
      <c r="C96" s="14"/>
      <c r="D96" s="14"/>
      <c r="E96" s="22">
        <f t="shared" si="52"/>
        <v>3.0962889569446945</v>
      </c>
      <c r="F96" s="22">
        <f t="shared" si="52"/>
        <v>0</v>
      </c>
      <c r="G96" s="22">
        <f t="shared" si="52"/>
        <v>0</v>
      </c>
      <c r="H96" s="22">
        <f t="shared" si="52"/>
        <v>3.0962889569446945</v>
      </c>
      <c r="I96" s="21" t="s">
        <v>30</v>
      </c>
      <c r="J96" s="21"/>
      <c r="K96" s="24"/>
      <c r="M96" s="1" t="s">
        <v>257</v>
      </c>
      <c r="N96" s="22">
        <f>IFERROR(((COUNTIF(#REF!,"TOP")*R$96)+(#REF!-COUNTIF(#REF!,"TOP"))*S$96)/#REF!,0)</f>
        <v>0</v>
      </c>
      <c r="O96" s="22">
        <f>IFERROR(((COUNTIF(#REF!,"TOP")*T$96)+(#REF!-COUNTIF(#REF!,"TOP"))*U$96)/#REF!,0)</f>
        <v>0</v>
      </c>
      <c r="P96" s="22">
        <f>IFERROR(((COUNTIF(#REF!,"TOP")*V$96)+(#REF!-COUNTIF(#REF!,"TOP"))*W$96)/#REF!,0)</f>
        <v>0</v>
      </c>
      <c r="Q96" s="22">
        <f>IFERROR(((COUNTIF(#REF!,"TOP")*X$96)+(#REF!-COUNTIF(#REF!,"TOP"))*Y$96)/#REF!,0)</f>
        <v>0</v>
      </c>
      <c r="R96" s="289">
        <v>1.5</v>
      </c>
      <c r="S96" s="289">
        <v>1.1000000000000001</v>
      </c>
      <c r="T96" s="289">
        <v>1.1499999999999999</v>
      </c>
      <c r="U96" s="22">
        <v>1</v>
      </c>
      <c r="V96" s="22">
        <v>0.56000000000000005</v>
      </c>
      <c r="W96" s="289">
        <f t="shared" si="53"/>
        <v>0.44800000000000006</v>
      </c>
      <c r="X96" s="289">
        <v>1.46</v>
      </c>
      <c r="Y96" s="22">
        <v>1.1499999999999999</v>
      </c>
    </row>
    <row r="97" spans="1:25" x14ac:dyDescent="0.25">
      <c r="A97" s="1" t="s">
        <v>1152</v>
      </c>
      <c r="B97" s="1"/>
      <c r="C97" s="14"/>
      <c r="D97" s="14"/>
      <c r="E97" s="22">
        <f t="shared" si="52"/>
        <v>4.5681063122923593</v>
      </c>
      <c r="F97" s="22">
        <f t="shared" si="52"/>
        <v>3.4108527131782953</v>
      </c>
      <c r="G97" s="22">
        <f t="shared" si="52"/>
        <v>1.9896640826873389</v>
      </c>
      <c r="H97" s="22">
        <f t="shared" si="52"/>
        <v>0</v>
      </c>
      <c r="I97" s="21" t="s">
        <v>30</v>
      </c>
      <c r="J97" s="21"/>
      <c r="K97" s="24"/>
      <c r="M97" s="1" t="s">
        <v>1152</v>
      </c>
      <c r="N97" s="22">
        <f>IFERROR(((COUNTIF(#REF!,"TOP")*R$97)+(#REF!-COUNTIF(#REF!,"TOP"))*S$97)/#REF!,0)</f>
        <v>0</v>
      </c>
      <c r="O97" s="22">
        <f>IFERROR(((COUNTIF(#REF!,"TOP")*T$97)+(#REF!-COUNTIF(#REF!,"TOP"))*U$97)/#REF!,0)</f>
        <v>0</v>
      </c>
      <c r="P97" s="22">
        <f>IFERROR(((COUNTIF(#REF!,"TOP")*V$97)+(#REF!-COUNTIF(#REF!,"TOP"))*W$97)/#REF!,0)</f>
        <v>0</v>
      </c>
      <c r="Q97" s="22">
        <f>IFERROR(((COUNTIF(#REF!,"TOP")*X$97)+(#REF!-COUNTIF(#REF!,"TOP"))*Y$97)/#REF!,0)</f>
        <v>0</v>
      </c>
      <c r="R97" s="289">
        <v>1.5</v>
      </c>
      <c r="S97" s="289">
        <v>1.1000000000000001</v>
      </c>
      <c r="T97" s="289">
        <v>1.1499999999999999</v>
      </c>
      <c r="U97" s="22">
        <v>1</v>
      </c>
      <c r="V97" s="22">
        <v>0.56000000000000005</v>
      </c>
      <c r="W97" s="289">
        <f t="shared" si="53"/>
        <v>0.44800000000000006</v>
      </c>
      <c r="X97" s="289">
        <v>1.46</v>
      </c>
      <c r="Y97" s="22">
        <v>1.1499999999999999</v>
      </c>
    </row>
    <row r="98" spans="1:25" x14ac:dyDescent="0.25">
      <c r="A98" s="1" t="s">
        <v>1153</v>
      </c>
      <c r="B98" s="1"/>
      <c r="C98" s="14"/>
      <c r="D98" s="14"/>
      <c r="E98" s="22">
        <f t="shared" si="52"/>
        <v>7.1750874823500528</v>
      </c>
      <c r="F98" s="22">
        <f t="shared" si="52"/>
        <v>5.3573986534880396</v>
      </c>
      <c r="G98" s="22">
        <f t="shared" si="52"/>
        <v>0</v>
      </c>
      <c r="H98" s="22">
        <f t="shared" si="52"/>
        <v>7.1750874823500528</v>
      </c>
      <c r="I98" s="21" t="s">
        <v>30</v>
      </c>
      <c r="J98" s="21"/>
      <c r="K98" s="24"/>
      <c r="M98" s="1" t="s">
        <v>1153</v>
      </c>
      <c r="N98" s="82">
        <f>IFERROR(((COUNTIF(#REF!,"TOP")*R$98)+(#REF!-COUNTIF(#REF!,"TOP"))*S$98)/#REF!,0)</f>
        <v>0</v>
      </c>
      <c r="O98" s="82">
        <f>IFERROR(((COUNTIF(#REF!,"TOP")*T$98)+(#REF!-COUNTIF(#REF!,"TOP"))*U$98)/#REF!,0)</f>
        <v>0</v>
      </c>
      <c r="P98" s="82">
        <f>IFERROR(((COUNTIF(#REF!,"TOP")*V$98)+(#REF!-COUNTIF(#REF!,"TOP"))*W$98)/#REF!,0)</f>
        <v>0</v>
      </c>
      <c r="Q98" s="82">
        <f>IFERROR(((COUNTIF(#REF!,"TOP")*X$98)+(#REF!-COUNTIF(#REF!,"TOP"))*Y$98)/#REF!,0)</f>
        <v>0</v>
      </c>
      <c r="R98" s="289">
        <v>1.5</v>
      </c>
      <c r="S98" s="289">
        <v>1.1000000000000001</v>
      </c>
      <c r="T98" s="289">
        <v>1.1499999999999999</v>
      </c>
      <c r="U98" s="22">
        <v>1</v>
      </c>
      <c r="V98" s="22">
        <v>0.56000000000000005</v>
      </c>
      <c r="W98" s="289">
        <f t="shared" si="53"/>
        <v>0.44800000000000006</v>
      </c>
      <c r="X98" s="289">
        <v>1.46</v>
      </c>
      <c r="Y98" s="22">
        <v>1.1499999999999999</v>
      </c>
    </row>
    <row r="99" spans="1:25" x14ac:dyDescent="0.25">
      <c r="A99" s="1" t="s">
        <v>12394</v>
      </c>
      <c r="B99" s="1"/>
      <c r="C99" s="14"/>
      <c r="D99" s="14"/>
      <c r="E99" s="22">
        <f t="shared" si="52"/>
        <v>0.95874937245495628</v>
      </c>
      <c r="F99" s="22">
        <f t="shared" si="52"/>
        <v>0.71586619809970065</v>
      </c>
      <c r="G99" s="22">
        <f t="shared" si="52"/>
        <v>0.41758861555815868</v>
      </c>
      <c r="H99" s="22">
        <f t="shared" si="52"/>
        <v>0.95874937245495628</v>
      </c>
      <c r="I99" s="21" t="s">
        <v>30</v>
      </c>
      <c r="J99" s="21"/>
      <c r="K99" s="24"/>
      <c r="M99" s="1" t="s">
        <v>12394</v>
      </c>
      <c r="N99" s="82">
        <f>IFERROR(((COUNTIF(#REF!,"TOP")*R$98)+(#REF!-COUNTIF(#REF!,"TOP"))*S$98)/#REF!,0)</f>
        <v>0</v>
      </c>
      <c r="O99" s="82">
        <f>IFERROR(((COUNTIF(#REF!,"TOP")*T$98)+(#REF!-COUNTIF(#REF!,"TOP"))*U$98)/#REF!,0)</f>
        <v>0</v>
      </c>
      <c r="P99" s="82">
        <f>IFERROR(((COUNTIF(#REF!,"TOP")*V$98)+(#REF!-COUNTIF(#REF!,"TOP"))*W$98)/#REF!,0)</f>
        <v>0</v>
      </c>
      <c r="Q99" s="82">
        <f>IFERROR(((COUNTIF(#REF!,"TOP")*X$98)+(#REF!-COUNTIF(#REF!,"TOP"))*Y$98)/#REF!,0)</f>
        <v>0</v>
      </c>
      <c r="R99" s="289">
        <v>1.5</v>
      </c>
      <c r="S99" s="289">
        <v>1.1000000000000001</v>
      </c>
      <c r="T99" s="289">
        <v>1.1499999999999999</v>
      </c>
      <c r="U99" s="22">
        <v>1</v>
      </c>
      <c r="V99" s="22">
        <v>0.56000000000000005</v>
      </c>
      <c r="W99" s="289">
        <f>V99*0.8</f>
        <v>0.44800000000000006</v>
      </c>
      <c r="X99" s="289">
        <v>1.46</v>
      </c>
      <c r="Y99" s="22">
        <v>1.1499999999999999</v>
      </c>
    </row>
    <row r="100" spans="1:25" x14ac:dyDescent="0.25">
      <c r="A100" s="1" t="s">
        <v>14094</v>
      </c>
      <c r="B100" s="1"/>
      <c r="C100" s="14"/>
      <c r="D100" s="14"/>
      <c r="E100" s="22">
        <f t="shared" si="52"/>
        <v>0.24433845585203931</v>
      </c>
      <c r="F100" s="22">
        <f t="shared" si="52"/>
        <v>0.18243938036952267</v>
      </c>
      <c r="G100" s="22">
        <f t="shared" si="52"/>
        <v>0</v>
      </c>
      <c r="H100" s="22">
        <f t="shared" si="52"/>
        <v>0.24433845585203931</v>
      </c>
      <c r="I100" s="21" t="s">
        <v>30</v>
      </c>
      <c r="J100" s="21"/>
      <c r="K100" s="24"/>
      <c r="M100" s="1" t="s">
        <v>14102</v>
      </c>
      <c r="N100" s="82">
        <f>IFERROR(((COUNTIF(#REF!,"TOP")*R$98)+(#REF!-COUNTIF(#REF!,"TOP"))*S$98)/#REF!,0)</f>
        <v>0</v>
      </c>
      <c r="O100" s="82">
        <f>IFERROR(((COUNTIF(#REF!,"TOP")*T$98)+(#REF!-COUNTIF(#REF!,"TOP"))*U$98)/#REF!,0)</f>
        <v>0</v>
      </c>
      <c r="P100" s="82">
        <f>IFERROR(((COUNTIF(#REF!,"TOP")*V$98)+(#REF!-COUNTIF(#REF!,"TOP"))*W$98)/#REF!,0)</f>
        <v>0</v>
      </c>
      <c r="Q100" s="82">
        <f>IFERROR(((COUNTIF(#REF!,"TOP")*X$98)+(#REF!-COUNTIF(#REF!,"TOP"))*Y$98)/#REF!,0)</f>
        <v>0</v>
      </c>
      <c r="R100" s="289">
        <v>1.5</v>
      </c>
      <c r="S100" s="289">
        <v>1.1000000000000001</v>
      </c>
      <c r="T100" s="289">
        <v>1.1499999999999999</v>
      </c>
      <c r="U100" s="22">
        <v>1</v>
      </c>
      <c r="V100" s="22">
        <v>0.56000000000000005</v>
      </c>
      <c r="W100" s="289">
        <f>V100*0.8</f>
        <v>0.44800000000000006</v>
      </c>
      <c r="X100" s="289">
        <v>1.46</v>
      </c>
      <c r="Y100" s="22">
        <v>1.1499999999999999</v>
      </c>
    </row>
    <row r="101" spans="1:25" x14ac:dyDescent="0.25">
      <c r="A101" s="11" t="s">
        <v>14</v>
      </c>
      <c r="B101" s="12">
        <f>SUM(B90:B99)</f>
        <v>0</v>
      </c>
      <c r="C101" s="12">
        <f>SUM(C90:C99)</f>
        <v>0</v>
      </c>
      <c r="D101" s="12">
        <f>SUM(D90:D99)</f>
        <v>0</v>
      </c>
      <c r="E101" s="12">
        <f t="shared" ref="E101:J101" si="54">SUM(E89:E100)</f>
        <v>19.143620695453148</v>
      </c>
      <c r="F101" s="12">
        <f t="shared" si="54"/>
        <v>9.6665569451355573</v>
      </c>
      <c r="G101" s="12">
        <f t="shared" si="54"/>
        <v>2.9214086811514806</v>
      </c>
      <c r="H101" s="12">
        <f t="shared" si="54"/>
        <v>12.327018831093808</v>
      </c>
      <c r="I101" s="12">
        <f t="shared" si="54"/>
        <v>0</v>
      </c>
      <c r="J101" s="12">
        <f t="shared" si="54"/>
        <v>0</v>
      </c>
      <c r="M101" s="1"/>
      <c r="N101" s="12">
        <f t="shared" ref="N101:Y101" si="55">SUM(N89:N100)</f>
        <v>0</v>
      </c>
      <c r="O101" s="12">
        <f t="shared" si="55"/>
        <v>0</v>
      </c>
      <c r="P101" s="12">
        <f t="shared" si="55"/>
        <v>0</v>
      </c>
      <c r="Q101" s="12">
        <f t="shared" si="55"/>
        <v>0</v>
      </c>
      <c r="R101" s="12">
        <f t="shared" si="55"/>
        <v>18</v>
      </c>
      <c r="S101" s="12">
        <f t="shared" si="55"/>
        <v>13.199999999999998</v>
      </c>
      <c r="T101" s="12">
        <f t="shared" si="55"/>
        <v>13.800000000000002</v>
      </c>
      <c r="U101" s="12">
        <f t="shared" si="55"/>
        <v>12</v>
      </c>
      <c r="V101" s="12">
        <f t="shared" si="55"/>
        <v>6.7200000000000024</v>
      </c>
      <c r="W101" s="12">
        <f t="shared" si="55"/>
        <v>5.3760000000000012</v>
      </c>
      <c r="X101" s="12">
        <f t="shared" si="55"/>
        <v>17.520000000000003</v>
      </c>
      <c r="Y101" s="12">
        <f t="shared" si="55"/>
        <v>13.800000000000002</v>
      </c>
    </row>
    <row r="110" spans="1:25" x14ac:dyDescent="0.25">
      <c r="X110" t="s">
        <v>40</v>
      </c>
    </row>
  </sheetData>
  <customSheetViews>
    <customSheetView guid="{80854372-D2ED-4B6A-8325-BF67270E20DC}" fitToPage="1">
      <pane xSplit="1" ySplit="1" topLeftCell="B38" activePane="bottomRight" state="frozen"/>
      <selection pane="bottomRight" activeCell="T42" sqref="T42"/>
      <rowBreaks count="1" manualBreakCount="1">
        <brk id="44" max="15" man="1"/>
      </rowBreaks>
      <pageMargins left="0.5" right="0.5" top="0.5" bottom="0.5" header="0.3" footer="0.3"/>
      <pageSetup paperSize="41" orientation="landscape" r:id="rId1"/>
    </customSheetView>
    <customSheetView guid="{AF6A22A6-5407-4536-A5A9-9818B972C404}" fitToPage="1">
      <pane xSplit="1" ySplit="1" topLeftCell="B38" activePane="bottomRight" state="frozen"/>
      <selection pane="bottomRight" activeCell="T42" sqref="T42"/>
      <rowBreaks count="1" manualBreakCount="1">
        <brk id="44" max="15" man="1"/>
      </rowBreaks>
      <pageMargins left="0.5" right="0.5" top="0.5" bottom="0.5" header="0.3" footer="0.3"/>
      <pageSetup paperSize="41" orientation="landscape" r:id="rId2"/>
    </customSheetView>
  </customSheetViews>
  <mergeCells count="32">
    <mergeCell ref="A1:O1"/>
    <mergeCell ref="A18:O18"/>
    <mergeCell ref="E19:H19"/>
    <mergeCell ref="M19:M20"/>
    <mergeCell ref="N19:N20"/>
    <mergeCell ref="O19:O20"/>
    <mergeCell ref="E2:H2"/>
    <mergeCell ref="L2:L3"/>
    <mergeCell ref="M2:M3"/>
    <mergeCell ref="N2:N3"/>
    <mergeCell ref="B2:D2"/>
    <mergeCell ref="B19:D19"/>
    <mergeCell ref="I2:J2"/>
    <mergeCell ref="I19:J19"/>
    <mergeCell ref="L19:L20"/>
    <mergeCell ref="O2:O3"/>
    <mergeCell ref="P2:P3"/>
    <mergeCell ref="V18:V20"/>
    <mergeCell ref="E70:H70"/>
    <mergeCell ref="A35:P35"/>
    <mergeCell ref="B87:D87"/>
    <mergeCell ref="A86:J86"/>
    <mergeCell ref="I87:J87"/>
    <mergeCell ref="E87:H87"/>
    <mergeCell ref="E36:H36"/>
    <mergeCell ref="E53:H53"/>
    <mergeCell ref="X87:Y87"/>
    <mergeCell ref="T87:U87"/>
    <mergeCell ref="R87:S87"/>
    <mergeCell ref="V87:W87"/>
    <mergeCell ref="P19:P20"/>
    <mergeCell ref="W18:W20"/>
  </mergeCells>
  <phoneticPr fontId="23" type="noConversion"/>
  <conditionalFormatting sqref="S16 S4:S9">
    <cfRule type="cellIs" dxfId="24682" priority="28" operator="between">
      <formula>0.8</formula>
      <formula>1.2</formula>
    </cfRule>
  </conditionalFormatting>
  <conditionalFormatting sqref="S10:S15">
    <cfRule type="cellIs" dxfId="24681" priority="25" operator="between">
      <formula>0.8</formula>
      <formula>1.2</formula>
    </cfRule>
  </conditionalFormatting>
  <conditionalFormatting sqref="W4:W11">
    <cfRule type="cellIs" dxfId="24680" priority="23" operator="lessThan">
      <formula>0.6</formula>
    </cfRule>
  </conditionalFormatting>
  <conditionalFormatting sqref="X4:X11">
    <cfRule type="cellIs" dxfId="24679" priority="19" operator="lessThan">
      <formula>0.8</formula>
    </cfRule>
    <cfRule type="cellIs" dxfId="24678" priority="20" operator="greaterThan">
      <formula>1.2</formula>
    </cfRule>
  </conditionalFormatting>
  <conditionalFormatting sqref="W16">
    <cfRule type="cellIs" dxfId="24677" priority="12" operator="lessThan">
      <formula>0.6</formula>
    </cfRule>
  </conditionalFormatting>
  <conditionalFormatting sqref="X12:X16">
    <cfRule type="cellIs" dxfId="24676" priority="10" operator="lessThan">
      <formula>0.8</formula>
    </cfRule>
    <cfRule type="cellIs" dxfId="24675" priority="11" operator="greaterThan">
      <formula>1.2</formula>
    </cfRule>
  </conditionalFormatting>
  <conditionalFormatting sqref="W13:W15">
    <cfRule type="cellIs" dxfId="24674" priority="7" operator="lessThan">
      <formula>0.6</formula>
    </cfRule>
  </conditionalFormatting>
  <conditionalFormatting sqref="W12">
    <cfRule type="cellIs" dxfId="24673" priority="2" operator="lessThan">
      <formula>0.6</formula>
    </cfRule>
  </conditionalFormatting>
  <conditionalFormatting sqref="B16:J16">
    <cfRule type="cellIs" dxfId="24672" priority="1" operator="lessThan">
      <formula>10</formula>
    </cfRule>
  </conditionalFormatting>
  <pageMargins left="0.5" right="0.5" top="0.5" bottom="0.5" header="0.3" footer="0.3"/>
  <pageSetup paperSize="41" scale="43" orientation="landscape" r:id="rId3"/>
  <rowBreaks count="1" manualBreakCount="1">
    <brk id="42" max="15" man="1"/>
  </rowBreak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AW328"/>
  <sheetViews>
    <sheetView tabSelected="1" topLeftCell="N7" zoomScale="90" zoomScaleNormal="90" workbookViewId="0">
      <selection activeCell="AE33" sqref="AE33"/>
    </sheetView>
  </sheetViews>
  <sheetFormatPr defaultColWidth="9.28515625" defaultRowHeight="15" x14ac:dyDescent="0.25"/>
  <cols>
    <col min="3" max="3" width="11.42578125" hidden="1" customWidth="1"/>
    <col min="4" max="4" width="18" bestFit="1" customWidth="1"/>
    <col min="5" max="5" width="8" hidden="1" customWidth="1"/>
    <col min="6" max="6" width="0" hidden="1" customWidth="1"/>
    <col min="16" max="24" width="12.7109375" style="58" customWidth="1"/>
    <col min="25" max="25" width="10.7109375" style="58" customWidth="1"/>
    <col min="26" max="26" width="6.7109375" customWidth="1"/>
    <col min="27" max="27" width="16.140625" customWidth="1"/>
    <col min="28" max="28" width="14.140625" customWidth="1"/>
    <col min="29" max="33" width="13.140625" customWidth="1"/>
    <col min="34" max="34" width="14.140625" bestFit="1" customWidth="1"/>
    <col min="35" max="35" width="13.140625" customWidth="1"/>
    <col min="36" max="36" width="13.5703125" customWidth="1"/>
    <col min="37" max="37" width="13" customWidth="1"/>
    <col min="38" max="38" width="9.28515625" bestFit="1" customWidth="1"/>
    <col min="40" max="40" width="13.42578125" customWidth="1"/>
    <col min="42" max="44" width="12.7109375" customWidth="1"/>
    <col min="45" max="45" width="9.85546875" customWidth="1"/>
    <col min="47" max="47" width="16.7109375" customWidth="1"/>
  </cols>
  <sheetData>
    <row r="1" spans="1:49" ht="21.75" thickBot="1" x14ac:dyDescent="0.4">
      <c r="B1" s="58" t="s">
        <v>440</v>
      </c>
      <c r="C1" s="58" t="s">
        <v>1163</v>
      </c>
      <c r="D1" s="58" t="s">
        <v>1164</v>
      </c>
      <c r="E1" s="58" t="s">
        <v>1165</v>
      </c>
      <c r="F1" s="58" t="s">
        <v>739</v>
      </c>
      <c r="G1" s="58" t="s">
        <v>1162</v>
      </c>
      <c r="H1" s="58" t="s">
        <v>1168</v>
      </c>
      <c r="I1" s="58" t="s">
        <v>1169</v>
      </c>
      <c r="J1" s="58" t="s">
        <v>1165</v>
      </c>
      <c r="M1" s="58" t="s">
        <v>1162</v>
      </c>
      <c r="O1" s="452" t="s">
        <v>1225</v>
      </c>
      <c r="P1" s="453"/>
      <c r="Q1" s="453"/>
      <c r="R1" s="453"/>
      <c r="S1" s="453"/>
      <c r="T1" s="453"/>
      <c r="U1" s="453"/>
      <c r="V1" s="453"/>
      <c r="W1" s="453"/>
      <c r="X1" s="454"/>
      <c r="Y1"/>
    </row>
    <row r="2" spans="1:49" ht="19.5" thickBot="1" x14ac:dyDescent="0.3">
      <c r="A2" t="s">
        <v>8893</v>
      </c>
      <c r="B2" s="58" t="s">
        <v>8904</v>
      </c>
      <c r="C2" s="58"/>
      <c r="D2" s="58" t="s">
        <v>2715</v>
      </c>
      <c r="E2" s="58"/>
      <c r="F2" s="58"/>
      <c r="G2" s="58">
        <f t="shared" ref="G2:G13" si="0">SUMIF($L:$L,D2,$M:$M)</f>
        <v>12</v>
      </c>
      <c r="H2" s="72">
        <f>COUNTIFS(LIST2!$B:$B,CONTROLLER!B2,LIST2!$W:$W,CONTROLLER!D2,LIST2!$S:$S,"&gt;0")</f>
        <v>0</v>
      </c>
      <c r="I2">
        <f>G2*H2</f>
        <v>0</v>
      </c>
      <c r="L2" t="s">
        <v>2715</v>
      </c>
      <c r="M2">
        <v>12</v>
      </c>
      <c r="O2" s="1"/>
      <c r="P2" s="437" t="s">
        <v>0</v>
      </c>
      <c r="Q2" s="438"/>
      <c r="R2" s="439"/>
      <c r="S2" s="442" t="s">
        <v>16</v>
      </c>
      <c r="T2" s="442"/>
      <c r="U2" s="442"/>
      <c r="V2" s="442"/>
      <c r="W2" s="427" t="s">
        <v>22</v>
      </c>
      <c r="X2" s="428"/>
      <c r="Y2" s="6"/>
      <c r="AA2" s="123" t="s">
        <v>5943</v>
      </c>
      <c r="AB2" s="133">
        <v>15</v>
      </c>
      <c r="AC2" s="133">
        <v>30</v>
      </c>
      <c r="AD2" s="133">
        <v>15</v>
      </c>
      <c r="AE2" s="133"/>
      <c r="AF2" s="124"/>
      <c r="AQ2">
        <v>15</v>
      </c>
      <c r="AR2">
        <v>30</v>
      </c>
      <c r="AS2">
        <v>15</v>
      </c>
      <c r="AT2">
        <v>40</v>
      </c>
      <c r="AU2">
        <v>40</v>
      </c>
      <c r="AV2">
        <v>10</v>
      </c>
      <c r="AW2">
        <v>150</v>
      </c>
    </row>
    <row r="3" spans="1:49" ht="16.5" thickBot="1" x14ac:dyDescent="0.3">
      <c r="A3" t="s">
        <v>8893</v>
      </c>
      <c r="B3" s="58" t="s">
        <v>8904</v>
      </c>
      <c r="C3" s="58"/>
      <c r="D3" s="58" t="s">
        <v>2710</v>
      </c>
      <c r="E3" s="58"/>
      <c r="F3" s="58"/>
      <c r="G3" s="58">
        <f t="shared" si="0"/>
        <v>10</v>
      </c>
      <c r="H3" s="72">
        <f>COUNTIFS(LIST2!$B:$B,CONTROLLER!B3,LIST2!$W:$W,CONTROLLER!D3,LIST2!$S:$S,"&gt;0")</f>
        <v>0</v>
      </c>
      <c r="I3">
        <f t="shared" ref="I3:I18" si="1">G3*H3</f>
        <v>0</v>
      </c>
      <c r="L3" t="s">
        <v>2710</v>
      </c>
      <c r="M3">
        <v>10</v>
      </c>
      <c r="O3" s="1"/>
      <c r="P3" s="2" t="s">
        <v>211</v>
      </c>
      <c r="Q3" s="2" t="s">
        <v>23</v>
      </c>
      <c r="R3" s="2" t="s">
        <v>1</v>
      </c>
      <c r="S3" s="3" t="s">
        <v>18</v>
      </c>
      <c r="T3" s="3" t="s">
        <v>19</v>
      </c>
      <c r="U3" s="3" t="s">
        <v>20</v>
      </c>
      <c r="V3" s="3" t="s">
        <v>21</v>
      </c>
      <c r="W3" s="3" t="s">
        <v>28</v>
      </c>
      <c r="X3" s="3" t="s">
        <v>62</v>
      </c>
      <c r="Y3" s="7"/>
      <c r="AA3" s="131"/>
      <c r="AB3" s="134" t="s">
        <v>211</v>
      </c>
      <c r="AC3" s="134" t="s">
        <v>23</v>
      </c>
      <c r="AD3" s="134" t="s">
        <v>1</v>
      </c>
      <c r="AE3" s="134" t="s">
        <v>14</v>
      </c>
      <c r="AF3" s="132"/>
      <c r="AH3" s="126" t="s">
        <v>5944</v>
      </c>
      <c r="AI3" s="136" t="s">
        <v>211</v>
      </c>
      <c r="AJ3" s="126" t="s">
        <v>23</v>
      </c>
      <c r="AK3" s="126" t="s">
        <v>1</v>
      </c>
      <c r="AL3" s="126" t="s">
        <v>62</v>
      </c>
      <c r="AM3" s="126" t="s">
        <v>14</v>
      </c>
      <c r="AN3" s="126" t="s">
        <v>5945</v>
      </c>
      <c r="AP3" s="224"/>
      <c r="AQ3" s="225" t="s">
        <v>211</v>
      </c>
      <c r="AR3" s="225" t="s">
        <v>23</v>
      </c>
      <c r="AS3" s="225" t="s">
        <v>1</v>
      </c>
      <c r="AT3" s="225" t="s">
        <v>62</v>
      </c>
      <c r="AU3" s="226" t="s">
        <v>7518</v>
      </c>
      <c r="AV3" s="226" t="s">
        <v>19</v>
      </c>
      <c r="AW3" s="227" t="s">
        <v>20</v>
      </c>
    </row>
    <row r="4" spans="1:49" x14ac:dyDescent="0.25">
      <c r="A4" t="s">
        <v>8893</v>
      </c>
      <c r="B4" s="58" t="s">
        <v>8904</v>
      </c>
      <c r="C4" s="58"/>
      <c r="D4" s="58" t="s">
        <v>2717</v>
      </c>
      <c r="E4" s="58"/>
      <c r="F4" s="58"/>
      <c r="G4" s="58">
        <f t="shared" si="0"/>
        <v>6</v>
      </c>
      <c r="H4" s="72">
        <f>COUNTIFS(LIST2!$B:$B,CONTROLLER!B4,LIST2!$W:$W,CONTROLLER!D4,LIST2!$S:$S,"&gt;0")</f>
        <v>0</v>
      </c>
      <c r="I4">
        <f t="shared" si="1"/>
        <v>0</v>
      </c>
      <c r="L4" t="s">
        <v>2717</v>
      </c>
      <c r="M4">
        <v>6</v>
      </c>
      <c r="O4" s="1" t="s">
        <v>8904</v>
      </c>
      <c r="P4" s="27">
        <f>'LEVEL QUOTA'!B4</f>
        <v>0</v>
      </c>
      <c r="Q4" s="27">
        <f>'LEVEL QUOTA'!C4</f>
        <v>0</v>
      </c>
      <c r="R4" s="27">
        <f>'LEVEL QUOTA'!D4</f>
        <v>0</v>
      </c>
      <c r="S4" s="27">
        <f>'LEVEL QUOTA'!E4</f>
        <v>0</v>
      </c>
      <c r="T4" s="27">
        <f>'LEVEL QUOTA'!F4</f>
        <v>0</v>
      </c>
      <c r="U4" s="27">
        <f>'LEVEL QUOTA'!G4</f>
        <v>0</v>
      </c>
      <c r="V4" s="27">
        <f>'LEVEL QUOTA'!H4</f>
        <v>0</v>
      </c>
      <c r="W4" s="27">
        <f>'LEVEL QUOTA'!I4</f>
        <v>1</v>
      </c>
      <c r="X4" s="27">
        <f>'LEVEL QUOTA'!J4</f>
        <v>1</v>
      </c>
      <c r="Y4" s="58">
        <f>SUM(P4:X4)</f>
        <v>2</v>
      </c>
      <c r="AA4" s="128" t="s">
        <v>8904</v>
      </c>
      <c r="AB4" s="129">
        <f>AQ4</f>
        <v>0</v>
      </c>
      <c r="AC4" s="129">
        <f>AR4</f>
        <v>0</v>
      </c>
      <c r="AD4" s="129">
        <f>AS4</f>
        <v>0</v>
      </c>
      <c r="AE4" s="129">
        <f>SUM(AB4:AD4)</f>
        <v>0</v>
      </c>
      <c r="AF4" s="130">
        <f>(AB4*7)+(AC4*14)+(AD4*24)</f>
        <v>0</v>
      </c>
      <c r="AG4" s="209">
        <f>AF4/'LEVEL QUOTA'!R4</f>
        <v>0</v>
      </c>
      <c r="AH4" s="272" t="str">
        <f>AA4</f>
        <v>L03</v>
      </c>
      <c r="AI4" s="273">
        <f t="shared" ref="AI4:AI13" si="2">P4</f>
        <v>0</v>
      </c>
      <c r="AJ4" s="273">
        <f t="shared" ref="AJ4:AJ13" si="3">Q4</f>
        <v>0</v>
      </c>
      <c r="AK4" s="273">
        <f t="shared" ref="AK4:AK13" si="4">R4</f>
        <v>0</v>
      </c>
      <c r="AL4" s="273">
        <f t="shared" ref="AL4:AL13" si="5">X4</f>
        <v>1</v>
      </c>
      <c r="AM4" s="273">
        <f>SUM(AI4:AL4)</f>
        <v>1</v>
      </c>
      <c r="AN4" s="274">
        <f>AE4-AM4</f>
        <v>-1</v>
      </c>
      <c r="AP4" s="228" t="s">
        <v>8902</v>
      </c>
      <c r="AQ4" s="229">
        <v>0</v>
      </c>
      <c r="AR4" s="229">
        <v>0</v>
      </c>
      <c r="AS4" s="229">
        <v>0</v>
      </c>
      <c r="AT4" s="229"/>
      <c r="AU4" s="229">
        <v>0</v>
      </c>
      <c r="AV4" s="229">
        <v>0</v>
      </c>
      <c r="AW4" s="230">
        <v>0</v>
      </c>
    </row>
    <row r="5" spans="1:49" x14ac:dyDescent="0.25">
      <c r="A5" t="s">
        <v>8893</v>
      </c>
      <c r="B5" s="58" t="s">
        <v>8904</v>
      </c>
      <c r="C5" s="58"/>
      <c r="D5" s="58" t="s">
        <v>2706</v>
      </c>
      <c r="E5" s="58"/>
      <c r="F5" s="58"/>
      <c r="G5" s="58">
        <f t="shared" si="0"/>
        <v>7</v>
      </c>
      <c r="H5" s="72">
        <f>COUNTIFS(LIST2!$B:$B,CONTROLLER!B5,LIST2!$W:$W,CONTROLLER!D5,LIST2!$S:$S,"&gt;0")</f>
        <v>0</v>
      </c>
      <c r="I5">
        <f t="shared" si="1"/>
        <v>0</v>
      </c>
      <c r="L5" t="s">
        <v>2706</v>
      </c>
      <c r="M5">
        <v>7</v>
      </c>
      <c r="O5" s="1" t="s">
        <v>91</v>
      </c>
      <c r="P5" s="27">
        <f>'LEVEL QUOTA'!B5</f>
        <v>0</v>
      </c>
      <c r="Q5" s="27">
        <f>'LEVEL QUOTA'!C5</f>
        <v>0</v>
      </c>
      <c r="R5" s="27">
        <f>'LEVEL QUOTA'!D5</f>
        <v>0</v>
      </c>
      <c r="S5" s="27">
        <f>'LEVEL QUOTA'!E5</f>
        <v>0</v>
      </c>
      <c r="T5" s="27">
        <f>'LEVEL QUOTA'!F5</f>
        <v>0</v>
      </c>
      <c r="U5" s="27">
        <f>'LEVEL QUOTA'!G5</f>
        <v>0</v>
      </c>
      <c r="V5" s="27">
        <f>'LEVEL QUOTA'!H5</f>
        <v>0</v>
      </c>
      <c r="W5" s="27">
        <f>'LEVEL QUOTA'!I5</f>
        <v>0</v>
      </c>
      <c r="X5" s="27">
        <f>'LEVEL QUOTA'!J5</f>
        <v>0</v>
      </c>
      <c r="Y5" s="58">
        <f t="shared" ref="Y5:Y13" si="6">SUM(P5:X5)</f>
        <v>0</v>
      </c>
      <c r="AA5" s="128" t="s">
        <v>91</v>
      </c>
      <c r="AB5" s="129">
        <f>AQ5</f>
        <v>1</v>
      </c>
      <c r="AC5" s="129">
        <f t="shared" ref="AC5:AC13" si="7">AR5</f>
        <v>4</v>
      </c>
      <c r="AD5" s="129">
        <f t="shared" ref="AD5:AD13" si="8">AS5</f>
        <v>1</v>
      </c>
      <c r="AE5" s="129">
        <f t="shared" ref="AE5:AE11" si="9">SUM(AB5:AD5)</f>
        <v>6</v>
      </c>
      <c r="AF5" s="130">
        <f t="shared" ref="AF5:AF13" si="10">(AB5*7)+(AC5*14)+(AD5*24)</f>
        <v>87</v>
      </c>
      <c r="AG5" s="209">
        <f>AF5/'LEVEL QUOTA'!R5</f>
        <v>0.57999999999999996</v>
      </c>
      <c r="AH5" s="275" t="str">
        <f>AA5</f>
        <v>L04</v>
      </c>
      <c r="AI5" s="276">
        <f t="shared" si="2"/>
        <v>0</v>
      </c>
      <c r="AJ5" s="276">
        <f t="shared" si="3"/>
        <v>0</v>
      </c>
      <c r="AK5" s="276">
        <f t="shared" si="4"/>
        <v>0</v>
      </c>
      <c r="AL5" s="276">
        <f t="shared" si="5"/>
        <v>0</v>
      </c>
      <c r="AM5" s="276">
        <f>SUM(AI5:AL5)</f>
        <v>0</v>
      </c>
      <c r="AN5" s="277">
        <f>AE5-AM5</f>
        <v>6</v>
      </c>
      <c r="AP5" s="228" t="s">
        <v>6</v>
      </c>
      <c r="AQ5" s="229">
        <v>1</v>
      </c>
      <c r="AR5" s="229">
        <v>4</v>
      </c>
      <c r="AS5" s="229">
        <v>1</v>
      </c>
      <c r="AT5" s="229"/>
      <c r="AU5" s="229">
        <v>2</v>
      </c>
      <c r="AV5" s="229">
        <v>2</v>
      </c>
      <c r="AW5" s="230">
        <v>1</v>
      </c>
    </row>
    <row r="6" spans="1:49" x14ac:dyDescent="0.25">
      <c r="A6" t="s">
        <v>8893</v>
      </c>
      <c r="B6" s="58" t="s">
        <v>8904</v>
      </c>
      <c r="C6" s="58"/>
      <c r="D6" s="58" t="s">
        <v>2712</v>
      </c>
      <c r="E6" s="58"/>
      <c r="F6" s="58"/>
      <c r="G6" s="58">
        <f t="shared" si="0"/>
        <v>7</v>
      </c>
      <c r="H6" s="72">
        <f>COUNTIFS(LIST2!$B:$B,CONTROLLER!B6,LIST2!$W:$W,CONTROLLER!D6,LIST2!$S:$S,"&gt;0")</f>
        <v>0</v>
      </c>
      <c r="I6">
        <f t="shared" si="1"/>
        <v>0</v>
      </c>
      <c r="L6" t="s">
        <v>2712</v>
      </c>
      <c r="M6">
        <v>7</v>
      </c>
      <c r="O6" s="1" t="s">
        <v>92</v>
      </c>
      <c r="P6" s="27">
        <f>'LEVEL QUOTA'!B6</f>
        <v>0</v>
      </c>
      <c r="Q6" s="81">
        <f>'LEVEL QUOTA'!C6</f>
        <v>0</v>
      </c>
      <c r="R6" s="27">
        <f>'LEVEL QUOTA'!D6</f>
        <v>0</v>
      </c>
      <c r="S6" s="27">
        <f>'LEVEL QUOTA'!E6</f>
        <v>0</v>
      </c>
      <c r="T6" s="27">
        <f>'LEVEL QUOTA'!F6</f>
        <v>0</v>
      </c>
      <c r="U6" s="27">
        <f>'LEVEL QUOTA'!G6</f>
        <v>0</v>
      </c>
      <c r="V6" s="27">
        <f>'LEVEL QUOTA'!H6</f>
        <v>0</v>
      </c>
      <c r="W6" s="180">
        <f>'LEVEL QUOTA'!I6</f>
        <v>0</v>
      </c>
      <c r="X6" s="27">
        <f>'LEVEL QUOTA'!J6</f>
        <v>0</v>
      </c>
      <c r="Y6" s="58">
        <f t="shared" si="6"/>
        <v>0</v>
      </c>
      <c r="AA6" s="119" t="s">
        <v>92</v>
      </c>
      <c r="AB6" s="120">
        <f t="shared" ref="AB6:AB13" si="11">AQ6</f>
        <v>1</v>
      </c>
      <c r="AC6" s="120">
        <f t="shared" si="7"/>
        <v>4</v>
      </c>
      <c r="AD6" s="120">
        <f t="shared" si="8"/>
        <v>1</v>
      </c>
      <c r="AE6" s="120">
        <f t="shared" si="9"/>
        <v>6</v>
      </c>
      <c r="AF6" s="130">
        <f t="shared" si="10"/>
        <v>87</v>
      </c>
      <c r="AG6" s="209">
        <f>AF6/'LEVEL QUOTA'!R6</f>
        <v>0.57999999999999996</v>
      </c>
      <c r="AH6" s="275" t="str">
        <f t="shared" ref="AH6:AH13" si="12">AA6</f>
        <v>L05</v>
      </c>
      <c r="AI6" s="276">
        <f t="shared" si="2"/>
        <v>0</v>
      </c>
      <c r="AJ6" s="276">
        <f t="shared" si="3"/>
        <v>0</v>
      </c>
      <c r="AK6" s="276">
        <f t="shared" si="4"/>
        <v>0</v>
      </c>
      <c r="AL6" s="276">
        <f t="shared" si="5"/>
        <v>0</v>
      </c>
      <c r="AM6" s="276">
        <f t="shared" ref="AM6:AM11" si="13">SUM(AI6:AL6)</f>
        <v>0</v>
      </c>
      <c r="AN6" s="277">
        <f t="shared" ref="AN6:AN11" si="14">AE6-AM6</f>
        <v>6</v>
      </c>
      <c r="AP6" s="228" t="s">
        <v>8</v>
      </c>
      <c r="AQ6" s="229">
        <v>1</v>
      </c>
      <c r="AR6" s="229">
        <v>4</v>
      </c>
      <c r="AS6" s="229">
        <v>1</v>
      </c>
      <c r="AT6" s="229"/>
      <c r="AU6" s="229">
        <v>1</v>
      </c>
      <c r="AV6" s="229">
        <v>2</v>
      </c>
      <c r="AW6" s="230">
        <v>1</v>
      </c>
    </row>
    <row r="7" spans="1:49" x14ac:dyDescent="0.25">
      <c r="A7" t="s">
        <v>8893</v>
      </c>
      <c r="B7" s="58" t="s">
        <v>8904</v>
      </c>
      <c r="C7" s="58"/>
      <c r="D7" s="58" t="s">
        <v>2711</v>
      </c>
      <c r="E7" s="58"/>
      <c r="F7" s="58"/>
      <c r="G7" s="58">
        <f t="shared" si="0"/>
        <v>14</v>
      </c>
      <c r="H7" s="72">
        <f>COUNTIFS(LIST2!$B:$B,CONTROLLER!B7,LIST2!$W:$W,CONTROLLER!D7,LIST2!$S:$S,"&gt;0")</f>
        <v>0</v>
      </c>
      <c r="I7">
        <f t="shared" si="1"/>
        <v>0</v>
      </c>
      <c r="L7" t="s">
        <v>2711</v>
      </c>
      <c r="M7">
        <v>14</v>
      </c>
      <c r="O7" s="1" t="s">
        <v>93</v>
      </c>
      <c r="P7" s="27">
        <f>'LEVEL QUOTA'!B7</f>
        <v>0</v>
      </c>
      <c r="Q7" s="81">
        <f>'LEVEL QUOTA'!C7</f>
        <v>0</v>
      </c>
      <c r="R7" s="27">
        <f>'LEVEL QUOTA'!D7</f>
        <v>0</v>
      </c>
      <c r="S7" s="27">
        <f>'LEVEL QUOTA'!E7</f>
        <v>0</v>
      </c>
      <c r="T7" s="27">
        <f>'LEVEL QUOTA'!F7</f>
        <v>0</v>
      </c>
      <c r="U7" s="27">
        <f>'LEVEL QUOTA'!G7</f>
        <v>0</v>
      </c>
      <c r="V7" s="27">
        <f>'LEVEL QUOTA'!H7</f>
        <v>0</v>
      </c>
      <c r="W7" s="27">
        <f>'LEVEL QUOTA'!I7</f>
        <v>0</v>
      </c>
      <c r="X7" s="27">
        <f>'LEVEL QUOTA'!J7</f>
        <v>0</v>
      </c>
      <c r="Y7" s="58">
        <f t="shared" si="6"/>
        <v>0</v>
      </c>
      <c r="Z7" s="86"/>
      <c r="AA7" s="119" t="s">
        <v>93</v>
      </c>
      <c r="AB7" s="120">
        <f t="shared" si="11"/>
        <v>2</v>
      </c>
      <c r="AC7" s="120">
        <f t="shared" si="7"/>
        <v>4</v>
      </c>
      <c r="AD7" s="120">
        <f t="shared" si="8"/>
        <v>2</v>
      </c>
      <c r="AE7" s="120">
        <f t="shared" si="9"/>
        <v>8</v>
      </c>
      <c r="AF7" s="130">
        <f t="shared" si="10"/>
        <v>118</v>
      </c>
      <c r="AG7" s="209">
        <f>AF7/'LEVEL QUOTA'!R7</f>
        <v>1.3111111111111111</v>
      </c>
      <c r="AH7" s="275" t="str">
        <f t="shared" si="12"/>
        <v>L06</v>
      </c>
      <c r="AI7" s="276">
        <f t="shared" si="2"/>
        <v>0</v>
      </c>
      <c r="AJ7" s="276">
        <f t="shared" si="3"/>
        <v>0</v>
      </c>
      <c r="AK7" s="276">
        <f t="shared" si="4"/>
        <v>0</v>
      </c>
      <c r="AL7" s="276">
        <f t="shared" si="5"/>
        <v>0</v>
      </c>
      <c r="AM7" s="276">
        <f t="shared" si="13"/>
        <v>0</v>
      </c>
      <c r="AN7" s="277">
        <f t="shared" si="14"/>
        <v>8</v>
      </c>
      <c r="AP7" s="228" t="s">
        <v>10</v>
      </c>
      <c r="AQ7" s="229">
        <v>2</v>
      </c>
      <c r="AR7" s="229">
        <v>4</v>
      </c>
      <c r="AS7" s="229">
        <v>2</v>
      </c>
      <c r="AT7" s="229"/>
      <c r="AU7" s="229">
        <v>4</v>
      </c>
      <c r="AV7" s="229">
        <v>3</v>
      </c>
      <c r="AW7" s="230">
        <v>2</v>
      </c>
    </row>
    <row r="8" spans="1:49" x14ac:dyDescent="0.25">
      <c r="A8" t="s">
        <v>8893</v>
      </c>
      <c r="B8" s="58" t="s">
        <v>8904</v>
      </c>
      <c r="C8" s="58"/>
      <c r="D8" s="58" t="s">
        <v>2713</v>
      </c>
      <c r="E8" s="58"/>
      <c r="F8" s="58"/>
      <c r="G8" s="58">
        <f t="shared" si="0"/>
        <v>32</v>
      </c>
      <c r="H8" s="72">
        <f>COUNTIFS(LIST2!$B:$B,CONTROLLER!B8,LIST2!$W:$W,CONTROLLER!D8,LIST2!$S:$S,"&gt;0")</f>
        <v>0</v>
      </c>
      <c r="I8">
        <f t="shared" si="1"/>
        <v>0</v>
      </c>
      <c r="L8" t="s">
        <v>2713</v>
      </c>
      <c r="M8">
        <v>32</v>
      </c>
      <c r="O8" s="1" t="s">
        <v>94</v>
      </c>
      <c r="P8" s="27">
        <f>'LEVEL QUOTA'!B8</f>
        <v>0</v>
      </c>
      <c r="Q8" s="81">
        <f>'LEVEL QUOTA'!C8</f>
        <v>0</v>
      </c>
      <c r="R8" s="27">
        <f>'LEVEL QUOTA'!D8</f>
        <v>0</v>
      </c>
      <c r="S8" s="27">
        <f>'LEVEL QUOTA'!E8</f>
        <v>0</v>
      </c>
      <c r="T8" s="27">
        <f>'LEVEL QUOTA'!F8</f>
        <v>0</v>
      </c>
      <c r="U8" s="27">
        <f>'LEVEL QUOTA'!G8</f>
        <v>0</v>
      </c>
      <c r="V8" s="27">
        <f>'LEVEL QUOTA'!H8</f>
        <v>0</v>
      </c>
      <c r="W8" s="180">
        <f>'LEVEL QUOTA'!I8</f>
        <v>1</v>
      </c>
      <c r="X8" s="27">
        <f>'LEVEL QUOTA'!J8</f>
        <v>0</v>
      </c>
      <c r="Y8" s="58">
        <f t="shared" si="6"/>
        <v>1</v>
      </c>
      <c r="AA8" s="119" t="s">
        <v>94</v>
      </c>
      <c r="AB8" s="120">
        <f t="shared" si="11"/>
        <v>1</v>
      </c>
      <c r="AC8" s="120">
        <f t="shared" si="7"/>
        <v>3</v>
      </c>
      <c r="AD8" s="120">
        <f t="shared" si="8"/>
        <v>1</v>
      </c>
      <c r="AE8" s="120">
        <f t="shared" si="9"/>
        <v>5</v>
      </c>
      <c r="AF8" s="130">
        <f t="shared" si="10"/>
        <v>73</v>
      </c>
      <c r="AG8" s="209">
        <f>AF8/'LEVEL QUOTA'!R8</f>
        <v>1.2166666666666666</v>
      </c>
      <c r="AH8" s="275" t="str">
        <f t="shared" si="12"/>
        <v>L07</v>
      </c>
      <c r="AI8" s="276">
        <f t="shared" si="2"/>
        <v>0</v>
      </c>
      <c r="AJ8" s="276">
        <f t="shared" si="3"/>
        <v>0</v>
      </c>
      <c r="AK8" s="276">
        <f t="shared" si="4"/>
        <v>0</v>
      </c>
      <c r="AL8" s="276">
        <f t="shared" si="5"/>
        <v>0</v>
      </c>
      <c r="AM8" s="276">
        <f t="shared" si="13"/>
        <v>0</v>
      </c>
      <c r="AN8" s="277">
        <f t="shared" si="14"/>
        <v>5</v>
      </c>
      <c r="AP8" s="228" t="s">
        <v>12</v>
      </c>
      <c r="AQ8" s="229">
        <v>1</v>
      </c>
      <c r="AR8" s="229">
        <v>3</v>
      </c>
      <c r="AS8" s="229">
        <v>1</v>
      </c>
      <c r="AT8" s="229"/>
      <c r="AU8" s="229">
        <v>3</v>
      </c>
      <c r="AV8" s="229">
        <v>2</v>
      </c>
      <c r="AW8" s="230">
        <v>2</v>
      </c>
    </row>
    <row r="9" spans="1:49" x14ac:dyDescent="0.25">
      <c r="A9" t="s">
        <v>8893</v>
      </c>
      <c r="B9" s="58" t="s">
        <v>8904</v>
      </c>
      <c r="C9" s="58"/>
      <c r="D9" s="58" t="s">
        <v>2718</v>
      </c>
      <c r="E9" s="58"/>
      <c r="F9" s="58"/>
      <c r="G9" s="58">
        <f t="shared" si="0"/>
        <v>14</v>
      </c>
      <c r="H9" s="72">
        <f>COUNTIFS(LIST2!$B:$B,CONTROLLER!B9,LIST2!$W:$W,CONTROLLER!D9,LIST2!$S:$S,"&gt;0")</f>
        <v>0</v>
      </c>
      <c r="I9">
        <f t="shared" si="1"/>
        <v>0</v>
      </c>
      <c r="L9" t="s">
        <v>2718</v>
      </c>
      <c r="M9">
        <v>14</v>
      </c>
      <c r="O9" s="1" t="s">
        <v>95</v>
      </c>
      <c r="P9" s="27">
        <f>'LEVEL QUOTA'!B9</f>
        <v>3</v>
      </c>
      <c r="Q9" s="81">
        <f>'LEVEL QUOTA'!C9</f>
        <v>3</v>
      </c>
      <c r="R9" s="27">
        <f>'LEVEL QUOTA'!D9</f>
        <v>0</v>
      </c>
      <c r="S9" s="27">
        <f>'LEVEL QUOTA'!E9</f>
        <v>1</v>
      </c>
      <c r="T9" s="27">
        <f>'LEVEL QUOTA'!F9</f>
        <v>0</v>
      </c>
      <c r="U9" s="27">
        <f>'LEVEL QUOTA'!G9</f>
        <v>2</v>
      </c>
      <c r="V9" s="27">
        <f>'LEVEL QUOTA'!H9</f>
        <v>1</v>
      </c>
      <c r="W9" s="27">
        <f>'LEVEL QUOTA'!I9</f>
        <v>3</v>
      </c>
      <c r="X9" s="27">
        <f>'LEVEL QUOTA'!J9</f>
        <v>5</v>
      </c>
      <c r="Y9" s="58">
        <f t="shared" si="6"/>
        <v>18</v>
      </c>
      <c r="Z9">
        <v>1</v>
      </c>
      <c r="AA9" s="119" t="s">
        <v>95</v>
      </c>
      <c r="AB9" s="120">
        <f t="shared" si="11"/>
        <v>2</v>
      </c>
      <c r="AC9" s="120">
        <f t="shared" si="7"/>
        <v>5</v>
      </c>
      <c r="AD9" s="120">
        <f t="shared" si="8"/>
        <v>2</v>
      </c>
      <c r="AE9" s="120">
        <f t="shared" si="9"/>
        <v>9</v>
      </c>
      <c r="AF9" s="130">
        <f t="shared" si="10"/>
        <v>132</v>
      </c>
      <c r="AG9" s="209">
        <f>AF9/'LEVEL QUOTA'!R9</f>
        <v>0.66</v>
      </c>
      <c r="AH9" s="275" t="str">
        <f t="shared" si="12"/>
        <v>L08</v>
      </c>
      <c r="AI9" s="276">
        <f t="shared" si="2"/>
        <v>3</v>
      </c>
      <c r="AJ9" s="276">
        <f t="shared" si="3"/>
        <v>3</v>
      </c>
      <c r="AK9" s="276">
        <f t="shared" si="4"/>
        <v>0</v>
      </c>
      <c r="AL9" s="276">
        <f t="shared" si="5"/>
        <v>5</v>
      </c>
      <c r="AM9" s="276">
        <f t="shared" si="13"/>
        <v>11</v>
      </c>
      <c r="AN9" s="277">
        <f t="shared" si="14"/>
        <v>-2</v>
      </c>
      <c r="AP9" s="228" t="s">
        <v>13</v>
      </c>
      <c r="AQ9" s="229">
        <v>2</v>
      </c>
      <c r="AR9" s="229">
        <v>5</v>
      </c>
      <c r="AS9" s="229">
        <v>2</v>
      </c>
      <c r="AT9" s="229"/>
      <c r="AU9" s="229">
        <v>4</v>
      </c>
      <c r="AV9" s="229">
        <v>3</v>
      </c>
      <c r="AW9" s="230">
        <v>2</v>
      </c>
    </row>
    <row r="10" spans="1:49" x14ac:dyDescent="0.25">
      <c r="A10" t="s">
        <v>8893</v>
      </c>
      <c r="B10" s="58" t="s">
        <v>8904</v>
      </c>
      <c r="C10" s="58"/>
      <c r="D10" s="58" t="s">
        <v>236</v>
      </c>
      <c r="E10" s="58"/>
      <c r="F10" s="58"/>
      <c r="G10" s="58">
        <f t="shared" si="0"/>
        <v>8</v>
      </c>
      <c r="H10" s="72">
        <f>COUNTIFS(LIST2!$B:$B,CONTROLLER!B10,LIST2!$W:$W,CONTROLLER!D10,LIST2!$S:$S,"&gt;0")</f>
        <v>0</v>
      </c>
      <c r="I10">
        <f t="shared" si="1"/>
        <v>0</v>
      </c>
      <c r="L10" t="s">
        <v>236</v>
      </c>
      <c r="M10">
        <v>8</v>
      </c>
      <c r="O10" s="1" t="s">
        <v>96</v>
      </c>
      <c r="P10" s="27">
        <f>'LEVEL QUOTA'!B10</f>
        <v>0</v>
      </c>
      <c r="Q10" s="81">
        <f>'LEVEL QUOTA'!C10</f>
        <v>1</v>
      </c>
      <c r="R10" s="27">
        <f>'LEVEL QUOTA'!D10</f>
        <v>0</v>
      </c>
      <c r="S10" s="27">
        <f>'LEVEL QUOTA'!E10</f>
        <v>2</v>
      </c>
      <c r="T10" s="27">
        <f>'LEVEL QUOTA'!F10</f>
        <v>0</v>
      </c>
      <c r="U10" s="27">
        <f>'LEVEL QUOTA'!G10</f>
        <v>0</v>
      </c>
      <c r="V10" s="27">
        <f>'LEVEL QUOTA'!H10</f>
        <v>0</v>
      </c>
      <c r="W10" s="27">
        <f>'LEVEL QUOTA'!I10</f>
        <v>1</v>
      </c>
      <c r="X10" s="27">
        <f>'LEVEL QUOTA'!J10</f>
        <v>7</v>
      </c>
      <c r="Y10" s="58">
        <f t="shared" si="6"/>
        <v>11</v>
      </c>
      <c r="Z10">
        <v>4</v>
      </c>
      <c r="AA10" s="119" t="s">
        <v>96</v>
      </c>
      <c r="AB10" s="120">
        <f t="shared" si="11"/>
        <v>4</v>
      </c>
      <c r="AC10" s="120">
        <v>7</v>
      </c>
      <c r="AD10" s="120">
        <f t="shared" si="8"/>
        <v>4</v>
      </c>
      <c r="AE10" s="120">
        <f t="shared" si="9"/>
        <v>15</v>
      </c>
      <c r="AF10" s="130">
        <f t="shared" si="10"/>
        <v>222</v>
      </c>
      <c r="AG10" s="209">
        <f>AF10/'LEVEL QUOTA'!R10</f>
        <v>0.88800000000000001</v>
      </c>
      <c r="AH10" s="275" t="str">
        <f t="shared" si="12"/>
        <v>L09</v>
      </c>
      <c r="AI10" s="276">
        <f t="shared" si="2"/>
        <v>0</v>
      </c>
      <c r="AJ10" s="276">
        <f t="shared" si="3"/>
        <v>1</v>
      </c>
      <c r="AK10" s="276">
        <f t="shared" si="4"/>
        <v>0</v>
      </c>
      <c r="AL10" s="276">
        <f t="shared" si="5"/>
        <v>7</v>
      </c>
      <c r="AM10" s="276">
        <f t="shared" si="13"/>
        <v>8</v>
      </c>
      <c r="AN10" s="277">
        <f t="shared" si="14"/>
        <v>7</v>
      </c>
      <c r="AP10" s="228" t="s">
        <v>65</v>
      </c>
      <c r="AQ10" s="229">
        <v>4</v>
      </c>
      <c r="AR10" s="229">
        <v>8</v>
      </c>
      <c r="AS10" s="229">
        <v>4</v>
      </c>
      <c r="AT10" s="229"/>
      <c r="AU10" s="229">
        <v>8</v>
      </c>
      <c r="AV10" s="229">
        <v>6</v>
      </c>
      <c r="AW10" s="230">
        <v>1</v>
      </c>
    </row>
    <row r="11" spans="1:49" x14ac:dyDescent="0.25">
      <c r="A11" t="s">
        <v>8893</v>
      </c>
      <c r="B11" s="58" t="s">
        <v>8904</v>
      </c>
      <c r="C11" s="58"/>
      <c r="D11" s="58" t="s">
        <v>2707</v>
      </c>
      <c r="E11" s="58"/>
      <c r="F11" s="58"/>
      <c r="G11" s="58">
        <f t="shared" si="0"/>
        <v>14</v>
      </c>
      <c r="H11" s="72">
        <f>COUNTIFS(LIST2!$B:$B,CONTROLLER!B11,LIST2!$W:$W,CONTROLLER!D11,LIST2!$S:$S,"&gt;0")</f>
        <v>1</v>
      </c>
      <c r="I11">
        <f t="shared" si="1"/>
        <v>14</v>
      </c>
      <c r="L11" t="s">
        <v>2707</v>
      </c>
      <c r="M11">
        <v>14</v>
      </c>
      <c r="O11" s="1" t="s">
        <v>258</v>
      </c>
      <c r="P11" s="27">
        <f>'LEVEL QUOTA'!B11</f>
        <v>0</v>
      </c>
      <c r="Q11" s="27">
        <f>'LEVEL QUOTA'!C11</f>
        <v>3</v>
      </c>
      <c r="R11" s="27">
        <f>'LEVEL QUOTA'!D11</f>
        <v>0</v>
      </c>
      <c r="S11" s="27">
        <f>'LEVEL QUOTA'!E11</f>
        <v>1</v>
      </c>
      <c r="T11" s="27">
        <f>'LEVEL QUOTA'!F11</f>
        <v>0</v>
      </c>
      <c r="U11" s="27">
        <f>'LEVEL QUOTA'!G11</f>
        <v>0</v>
      </c>
      <c r="V11" s="27">
        <f>'LEVEL QUOTA'!H11</f>
        <v>1</v>
      </c>
      <c r="W11" s="27">
        <f>'LEVEL QUOTA'!I11</f>
        <v>1</v>
      </c>
      <c r="X11" s="27">
        <f>'LEVEL QUOTA'!J11</f>
        <v>1</v>
      </c>
      <c r="Y11" s="58">
        <f t="shared" si="6"/>
        <v>7</v>
      </c>
      <c r="Z11">
        <v>6</v>
      </c>
      <c r="AA11" s="135" t="s">
        <v>258</v>
      </c>
      <c r="AB11" s="121">
        <f t="shared" si="11"/>
        <v>4</v>
      </c>
      <c r="AC11" s="121">
        <f t="shared" si="7"/>
        <v>12</v>
      </c>
      <c r="AD11" s="121">
        <f t="shared" si="8"/>
        <v>4</v>
      </c>
      <c r="AE11" s="121">
        <f t="shared" si="9"/>
        <v>20</v>
      </c>
      <c r="AF11" s="130">
        <f t="shared" si="10"/>
        <v>292</v>
      </c>
      <c r="AG11" s="32">
        <f>AF11/'LEVEL QUOTA'!R11</f>
        <v>1.1679999999999999</v>
      </c>
      <c r="AH11" s="275" t="str">
        <f t="shared" si="12"/>
        <v>L10</v>
      </c>
      <c r="AI11" s="276">
        <f t="shared" si="2"/>
        <v>0</v>
      </c>
      <c r="AJ11" s="276">
        <f t="shared" si="3"/>
        <v>3</v>
      </c>
      <c r="AK11" s="276">
        <f t="shared" si="4"/>
        <v>0</v>
      </c>
      <c r="AL11" s="276">
        <f t="shared" si="5"/>
        <v>1</v>
      </c>
      <c r="AM11" s="276">
        <f t="shared" si="13"/>
        <v>4</v>
      </c>
      <c r="AN11" s="277">
        <f t="shared" si="14"/>
        <v>16</v>
      </c>
      <c r="AP11" s="228" t="s">
        <v>257</v>
      </c>
      <c r="AQ11" s="229">
        <v>4</v>
      </c>
      <c r="AR11" s="229">
        <v>12</v>
      </c>
      <c r="AS11" s="229">
        <v>4</v>
      </c>
      <c r="AT11" s="229"/>
      <c r="AU11" s="229">
        <v>10</v>
      </c>
      <c r="AV11" s="229">
        <v>8</v>
      </c>
      <c r="AW11" s="230">
        <v>1</v>
      </c>
    </row>
    <row r="12" spans="1:49" x14ac:dyDescent="0.25">
      <c r="A12" t="s">
        <v>8893</v>
      </c>
      <c r="B12" s="58" t="s">
        <v>8904</v>
      </c>
      <c r="C12" s="58"/>
      <c r="D12" s="58" t="s">
        <v>2716</v>
      </c>
      <c r="E12" s="58"/>
      <c r="F12" s="58"/>
      <c r="G12" s="58">
        <f t="shared" si="0"/>
        <v>6</v>
      </c>
      <c r="H12" s="72">
        <f>COUNTIFS(LIST2!$B:$B,CONTROLLER!B12,LIST2!$W:$W,CONTROLLER!D12,LIST2!$S:$S,"&gt;0")</f>
        <v>0</v>
      </c>
      <c r="I12">
        <f t="shared" si="1"/>
        <v>0</v>
      </c>
      <c r="L12" t="s">
        <v>2716</v>
      </c>
      <c r="M12">
        <v>6</v>
      </c>
      <c r="O12" s="1" t="s">
        <v>1166</v>
      </c>
      <c r="P12" s="27">
        <f>'LEVEL QUOTA'!B12</f>
        <v>0</v>
      </c>
      <c r="Q12" s="27">
        <f>'LEVEL QUOTA'!C12</f>
        <v>6</v>
      </c>
      <c r="R12" s="27">
        <f>'LEVEL QUOTA'!D12</f>
        <v>0</v>
      </c>
      <c r="S12" s="27">
        <f>'LEVEL QUOTA'!E12</f>
        <v>5</v>
      </c>
      <c r="T12" s="27">
        <f>'LEVEL QUOTA'!F12</f>
        <v>2</v>
      </c>
      <c r="U12" s="27">
        <f>'LEVEL QUOTA'!G12</f>
        <v>3</v>
      </c>
      <c r="V12" s="27">
        <f>'LEVEL QUOTA'!H12</f>
        <v>0</v>
      </c>
      <c r="W12" s="27">
        <f>'LEVEL QUOTA'!I12</f>
        <v>0</v>
      </c>
      <c r="X12" s="27">
        <f>'LEVEL QUOTA'!J12</f>
        <v>0</v>
      </c>
      <c r="Y12" s="58">
        <f t="shared" si="6"/>
        <v>16</v>
      </c>
      <c r="Z12">
        <v>4</v>
      </c>
      <c r="AA12" s="135" t="s">
        <v>1166</v>
      </c>
      <c r="AB12" s="121">
        <f t="shared" si="11"/>
        <v>0</v>
      </c>
      <c r="AC12" s="121">
        <v>1</v>
      </c>
      <c r="AD12" s="121">
        <f t="shared" si="8"/>
        <v>0</v>
      </c>
      <c r="AE12" s="121">
        <f>SUM(AB12:AD12)</f>
        <v>1</v>
      </c>
      <c r="AF12" s="130">
        <f t="shared" si="10"/>
        <v>14</v>
      </c>
      <c r="AG12" s="32">
        <f>AF12/'LEVEL QUOTA'!R12</f>
        <v>2.1538461538461538E-2</v>
      </c>
      <c r="AH12" s="275" t="str">
        <f t="shared" si="12"/>
        <v>L11</v>
      </c>
      <c r="AI12" s="276">
        <f t="shared" si="2"/>
        <v>0</v>
      </c>
      <c r="AJ12" s="276">
        <f t="shared" si="3"/>
        <v>6</v>
      </c>
      <c r="AK12" s="276">
        <f t="shared" si="4"/>
        <v>0</v>
      </c>
      <c r="AL12" s="276">
        <f t="shared" si="5"/>
        <v>0</v>
      </c>
      <c r="AM12" s="276">
        <f>SUM(AI12:AL12)</f>
        <v>6</v>
      </c>
      <c r="AN12" s="277">
        <f>AE12-AM12</f>
        <v>-5</v>
      </c>
      <c r="AP12" s="228" t="s">
        <v>1152</v>
      </c>
      <c r="AQ12" s="229">
        <v>0</v>
      </c>
      <c r="AR12" s="229">
        <v>0</v>
      </c>
      <c r="AS12" s="229">
        <v>0</v>
      </c>
      <c r="AT12" s="229"/>
      <c r="AU12" s="229">
        <v>5</v>
      </c>
      <c r="AV12" s="229">
        <v>2</v>
      </c>
      <c r="AW12" s="230">
        <v>0</v>
      </c>
    </row>
    <row r="13" spans="1:49" x14ac:dyDescent="0.25">
      <c r="A13" t="s">
        <v>8893</v>
      </c>
      <c r="B13" s="58" t="s">
        <v>8904</v>
      </c>
      <c r="C13" s="58"/>
      <c r="D13" s="58" t="s">
        <v>2705</v>
      </c>
      <c r="E13" s="58"/>
      <c r="F13" s="58"/>
      <c r="G13" s="58">
        <f t="shared" si="0"/>
        <v>10</v>
      </c>
      <c r="H13" s="72">
        <f>COUNTIFS(LIST2!$B:$B,CONTROLLER!B13,LIST2!$W:$W,CONTROLLER!D13,LIST2!$S:$S,"&gt;0")</f>
        <v>0</v>
      </c>
      <c r="I13">
        <f t="shared" si="1"/>
        <v>0</v>
      </c>
      <c r="L13" t="s">
        <v>2705</v>
      </c>
      <c r="M13">
        <v>10</v>
      </c>
      <c r="O13" s="1" t="s">
        <v>1167</v>
      </c>
      <c r="P13" s="27">
        <f>'LEVEL QUOTA'!B13</f>
        <v>3</v>
      </c>
      <c r="Q13" s="27">
        <f>'LEVEL QUOTA'!C13</f>
        <v>4</v>
      </c>
      <c r="R13" s="27">
        <f>'LEVEL QUOTA'!D13</f>
        <v>0</v>
      </c>
      <c r="S13" s="27">
        <f>'LEVEL QUOTA'!E13</f>
        <v>4</v>
      </c>
      <c r="T13" s="27">
        <f>'LEVEL QUOTA'!F13</f>
        <v>1</v>
      </c>
      <c r="U13" s="27">
        <f>'LEVEL QUOTA'!G13</f>
        <v>0</v>
      </c>
      <c r="V13" s="27">
        <f>'LEVEL QUOTA'!H13</f>
        <v>1</v>
      </c>
      <c r="W13" s="27">
        <f>'LEVEL QUOTA'!I13</f>
        <v>1</v>
      </c>
      <c r="X13" s="27">
        <f>'LEVEL QUOTA'!J13</f>
        <v>0</v>
      </c>
      <c r="Y13" s="58">
        <f t="shared" si="6"/>
        <v>14</v>
      </c>
      <c r="Z13">
        <v>6</v>
      </c>
      <c r="AA13" s="135" t="s">
        <v>1167</v>
      </c>
      <c r="AB13" s="121">
        <f t="shared" si="11"/>
        <v>0</v>
      </c>
      <c r="AC13" s="121">
        <f t="shared" si="7"/>
        <v>0</v>
      </c>
      <c r="AD13" s="121">
        <f t="shared" si="8"/>
        <v>0</v>
      </c>
      <c r="AE13" s="121">
        <f>SUM(AB13:AD13)</f>
        <v>0</v>
      </c>
      <c r="AF13" s="243">
        <f t="shared" si="10"/>
        <v>0</v>
      </c>
      <c r="AG13" s="32">
        <f>AF13/'LEVEL QUOTA'!R13</f>
        <v>0</v>
      </c>
      <c r="AH13" s="275" t="str">
        <f t="shared" si="12"/>
        <v>L12</v>
      </c>
      <c r="AI13" s="276">
        <f t="shared" si="2"/>
        <v>3</v>
      </c>
      <c r="AJ13" s="276">
        <f t="shared" si="3"/>
        <v>4</v>
      </c>
      <c r="AK13" s="276">
        <f t="shared" si="4"/>
        <v>0</v>
      </c>
      <c r="AL13" s="276">
        <f t="shared" si="5"/>
        <v>0</v>
      </c>
      <c r="AM13" s="276">
        <f>SUM(AI13:AL13)</f>
        <v>7</v>
      </c>
      <c r="AN13" s="277">
        <f>AE13-AM13</f>
        <v>-7</v>
      </c>
      <c r="AP13" s="228" t="s">
        <v>1153</v>
      </c>
      <c r="AQ13" s="229">
        <v>0</v>
      </c>
      <c r="AR13" s="229">
        <v>0</v>
      </c>
      <c r="AS13" s="229">
        <v>0</v>
      </c>
      <c r="AT13" s="229"/>
      <c r="AU13" s="229">
        <v>3</v>
      </c>
      <c r="AV13" s="229">
        <v>2</v>
      </c>
      <c r="AW13" s="230">
        <v>0</v>
      </c>
    </row>
    <row r="14" spans="1:49" x14ac:dyDescent="0.25">
      <c r="B14" s="58"/>
      <c r="C14" s="58"/>
      <c r="D14" s="58"/>
      <c r="E14" s="58"/>
      <c r="F14" s="58"/>
      <c r="G14" s="58"/>
      <c r="H14" s="72"/>
      <c r="O14" s="1" t="s">
        <v>14096</v>
      </c>
      <c r="P14" s="27">
        <f>'LEVEL QUOTA'!B14</f>
        <v>2</v>
      </c>
      <c r="Q14" s="27">
        <f>'LEVEL QUOTA'!C14</f>
        <v>7</v>
      </c>
      <c r="R14" s="27">
        <f>'LEVEL QUOTA'!D14</f>
        <v>2</v>
      </c>
      <c r="S14" s="27">
        <f>'LEVEL QUOTA'!E14</f>
        <v>6</v>
      </c>
      <c r="T14" s="27">
        <f>'LEVEL QUOTA'!F14</f>
        <v>5</v>
      </c>
      <c r="U14" s="27">
        <f>'LEVEL QUOTA'!G14</f>
        <v>2</v>
      </c>
      <c r="V14" s="27">
        <f>'LEVEL QUOTA'!H14</f>
        <v>2</v>
      </c>
      <c r="W14" s="27">
        <f>'LEVEL QUOTA'!I14</f>
        <v>0</v>
      </c>
      <c r="X14" s="27">
        <f>'LEVEL QUOTA'!J14</f>
        <v>0</v>
      </c>
      <c r="Y14" s="58">
        <f>SUM(P14:X14)</f>
        <v>26</v>
      </c>
      <c r="Z14">
        <v>7</v>
      </c>
      <c r="AA14" s="135" t="s">
        <v>14096</v>
      </c>
      <c r="AB14" s="121">
        <f t="shared" ref="AB14:AD15" si="15">AQ14</f>
        <v>0</v>
      </c>
      <c r="AC14" s="121">
        <f t="shared" si="15"/>
        <v>0</v>
      </c>
      <c r="AD14" s="121">
        <f t="shared" si="15"/>
        <v>0</v>
      </c>
      <c r="AE14" s="121">
        <f>SUM(AB14:AD14)</f>
        <v>0</v>
      </c>
      <c r="AF14" s="243">
        <f>(AB14*7)+(AC14*14)+(AD14*24)</f>
        <v>0</v>
      </c>
      <c r="AG14" s="32">
        <f>AF14/'LEVEL QUOTA'!R14</f>
        <v>0</v>
      </c>
      <c r="AH14" s="275" t="str">
        <f>AA14</f>
        <v>L13</v>
      </c>
      <c r="AI14" s="276">
        <f t="shared" ref="AI14:AK15" si="16">P14</f>
        <v>2</v>
      </c>
      <c r="AJ14" s="276">
        <f t="shared" si="16"/>
        <v>7</v>
      </c>
      <c r="AK14" s="276">
        <f t="shared" si="16"/>
        <v>2</v>
      </c>
      <c r="AL14" s="276">
        <f>X14</f>
        <v>0</v>
      </c>
      <c r="AM14" s="276">
        <f>SUM(AI14:AL14)</f>
        <v>11</v>
      </c>
      <c r="AN14" s="277">
        <f>AE14-AM14</f>
        <v>-11</v>
      </c>
      <c r="AP14" s="228" t="s">
        <v>14097</v>
      </c>
      <c r="AQ14" s="229">
        <v>0</v>
      </c>
      <c r="AR14" s="229">
        <v>0</v>
      </c>
      <c r="AS14" s="229">
        <v>0</v>
      </c>
      <c r="AT14" s="229"/>
      <c r="AU14" s="229">
        <v>3</v>
      </c>
      <c r="AV14" s="229">
        <v>2</v>
      </c>
      <c r="AW14" s="230">
        <v>0</v>
      </c>
    </row>
    <row r="15" spans="1:49" ht="15.75" thickBot="1" x14ac:dyDescent="0.3">
      <c r="A15" t="s">
        <v>8893</v>
      </c>
      <c r="B15" s="58" t="s">
        <v>8904</v>
      </c>
      <c r="C15" s="58"/>
      <c r="D15" s="58" t="s">
        <v>2719</v>
      </c>
      <c r="E15" s="58"/>
      <c r="F15" s="58"/>
      <c r="G15" s="58">
        <f>SUMIF($L:$L,D15,$M:$M)</f>
        <v>20</v>
      </c>
      <c r="H15" s="72">
        <f>COUNTIFS(LIST2!$B:$B,CONTROLLER!B15,LIST2!$W:$W,CONTROLLER!D15,LIST2!$S:$S,"&gt;0")</f>
        <v>0</v>
      </c>
      <c r="I15">
        <f t="shared" si="1"/>
        <v>0</v>
      </c>
      <c r="L15" t="s">
        <v>2719</v>
      </c>
      <c r="M15">
        <v>20</v>
      </c>
      <c r="O15" s="1" t="s">
        <v>14098</v>
      </c>
      <c r="P15" s="27">
        <f>'LEVEL QUOTA'!B15</f>
        <v>0</v>
      </c>
      <c r="Q15" s="27">
        <f>'LEVEL QUOTA'!C15</f>
        <v>0</v>
      </c>
      <c r="R15" s="27">
        <f>'LEVEL QUOTA'!D15</f>
        <v>0</v>
      </c>
      <c r="S15" s="27">
        <f>'LEVEL QUOTA'!E15</f>
        <v>5</v>
      </c>
      <c r="T15" s="27">
        <f>'LEVEL QUOTA'!F15</f>
        <v>1</v>
      </c>
      <c r="U15" s="27">
        <f>'LEVEL QUOTA'!G15</f>
        <v>0</v>
      </c>
      <c r="V15" s="27">
        <f>'LEVEL QUOTA'!H15</f>
        <v>2</v>
      </c>
      <c r="W15" s="27">
        <f>'LEVEL QUOTA'!I15</f>
        <v>0</v>
      </c>
      <c r="X15" s="27">
        <f>'LEVEL QUOTA'!J15</f>
        <v>0</v>
      </c>
      <c r="Y15" s="58">
        <f>SUM(P15:X15)</f>
        <v>8</v>
      </c>
      <c r="Z15">
        <v>8</v>
      </c>
      <c r="AA15" s="135" t="s">
        <v>14098</v>
      </c>
      <c r="AB15" s="121">
        <f t="shared" si="15"/>
        <v>0</v>
      </c>
      <c r="AC15" s="121">
        <f t="shared" si="15"/>
        <v>0</v>
      </c>
      <c r="AD15" s="121">
        <f t="shared" si="15"/>
        <v>0</v>
      </c>
      <c r="AE15" s="121">
        <f>SUM(AB15:AD15)</f>
        <v>0</v>
      </c>
      <c r="AF15" s="243">
        <f>(AB15*7)+(AC15*14)+(AD15*24)</f>
        <v>0</v>
      </c>
      <c r="AG15" s="32">
        <f>AF15/'LEVEL QUOTA'!R16</f>
        <v>0</v>
      </c>
      <c r="AH15" s="278" t="str">
        <f>AA15</f>
        <v>L14</v>
      </c>
      <c r="AI15" s="279">
        <f t="shared" si="16"/>
        <v>0</v>
      </c>
      <c r="AJ15" s="279">
        <f t="shared" si="16"/>
        <v>0</v>
      </c>
      <c r="AK15" s="279">
        <f t="shared" si="16"/>
        <v>0</v>
      </c>
      <c r="AL15" s="279">
        <f>X15</f>
        <v>0</v>
      </c>
      <c r="AM15" s="279">
        <f>SUM(AI15:AL15)</f>
        <v>0</v>
      </c>
      <c r="AN15" s="280">
        <f>AE15-AM15</f>
        <v>0</v>
      </c>
      <c r="AP15" s="228" t="s">
        <v>14099</v>
      </c>
      <c r="AQ15" s="229">
        <v>0</v>
      </c>
      <c r="AR15" s="229">
        <v>0</v>
      </c>
      <c r="AS15" s="229">
        <v>0</v>
      </c>
      <c r="AT15" s="229"/>
      <c r="AU15" s="229">
        <v>3</v>
      </c>
      <c r="AV15" s="229">
        <v>2</v>
      </c>
      <c r="AW15" s="230">
        <v>0</v>
      </c>
    </row>
    <row r="16" spans="1:49" ht="15.75" thickBot="1" x14ac:dyDescent="0.3">
      <c r="A16" t="s">
        <v>8893</v>
      </c>
      <c r="B16" s="58" t="s">
        <v>8904</v>
      </c>
      <c r="C16" s="58"/>
      <c r="D16" s="58" t="s">
        <v>8895</v>
      </c>
      <c r="E16" s="58"/>
      <c r="F16" s="58"/>
      <c r="G16" s="282">
        <v>6</v>
      </c>
      <c r="H16" s="72">
        <f>COUNTIFS(LIST2!$B:$B,CONTROLLER!B16,LIST2!$W:$W,CONTROLLER!D16,LIST2!$S:$S,"&gt;0")</f>
        <v>0</v>
      </c>
      <c r="I16">
        <f t="shared" si="1"/>
        <v>0</v>
      </c>
      <c r="L16" t="s">
        <v>8895</v>
      </c>
      <c r="M16">
        <v>13</v>
      </c>
      <c r="P16" s="58">
        <f>SUM(P4:P15)</f>
        <v>8</v>
      </c>
      <c r="Q16" s="58">
        <f t="shared" ref="Q16:X16" si="17">SUM(Q4:Q15)</f>
        <v>24</v>
      </c>
      <c r="R16" s="58">
        <f t="shared" si="17"/>
        <v>2</v>
      </c>
      <c r="S16" s="58">
        <f t="shared" si="17"/>
        <v>24</v>
      </c>
      <c r="T16" s="58">
        <f t="shared" si="17"/>
        <v>9</v>
      </c>
      <c r="U16" s="58">
        <f t="shared" si="17"/>
        <v>7</v>
      </c>
      <c r="V16" s="58">
        <f t="shared" si="17"/>
        <v>7</v>
      </c>
      <c r="W16" s="58">
        <f t="shared" si="17"/>
        <v>8</v>
      </c>
      <c r="X16" s="58">
        <f t="shared" si="17"/>
        <v>14</v>
      </c>
      <c r="Y16" s="73">
        <f>SUM(P16:X16)</f>
        <v>103</v>
      </c>
      <c r="AA16" s="125" t="s">
        <v>14</v>
      </c>
      <c r="AB16" s="122">
        <f>SUM(AB5:AB15)</f>
        <v>15</v>
      </c>
      <c r="AC16" s="122">
        <f>SUM(AC5:AC15)</f>
        <v>40</v>
      </c>
      <c r="AD16" s="122">
        <f>SUM(AD5:AD15)</f>
        <v>15</v>
      </c>
      <c r="AE16" s="122">
        <f>SUM(AE5:AE15)</f>
        <v>70</v>
      </c>
      <c r="AF16" s="125"/>
      <c r="AH16" s="125" t="s">
        <v>14</v>
      </c>
      <c r="AI16" s="127">
        <f t="shared" ref="AI16:AN16" si="18">SUM(AI5:AI15)</f>
        <v>8</v>
      </c>
      <c r="AJ16" s="125">
        <f t="shared" si="18"/>
        <v>24</v>
      </c>
      <c r="AK16" s="125">
        <f t="shared" si="18"/>
        <v>2</v>
      </c>
      <c r="AL16" s="125">
        <f t="shared" si="18"/>
        <v>13</v>
      </c>
      <c r="AM16" s="125">
        <f t="shared" si="18"/>
        <v>47</v>
      </c>
      <c r="AN16" s="122">
        <f t="shared" si="18"/>
        <v>23</v>
      </c>
      <c r="AP16" s="231" t="s">
        <v>14</v>
      </c>
      <c r="AQ16" s="232">
        <f>SUM(AQ5:AQ15)</f>
        <v>15</v>
      </c>
      <c r="AR16" s="232">
        <f t="shared" ref="AR16:AW16" si="19">SUM(AR5:AR15)</f>
        <v>40</v>
      </c>
      <c r="AS16" s="232">
        <f t="shared" si="19"/>
        <v>15</v>
      </c>
      <c r="AT16" s="232">
        <f t="shared" si="19"/>
        <v>0</v>
      </c>
      <c r="AU16" s="232">
        <f t="shared" si="19"/>
        <v>46</v>
      </c>
      <c r="AV16" s="232">
        <f t="shared" si="19"/>
        <v>34</v>
      </c>
      <c r="AW16" s="233">
        <f t="shared" si="19"/>
        <v>10</v>
      </c>
    </row>
    <row r="17" spans="1:36" x14ac:dyDescent="0.25">
      <c r="A17" t="s">
        <v>8893</v>
      </c>
      <c r="B17" s="58" t="s">
        <v>8904</v>
      </c>
      <c r="C17" s="58"/>
      <c r="D17" s="58" t="s">
        <v>2708</v>
      </c>
      <c r="E17" s="58"/>
      <c r="F17" s="58"/>
      <c r="G17" s="58">
        <f t="shared" ref="G17:G48" si="20">SUMIF($L:$L,D17,$M:$M)</f>
        <v>10</v>
      </c>
      <c r="H17" s="72">
        <f>COUNTIFS(LIST2!$B:$B,CONTROLLER!B17,LIST2!$W:$W,CONTROLLER!D17,LIST2!$S:$S,"&gt;0")</f>
        <v>0</v>
      </c>
      <c r="I17">
        <f t="shared" si="1"/>
        <v>0</v>
      </c>
      <c r="L17" t="s">
        <v>8896</v>
      </c>
      <c r="M17">
        <v>18</v>
      </c>
      <c r="Q17" s="58">
        <f>SUMIFS($H:$H,$D:$D,L13)</f>
        <v>2</v>
      </c>
      <c r="R17" s="58">
        <f>SUMIFS($H:$H,$D:$D,L15)</f>
        <v>0</v>
      </c>
      <c r="S17" s="58">
        <f>SUMIFS($H:$H,$D:$D,L18)</f>
        <v>0</v>
      </c>
      <c r="T17" s="58">
        <f>SUMIFS($H:$H,$D:$D,L3)</f>
        <v>0</v>
      </c>
      <c r="X17" s="58">
        <f>SUMIFS($H:$H,$D:$D,L10)</f>
        <v>2</v>
      </c>
      <c r="AA17" s="19"/>
      <c r="AB17" s="381"/>
      <c r="AC17" s="381"/>
      <c r="AD17" s="381"/>
      <c r="AE17" s="381"/>
      <c r="AF17" s="19"/>
      <c r="AH17" s="19"/>
      <c r="AI17" s="19"/>
      <c r="AJ17" s="19"/>
    </row>
    <row r="18" spans="1:36" x14ac:dyDescent="0.25">
      <c r="A18" t="s">
        <v>8893</v>
      </c>
      <c r="B18" s="58" t="s">
        <v>8904</v>
      </c>
      <c r="C18" s="58"/>
      <c r="D18" s="58" t="s">
        <v>2714</v>
      </c>
      <c r="E18" s="58"/>
      <c r="F18" s="58"/>
      <c r="G18" s="58">
        <f t="shared" si="20"/>
        <v>30</v>
      </c>
      <c r="H18" s="72">
        <f>COUNTIFS(LIST2!$B:$B,CONTROLLER!B18,LIST2!$W:$W,CONTROLLER!D18,LIST2!$S:$S,"&gt;0")</f>
        <v>1</v>
      </c>
      <c r="I18">
        <f t="shared" si="1"/>
        <v>30</v>
      </c>
      <c r="L18" t="s">
        <v>2708</v>
      </c>
      <c r="M18">
        <v>10</v>
      </c>
    </row>
    <row r="19" spans="1:36" ht="21" x14ac:dyDescent="0.35">
      <c r="A19" t="s">
        <v>8893</v>
      </c>
      <c r="B19" s="58" t="s">
        <v>8904</v>
      </c>
      <c r="C19" s="58"/>
      <c r="D19" s="58" t="s">
        <v>2715</v>
      </c>
      <c r="E19" s="58"/>
      <c r="F19" s="58"/>
      <c r="G19" s="58">
        <f t="shared" si="20"/>
        <v>12</v>
      </c>
      <c r="H19" s="72">
        <v>0</v>
      </c>
      <c r="I19">
        <f t="shared" ref="I19:I50" si="21">G19*H19</f>
        <v>0</v>
      </c>
      <c r="L19" t="s">
        <v>8897</v>
      </c>
      <c r="M19">
        <v>13</v>
      </c>
      <c r="O19" s="452" t="s">
        <v>1226</v>
      </c>
      <c r="P19" s="453"/>
      <c r="Q19" s="453"/>
      <c r="R19" s="453"/>
      <c r="S19" s="453"/>
      <c r="T19" s="453"/>
      <c r="U19" s="453"/>
      <c r="V19" s="453"/>
      <c r="W19" s="453"/>
      <c r="X19" s="454"/>
      <c r="Z19" s="452" t="s">
        <v>5947</v>
      </c>
      <c r="AA19" s="453"/>
      <c r="AB19" s="453"/>
      <c r="AC19" s="453"/>
      <c r="AD19" s="453"/>
      <c r="AE19" s="453"/>
      <c r="AF19" s="453"/>
      <c r="AG19" s="453"/>
      <c r="AH19" s="453"/>
      <c r="AI19" s="454"/>
    </row>
    <row r="20" spans="1:36" ht="18.75" x14ac:dyDescent="0.25">
      <c r="A20" t="s">
        <v>8893</v>
      </c>
      <c r="B20" s="58" t="s">
        <v>91</v>
      </c>
      <c r="C20" s="58"/>
      <c r="D20" s="58" t="s">
        <v>2715</v>
      </c>
      <c r="E20" s="58"/>
      <c r="F20" s="58"/>
      <c r="G20" s="58">
        <f t="shared" si="20"/>
        <v>12</v>
      </c>
      <c r="H20" s="72">
        <f>COUNTIFS(LIST2!$B:$B,CONTROLLER!B20,LIST2!$W:$W,CONTROLLER!D20,LIST2!$S:$S,"&gt;0")</f>
        <v>0</v>
      </c>
      <c r="I20">
        <f t="shared" si="21"/>
        <v>0</v>
      </c>
      <c r="L20" t="s">
        <v>8898</v>
      </c>
      <c r="M20">
        <v>18</v>
      </c>
      <c r="O20" s="1"/>
      <c r="P20" s="142" t="s">
        <v>0</v>
      </c>
      <c r="Q20" s="143"/>
      <c r="R20" s="144"/>
      <c r="S20" s="141" t="s">
        <v>16</v>
      </c>
      <c r="T20" s="141"/>
      <c r="U20" s="141"/>
      <c r="V20" s="141"/>
      <c r="W20" s="137" t="s">
        <v>22</v>
      </c>
      <c r="X20" s="138"/>
      <c r="Y20" s="6"/>
      <c r="Z20" s="1"/>
      <c r="AA20" s="437" t="s">
        <v>0</v>
      </c>
      <c r="AB20" s="438"/>
      <c r="AC20" s="439"/>
      <c r="AD20" s="432" t="s">
        <v>16</v>
      </c>
      <c r="AE20" s="433"/>
      <c r="AF20" s="434"/>
      <c r="AG20" s="141"/>
      <c r="AH20" s="137" t="s">
        <v>22</v>
      </c>
      <c r="AI20" s="138"/>
    </row>
    <row r="21" spans="1:36" ht="15.75" x14ac:dyDescent="0.25">
      <c r="A21" t="s">
        <v>8893</v>
      </c>
      <c r="B21" s="58" t="s">
        <v>91</v>
      </c>
      <c r="C21" s="58"/>
      <c r="D21" s="58" t="s">
        <v>2710</v>
      </c>
      <c r="E21" s="58"/>
      <c r="F21" s="58"/>
      <c r="G21" s="58">
        <f t="shared" si="20"/>
        <v>10</v>
      </c>
      <c r="H21" s="72">
        <f>COUNTIFS(LIST2!$B:$B,CONTROLLER!B21,LIST2!$W:$W,CONTROLLER!D21,LIST2!$S:$S,"&gt;0")</f>
        <v>0</v>
      </c>
      <c r="I21">
        <f t="shared" si="21"/>
        <v>0</v>
      </c>
      <c r="L21" t="s">
        <v>2714</v>
      </c>
      <c r="M21">
        <v>30</v>
      </c>
      <c r="O21" s="1"/>
      <c r="P21" s="2" t="s">
        <v>211</v>
      </c>
      <c r="Q21" s="2" t="s">
        <v>23</v>
      </c>
      <c r="R21" s="2" t="s">
        <v>1</v>
      </c>
      <c r="S21" s="3" t="s">
        <v>18</v>
      </c>
      <c r="T21" s="3" t="s">
        <v>19</v>
      </c>
      <c r="U21" s="3" t="s">
        <v>20</v>
      </c>
      <c r="V21" s="3" t="s">
        <v>21</v>
      </c>
      <c r="W21" s="3" t="s">
        <v>28</v>
      </c>
      <c r="X21" s="3" t="s">
        <v>62</v>
      </c>
      <c r="Y21" s="7"/>
      <c r="Z21" s="1"/>
      <c r="AA21" s="2" t="s">
        <v>211</v>
      </c>
      <c r="AB21" s="2" t="s">
        <v>23</v>
      </c>
      <c r="AC21" s="2" t="s">
        <v>1</v>
      </c>
      <c r="AD21" s="3" t="s">
        <v>18</v>
      </c>
      <c r="AE21" s="3" t="s">
        <v>19</v>
      </c>
      <c r="AF21" s="3" t="s">
        <v>20</v>
      </c>
      <c r="AG21" s="3" t="s">
        <v>21</v>
      </c>
      <c r="AH21" s="3" t="s">
        <v>28</v>
      </c>
      <c r="AI21" s="3" t="s">
        <v>62</v>
      </c>
    </row>
    <row r="22" spans="1:36" x14ac:dyDescent="0.25">
      <c r="A22" t="s">
        <v>8893</v>
      </c>
      <c r="B22" s="58" t="s">
        <v>91</v>
      </c>
      <c r="C22" s="58"/>
      <c r="D22" s="58" t="s">
        <v>2717</v>
      </c>
      <c r="E22" s="58"/>
      <c r="F22" s="58"/>
      <c r="G22" s="58">
        <f t="shared" si="20"/>
        <v>6</v>
      </c>
      <c r="H22" s="72">
        <f>COUNTIFS(LIST2!$B:$B,CONTROLLER!B22,LIST2!$W:$W,CONTROLLER!D22,LIST2!$S:$S,"&gt;0")</f>
        <v>0</v>
      </c>
      <c r="I22">
        <f t="shared" si="21"/>
        <v>0</v>
      </c>
      <c r="L22" s="74" t="s">
        <v>9593</v>
      </c>
      <c r="M22">
        <v>6</v>
      </c>
      <c r="O22" s="1" t="s">
        <v>8904</v>
      </c>
      <c r="P22" s="27">
        <f t="shared" ref="P22:P32" si="22">SUMIFS($H:$H,$B:$B,O22,$D:$D,$L$12)+SUMIFS($H:$H,$B:$B,O22,$D:$D,$L$6)</f>
        <v>0</v>
      </c>
      <c r="Q22" s="81">
        <f t="shared" ref="Q22:Q33" si="23">SUMIFS($H:$H,$B:$B,O22,$D:$D,$L$7)+SUMIFS($H:$H,$B:$B,O22,$D:$D,$L$13)+SUMIFS($H:$H,$B:$B,O22,$D:$D,$L$9)</f>
        <v>0</v>
      </c>
      <c r="R22" s="27">
        <f t="shared" ref="R22:R33" si="24">SUMIFS($H:$H,$B:$B,O22,$D:$D,$L$8)+SUMIFS($H:$H,$B:$B,O22,$D:$D,$L$15)</f>
        <v>0</v>
      </c>
      <c r="S22" s="81">
        <f t="shared" ref="S22:S33" si="25">SUMIFS($H:$H,$B:$B,O22,$D:$D,$L$17)+SUMIFS($H:$H,$B:$B,O22,$D:$D,$L$16)+SUMIFS($H:$H,$B:$B,O22,$D:$D,$L$18)</f>
        <v>0</v>
      </c>
      <c r="T22" s="81">
        <f t="shared" ref="T22:T33" si="26">SUMIFS($H:$H,$B:$B,O22,$D:$D,$L$2)+SUMIFS($H:$H,$B:$B,O22,$D:$D,$L$3)</f>
        <v>0</v>
      </c>
      <c r="U22" s="81">
        <f t="shared" ref="U22:U33" si="27">SUMIFS($H:$H,$B:$B,O22,$D:$D,$L$4)+SUMIFS($H:$H,$B:$B,O22,$D:$D,$L$5)</f>
        <v>0</v>
      </c>
      <c r="V22" s="81">
        <f t="shared" ref="V22:V33" si="28">SUMIFS($H:$H,$B:$B,O22,$D:$D,$L$19)+SUMIFS($H:$H,$B:$B,O22,$D:$D,$L$20)</f>
        <v>0</v>
      </c>
      <c r="W22" s="88">
        <f t="shared" ref="W22:W33" si="29">SUMIFS($H:$H,$B:$B,O22,$D:$D,$L$21)</f>
        <v>1</v>
      </c>
      <c r="X22" s="81">
        <f t="shared" ref="X22:X33" si="30">SUMIFS($H:$H,$B:$B,O22,$D:$D,$L$10)+SUMIFS($H:$H,$B:$B,O22,$D:$D,$L$11)</f>
        <v>1</v>
      </c>
      <c r="Z22" s="1" t="s">
        <v>8904</v>
      </c>
      <c r="AA22" s="27">
        <f t="shared" ref="AA22:AA33" si="31">+P4-P22</f>
        <v>0</v>
      </c>
      <c r="AB22" s="27">
        <f t="shared" ref="AB22:AB33" si="32">+Q4-Q22</f>
        <v>0</v>
      </c>
      <c r="AC22" s="27">
        <f t="shared" ref="AC22:AC33" si="33">+R4-R22</f>
        <v>0</v>
      </c>
      <c r="AD22" s="27">
        <f t="shared" ref="AD22:AD33" si="34">+S4-S22</f>
        <v>0</v>
      </c>
      <c r="AE22" s="27">
        <f t="shared" ref="AE22:AE33" si="35">+T4-T22</f>
        <v>0</v>
      </c>
      <c r="AF22" s="27">
        <f t="shared" ref="AF22:AF33" si="36">+U4-U22</f>
        <v>0</v>
      </c>
      <c r="AG22" s="27">
        <f t="shared" ref="AG22:AG32" si="37">+V4-V22</f>
        <v>0</v>
      </c>
      <c r="AH22" s="27">
        <f t="shared" ref="AH22:AH32" si="38">+W4-W22</f>
        <v>0</v>
      </c>
      <c r="AI22" s="27">
        <f t="shared" ref="AI22:AI33" si="39">+X4-X22</f>
        <v>0</v>
      </c>
    </row>
    <row r="23" spans="1:36" x14ac:dyDescent="0.25">
      <c r="A23" t="s">
        <v>8893</v>
      </c>
      <c r="B23" s="58" t="s">
        <v>91</v>
      </c>
      <c r="C23" s="58"/>
      <c r="D23" s="58" t="s">
        <v>2706</v>
      </c>
      <c r="E23" s="58"/>
      <c r="F23" s="58"/>
      <c r="G23" s="58">
        <f t="shared" si="20"/>
        <v>7</v>
      </c>
      <c r="H23" s="72">
        <f>COUNTIFS(LIST2!$B:$B,CONTROLLER!B23,LIST2!$W:$W,CONTROLLER!D23,LIST2!$S:$S,"&gt;0")</f>
        <v>0</v>
      </c>
      <c r="I23">
        <f t="shared" si="21"/>
        <v>0</v>
      </c>
      <c r="O23" s="1" t="s">
        <v>91</v>
      </c>
      <c r="P23" s="27">
        <f t="shared" si="22"/>
        <v>0</v>
      </c>
      <c r="Q23" s="81">
        <f t="shared" si="23"/>
        <v>0</v>
      </c>
      <c r="R23" s="27">
        <f t="shared" si="24"/>
        <v>0</v>
      </c>
      <c r="S23" s="81">
        <f t="shared" si="25"/>
        <v>0</v>
      </c>
      <c r="T23" s="81">
        <f t="shared" si="26"/>
        <v>0</v>
      </c>
      <c r="U23" s="81">
        <f t="shared" si="27"/>
        <v>0</v>
      </c>
      <c r="V23" s="81">
        <f t="shared" si="28"/>
        <v>0</v>
      </c>
      <c r="W23" s="88">
        <f t="shared" si="29"/>
        <v>0</v>
      </c>
      <c r="X23" s="81">
        <f t="shared" si="30"/>
        <v>0</v>
      </c>
      <c r="Z23" s="1" t="s">
        <v>91</v>
      </c>
      <c r="AA23" s="27">
        <f t="shared" si="31"/>
        <v>0</v>
      </c>
      <c r="AB23" s="27">
        <f t="shared" si="32"/>
        <v>0</v>
      </c>
      <c r="AC23" s="27">
        <f t="shared" si="33"/>
        <v>0</v>
      </c>
      <c r="AD23" s="27">
        <f t="shared" si="34"/>
        <v>0</v>
      </c>
      <c r="AE23" s="27">
        <f t="shared" si="35"/>
        <v>0</v>
      </c>
      <c r="AF23" s="27">
        <f t="shared" si="36"/>
        <v>0</v>
      </c>
      <c r="AG23" s="27">
        <f t="shared" si="37"/>
        <v>0</v>
      </c>
      <c r="AH23" s="27">
        <f t="shared" si="38"/>
        <v>0</v>
      </c>
      <c r="AI23" s="27">
        <f t="shared" si="39"/>
        <v>0</v>
      </c>
    </row>
    <row r="24" spans="1:36" x14ac:dyDescent="0.25">
      <c r="A24" t="s">
        <v>8893</v>
      </c>
      <c r="B24" s="58" t="s">
        <v>91</v>
      </c>
      <c r="C24" s="58"/>
      <c r="D24" s="58" t="s">
        <v>2712</v>
      </c>
      <c r="E24" s="58"/>
      <c r="F24" s="58"/>
      <c r="G24" s="58">
        <f t="shared" si="20"/>
        <v>7</v>
      </c>
      <c r="H24" s="72">
        <f>COUNTIFS(LIST2!$B:$B,CONTROLLER!B24,LIST2!$W:$W,CONTROLLER!D24,LIST2!$S:$S,"&gt;0")</f>
        <v>0</v>
      </c>
      <c r="I24">
        <f t="shared" si="21"/>
        <v>0</v>
      </c>
      <c r="O24" s="1" t="s">
        <v>92</v>
      </c>
      <c r="P24" s="27">
        <f t="shared" si="22"/>
        <v>0</v>
      </c>
      <c r="Q24" s="81">
        <f t="shared" si="23"/>
        <v>0</v>
      </c>
      <c r="R24" s="27">
        <f t="shared" si="24"/>
        <v>0</v>
      </c>
      <c r="S24" s="81">
        <f t="shared" si="25"/>
        <v>0</v>
      </c>
      <c r="T24" s="81">
        <f t="shared" si="26"/>
        <v>0</v>
      </c>
      <c r="U24" s="81">
        <f t="shared" si="27"/>
        <v>0</v>
      </c>
      <c r="V24" s="81">
        <f t="shared" si="28"/>
        <v>0</v>
      </c>
      <c r="W24" s="179">
        <f t="shared" si="29"/>
        <v>0</v>
      </c>
      <c r="X24" s="81">
        <f t="shared" si="30"/>
        <v>0</v>
      </c>
      <c r="Z24" s="1" t="s">
        <v>92</v>
      </c>
      <c r="AA24" s="27">
        <f t="shared" si="31"/>
        <v>0</v>
      </c>
      <c r="AB24" s="27">
        <f t="shared" si="32"/>
        <v>0</v>
      </c>
      <c r="AC24" s="27">
        <f t="shared" si="33"/>
        <v>0</v>
      </c>
      <c r="AD24" s="27">
        <f t="shared" si="34"/>
        <v>0</v>
      </c>
      <c r="AE24" s="27">
        <f t="shared" si="35"/>
        <v>0</v>
      </c>
      <c r="AF24" s="27">
        <f t="shared" si="36"/>
        <v>0</v>
      </c>
      <c r="AG24" s="27">
        <f t="shared" si="37"/>
        <v>0</v>
      </c>
      <c r="AH24" s="27">
        <f t="shared" si="38"/>
        <v>0</v>
      </c>
      <c r="AI24" s="27">
        <f t="shared" si="39"/>
        <v>0</v>
      </c>
    </row>
    <row r="25" spans="1:36" x14ac:dyDescent="0.25">
      <c r="A25" t="s">
        <v>8893</v>
      </c>
      <c r="B25" s="58" t="s">
        <v>91</v>
      </c>
      <c r="C25" s="58"/>
      <c r="D25" s="58" t="s">
        <v>2711</v>
      </c>
      <c r="E25" s="58"/>
      <c r="F25" s="58"/>
      <c r="G25" s="58">
        <f t="shared" si="20"/>
        <v>14</v>
      </c>
      <c r="H25" s="72">
        <f>COUNTIFS(LIST2!$B:$B,CONTROLLER!B25,LIST2!$W:$W,CONTROLLER!D25,LIST2!$S:$S,"&gt;0")</f>
        <v>0</v>
      </c>
      <c r="I25">
        <f t="shared" si="21"/>
        <v>0</v>
      </c>
      <c r="O25" s="1" t="s">
        <v>93</v>
      </c>
      <c r="P25" s="27">
        <f t="shared" si="22"/>
        <v>0</v>
      </c>
      <c r="Q25" s="81">
        <f t="shared" si="23"/>
        <v>0</v>
      </c>
      <c r="R25" s="27">
        <f t="shared" si="24"/>
        <v>0</v>
      </c>
      <c r="S25" s="81">
        <f t="shared" si="25"/>
        <v>0</v>
      </c>
      <c r="T25" s="81">
        <f t="shared" si="26"/>
        <v>0</v>
      </c>
      <c r="U25" s="81">
        <f t="shared" si="27"/>
        <v>0</v>
      </c>
      <c r="V25" s="81">
        <f t="shared" si="28"/>
        <v>0</v>
      </c>
      <c r="W25" s="88">
        <f t="shared" si="29"/>
        <v>0</v>
      </c>
      <c r="X25" s="81">
        <f t="shared" si="30"/>
        <v>0</v>
      </c>
      <c r="Z25" s="1" t="s">
        <v>93</v>
      </c>
      <c r="AA25" s="27">
        <f t="shared" si="31"/>
        <v>0</v>
      </c>
      <c r="AB25" s="27">
        <f t="shared" si="32"/>
        <v>0</v>
      </c>
      <c r="AC25" s="27">
        <f t="shared" si="33"/>
        <v>0</v>
      </c>
      <c r="AD25" s="27">
        <f t="shared" si="34"/>
        <v>0</v>
      </c>
      <c r="AE25" s="27">
        <f t="shared" si="35"/>
        <v>0</v>
      </c>
      <c r="AF25" s="27">
        <f t="shared" si="36"/>
        <v>0</v>
      </c>
      <c r="AG25" s="27">
        <f t="shared" si="37"/>
        <v>0</v>
      </c>
      <c r="AH25" s="27">
        <f t="shared" si="38"/>
        <v>0</v>
      </c>
      <c r="AI25" s="27">
        <f t="shared" si="39"/>
        <v>0</v>
      </c>
    </row>
    <row r="26" spans="1:36" x14ac:dyDescent="0.25">
      <c r="A26" t="s">
        <v>8893</v>
      </c>
      <c r="B26" s="58" t="s">
        <v>91</v>
      </c>
      <c r="C26" s="58"/>
      <c r="D26" s="58" t="s">
        <v>2713</v>
      </c>
      <c r="E26" s="58"/>
      <c r="F26" s="58"/>
      <c r="G26" s="58">
        <f t="shared" si="20"/>
        <v>32</v>
      </c>
      <c r="H26" s="72">
        <f>COUNTIFS(LIST2!$B:$B,CONTROLLER!B26,LIST2!$W:$W,CONTROLLER!D26,LIST2!$S:$S,"&gt;0")</f>
        <v>0</v>
      </c>
      <c r="I26">
        <f t="shared" si="21"/>
        <v>0</v>
      </c>
      <c r="O26" s="1" t="s">
        <v>94</v>
      </c>
      <c r="P26" s="27">
        <f t="shared" si="22"/>
        <v>0</v>
      </c>
      <c r="Q26" s="81">
        <f t="shared" si="23"/>
        <v>0</v>
      </c>
      <c r="R26" s="27">
        <f t="shared" si="24"/>
        <v>0</v>
      </c>
      <c r="S26" s="81">
        <f t="shared" si="25"/>
        <v>0</v>
      </c>
      <c r="T26" s="81">
        <f t="shared" si="26"/>
        <v>0</v>
      </c>
      <c r="U26" s="81">
        <f t="shared" si="27"/>
        <v>0</v>
      </c>
      <c r="V26" s="81">
        <f t="shared" si="28"/>
        <v>0</v>
      </c>
      <c r="W26" s="179">
        <f t="shared" si="29"/>
        <v>1</v>
      </c>
      <c r="X26" s="81">
        <f t="shared" si="30"/>
        <v>0</v>
      </c>
      <c r="Z26" s="1" t="s">
        <v>94</v>
      </c>
      <c r="AA26" s="27">
        <f t="shared" si="31"/>
        <v>0</v>
      </c>
      <c r="AB26" s="27">
        <f t="shared" si="32"/>
        <v>0</v>
      </c>
      <c r="AC26" s="27">
        <f t="shared" si="33"/>
        <v>0</v>
      </c>
      <c r="AD26" s="27">
        <f t="shared" si="34"/>
        <v>0</v>
      </c>
      <c r="AE26" s="27">
        <f t="shared" si="35"/>
        <v>0</v>
      </c>
      <c r="AF26" s="27">
        <f t="shared" si="36"/>
        <v>0</v>
      </c>
      <c r="AG26" s="27">
        <f t="shared" si="37"/>
        <v>0</v>
      </c>
      <c r="AH26" s="27">
        <f t="shared" si="38"/>
        <v>0</v>
      </c>
      <c r="AI26" s="27">
        <f t="shared" si="39"/>
        <v>0</v>
      </c>
    </row>
    <row r="27" spans="1:36" x14ac:dyDescent="0.25">
      <c r="A27" t="s">
        <v>8893</v>
      </c>
      <c r="B27" s="58" t="s">
        <v>91</v>
      </c>
      <c r="C27" s="58"/>
      <c r="D27" s="58" t="s">
        <v>2718</v>
      </c>
      <c r="E27" s="58"/>
      <c r="F27" s="58"/>
      <c r="G27" s="58">
        <f t="shared" si="20"/>
        <v>14</v>
      </c>
      <c r="H27" s="72">
        <f>COUNTIFS(LIST2!$B:$B,CONTROLLER!B27,LIST2!$W:$W,CONTROLLER!D27,LIST2!$S:$S,"&gt;0")</f>
        <v>0</v>
      </c>
      <c r="I27">
        <f t="shared" si="21"/>
        <v>0</v>
      </c>
      <c r="O27" s="1" t="s">
        <v>95</v>
      </c>
      <c r="P27" s="27">
        <f t="shared" si="22"/>
        <v>3</v>
      </c>
      <c r="Q27" s="81">
        <f t="shared" si="23"/>
        <v>3</v>
      </c>
      <c r="R27" s="27">
        <f t="shared" si="24"/>
        <v>0</v>
      </c>
      <c r="S27" s="81">
        <f t="shared" si="25"/>
        <v>1</v>
      </c>
      <c r="T27" s="81">
        <f t="shared" si="26"/>
        <v>0</v>
      </c>
      <c r="U27" s="81">
        <f t="shared" si="27"/>
        <v>2</v>
      </c>
      <c r="V27" s="81">
        <f t="shared" si="28"/>
        <v>1</v>
      </c>
      <c r="W27" s="88">
        <f t="shared" si="29"/>
        <v>3</v>
      </c>
      <c r="X27" s="81">
        <f t="shared" si="30"/>
        <v>5</v>
      </c>
      <c r="Z27" s="1" t="s">
        <v>95</v>
      </c>
      <c r="AA27" s="27">
        <f t="shared" si="31"/>
        <v>0</v>
      </c>
      <c r="AB27" s="27">
        <f>+Q9-Q27</f>
        <v>0</v>
      </c>
      <c r="AC27" s="27">
        <f>+R9-R27</f>
        <v>0</v>
      </c>
      <c r="AD27" s="27">
        <f>+S9-S27</f>
        <v>0</v>
      </c>
      <c r="AE27" s="27">
        <f>+T9-T27</f>
        <v>0</v>
      </c>
      <c r="AF27" s="27">
        <f t="shared" si="36"/>
        <v>0</v>
      </c>
      <c r="AG27" s="27">
        <f>+V9-V27</f>
        <v>0</v>
      </c>
      <c r="AH27" s="27">
        <f t="shared" si="38"/>
        <v>0</v>
      </c>
      <c r="AI27" s="27">
        <f t="shared" si="39"/>
        <v>0</v>
      </c>
    </row>
    <row r="28" spans="1:36" x14ac:dyDescent="0.25">
      <c r="A28" t="s">
        <v>8893</v>
      </c>
      <c r="B28" s="58" t="s">
        <v>91</v>
      </c>
      <c r="C28" s="58"/>
      <c r="D28" s="58" t="s">
        <v>236</v>
      </c>
      <c r="E28" s="58"/>
      <c r="F28" s="58"/>
      <c r="G28" s="58">
        <f t="shared" si="20"/>
        <v>8</v>
      </c>
      <c r="H28" s="72">
        <f>COUNTIFS(LIST2!$B:$B,CONTROLLER!B28,LIST2!$W:$W,CONTROLLER!D28,LIST2!$S:$S,"&gt;0")</f>
        <v>0</v>
      </c>
      <c r="I28">
        <f t="shared" si="21"/>
        <v>0</v>
      </c>
      <c r="O28" s="1" t="s">
        <v>96</v>
      </c>
      <c r="P28" s="27">
        <f t="shared" si="22"/>
        <v>0</v>
      </c>
      <c r="Q28" s="81">
        <f t="shared" si="23"/>
        <v>1</v>
      </c>
      <c r="R28" s="27">
        <f t="shared" si="24"/>
        <v>0</v>
      </c>
      <c r="S28" s="81">
        <f t="shared" si="25"/>
        <v>2</v>
      </c>
      <c r="T28" s="81">
        <f t="shared" si="26"/>
        <v>0</v>
      </c>
      <c r="U28" s="81">
        <f t="shared" si="27"/>
        <v>0</v>
      </c>
      <c r="V28" s="81">
        <f t="shared" si="28"/>
        <v>0</v>
      </c>
      <c r="W28" s="88">
        <f t="shared" si="29"/>
        <v>1</v>
      </c>
      <c r="X28" s="81">
        <f t="shared" si="30"/>
        <v>7</v>
      </c>
      <c r="Z28" s="1" t="s">
        <v>96</v>
      </c>
      <c r="AA28" s="27">
        <f t="shared" si="31"/>
        <v>0</v>
      </c>
      <c r="AB28" s="27">
        <f t="shared" si="32"/>
        <v>0</v>
      </c>
      <c r="AC28" s="27">
        <f t="shared" si="33"/>
        <v>0</v>
      </c>
      <c r="AD28" s="27">
        <f t="shared" si="34"/>
        <v>0</v>
      </c>
      <c r="AE28" s="27">
        <f t="shared" si="35"/>
        <v>0</v>
      </c>
      <c r="AF28" s="27">
        <f t="shared" si="36"/>
        <v>0</v>
      </c>
      <c r="AG28" s="27">
        <f>+V10-V28</f>
        <v>0</v>
      </c>
      <c r="AH28" s="27">
        <f t="shared" si="38"/>
        <v>0</v>
      </c>
      <c r="AI28" s="27">
        <f t="shared" si="39"/>
        <v>0</v>
      </c>
    </row>
    <row r="29" spans="1:36" x14ac:dyDescent="0.25">
      <c r="A29" t="s">
        <v>8893</v>
      </c>
      <c r="B29" s="58" t="s">
        <v>91</v>
      </c>
      <c r="C29" s="58"/>
      <c r="D29" s="58" t="s">
        <v>2707</v>
      </c>
      <c r="E29" s="58"/>
      <c r="F29" s="58"/>
      <c r="G29" s="58">
        <f t="shared" si="20"/>
        <v>14</v>
      </c>
      <c r="H29" s="72">
        <f>COUNTIFS(LIST2!$B:$B,CONTROLLER!B29,LIST2!$W:$W,CONTROLLER!D29,LIST2!$S:$S,"&gt;0")</f>
        <v>0</v>
      </c>
      <c r="I29">
        <f t="shared" si="21"/>
        <v>0</v>
      </c>
      <c r="O29" s="1" t="s">
        <v>258</v>
      </c>
      <c r="P29" s="27">
        <f t="shared" si="22"/>
        <v>0</v>
      </c>
      <c r="Q29" s="81">
        <f t="shared" si="23"/>
        <v>3</v>
      </c>
      <c r="R29" s="27">
        <f t="shared" si="24"/>
        <v>0</v>
      </c>
      <c r="S29" s="81">
        <f t="shared" si="25"/>
        <v>1</v>
      </c>
      <c r="T29" s="27">
        <f t="shared" si="26"/>
        <v>0</v>
      </c>
      <c r="U29" s="27">
        <f t="shared" si="27"/>
        <v>0</v>
      </c>
      <c r="V29" s="27">
        <f t="shared" si="28"/>
        <v>1</v>
      </c>
      <c r="W29" s="88">
        <f t="shared" si="29"/>
        <v>1</v>
      </c>
      <c r="X29" s="27">
        <f t="shared" si="30"/>
        <v>1</v>
      </c>
      <c r="Z29" s="1" t="s">
        <v>258</v>
      </c>
      <c r="AA29" s="27">
        <f>+P11-P29</f>
        <v>0</v>
      </c>
      <c r="AB29" s="27">
        <f t="shared" si="32"/>
        <v>0</v>
      </c>
      <c r="AC29" s="27">
        <f t="shared" si="33"/>
        <v>0</v>
      </c>
      <c r="AD29" s="27">
        <f>+S11-S29</f>
        <v>0</v>
      </c>
      <c r="AE29" s="27">
        <f t="shared" si="35"/>
        <v>0</v>
      </c>
      <c r="AF29" s="27">
        <f t="shared" si="36"/>
        <v>0</v>
      </c>
      <c r="AG29" s="27">
        <f t="shared" si="37"/>
        <v>0</v>
      </c>
      <c r="AH29" s="27">
        <f t="shared" si="38"/>
        <v>0</v>
      </c>
      <c r="AI29" s="27">
        <f t="shared" si="39"/>
        <v>0</v>
      </c>
    </row>
    <row r="30" spans="1:36" x14ac:dyDescent="0.25">
      <c r="A30" t="s">
        <v>8893</v>
      </c>
      <c r="B30" s="58" t="s">
        <v>91</v>
      </c>
      <c r="C30" s="58"/>
      <c r="D30" s="58" t="s">
        <v>2716</v>
      </c>
      <c r="E30" s="58"/>
      <c r="F30" s="58"/>
      <c r="G30" s="58">
        <f t="shared" si="20"/>
        <v>6</v>
      </c>
      <c r="H30" s="72">
        <f>COUNTIFS(LIST2!$B:$B,CONTROLLER!B30,LIST2!$W:$W,CONTROLLER!D30,LIST2!$S:$S,"&gt;0")</f>
        <v>0</v>
      </c>
      <c r="I30">
        <f t="shared" si="21"/>
        <v>0</v>
      </c>
      <c r="O30" s="1" t="s">
        <v>1166</v>
      </c>
      <c r="P30" s="27">
        <f t="shared" si="22"/>
        <v>0</v>
      </c>
      <c r="Q30" s="81">
        <f t="shared" si="23"/>
        <v>6</v>
      </c>
      <c r="R30" s="27">
        <f t="shared" si="24"/>
        <v>0</v>
      </c>
      <c r="S30" s="27">
        <f t="shared" si="25"/>
        <v>5</v>
      </c>
      <c r="T30" s="27">
        <f t="shared" si="26"/>
        <v>2</v>
      </c>
      <c r="U30" s="27">
        <f t="shared" si="27"/>
        <v>3</v>
      </c>
      <c r="V30" s="27">
        <f t="shared" si="28"/>
        <v>0</v>
      </c>
      <c r="W30" s="88">
        <f t="shared" si="29"/>
        <v>0</v>
      </c>
      <c r="X30" s="27">
        <f t="shared" si="30"/>
        <v>0</v>
      </c>
      <c r="Z30" s="1" t="s">
        <v>1166</v>
      </c>
      <c r="AA30" s="27">
        <f t="shared" si="31"/>
        <v>0</v>
      </c>
      <c r="AB30" s="27">
        <f>+Q12-Q30</f>
        <v>0</v>
      </c>
      <c r="AC30" s="27">
        <f>+R12-R30</f>
        <v>0</v>
      </c>
      <c r="AD30" s="27">
        <f>+S12-S30</f>
        <v>0</v>
      </c>
      <c r="AE30" s="27">
        <f t="shared" si="35"/>
        <v>0</v>
      </c>
      <c r="AF30" s="27">
        <f t="shared" si="36"/>
        <v>0</v>
      </c>
      <c r="AG30" s="27">
        <f t="shared" si="37"/>
        <v>0</v>
      </c>
      <c r="AH30" s="27">
        <f t="shared" si="38"/>
        <v>0</v>
      </c>
      <c r="AI30" s="27">
        <f t="shared" si="39"/>
        <v>0</v>
      </c>
    </row>
    <row r="31" spans="1:36" x14ac:dyDescent="0.25">
      <c r="A31" t="s">
        <v>8893</v>
      </c>
      <c r="B31" s="58" t="s">
        <v>91</v>
      </c>
      <c r="C31" s="58"/>
      <c r="D31" s="58" t="s">
        <v>2716</v>
      </c>
      <c r="E31" s="58"/>
      <c r="F31" s="58"/>
      <c r="G31" s="58">
        <f t="shared" si="20"/>
        <v>6</v>
      </c>
      <c r="H31" s="72">
        <f>COUNTIFS(LIST2!$B:$B,CONTROLLER!B31,LIST2!$W:$W,CONTROLLER!D31,LIST2!$S:$S,"&gt;0")</f>
        <v>0</v>
      </c>
      <c r="I31">
        <f t="shared" si="21"/>
        <v>0</v>
      </c>
      <c r="O31" s="1" t="s">
        <v>1167</v>
      </c>
      <c r="P31" s="27">
        <f t="shared" si="22"/>
        <v>3</v>
      </c>
      <c r="Q31" s="81">
        <f t="shared" si="23"/>
        <v>4</v>
      </c>
      <c r="R31" s="27">
        <f t="shared" si="24"/>
        <v>0</v>
      </c>
      <c r="S31" s="27">
        <f t="shared" si="25"/>
        <v>4</v>
      </c>
      <c r="T31" s="27">
        <f t="shared" si="26"/>
        <v>1</v>
      </c>
      <c r="U31" s="27">
        <f t="shared" si="27"/>
        <v>0</v>
      </c>
      <c r="V31" s="27">
        <f t="shared" si="28"/>
        <v>1</v>
      </c>
      <c r="W31" s="62">
        <f t="shared" si="29"/>
        <v>1</v>
      </c>
      <c r="X31" s="27">
        <f t="shared" si="30"/>
        <v>0</v>
      </c>
      <c r="Z31" s="1" t="s">
        <v>1167</v>
      </c>
      <c r="AA31" s="27">
        <f>+P13-P31</f>
        <v>0</v>
      </c>
      <c r="AB31" s="27">
        <f t="shared" si="32"/>
        <v>0</v>
      </c>
      <c r="AC31" s="27">
        <f t="shared" si="33"/>
        <v>0</v>
      </c>
      <c r="AD31" s="27">
        <f>+S13-S31</f>
        <v>0</v>
      </c>
      <c r="AE31" s="27">
        <f t="shared" si="35"/>
        <v>0</v>
      </c>
      <c r="AF31" s="27">
        <f t="shared" si="36"/>
        <v>0</v>
      </c>
      <c r="AG31" s="27">
        <f t="shared" si="37"/>
        <v>0</v>
      </c>
      <c r="AH31" s="27">
        <f t="shared" si="38"/>
        <v>0</v>
      </c>
      <c r="AI31" s="27">
        <f t="shared" si="39"/>
        <v>0</v>
      </c>
    </row>
    <row r="32" spans="1:36" x14ac:dyDescent="0.25">
      <c r="A32" t="s">
        <v>8893</v>
      </c>
      <c r="B32" s="58" t="s">
        <v>91</v>
      </c>
      <c r="C32" s="58"/>
      <c r="D32" s="58" t="s">
        <v>2705</v>
      </c>
      <c r="E32" s="58"/>
      <c r="F32" s="58"/>
      <c r="G32" s="58">
        <f t="shared" si="20"/>
        <v>10</v>
      </c>
      <c r="H32" s="72">
        <f>COUNTIFS(LIST2!$B:$B,CONTROLLER!B32,LIST2!$W:$W,CONTROLLER!D32,LIST2!$S:$S,"&gt;0")</f>
        <v>0</v>
      </c>
      <c r="I32">
        <f t="shared" si="21"/>
        <v>0</v>
      </c>
      <c r="O32" s="1" t="s">
        <v>12320</v>
      </c>
      <c r="P32" s="27">
        <f t="shared" si="22"/>
        <v>2</v>
      </c>
      <c r="Q32" s="81">
        <f t="shared" si="23"/>
        <v>7</v>
      </c>
      <c r="R32" s="27">
        <f t="shared" si="24"/>
        <v>2</v>
      </c>
      <c r="S32" s="27">
        <f t="shared" si="25"/>
        <v>6</v>
      </c>
      <c r="T32" s="27">
        <f t="shared" si="26"/>
        <v>5</v>
      </c>
      <c r="U32" s="27">
        <f t="shared" si="27"/>
        <v>2</v>
      </c>
      <c r="V32" s="27">
        <f>SUMIFS($H:$H,$B:$B,O32,$D:$D,$L$19)+SUMIFS($H:$H,$B:$B,O32,$D:$D,$L$20)</f>
        <v>2</v>
      </c>
      <c r="W32" s="62">
        <f t="shared" si="29"/>
        <v>0</v>
      </c>
      <c r="X32" s="27">
        <f t="shared" si="30"/>
        <v>0</v>
      </c>
      <c r="Z32" s="1" t="s">
        <v>12320</v>
      </c>
      <c r="AA32" s="27">
        <f>+P14-P32</f>
        <v>0</v>
      </c>
      <c r="AB32" s="27">
        <f>+Q14-Q32</f>
        <v>0</v>
      </c>
      <c r="AC32" s="27">
        <f>+R14-R32</f>
        <v>0</v>
      </c>
      <c r="AD32" s="27">
        <f t="shared" si="34"/>
        <v>0</v>
      </c>
      <c r="AE32" s="27">
        <f>+T14-T32</f>
        <v>0</v>
      </c>
      <c r="AF32" s="27">
        <f>+U14-U32</f>
        <v>0</v>
      </c>
      <c r="AG32" s="27">
        <f t="shared" si="37"/>
        <v>0</v>
      </c>
      <c r="AH32" s="27">
        <f t="shared" si="38"/>
        <v>0</v>
      </c>
      <c r="AI32" s="27">
        <f t="shared" si="39"/>
        <v>0</v>
      </c>
      <c r="AJ32" s="73"/>
    </row>
    <row r="33" spans="1:36" x14ac:dyDescent="0.25">
      <c r="A33" t="s">
        <v>8893</v>
      </c>
      <c r="B33" s="58" t="s">
        <v>91</v>
      </c>
      <c r="C33" s="58"/>
      <c r="D33" s="58" t="s">
        <v>2719</v>
      </c>
      <c r="E33" s="58"/>
      <c r="F33" s="58"/>
      <c r="G33" s="58">
        <f t="shared" si="20"/>
        <v>20</v>
      </c>
      <c r="H33" s="72">
        <f>COUNTIFS(LIST2!$B:$B,CONTROLLER!B33,LIST2!$W:$W,CONTROLLER!D33,LIST2!$S:$S,"&gt;0")</f>
        <v>0</v>
      </c>
      <c r="I33">
        <f t="shared" si="21"/>
        <v>0</v>
      </c>
      <c r="O33" s="1" t="s">
        <v>14095</v>
      </c>
      <c r="P33" s="27">
        <f>SUMIFS($H:$H,$B:$B,O33,$D:$D,$L$12)+SUMIFS($H:$H,$B:$B,O33,$D:$D,$L$6)</f>
        <v>0</v>
      </c>
      <c r="Q33" s="81">
        <f t="shared" si="23"/>
        <v>0</v>
      </c>
      <c r="R33" s="27">
        <f t="shared" si="24"/>
        <v>0</v>
      </c>
      <c r="S33" s="27">
        <f t="shared" si="25"/>
        <v>5</v>
      </c>
      <c r="T33" s="27">
        <f t="shared" si="26"/>
        <v>1</v>
      </c>
      <c r="U33" s="27">
        <f t="shared" si="27"/>
        <v>0</v>
      </c>
      <c r="V33" s="27">
        <f t="shared" si="28"/>
        <v>2</v>
      </c>
      <c r="W33" s="62">
        <f t="shared" si="29"/>
        <v>0</v>
      </c>
      <c r="X33" s="27">
        <f t="shared" si="30"/>
        <v>0</v>
      </c>
      <c r="Z33" s="1" t="s">
        <v>14095</v>
      </c>
      <c r="AA33" s="27">
        <f t="shared" si="31"/>
        <v>0</v>
      </c>
      <c r="AB33" s="27">
        <f t="shared" si="32"/>
        <v>0</v>
      </c>
      <c r="AC33" s="27">
        <f t="shared" si="33"/>
        <v>0</v>
      </c>
      <c r="AD33" s="27">
        <f t="shared" si="34"/>
        <v>0</v>
      </c>
      <c r="AE33" s="27">
        <f t="shared" si="35"/>
        <v>0</v>
      </c>
      <c r="AF33" s="27">
        <f t="shared" si="36"/>
        <v>0</v>
      </c>
      <c r="AG33" s="27">
        <f>+V15-V33</f>
        <v>0</v>
      </c>
      <c r="AH33" s="27">
        <f>+W15-W33</f>
        <v>0</v>
      </c>
      <c r="AI33" s="27">
        <f t="shared" si="39"/>
        <v>0</v>
      </c>
      <c r="AJ33" s="73">
        <f>SUM(AA33:AI33)</f>
        <v>0</v>
      </c>
    </row>
    <row r="34" spans="1:36" x14ac:dyDescent="0.25">
      <c r="A34" t="s">
        <v>8893</v>
      </c>
      <c r="B34" s="58" t="s">
        <v>91</v>
      </c>
      <c r="C34" s="58"/>
      <c r="D34" s="58" t="s">
        <v>8895</v>
      </c>
      <c r="E34" s="58"/>
      <c r="F34" s="58"/>
      <c r="G34" s="58">
        <f t="shared" si="20"/>
        <v>13</v>
      </c>
      <c r="H34" s="72">
        <f>COUNTIFS(LIST2!$B:$B,CONTROLLER!B34,LIST2!$W:$W,CONTROLLER!D34,LIST2!$S:$S,"&gt;0")</f>
        <v>0</v>
      </c>
      <c r="I34">
        <f t="shared" si="21"/>
        <v>0</v>
      </c>
      <c r="P34" s="58">
        <f t="shared" ref="P34:X34" si="40">SUM(P22:P32)</f>
        <v>8</v>
      </c>
      <c r="Q34" s="58">
        <f t="shared" si="40"/>
        <v>24</v>
      </c>
      <c r="R34" s="58">
        <f t="shared" si="40"/>
        <v>2</v>
      </c>
      <c r="S34" s="58">
        <f t="shared" si="40"/>
        <v>19</v>
      </c>
      <c r="T34" s="58">
        <f t="shared" si="40"/>
        <v>8</v>
      </c>
      <c r="U34" s="58">
        <f t="shared" si="40"/>
        <v>7</v>
      </c>
      <c r="V34" s="58">
        <f t="shared" si="40"/>
        <v>5</v>
      </c>
      <c r="W34" s="58">
        <f>SUM(W22:W33)</f>
        <v>8</v>
      </c>
      <c r="X34" s="58">
        <f t="shared" si="40"/>
        <v>14</v>
      </c>
      <c r="Y34" s="73">
        <f>SUM(P34:X34)</f>
        <v>95</v>
      </c>
      <c r="AA34" s="58">
        <f t="shared" ref="AA34:AI34" si="41">SUM(AA23:AA32)</f>
        <v>0</v>
      </c>
      <c r="AB34" s="58">
        <f t="shared" si="41"/>
        <v>0</v>
      </c>
      <c r="AC34" s="58">
        <f t="shared" si="41"/>
        <v>0</v>
      </c>
      <c r="AD34" s="58">
        <f t="shared" si="41"/>
        <v>0</v>
      </c>
      <c r="AE34" s="58">
        <f t="shared" si="41"/>
        <v>0</v>
      </c>
      <c r="AF34" s="58">
        <f t="shared" si="41"/>
        <v>0</v>
      </c>
      <c r="AG34" s="58">
        <f t="shared" si="41"/>
        <v>0</v>
      </c>
      <c r="AH34" s="58">
        <f t="shared" si="41"/>
        <v>0</v>
      </c>
      <c r="AI34" s="58">
        <f t="shared" si="41"/>
        <v>0</v>
      </c>
      <c r="AJ34" s="73">
        <f>SUM(AA34:AI34)</f>
        <v>0</v>
      </c>
    </row>
    <row r="35" spans="1:36" x14ac:dyDescent="0.25">
      <c r="A35" t="s">
        <v>8893</v>
      </c>
      <c r="B35" s="58" t="s">
        <v>91</v>
      </c>
      <c r="C35" s="58"/>
      <c r="D35" s="58" t="s">
        <v>2708</v>
      </c>
      <c r="E35" s="58"/>
      <c r="F35" s="58"/>
      <c r="G35" s="58">
        <f t="shared" si="20"/>
        <v>10</v>
      </c>
      <c r="H35" s="72">
        <f>COUNTIFS(LIST2!$B:$B,CONTROLLER!B35,LIST2!$W:$W,CONTROLLER!D35,LIST2!$S:$S,"&gt;0")</f>
        <v>0</v>
      </c>
      <c r="I35">
        <f t="shared" si="21"/>
        <v>0</v>
      </c>
    </row>
    <row r="36" spans="1:36" ht="21" x14ac:dyDescent="0.35">
      <c r="A36" t="s">
        <v>8893</v>
      </c>
      <c r="B36" s="58" t="s">
        <v>91</v>
      </c>
      <c r="C36" s="58"/>
      <c r="D36" s="58" t="s">
        <v>8897</v>
      </c>
      <c r="E36" s="58"/>
      <c r="F36" s="58"/>
      <c r="G36" s="58">
        <f t="shared" si="20"/>
        <v>13</v>
      </c>
      <c r="H36" s="72">
        <f>COUNTIFS(LIST2!$B:$B,CONTROLLER!B36,LIST2!$W:$W,CONTROLLER!D36,LIST2!$S:$S,"&gt;0")</f>
        <v>0</v>
      </c>
      <c r="I36">
        <f t="shared" si="21"/>
        <v>0</v>
      </c>
      <c r="O36" s="452" t="s">
        <v>2720</v>
      </c>
      <c r="P36" s="453"/>
      <c r="Q36" s="453"/>
      <c r="R36" s="453"/>
      <c r="S36" s="453"/>
      <c r="T36" s="453"/>
      <c r="U36" s="453"/>
      <c r="V36" s="453"/>
      <c r="W36" s="453"/>
      <c r="X36" s="454"/>
    </row>
    <row r="37" spans="1:36" ht="18.75" x14ac:dyDescent="0.25">
      <c r="A37" t="s">
        <v>8893</v>
      </c>
      <c r="B37" s="58" t="s">
        <v>92</v>
      </c>
      <c r="C37" s="58"/>
      <c r="D37" s="58" t="s">
        <v>2715</v>
      </c>
      <c r="E37" s="58"/>
      <c r="F37" s="58"/>
      <c r="G37" s="58">
        <f t="shared" si="20"/>
        <v>12</v>
      </c>
      <c r="H37" s="72">
        <f>COUNTIFS(LIST2!$B:$B,CONTROLLER!B37,LIST2!$W:$W,CONTROLLER!D37,LIST2!$S:$S,"&gt;0")</f>
        <v>0</v>
      </c>
      <c r="I37">
        <f t="shared" si="21"/>
        <v>0</v>
      </c>
      <c r="O37" s="1"/>
      <c r="P37" s="142" t="s">
        <v>0</v>
      </c>
      <c r="Q37" s="143"/>
      <c r="R37" s="144"/>
      <c r="S37" s="141" t="s">
        <v>16</v>
      </c>
      <c r="T37" s="141"/>
      <c r="U37" s="141"/>
      <c r="V37" s="141"/>
      <c r="W37" s="137" t="s">
        <v>22</v>
      </c>
      <c r="X37" s="138"/>
      <c r="AB37" t="s">
        <v>47</v>
      </c>
    </row>
    <row r="38" spans="1:36" ht="15.75" x14ac:dyDescent="0.25">
      <c r="A38" t="s">
        <v>8893</v>
      </c>
      <c r="B38" s="58" t="s">
        <v>92</v>
      </c>
      <c r="C38" s="58"/>
      <c r="D38" s="58" t="s">
        <v>2710</v>
      </c>
      <c r="E38" s="58"/>
      <c r="F38" s="58"/>
      <c r="G38" s="58">
        <f t="shared" si="20"/>
        <v>10</v>
      </c>
      <c r="H38" s="72">
        <f>COUNTIFS(LIST2!$B:$B,CONTROLLER!B38,LIST2!$W:$W,CONTROLLER!D38,LIST2!$S:$S,"&gt;0")</f>
        <v>0</v>
      </c>
      <c r="I38">
        <f t="shared" si="21"/>
        <v>0</v>
      </c>
      <c r="O38" s="1"/>
      <c r="P38" s="2" t="s">
        <v>211</v>
      </c>
      <c r="Q38" s="2" t="s">
        <v>23</v>
      </c>
      <c r="R38" s="2" t="s">
        <v>1</v>
      </c>
      <c r="S38" s="3" t="s">
        <v>18</v>
      </c>
      <c r="T38" s="3" t="s">
        <v>19</v>
      </c>
      <c r="U38" s="3" t="s">
        <v>20</v>
      </c>
      <c r="V38" s="3" t="s">
        <v>21</v>
      </c>
      <c r="W38" s="3" t="s">
        <v>28</v>
      </c>
      <c r="X38" s="3" t="s">
        <v>62</v>
      </c>
    </row>
    <row r="39" spans="1:36" x14ac:dyDescent="0.25">
      <c r="A39" t="s">
        <v>8893</v>
      </c>
      <c r="B39" s="58" t="s">
        <v>92</v>
      </c>
      <c r="C39" s="58"/>
      <c r="D39" s="58" t="s">
        <v>2717</v>
      </c>
      <c r="E39" s="58"/>
      <c r="F39" s="58"/>
      <c r="G39" s="58">
        <f t="shared" si="20"/>
        <v>6</v>
      </c>
      <c r="H39" s="72">
        <f>COUNTIFS(LIST2!$B:$B,CONTROLLER!B39,LIST2!$W:$W,CONTROLLER!D39,LIST2!$S:$S,"&gt;0")</f>
        <v>0</v>
      </c>
      <c r="I39">
        <f t="shared" si="21"/>
        <v>0</v>
      </c>
      <c r="O39" s="1" t="s">
        <v>8904</v>
      </c>
      <c r="P39" s="27">
        <f t="shared" ref="P39:P50" si="42">SUMIFS($I:$I,$B:$B,O39,$D:$D,$L$12)+SUMIFS($I:$I,$B:$B,O39,$D:$D,$L$6)</f>
        <v>0</v>
      </c>
      <c r="Q39" s="27">
        <f t="shared" ref="Q39:Q50" si="43">SUMIFS($I:$I,$B:$B,O39,$D:$D,$L$7)+SUMIFS($I:$I,$B:$B,O39,$D:$D,$L$13)+SUMIFS($I:$I,$B:$B,O39,$D:$D,$L$9)</f>
        <v>0</v>
      </c>
      <c r="R39" s="27">
        <f t="shared" ref="R39:R50" si="44">SUMIFS($I:$I,$B:$B,O39,$D:$D,$L$8)+SUMIFS($I:$I,$B:$B,O39,$D:$D,$L$15)</f>
        <v>0</v>
      </c>
      <c r="S39" s="27">
        <f t="shared" ref="S39:S50" si="45">SUMIFS($I:$I,$B:$B,O39,$D:$D,$L$17)+SUMIFS($I:$I,$B:$B,O39,$D:$D,$L$16)+SUMIFS($I:$I,$B:$B,O39,$D:$D,$L$18)</f>
        <v>0</v>
      </c>
      <c r="T39" s="27">
        <f t="shared" ref="T39:T50" si="46">SUMIFS($I:$I,$B:$B,O39,$D:$D,$L$2)+SUMIFS($I:$I,$B:$B,O39,$D:$D,$L$3)</f>
        <v>0</v>
      </c>
      <c r="U39" s="27">
        <f t="shared" ref="U39:U50" si="47">SUMIFS($I:$I,$B:$B,O39,$D:$D,$L$4)+SUMIFS($I:$I,$B:$B,O39,$D:$D,$L$5)</f>
        <v>0</v>
      </c>
      <c r="V39" s="27">
        <f t="shared" ref="V39:V50" si="48">SUMIFS($I:$I,$B:$B,O39,$D:$D,$L$19)+SUMIFS($I:$I,$B:$B,O39,$D:$D,$L$20)</f>
        <v>0</v>
      </c>
      <c r="W39" s="27">
        <f t="shared" ref="W39:W47" si="49">SUMIFS($I:$I,$B:$B,O39,$D:$D,$L$21)</f>
        <v>30</v>
      </c>
      <c r="X39" s="27">
        <f t="shared" ref="X39:X50" si="50">SUMIFS($I:$I,$B:$B,O39,$D:$D,$L$10)+SUMIFS($I:$I,$B:$B,O39,$D:$D,$L$11)</f>
        <v>14</v>
      </c>
    </row>
    <row r="40" spans="1:36" x14ac:dyDescent="0.25">
      <c r="A40" t="s">
        <v>8893</v>
      </c>
      <c r="B40" s="58" t="s">
        <v>92</v>
      </c>
      <c r="C40" s="58"/>
      <c r="D40" s="58" t="s">
        <v>2706</v>
      </c>
      <c r="E40" s="58"/>
      <c r="F40" s="58"/>
      <c r="G40" s="58">
        <f t="shared" si="20"/>
        <v>7</v>
      </c>
      <c r="H40" s="72">
        <f>COUNTIFS(LIST2!$B:$B,CONTROLLER!B40,LIST2!$W:$W,CONTROLLER!D40,LIST2!$S:$S,"&gt;0")</f>
        <v>0</v>
      </c>
      <c r="I40">
        <f t="shared" si="21"/>
        <v>0</v>
      </c>
      <c r="O40" s="1" t="s">
        <v>91</v>
      </c>
      <c r="P40" s="27">
        <f t="shared" si="42"/>
        <v>0</v>
      </c>
      <c r="Q40" s="27">
        <f t="shared" si="43"/>
        <v>0</v>
      </c>
      <c r="R40" s="27">
        <f t="shared" si="44"/>
        <v>0</v>
      </c>
      <c r="S40" s="27">
        <f t="shared" si="45"/>
        <v>0</v>
      </c>
      <c r="T40" s="27">
        <f t="shared" si="46"/>
        <v>0</v>
      </c>
      <c r="U40" s="27">
        <f t="shared" si="47"/>
        <v>0</v>
      </c>
      <c r="V40" s="27">
        <f t="shared" si="48"/>
        <v>0</v>
      </c>
      <c r="W40" s="27">
        <f t="shared" si="49"/>
        <v>0</v>
      </c>
      <c r="X40" s="27">
        <f t="shared" si="50"/>
        <v>0</v>
      </c>
      <c r="Z40" s="32"/>
      <c r="AA40" t="s">
        <v>40</v>
      </c>
    </row>
    <row r="41" spans="1:36" x14ac:dyDescent="0.25">
      <c r="A41" t="s">
        <v>8893</v>
      </c>
      <c r="B41" s="58" t="s">
        <v>92</v>
      </c>
      <c r="C41" s="58"/>
      <c r="D41" s="58" t="s">
        <v>2712</v>
      </c>
      <c r="E41" s="58"/>
      <c r="F41" s="58"/>
      <c r="G41" s="58">
        <f t="shared" si="20"/>
        <v>7</v>
      </c>
      <c r="H41" s="72">
        <f>COUNTIFS(LIST2!$B:$B,CONTROLLER!B41,LIST2!$W:$W,CONTROLLER!D41,LIST2!$S:$S,"&gt;0")</f>
        <v>0</v>
      </c>
      <c r="I41">
        <f t="shared" si="21"/>
        <v>0</v>
      </c>
      <c r="O41" s="1" t="s">
        <v>92</v>
      </c>
      <c r="P41" s="27">
        <f t="shared" si="42"/>
        <v>0</v>
      </c>
      <c r="Q41" s="27">
        <f t="shared" si="43"/>
        <v>0</v>
      </c>
      <c r="R41" s="27">
        <f t="shared" si="44"/>
        <v>0</v>
      </c>
      <c r="S41" s="27">
        <f t="shared" si="45"/>
        <v>0</v>
      </c>
      <c r="T41" s="27">
        <f t="shared" si="46"/>
        <v>0</v>
      </c>
      <c r="U41" s="27">
        <f t="shared" si="47"/>
        <v>0</v>
      </c>
      <c r="V41" s="27">
        <f t="shared" si="48"/>
        <v>0</v>
      </c>
      <c r="W41" s="27">
        <f t="shared" si="49"/>
        <v>0</v>
      </c>
      <c r="X41" s="27">
        <f t="shared" si="50"/>
        <v>0</v>
      </c>
      <c r="AB41" t="s">
        <v>47</v>
      </c>
      <c r="AC41" t="s">
        <v>47</v>
      </c>
    </row>
    <row r="42" spans="1:36" x14ac:dyDescent="0.25">
      <c r="A42" t="s">
        <v>8893</v>
      </c>
      <c r="B42" s="58" t="s">
        <v>92</v>
      </c>
      <c r="C42" s="58"/>
      <c r="D42" s="58" t="s">
        <v>2711</v>
      </c>
      <c r="E42" s="58"/>
      <c r="F42" s="58"/>
      <c r="G42" s="58">
        <f t="shared" si="20"/>
        <v>14</v>
      </c>
      <c r="H42" s="72">
        <f>COUNTIFS(LIST2!$B:$B,CONTROLLER!B42,LIST2!$W:$W,CONTROLLER!D42,LIST2!$S:$S,"&gt;0")</f>
        <v>0</v>
      </c>
      <c r="I42">
        <f t="shared" si="21"/>
        <v>0</v>
      </c>
      <c r="O42" s="1" t="s">
        <v>93</v>
      </c>
      <c r="P42" s="27">
        <f t="shared" si="42"/>
        <v>0</v>
      </c>
      <c r="Q42" s="27">
        <f t="shared" si="43"/>
        <v>0</v>
      </c>
      <c r="R42" s="27">
        <f t="shared" si="44"/>
        <v>0</v>
      </c>
      <c r="S42" s="27">
        <f t="shared" si="45"/>
        <v>0</v>
      </c>
      <c r="T42" s="27">
        <f t="shared" si="46"/>
        <v>0</v>
      </c>
      <c r="U42" s="27">
        <f t="shared" si="47"/>
        <v>0</v>
      </c>
      <c r="V42" s="27">
        <f t="shared" si="48"/>
        <v>0</v>
      </c>
      <c r="W42" s="27">
        <f t="shared" si="49"/>
        <v>0</v>
      </c>
      <c r="X42" s="27">
        <f t="shared" si="50"/>
        <v>0</v>
      </c>
    </row>
    <row r="43" spans="1:36" x14ac:dyDescent="0.25">
      <c r="A43" t="s">
        <v>8893</v>
      </c>
      <c r="B43" s="58" t="s">
        <v>92</v>
      </c>
      <c r="C43" s="58"/>
      <c r="D43" s="58" t="s">
        <v>2713</v>
      </c>
      <c r="E43" s="58"/>
      <c r="F43" s="58"/>
      <c r="G43" s="58">
        <f t="shared" si="20"/>
        <v>32</v>
      </c>
      <c r="H43" s="72">
        <f>COUNTIFS(LIST2!$B:$B,CONTROLLER!B43,LIST2!$W:$W,CONTROLLER!D43,LIST2!$S:$S,"&gt;0")</f>
        <v>0</v>
      </c>
      <c r="I43">
        <f t="shared" si="21"/>
        <v>0</v>
      </c>
      <c r="O43" s="1" t="s">
        <v>94</v>
      </c>
      <c r="P43" s="27">
        <f t="shared" si="42"/>
        <v>0</v>
      </c>
      <c r="Q43" s="27">
        <f t="shared" si="43"/>
        <v>0</v>
      </c>
      <c r="R43" s="27">
        <f t="shared" si="44"/>
        <v>0</v>
      </c>
      <c r="S43" s="27">
        <f t="shared" si="45"/>
        <v>0</v>
      </c>
      <c r="T43" s="27">
        <f t="shared" si="46"/>
        <v>0</v>
      </c>
      <c r="U43" s="27">
        <f t="shared" si="47"/>
        <v>0</v>
      </c>
      <c r="V43" s="27">
        <f t="shared" si="48"/>
        <v>0</v>
      </c>
      <c r="W43" s="27">
        <f t="shared" si="49"/>
        <v>30</v>
      </c>
      <c r="X43" s="27">
        <f t="shared" si="50"/>
        <v>0</v>
      </c>
    </row>
    <row r="44" spans="1:36" x14ac:dyDescent="0.25">
      <c r="A44" t="s">
        <v>8893</v>
      </c>
      <c r="B44" s="58" t="s">
        <v>92</v>
      </c>
      <c r="C44" s="58"/>
      <c r="D44" s="58" t="s">
        <v>2718</v>
      </c>
      <c r="E44" s="58"/>
      <c r="F44" s="58"/>
      <c r="G44" s="58">
        <f t="shared" si="20"/>
        <v>14</v>
      </c>
      <c r="H44" s="72">
        <f>COUNTIFS(LIST2!$B:$B,CONTROLLER!B44,LIST2!$W:$W,CONTROLLER!D44,LIST2!$S:$S,"&gt;0")</f>
        <v>0</v>
      </c>
      <c r="I44">
        <f t="shared" si="21"/>
        <v>0</v>
      </c>
      <c r="O44" s="1" t="s">
        <v>95</v>
      </c>
      <c r="P44" s="27">
        <f t="shared" si="42"/>
        <v>20</v>
      </c>
      <c r="Q44" s="27">
        <f t="shared" si="43"/>
        <v>42</v>
      </c>
      <c r="R44" s="27">
        <f t="shared" si="44"/>
        <v>0</v>
      </c>
      <c r="S44" s="27">
        <f t="shared" si="45"/>
        <v>13</v>
      </c>
      <c r="T44" s="27">
        <f t="shared" si="46"/>
        <v>0</v>
      </c>
      <c r="U44" s="27">
        <f t="shared" si="47"/>
        <v>14</v>
      </c>
      <c r="V44" s="27">
        <f t="shared" si="48"/>
        <v>13</v>
      </c>
      <c r="W44" s="27">
        <f t="shared" si="49"/>
        <v>90</v>
      </c>
      <c r="X44" s="27">
        <f t="shared" si="50"/>
        <v>64</v>
      </c>
    </row>
    <row r="45" spans="1:36" x14ac:dyDescent="0.25">
      <c r="A45" t="s">
        <v>8893</v>
      </c>
      <c r="B45" s="58" t="s">
        <v>92</v>
      </c>
      <c r="C45" s="58"/>
      <c r="D45" s="58" t="s">
        <v>236</v>
      </c>
      <c r="E45" s="58"/>
      <c r="F45" s="58"/>
      <c r="G45" s="58">
        <f t="shared" si="20"/>
        <v>8</v>
      </c>
      <c r="H45" s="72">
        <f>COUNTIFS(LIST2!$B:$B,CONTROLLER!B45,LIST2!$W:$W,CONTROLLER!D45,LIST2!$S:$S,"&gt;0")</f>
        <v>0</v>
      </c>
      <c r="I45">
        <f t="shared" si="21"/>
        <v>0</v>
      </c>
      <c r="O45" s="1" t="s">
        <v>96</v>
      </c>
      <c r="P45" s="27">
        <f t="shared" si="42"/>
        <v>0</v>
      </c>
      <c r="Q45" s="27">
        <f t="shared" si="43"/>
        <v>10</v>
      </c>
      <c r="R45" s="27">
        <f t="shared" si="44"/>
        <v>0</v>
      </c>
      <c r="S45" s="27">
        <f t="shared" si="45"/>
        <v>36</v>
      </c>
      <c r="T45" s="27">
        <f t="shared" si="46"/>
        <v>0</v>
      </c>
      <c r="U45" s="27">
        <f t="shared" si="47"/>
        <v>0</v>
      </c>
      <c r="V45" s="27">
        <f t="shared" si="48"/>
        <v>0</v>
      </c>
      <c r="W45" s="27">
        <f t="shared" si="49"/>
        <v>30</v>
      </c>
      <c r="X45" s="27">
        <f t="shared" si="50"/>
        <v>92</v>
      </c>
      <c r="AG45" t="s">
        <v>12940</v>
      </c>
    </row>
    <row r="46" spans="1:36" x14ac:dyDescent="0.25">
      <c r="A46" t="s">
        <v>8893</v>
      </c>
      <c r="B46" s="58" t="s">
        <v>92</v>
      </c>
      <c r="C46" s="58"/>
      <c r="D46" s="58" t="s">
        <v>2707</v>
      </c>
      <c r="E46" s="58"/>
      <c r="F46" s="58"/>
      <c r="G46" s="58">
        <f t="shared" si="20"/>
        <v>14</v>
      </c>
      <c r="H46" s="72">
        <f>COUNTIFS(LIST2!$B:$B,CONTROLLER!B46,LIST2!$W:$W,CONTROLLER!D46,LIST2!$S:$S,"&gt;0")</f>
        <v>0</v>
      </c>
      <c r="I46">
        <f t="shared" si="21"/>
        <v>0</v>
      </c>
      <c r="O46" s="1" t="s">
        <v>258</v>
      </c>
      <c r="P46" s="27">
        <f t="shared" si="42"/>
        <v>0</v>
      </c>
      <c r="Q46" s="27">
        <f t="shared" si="43"/>
        <v>42</v>
      </c>
      <c r="R46" s="27">
        <f t="shared" si="44"/>
        <v>0</v>
      </c>
      <c r="S46" s="27">
        <f t="shared" si="45"/>
        <v>18</v>
      </c>
      <c r="T46" s="27">
        <f t="shared" si="46"/>
        <v>0</v>
      </c>
      <c r="U46" s="27">
        <f t="shared" si="47"/>
        <v>0</v>
      </c>
      <c r="V46" s="27">
        <f t="shared" si="48"/>
        <v>18</v>
      </c>
      <c r="W46" s="27">
        <f t="shared" si="49"/>
        <v>30</v>
      </c>
      <c r="X46" s="27">
        <f t="shared" si="50"/>
        <v>14</v>
      </c>
    </row>
    <row r="47" spans="1:36" x14ac:dyDescent="0.25">
      <c r="A47" t="s">
        <v>8893</v>
      </c>
      <c r="B47" s="58" t="s">
        <v>92</v>
      </c>
      <c r="C47" s="58"/>
      <c r="D47" s="58" t="s">
        <v>2707</v>
      </c>
      <c r="E47" s="58"/>
      <c r="F47" s="58"/>
      <c r="G47" s="58">
        <f t="shared" si="20"/>
        <v>14</v>
      </c>
      <c r="H47" s="72">
        <f>COUNTIFS(LIST2!$B:$B,CONTROLLER!B47,LIST2!$W:$W,CONTROLLER!D47,LIST2!$S:$S,"&gt;0")</f>
        <v>0</v>
      </c>
      <c r="I47">
        <f t="shared" si="21"/>
        <v>0</v>
      </c>
      <c r="O47" s="1" t="s">
        <v>1166</v>
      </c>
      <c r="P47" s="27">
        <f t="shared" si="42"/>
        <v>0</v>
      </c>
      <c r="Q47" s="27">
        <f t="shared" si="43"/>
        <v>80</v>
      </c>
      <c r="R47" s="27">
        <f t="shared" si="44"/>
        <v>0</v>
      </c>
      <c r="S47" s="27">
        <f t="shared" si="45"/>
        <v>90</v>
      </c>
      <c r="T47" s="27">
        <f t="shared" si="46"/>
        <v>24</v>
      </c>
      <c r="U47" s="27">
        <f t="shared" si="47"/>
        <v>21</v>
      </c>
      <c r="V47" s="27">
        <f t="shared" si="48"/>
        <v>0</v>
      </c>
      <c r="W47" s="27">
        <f t="shared" si="49"/>
        <v>0</v>
      </c>
      <c r="X47" s="27">
        <f t="shared" si="50"/>
        <v>0</v>
      </c>
    </row>
    <row r="48" spans="1:36" x14ac:dyDescent="0.25">
      <c r="A48" t="s">
        <v>8893</v>
      </c>
      <c r="B48" s="58" t="s">
        <v>92</v>
      </c>
      <c r="C48" s="58"/>
      <c r="D48" s="58" t="s">
        <v>2716</v>
      </c>
      <c r="E48" s="58"/>
      <c r="F48" s="58"/>
      <c r="G48" s="58">
        <f t="shared" si="20"/>
        <v>6</v>
      </c>
      <c r="H48" s="72">
        <f>COUNTIFS(LIST2!$B:$B,CONTROLLER!B48,LIST2!$W:$W,CONTROLLER!D48,LIST2!$S:$S,"&gt;0")</f>
        <v>0</v>
      </c>
      <c r="I48">
        <f t="shared" si="21"/>
        <v>0</v>
      </c>
      <c r="O48" s="1" t="s">
        <v>1167</v>
      </c>
      <c r="P48" s="27">
        <f t="shared" si="42"/>
        <v>21</v>
      </c>
      <c r="Q48" s="27">
        <f t="shared" si="43"/>
        <v>56</v>
      </c>
      <c r="R48" s="27">
        <f t="shared" si="44"/>
        <v>0</v>
      </c>
      <c r="S48" s="27">
        <f t="shared" si="45"/>
        <v>72</v>
      </c>
      <c r="T48" s="27">
        <f t="shared" si="46"/>
        <v>12</v>
      </c>
      <c r="U48" s="27">
        <f t="shared" si="47"/>
        <v>0</v>
      </c>
      <c r="V48" s="27">
        <f t="shared" si="48"/>
        <v>18</v>
      </c>
      <c r="W48" s="27">
        <f>SUMIFS($I:$I,$B:$B,O48,$D:$D,$L$22)</f>
        <v>0</v>
      </c>
      <c r="X48" s="27">
        <f t="shared" si="50"/>
        <v>0</v>
      </c>
      <c r="AE48" t="s">
        <v>47</v>
      </c>
    </row>
    <row r="49" spans="1:27" x14ac:dyDescent="0.25">
      <c r="A49" t="s">
        <v>8893</v>
      </c>
      <c r="B49" s="58" t="s">
        <v>92</v>
      </c>
      <c r="C49" s="58"/>
      <c r="D49" s="58" t="s">
        <v>2705</v>
      </c>
      <c r="E49" s="58"/>
      <c r="F49" s="58"/>
      <c r="G49" s="58">
        <f t="shared" ref="G49:G80" si="51">SUMIF($L:$L,D49,$M:$M)</f>
        <v>10</v>
      </c>
      <c r="H49" s="72">
        <f>COUNTIFS(LIST2!$B:$B,CONTROLLER!B49,LIST2!$W:$W,CONTROLLER!D49,LIST2!$S:$S,"&gt;0")</f>
        <v>0</v>
      </c>
      <c r="I49">
        <f t="shared" si="21"/>
        <v>0</v>
      </c>
      <c r="O49" s="1" t="s">
        <v>12320</v>
      </c>
      <c r="P49" s="27">
        <f t="shared" si="42"/>
        <v>14</v>
      </c>
      <c r="Q49" s="27">
        <f t="shared" si="43"/>
        <v>98</v>
      </c>
      <c r="R49" s="27">
        <f t="shared" si="44"/>
        <v>64</v>
      </c>
      <c r="S49" s="27">
        <f t="shared" si="45"/>
        <v>108</v>
      </c>
      <c r="T49" s="27">
        <f t="shared" si="46"/>
        <v>60</v>
      </c>
      <c r="U49" s="27">
        <f t="shared" si="47"/>
        <v>14</v>
      </c>
      <c r="V49" s="27">
        <f t="shared" si="48"/>
        <v>36</v>
      </c>
      <c r="W49" s="27">
        <f>SUMIFS($I:$I,$B:$B,O49,$D:$D,$L$22)</f>
        <v>0</v>
      </c>
      <c r="X49" s="27">
        <f t="shared" si="50"/>
        <v>0</v>
      </c>
    </row>
    <row r="50" spans="1:27" x14ac:dyDescent="0.25">
      <c r="A50" t="s">
        <v>8893</v>
      </c>
      <c r="B50" s="58" t="s">
        <v>92</v>
      </c>
      <c r="C50" s="58"/>
      <c r="D50" s="58" t="s">
        <v>2719</v>
      </c>
      <c r="E50" s="58"/>
      <c r="F50" s="58"/>
      <c r="G50" s="58">
        <f t="shared" si="51"/>
        <v>20</v>
      </c>
      <c r="H50" s="72">
        <f>COUNTIFS(LIST2!$B:$B,CONTROLLER!B50,LIST2!$W:$W,CONTROLLER!D50,LIST2!$S:$S,"&gt;0")</f>
        <v>0</v>
      </c>
      <c r="I50">
        <f t="shared" si="21"/>
        <v>0</v>
      </c>
      <c r="O50" s="1" t="s">
        <v>14095</v>
      </c>
      <c r="P50" s="27">
        <f t="shared" si="42"/>
        <v>0</v>
      </c>
      <c r="Q50" s="27">
        <f t="shared" si="43"/>
        <v>0</v>
      </c>
      <c r="R50" s="27">
        <f t="shared" si="44"/>
        <v>0</v>
      </c>
      <c r="S50" s="27">
        <f t="shared" si="45"/>
        <v>90</v>
      </c>
      <c r="T50" s="27">
        <f t="shared" si="46"/>
        <v>12</v>
      </c>
      <c r="U50" s="27">
        <f t="shared" si="47"/>
        <v>0</v>
      </c>
      <c r="V50" s="27">
        <f t="shared" si="48"/>
        <v>36</v>
      </c>
      <c r="W50" s="27">
        <f>SUMIFS($I:$I,$B:$B,O50,$D:$D,$L$22)</f>
        <v>0</v>
      </c>
      <c r="X50" s="27">
        <f t="shared" si="50"/>
        <v>0</v>
      </c>
      <c r="Y50" s="223">
        <f>X51/(P51+Q51+R51+X51)</f>
        <v>0.29160063391442154</v>
      </c>
    </row>
    <row r="51" spans="1:27" x14ac:dyDescent="0.25">
      <c r="A51" t="s">
        <v>8893</v>
      </c>
      <c r="B51" s="58" t="s">
        <v>92</v>
      </c>
      <c r="C51" s="58"/>
      <c r="D51" s="58" t="s">
        <v>8895</v>
      </c>
      <c r="E51" s="58"/>
      <c r="F51" s="58"/>
      <c r="G51" s="58">
        <f t="shared" si="51"/>
        <v>13</v>
      </c>
      <c r="H51" s="72">
        <f>COUNTIFS(LIST2!$B:$B,CONTROLLER!B51,LIST2!$W:$W,CONTROLLER!D51,LIST2!$S:$S,"&gt;0")</f>
        <v>0</v>
      </c>
      <c r="I51">
        <f t="shared" ref="I51:I82" si="52">G51*H51</f>
        <v>0</v>
      </c>
      <c r="P51" s="58">
        <f>SUM(P39:P50)</f>
        <v>55</v>
      </c>
      <c r="Q51" s="58">
        <f t="shared" ref="Q51:X51" si="53">SUM(Q39:Q50)</f>
        <v>328</v>
      </c>
      <c r="R51" s="58">
        <f t="shared" si="53"/>
        <v>64</v>
      </c>
      <c r="S51" s="58">
        <f t="shared" si="53"/>
        <v>427</v>
      </c>
      <c r="T51" s="58">
        <f t="shared" si="53"/>
        <v>108</v>
      </c>
      <c r="U51" s="58">
        <f t="shared" si="53"/>
        <v>49</v>
      </c>
      <c r="V51" s="58">
        <f t="shared" si="53"/>
        <v>121</v>
      </c>
      <c r="W51" s="58">
        <f t="shared" si="53"/>
        <v>210</v>
      </c>
      <c r="X51" s="58">
        <f t="shared" si="53"/>
        <v>184</v>
      </c>
    </row>
    <row r="52" spans="1:27" x14ac:dyDescent="0.25">
      <c r="A52" t="s">
        <v>8893</v>
      </c>
      <c r="B52" s="58" t="s">
        <v>92</v>
      </c>
      <c r="C52" s="58"/>
      <c r="D52" s="58" t="s">
        <v>2708</v>
      </c>
      <c r="E52" s="58"/>
      <c r="F52" s="58"/>
      <c r="G52" s="58">
        <f t="shared" si="51"/>
        <v>10</v>
      </c>
      <c r="H52" s="72">
        <f>COUNTIFS(LIST2!$B:$B,CONTROLLER!B52,LIST2!$W:$W,CONTROLLER!D52,LIST2!$S:$S,"&gt;0")</f>
        <v>0</v>
      </c>
      <c r="I52">
        <f t="shared" si="52"/>
        <v>0</v>
      </c>
    </row>
    <row r="53" spans="1:27" x14ac:dyDescent="0.25">
      <c r="A53" t="s">
        <v>8893</v>
      </c>
      <c r="B53" s="58" t="s">
        <v>92</v>
      </c>
      <c r="C53" s="58"/>
      <c r="D53" s="58" t="s">
        <v>8897</v>
      </c>
      <c r="E53" s="58"/>
      <c r="F53" s="58"/>
      <c r="G53" s="58">
        <f t="shared" si="51"/>
        <v>13</v>
      </c>
      <c r="H53" s="72">
        <f>COUNTIFS(LIST2!$B:$B,CONTROLLER!B53,LIST2!$W:$W,CONTROLLER!D53,LIST2!$S:$S,"&gt;0")</f>
        <v>0</v>
      </c>
      <c r="I53">
        <f t="shared" si="52"/>
        <v>0</v>
      </c>
      <c r="AA53" t="s">
        <v>47</v>
      </c>
    </row>
    <row r="54" spans="1:27" x14ac:dyDescent="0.25">
      <c r="A54" t="s">
        <v>8893</v>
      </c>
      <c r="B54" s="58" t="s">
        <v>93</v>
      </c>
      <c r="C54" s="58"/>
      <c r="D54" s="58" t="s">
        <v>2715</v>
      </c>
      <c r="E54" s="58"/>
      <c r="F54" s="58"/>
      <c r="G54" s="58">
        <f t="shared" si="51"/>
        <v>12</v>
      </c>
      <c r="H54" s="72">
        <f>COUNTIFS(LIST2!$B:$B,CONTROLLER!B54,LIST2!$W:$W,CONTROLLER!D54,LIST2!$S:$S,"&gt;0")</f>
        <v>0</v>
      </c>
      <c r="I54">
        <f t="shared" si="52"/>
        <v>0</v>
      </c>
    </row>
    <row r="55" spans="1:27" x14ac:dyDescent="0.25">
      <c r="A55" t="s">
        <v>8893</v>
      </c>
      <c r="B55" s="58" t="s">
        <v>93</v>
      </c>
      <c r="C55" s="58"/>
      <c r="D55" s="58" t="s">
        <v>2710</v>
      </c>
      <c r="E55" s="58"/>
      <c r="F55" s="58"/>
      <c r="G55" s="58">
        <f t="shared" si="51"/>
        <v>10</v>
      </c>
      <c r="H55" s="72">
        <f>COUNTIFS(LIST2!$B:$B,CONTROLLER!B55,LIST2!$W:$W,CONTROLLER!D55,LIST2!$S:$S,"&gt;0")</f>
        <v>0</v>
      </c>
      <c r="I55">
        <f t="shared" si="52"/>
        <v>0</v>
      </c>
    </row>
    <row r="56" spans="1:27" x14ac:dyDescent="0.25">
      <c r="A56" t="s">
        <v>8893</v>
      </c>
      <c r="B56" s="58" t="s">
        <v>93</v>
      </c>
      <c r="C56" s="58"/>
      <c r="D56" s="58" t="s">
        <v>2717</v>
      </c>
      <c r="E56" s="58"/>
      <c r="F56" s="58"/>
      <c r="G56" s="58">
        <f t="shared" si="51"/>
        <v>6</v>
      </c>
      <c r="H56" s="72">
        <f>COUNTIFS(LIST2!$B:$B,CONTROLLER!B56,LIST2!$W:$W,CONTROLLER!D56,LIST2!$S:$S,"&gt;0")</f>
        <v>0</v>
      </c>
      <c r="I56">
        <f t="shared" si="52"/>
        <v>0</v>
      </c>
    </row>
    <row r="57" spans="1:27" x14ac:dyDescent="0.25">
      <c r="A57" t="s">
        <v>8893</v>
      </c>
      <c r="B57" s="58" t="s">
        <v>93</v>
      </c>
      <c r="C57" s="58"/>
      <c r="D57" s="58" t="s">
        <v>2706</v>
      </c>
      <c r="E57" s="58"/>
      <c r="F57" s="58"/>
      <c r="G57" s="58">
        <f t="shared" si="51"/>
        <v>7</v>
      </c>
      <c r="H57" s="72">
        <f>COUNTIFS(LIST2!$B:$B,CONTROLLER!B57,LIST2!$W:$W,CONTROLLER!D57,LIST2!$S:$S,"&gt;0")</f>
        <v>0</v>
      </c>
      <c r="I57">
        <f t="shared" si="52"/>
        <v>0</v>
      </c>
    </row>
    <row r="58" spans="1:27" x14ac:dyDescent="0.25">
      <c r="A58" t="s">
        <v>8893</v>
      </c>
      <c r="B58" s="58" t="s">
        <v>93</v>
      </c>
      <c r="C58" s="58"/>
      <c r="D58" s="58" t="s">
        <v>2712</v>
      </c>
      <c r="E58" s="58"/>
      <c r="F58" s="58"/>
      <c r="G58" s="58">
        <f t="shared" si="51"/>
        <v>7</v>
      </c>
      <c r="H58" s="72">
        <f>COUNTIFS(LIST2!$B:$B,CONTROLLER!B58,LIST2!$W:$W,CONTROLLER!D58,LIST2!$S:$S,"&gt;0")</f>
        <v>0</v>
      </c>
      <c r="I58">
        <f t="shared" si="52"/>
        <v>0</v>
      </c>
    </row>
    <row r="59" spans="1:27" x14ac:dyDescent="0.25">
      <c r="A59" t="s">
        <v>8893</v>
      </c>
      <c r="B59" s="58" t="s">
        <v>93</v>
      </c>
      <c r="C59" s="58"/>
      <c r="D59" s="58" t="s">
        <v>2711</v>
      </c>
      <c r="E59" s="58"/>
      <c r="F59" s="58"/>
      <c r="G59" s="58">
        <f t="shared" si="51"/>
        <v>14</v>
      </c>
      <c r="H59" s="72">
        <f>COUNTIFS(LIST2!$B:$B,CONTROLLER!B59,LIST2!$W:$W,CONTROLLER!D59,LIST2!$S:$S,"&gt;0")</f>
        <v>0</v>
      </c>
      <c r="I59">
        <f t="shared" si="52"/>
        <v>0</v>
      </c>
    </row>
    <row r="60" spans="1:27" x14ac:dyDescent="0.25">
      <c r="A60" t="s">
        <v>8893</v>
      </c>
      <c r="B60" s="58" t="s">
        <v>93</v>
      </c>
      <c r="C60" s="58"/>
      <c r="D60" s="58" t="s">
        <v>2713</v>
      </c>
      <c r="E60" s="58"/>
      <c r="F60" s="58"/>
      <c r="G60" s="58">
        <f t="shared" si="51"/>
        <v>32</v>
      </c>
      <c r="H60" s="72">
        <f>COUNTIFS(LIST2!$B:$B,CONTROLLER!B60,LIST2!$W:$W,CONTROLLER!D60,LIST2!$S:$S,"&gt;0")</f>
        <v>0</v>
      </c>
      <c r="I60">
        <f t="shared" si="52"/>
        <v>0</v>
      </c>
    </row>
    <row r="61" spans="1:27" x14ac:dyDescent="0.25">
      <c r="A61" t="s">
        <v>8893</v>
      </c>
      <c r="B61" s="58" t="s">
        <v>93</v>
      </c>
      <c r="C61" s="58"/>
      <c r="D61" s="58" t="s">
        <v>2718</v>
      </c>
      <c r="E61" s="58"/>
      <c r="F61" s="58"/>
      <c r="G61" s="58">
        <f t="shared" si="51"/>
        <v>14</v>
      </c>
      <c r="H61" s="72">
        <f>COUNTIFS(LIST2!$B:$B,CONTROLLER!B61,LIST2!$W:$W,CONTROLLER!D61,LIST2!$S:$S,"&gt;0")</f>
        <v>0</v>
      </c>
      <c r="I61">
        <f t="shared" si="52"/>
        <v>0</v>
      </c>
    </row>
    <row r="62" spans="1:27" x14ac:dyDescent="0.25">
      <c r="A62" t="s">
        <v>8893</v>
      </c>
      <c r="B62" s="58" t="s">
        <v>93</v>
      </c>
      <c r="C62" s="58"/>
      <c r="D62" s="58" t="s">
        <v>236</v>
      </c>
      <c r="E62" s="58"/>
      <c r="F62" s="58"/>
      <c r="G62" s="58">
        <f t="shared" si="51"/>
        <v>8</v>
      </c>
      <c r="H62" s="72">
        <f>COUNTIFS(LIST2!$B:$B,CONTROLLER!B62,LIST2!$W:$W,CONTROLLER!D62,LIST2!$S:$S,"&gt;0")</f>
        <v>0</v>
      </c>
      <c r="I62">
        <f t="shared" si="52"/>
        <v>0</v>
      </c>
    </row>
    <row r="63" spans="1:27" x14ac:dyDescent="0.25">
      <c r="A63" t="s">
        <v>8893</v>
      </c>
      <c r="B63" s="58" t="s">
        <v>93</v>
      </c>
      <c r="C63" s="58"/>
      <c r="D63" s="58" t="s">
        <v>2707</v>
      </c>
      <c r="E63" s="58"/>
      <c r="F63" s="58"/>
      <c r="G63" s="58">
        <f t="shared" si="51"/>
        <v>14</v>
      </c>
      <c r="H63" s="72">
        <f>COUNTIFS(LIST2!$B:$B,CONTROLLER!B63,LIST2!$W:$W,CONTROLLER!D63,LIST2!$S:$S,"&gt;0")</f>
        <v>0</v>
      </c>
      <c r="I63">
        <f t="shared" si="52"/>
        <v>0</v>
      </c>
    </row>
    <row r="64" spans="1:27" x14ac:dyDescent="0.25">
      <c r="A64" t="s">
        <v>8893</v>
      </c>
      <c r="B64" s="58" t="s">
        <v>93</v>
      </c>
      <c r="C64" s="58"/>
      <c r="D64" s="58" t="s">
        <v>2716</v>
      </c>
      <c r="E64" s="58"/>
      <c r="F64" s="58"/>
      <c r="G64" s="58">
        <f t="shared" si="51"/>
        <v>6</v>
      </c>
      <c r="H64" s="72">
        <f>COUNTIFS(LIST2!$B:$B,CONTROLLER!B64,LIST2!$W:$W,CONTROLLER!D64,LIST2!$S:$S,"&gt;0")</f>
        <v>0</v>
      </c>
      <c r="I64">
        <f t="shared" si="52"/>
        <v>0</v>
      </c>
    </row>
    <row r="65" spans="1:9" x14ac:dyDescent="0.25">
      <c r="A65" t="s">
        <v>8893</v>
      </c>
      <c r="B65" s="58" t="s">
        <v>93</v>
      </c>
      <c r="C65" s="58"/>
      <c r="D65" s="58" t="s">
        <v>2705</v>
      </c>
      <c r="E65" s="58"/>
      <c r="F65" s="58"/>
      <c r="G65" s="58">
        <f t="shared" si="51"/>
        <v>10</v>
      </c>
      <c r="H65" s="72">
        <f>COUNTIFS(LIST2!$B:$B,CONTROLLER!B65,LIST2!$W:$W,CONTROLLER!D65,LIST2!$S:$S,"&gt;0")</f>
        <v>0</v>
      </c>
      <c r="I65">
        <f t="shared" si="52"/>
        <v>0</v>
      </c>
    </row>
    <row r="66" spans="1:9" x14ac:dyDescent="0.25">
      <c r="A66" t="s">
        <v>8893</v>
      </c>
      <c r="B66" s="58" t="s">
        <v>93</v>
      </c>
      <c r="C66" s="58"/>
      <c r="D66" s="58" t="s">
        <v>2719</v>
      </c>
      <c r="E66" s="58"/>
      <c r="F66" s="58"/>
      <c r="G66" s="58">
        <f t="shared" si="51"/>
        <v>20</v>
      </c>
      <c r="H66" s="72">
        <f>COUNTIFS(LIST2!$B:$B,CONTROLLER!B66,LIST2!$W:$W,CONTROLLER!D66,LIST2!$S:$S,"&gt;0")</f>
        <v>0</v>
      </c>
      <c r="I66">
        <f t="shared" si="52"/>
        <v>0</v>
      </c>
    </row>
    <row r="67" spans="1:9" x14ac:dyDescent="0.25">
      <c r="A67" t="s">
        <v>8893</v>
      </c>
      <c r="B67" s="58" t="s">
        <v>93</v>
      </c>
      <c r="C67" s="58"/>
      <c r="D67" s="58" t="s">
        <v>8895</v>
      </c>
      <c r="E67" s="58"/>
      <c r="F67" s="58"/>
      <c r="G67" s="58">
        <f t="shared" si="51"/>
        <v>13</v>
      </c>
      <c r="H67" s="72">
        <f>COUNTIFS(LIST2!$B:$B,CONTROLLER!B67,LIST2!$W:$W,CONTROLLER!D67,LIST2!$S:$S,"&gt;0")</f>
        <v>0</v>
      </c>
      <c r="I67">
        <f t="shared" si="52"/>
        <v>0</v>
      </c>
    </row>
    <row r="68" spans="1:9" x14ac:dyDescent="0.25">
      <c r="A68" t="s">
        <v>8893</v>
      </c>
      <c r="B68" s="58" t="s">
        <v>93</v>
      </c>
      <c r="C68" s="58"/>
      <c r="D68" s="58" t="s">
        <v>2708</v>
      </c>
      <c r="E68" s="58"/>
      <c r="F68" s="58"/>
      <c r="G68" s="58">
        <f t="shared" si="51"/>
        <v>10</v>
      </c>
      <c r="H68" s="72">
        <f>COUNTIFS(LIST2!$B:$B,CONTROLLER!B68,LIST2!$W:$W,CONTROLLER!D68,LIST2!$S:$S,"&gt;0")</f>
        <v>0</v>
      </c>
      <c r="I68">
        <f t="shared" si="52"/>
        <v>0</v>
      </c>
    </row>
    <row r="69" spans="1:9" x14ac:dyDescent="0.25">
      <c r="A69" t="s">
        <v>8893</v>
      </c>
      <c r="B69" s="58" t="s">
        <v>93</v>
      </c>
      <c r="C69" s="58"/>
      <c r="D69" s="58" t="s">
        <v>8897</v>
      </c>
      <c r="E69" s="58"/>
      <c r="F69" s="58"/>
      <c r="G69" s="58">
        <f t="shared" si="51"/>
        <v>13</v>
      </c>
      <c r="H69" s="72">
        <f>COUNTIFS(LIST2!$B:$B,CONTROLLER!B69,LIST2!$W:$W,CONTROLLER!D69,LIST2!$S:$S,"&gt;0")</f>
        <v>0</v>
      </c>
      <c r="I69">
        <f t="shared" si="52"/>
        <v>0</v>
      </c>
    </row>
    <row r="70" spans="1:9" x14ac:dyDescent="0.25">
      <c r="A70" t="s">
        <v>8893</v>
      </c>
      <c r="B70" s="58" t="s">
        <v>94</v>
      </c>
      <c r="C70" s="58"/>
      <c r="D70" s="58" t="s">
        <v>2715</v>
      </c>
      <c r="E70" s="58"/>
      <c r="F70" s="58"/>
      <c r="G70" s="58">
        <f t="shared" si="51"/>
        <v>12</v>
      </c>
      <c r="H70" s="72">
        <f>COUNTIFS(LIST2!$B:$B,CONTROLLER!B70,LIST2!$W:$W,CONTROLLER!D70,LIST2!$S:$S,"&gt;0")</f>
        <v>0</v>
      </c>
      <c r="I70">
        <f t="shared" si="52"/>
        <v>0</v>
      </c>
    </row>
    <row r="71" spans="1:9" x14ac:dyDescent="0.25">
      <c r="A71" t="s">
        <v>8893</v>
      </c>
      <c r="B71" s="58" t="s">
        <v>94</v>
      </c>
      <c r="C71" s="58"/>
      <c r="D71" s="58" t="s">
        <v>2710</v>
      </c>
      <c r="E71" s="58"/>
      <c r="F71" s="58"/>
      <c r="G71" s="58">
        <f t="shared" si="51"/>
        <v>10</v>
      </c>
      <c r="H71" s="72">
        <f>COUNTIFS(LIST2!$B:$B,CONTROLLER!B71,LIST2!$W:$W,CONTROLLER!D71,LIST2!$S:$S,"&gt;0")</f>
        <v>0</v>
      </c>
      <c r="I71">
        <f t="shared" si="52"/>
        <v>0</v>
      </c>
    </row>
    <row r="72" spans="1:9" x14ac:dyDescent="0.25">
      <c r="A72" t="s">
        <v>8893</v>
      </c>
      <c r="B72" s="58" t="s">
        <v>94</v>
      </c>
      <c r="C72" s="58"/>
      <c r="D72" s="58" t="s">
        <v>2717</v>
      </c>
      <c r="E72" s="58"/>
      <c r="F72" s="58"/>
      <c r="G72" s="58">
        <f t="shared" si="51"/>
        <v>6</v>
      </c>
      <c r="H72" s="72">
        <f>COUNTIFS(LIST2!$B:$B,CONTROLLER!B72,LIST2!$W:$W,CONTROLLER!D72,LIST2!$S:$S,"&gt;0")</f>
        <v>0</v>
      </c>
      <c r="I72">
        <f t="shared" si="52"/>
        <v>0</v>
      </c>
    </row>
    <row r="73" spans="1:9" x14ac:dyDescent="0.25">
      <c r="A73" t="s">
        <v>8893</v>
      </c>
      <c r="B73" s="58" t="s">
        <v>94</v>
      </c>
      <c r="C73" s="58"/>
      <c r="D73" s="58" t="s">
        <v>2706</v>
      </c>
      <c r="E73" s="58"/>
      <c r="F73" s="58"/>
      <c r="G73" s="58">
        <f t="shared" si="51"/>
        <v>7</v>
      </c>
      <c r="H73" s="72">
        <f>COUNTIFS(LIST2!$B:$B,CONTROLLER!B73,LIST2!$W:$W,CONTROLLER!D73,LIST2!$S:$S,"&gt;0")</f>
        <v>0</v>
      </c>
      <c r="I73">
        <f t="shared" si="52"/>
        <v>0</v>
      </c>
    </row>
    <row r="74" spans="1:9" x14ac:dyDescent="0.25">
      <c r="A74" t="s">
        <v>8893</v>
      </c>
      <c r="B74" s="58" t="s">
        <v>94</v>
      </c>
      <c r="C74" s="58"/>
      <c r="D74" s="58" t="s">
        <v>2712</v>
      </c>
      <c r="E74" s="58"/>
      <c r="F74" s="58"/>
      <c r="G74" s="58">
        <f t="shared" si="51"/>
        <v>7</v>
      </c>
      <c r="H74" s="72">
        <f>COUNTIFS(LIST2!$B:$B,CONTROLLER!B74,LIST2!$W:$W,CONTROLLER!D74,LIST2!$S:$S,"&gt;0")</f>
        <v>0</v>
      </c>
      <c r="I74">
        <f t="shared" si="52"/>
        <v>0</v>
      </c>
    </row>
    <row r="75" spans="1:9" x14ac:dyDescent="0.25">
      <c r="A75" t="s">
        <v>8893</v>
      </c>
      <c r="B75" s="58" t="s">
        <v>94</v>
      </c>
      <c r="C75" s="58"/>
      <c r="D75" s="58" t="s">
        <v>2711</v>
      </c>
      <c r="E75" s="58"/>
      <c r="F75" s="58"/>
      <c r="G75" s="58">
        <f t="shared" si="51"/>
        <v>14</v>
      </c>
      <c r="H75" s="72">
        <f>COUNTIFS(LIST2!$B:$B,CONTROLLER!B75,LIST2!$W:$W,CONTROLLER!D75,LIST2!$S:$S,"&gt;0")</f>
        <v>0</v>
      </c>
      <c r="I75">
        <f t="shared" si="52"/>
        <v>0</v>
      </c>
    </row>
    <row r="76" spans="1:9" x14ac:dyDescent="0.25">
      <c r="A76" t="s">
        <v>8893</v>
      </c>
      <c r="B76" s="58" t="s">
        <v>94</v>
      </c>
      <c r="C76" s="58"/>
      <c r="D76" s="58" t="s">
        <v>2713</v>
      </c>
      <c r="E76" s="58"/>
      <c r="F76" s="58"/>
      <c r="G76" s="58">
        <f t="shared" si="51"/>
        <v>32</v>
      </c>
      <c r="H76" s="72">
        <f>COUNTIFS(LIST2!$B:$B,CONTROLLER!B76,LIST2!$W:$W,CONTROLLER!D76,LIST2!$S:$S,"&gt;0")</f>
        <v>0</v>
      </c>
      <c r="I76">
        <f t="shared" si="52"/>
        <v>0</v>
      </c>
    </row>
    <row r="77" spans="1:9" x14ac:dyDescent="0.25">
      <c r="A77" t="s">
        <v>8893</v>
      </c>
      <c r="B77" s="58" t="s">
        <v>94</v>
      </c>
      <c r="C77" s="58"/>
      <c r="D77" s="58" t="s">
        <v>2718</v>
      </c>
      <c r="E77" s="58"/>
      <c r="F77" s="58"/>
      <c r="G77" s="58">
        <f t="shared" si="51"/>
        <v>14</v>
      </c>
      <c r="H77" s="72">
        <f>COUNTIFS(LIST2!$B:$B,CONTROLLER!B77,LIST2!$W:$W,CONTROLLER!D77,LIST2!$S:$S,"&gt;0")</f>
        <v>0</v>
      </c>
      <c r="I77">
        <f t="shared" si="52"/>
        <v>0</v>
      </c>
    </row>
    <row r="78" spans="1:9" x14ac:dyDescent="0.25">
      <c r="A78" t="s">
        <v>8893</v>
      </c>
      <c r="B78" s="58" t="s">
        <v>94</v>
      </c>
      <c r="C78" s="58"/>
      <c r="D78" s="58" t="s">
        <v>236</v>
      </c>
      <c r="E78" s="58"/>
      <c r="F78" s="58"/>
      <c r="G78" s="58">
        <f t="shared" si="51"/>
        <v>8</v>
      </c>
      <c r="H78" s="72">
        <f>COUNTIFS(LIST2!$B:$B,CONTROLLER!B78,LIST2!$W:$W,CONTROLLER!D78,LIST2!$S:$S,"&gt;0")</f>
        <v>0</v>
      </c>
      <c r="I78">
        <f t="shared" si="52"/>
        <v>0</v>
      </c>
    </row>
    <row r="79" spans="1:9" x14ac:dyDescent="0.25">
      <c r="A79" t="s">
        <v>8893</v>
      </c>
      <c r="B79" s="58" t="s">
        <v>94</v>
      </c>
      <c r="C79" s="58"/>
      <c r="D79" s="58" t="s">
        <v>2707</v>
      </c>
      <c r="E79" s="58"/>
      <c r="F79" s="58"/>
      <c r="G79" s="58">
        <f t="shared" si="51"/>
        <v>14</v>
      </c>
      <c r="H79" s="72">
        <f>COUNTIFS(LIST2!$B:$B,CONTROLLER!B79,LIST2!$W:$W,CONTROLLER!D79,LIST2!$S:$S,"&gt;0")</f>
        <v>0</v>
      </c>
      <c r="I79">
        <f t="shared" si="52"/>
        <v>0</v>
      </c>
    </row>
    <row r="80" spans="1:9" x14ac:dyDescent="0.25">
      <c r="A80" t="s">
        <v>8893</v>
      </c>
      <c r="B80" s="58" t="s">
        <v>94</v>
      </c>
      <c r="C80" s="58"/>
      <c r="D80" s="58" t="s">
        <v>2716</v>
      </c>
      <c r="E80" s="58"/>
      <c r="F80" s="58"/>
      <c r="G80" s="58">
        <f t="shared" si="51"/>
        <v>6</v>
      </c>
      <c r="H80" s="72">
        <f>COUNTIFS(LIST2!$B:$B,CONTROLLER!B80,LIST2!$W:$W,CONTROLLER!D80,LIST2!$S:$S,"&gt;0")</f>
        <v>0</v>
      </c>
      <c r="I80">
        <f t="shared" si="52"/>
        <v>0</v>
      </c>
    </row>
    <row r="81" spans="1:9" x14ac:dyDescent="0.25">
      <c r="A81" t="s">
        <v>8893</v>
      </c>
      <c r="B81" s="58" t="s">
        <v>94</v>
      </c>
      <c r="C81" s="58"/>
      <c r="D81" s="58" t="s">
        <v>2705</v>
      </c>
      <c r="E81" s="58"/>
      <c r="F81" s="58"/>
      <c r="G81" s="58">
        <f t="shared" ref="G81:G112" si="54">SUMIF($L:$L,D81,$M:$M)</f>
        <v>10</v>
      </c>
      <c r="H81" s="72">
        <f>COUNTIFS(LIST2!$B:$B,CONTROLLER!B81,LIST2!$W:$W,CONTROLLER!D81,LIST2!$S:$S,"&gt;0")</f>
        <v>0</v>
      </c>
      <c r="I81">
        <f t="shared" si="52"/>
        <v>0</v>
      </c>
    </row>
    <row r="82" spans="1:9" x14ac:dyDescent="0.25">
      <c r="A82" t="s">
        <v>8893</v>
      </c>
      <c r="B82" s="58" t="s">
        <v>94</v>
      </c>
      <c r="C82" s="58"/>
      <c r="D82" s="58" t="s">
        <v>2719</v>
      </c>
      <c r="E82" s="58"/>
      <c r="F82" s="58"/>
      <c r="G82" s="58">
        <f t="shared" si="54"/>
        <v>20</v>
      </c>
      <c r="H82" s="72">
        <f>COUNTIFS(LIST2!$B:$B,CONTROLLER!B82,LIST2!$W:$W,CONTROLLER!D82,LIST2!$S:$S,"&gt;0")</f>
        <v>0</v>
      </c>
      <c r="I82">
        <f t="shared" si="52"/>
        <v>0</v>
      </c>
    </row>
    <row r="83" spans="1:9" x14ac:dyDescent="0.25">
      <c r="A83" t="s">
        <v>8893</v>
      </c>
      <c r="B83" s="58" t="s">
        <v>94</v>
      </c>
      <c r="C83" s="58"/>
      <c r="D83" s="58" t="s">
        <v>8895</v>
      </c>
      <c r="E83" s="58"/>
      <c r="F83" s="58"/>
      <c r="G83" s="58">
        <f t="shared" si="54"/>
        <v>13</v>
      </c>
      <c r="H83" s="72">
        <f>COUNTIFS(LIST2!$B:$B,CONTROLLER!B83,LIST2!$W:$W,CONTROLLER!D83,LIST2!$S:$S,"&gt;0")</f>
        <v>0</v>
      </c>
      <c r="I83">
        <f t="shared" ref="I83:I112" si="55">G83*H83</f>
        <v>0</v>
      </c>
    </row>
    <row r="84" spans="1:9" x14ac:dyDescent="0.25">
      <c r="A84" t="s">
        <v>8893</v>
      </c>
      <c r="B84" s="58" t="s">
        <v>94</v>
      </c>
      <c r="C84" s="58"/>
      <c r="D84" s="58" t="s">
        <v>2708</v>
      </c>
      <c r="E84" s="58"/>
      <c r="F84" s="58"/>
      <c r="G84" s="58">
        <f t="shared" si="54"/>
        <v>10</v>
      </c>
      <c r="H84" s="72">
        <f>COUNTIFS(LIST2!$B:$B,CONTROLLER!B84,LIST2!$W:$W,CONTROLLER!D84,LIST2!$S:$S,"&gt;0")</f>
        <v>0</v>
      </c>
      <c r="I84">
        <f t="shared" si="55"/>
        <v>0</v>
      </c>
    </row>
    <row r="85" spans="1:9" x14ac:dyDescent="0.25">
      <c r="A85" t="s">
        <v>8893</v>
      </c>
      <c r="B85" s="58" t="s">
        <v>94</v>
      </c>
      <c r="C85" s="58"/>
      <c r="D85" s="58" t="s">
        <v>8897</v>
      </c>
      <c r="E85" s="58"/>
      <c r="F85" s="58"/>
      <c r="G85" s="58">
        <f t="shared" si="54"/>
        <v>13</v>
      </c>
      <c r="H85" s="72">
        <f>COUNTIFS(LIST2!$B:$B,CONTROLLER!B85,LIST2!$W:$W,CONTROLLER!D85,LIST2!$S:$S,"&gt;0")</f>
        <v>0</v>
      </c>
      <c r="I85">
        <f t="shared" si="55"/>
        <v>0</v>
      </c>
    </row>
    <row r="86" spans="1:9" x14ac:dyDescent="0.25">
      <c r="A86" t="s">
        <v>8893</v>
      </c>
      <c r="B86" s="58" t="s">
        <v>95</v>
      </c>
      <c r="C86" s="58"/>
      <c r="D86" s="58" t="s">
        <v>2715</v>
      </c>
      <c r="E86" s="58"/>
      <c r="F86" s="58"/>
      <c r="G86" s="58">
        <f t="shared" si="54"/>
        <v>12</v>
      </c>
      <c r="H86" s="72">
        <f>COUNTIFS(LIST2!$B:$B,CONTROLLER!B86,LIST2!$W:$W,CONTROLLER!D86,LIST2!$S:$S,"&gt;0")</f>
        <v>0</v>
      </c>
      <c r="I86">
        <f t="shared" si="55"/>
        <v>0</v>
      </c>
    </row>
    <row r="87" spans="1:9" x14ac:dyDescent="0.25">
      <c r="A87" t="s">
        <v>8893</v>
      </c>
      <c r="B87" s="58" t="s">
        <v>95</v>
      </c>
      <c r="C87" s="58"/>
      <c r="D87" s="58" t="s">
        <v>2710</v>
      </c>
      <c r="E87" s="58"/>
      <c r="F87" s="58"/>
      <c r="G87" s="58">
        <f t="shared" si="54"/>
        <v>10</v>
      </c>
      <c r="H87" s="72">
        <f>COUNTIFS(LIST2!$B:$B,CONTROLLER!B87,LIST2!$W:$W,CONTROLLER!D87,LIST2!$S:$S,"&gt;0")</f>
        <v>0</v>
      </c>
      <c r="I87">
        <f t="shared" si="55"/>
        <v>0</v>
      </c>
    </row>
    <row r="88" spans="1:9" x14ac:dyDescent="0.25">
      <c r="A88" t="s">
        <v>8893</v>
      </c>
      <c r="B88" s="58" t="s">
        <v>95</v>
      </c>
      <c r="C88" s="58"/>
      <c r="D88" s="58" t="s">
        <v>2717</v>
      </c>
      <c r="E88" s="58"/>
      <c r="F88" s="58"/>
      <c r="G88" s="58">
        <f t="shared" si="54"/>
        <v>6</v>
      </c>
      <c r="H88" s="72">
        <f>COUNTIFS(LIST2!$B:$B,CONTROLLER!B88,LIST2!$W:$W,CONTROLLER!D88,LIST2!$S:$S,"&gt;0")</f>
        <v>0</v>
      </c>
      <c r="I88">
        <f t="shared" si="55"/>
        <v>0</v>
      </c>
    </row>
    <row r="89" spans="1:9" x14ac:dyDescent="0.25">
      <c r="A89" t="s">
        <v>8893</v>
      </c>
      <c r="B89" s="58" t="s">
        <v>95</v>
      </c>
      <c r="C89" s="58"/>
      <c r="D89" s="58" t="s">
        <v>2706</v>
      </c>
      <c r="E89" s="58"/>
      <c r="F89" s="58"/>
      <c r="G89" s="58">
        <f t="shared" si="54"/>
        <v>7</v>
      </c>
      <c r="H89" s="72">
        <f>COUNTIFS(LIST2!$B:$B,CONTROLLER!B89,LIST2!$W:$W,CONTROLLER!D89,LIST2!$S:$S,"&gt;0")</f>
        <v>2</v>
      </c>
      <c r="I89">
        <f t="shared" si="55"/>
        <v>14</v>
      </c>
    </row>
    <row r="90" spans="1:9" x14ac:dyDescent="0.25">
      <c r="A90" t="s">
        <v>8893</v>
      </c>
      <c r="B90" s="58" t="s">
        <v>95</v>
      </c>
      <c r="C90" s="58"/>
      <c r="D90" s="58" t="s">
        <v>2712</v>
      </c>
      <c r="E90" s="58"/>
      <c r="F90" s="58"/>
      <c r="G90" s="58">
        <f t="shared" si="54"/>
        <v>7</v>
      </c>
      <c r="H90" s="72">
        <f>COUNTIFS(LIST2!$B:$B,CONTROLLER!B90,LIST2!$W:$W,CONTROLLER!D90,LIST2!$S:$S,"&gt;0")</f>
        <v>2</v>
      </c>
      <c r="I90">
        <f t="shared" si="55"/>
        <v>14</v>
      </c>
    </row>
    <row r="91" spans="1:9" x14ac:dyDescent="0.25">
      <c r="A91" t="s">
        <v>8893</v>
      </c>
      <c r="B91" s="58" t="s">
        <v>95</v>
      </c>
      <c r="C91" s="58"/>
      <c r="D91" s="58" t="s">
        <v>2711</v>
      </c>
      <c r="E91" s="58"/>
      <c r="F91" s="58"/>
      <c r="G91" s="58">
        <f t="shared" si="54"/>
        <v>14</v>
      </c>
      <c r="H91" s="72">
        <f>COUNTIFS(LIST2!$B:$B,CONTROLLER!B91,LIST2!$W:$W,CONTROLLER!D91,LIST2!$S:$S,"&gt;0")</f>
        <v>3</v>
      </c>
      <c r="I91">
        <f t="shared" si="55"/>
        <v>42</v>
      </c>
    </row>
    <row r="92" spans="1:9" x14ac:dyDescent="0.25">
      <c r="A92" t="s">
        <v>8893</v>
      </c>
      <c r="B92" s="58" t="s">
        <v>95</v>
      </c>
      <c r="C92" s="58"/>
      <c r="D92" s="58" t="s">
        <v>2713</v>
      </c>
      <c r="E92" s="58"/>
      <c r="F92" s="58"/>
      <c r="G92" s="58">
        <f t="shared" si="54"/>
        <v>32</v>
      </c>
      <c r="H92" s="72">
        <f>COUNTIFS(LIST2!$B:$B,CONTROLLER!B92,LIST2!$W:$W,CONTROLLER!D92,LIST2!$S:$S,"&gt;0")</f>
        <v>0</v>
      </c>
      <c r="I92">
        <f t="shared" si="55"/>
        <v>0</v>
      </c>
    </row>
    <row r="93" spans="1:9" x14ac:dyDescent="0.25">
      <c r="A93" t="s">
        <v>8893</v>
      </c>
      <c r="B93" s="58" t="s">
        <v>95</v>
      </c>
      <c r="C93" s="58"/>
      <c r="D93" s="58" t="s">
        <v>2718</v>
      </c>
      <c r="E93" s="58"/>
      <c r="F93" s="58"/>
      <c r="G93" s="58">
        <f t="shared" si="54"/>
        <v>14</v>
      </c>
      <c r="H93" s="72">
        <f>COUNTIFS(LIST2!$B:$B,CONTROLLER!B93,LIST2!$W:$W,CONTROLLER!D93,LIST2!$S:$S,"&gt;0")</f>
        <v>0</v>
      </c>
      <c r="I93">
        <f t="shared" si="55"/>
        <v>0</v>
      </c>
    </row>
    <row r="94" spans="1:9" x14ac:dyDescent="0.25">
      <c r="A94" t="s">
        <v>8893</v>
      </c>
      <c r="B94" s="58" t="s">
        <v>95</v>
      </c>
      <c r="C94" s="58"/>
      <c r="D94" s="58" t="s">
        <v>236</v>
      </c>
      <c r="E94" s="58"/>
      <c r="F94" s="58"/>
      <c r="G94" s="58">
        <f t="shared" si="54"/>
        <v>8</v>
      </c>
      <c r="H94" s="72">
        <f>COUNTIFS(LIST2!$B:$B,CONTROLLER!B94,LIST2!$W:$W,CONTROLLER!D94,LIST2!$S:$S,"&gt;0")</f>
        <v>1</v>
      </c>
      <c r="I94">
        <f t="shared" si="55"/>
        <v>8</v>
      </c>
    </row>
    <row r="95" spans="1:9" x14ac:dyDescent="0.25">
      <c r="A95" t="s">
        <v>8893</v>
      </c>
      <c r="B95" s="58" t="s">
        <v>95</v>
      </c>
      <c r="C95" s="58"/>
      <c r="D95" s="58" t="s">
        <v>2707</v>
      </c>
      <c r="E95" s="58"/>
      <c r="F95" s="58"/>
      <c r="G95" s="58">
        <f t="shared" si="54"/>
        <v>14</v>
      </c>
      <c r="H95" s="72">
        <f>COUNTIFS(LIST2!$B:$B,CONTROLLER!B95,LIST2!$W:$W,CONTROLLER!D95,LIST2!$S:$S,"&gt;0")</f>
        <v>4</v>
      </c>
      <c r="I95">
        <f t="shared" si="55"/>
        <v>56</v>
      </c>
    </row>
    <row r="96" spans="1:9" x14ac:dyDescent="0.25">
      <c r="A96" t="s">
        <v>8893</v>
      </c>
      <c r="B96" s="58" t="s">
        <v>95</v>
      </c>
      <c r="C96" s="58"/>
      <c r="D96" s="58" t="s">
        <v>2716</v>
      </c>
      <c r="E96" s="58"/>
      <c r="F96" s="58"/>
      <c r="G96" s="58">
        <f t="shared" si="54"/>
        <v>6</v>
      </c>
      <c r="H96" s="72">
        <f>COUNTIFS(LIST2!$B:$B,CONTROLLER!B96,LIST2!$W:$W,CONTROLLER!D96,LIST2!$S:$S,"&gt;0")</f>
        <v>1</v>
      </c>
      <c r="I96">
        <f t="shared" si="55"/>
        <v>6</v>
      </c>
    </row>
    <row r="97" spans="1:9" x14ac:dyDescent="0.25">
      <c r="A97" t="s">
        <v>8893</v>
      </c>
      <c r="B97" s="58" t="s">
        <v>95</v>
      </c>
      <c r="C97" s="58"/>
      <c r="D97" s="58" t="s">
        <v>2705</v>
      </c>
      <c r="E97" s="58"/>
      <c r="F97" s="58"/>
      <c r="G97" s="58">
        <f t="shared" si="54"/>
        <v>10</v>
      </c>
      <c r="H97" s="72">
        <f>COUNTIFS(LIST2!$B:$B,CONTROLLER!B97,LIST2!$W:$W,CONTROLLER!D97,LIST2!$S:$S,"&gt;0")</f>
        <v>0</v>
      </c>
      <c r="I97">
        <f t="shared" si="55"/>
        <v>0</v>
      </c>
    </row>
    <row r="98" spans="1:9" x14ac:dyDescent="0.25">
      <c r="A98" t="s">
        <v>8893</v>
      </c>
      <c r="B98" s="58" t="s">
        <v>95</v>
      </c>
      <c r="C98" s="58"/>
      <c r="D98" s="58" t="s">
        <v>2719</v>
      </c>
      <c r="E98" s="58"/>
      <c r="F98" s="58"/>
      <c r="G98" s="58">
        <f t="shared" si="54"/>
        <v>20</v>
      </c>
      <c r="H98" s="72">
        <f>COUNTIFS(LIST2!$B:$B,CONTROLLER!B98,LIST2!$W:$W,CONTROLLER!D98,LIST2!$S:$S,"&gt;0")</f>
        <v>0</v>
      </c>
      <c r="I98">
        <f t="shared" si="55"/>
        <v>0</v>
      </c>
    </row>
    <row r="99" spans="1:9" x14ac:dyDescent="0.25">
      <c r="A99" t="s">
        <v>8893</v>
      </c>
      <c r="B99" s="58" t="s">
        <v>95</v>
      </c>
      <c r="C99" s="58"/>
      <c r="D99" s="58" t="s">
        <v>8895</v>
      </c>
      <c r="E99" s="58"/>
      <c r="F99" s="58"/>
      <c r="G99" s="58">
        <f t="shared" si="54"/>
        <v>13</v>
      </c>
      <c r="H99" s="72">
        <f>COUNTIFS(LIST2!$B:$B,CONTROLLER!B99,LIST2!$W:$W,CONTROLLER!D99,LIST2!$S:$S,"&gt;0")</f>
        <v>1</v>
      </c>
      <c r="I99">
        <f t="shared" si="55"/>
        <v>13</v>
      </c>
    </row>
    <row r="100" spans="1:9" x14ac:dyDescent="0.25">
      <c r="A100" t="s">
        <v>8893</v>
      </c>
      <c r="B100" s="58" t="s">
        <v>95</v>
      </c>
      <c r="C100" s="58"/>
      <c r="D100" s="58" t="s">
        <v>2708</v>
      </c>
      <c r="E100" s="58"/>
      <c r="F100" s="58"/>
      <c r="G100" s="58">
        <f t="shared" si="54"/>
        <v>10</v>
      </c>
      <c r="H100" s="72">
        <f>COUNTIFS(LIST2!$B:$B,CONTROLLER!B100,LIST2!$W:$W,CONTROLLER!D100,LIST2!$S:$S,"&gt;0")</f>
        <v>0</v>
      </c>
      <c r="I100">
        <f t="shared" si="55"/>
        <v>0</v>
      </c>
    </row>
    <row r="101" spans="1:9" x14ac:dyDescent="0.25">
      <c r="A101" t="s">
        <v>8893</v>
      </c>
      <c r="B101" s="58" t="s">
        <v>95</v>
      </c>
      <c r="C101" s="58"/>
      <c r="D101" s="58" t="s">
        <v>8897</v>
      </c>
      <c r="E101" s="58"/>
      <c r="F101" s="58"/>
      <c r="G101" s="58">
        <f t="shared" si="54"/>
        <v>13</v>
      </c>
      <c r="H101" s="72">
        <f>COUNTIFS(LIST2!$B:$B,CONTROLLER!B101,LIST2!$W:$W,CONTROLLER!D101,LIST2!$S:$S,"&gt;0")</f>
        <v>1</v>
      </c>
      <c r="I101">
        <f t="shared" si="55"/>
        <v>13</v>
      </c>
    </row>
    <row r="102" spans="1:9" x14ac:dyDescent="0.25">
      <c r="A102" t="s">
        <v>8894</v>
      </c>
      <c r="B102" s="58" t="s">
        <v>96</v>
      </c>
      <c r="C102" s="58"/>
      <c r="D102" s="58" t="s">
        <v>2715</v>
      </c>
      <c r="E102" s="58"/>
      <c r="F102" s="58"/>
      <c r="G102" s="58">
        <f t="shared" si="54"/>
        <v>12</v>
      </c>
      <c r="H102" s="72">
        <f>COUNTIFS(LIST2!$B:$B,CONTROLLER!B102,LIST2!$W:$W,CONTROLLER!D102,LIST2!$S:$S,"&gt;0")</f>
        <v>0</v>
      </c>
      <c r="I102">
        <f t="shared" si="55"/>
        <v>0</v>
      </c>
    </row>
    <row r="103" spans="1:9" x14ac:dyDescent="0.25">
      <c r="A103" t="s">
        <v>8894</v>
      </c>
      <c r="B103" s="58" t="s">
        <v>96</v>
      </c>
      <c r="C103" s="58"/>
      <c r="D103" s="58" t="s">
        <v>2710</v>
      </c>
      <c r="E103" s="58"/>
      <c r="F103" s="58"/>
      <c r="G103" s="58">
        <f t="shared" si="54"/>
        <v>10</v>
      </c>
      <c r="H103" s="72">
        <f>COUNTIFS(LIST2!$B:$B,CONTROLLER!B103,LIST2!$W:$W,CONTROLLER!D103,LIST2!$S:$S,"&gt;0")</f>
        <v>0</v>
      </c>
      <c r="I103">
        <f t="shared" si="55"/>
        <v>0</v>
      </c>
    </row>
    <row r="104" spans="1:9" x14ac:dyDescent="0.25">
      <c r="A104" t="s">
        <v>8894</v>
      </c>
      <c r="B104" s="58" t="s">
        <v>96</v>
      </c>
      <c r="C104" s="58"/>
      <c r="D104" s="58" t="s">
        <v>2717</v>
      </c>
      <c r="E104" s="58"/>
      <c r="F104" s="58"/>
      <c r="G104" s="58">
        <f t="shared" si="54"/>
        <v>6</v>
      </c>
      <c r="H104" s="72">
        <f>COUNTIFS(LIST2!$B:$B,CONTROLLER!B104,LIST2!$W:$W,CONTROLLER!D104,LIST2!$S:$S,"&gt;0")</f>
        <v>0</v>
      </c>
      <c r="I104">
        <f t="shared" si="55"/>
        <v>0</v>
      </c>
    </row>
    <row r="105" spans="1:9" x14ac:dyDescent="0.25">
      <c r="A105" t="s">
        <v>8894</v>
      </c>
      <c r="B105" s="58" t="s">
        <v>96</v>
      </c>
      <c r="C105" s="58"/>
      <c r="D105" s="58" t="s">
        <v>2706</v>
      </c>
      <c r="E105" s="58"/>
      <c r="F105" s="58"/>
      <c r="G105" s="58">
        <f t="shared" si="54"/>
        <v>7</v>
      </c>
      <c r="H105" s="72">
        <f>COUNTIFS(LIST2!$B:$B,CONTROLLER!B105,LIST2!$W:$W,CONTROLLER!D105,LIST2!$S:$S,"&gt;0")</f>
        <v>0</v>
      </c>
      <c r="I105">
        <f t="shared" si="55"/>
        <v>0</v>
      </c>
    </row>
    <row r="106" spans="1:9" x14ac:dyDescent="0.25">
      <c r="A106" t="s">
        <v>8894</v>
      </c>
      <c r="B106" s="58" t="s">
        <v>96</v>
      </c>
      <c r="C106" s="58"/>
      <c r="D106" s="58" t="s">
        <v>2712</v>
      </c>
      <c r="E106" s="58"/>
      <c r="F106" s="58"/>
      <c r="G106" s="58">
        <f t="shared" si="54"/>
        <v>7</v>
      </c>
      <c r="H106" s="72">
        <f>COUNTIFS(LIST2!$B:$B,CONTROLLER!B106,LIST2!$W:$W,CONTROLLER!D106,LIST2!$S:$S,"&gt;0")</f>
        <v>0</v>
      </c>
      <c r="I106">
        <f t="shared" si="55"/>
        <v>0</v>
      </c>
    </row>
    <row r="107" spans="1:9" x14ac:dyDescent="0.25">
      <c r="A107" t="s">
        <v>8894</v>
      </c>
      <c r="B107" s="58" t="s">
        <v>96</v>
      </c>
      <c r="C107" s="58"/>
      <c r="D107" s="58" t="s">
        <v>2711</v>
      </c>
      <c r="E107" s="58"/>
      <c r="F107" s="58"/>
      <c r="G107" s="58">
        <f t="shared" si="54"/>
        <v>14</v>
      </c>
      <c r="H107" s="72">
        <f>COUNTIFS(LIST2!$B:$B,CONTROLLER!B107,LIST2!$W:$W,CONTROLLER!D107,LIST2!$S:$S,"&gt;0")</f>
        <v>0</v>
      </c>
      <c r="I107">
        <f t="shared" si="55"/>
        <v>0</v>
      </c>
    </row>
    <row r="108" spans="1:9" x14ac:dyDescent="0.25">
      <c r="A108" t="s">
        <v>8894</v>
      </c>
      <c r="B108" s="58" t="s">
        <v>96</v>
      </c>
      <c r="C108" s="58"/>
      <c r="D108" s="58" t="s">
        <v>2713</v>
      </c>
      <c r="E108" s="58"/>
      <c r="F108" s="58"/>
      <c r="G108" s="58">
        <f t="shared" si="54"/>
        <v>32</v>
      </c>
      <c r="H108" s="72">
        <f>COUNTIFS(LIST2!$B:$B,CONTROLLER!B108,LIST2!$W:$W,CONTROLLER!D108,LIST2!$S:$S,"&gt;0")</f>
        <v>0</v>
      </c>
      <c r="I108">
        <f t="shared" si="55"/>
        <v>0</v>
      </c>
    </row>
    <row r="109" spans="1:9" x14ac:dyDescent="0.25">
      <c r="A109" t="s">
        <v>8894</v>
      </c>
      <c r="B109" s="58" t="s">
        <v>96</v>
      </c>
      <c r="C109" s="58"/>
      <c r="D109" s="58" t="s">
        <v>2718</v>
      </c>
      <c r="E109" s="58"/>
      <c r="F109" s="58"/>
      <c r="G109" s="58">
        <f t="shared" si="54"/>
        <v>14</v>
      </c>
      <c r="H109" s="72">
        <f>COUNTIFS(LIST2!$B:$B,CONTROLLER!B109,LIST2!$W:$W,CONTROLLER!D109,LIST2!$S:$S,"&gt;0")</f>
        <v>0</v>
      </c>
      <c r="I109">
        <f t="shared" si="55"/>
        <v>0</v>
      </c>
    </row>
    <row r="110" spans="1:9" x14ac:dyDescent="0.25">
      <c r="A110" t="s">
        <v>8894</v>
      </c>
      <c r="B110" s="58" t="s">
        <v>96</v>
      </c>
      <c r="C110" s="58"/>
      <c r="D110" s="58" t="s">
        <v>236</v>
      </c>
      <c r="E110" s="58"/>
      <c r="F110" s="58"/>
      <c r="G110" s="58">
        <f t="shared" si="54"/>
        <v>8</v>
      </c>
      <c r="H110" s="72">
        <f>COUNTIFS(LIST2!$B:$B,CONTROLLER!B110,LIST2!$W:$W,CONTROLLER!D110,LIST2!$S:$S,"&gt;0")</f>
        <v>1</v>
      </c>
      <c r="I110">
        <f t="shared" si="55"/>
        <v>8</v>
      </c>
    </row>
    <row r="111" spans="1:9" x14ac:dyDescent="0.25">
      <c r="A111" t="s">
        <v>8894</v>
      </c>
      <c r="B111" s="58" t="s">
        <v>96</v>
      </c>
      <c r="C111" s="58"/>
      <c r="D111" s="58" t="s">
        <v>2707</v>
      </c>
      <c r="E111" s="58"/>
      <c r="F111" s="58"/>
      <c r="G111" s="58">
        <f t="shared" si="54"/>
        <v>14</v>
      </c>
      <c r="H111" s="72">
        <f>COUNTIFS(LIST2!$B:$B,CONTROLLER!B111,LIST2!$W:$W,CONTROLLER!D111,LIST2!$S:$S,"&gt;0")</f>
        <v>6</v>
      </c>
      <c r="I111">
        <f t="shared" si="55"/>
        <v>84</v>
      </c>
    </row>
    <row r="112" spans="1:9" x14ac:dyDescent="0.25">
      <c r="A112" t="s">
        <v>8894</v>
      </c>
      <c r="B112" s="58" t="s">
        <v>96</v>
      </c>
      <c r="C112" s="58"/>
      <c r="D112" s="58" t="s">
        <v>2716</v>
      </c>
      <c r="E112" s="58"/>
      <c r="F112" s="58"/>
      <c r="G112" s="58">
        <f t="shared" si="54"/>
        <v>6</v>
      </c>
      <c r="H112" s="72">
        <f>COUNTIFS(LIST2!$B:$B,CONTROLLER!B112,LIST2!$W:$W,CONTROLLER!D112,LIST2!$S:$S,"&gt;0")</f>
        <v>0</v>
      </c>
      <c r="I112">
        <f t="shared" si="55"/>
        <v>0</v>
      </c>
    </row>
    <row r="113" spans="1:9" x14ac:dyDescent="0.25">
      <c r="A113" t="s">
        <v>8894</v>
      </c>
      <c r="B113" s="58" t="s">
        <v>96</v>
      </c>
      <c r="C113" s="58"/>
      <c r="D113" s="58" t="s">
        <v>2705</v>
      </c>
      <c r="E113" s="58"/>
      <c r="F113" s="58"/>
      <c r="G113" s="58">
        <f t="shared" ref="G113:G144" si="56">SUMIF($L:$L,D113,$M:$M)</f>
        <v>10</v>
      </c>
      <c r="H113" s="72">
        <f>COUNTIFS(LIST2!$B:$B,CONTROLLER!B113,LIST2!$W:$W,CONTROLLER!D113,LIST2!$S:$S,"&gt;0")</f>
        <v>1</v>
      </c>
      <c r="I113">
        <f t="shared" ref="I113:I151" si="57">G113*H113</f>
        <v>10</v>
      </c>
    </row>
    <row r="114" spans="1:9" x14ac:dyDescent="0.25">
      <c r="A114" t="s">
        <v>8894</v>
      </c>
      <c r="B114" s="58" t="s">
        <v>96</v>
      </c>
      <c r="C114" s="58"/>
      <c r="D114" s="58" t="s">
        <v>2719</v>
      </c>
      <c r="E114" s="58"/>
      <c r="F114" s="58"/>
      <c r="G114" s="58">
        <f t="shared" si="56"/>
        <v>20</v>
      </c>
      <c r="H114" s="72">
        <f>COUNTIFS(LIST2!$B:$B,CONTROLLER!B114,LIST2!$W:$W,CONTROLLER!D114,LIST2!$S:$S,"&gt;0")</f>
        <v>0</v>
      </c>
      <c r="I114">
        <f t="shared" si="57"/>
        <v>0</v>
      </c>
    </row>
    <row r="115" spans="1:9" x14ac:dyDescent="0.25">
      <c r="A115" t="s">
        <v>8894</v>
      </c>
      <c r="B115" s="58" t="s">
        <v>96</v>
      </c>
      <c r="C115" s="58"/>
      <c r="D115" s="58" t="s">
        <v>8896</v>
      </c>
      <c r="E115" s="58"/>
      <c r="F115" s="58"/>
      <c r="G115" s="58">
        <f t="shared" si="56"/>
        <v>18</v>
      </c>
      <c r="H115" s="72">
        <f>COUNTIFS(LIST2!$B:$B,CONTROLLER!B115,LIST2!$W:$W,CONTROLLER!D115,LIST2!$S:$S,"&gt;0")</f>
        <v>2</v>
      </c>
      <c r="I115">
        <f t="shared" si="57"/>
        <v>36</v>
      </c>
    </row>
    <row r="116" spans="1:9" x14ac:dyDescent="0.25">
      <c r="A116" t="s">
        <v>8894</v>
      </c>
      <c r="B116" s="58" t="s">
        <v>96</v>
      </c>
      <c r="C116" s="58"/>
      <c r="D116" s="58" t="s">
        <v>2708</v>
      </c>
      <c r="E116" s="58"/>
      <c r="F116" s="58"/>
      <c r="G116" s="58">
        <f t="shared" si="56"/>
        <v>10</v>
      </c>
      <c r="H116" s="72">
        <f>COUNTIFS(LIST2!$B:$B,CONTROLLER!B116,LIST2!$W:$W,CONTROLLER!D116,LIST2!$S:$S,"&gt;0")</f>
        <v>0</v>
      </c>
      <c r="I116">
        <f t="shared" si="57"/>
        <v>0</v>
      </c>
    </row>
    <row r="117" spans="1:9" x14ac:dyDescent="0.25">
      <c r="A117" t="s">
        <v>8894</v>
      </c>
      <c r="B117" s="58" t="s">
        <v>96</v>
      </c>
      <c r="C117" s="58"/>
      <c r="D117" s="58" t="s">
        <v>8898</v>
      </c>
      <c r="E117" s="58"/>
      <c r="F117" s="58"/>
      <c r="G117" s="58">
        <f t="shared" si="56"/>
        <v>18</v>
      </c>
      <c r="H117" s="72">
        <f>COUNTIFS(LIST2!$B:$B,CONTROLLER!B117,LIST2!$W:$W,CONTROLLER!D117,LIST2!$S:$S,"&gt;0")</f>
        <v>0</v>
      </c>
      <c r="I117">
        <f t="shared" si="57"/>
        <v>0</v>
      </c>
    </row>
    <row r="118" spans="1:9" x14ac:dyDescent="0.25">
      <c r="A118" t="s">
        <v>8894</v>
      </c>
      <c r="B118" s="58" t="s">
        <v>258</v>
      </c>
      <c r="C118" s="58"/>
      <c r="D118" s="58" t="s">
        <v>2715</v>
      </c>
      <c r="E118" s="58"/>
      <c r="F118" s="58"/>
      <c r="G118" s="58">
        <f t="shared" si="56"/>
        <v>12</v>
      </c>
      <c r="H118" s="72">
        <f>COUNTIFS(LIST2!$B:$B,CONTROLLER!B118,LIST2!$W:$W,CONTROLLER!D118,LIST2!$S:$S,"&gt;0")</f>
        <v>0</v>
      </c>
      <c r="I118">
        <f t="shared" si="57"/>
        <v>0</v>
      </c>
    </row>
    <row r="119" spans="1:9" x14ac:dyDescent="0.25">
      <c r="A119" t="s">
        <v>8894</v>
      </c>
      <c r="B119" s="58" t="s">
        <v>258</v>
      </c>
      <c r="C119" s="58"/>
      <c r="D119" s="58" t="s">
        <v>2710</v>
      </c>
      <c r="E119" s="58"/>
      <c r="F119" s="58"/>
      <c r="G119" s="58">
        <f t="shared" si="56"/>
        <v>10</v>
      </c>
      <c r="H119" s="72">
        <f>COUNTIFS(LIST2!$B:$B,CONTROLLER!B119,LIST2!$W:$W,CONTROLLER!D119,LIST2!$S:$S,"&gt;0")</f>
        <v>0</v>
      </c>
      <c r="I119">
        <f t="shared" si="57"/>
        <v>0</v>
      </c>
    </row>
    <row r="120" spans="1:9" x14ac:dyDescent="0.25">
      <c r="A120" t="s">
        <v>8894</v>
      </c>
      <c r="B120" s="58" t="s">
        <v>258</v>
      </c>
      <c r="C120" s="58"/>
      <c r="D120" s="58" t="s">
        <v>2717</v>
      </c>
      <c r="E120" s="58"/>
      <c r="F120" s="58"/>
      <c r="G120" s="58">
        <f t="shared" si="56"/>
        <v>6</v>
      </c>
      <c r="H120" s="72">
        <f>COUNTIFS(LIST2!$B:$B,CONTROLLER!B120,LIST2!$W:$W,CONTROLLER!D120,LIST2!$S:$S,"&gt;0")</f>
        <v>0</v>
      </c>
      <c r="I120">
        <f t="shared" si="57"/>
        <v>0</v>
      </c>
    </row>
    <row r="121" spans="1:9" x14ac:dyDescent="0.25">
      <c r="A121" t="s">
        <v>8894</v>
      </c>
      <c r="B121" s="58" t="s">
        <v>258</v>
      </c>
      <c r="C121" s="58"/>
      <c r="D121" s="58" t="s">
        <v>2706</v>
      </c>
      <c r="E121" s="58"/>
      <c r="F121" s="58"/>
      <c r="G121" s="58">
        <f t="shared" si="56"/>
        <v>7</v>
      </c>
      <c r="H121" s="72">
        <f>COUNTIFS(LIST2!$B:$B,CONTROLLER!B121,LIST2!$W:$W,CONTROLLER!D121,LIST2!$S:$S,"&gt;0")</f>
        <v>0</v>
      </c>
      <c r="I121">
        <f t="shared" si="57"/>
        <v>0</v>
      </c>
    </row>
    <row r="122" spans="1:9" x14ac:dyDescent="0.25">
      <c r="A122" t="s">
        <v>8894</v>
      </c>
      <c r="B122" s="58" t="s">
        <v>258</v>
      </c>
      <c r="C122" s="58"/>
      <c r="D122" s="58" t="s">
        <v>2712</v>
      </c>
      <c r="E122" s="58"/>
      <c r="F122" s="58"/>
      <c r="G122" s="58">
        <f t="shared" si="56"/>
        <v>7</v>
      </c>
      <c r="H122" s="72">
        <f>COUNTIFS(LIST2!$B:$B,CONTROLLER!B122,LIST2!$W:$W,CONTROLLER!D122,LIST2!$S:$S,"&gt;0")</f>
        <v>0</v>
      </c>
      <c r="I122">
        <f t="shared" si="57"/>
        <v>0</v>
      </c>
    </row>
    <row r="123" spans="1:9" x14ac:dyDescent="0.25">
      <c r="A123" t="s">
        <v>8894</v>
      </c>
      <c r="B123" s="58" t="s">
        <v>258</v>
      </c>
      <c r="C123" s="58"/>
      <c r="D123" s="58" t="s">
        <v>2711</v>
      </c>
      <c r="E123" s="58"/>
      <c r="F123" s="58"/>
      <c r="G123" s="58">
        <f t="shared" si="56"/>
        <v>14</v>
      </c>
      <c r="H123" s="72">
        <f>COUNTIFS(LIST2!$B:$B,CONTROLLER!B123,LIST2!$W:$W,CONTROLLER!D123,LIST2!$S:$S,"&gt;0")</f>
        <v>3</v>
      </c>
      <c r="I123">
        <f t="shared" si="57"/>
        <v>42</v>
      </c>
    </row>
    <row r="124" spans="1:9" x14ac:dyDescent="0.25">
      <c r="A124" t="s">
        <v>8894</v>
      </c>
      <c r="B124" s="58" t="s">
        <v>258</v>
      </c>
      <c r="C124" s="58"/>
      <c r="D124" s="58" t="s">
        <v>2713</v>
      </c>
      <c r="E124" s="58"/>
      <c r="F124" s="58"/>
      <c r="G124" s="58">
        <f t="shared" si="56"/>
        <v>32</v>
      </c>
      <c r="H124" s="72">
        <f>COUNTIFS(LIST2!$B:$B,CONTROLLER!B124,LIST2!$W:$W,CONTROLLER!D124,LIST2!$S:$S,"&gt;0")</f>
        <v>0</v>
      </c>
      <c r="I124">
        <f t="shared" si="57"/>
        <v>0</v>
      </c>
    </row>
    <row r="125" spans="1:9" x14ac:dyDescent="0.25">
      <c r="A125" t="s">
        <v>8894</v>
      </c>
      <c r="B125" s="58" t="s">
        <v>258</v>
      </c>
      <c r="C125" s="58"/>
      <c r="D125" s="58" t="s">
        <v>2718</v>
      </c>
      <c r="E125" s="58"/>
      <c r="F125" s="58"/>
      <c r="G125" s="58">
        <f t="shared" si="56"/>
        <v>14</v>
      </c>
      <c r="H125" s="72">
        <f>COUNTIFS(LIST2!$B:$B,CONTROLLER!B125,LIST2!$W:$W,CONTROLLER!D125,LIST2!$S:$S,"&gt;0")</f>
        <v>0</v>
      </c>
      <c r="I125">
        <f t="shared" si="57"/>
        <v>0</v>
      </c>
    </row>
    <row r="126" spans="1:9" x14ac:dyDescent="0.25">
      <c r="A126" t="s">
        <v>8894</v>
      </c>
      <c r="B126" s="58" t="s">
        <v>258</v>
      </c>
      <c r="C126" s="58"/>
      <c r="D126" s="58" t="s">
        <v>236</v>
      </c>
      <c r="E126" s="58"/>
      <c r="F126" s="58"/>
      <c r="G126" s="58">
        <f t="shared" si="56"/>
        <v>8</v>
      </c>
      <c r="H126" s="72">
        <f>COUNTIFS(LIST2!$B:$B,CONTROLLER!B126,LIST2!$W:$W,CONTROLLER!D126,LIST2!$S:$S,"&gt;0")</f>
        <v>0</v>
      </c>
      <c r="I126">
        <f t="shared" si="57"/>
        <v>0</v>
      </c>
    </row>
    <row r="127" spans="1:9" x14ac:dyDescent="0.25">
      <c r="A127" t="s">
        <v>8894</v>
      </c>
      <c r="B127" s="58" t="s">
        <v>258</v>
      </c>
      <c r="C127" s="58"/>
      <c r="D127" s="58" t="s">
        <v>2707</v>
      </c>
      <c r="E127" s="58"/>
      <c r="F127" s="58"/>
      <c r="G127" s="58">
        <f t="shared" si="56"/>
        <v>14</v>
      </c>
      <c r="H127" s="72">
        <f>COUNTIFS(LIST2!$B:$B,CONTROLLER!B127,LIST2!$W:$W,CONTROLLER!D127,LIST2!$S:$S,"&gt;0")</f>
        <v>1</v>
      </c>
      <c r="I127">
        <f t="shared" si="57"/>
        <v>14</v>
      </c>
    </row>
    <row r="128" spans="1:9" x14ac:dyDescent="0.25">
      <c r="A128" t="s">
        <v>8894</v>
      </c>
      <c r="B128" s="58" t="s">
        <v>258</v>
      </c>
      <c r="C128" s="58"/>
      <c r="D128" s="58" t="s">
        <v>2716</v>
      </c>
      <c r="E128" s="58"/>
      <c r="F128" s="58"/>
      <c r="G128" s="58">
        <f t="shared" si="56"/>
        <v>6</v>
      </c>
      <c r="H128" s="72">
        <f>COUNTIFS(LIST2!$B:$B,CONTROLLER!B128,LIST2!$W:$W,CONTROLLER!D128,LIST2!$S:$S,"&gt;0")</f>
        <v>0</v>
      </c>
      <c r="I128">
        <f t="shared" si="57"/>
        <v>0</v>
      </c>
    </row>
    <row r="129" spans="1:9" x14ac:dyDescent="0.25">
      <c r="A129" t="s">
        <v>8894</v>
      </c>
      <c r="B129" s="58" t="s">
        <v>258</v>
      </c>
      <c r="C129" s="58"/>
      <c r="D129" s="58" t="s">
        <v>2705</v>
      </c>
      <c r="E129" s="58"/>
      <c r="F129" s="58"/>
      <c r="G129" s="58">
        <f t="shared" si="56"/>
        <v>10</v>
      </c>
      <c r="H129" s="72">
        <f>COUNTIFS(LIST2!$B:$B,CONTROLLER!B129,LIST2!$W:$W,CONTROLLER!D129,LIST2!$S:$S,"&gt;0")</f>
        <v>0</v>
      </c>
      <c r="I129">
        <f t="shared" si="57"/>
        <v>0</v>
      </c>
    </row>
    <row r="130" spans="1:9" x14ac:dyDescent="0.25">
      <c r="A130" t="s">
        <v>8894</v>
      </c>
      <c r="B130" s="58" t="s">
        <v>258</v>
      </c>
      <c r="C130" s="58"/>
      <c r="D130" s="58" t="s">
        <v>2719</v>
      </c>
      <c r="E130" s="58"/>
      <c r="F130" s="58"/>
      <c r="G130" s="58">
        <f t="shared" si="56"/>
        <v>20</v>
      </c>
      <c r="H130" s="72">
        <f>COUNTIFS(LIST2!$B:$B,CONTROLLER!B130,LIST2!$W:$W,CONTROLLER!D130,LIST2!$S:$S,"&gt;0")</f>
        <v>0</v>
      </c>
      <c r="I130">
        <f t="shared" si="57"/>
        <v>0</v>
      </c>
    </row>
    <row r="131" spans="1:9" x14ac:dyDescent="0.25">
      <c r="A131" t="s">
        <v>8894</v>
      </c>
      <c r="B131" s="58" t="s">
        <v>258</v>
      </c>
      <c r="C131" s="58"/>
      <c r="D131" s="58" t="s">
        <v>8896</v>
      </c>
      <c r="E131" s="58"/>
      <c r="F131" s="58"/>
      <c r="G131" s="58">
        <f t="shared" si="56"/>
        <v>18</v>
      </c>
      <c r="H131" s="72">
        <f>COUNTIFS(LIST2!$B:$B,CONTROLLER!B131,LIST2!$W:$W,CONTROLLER!D131,LIST2!$S:$S,"&gt;0")</f>
        <v>1</v>
      </c>
      <c r="I131">
        <f t="shared" si="57"/>
        <v>18</v>
      </c>
    </row>
    <row r="132" spans="1:9" x14ac:dyDescent="0.25">
      <c r="A132" t="s">
        <v>8894</v>
      </c>
      <c r="B132" s="58" t="s">
        <v>258</v>
      </c>
      <c r="C132" s="58"/>
      <c r="D132" s="58" t="s">
        <v>2708</v>
      </c>
      <c r="E132" s="58"/>
      <c r="F132" s="58"/>
      <c r="G132" s="58">
        <f t="shared" si="56"/>
        <v>10</v>
      </c>
      <c r="H132" s="72">
        <f>COUNTIFS(LIST2!$B:$B,CONTROLLER!B132,LIST2!$W:$W,CONTROLLER!D132,LIST2!$S:$S,"&gt;0")</f>
        <v>0</v>
      </c>
      <c r="I132">
        <f t="shared" si="57"/>
        <v>0</v>
      </c>
    </row>
    <row r="133" spans="1:9" x14ac:dyDescent="0.25">
      <c r="A133" t="s">
        <v>8894</v>
      </c>
      <c r="B133" s="58" t="s">
        <v>258</v>
      </c>
      <c r="C133" s="58"/>
      <c r="D133" s="58" t="s">
        <v>8898</v>
      </c>
      <c r="E133" s="58"/>
      <c r="F133" s="58"/>
      <c r="G133" s="58">
        <f t="shared" si="56"/>
        <v>18</v>
      </c>
      <c r="H133" s="72">
        <f>COUNTIFS(LIST2!$B:$B,CONTROLLER!B133,LIST2!$W:$W,CONTROLLER!D133,LIST2!$S:$S,"&gt;0")</f>
        <v>1</v>
      </c>
      <c r="I133">
        <f t="shared" si="57"/>
        <v>18</v>
      </c>
    </row>
    <row r="134" spans="1:9" x14ac:dyDescent="0.25">
      <c r="A134" t="s">
        <v>8894</v>
      </c>
      <c r="B134" s="58" t="s">
        <v>1166</v>
      </c>
      <c r="C134" s="58"/>
      <c r="D134" s="58" t="s">
        <v>2715</v>
      </c>
      <c r="E134" s="58"/>
      <c r="F134" s="58"/>
      <c r="G134" s="58">
        <f t="shared" si="56"/>
        <v>12</v>
      </c>
      <c r="H134" s="72">
        <f>COUNTIFS(LIST2!$B:$B,CONTROLLER!B134,LIST2!$W:$W,CONTROLLER!D134,LIST2!$S:$S,"&gt;0")</f>
        <v>2</v>
      </c>
      <c r="I134">
        <f t="shared" si="57"/>
        <v>24</v>
      </c>
    </row>
    <row r="135" spans="1:9" x14ac:dyDescent="0.25">
      <c r="A135" t="s">
        <v>8894</v>
      </c>
      <c r="B135" s="58" t="s">
        <v>1166</v>
      </c>
      <c r="C135" s="58"/>
      <c r="D135" s="58" t="s">
        <v>2710</v>
      </c>
      <c r="E135" s="58"/>
      <c r="F135" s="58"/>
      <c r="G135" s="58">
        <f t="shared" si="56"/>
        <v>10</v>
      </c>
      <c r="H135" s="72">
        <f>COUNTIFS(LIST2!$B:$B,CONTROLLER!B135,LIST2!$W:$W,CONTROLLER!D135,LIST2!$S:$S,"&gt;0")</f>
        <v>0</v>
      </c>
      <c r="I135">
        <f t="shared" si="57"/>
        <v>0</v>
      </c>
    </row>
    <row r="136" spans="1:9" x14ac:dyDescent="0.25">
      <c r="A136" t="s">
        <v>8894</v>
      </c>
      <c r="B136" s="58" t="s">
        <v>1166</v>
      </c>
      <c r="C136" s="58"/>
      <c r="D136" s="58" t="s">
        <v>2717</v>
      </c>
      <c r="E136" s="58"/>
      <c r="F136" s="58"/>
      <c r="G136" s="58">
        <f t="shared" si="56"/>
        <v>6</v>
      </c>
      <c r="H136" s="72">
        <f>COUNTIFS(LIST2!$B:$B,CONTROLLER!B136,LIST2!$W:$W,CONTROLLER!D136,LIST2!$S:$S,"&gt;0")</f>
        <v>0</v>
      </c>
      <c r="I136">
        <f t="shared" si="57"/>
        <v>0</v>
      </c>
    </row>
    <row r="137" spans="1:9" x14ac:dyDescent="0.25">
      <c r="A137" t="s">
        <v>8894</v>
      </c>
      <c r="B137" s="58" t="s">
        <v>1166</v>
      </c>
      <c r="C137" s="58"/>
      <c r="D137" s="58" t="s">
        <v>2706</v>
      </c>
      <c r="E137" s="58"/>
      <c r="F137" s="58"/>
      <c r="G137" s="58">
        <f t="shared" si="56"/>
        <v>7</v>
      </c>
      <c r="H137" s="72">
        <f>COUNTIFS(LIST2!$B:$B,CONTROLLER!B137,LIST2!$W:$W,CONTROLLER!D137,LIST2!$S:$S,"&gt;0")</f>
        <v>3</v>
      </c>
      <c r="I137">
        <f t="shared" si="57"/>
        <v>21</v>
      </c>
    </row>
    <row r="138" spans="1:9" x14ac:dyDescent="0.25">
      <c r="A138" t="s">
        <v>8894</v>
      </c>
      <c r="B138" s="58" t="s">
        <v>1166</v>
      </c>
      <c r="C138" s="58"/>
      <c r="D138" s="58" t="s">
        <v>2712</v>
      </c>
      <c r="E138" s="58"/>
      <c r="F138" s="58"/>
      <c r="G138" s="58">
        <f t="shared" si="56"/>
        <v>7</v>
      </c>
      <c r="H138" s="72">
        <f>COUNTIFS(LIST2!$B:$B,CONTROLLER!B138,LIST2!$W:$W,CONTROLLER!D138,LIST2!$S:$S,"&gt;0")</f>
        <v>0</v>
      </c>
      <c r="I138">
        <f t="shared" si="57"/>
        <v>0</v>
      </c>
    </row>
    <row r="139" spans="1:9" x14ac:dyDescent="0.25">
      <c r="A139" t="s">
        <v>8894</v>
      </c>
      <c r="B139" s="58" t="s">
        <v>1166</v>
      </c>
      <c r="C139" s="58"/>
      <c r="D139" s="58" t="s">
        <v>2711</v>
      </c>
      <c r="E139" s="58"/>
      <c r="F139" s="58"/>
      <c r="G139" s="58">
        <f t="shared" si="56"/>
        <v>14</v>
      </c>
      <c r="H139" s="72">
        <f>COUNTIFS(LIST2!$B:$B,CONTROLLER!B139,LIST2!$W:$W,CONTROLLER!D139,LIST2!$S:$S,"&gt;0")</f>
        <v>5</v>
      </c>
      <c r="I139">
        <f t="shared" si="57"/>
        <v>70</v>
      </c>
    </row>
    <row r="140" spans="1:9" x14ac:dyDescent="0.25">
      <c r="A140" t="s">
        <v>8894</v>
      </c>
      <c r="B140" s="58" t="s">
        <v>1166</v>
      </c>
      <c r="C140" s="58"/>
      <c r="D140" s="58" t="s">
        <v>2713</v>
      </c>
      <c r="E140" s="58"/>
      <c r="F140" s="58"/>
      <c r="G140" s="58">
        <f t="shared" si="56"/>
        <v>32</v>
      </c>
      <c r="H140" s="72">
        <f>COUNTIFS(LIST2!$B:$B,CONTROLLER!B140,LIST2!$W:$W,CONTROLLER!D140,LIST2!$S:$S,"&gt;0")</f>
        <v>0</v>
      </c>
      <c r="I140">
        <f t="shared" si="57"/>
        <v>0</v>
      </c>
    </row>
    <row r="141" spans="1:9" x14ac:dyDescent="0.25">
      <c r="A141" t="s">
        <v>8894</v>
      </c>
      <c r="B141" s="58" t="s">
        <v>1166</v>
      </c>
      <c r="C141" s="58"/>
      <c r="D141" s="58" t="s">
        <v>2718</v>
      </c>
      <c r="E141" s="58"/>
      <c r="F141" s="58"/>
      <c r="G141" s="58">
        <f t="shared" si="56"/>
        <v>14</v>
      </c>
      <c r="H141" s="72">
        <f>COUNTIFS(LIST2!$B:$B,CONTROLLER!B141,LIST2!$W:$W,CONTROLLER!D141,LIST2!$S:$S,"&gt;0")</f>
        <v>0</v>
      </c>
      <c r="I141">
        <f t="shared" si="57"/>
        <v>0</v>
      </c>
    </row>
    <row r="142" spans="1:9" x14ac:dyDescent="0.25">
      <c r="A142" t="s">
        <v>8894</v>
      </c>
      <c r="B142" s="58" t="s">
        <v>1166</v>
      </c>
      <c r="C142" s="58"/>
      <c r="D142" s="58" t="s">
        <v>236</v>
      </c>
      <c r="E142" s="58"/>
      <c r="F142" s="58"/>
      <c r="G142" s="58">
        <f t="shared" si="56"/>
        <v>8</v>
      </c>
      <c r="H142" s="72">
        <f>COUNTIFS(LIST2!$B:$B,CONTROLLER!B142,LIST2!$W:$W,CONTROLLER!D142,LIST2!$S:$S,"&gt;0")</f>
        <v>0</v>
      </c>
      <c r="I142">
        <f t="shared" si="57"/>
        <v>0</v>
      </c>
    </row>
    <row r="143" spans="1:9" x14ac:dyDescent="0.25">
      <c r="A143" t="s">
        <v>8894</v>
      </c>
      <c r="B143" s="58" t="s">
        <v>1166</v>
      </c>
      <c r="C143" s="58"/>
      <c r="D143" s="58" t="s">
        <v>2707</v>
      </c>
      <c r="E143" s="58"/>
      <c r="F143" s="58"/>
      <c r="G143" s="58">
        <f t="shared" si="56"/>
        <v>14</v>
      </c>
      <c r="H143" s="72">
        <f>COUNTIFS(LIST2!$B:$B,CONTROLLER!B143,LIST2!$W:$W,CONTROLLER!D143,LIST2!$S:$S,"&gt;0")</f>
        <v>0</v>
      </c>
      <c r="I143">
        <f t="shared" si="57"/>
        <v>0</v>
      </c>
    </row>
    <row r="144" spans="1:9" x14ac:dyDescent="0.25">
      <c r="A144" t="s">
        <v>8894</v>
      </c>
      <c r="B144" s="58" t="s">
        <v>1166</v>
      </c>
      <c r="C144" s="58"/>
      <c r="D144" s="58" t="s">
        <v>2716</v>
      </c>
      <c r="E144" s="58"/>
      <c r="F144" s="58"/>
      <c r="G144" s="58">
        <f t="shared" si="56"/>
        <v>6</v>
      </c>
      <c r="H144" s="72">
        <f>COUNTIFS(LIST2!$B:$B,CONTROLLER!B144,LIST2!$W:$W,CONTROLLER!D144,LIST2!$S:$S,"&gt;0")</f>
        <v>0</v>
      </c>
      <c r="I144">
        <f t="shared" si="57"/>
        <v>0</v>
      </c>
    </row>
    <row r="145" spans="1:9" x14ac:dyDescent="0.25">
      <c r="A145" t="s">
        <v>8894</v>
      </c>
      <c r="B145" s="58" t="s">
        <v>1166</v>
      </c>
      <c r="C145" s="58"/>
      <c r="D145" s="58" t="s">
        <v>2705</v>
      </c>
      <c r="E145" s="58"/>
      <c r="F145" s="58"/>
      <c r="G145" s="58">
        <f t="shared" ref="G145:G175" si="58">SUMIF($L:$L,D145,$M:$M)</f>
        <v>10</v>
      </c>
      <c r="H145" s="72">
        <f>COUNTIFS(LIST2!$B:$B,CONTROLLER!B145,LIST2!$W:$W,CONTROLLER!D145,LIST2!$S:$S,"&gt;0")</f>
        <v>1</v>
      </c>
      <c r="I145">
        <f t="shared" si="57"/>
        <v>10</v>
      </c>
    </row>
    <row r="146" spans="1:9" x14ac:dyDescent="0.25">
      <c r="A146" t="s">
        <v>8894</v>
      </c>
      <c r="B146" s="58" t="s">
        <v>1166</v>
      </c>
      <c r="C146" s="58"/>
      <c r="D146" s="58" t="s">
        <v>2719</v>
      </c>
      <c r="E146" s="58"/>
      <c r="F146" s="58"/>
      <c r="G146" s="58">
        <f t="shared" si="58"/>
        <v>20</v>
      </c>
      <c r="H146" s="72">
        <f>COUNTIFS(LIST2!$B:$B,CONTROLLER!B146,LIST2!$W:$W,CONTROLLER!D146,LIST2!$S:$S,"&gt;0")</f>
        <v>0</v>
      </c>
      <c r="I146">
        <f t="shared" si="57"/>
        <v>0</v>
      </c>
    </row>
    <row r="147" spans="1:9" x14ac:dyDescent="0.25">
      <c r="A147" t="s">
        <v>8894</v>
      </c>
      <c r="B147" s="58" t="s">
        <v>1166</v>
      </c>
      <c r="C147" s="58"/>
      <c r="D147" s="58" t="s">
        <v>8896</v>
      </c>
      <c r="E147" s="58"/>
      <c r="F147" s="58"/>
      <c r="G147" s="58">
        <f t="shared" si="58"/>
        <v>18</v>
      </c>
      <c r="H147" s="72">
        <f>COUNTIFS(LIST2!$B:$B,CONTROLLER!B147,LIST2!$W:$W,CONTROLLER!D147,LIST2!$S:$S,"&gt;0")</f>
        <v>5</v>
      </c>
      <c r="I147">
        <f t="shared" si="57"/>
        <v>90</v>
      </c>
    </row>
    <row r="148" spans="1:9" x14ac:dyDescent="0.25">
      <c r="A148" t="s">
        <v>8894</v>
      </c>
      <c r="B148" s="58" t="s">
        <v>1166</v>
      </c>
      <c r="C148" s="58"/>
      <c r="D148" s="58" t="s">
        <v>2708</v>
      </c>
      <c r="E148" s="58"/>
      <c r="F148" s="58"/>
      <c r="G148" s="58">
        <f t="shared" si="58"/>
        <v>10</v>
      </c>
      <c r="H148" s="72">
        <f>COUNTIFS(LIST2!$B:$B,CONTROLLER!B148,LIST2!$W:$W,CONTROLLER!D148,LIST2!$S:$S,"&gt;0")</f>
        <v>0</v>
      </c>
      <c r="I148">
        <f t="shared" si="57"/>
        <v>0</v>
      </c>
    </row>
    <row r="149" spans="1:9" x14ac:dyDescent="0.25">
      <c r="A149" t="s">
        <v>8894</v>
      </c>
      <c r="B149" s="58" t="s">
        <v>1166</v>
      </c>
      <c r="C149" s="58"/>
      <c r="D149" s="58" t="s">
        <v>8898</v>
      </c>
      <c r="E149" s="58"/>
      <c r="F149" s="58"/>
      <c r="G149" s="58">
        <f t="shared" si="58"/>
        <v>18</v>
      </c>
      <c r="H149" s="72">
        <f>COUNTIFS(LIST2!$B:$B,CONTROLLER!B149,LIST2!$W:$W,CONTROLLER!D149,LIST2!$S:$S,"&gt;0")</f>
        <v>0</v>
      </c>
      <c r="I149">
        <f t="shared" si="57"/>
        <v>0</v>
      </c>
    </row>
    <row r="150" spans="1:9" x14ac:dyDescent="0.25">
      <c r="A150" t="s">
        <v>8894</v>
      </c>
      <c r="B150" s="58" t="s">
        <v>1166</v>
      </c>
      <c r="C150" s="58"/>
      <c r="D150" s="58" t="s">
        <v>2714</v>
      </c>
      <c r="E150" s="58"/>
      <c r="F150" s="58"/>
      <c r="G150" s="58">
        <f t="shared" si="58"/>
        <v>30</v>
      </c>
      <c r="H150" s="72">
        <f>COUNTIFS(LIST2!$B:$B,CONTROLLER!B150,LIST2!$W:$W,CONTROLLER!D150,LIST2!$S:$S,"&gt;0")</f>
        <v>0</v>
      </c>
      <c r="I150">
        <f t="shared" si="57"/>
        <v>0</v>
      </c>
    </row>
    <row r="151" spans="1:9" x14ac:dyDescent="0.25">
      <c r="A151" t="s">
        <v>8894</v>
      </c>
      <c r="B151" s="58" t="s">
        <v>90</v>
      </c>
      <c r="C151" s="58"/>
      <c r="D151" s="58" t="s">
        <v>2714</v>
      </c>
      <c r="E151" s="58"/>
      <c r="F151" s="58"/>
      <c r="G151" s="58">
        <f t="shared" si="58"/>
        <v>30</v>
      </c>
      <c r="H151" s="72">
        <f>COUNTIFS(LIST2!$B:$B,CONTROLLER!B151,LIST2!$W:$W,CONTROLLER!D151,LIST2!$S:$S,"&gt;0")</f>
        <v>0</v>
      </c>
      <c r="I151">
        <f t="shared" si="57"/>
        <v>0</v>
      </c>
    </row>
    <row r="152" spans="1:9" x14ac:dyDescent="0.25">
      <c r="A152" t="s">
        <v>8894</v>
      </c>
      <c r="B152" s="58" t="s">
        <v>91</v>
      </c>
      <c r="C152" s="58"/>
      <c r="D152" s="58" t="s">
        <v>2714</v>
      </c>
      <c r="E152" s="58"/>
      <c r="F152" s="58"/>
      <c r="G152" s="58">
        <f t="shared" si="58"/>
        <v>30</v>
      </c>
      <c r="H152" s="72">
        <f>COUNTIFS(LIST2!$B:$B,CONTROLLER!B152,LIST2!$W:$W,CONTROLLER!D152,LIST2!$S:$S,"&gt;0")</f>
        <v>0</v>
      </c>
      <c r="I152">
        <f>G152*H152</f>
        <v>0</v>
      </c>
    </row>
    <row r="153" spans="1:9" x14ac:dyDescent="0.25">
      <c r="A153" t="s">
        <v>8894</v>
      </c>
      <c r="B153" s="58" t="s">
        <v>92</v>
      </c>
      <c r="C153" s="58"/>
      <c r="D153" s="58" t="s">
        <v>2714</v>
      </c>
      <c r="E153" s="58"/>
      <c r="F153" s="58"/>
      <c r="G153" s="58">
        <f t="shared" si="58"/>
        <v>30</v>
      </c>
      <c r="H153" s="72">
        <f>COUNTIFS(LIST2!$B:$B,CONTROLLER!B153,LIST2!$W:$W,CONTROLLER!D153,LIST2!$S:$S,"&gt;0")</f>
        <v>0</v>
      </c>
      <c r="I153">
        <f t="shared" ref="I153:I175" si="59">G153*H153</f>
        <v>0</v>
      </c>
    </row>
    <row r="154" spans="1:9" x14ac:dyDescent="0.25">
      <c r="A154" t="s">
        <v>8894</v>
      </c>
      <c r="B154" s="58" t="s">
        <v>93</v>
      </c>
      <c r="C154" s="58"/>
      <c r="D154" s="58" t="s">
        <v>2714</v>
      </c>
      <c r="E154" s="58"/>
      <c r="F154" s="58"/>
      <c r="G154" s="58">
        <f t="shared" si="58"/>
        <v>30</v>
      </c>
      <c r="H154" s="72">
        <f>COUNTIFS(LIST2!$B:$B,CONTROLLER!B154,LIST2!$W:$W,CONTROLLER!D154,LIST2!$S:$S,"&gt;0")</f>
        <v>0</v>
      </c>
      <c r="I154">
        <f t="shared" si="59"/>
        <v>0</v>
      </c>
    </row>
    <row r="155" spans="1:9" x14ac:dyDescent="0.25">
      <c r="A155" t="s">
        <v>8894</v>
      </c>
      <c r="B155" s="58" t="s">
        <v>94</v>
      </c>
      <c r="C155" s="58"/>
      <c r="D155" s="58" t="s">
        <v>2714</v>
      </c>
      <c r="E155" s="58"/>
      <c r="F155" s="58"/>
      <c r="G155" s="58">
        <f t="shared" si="58"/>
        <v>30</v>
      </c>
      <c r="H155" s="72">
        <f>COUNTIFS(LIST2!$B:$B,CONTROLLER!B155,LIST2!$W:$W,CONTROLLER!D155,LIST2!$S:$S,"&gt;0")</f>
        <v>1</v>
      </c>
      <c r="I155">
        <f t="shared" si="59"/>
        <v>30</v>
      </c>
    </row>
    <row r="156" spans="1:9" x14ac:dyDescent="0.25">
      <c r="A156" t="s">
        <v>8894</v>
      </c>
      <c r="B156" s="58" t="s">
        <v>95</v>
      </c>
      <c r="C156" s="58"/>
      <c r="D156" s="58" t="s">
        <v>2714</v>
      </c>
      <c r="E156" s="58"/>
      <c r="F156" s="58"/>
      <c r="G156" s="58">
        <f t="shared" si="58"/>
        <v>30</v>
      </c>
      <c r="H156" s="72">
        <f>COUNTIFS(LIST2!$B:$B,CONTROLLER!B156,LIST2!$W:$W,CONTROLLER!D156,LIST2!$S:$S,"&gt;0")</f>
        <v>3</v>
      </c>
      <c r="I156">
        <f t="shared" si="59"/>
        <v>90</v>
      </c>
    </row>
    <row r="157" spans="1:9" x14ac:dyDescent="0.25">
      <c r="A157" t="s">
        <v>8894</v>
      </c>
      <c r="B157" s="58" t="s">
        <v>96</v>
      </c>
      <c r="C157" s="58"/>
      <c r="D157" s="58" t="s">
        <v>2714</v>
      </c>
      <c r="E157" s="58"/>
      <c r="F157" s="58"/>
      <c r="G157" s="58">
        <f t="shared" si="58"/>
        <v>30</v>
      </c>
      <c r="H157" s="72">
        <f>COUNTIFS(LIST2!$B:$B,CONTROLLER!B157,LIST2!$W:$W,CONTROLLER!D157,LIST2!$S:$S,"&gt;0")</f>
        <v>1</v>
      </c>
      <c r="I157">
        <f t="shared" si="59"/>
        <v>30</v>
      </c>
    </row>
    <row r="158" spans="1:9" x14ac:dyDescent="0.25">
      <c r="A158" t="s">
        <v>8894</v>
      </c>
      <c r="B158" s="58" t="s">
        <v>258</v>
      </c>
      <c r="C158" s="58"/>
      <c r="D158" s="58" t="s">
        <v>2714</v>
      </c>
      <c r="E158" s="58"/>
      <c r="F158" s="58"/>
      <c r="G158" s="58">
        <f t="shared" si="58"/>
        <v>30</v>
      </c>
      <c r="H158" s="72">
        <f>COUNTIFS(LIST2!$B:$B,CONTROLLER!B158,LIST2!$W:$W,CONTROLLER!D158,LIST2!$S:$S,"&gt;0")</f>
        <v>1</v>
      </c>
      <c r="I158">
        <f t="shared" si="59"/>
        <v>30</v>
      </c>
    </row>
    <row r="159" spans="1:9" x14ac:dyDescent="0.25">
      <c r="A159" t="s">
        <v>8894</v>
      </c>
      <c r="B159" s="58" t="s">
        <v>1167</v>
      </c>
      <c r="C159" s="58"/>
      <c r="D159" s="58" t="s">
        <v>2714</v>
      </c>
      <c r="E159" s="58"/>
      <c r="F159" s="58"/>
      <c r="G159" s="58">
        <f t="shared" si="58"/>
        <v>30</v>
      </c>
      <c r="H159" s="72">
        <f>COUNTIFS(LIST2!$B:$B,CONTROLLER!B159,LIST2!$W:$W,CONTROLLER!D159,LIST2!$S:$S,"&gt;0")</f>
        <v>1</v>
      </c>
      <c r="I159">
        <f t="shared" si="59"/>
        <v>30</v>
      </c>
    </row>
    <row r="160" spans="1:9" x14ac:dyDescent="0.25">
      <c r="A160" t="s">
        <v>8894</v>
      </c>
      <c r="B160" s="58" t="s">
        <v>1167</v>
      </c>
      <c r="C160" s="58"/>
      <c r="D160" s="58" t="s">
        <v>2715</v>
      </c>
      <c r="E160" s="58"/>
      <c r="F160" s="58"/>
      <c r="G160" s="58">
        <f t="shared" si="58"/>
        <v>12</v>
      </c>
      <c r="H160" s="72">
        <f>COUNTIFS(LIST2!$B:$B,CONTROLLER!B160,LIST2!$W:$W,CONTROLLER!D160,LIST2!$S:$S,"&gt;0")</f>
        <v>1</v>
      </c>
      <c r="I160">
        <f t="shared" si="59"/>
        <v>12</v>
      </c>
    </row>
    <row r="161" spans="1:9" x14ac:dyDescent="0.25">
      <c r="A161" t="s">
        <v>8894</v>
      </c>
      <c r="B161" s="58" t="s">
        <v>1167</v>
      </c>
      <c r="C161" s="58"/>
      <c r="D161" s="58" t="s">
        <v>2710</v>
      </c>
      <c r="E161" s="58"/>
      <c r="F161" s="58"/>
      <c r="G161" s="58">
        <f t="shared" si="58"/>
        <v>10</v>
      </c>
      <c r="H161" s="72">
        <f>COUNTIFS(LIST2!$B:$B,CONTROLLER!B161,LIST2!$W:$W,CONTROLLER!D161,LIST2!$S:$S,"&gt;0")</f>
        <v>0</v>
      </c>
      <c r="I161">
        <f t="shared" si="59"/>
        <v>0</v>
      </c>
    </row>
    <row r="162" spans="1:9" x14ac:dyDescent="0.25">
      <c r="A162" t="s">
        <v>8894</v>
      </c>
      <c r="B162" s="58" t="s">
        <v>1167</v>
      </c>
      <c r="C162" s="58"/>
      <c r="D162" s="58" t="s">
        <v>2717</v>
      </c>
      <c r="E162" s="58"/>
      <c r="F162" s="58"/>
      <c r="G162" s="58">
        <f t="shared" si="58"/>
        <v>6</v>
      </c>
      <c r="H162" s="72">
        <f>COUNTIFS(LIST2!$B:$B,CONTROLLER!B162,LIST2!$W:$W,CONTROLLER!D162,LIST2!$S:$S,"&gt;0")</f>
        <v>0</v>
      </c>
      <c r="I162">
        <f t="shared" si="59"/>
        <v>0</v>
      </c>
    </row>
    <row r="163" spans="1:9" x14ac:dyDescent="0.25">
      <c r="A163" t="s">
        <v>8894</v>
      </c>
      <c r="B163" s="58" t="s">
        <v>1167</v>
      </c>
      <c r="C163" s="58"/>
      <c r="D163" s="58" t="s">
        <v>2706</v>
      </c>
      <c r="E163" s="58"/>
      <c r="F163" s="58"/>
      <c r="G163" s="58">
        <f t="shared" si="58"/>
        <v>7</v>
      </c>
      <c r="H163" s="72">
        <f>COUNTIFS(LIST2!$B:$B,CONTROLLER!B163,LIST2!$W:$W,CONTROLLER!D163,LIST2!$S:$S,"&gt;0")</f>
        <v>0</v>
      </c>
      <c r="I163">
        <f t="shared" si="59"/>
        <v>0</v>
      </c>
    </row>
    <row r="164" spans="1:9" x14ac:dyDescent="0.25">
      <c r="A164" t="s">
        <v>8894</v>
      </c>
      <c r="B164" s="58" t="s">
        <v>1167</v>
      </c>
      <c r="C164" s="58"/>
      <c r="D164" s="58" t="s">
        <v>2712</v>
      </c>
      <c r="E164" s="58"/>
      <c r="F164" s="58"/>
      <c r="G164" s="58">
        <f t="shared" si="58"/>
        <v>7</v>
      </c>
      <c r="H164" s="72">
        <f>COUNTIFS(LIST2!$B:$B,CONTROLLER!B164,LIST2!$W:$W,CONTROLLER!D164,LIST2!$S:$S,"&gt;0")</f>
        <v>3</v>
      </c>
      <c r="I164">
        <f t="shared" si="59"/>
        <v>21</v>
      </c>
    </row>
    <row r="165" spans="1:9" x14ac:dyDescent="0.25">
      <c r="A165" t="s">
        <v>8894</v>
      </c>
      <c r="B165" s="58" t="s">
        <v>1167</v>
      </c>
      <c r="C165" s="58"/>
      <c r="D165" s="58" t="s">
        <v>2711</v>
      </c>
      <c r="E165" s="58"/>
      <c r="F165" s="58"/>
      <c r="G165" s="58">
        <f t="shared" si="58"/>
        <v>14</v>
      </c>
      <c r="H165" s="72">
        <f>COUNTIFS(LIST2!$B:$B,CONTROLLER!B165,LIST2!$W:$W,CONTROLLER!D165,LIST2!$S:$S,"&gt;0")</f>
        <v>4</v>
      </c>
      <c r="I165">
        <f t="shared" si="59"/>
        <v>56</v>
      </c>
    </row>
    <row r="166" spans="1:9" x14ac:dyDescent="0.25">
      <c r="A166" t="s">
        <v>8894</v>
      </c>
      <c r="B166" s="58" t="s">
        <v>1167</v>
      </c>
      <c r="C166" s="58"/>
      <c r="D166" s="58" t="s">
        <v>2713</v>
      </c>
      <c r="E166" s="58"/>
      <c r="F166" s="58"/>
      <c r="G166" s="58">
        <f t="shared" si="58"/>
        <v>32</v>
      </c>
      <c r="H166" s="72">
        <f>COUNTIFS(LIST2!$B:$B,CONTROLLER!B166,LIST2!$W:$W,CONTROLLER!D166,LIST2!$S:$S,"&gt;0")</f>
        <v>0</v>
      </c>
      <c r="I166">
        <f t="shared" si="59"/>
        <v>0</v>
      </c>
    </row>
    <row r="167" spans="1:9" x14ac:dyDescent="0.25">
      <c r="A167" t="s">
        <v>8894</v>
      </c>
      <c r="B167" s="58" t="s">
        <v>1167</v>
      </c>
      <c r="C167" s="58"/>
      <c r="D167" s="58" t="s">
        <v>2718</v>
      </c>
      <c r="E167" s="58"/>
      <c r="F167" s="58"/>
      <c r="G167" s="58">
        <f t="shared" si="58"/>
        <v>14</v>
      </c>
      <c r="H167" s="72">
        <f>COUNTIFS(LIST2!$B:$B,CONTROLLER!B167,LIST2!$W:$W,CONTROLLER!D167,LIST2!$S:$S,"&gt;0")</f>
        <v>0</v>
      </c>
      <c r="I167">
        <f t="shared" si="59"/>
        <v>0</v>
      </c>
    </row>
    <row r="168" spans="1:9" x14ac:dyDescent="0.25">
      <c r="A168" t="s">
        <v>8894</v>
      </c>
      <c r="B168" s="58" t="s">
        <v>1167</v>
      </c>
      <c r="C168" s="58"/>
      <c r="D168" s="58" t="s">
        <v>236</v>
      </c>
      <c r="E168" s="58"/>
      <c r="F168" s="58"/>
      <c r="G168" s="58">
        <f t="shared" si="58"/>
        <v>8</v>
      </c>
      <c r="H168" s="72">
        <f>COUNTIFS(LIST2!$B:$B,CONTROLLER!B168,LIST2!$W:$W,CONTROLLER!D168,LIST2!$S:$S,"&gt;0")</f>
        <v>0</v>
      </c>
      <c r="I168">
        <f t="shared" si="59"/>
        <v>0</v>
      </c>
    </row>
    <row r="169" spans="1:9" x14ac:dyDescent="0.25">
      <c r="A169" t="s">
        <v>8894</v>
      </c>
      <c r="B169" s="58" t="s">
        <v>1167</v>
      </c>
      <c r="C169" s="58"/>
      <c r="D169" s="58" t="s">
        <v>2707</v>
      </c>
      <c r="E169" s="58"/>
      <c r="F169" s="58"/>
      <c r="G169" s="58">
        <f t="shared" si="58"/>
        <v>14</v>
      </c>
      <c r="H169" s="72">
        <f>COUNTIFS(LIST2!$B:$B,CONTROLLER!B169,LIST2!$W:$W,CONTROLLER!D169,LIST2!$S:$S,"&gt;0")</f>
        <v>0</v>
      </c>
      <c r="I169">
        <f t="shared" si="59"/>
        <v>0</v>
      </c>
    </row>
    <row r="170" spans="1:9" x14ac:dyDescent="0.25">
      <c r="A170" t="s">
        <v>8894</v>
      </c>
      <c r="B170" s="58" t="s">
        <v>1167</v>
      </c>
      <c r="C170" s="58"/>
      <c r="D170" s="58" t="s">
        <v>2716</v>
      </c>
      <c r="E170" s="58"/>
      <c r="F170" s="58"/>
      <c r="G170" s="58">
        <f t="shared" si="58"/>
        <v>6</v>
      </c>
      <c r="H170" s="72">
        <f>COUNTIFS(LIST2!$B:$B,CONTROLLER!B170,LIST2!$W:$W,CONTROLLER!D170,LIST2!$S:$S,"&gt;0")</f>
        <v>0</v>
      </c>
      <c r="I170">
        <f t="shared" si="59"/>
        <v>0</v>
      </c>
    </row>
    <row r="171" spans="1:9" x14ac:dyDescent="0.25">
      <c r="A171" t="s">
        <v>8894</v>
      </c>
      <c r="B171" s="58" t="s">
        <v>1167</v>
      </c>
      <c r="C171" s="58"/>
      <c r="D171" s="58" t="s">
        <v>2705</v>
      </c>
      <c r="E171" s="58"/>
      <c r="F171" s="58"/>
      <c r="G171" s="58">
        <f t="shared" si="58"/>
        <v>10</v>
      </c>
      <c r="H171" s="72">
        <f>COUNTIFS(LIST2!$B:$B,CONTROLLER!B171,LIST2!$W:$W,CONTROLLER!D171,LIST2!$S:$S,"&gt;0")</f>
        <v>0</v>
      </c>
      <c r="I171">
        <f t="shared" si="59"/>
        <v>0</v>
      </c>
    </row>
    <row r="172" spans="1:9" x14ac:dyDescent="0.25">
      <c r="A172" t="s">
        <v>8894</v>
      </c>
      <c r="B172" s="58" t="s">
        <v>1167</v>
      </c>
      <c r="C172" s="58"/>
      <c r="D172" s="58" t="s">
        <v>2719</v>
      </c>
      <c r="E172" s="58"/>
      <c r="F172" s="58"/>
      <c r="G172" s="58">
        <f t="shared" si="58"/>
        <v>20</v>
      </c>
      <c r="H172" s="72">
        <f>COUNTIFS(LIST2!$B:$B,CONTROLLER!B172,LIST2!$W:$W,CONTROLLER!D172,LIST2!$S:$S,"&gt;0")</f>
        <v>0</v>
      </c>
      <c r="I172">
        <f t="shared" si="59"/>
        <v>0</v>
      </c>
    </row>
    <row r="173" spans="1:9" x14ac:dyDescent="0.25">
      <c r="A173" t="s">
        <v>8894</v>
      </c>
      <c r="B173" s="58" t="s">
        <v>1167</v>
      </c>
      <c r="C173" s="58"/>
      <c r="D173" s="58" t="s">
        <v>8896</v>
      </c>
      <c r="E173" s="58"/>
      <c r="F173" s="58"/>
      <c r="G173" s="58">
        <f t="shared" si="58"/>
        <v>18</v>
      </c>
      <c r="H173" s="72">
        <f>COUNTIFS(LIST2!$B:$B,CONTROLLER!B173,LIST2!$W:$W,CONTROLLER!D173,LIST2!$S:$S,"&gt;0")</f>
        <v>4</v>
      </c>
      <c r="I173">
        <f t="shared" si="59"/>
        <v>72</v>
      </c>
    </row>
    <row r="174" spans="1:9" x14ac:dyDescent="0.25">
      <c r="A174" t="s">
        <v>8894</v>
      </c>
      <c r="B174" s="58" t="s">
        <v>1167</v>
      </c>
      <c r="C174" s="58"/>
      <c r="D174" s="58" t="s">
        <v>2708</v>
      </c>
      <c r="E174" s="58"/>
      <c r="F174" s="58"/>
      <c r="G174" s="58">
        <f t="shared" si="58"/>
        <v>10</v>
      </c>
      <c r="H174" s="72">
        <f>COUNTIFS(LIST2!$B:$B,CONTROLLER!B174,LIST2!$W:$W,CONTROLLER!D174,LIST2!$S:$S,"&gt;0")</f>
        <v>0</v>
      </c>
      <c r="I174">
        <f t="shared" si="59"/>
        <v>0</v>
      </c>
    </row>
    <row r="175" spans="1:9" x14ac:dyDescent="0.25">
      <c r="A175" t="s">
        <v>8894</v>
      </c>
      <c r="B175" s="58" t="s">
        <v>1167</v>
      </c>
      <c r="C175" s="58"/>
      <c r="D175" s="58" t="s">
        <v>8898</v>
      </c>
      <c r="E175" s="58"/>
      <c r="F175" s="58"/>
      <c r="G175" s="58">
        <f t="shared" si="58"/>
        <v>18</v>
      </c>
      <c r="H175" s="72">
        <f>COUNTIFS(LIST2!$B:$B,CONTROLLER!B175,LIST2!$W:$W,CONTROLLER!D175,LIST2!$S:$S,"&gt;0")</f>
        <v>1</v>
      </c>
      <c r="I175">
        <f t="shared" si="59"/>
        <v>18</v>
      </c>
    </row>
    <row r="176" spans="1:9" x14ac:dyDescent="0.25">
      <c r="B176" s="58"/>
      <c r="C176" s="58"/>
      <c r="D176" s="58"/>
      <c r="E176" s="58"/>
      <c r="F176" s="58"/>
      <c r="G176" s="58"/>
      <c r="H176" s="72"/>
    </row>
    <row r="177" spans="1:9" x14ac:dyDescent="0.25">
      <c r="A177" t="s">
        <v>8894</v>
      </c>
      <c r="B177" s="58" t="s">
        <v>12320</v>
      </c>
      <c r="C177" s="58"/>
      <c r="D177" s="58" t="s">
        <v>2714</v>
      </c>
      <c r="E177" s="58"/>
      <c r="F177" s="58"/>
      <c r="G177" s="58">
        <f t="shared" ref="G177:G194" si="60">SUMIF($L:$L,D177,$M:$M)</f>
        <v>30</v>
      </c>
      <c r="H177" s="72">
        <f>COUNTIFS(LIST2!$B:$B,CONTROLLER!B177,LIST2!$W:$W,CONTROLLER!D177,LIST2!$S:$S,"&gt;0")</f>
        <v>0</v>
      </c>
      <c r="I177">
        <f t="shared" ref="I177:I194" si="61">G177*H177</f>
        <v>0</v>
      </c>
    </row>
    <row r="178" spans="1:9" x14ac:dyDescent="0.25">
      <c r="A178" t="s">
        <v>8894</v>
      </c>
      <c r="B178" s="58" t="s">
        <v>12320</v>
      </c>
      <c r="C178" s="58"/>
      <c r="D178" s="58" t="s">
        <v>2715</v>
      </c>
      <c r="E178" s="58"/>
      <c r="F178" s="58"/>
      <c r="G178" s="58">
        <f t="shared" si="60"/>
        <v>12</v>
      </c>
      <c r="H178" s="72">
        <f>COUNTIFS(LIST2!$B:$B,CONTROLLER!B178,LIST2!$W:$W,CONTROLLER!D178,LIST2!$S:$S,"&gt;0")</f>
        <v>5</v>
      </c>
      <c r="I178">
        <f t="shared" si="61"/>
        <v>60</v>
      </c>
    </row>
    <row r="179" spans="1:9" x14ac:dyDescent="0.25">
      <c r="A179" t="s">
        <v>8894</v>
      </c>
      <c r="B179" s="58" t="s">
        <v>12320</v>
      </c>
      <c r="C179" s="58"/>
      <c r="D179" s="58" t="s">
        <v>2710</v>
      </c>
      <c r="E179" s="58"/>
      <c r="F179" s="58"/>
      <c r="G179" s="58">
        <f t="shared" si="60"/>
        <v>10</v>
      </c>
      <c r="H179" s="72">
        <f>COUNTIFS(LIST2!$B:$B,CONTROLLER!B179,LIST2!$W:$W,CONTROLLER!D179,LIST2!$S:$S,"&gt;0")</f>
        <v>0</v>
      </c>
      <c r="I179">
        <f t="shared" si="61"/>
        <v>0</v>
      </c>
    </row>
    <row r="180" spans="1:9" x14ac:dyDescent="0.25">
      <c r="A180" t="s">
        <v>8894</v>
      </c>
      <c r="B180" s="58" t="s">
        <v>12320</v>
      </c>
      <c r="C180" s="58"/>
      <c r="D180" s="58" t="s">
        <v>2717</v>
      </c>
      <c r="E180" s="58"/>
      <c r="F180" s="58"/>
      <c r="G180" s="58">
        <f t="shared" si="60"/>
        <v>6</v>
      </c>
      <c r="H180" s="72">
        <f>COUNTIFS(LIST2!$B:$B,CONTROLLER!B180,LIST2!$W:$W,CONTROLLER!D180,LIST2!$S:$S,"&gt;0")</f>
        <v>0</v>
      </c>
      <c r="I180">
        <f t="shared" si="61"/>
        <v>0</v>
      </c>
    </row>
    <row r="181" spans="1:9" x14ac:dyDescent="0.25">
      <c r="A181" t="s">
        <v>8894</v>
      </c>
      <c r="B181" s="58" t="s">
        <v>12320</v>
      </c>
      <c r="C181" s="58"/>
      <c r="D181" s="58" t="s">
        <v>2706</v>
      </c>
      <c r="E181" s="58"/>
      <c r="F181" s="58"/>
      <c r="G181" s="58">
        <f t="shared" si="60"/>
        <v>7</v>
      </c>
      <c r="H181" s="72">
        <f>COUNTIFS(LIST2!$B:$B,CONTROLLER!B181,LIST2!$W:$W,CONTROLLER!D181,LIST2!$S:$S,"&gt;0")</f>
        <v>2</v>
      </c>
      <c r="I181">
        <f t="shared" si="61"/>
        <v>14</v>
      </c>
    </row>
    <row r="182" spans="1:9" x14ac:dyDescent="0.25">
      <c r="A182" t="s">
        <v>8894</v>
      </c>
      <c r="B182" s="58" t="s">
        <v>12320</v>
      </c>
      <c r="C182" s="58"/>
      <c r="D182" s="58" t="s">
        <v>2712</v>
      </c>
      <c r="E182" s="58"/>
      <c r="F182" s="58"/>
      <c r="G182" s="58">
        <f t="shared" si="60"/>
        <v>7</v>
      </c>
      <c r="H182" s="72">
        <f>COUNTIFS(LIST2!$B:$B,CONTROLLER!B182,LIST2!$W:$W,CONTROLLER!D182,LIST2!$S:$S,"&gt;0")</f>
        <v>2</v>
      </c>
      <c r="I182">
        <f t="shared" si="61"/>
        <v>14</v>
      </c>
    </row>
    <row r="183" spans="1:9" x14ac:dyDescent="0.25">
      <c r="A183" t="s">
        <v>8894</v>
      </c>
      <c r="B183" s="58" t="s">
        <v>12320</v>
      </c>
      <c r="C183" s="58"/>
      <c r="D183" s="58" t="s">
        <v>2711</v>
      </c>
      <c r="E183" s="58"/>
      <c r="F183" s="58"/>
      <c r="G183" s="58">
        <f t="shared" si="60"/>
        <v>14</v>
      </c>
      <c r="H183" s="72">
        <f>COUNTIFS(LIST2!$B:$B,CONTROLLER!B183,LIST2!$W:$W,CONTROLLER!D183,LIST2!$S:$S,"&gt;0")</f>
        <v>7</v>
      </c>
      <c r="I183">
        <f t="shared" si="61"/>
        <v>98</v>
      </c>
    </row>
    <row r="184" spans="1:9" x14ac:dyDescent="0.25">
      <c r="A184" t="s">
        <v>8894</v>
      </c>
      <c r="B184" s="58" t="s">
        <v>12320</v>
      </c>
      <c r="C184" s="58"/>
      <c r="D184" s="58" t="s">
        <v>2713</v>
      </c>
      <c r="E184" s="58"/>
      <c r="F184" s="58"/>
      <c r="G184" s="58">
        <f t="shared" si="60"/>
        <v>32</v>
      </c>
      <c r="H184" s="72">
        <f>COUNTIFS(LIST2!$B:$B,CONTROLLER!B184,LIST2!$W:$W,CONTROLLER!D184,LIST2!$S:$S,"&gt;0")</f>
        <v>2</v>
      </c>
      <c r="I184">
        <f t="shared" si="61"/>
        <v>64</v>
      </c>
    </row>
    <row r="185" spans="1:9" x14ac:dyDescent="0.25">
      <c r="A185" t="s">
        <v>8894</v>
      </c>
      <c r="B185" s="58" t="s">
        <v>12320</v>
      </c>
      <c r="C185" s="58"/>
      <c r="D185" s="58" t="s">
        <v>2718</v>
      </c>
      <c r="E185" s="58"/>
      <c r="F185" s="58"/>
      <c r="G185" s="58">
        <f t="shared" si="60"/>
        <v>14</v>
      </c>
      <c r="H185" s="72">
        <f>COUNTIFS(LIST2!$B:$B,CONTROLLER!B185,LIST2!$W:$W,CONTROLLER!D185,LIST2!$S:$S,"&gt;0")</f>
        <v>0</v>
      </c>
      <c r="I185">
        <f t="shared" si="61"/>
        <v>0</v>
      </c>
    </row>
    <row r="186" spans="1:9" x14ac:dyDescent="0.25">
      <c r="A186" t="s">
        <v>8894</v>
      </c>
      <c r="B186" s="58" t="s">
        <v>12320</v>
      </c>
      <c r="C186" s="58"/>
      <c r="D186" s="58" t="s">
        <v>236</v>
      </c>
      <c r="E186" s="58"/>
      <c r="F186" s="58"/>
      <c r="G186" s="58">
        <f t="shared" si="60"/>
        <v>8</v>
      </c>
      <c r="H186" s="72">
        <f>COUNTIFS(LIST2!$B:$B,CONTROLLER!B186,LIST2!$W:$W,CONTROLLER!D186,LIST2!$S:$S,"&gt;0")</f>
        <v>0</v>
      </c>
      <c r="I186">
        <f t="shared" si="61"/>
        <v>0</v>
      </c>
    </row>
    <row r="187" spans="1:9" x14ac:dyDescent="0.25">
      <c r="A187" t="s">
        <v>8894</v>
      </c>
      <c r="B187" s="58" t="s">
        <v>12320</v>
      </c>
      <c r="C187" s="58"/>
      <c r="D187" s="58" t="s">
        <v>2707</v>
      </c>
      <c r="E187" s="58"/>
      <c r="F187" s="58"/>
      <c r="G187" s="58">
        <f t="shared" si="60"/>
        <v>14</v>
      </c>
      <c r="H187" s="72">
        <f>COUNTIFS(LIST2!$B:$B,CONTROLLER!B187,LIST2!$W:$W,CONTROLLER!D187,LIST2!$S:$S,"&gt;0")</f>
        <v>0</v>
      </c>
      <c r="I187">
        <f t="shared" si="61"/>
        <v>0</v>
      </c>
    </row>
    <row r="188" spans="1:9" x14ac:dyDescent="0.25">
      <c r="A188" t="s">
        <v>8894</v>
      </c>
      <c r="B188" s="58" t="s">
        <v>12320</v>
      </c>
      <c r="C188" s="58"/>
      <c r="D188" s="58" t="s">
        <v>2716</v>
      </c>
      <c r="E188" s="58"/>
      <c r="F188" s="58"/>
      <c r="G188" s="58">
        <f t="shared" si="60"/>
        <v>6</v>
      </c>
      <c r="H188" s="72">
        <f>COUNTIFS(LIST2!$B:$B,CONTROLLER!B188,LIST2!$W:$W,CONTROLLER!D188,LIST2!$S:$S,"&gt;0")</f>
        <v>0</v>
      </c>
      <c r="I188">
        <f t="shared" si="61"/>
        <v>0</v>
      </c>
    </row>
    <row r="189" spans="1:9" x14ac:dyDescent="0.25">
      <c r="A189" t="s">
        <v>8894</v>
      </c>
      <c r="B189" s="58" t="s">
        <v>12320</v>
      </c>
      <c r="C189" s="58"/>
      <c r="D189" s="58" t="s">
        <v>2705</v>
      </c>
      <c r="E189" s="58"/>
      <c r="F189" s="58"/>
      <c r="G189" s="58">
        <f t="shared" si="60"/>
        <v>10</v>
      </c>
      <c r="H189" s="72">
        <f>COUNTIFS(LIST2!$B:$B,CONTROLLER!B189,LIST2!$W:$W,CONTROLLER!D189,LIST2!$S:$S,"&gt;0")</f>
        <v>0</v>
      </c>
      <c r="I189">
        <f t="shared" si="61"/>
        <v>0</v>
      </c>
    </row>
    <row r="190" spans="1:9" x14ac:dyDescent="0.25">
      <c r="A190" t="s">
        <v>8894</v>
      </c>
      <c r="B190" s="58" t="s">
        <v>12320</v>
      </c>
      <c r="C190" s="58"/>
      <c r="D190" s="58" t="s">
        <v>2719</v>
      </c>
      <c r="E190" s="58"/>
      <c r="F190" s="58"/>
      <c r="G190" s="58">
        <f t="shared" si="60"/>
        <v>20</v>
      </c>
      <c r="H190" s="72">
        <f>COUNTIFS(LIST2!$B:$B,CONTROLLER!B190,LIST2!$W:$W,CONTROLLER!D190,LIST2!$S:$S,"&gt;0")</f>
        <v>0</v>
      </c>
      <c r="I190">
        <f t="shared" si="61"/>
        <v>0</v>
      </c>
    </row>
    <row r="191" spans="1:9" x14ac:dyDescent="0.25">
      <c r="A191" t="s">
        <v>8894</v>
      </c>
      <c r="B191" s="58" t="s">
        <v>12320</v>
      </c>
      <c r="C191" s="58"/>
      <c r="D191" s="58" t="s">
        <v>8896</v>
      </c>
      <c r="E191" s="58"/>
      <c r="F191" s="58"/>
      <c r="G191" s="58">
        <f t="shared" si="60"/>
        <v>18</v>
      </c>
      <c r="H191" s="72">
        <f>COUNTIFS(LIST2!$B:$B,CONTROLLER!B191,LIST2!$W:$W,CONTROLLER!D191,LIST2!$S:$S,"&gt;0")</f>
        <v>6</v>
      </c>
      <c r="I191">
        <f t="shared" si="61"/>
        <v>108</v>
      </c>
    </row>
    <row r="192" spans="1:9" x14ac:dyDescent="0.25">
      <c r="A192" t="s">
        <v>8894</v>
      </c>
      <c r="B192" s="58" t="s">
        <v>12320</v>
      </c>
      <c r="C192" s="58"/>
      <c r="D192" s="58" t="s">
        <v>2708</v>
      </c>
      <c r="E192" s="58"/>
      <c r="F192" s="58"/>
      <c r="G192" s="58">
        <f t="shared" si="60"/>
        <v>10</v>
      </c>
      <c r="H192" s="72">
        <f>COUNTIFS(LIST2!$B:$B,CONTROLLER!B192,LIST2!$W:$W,CONTROLLER!D192,LIST2!$S:$S,"&gt;0")</f>
        <v>0</v>
      </c>
      <c r="I192">
        <f t="shared" si="61"/>
        <v>0</v>
      </c>
    </row>
    <row r="193" spans="1:9" x14ac:dyDescent="0.25">
      <c r="A193" t="s">
        <v>8894</v>
      </c>
      <c r="B193" s="58" t="s">
        <v>12320</v>
      </c>
      <c r="C193" s="58"/>
      <c r="D193" s="58" t="s">
        <v>8898</v>
      </c>
      <c r="E193" s="58"/>
      <c r="F193" s="58"/>
      <c r="G193" s="58">
        <f t="shared" si="60"/>
        <v>18</v>
      </c>
      <c r="H193" s="72">
        <f>COUNTIFS(LIST2!$B:$B,CONTROLLER!B193,LIST2!$W:$W,CONTROLLER!D193,LIST2!$S:$S,"&gt;0")</f>
        <v>2</v>
      </c>
      <c r="I193">
        <f t="shared" si="61"/>
        <v>36</v>
      </c>
    </row>
    <row r="194" spans="1:9" x14ac:dyDescent="0.25">
      <c r="A194" t="s">
        <v>8894</v>
      </c>
      <c r="B194" s="58" t="s">
        <v>12320</v>
      </c>
      <c r="C194" s="58"/>
      <c r="D194" s="58" t="s">
        <v>9593</v>
      </c>
      <c r="E194" s="58"/>
      <c r="F194" s="58"/>
      <c r="G194" s="58">
        <f t="shared" si="60"/>
        <v>6</v>
      </c>
      <c r="H194" s="72">
        <f>COUNTIFS(LIST2!$B:$B,CONTROLLER!B194,LIST2!$W:$W,CONTROLLER!D194,LIST2!$S:$S,"&gt;0")</f>
        <v>0</v>
      </c>
      <c r="I194">
        <f t="shared" si="61"/>
        <v>0</v>
      </c>
    </row>
    <row r="195" spans="1:9" x14ac:dyDescent="0.25">
      <c r="B195" s="58"/>
      <c r="C195" s="58"/>
      <c r="D195" s="58"/>
      <c r="E195" s="58"/>
      <c r="F195" s="58"/>
      <c r="G195" s="58"/>
    </row>
    <row r="196" spans="1:9" x14ac:dyDescent="0.25">
      <c r="A196" t="s">
        <v>8894</v>
      </c>
      <c r="B196" s="58" t="s">
        <v>14095</v>
      </c>
      <c r="C196" s="58"/>
      <c r="D196" s="58" t="s">
        <v>2714</v>
      </c>
      <c r="E196" s="58"/>
      <c r="F196" s="58"/>
      <c r="G196" s="58">
        <f t="shared" ref="G196:G213" si="62">SUMIF($L:$L,D196,$M:$M)</f>
        <v>30</v>
      </c>
      <c r="H196" s="72">
        <f>COUNTIFS(LIST2!$B:$B,CONTROLLER!B196,LIST2!$W:$W,CONTROLLER!D196,LIST2!$S:$S,"&gt;0")</f>
        <v>0</v>
      </c>
      <c r="I196">
        <f t="shared" ref="I196:I213" si="63">G196*H196</f>
        <v>0</v>
      </c>
    </row>
    <row r="197" spans="1:9" x14ac:dyDescent="0.25">
      <c r="A197" t="s">
        <v>8894</v>
      </c>
      <c r="B197" s="58" t="s">
        <v>14095</v>
      </c>
      <c r="C197" s="58"/>
      <c r="D197" s="58" t="s">
        <v>2715</v>
      </c>
      <c r="E197" s="58"/>
      <c r="F197" s="58"/>
      <c r="G197" s="58">
        <f t="shared" si="62"/>
        <v>12</v>
      </c>
      <c r="H197" s="72">
        <f>COUNTIFS(LIST2!$B:$B,CONTROLLER!B197,LIST2!$W:$W,CONTROLLER!D197,LIST2!$S:$S,"&gt;0")</f>
        <v>1</v>
      </c>
      <c r="I197">
        <f t="shared" si="63"/>
        <v>12</v>
      </c>
    </row>
    <row r="198" spans="1:9" x14ac:dyDescent="0.25">
      <c r="A198" t="s">
        <v>8894</v>
      </c>
      <c r="B198" s="58" t="s">
        <v>14095</v>
      </c>
      <c r="C198" s="58"/>
      <c r="D198" s="58" t="s">
        <v>2710</v>
      </c>
      <c r="E198" s="58"/>
      <c r="F198" s="58"/>
      <c r="G198" s="58">
        <f t="shared" si="62"/>
        <v>10</v>
      </c>
      <c r="H198" s="72">
        <f>COUNTIFS(LIST2!$B:$B,CONTROLLER!B198,LIST2!$W:$W,CONTROLLER!D198,LIST2!$S:$S,"&gt;0")</f>
        <v>0</v>
      </c>
      <c r="I198">
        <f t="shared" si="63"/>
        <v>0</v>
      </c>
    </row>
    <row r="199" spans="1:9" x14ac:dyDescent="0.25">
      <c r="A199" t="s">
        <v>8894</v>
      </c>
      <c r="B199" s="58" t="s">
        <v>14095</v>
      </c>
      <c r="C199" s="58"/>
      <c r="D199" s="58" t="s">
        <v>2717</v>
      </c>
      <c r="E199" s="58"/>
      <c r="F199" s="58"/>
      <c r="G199" s="58">
        <f t="shared" si="62"/>
        <v>6</v>
      </c>
      <c r="H199" s="72">
        <f>COUNTIFS(LIST2!$B:$B,CONTROLLER!B199,LIST2!$W:$W,CONTROLLER!D199,LIST2!$S:$S,"&gt;0")</f>
        <v>0</v>
      </c>
      <c r="I199">
        <f t="shared" si="63"/>
        <v>0</v>
      </c>
    </row>
    <row r="200" spans="1:9" x14ac:dyDescent="0.25">
      <c r="A200" t="s">
        <v>8894</v>
      </c>
      <c r="B200" s="58" t="s">
        <v>14095</v>
      </c>
      <c r="C200" s="58"/>
      <c r="D200" s="58" t="s">
        <v>2706</v>
      </c>
      <c r="E200" s="58"/>
      <c r="F200" s="58"/>
      <c r="G200" s="58">
        <f t="shared" si="62"/>
        <v>7</v>
      </c>
      <c r="H200" s="72">
        <f>COUNTIFS(LIST2!$B:$B,CONTROLLER!B200,LIST2!$W:$W,CONTROLLER!D200,LIST2!$S:$S,"&gt;0")</f>
        <v>0</v>
      </c>
      <c r="I200">
        <f t="shared" si="63"/>
        <v>0</v>
      </c>
    </row>
    <row r="201" spans="1:9" x14ac:dyDescent="0.25">
      <c r="A201" t="s">
        <v>8894</v>
      </c>
      <c r="B201" s="58" t="s">
        <v>14095</v>
      </c>
      <c r="C201" s="58"/>
      <c r="D201" s="58" t="s">
        <v>2712</v>
      </c>
      <c r="E201" s="58"/>
      <c r="F201" s="58"/>
      <c r="G201" s="58">
        <f t="shared" si="62"/>
        <v>7</v>
      </c>
      <c r="H201" s="72">
        <f>COUNTIFS(LIST2!$B:$B,CONTROLLER!B201,LIST2!$W:$W,CONTROLLER!D201,LIST2!$S:$S,"&gt;0")</f>
        <v>0</v>
      </c>
      <c r="I201">
        <f t="shared" si="63"/>
        <v>0</v>
      </c>
    </row>
    <row r="202" spans="1:9" x14ac:dyDescent="0.25">
      <c r="A202" t="s">
        <v>8894</v>
      </c>
      <c r="B202" s="58" t="s">
        <v>14095</v>
      </c>
      <c r="C202" s="58"/>
      <c r="D202" s="58" t="s">
        <v>2711</v>
      </c>
      <c r="E202" s="58"/>
      <c r="F202" s="58"/>
      <c r="G202" s="58">
        <f t="shared" si="62"/>
        <v>14</v>
      </c>
      <c r="H202" s="72">
        <f>COUNTIFS(LIST2!$B:$B,CONTROLLER!B202,LIST2!$W:$W,CONTROLLER!D202,LIST2!$S:$S,"&gt;0")</f>
        <v>0</v>
      </c>
      <c r="I202">
        <f t="shared" si="63"/>
        <v>0</v>
      </c>
    </row>
    <row r="203" spans="1:9" x14ac:dyDescent="0.25">
      <c r="A203" t="s">
        <v>8894</v>
      </c>
      <c r="B203" s="58" t="s">
        <v>14095</v>
      </c>
      <c r="C203" s="58"/>
      <c r="D203" s="58" t="s">
        <v>2713</v>
      </c>
      <c r="E203" s="58"/>
      <c r="F203" s="58"/>
      <c r="G203" s="58">
        <f t="shared" si="62"/>
        <v>32</v>
      </c>
      <c r="H203" s="72">
        <f>COUNTIFS(LIST2!$B:$B,CONTROLLER!B203,LIST2!$W:$W,CONTROLLER!D203,LIST2!$S:$S,"&gt;0")</f>
        <v>0</v>
      </c>
      <c r="I203">
        <f t="shared" si="63"/>
        <v>0</v>
      </c>
    </row>
    <row r="204" spans="1:9" x14ac:dyDescent="0.25">
      <c r="A204" t="s">
        <v>8894</v>
      </c>
      <c r="B204" s="58" t="s">
        <v>14095</v>
      </c>
      <c r="C204" s="58"/>
      <c r="D204" s="58" t="s">
        <v>2718</v>
      </c>
      <c r="E204" s="58"/>
      <c r="F204" s="58"/>
      <c r="G204" s="58">
        <f t="shared" si="62"/>
        <v>14</v>
      </c>
      <c r="H204" s="72">
        <f>COUNTIFS(LIST2!$B:$B,CONTROLLER!B204,LIST2!$W:$W,CONTROLLER!D204,LIST2!$S:$S,"&gt;0")</f>
        <v>0</v>
      </c>
      <c r="I204">
        <f t="shared" si="63"/>
        <v>0</v>
      </c>
    </row>
    <row r="205" spans="1:9" x14ac:dyDescent="0.25">
      <c r="A205" t="s">
        <v>8894</v>
      </c>
      <c r="B205" s="58" t="s">
        <v>14095</v>
      </c>
      <c r="C205" s="58"/>
      <c r="D205" s="58" t="s">
        <v>236</v>
      </c>
      <c r="E205" s="58"/>
      <c r="F205" s="58"/>
      <c r="G205" s="58">
        <f t="shared" si="62"/>
        <v>8</v>
      </c>
      <c r="H205" s="72">
        <f>COUNTIFS(LIST2!$B:$B,CONTROLLER!B205,LIST2!$W:$W,CONTROLLER!D205,LIST2!$S:$S,"&gt;0")</f>
        <v>0</v>
      </c>
      <c r="I205">
        <f t="shared" si="63"/>
        <v>0</v>
      </c>
    </row>
    <row r="206" spans="1:9" x14ac:dyDescent="0.25">
      <c r="A206" t="s">
        <v>8894</v>
      </c>
      <c r="B206" s="58" t="s">
        <v>14095</v>
      </c>
      <c r="C206" s="58"/>
      <c r="D206" s="58" t="s">
        <v>2707</v>
      </c>
      <c r="E206" s="58"/>
      <c r="F206" s="58"/>
      <c r="G206" s="58">
        <f t="shared" si="62"/>
        <v>14</v>
      </c>
      <c r="H206" s="72">
        <f>COUNTIFS(LIST2!$B:$B,CONTROLLER!B206,LIST2!$W:$W,CONTROLLER!D206,LIST2!$S:$S,"&gt;0")</f>
        <v>0</v>
      </c>
      <c r="I206">
        <f t="shared" si="63"/>
        <v>0</v>
      </c>
    </row>
    <row r="207" spans="1:9" x14ac:dyDescent="0.25">
      <c r="A207" t="s">
        <v>8894</v>
      </c>
      <c r="B207" s="58" t="s">
        <v>14095</v>
      </c>
      <c r="C207" s="58"/>
      <c r="D207" s="58" t="s">
        <v>2716</v>
      </c>
      <c r="E207" s="58"/>
      <c r="F207" s="58"/>
      <c r="G207" s="58">
        <f t="shared" si="62"/>
        <v>6</v>
      </c>
      <c r="H207" s="72">
        <f>COUNTIFS(LIST2!$B:$B,CONTROLLER!B207,LIST2!$W:$W,CONTROLLER!D207,LIST2!$S:$S,"&gt;0")</f>
        <v>0</v>
      </c>
      <c r="I207">
        <f t="shared" si="63"/>
        <v>0</v>
      </c>
    </row>
    <row r="208" spans="1:9" x14ac:dyDescent="0.25">
      <c r="A208" t="s">
        <v>8894</v>
      </c>
      <c r="B208" s="58" t="s">
        <v>14095</v>
      </c>
      <c r="C208" s="58"/>
      <c r="D208" s="58" t="s">
        <v>2705</v>
      </c>
      <c r="E208" s="58"/>
      <c r="F208" s="58"/>
      <c r="G208" s="58">
        <f t="shared" si="62"/>
        <v>10</v>
      </c>
      <c r="H208" s="72">
        <f>COUNTIFS(LIST2!$B:$B,CONTROLLER!B208,LIST2!$W:$W,CONTROLLER!D208,LIST2!$S:$S,"&gt;0")</f>
        <v>0</v>
      </c>
      <c r="I208">
        <f t="shared" si="63"/>
        <v>0</v>
      </c>
    </row>
    <row r="209" spans="1:9" x14ac:dyDescent="0.25">
      <c r="A209" t="s">
        <v>8894</v>
      </c>
      <c r="B209" s="58" t="s">
        <v>14095</v>
      </c>
      <c r="C209" s="58"/>
      <c r="D209" s="58" t="s">
        <v>2719</v>
      </c>
      <c r="E209" s="58"/>
      <c r="F209" s="58"/>
      <c r="G209" s="58">
        <f t="shared" si="62"/>
        <v>20</v>
      </c>
      <c r="H209" s="72">
        <f>COUNTIFS(LIST2!$B:$B,CONTROLLER!B209,LIST2!$W:$W,CONTROLLER!D209,LIST2!$S:$S,"&gt;0")</f>
        <v>0</v>
      </c>
      <c r="I209">
        <f t="shared" si="63"/>
        <v>0</v>
      </c>
    </row>
    <row r="210" spans="1:9" x14ac:dyDescent="0.25">
      <c r="A210" t="s">
        <v>8894</v>
      </c>
      <c r="B210" s="58" t="s">
        <v>14095</v>
      </c>
      <c r="C210" s="58"/>
      <c r="D210" s="58" t="s">
        <v>8896</v>
      </c>
      <c r="E210" s="58"/>
      <c r="F210" s="58"/>
      <c r="G210" s="58">
        <f t="shared" si="62"/>
        <v>18</v>
      </c>
      <c r="H210" s="72">
        <f>COUNTIFS(LIST2!$B:$B,CONTROLLER!B210,LIST2!$W:$W,CONTROLLER!D210,LIST2!$S:$S,"&gt;0")</f>
        <v>5</v>
      </c>
      <c r="I210">
        <f t="shared" si="63"/>
        <v>90</v>
      </c>
    </row>
    <row r="211" spans="1:9" x14ac:dyDescent="0.25">
      <c r="A211" t="s">
        <v>8894</v>
      </c>
      <c r="B211" s="58" t="s">
        <v>14095</v>
      </c>
      <c r="C211" s="58"/>
      <c r="D211" s="58" t="s">
        <v>2708</v>
      </c>
      <c r="E211" s="58"/>
      <c r="F211" s="58"/>
      <c r="G211" s="58">
        <f t="shared" si="62"/>
        <v>10</v>
      </c>
      <c r="H211" s="72">
        <f>COUNTIFS(LIST2!$B:$B,CONTROLLER!B211,LIST2!$W:$W,CONTROLLER!D211,LIST2!$S:$S,"&gt;0")</f>
        <v>0</v>
      </c>
      <c r="I211">
        <f t="shared" si="63"/>
        <v>0</v>
      </c>
    </row>
    <row r="212" spans="1:9" x14ac:dyDescent="0.25">
      <c r="A212" t="s">
        <v>8894</v>
      </c>
      <c r="B212" s="58" t="s">
        <v>14095</v>
      </c>
      <c r="C212" s="58"/>
      <c r="D212" s="58" t="s">
        <v>8898</v>
      </c>
      <c r="E212" s="58"/>
      <c r="F212" s="58"/>
      <c r="G212" s="58">
        <f t="shared" si="62"/>
        <v>18</v>
      </c>
      <c r="H212" s="72">
        <f>COUNTIFS(LIST2!$B:$B,CONTROLLER!B212,LIST2!$W:$W,CONTROLLER!D212,LIST2!$S:$S,"&gt;0")</f>
        <v>2</v>
      </c>
      <c r="I212">
        <f t="shared" si="63"/>
        <v>36</v>
      </c>
    </row>
    <row r="213" spans="1:9" x14ac:dyDescent="0.25">
      <c r="A213" t="s">
        <v>8894</v>
      </c>
      <c r="B213" s="58" t="s">
        <v>14095</v>
      </c>
      <c r="C213" s="58"/>
      <c r="D213" s="58" t="s">
        <v>9593</v>
      </c>
      <c r="E213" s="58"/>
      <c r="F213" s="58"/>
      <c r="G213" s="58">
        <f t="shared" si="62"/>
        <v>6</v>
      </c>
      <c r="H213" s="72">
        <f>COUNTIFS(LIST2!$B:$B,CONTROLLER!B213,LIST2!$W:$W,CONTROLLER!D213,LIST2!$S:$S,"&gt;0")</f>
        <v>0</v>
      </c>
      <c r="I213">
        <f t="shared" si="63"/>
        <v>0</v>
      </c>
    </row>
    <row r="214" spans="1:9" x14ac:dyDescent="0.25">
      <c r="B214" s="58"/>
      <c r="C214" s="58"/>
      <c r="D214" s="58"/>
      <c r="E214" s="58"/>
      <c r="F214" s="58"/>
      <c r="G214" s="58"/>
    </row>
    <row r="215" spans="1:9" x14ac:dyDescent="0.25">
      <c r="B215" s="58"/>
      <c r="C215" s="58"/>
      <c r="D215" s="58"/>
      <c r="E215" s="58"/>
      <c r="F215" s="58"/>
      <c r="G215" s="58"/>
    </row>
    <row r="216" spans="1:9" x14ac:dyDescent="0.25">
      <c r="B216" s="58"/>
      <c r="C216" s="58"/>
      <c r="D216" s="58"/>
      <c r="E216" s="58"/>
      <c r="F216" s="58"/>
      <c r="G216" s="58"/>
    </row>
    <row r="217" spans="1:9" x14ac:dyDescent="0.25">
      <c r="B217" s="58"/>
      <c r="C217" s="58"/>
      <c r="D217" s="58"/>
      <c r="E217" s="58"/>
      <c r="F217" s="58"/>
      <c r="G217" s="58"/>
    </row>
    <row r="218" spans="1:9" x14ac:dyDescent="0.25">
      <c r="B218" s="58"/>
      <c r="C218" s="58"/>
      <c r="D218" s="58"/>
      <c r="E218" s="58"/>
      <c r="F218" s="58"/>
      <c r="G218" s="58"/>
    </row>
    <row r="219" spans="1:9" x14ac:dyDescent="0.25">
      <c r="B219" s="58"/>
      <c r="C219" s="58"/>
      <c r="D219" s="58"/>
      <c r="E219" s="58"/>
      <c r="F219" s="58"/>
      <c r="G219" s="58"/>
    </row>
    <row r="220" spans="1:9" x14ac:dyDescent="0.25">
      <c r="B220" s="58"/>
      <c r="C220" s="58"/>
      <c r="D220" s="58"/>
      <c r="E220" s="58"/>
      <c r="F220" s="58"/>
      <c r="G220" s="58"/>
    </row>
    <row r="221" spans="1:9" x14ac:dyDescent="0.25">
      <c r="B221" s="58"/>
      <c r="C221" s="58"/>
      <c r="D221" s="58"/>
      <c r="E221" s="58"/>
      <c r="F221" s="58"/>
      <c r="G221" s="58"/>
    </row>
    <row r="222" spans="1:9" x14ac:dyDescent="0.25">
      <c r="B222" s="58"/>
      <c r="C222" s="58"/>
      <c r="D222" s="58"/>
      <c r="E222" s="58"/>
      <c r="F222" s="58"/>
      <c r="G222" s="58"/>
    </row>
    <row r="223" spans="1:9" x14ac:dyDescent="0.25">
      <c r="B223" s="58"/>
      <c r="C223" s="58"/>
      <c r="D223" s="58"/>
      <c r="E223" s="58"/>
      <c r="F223" s="58"/>
      <c r="G223" s="58"/>
    </row>
    <row r="224" spans="1:9" x14ac:dyDescent="0.25">
      <c r="B224" s="58"/>
      <c r="C224" s="58"/>
      <c r="D224" s="58"/>
      <c r="E224" s="58"/>
      <c r="F224" s="58"/>
      <c r="G224" s="58"/>
    </row>
    <row r="225" spans="2:7" x14ac:dyDescent="0.25">
      <c r="B225" s="58"/>
      <c r="C225" s="58"/>
      <c r="D225" s="58"/>
      <c r="E225" s="58"/>
      <c r="F225" s="58"/>
      <c r="G225" s="58"/>
    </row>
    <row r="226" spans="2:7" x14ac:dyDescent="0.25">
      <c r="B226" s="58"/>
      <c r="C226" s="58"/>
      <c r="D226" s="58"/>
      <c r="E226" s="58"/>
      <c r="F226" s="58"/>
      <c r="G226" s="58"/>
    </row>
    <row r="227" spans="2:7" x14ac:dyDescent="0.25">
      <c r="B227" s="58"/>
      <c r="C227" s="58"/>
      <c r="D227" s="58"/>
      <c r="E227" s="58"/>
      <c r="F227" s="58"/>
      <c r="G227" s="58"/>
    </row>
    <row r="228" spans="2:7" x14ac:dyDescent="0.25">
      <c r="B228" s="58"/>
      <c r="C228" s="58"/>
      <c r="D228" s="58"/>
      <c r="E228" s="58"/>
      <c r="F228" s="58"/>
      <c r="G228" s="58"/>
    </row>
    <row r="229" spans="2:7" x14ac:dyDescent="0.25">
      <c r="B229" s="58"/>
      <c r="C229" s="58"/>
      <c r="D229" s="58"/>
      <c r="E229" s="58"/>
      <c r="F229" s="58"/>
      <c r="G229" s="60"/>
    </row>
    <row r="230" spans="2:7" x14ac:dyDescent="0.25">
      <c r="B230" s="58"/>
      <c r="C230" s="58"/>
      <c r="D230" s="58"/>
      <c r="E230" s="58"/>
      <c r="F230" s="58"/>
      <c r="G230" s="60"/>
    </row>
    <row r="231" spans="2:7" x14ac:dyDescent="0.25">
      <c r="B231" s="58"/>
      <c r="C231" s="58"/>
      <c r="D231" s="58"/>
      <c r="E231" s="58"/>
      <c r="F231" s="58"/>
      <c r="G231" s="60"/>
    </row>
    <row r="232" spans="2:7" x14ac:dyDescent="0.25">
      <c r="B232" s="58"/>
      <c r="C232" s="58"/>
      <c r="D232" s="58"/>
      <c r="E232" s="58"/>
      <c r="F232" s="58"/>
      <c r="G232" s="58"/>
    </row>
    <row r="233" spans="2:7" x14ac:dyDescent="0.25">
      <c r="B233" s="58"/>
      <c r="C233" s="58"/>
      <c r="D233" s="58"/>
      <c r="E233" s="58"/>
      <c r="F233" s="58"/>
      <c r="G233" s="58"/>
    </row>
    <row r="234" spans="2:7" x14ac:dyDescent="0.25">
      <c r="B234" s="58"/>
      <c r="C234" s="58"/>
      <c r="D234" s="58"/>
      <c r="E234" s="58"/>
      <c r="F234" s="58"/>
      <c r="G234" s="58"/>
    </row>
    <row r="235" spans="2:7" x14ac:dyDescent="0.25">
      <c r="B235" s="58"/>
      <c r="C235" s="58"/>
      <c r="D235" s="58"/>
      <c r="E235" s="58"/>
      <c r="F235" s="58"/>
      <c r="G235" s="58"/>
    </row>
    <row r="236" spans="2:7" x14ac:dyDescent="0.25">
      <c r="B236" s="58"/>
      <c r="C236" s="58"/>
      <c r="D236" s="58"/>
      <c r="E236" s="58"/>
      <c r="F236" s="58"/>
      <c r="G236" s="58"/>
    </row>
    <row r="237" spans="2:7" x14ac:dyDescent="0.25">
      <c r="B237" s="58"/>
      <c r="C237" s="58"/>
      <c r="D237" s="58"/>
      <c r="E237" s="58"/>
      <c r="F237" s="58"/>
      <c r="G237" s="58"/>
    </row>
    <row r="238" spans="2:7" x14ac:dyDescent="0.25">
      <c r="B238" s="58"/>
      <c r="C238" s="58"/>
      <c r="D238" s="58"/>
      <c r="E238" s="58"/>
      <c r="F238" s="58"/>
      <c r="G238" s="58"/>
    </row>
    <row r="239" spans="2:7" x14ac:dyDescent="0.25">
      <c r="B239" s="58"/>
      <c r="C239" s="58"/>
      <c r="D239" s="58"/>
      <c r="E239" s="58"/>
      <c r="F239" s="58"/>
      <c r="G239" s="58"/>
    </row>
    <row r="240" spans="2:7" x14ac:dyDescent="0.25">
      <c r="B240" s="58"/>
      <c r="C240" s="58"/>
      <c r="D240" s="58"/>
      <c r="E240" s="58"/>
      <c r="F240" s="58"/>
      <c r="G240" s="58"/>
    </row>
    <row r="241" spans="2:7" x14ac:dyDescent="0.25">
      <c r="B241" s="58"/>
      <c r="C241" s="58"/>
      <c r="D241" s="58"/>
      <c r="E241" s="58"/>
      <c r="F241" s="58"/>
      <c r="G241" s="58"/>
    </row>
    <row r="242" spans="2:7" x14ac:dyDescent="0.25">
      <c r="B242" s="58"/>
      <c r="C242" s="58"/>
      <c r="D242" s="58"/>
      <c r="E242" s="58"/>
      <c r="F242" s="58"/>
      <c r="G242" s="58"/>
    </row>
    <row r="243" spans="2:7" x14ac:dyDescent="0.25">
      <c r="B243" s="58"/>
      <c r="C243" s="58"/>
      <c r="D243" s="58"/>
      <c r="E243" s="58"/>
      <c r="F243" s="58"/>
      <c r="G243" s="58"/>
    </row>
    <row r="244" spans="2:7" x14ac:dyDescent="0.25">
      <c r="B244" s="58"/>
      <c r="C244" s="58"/>
      <c r="D244" s="58"/>
      <c r="E244" s="58"/>
      <c r="F244" s="58"/>
      <c r="G244" s="58"/>
    </row>
    <row r="245" spans="2:7" x14ac:dyDescent="0.25">
      <c r="B245" s="58"/>
      <c r="C245" s="58"/>
      <c r="D245" s="58"/>
      <c r="E245" s="58"/>
      <c r="F245" s="58"/>
      <c r="G245" s="58"/>
    </row>
    <row r="246" spans="2:7" x14ac:dyDescent="0.25">
      <c r="B246" s="58"/>
      <c r="C246" s="58"/>
      <c r="D246" s="58"/>
      <c r="E246" s="58"/>
      <c r="F246" s="58"/>
      <c r="G246" s="58"/>
    </row>
    <row r="247" spans="2:7" x14ac:dyDescent="0.25">
      <c r="B247" s="58"/>
      <c r="C247" s="58"/>
      <c r="D247" s="58"/>
      <c r="E247" s="58"/>
      <c r="F247" s="58"/>
      <c r="G247" s="58"/>
    </row>
    <row r="248" spans="2:7" x14ac:dyDescent="0.25">
      <c r="B248" s="58"/>
      <c r="C248" s="58"/>
      <c r="D248" s="58"/>
      <c r="E248" s="58"/>
      <c r="F248" s="58"/>
      <c r="G248" s="58"/>
    </row>
    <row r="249" spans="2:7" x14ac:dyDescent="0.25">
      <c r="B249" s="58"/>
      <c r="C249" s="58"/>
      <c r="D249" s="58"/>
      <c r="E249" s="58"/>
      <c r="F249" s="58"/>
      <c r="G249" s="58"/>
    </row>
    <row r="250" spans="2:7" x14ac:dyDescent="0.25">
      <c r="B250" s="58"/>
      <c r="C250" s="58"/>
      <c r="D250" s="58"/>
      <c r="E250" s="58"/>
      <c r="F250" s="58"/>
      <c r="G250" s="58"/>
    </row>
    <row r="251" spans="2:7" x14ac:dyDescent="0.25">
      <c r="B251" s="58"/>
      <c r="C251" s="58"/>
      <c r="D251" s="58"/>
      <c r="E251" s="58"/>
      <c r="F251" s="58"/>
      <c r="G251" s="58"/>
    </row>
    <row r="252" spans="2:7" x14ac:dyDescent="0.25">
      <c r="B252" s="58"/>
      <c r="C252" s="58"/>
      <c r="D252" s="58"/>
      <c r="E252" s="58"/>
      <c r="F252" s="58"/>
      <c r="G252" s="58"/>
    </row>
    <row r="253" spans="2:7" x14ac:dyDescent="0.25">
      <c r="B253" s="58"/>
      <c r="C253" s="58"/>
      <c r="D253" s="58"/>
      <c r="E253" s="58"/>
      <c r="F253" s="58"/>
      <c r="G253" s="58"/>
    </row>
    <row r="254" spans="2:7" x14ac:dyDescent="0.25">
      <c r="B254" s="58"/>
      <c r="C254" s="58"/>
      <c r="D254" s="58"/>
      <c r="E254" s="58"/>
      <c r="F254" s="58"/>
      <c r="G254" s="58"/>
    </row>
    <row r="255" spans="2:7" x14ac:dyDescent="0.25">
      <c r="B255" s="58"/>
      <c r="C255" s="58"/>
      <c r="D255" s="58"/>
      <c r="E255" s="58"/>
      <c r="F255" s="58"/>
      <c r="G255" s="60"/>
    </row>
    <row r="256" spans="2:7" x14ac:dyDescent="0.25">
      <c r="B256" s="58"/>
      <c r="C256" s="58"/>
      <c r="D256" s="58"/>
      <c r="E256" s="58"/>
      <c r="F256" s="58"/>
      <c r="G256" s="60"/>
    </row>
    <row r="257" spans="2:7" x14ac:dyDescent="0.25">
      <c r="B257" s="58"/>
      <c r="C257" s="58"/>
      <c r="D257" s="58"/>
      <c r="E257" s="58"/>
      <c r="F257" s="58"/>
      <c r="G257" s="60"/>
    </row>
    <row r="258" spans="2:7" x14ac:dyDescent="0.25">
      <c r="B258" s="58"/>
      <c r="C258" s="58"/>
      <c r="D258" s="58"/>
      <c r="E258" s="58"/>
      <c r="F258" s="58"/>
      <c r="G258" s="58"/>
    </row>
    <row r="259" spans="2:7" x14ac:dyDescent="0.25">
      <c r="B259" s="58"/>
      <c r="C259" s="58"/>
      <c r="D259" s="58"/>
      <c r="E259" s="58"/>
      <c r="F259" s="58"/>
      <c r="G259" s="58"/>
    </row>
    <row r="260" spans="2:7" x14ac:dyDescent="0.25">
      <c r="B260" s="58"/>
      <c r="C260" s="58"/>
      <c r="D260" s="58"/>
      <c r="E260" s="58"/>
      <c r="F260" s="58"/>
      <c r="G260" s="58"/>
    </row>
    <row r="261" spans="2:7" x14ac:dyDescent="0.25">
      <c r="B261" s="58"/>
      <c r="C261" s="58"/>
      <c r="D261" s="58"/>
      <c r="E261" s="58"/>
      <c r="F261" s="58"/>
      <c r="G261" s="58"/>
    </row>
    <row r="262" spans="2:7" x14ac:dyDescent="0.25">
      <c r="B262" s="58"/>
      <c r="C262" s="58"/>
      <c r="D262" s="58"/>
      <c r="E262" s="58"/>
      <c r="F262" s="58"/>
      <c r="G262" s="58"/>
    </row>
    <row r="263" spans="2:7" x14ac:dyDescent="0.25">
      <c r="B263" s="58"/>
      <c r="C263" s="58"/>
      <c r="D263" s="58"/>
      <c r="E263" s="58"/>
      <c r="F263" s="58"/>
      <c r="G263" s="58"/>
    </row>
    <row r="264" spans="2:7" x14ac:dyDescent="0.25">
      <c r="B264" s="58"/>
      <c r="C264" s="58"/>
      <c r="D264" s="58"/>
      <c r="E264" s="58"/>
      <c r="F264" s="58"/>
      <c r="G264" s="58"/>
    </row>
    <row r="265" spans="2:7" x14ac:dyDescent="0.25">
      <c r="B265" s="58"/>
      <c r="C265" s="58"/>
      <c r="D265" s="58"/>
      <c r="E265" s="58"/>
      <c r="F265" s="58"/>
      <c r="G265" s="58"/>
    </row>
    <row r="266" spans="2:7" x14ac:dyDescent="0.25">
      <c r="B266" s="58"/>
      <c r="C266" s="58"/>
      <c r="D266" s="58"/>
      <c r="E266" s="58"/>
      <c r="F266" s="58"/>
      <c r="G266" s="58"/>
    </row>
    <row r="267" spans="2:7" x14ac:dyDescent="0.25">
      <c r="B267" s="58"/>
      <c r="C267" s="58"/>
      <c r="D267" s="58"/>
      <c r="E267" s="58"/>
      <c r="F267" s="58"/>
      <c r="G267" s="58"/>
    </row>
    <row r="268" spans="2:7" x14ac:dyDescent="0.25">
      <c r="B268" s="58"/>
      <c r="C268" s="58"/>
      <c r="D268" s="58"/>
      <c r="E268" s="58"/>
      <c r="F268" s="58"/>
      <c r="G268" s="58"/>
    </row>
    <row r="269" spans="2:7" x14ac:dyDescent="0.25">
      <c r="B269" s="58"/>
      <c r="C269" s="58"/>
      <c r="D269" s="58"/>
      <c r="E269" s="58"/>
      <c r="F269" s="58"/>
      <c r="G269" s="58"/>
    </row>
    <row r="270" spans="2:7" x14ac:dyDescent="0.25">
      <c r="B270" s="58"/>
      <c r="C270" s="58"/>
      <c r="D270" s="58"/>
      <c r="E270" s="58"/>
      <c r="F270" s="58"/>
      <c r="G270" s="58"/>
    </row>
    <row r="271" spans="2:7" x14ac:dyDescent="0.25">
      <c r="B271" s="58"/>
      <c r="C271" s="58"/>
      <c r="D271" s="58"/>
      <c r="E271" s="58"/>
      <c r="F271" s="58"/>
      <c r="G271" s="58"/>
    </row>
    <row r="272" spans="2:7" x14ac:dyDescent="0.25">
      <c r="B272" s="58"/>
      <c r="C272" s="58"/>
      <c r="D272" s="58"/>
      <c r="E272" s="58"/>
      <c r="F272" s="58"/>
      <c r="G272" s="58"/>
    </row>
    <row r="273" spans="2:7" x14ac:dyDescent="0.25">
      <c r="B273" s="58"/>
      <c r="C273" s="58"/>
      <c r="D273" s="58"/>
      <c r="E273" s="58"/>
      <c r="F273" s="58"/>
      <c r="G273" s="58"/>
    </row>
    <row r="274" spans="2:7" x14ac:dyDescent="0.25">
      <c r="B274" s="58"/>
      <c r="C274" s="58"/>
      <c r="D274" s="58"/>
      <c r="E274" s="58"/>
      <c r="F274" s="58"/>
      <c r="G274" s="58"/>
    </row>
    <row r="275" spans="2:7" x14ac:dyDescent="0.25">
      <c r="B275" s="58"/>
      <c r="C275" s="58"/>
      <c r="D275" s="58"/>
      <c r="E275" s="58"/>
      <c r="F275" s="58"/>
      <c r="G275" s="58"/>
    </row>
    <row r="276" spans="2:7" x14ac:dyDescent="0.25">
      <c r="B276" s="58"/>
      <c r="C276" s="58"/>
      <c r="D276" s="58"/>
      <c r="E276" s="58"/>
      <c r="F276" s="58"/>
      <c r="G276" s="58"/>
    </row>
    <row r="277" spans="2:7" x14ac:dyDescent="0.25">
      <c r="B277" s="58"/>
      <c r="C277" s="58"/>
      <c r="D277" s="58"/>
      <c r="E277" s="58"/>
      <c r="F277" s="58"/>
      <c r="G277" s="58"/>
    </row>
    <row r="278" spans="2:7" x14ac:dyDescent="0.25">
      <c r="B278" s="58"/>
      <c r="C278" s="58"/>
      <c r="D278" s="58"/>
      <c r="E278" s="58"/>
      <c r="F278" s="58"/>
      <c r="G278" s="58"/>
    </row>
    <row r="279" spans="2:7" x14ac:dyDescent="0.25">
      <c r="B279" s="58"/>
      <c r="C279" s="58"/>
      <c r="D279" s="58"/>
      <c r="E279" s="58"/>
      <c r="F279" s="58"/>
      <c r="G279" s="58"/>
    </row>
    <row r="280" spans="2:7" x14ac:dyDescent="0.25">
      <c r="B280" s="58"/>
      <c r="C280" s="58"/>
      <c r="D280" s="58"/>
      <c r="E280" s="58"/>
      <c r="F280" s="58"/>
      <c r="G280" s="58"/>
    </row>
    <row r="281" spans="2:7" x14ac:dyDescent="0.25">
      <c r="B281" s="58"/>
      <c r="C281" s="58"/>
      <c r="D281" s="58"/>
      <c r="E281" s="58"/>
      <c r="F281" s="58"/>
      <c r="G281" s="60"/>
    </row>
    <row r="282" spans="2:7" x14ac:dyDescent="0.25">
      <c r="B282" s="58"/>
      <c r="C282" s="58"/>
      <c r="D282" s="58"/>
      <c r="E282" s="58"/>
      <c r="F282" s="58"/>
      <c r="G282" s="60"/>
    </row>
    <row r="283" spans="2:7" x14ac:dyDescent="0.25">
      <c r="B283" s="58"/>
      <c r="C283" s="58"/>
      <c r="D283" s="58"/>
      <c r="E283" s="58"/>
      <c r="F283" s="58"/>
      <c r="G283" s="60"/>
    </row>
    <row r="284" spans="2:7" x14ac:dyDescent="0.25">
      <c r="B284" s="58"/>
      <c r="C284" s="58"/>
      <c r="D284" s="58"/>
      <c r="E284" s="58"/>
      <c r="F284" s="58"/>
      <c r="G284" s="58"/>
    </row>
    <row r="285" spans="2:7" x14ac:dyDescent="0.25">
      <c r="B285" s="58"/>
      <c r="C285" s="58"/>
      <c r="D285" s="58"/>
      <c r="E285" s="58"/>
      <c r="F285" s="58"/>
      <c r="G285" s="58"/>
    </row>
    <row r="286" spans="2:7" x14ac:dyDescent="0.25">
      <c r="B286" s="58"/>
      <c r="C286" s="58"/>
      <c r="D286" s="58"/>
      <c r="E286" s="58"/>
      <c r="F286" s="58"/>
      <c r="G286" s="58"/>
    </row>
    <row r="287" spans="2:7" x14ac:dyDescent="0.25">
      <c r="B287" s="58"/>
      <c r="C287" s="58"/>
      <c r="D287" s="58"/>
      <c r="E287" s="58"/>
      <c r="F287" s="58"/>
      <c r="G287" s="58"/>
    </row>
    <row r="288" spans="2:7" x14ac:dyDescent="0.25">
      <c r="B288" s="58"/>
      <c r="C288" s="58"/>
      <c r="D288" s="58"/>
      <c r="E288" s="58"/>
      <c r="F288" s="58"/>
      <c r="G288" s="58"/>
    </row>
    <row r="289" spans="2:7" x14ac:dyDescent="0.25">
      <c r="B289" s="58"/>
      <c r="C289" s="58"/>
      <c r="D289" s="58"/>
      <c r="E289" s="58"/>
      <c r="F289" s="58"/>
      <c r="G289" s="58"/>
    </row>
    <row r="290" spans="2:7" x14ac:dyDescent="0.25">
      <c r="B290" s="58"/>
      <c r="C290" s="58"/>
      <c r="D290" s="58"/>
      <c r="E290" s="58"/>
      <c r="F290" s="58"/>
      <c r="G290" s="58"/>
    </row>
    <row r="291" spans="2:7" x14ac:dyDescent="0.25">
      <c r="B291" s="58"/>
      <c r="C291" s="58"/>
      <c r="D291" s="58"/>
      <c r="E291" s="58"/>
      <c r="F291" s="58"/>
      <c r="G291" s="58"/>
    </row>
    <row r="292" spans="2:7" x14ac:dyDescent="0.25">
      <c r="B292" s="58"/>
      <c r="C292" s="58"/>
      <c r="D292" s="58"/>
      <c r="E292" s="58"/>
      <c r="F292" s="58"/>
      <c r="G292" s="58"/>
    </row>
    <row r="293" spans="2:7" x14ac:dyDescent="0.25">
      <c r="B293" s="58"/>
      <c r="C293" s="58"/>
      <c r="D293" s="58"/>
      <c r="E293" s="58"/>
      <c r="F293" s="58"/>
      <c r="G293" s="58"/>
    </row>
    <row r="294" spans="2:7" x14ac:dyDescent="0.25">
      <c r="B294" s="58"/>
      <c r="C294" s="58"/>
      <c r="D294" s="58"/>
      <c r="E294" s="58"/>
      <c r="F294" s="58"/>
      <c r="G294" s="58"/>
    </row>
    <row r="295" spans="2:7" x14ac:dyDescent="0.25">
      <c r="B295" s="58"/>
      <c r="C295" s="58"/>
      <c r="D295" s="58"/>
      <c r="E295" s="58"/>
      <c r="F295" s="58"/>
      <c r="G295" s="58"/>
    </row>
    <row r="296" spans="2:7" x14ac:dyDescent="0.25">
      <c r="B296" s="58"/>
      <c r="C296" s="58"/>
      <c r="D296" s="58"/>
      <c r="E296" s="58"/>
      <c r="F296" s="58"/>
      <c r="G296" s="58"/>
    </row>
    <row r="297" spans="2:7" x14ac:dyDescent="0.25">
      <c r="B297" s="58"/>
      <c r="C297" s="58"/>
      <c r="D297" s="58"/>
      <c r="E297" s="58"/>
      <c r="F297" s="58"/>
      <c r="G297" s="58"/>
    </row>
    <row r="298" spans="2:7" x14ac:dyDescent="0.25">
      <c r="B298" s="58"/>
      <c r="C298" s="58"/>
      <c r="D298" s="58"/>
      <c r="E298" s="58"/>
      <c r="F298" s="58"/>
      <c r="G298" s="58"/>
    </row>
    <row r="299" spans="2:7" x14ac:dyDescent="0.25">
      <c r="B299" s="58"/>
      <c r="C299" s="58"/>
      <c r="D299" s="58"/>
      <c r="E299" s="58"/>
      <c r="F299" s="58"/>
      <c r="G299" s="58"/>
    </row>
    <row r="300" spans="2:7" x14ac:dyDescent="0.25">
      <c r="B300" s="58"/>
      <c r="C300" s="58"/>
      <c r="D300" s="58"/>
      <c r="E300" s="58"/>
      <c r="F300" s="58"/>
      <c r="G300" s="58"/>
    </row>
    <row r="301" spans="2:7" x14ac:dyDescent="0.25">
      <c r="B301" s="58"/>
      <c r="C301" s="58"/>
      <c r="D301" s="58"/>
      <c r="E301" s="58"/>
      <c r="F301" s="58"/>
      <c r="G301" s="58"/>
    </row>
    <row r="302" spans="2:7" x14ac:dyDescent="0.25">
      <c r="B302" s="58"/>
      <c r="C302" s="58"/>
      <c r="D302" s="58"/>
      <c r="E302" s="58"/>
      <c r="F302" s="58"/>
      <c r="G302" s="58"/>
    </row>
    <row r="303" spans="2:7" x14ac:dyDescent="0.25">
      <c r="B303" s="58"/>
      <c r="C303" s="58"/>
      <c r="D303" s="58"/>
      <c r="E303" s="58"/>
      <c r="F303" s="58"/>
      <c r="G303" s="58"/>
    </row>
    <row r="304" spans="2:7" x14ac:dyDescent="0.25">
      <c r="B304" s="58"/>
      <c r="C304" s="58"/>
      <c r="D304" s="58"/>
      <c r="E304" s="58"/>
      <c r="F304" s="58"/>
      <c r="G304" s="58"/>
    </row>
    <row r="305" spans="2:7" x14ac:dyDescent="0.25">
      <c r="B305" s="58"/>
      <c r="C305" s="58"/>
      <c r="D305" s="58"/>
      <c r="E305" s="58"/>
      <c r="F305" s="58"/>
      <c r="G305" s="58"/>
    </row>
    <row r="306" spans="2:7" x14ac:dyDescent="0.25">
      <c r="B306" s="58"/>
      <c r="C306" s="58"/>
      <c r="D306" s="58"/>
      <c r="E306" s="58"/>
      <c r="F306" s="58"/>
      <c r="G306" s="58"/>
    </row>
    <row r="307" spans="2:7" x14ac:dyDescent="0.25">
      <c r="B307" s="58"/>
      <c r="C307" s="58"/>
      <c r="D307" s="58"/>
      <c r="E307" s="58"/>
      <c r="F307" s="58"/>
      <c r="G307" s="60"/>
    </row>
    <row r="308" spans="2:7" x14ac:dyDescent="0.25">
      <c r="B308" s="58"/>
      <c r="C308" s="58"/>
      <c r="D308" s="58"/>
      <c r="E308" s="58"/>
      <c r="F308" s="58"/>
      <c r="G308" s="60"/>
    </row>
    <row r="309" spans="2:7" x14ac:dyDescent="0.25">
      <c r="B309" s="58"/>
      <c r="C309" s="58"/>
      <c r="D309" s="58"/>
      <c r="E309" s="58"/>
      <c r="F309" s="58"/>
      <c r="G309" s="60"/>
    </row>
    <row r="310" spans="2:7" x14ac:dyDescent="0.25">
      <c r="B310" s="58"/>
      <c r="C310" s="58"/>
      <c r="D310" s="58"/>
      <c r="E310" s="58"/>
      <c r="F310" s="58"/>
      <c r="G310" s="58"/>
    </row>
    <row r="311" spans="2:7" x14ac:dyDescent="0.25">
      <c r="B311" s="58"/>
      <c r="C311" s="58"/>
      <c r="D311" s="58"/>
      <c r="E311" s="58"/>
      <c r="F311" s="58"/>
      <c r="G311" s="58"/>
    </row>
    <row r="312" spans="2:7" x14ac:dyDescent="0.25">
      <c r="B312" s="58"/>
      <c r="C312" s="58"/>
      <c r="D312" s="58"/>
      <c r="E312" s="58"/>
      <c r="F312" s="58"/>
      <c r="G312" s="58"/>
    </row>
    <row r="313" spans="2:7" x14ac:dyDescent="0.25">
      <c r="B313" s="58"/>
      <c r="C313" s="58"/>
      <c r="D313" s="58"/>
      <c r="E313" s="58"/>
      <c r="F313" s="58"/>
      <c r="G313" s="58"/>
    </row>
    <row r="314" spans="2:7" x14ac:dyDescent="0.25">
      <c r="B314" s="58"/>
      <c r="C314" s="58"/>
      <c r="D314" s="58"/>
      <c r="E314" s="58"/>
      <c r="F314" s="58"/>
      <c r="G314" s="58"/>
    </row>
    <row r="315" spans="2:7" x14ac:dyDescent="0.25">
      <c r="B315" s="58"/>
      <c r="C315" s="58"/>
      <c r="D315" s="58"/>
      <c r="E315" s="58"/>
      <c r="F315" s="58"/>
      <c r="G315" s="58"/>
    </row>
    <row r="316" spans="2:7" x14ac:dyDescent="0.25">
      <c r="B316" s="58"/>
      <c r="C316" s="58"/>
      <c r="D316" s="58"/>
      <c r="E316" s="58"/>
      <c r="F316" s="58"/>
      <c r="G316" s="58"/>
    </row>
    <row r="317" spans="2:7" x14ac:dyDescent="0.25">
      <c r="B317" s="58"/>
      <c r="C317" s="58"/>
      <c r="D317" s="58"/>
      <c r="E317" s="58"/>
      <c r="F317" s="58"/>
      <c r="G317" s="58"/>
    </row>
    <row r="318" spans="2:7" x14ac:dyDescent="0.25">
      <c r="B318" s="58"/>
      <c r="C318" s="58"/>
      <c r="D318" s="58"/>
      <c r="E318" s="58"/>
      <c r="F318" s="58"/>
      <c r="G318" s="58"/>
    </row>
    <row r="319" spans="2:7" x14ac:dyDescent="0.25">
      <c r="B319" s="58"/>
      <c r="C319" s="58"/>
      <c r="D319" s="58"/>
      <c r="E319" s="58"/>
      <c r="F319" s="58"/>
      <c r="G319" s="58"/>
    </row>
    <row r="320" spans="2:7" x14ac:dyDescent="0.25">
      <c r="B320" s="58"/>
      <c r="C320" s="58"/>
      <c r="D320" s="58"/>
      <c r="E320" s="58"/>
      <c r="F320" s="58"/>
      <c r="G320" s="58"/>
    </row>
    <row r="321" spans="2:7" x14ac:dyDescent="0.25">
      <c r="B321" s="58"/>
      <c r="C321" s="58"/>
      <c r="D321" s="58"/>
      <c r="E321" s="58"/>
      <c r="F321" s="58"/>
      <c r="G321" s="58"/>
    </row>
    <row r="322" spans="2:7" x14ac:dyDescent="0.25">
      <c r="B322" s="58"/>
      <c r="C322" s="58"/>
      <c r="D322" s="58"/>
      <c r="E322" s="58"/>
      <c r="F322" s="58"/>
      <c r="G322" s="58"/>
    </row>
    <row r="323" spans="2:7" x14ac:dyDescent="0.25">
      <c r="B323" s="58"/>
      <c r="C323" s="58"/>
      <c r="D323" s="58"/>
      <c r="E323" s="58"/>
      <c r="F323" s="58"/>
      <c r="G323" s="58"/>
    </row>
    <row r="324" spans="2:7" x14ac:dyDescent="0.25">
      <c r="B324" s="58"/>
      <c r="C324" s="58"/>
      <c r="D324" s="58"/>
      <c r="E324" s="58"/>
      <c r="F324" s="58"/>
      <c r="G324" s="58"/>
    </row>
    <row r="325" spans="2:7" x14ac:dyDescent="0.25">
      <c r="B325" s="58"/>
      <c r="C325" s="58"/>
      <c r="D325" s="58"/>
      <c r="E325" s="58"/>
      <c r="F325" s="58"/>
      <c r="G325" s="58"/>
    </row>
    <row r="326" spans="2:7" x14ac:dyDescent="0.25">
      <c r="B326" s="58"/>
      <c r="C326" s="58"/>
      <c r="D326" s="58"/>
      <c r="E326" s="58"/>
      <c r="F326" s="58"/>
      <c r="G326" s="58"/>
    </row>
    <row r="327" spans="2:7" x14ac:dyDescent="0.25">
      <c r="B327" s="58"/>
      <c r="C327" s="58"/>
      <c r="D327" s="58"/>
      <c r="E327" s="58"/>
      <c r="F327" s="58"/>
      <c r="G327" s="58"/>
    </row>
    <row r="328" spans="2:7" x14ac:dyDescent="0.25">
      <c r="B328" s="58"/>
      <c r="C328" s="58"/>
      <c r="D328" s="58"/>
      <c r="E328" s="58"/>
      <c r="F328" s="58"/>
      <c r="G328" s="58"/>
    </row>
  </sheetData>
  <autoFilter ref="B1:I328" xr:uid="{00000000-0009-0000-0000-000008000000}"/>
  <customSheetViews>
    <customSheetView guid="{80854372-D2ED-4B6A-8325-BF67270E20DC}" scale="160">
      <selection activeCell="C3" sqref="C3"/>
      <pageMargins left="0.7" right="0.7" top="0.75" bottom="0.75" header="0.3" footer="0.3"/>
      <pageSetup orientation="portrait" r:id="rId1"/>
    </customSheetView>
    <customSheetView guid="{AF6A22A6-5407-4536-A5A9-9818B972C404}" scale="160">
      <selection activeCell="C3" sqref="C3"/>
      <pageMargins left="0.7" right="0.7" top="0.75" bottom="0.75" header="0.3" footer="0.3"/>
      <pageSetup orientation="portrait" r:id="rId2"/>
    </customSheetView>
  </customSheetViews>
  <mergeCells count="9">
    <mergeCell ref="O36:X36"/>
    <mergeCell ref="Z19:AI19"/>
    <mergeCell ref="O1:X1"/>
    <mergeCell ref="P2:R2"/>
    <mergeCell ref="S2:V2"/>
    <mergeCell ref="W2:X2"/>
    <mergeCell ref="AA20:AC20"/>
    <mergeCell ref="AD20:AF20"/>
    <mergeCell ref="O19:X19"/>
  </mergeCells>
  <phoneticPr fontId="23" type="noConversion"/>
  <conditionalFormatting sqref="P16:X16">
    <cfRule type="cellIs" dxfId="24671" priority="1" operator="lessThan">
      <formula>10</formula>
    </cfRule>
  </conditionalFormatting>
  <pageMargins left="0.7" right="0.7" top="0.75" bottom="0.75" header="0.3" footer="0.3"/>
  <pageSetup paperSize="5" orientation="portrait"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H28"/>
  <sheetViews>
    <sheetView topLeftCell="A31" workbookViewId="0">
      <selection activeCell="T7" sqref="T7"/>
    </sheetView>
  </sheetViews>
  <sheetFormatPr defaultRowHeight="15" x14ac:dyDescent="0.25"/>
  <cols>
    <col min="2" max="2" width="9.5703125" customWidth="1"/>
    <col min="3" max="3" width="13.5703125" bestFit="1" customWidth="1"/>
    <col min="6" max="6" width="14.140625" customWidth="1"/>
    <col min="7" max="7" width="9.5703125" bestFit="1" customWidth="1"/>
    <col min="13" max="13" width="21.7109375" bestFit="1" customWidth="1"/>
    <col min="16" max="16" width="20.42578125" bestFit="1" customWidth="1"/>
  </cols>
  <sheetData>
    <row r="2" spans="2:8" x14ac:dyDescent="0.25">
      <c r="C2" t="s">
        <v>510</v>
      </c>
      <c r="F2" t="s">
        <v>9361</v>
      </c>
      <c r="G2" s="207">
        <f>C3</f>
        <v>30</v>
      </c>
    </row>
    <row r="3" spans="2:8" x14ac:dyDescent="0.25">
      <c r="B3" t="s">
        <v>8902</v>
      </c>
      <c r="C3">
        <f>'LEVEL QUOTA'!R4</f>
        <v>30</v>
      </c>
      <c r="F3" t="s">
        <v>6737</v>
      </c>
      <c r="G3" s="207">
        <f>G4+G5</f>
        <v>300</v>
      </c>
    </row>
    <row r="4" spans="2:8" x14ac:dyDescent="0.25">
      <c r="B4" t="s">
        <v>6</v>
      </c>
      <c r="C4">
        <f>'LEVEL QUOTA'!R5</f>
        <v>150</v>
      </c>
      <c r="F4" t="s">
        <v>6</v>
      </c>
      <c r="G4">
        <v>150</v>
      </c>
    </row>
    <row r="5" spans="2:8" x14ac:dyDescent="0.25">
      <c r="B5" t="s">
        <v>8</v>
      </c>
      <c r="C5">
        <f>'LEVEL QUOTA'!R6</f>
        <v>150</v>
      </c>
      <c r="F5" t="s">
        <v>8</v>
      </c>
      <c r="G5">
        <v>150</v>
      </c>
    </row>
    <row r="6" spans="2:8" x14ac:dyDescent="0.25">
      <c r="B6" t="s">
        <v>10</v>
      </c>
      <c r="C6">
        <f>'LEVEL QUOTA'!R7</f>
        <v>90</v>
      </c>
    </row>
    <row r="7" spans="2:8" x14ac:dyDescent="0.25">
      <c r="B7" t="s">
        <v>12</v>
      </c>
      <c r="C7">
        <f>'LEVEL QUOTA'!R8</f>
        <v>60</v>
      </c>
      <c r="F7" t="s">
        <v>6738</v>
      </c>
      <c r="G7" s="208">
        <f>G8+G9+G10+G13+G16+G18+G22+G26</f>
        <v>2670</v>
      </c>
    </row>
    <row r="8" spans="2:8" x14ac:dyDescent="0.25">
      <c r="B8" t="s">
        <v>13</v>
      </c>
      <c r="C8">
        <f>'LEVEL QUOTA'!R9</f>
        <v>200</v>
      </c>
      <c r="F8" t="s">
        <v>6739</v>
      </c>
      <c r="G8">
        <f>C6</f>
        <v>90</v>
      </c>
    </row>
    <row r="9" spans="2:8" x14ac:dyDescent="0.25">
      <c r="B9" t="s">
        <v>65</v>
      </c>
      <c r="C9">
        <f>'LEVEL QUOTA'!R10</f>
        <v>250</v>
      </c>
      <c r="F9" t="s">
        <v>6740</v>
      </c>
      <c r="G9">
        <f>C7</f>
        <v>60</v>
      </c>
    </row>
    <row r="10" spans="2:8" x14ac:dyDescent="0.25">
      <c r="B10" t="s">
        <v>257</v>
      </c>
      <c r="C10">
        <f>'LEVEL QUOTA'!R11</f>
        <v>250</v>
      </c>
      <c r="F10" t="s">
        <v>506</v>
      </c>
      <c r="G10">
        <f>C8</f>
        <v>200</v>
      </c>
    </row>
    <row r="11" spans="2:8" x14ac:dyDescent="0.25">
      <c r="B11" t="s">
        <v>1152</v>
      </c>
      <c r="C11">
        <f>'LEVEL QUOTA'!R12</f>
        <v>650</v>
      </c>
    </row>
    <row r="12" spans="2:8" x14ac:dyDescent="0.25">
      <c r="B12" t="s">
        <v>1153</v>
      </c>
      <c r="C12">
        <f>'LEVEL QUOTA'!R13</f>
        <v>850</v>
      </c>
      <c r="F12" t="s">
        <v>6743</v>
      </c>
    </row>
    <row r="13" spans="2:8" x14ac:dyDescent="0.25">
      <c r="B13" t="s">
        <v>14</v>
      </c>
      <c r="C13" s="8">
        <f>'LEVEL QUOTA'!R16</f>
        <v>2480</v>
      </c>
      <c r="F13" t="s">
        <v>507</v>
      </c>
      <c r="G13">
        <v>220</v>
      </c>
    </row>
    <row r="15" spans="2:8" x14ac:dyDescent="0.25">
      <c r="F15" t="s">
        <v>6744</v>
      </c>
    </row>
    <row r="16" spans="2:8" x14ac:dyDescent="0.25">
      <c r="F16" t="s">
        <v>1155</v>
      </c>
      <c r="G16">
        <f>C11</f>
        <v>650</v>
      </c>
      <c r="H16">
        <v>300</v>
      </c>
    </row>
    <row r="18" spans="6:8" x14ac:dyDescent="0.25">
      <c r="F18" t="s">
        <v>6742</v>
      </c>
      <c r="G18">
        <f>G19+G20</f>
        <v>200</v>
      </c>
    </row>
    <row r="19" spans="6:8" x14ac:dyDescent="0.25">
      <c r="F19" t="s">
        <v>508</v>
      </c>
      <c r="G19">
        <v>200</v>
      </c>
    </row>
    <row r="20" spans="6:8" x14ac:dyDescent="0.25">
      <c r="F20" t="s">
        <v>507</v>
      </c>
      <c r="G20">
        <v>0</v>
      </c>
    </row>
    <row r="22" spans="6:8" x14ac:dyDescent="0.25">
      <c r="F22" t="s">
        <v>6741</v>
      </c>
      <c r="G22">
        <f>G23+G24</f>
        <v>400</v>
      </c>
    </row>
    <row r="23" spans="6:8" x14ac:dyDescent="0.25">
      <c r="F23" t="s">
        <v>508</v>
      </c>
      <c r="G23">
        <v>300</v>
      </c>
    </row>
    <row r="24" spans="6:8" x14ac:dyDescent="0.25">
      <c r="F24" t="s">
        <v>507</v>
      </c>
      <c r="G24">
        <v>100</v>
      </c>
    </row>
    <row r="26" spans="6:8" x14ac:dyDescent="0.25">
      <c r="F26" t="s">
        <v>6745</v>
      </c>
      <c r="G26">
        <f>G27+G28</f>
        <v>850</v>
      </c>
      <c r="H26">
        <v>300</v>
      </c>
    </row>
    <row r="27" spans="6:8" x14ac:dyDescent="0.25">
      <c r="F27" t="s">
        <v>1155</v>
      </c>
      <c r="G27">
        <v>0</v>
      </c>
    </row>
    <row r="28" spans="6:8" x14ac:dyDescent="0.25">
      <c r="F28" t="s">
        <v>1156</v>
      </c>
      <c r="G28">
        <f>C12</f>
        <v>850</v>
      </c>
    </row>
  </sheetData>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tabColor theme="5" tint="0.39997558519241921"/>
  </sheetPr>
  <dimension ref="A1:X42"/>
  <sheetViews>
    <sheetView workbookViewId="0">
      <selection sqref="A1:X1"/>
    </sheetView>
  </sheetViews>
  <sheetFormatPr defaultRowHeight="15" x14ac:dyDescent="0.25"/>
  <cols>
    <col min="1" max="1" width="23" bestFit="1" customWidth="1"/>
    <col min="2" max="2" width="19.5703125" customWidth="1"/>
    <col min="3" max="3" width="16" bestFit="1" customWidth="1"/>
    <col min="4" max="4" width="16.140625" bestFit="1" customWidth="1"/>
    <col min="5" max="5" width="70.85546875" bestFit="1" customWidth="1"/>
    <col min="6" max="6" width="11.140625" customWidth="1"/>
    <col min="7" max="7" width="9.7109375" bestFit="1" customWidth="1"/>
  </cols>
  <sheetData>
    <row r="1" spans="1:24" ht="26.25" x14ac:dyDescent="0.4">
      <c r="A1" s="455" t="s">
        <v>2637</v>
      </c>
      <c r="B1" s="456"/>
      <c r="C1" s="456"/>
      <c r="D1" s="456"/>
      <c r="E1" s="456"/>
      <c r="F1" s="456"/>
      <c r="G1" s="456"/>
      <c r="H1" s="456"/>
      <c r="I1" s="456"/>
      <c r="J1" s="456"/>
      <c r="K1" s="456"/>
      <c r="L1" s="456"/>
      <c r="M1" s="456"/>
      <c r="N1" s="456"/>
      <c r="O1" s="456"/>
      <c r="P1" s="456"/>
      <c r="Q1" s="456"/>
      <c r="R1" s="456"/>
      <c r="S1" s="456"/>
      <c r="T1" s="456"/>
      <c r="U1" s="456"/>
      <c r="V1" s="456"/>
      <c r="W1" s="456"/>
      <c r="X1" s="457"/>
    </row>
    <row r="2" spans="1:24" x14ac:dyDescent="0.25">
      <c r="A2" s="19" t="s">
        <v>2570</v>
      </c>
      <c r="B2" s="19" t="s">
        <v>2606</v>
      </c>
      <c r="C2" s="67" t="s">
        <v>2571</v>
      </c>
      <c r="D2" s="67" t="s">
        <v>2595</v>
      </c>
      <c r="E2" s="67" t="s">
        <v>2608</v>
      </c>
      <c r="F2" s="68" t="s">
        <v>2572</v>
      </c>
      <c r="G2" s="68" t="s">
        <v>2596</v>
      </c>
      <c r="H2" s="64" t="s">
        <v>2573</v>
      </c>
      <c r="I2" s="64" t="s">
        <v>2597</v>
      </c>
      <c r="J2" s="64" t="s">
        <v>2574</v>
      </c>
      <c r="K2" s="64" t="s">
        <v>2598</v>
      </c>
      <c r="L2" s="64" t="s">
        <v>2575</v>
      </c>
      <c r="M2" s="64" t="s">
        <v>2599</v>
      </c>
      <c r="N2" s="64" t="s">
        <v>2576</v>
      </c>
      <c r="O2" s="64" t="s">
        <v>2600</v>
      </c>
      <c r="P2" s="64" t="s">
        <v>2577</v>
      </c>
      <c r="Q2" s="64" t="s">
        <v>2601</v>
      </c>
      <c r="R2" s="64" t="s">
        <v>2578</v>
      </c>
      <c r="S2" s="64" t="s">
        <v>2602</v>
      </c>
      <c r="T2" s="64" t="s">
        <v>2579</v>
      </c>
      <c r="U2" s="64" t="s">
        <v>2603</v>
      </c>
      <c r="V2" s="64" t="s">
        <v>2580</v>
      </c>
      <c r="W2" s="64" t="s">
        <v>2604</v>
      </c>
      <c r="X2" s="19" t="s">
        <v>15</v>
      </c>
    </row>
    <row r="3" spans="1:24" x14ac:dyDescent="0.25">
      <c r="A3" s="75" t="s">
        <v>2605</v>
      </c>
      <c r="B3" s="51">
        <v>43738</v>
      </c>
      <c r="C3" s="58" t="s">
        <v>305</v>
      </c>
      <c r="D3" s="69" t="s">
        <v>2618</v>
      </c>
      <c r="E3" s="63" t="s">
        <v>2619</v>
      </c>
      <c r="F3" s="58"/>
      <c r="G3" s="58"/>
      <c r="H3" s="58"/>
      <c r="I3" s="58"/>
      <c r="J3" s="58"/>
      <c r="K3" s="58"/>
      <c r="L3" s="58"/>
      <c r="M3" s="64"/>
      <c r="N3" s="64"/>
      <c r="O3" s="64"/>
      <c r="P3" s="64"/>
      <c r="Q3" s="64"/>
      <c r="R3" s="64"/>
      <c r="S3" s="64"/>
      <c r="T3" s="64"/>
      <c r="U3" s="64"/>
      <c r="V3" s="64"/>
      <c r="W3" s="64"/>
      <c r="X3" s="19"/>
    </row>
    <row r="4" spans="1:24" x14ac:dyDescent="0.25">
      <c r="A4" s="74" t="s">
        <v>1171</v>
      </c>
      <c r="B4" s="51">
        <v>43738</v>
      </c>
      <c r="C4" s="58" t="s">
        <v>465</v>
      </c>
      <c r="D4" s="70">
        <v>43738</v>
      </c>
      <c r="E4" s="58" t="s">
        <v>2620</v>
      </c>
      <c r="F4" s="58" t="s">
        <v>305</v>
      </c>
      <c r="G4" s="70">
        <v>43738</v>
      </c>
      <c r="H4" s="58"/>
      <c r="I4" s="58"/>
      <c r="J4" s="58"/>
      <c r="K4" s="58"/>
      <c r="L4" s="58"/>
      <c r="M4" s="58"/>
      <c r="N4" s="58"/>
      <c r="O4" s="58"/>
      <c r="P4" s="58"/>
      <c r="Q4" s="58"/>
      <c r="R4" s="58"/>
      <c r="S4" s="58"/>
      <c r="T4" s="58"/>
      <c r="U4" s="58"/>
      <c r="V4" s="58"/>
      <c r="W4" s="58"/>
    </row>
    <row r="5" spans="1:24" x14ac:dyDescent="0.25">
      <c r="A5" s="19"/>
      <c r="B5" s="19"/>
      <c r="C5" s="64"/>
      <c r="D5" s="64"/>
      <c r="E5" s="64"/>
      <c r="F5" s="64"/>
      <c r="G5" s="64"/>
      <c r="H5" s="64"/>
      <c r="I5" s="64"/>
      <c r="J5" s="64"/>
      <c r="K5" s="64"/>
      <c r="L5" s="64"/>
      <c r="M5" s="64"/>
      <c r="N5" s="64"/>
      <c r="O5" s="64"/>
      <c r="P5" s="64"/>
      <c r="Q5" s="64"/>
      <c r="R5" s="64"/>
      <c r="S5" s="64"/>
      <c r="T5" s="64"/>
      <c r="U5" s="64"/>
      <c r="V5" s="64"/>
      <c r="W5" s="64"/>
      <c r="X5" s="19"/>
    </row>
    <row r="6" spans="1:24" x14ac:dyDescent="0.25">
      <c r="A6" s="19"/>
      <c r="B6" s="19"/>
      <c r="C6" s="64"/>
      <c r="D6" s="64"/>
      <c r="E6" s="64"/>
      <c r="F6" s="64"/>
      <c r="G6" s="64"/>
      <c r="H6" s="64"/>
      <c r="I6" s="64"/>
      <c r="J6" s="64"/>
      <c r="K6" s="64"/>
      <c r="L6" s="64"/>
      <c r="M6" s="64"/>
      <c r="N6" s="64"/>
      <c r="O6" s="64"/>
      <c r="P6" s="64"/>
      <c r="Q6" s="64"/>
      <c r="R6" s="64"/>
      <c r="S6" s="64"/>
      <c r="T6" s="64"/>
      <c r="U6" s="64"/>
      <c r="V6" s="64"/>
      <c r="W6" s="64"/>
      <c r="X6" s="19"/>
    </row>
    <row r="7" spans="1:24" x14ac:dyDescent="0.25">
      <c r="A7" s="65" t="s">
        <v>2581</v>
      </c>
      <c r="B7" s="66">
        <v>43738</v>
      </c>
      <c r="C7" s="65"/>
      <c r="D7" s="65"/>
      <c r="E7" s="65"/>
      <c r="F7" s="65"/>
      <c r="G7" s="65"/>
      <c r="H7" s="65"/>
      <c r="I7" s="65"/>
      <c r="J7" s="65"/>
      <c r="K7" s="65"/>
      <c r="L7" s="65"/>
      <c r="M7" s="65"/>
      <c r="N7" s="65"/>
      <c r="O7" s="65"/>
      <c r="P7" s="65"/>
      <c r="Q7" s="65"/>
      <c r="R7" s="65"/>
      <c r="S7" s="65"/>
      <c r="T7" s="65"/>
      <c r="U7" s="65"/>
      <c r="V7" s="65"/>
      <c r="W7" s="65"/>
      <c r="X7" s="65"/>
    </row>
    <row r="8" spans="1:24" x14ac:dyDescent="0.25">
      <c r="A8" t="s">
        <v>2582</v>
      </c>
      <c r="B8" s="51">
        <v>43738</v>
      </c>
      <c r="C8" t="s">
        <v>2647</v>
      </c>
      <c r="E8" t="s">
        <v>2760</v>
      </c>
    </row>
    <row r="13" spans="1:24" x14ac:dyDescent="0.25">
      <c r="A13" s="65" t="s">
        <v>2583</v>
      </c>
      <c r="B13" s="66">
        <v>43738</v>
      </c>
      <c r="C13" s="65"/>
      <c r="D13" s="65"/>
      <c r="E13" s="65"/>
      <c r="F13" s="65"/>
      <c r="G13" s="65"/>
      <c r="H13" s="65"/>
      <c r="I13" s="65"/>
      <c r="J13" s="65"/>
      <c r="K13" s="65"/>
      <c r="L13" s="65"/>
      <c r="M13" s="65"/>
      <c r="N13" s="65"/>
      <c r="O13" s="65"/>
      <c r="P13" s="65"/>
      <c r="Q13" s="65"/>
      <c r="R13" s="65"/>
      <c r="S13" s="65"/>
      <c r="T13" s="65"/>
      <c r="U13" s="65"/>
      <c r="V13" s="65"/>
      <c r="W13" s="65"/>
      <c r="X13" s="65"/>
    </row>
    <row r="14" spans="1:24" ht="15.75" customHeight="1" x14ac:dyDescent="0.25">
      <c r="B14" s="51"/>
    </row>
    <row r="15" spans="1:24" ht="15.75" customHeight="1" x14ac:dyDescent="0.25"/>
    <row r="16" spans="1:24" ht="15.75" customHeight="1" x14ac:dyDescent="0.25"/>
    <row r="17" spans="1:24" ht="15.75" customHeight="1" x14ac:dyDescent="0.25"/>
    <row r="18" spans="1:24" ht="15.75" customHeight="1" x14ac:dyDescent="0.25"/>
    <row r="19" spans="1:24" x14ac:dyDescent="0.25">
      <c r="A19" s="65" t="s">
        <v>2584</v>
      </c>
      <c r="B19" s="66">
        <v>43738</v>
      </c>
      <c r="C19" s="65"/>
      <c r="D19" s="65"/>
      <c r="E19" s="65"/>
      <c r="F19" s="65"/>
      <c r="G19" s="65"/>
      <c r="H19" s="65"/>
      <c r="I19" s="65"/>
      <c r="J19" s="65"/>
      <c r="K19" s="65"/>
      <c r="L19" s="65"/>
      <c r="M19" s="65"/>
      <c r="N19" s="65"/>
      <c r="O19" s="65"/>
      <c r="P19" s="65"/>
      <c r="Q19" s="65"/>
      <c r="R19" s="65"/>
      <c r="S19" s="65"/>
      <c r="T19" s="65"/>
      <c r="U19" s="65"/>
      <c r="V19" s="65"/>
      <c r="W19" s="65"/>
      <c r="X19" s="65"/>
    </row>
    <row r="20" spans="1:24" x14ac:dyDescent="0.25">
      <c r="A20" t="s">
        <v>2585</v>
      </c>
      <c r="B20" s="51">
        <v>43738</v>
      </c>
    </row>
    <row r="25" spans="1:24" x14ac:dyDescent="0.25">
      <c r="A25" s="65" t="s">
        <v>2586</v>
      </c>
      <c r="B25" s="66">
        <v>43738</v>
      </c>
      <c r="C25" s="65"/>
      <c r="D25" s="65"/>
      <c r="E25" s="65"/>
      <c r="F25" s="65"/>
      <c r="G25" s="65"/>
      <c r="H25" s="65"/>
      <c r="I25" s="65"/>
      <c r="J25" s="65"/>
      <c r="K25" s="65"/>
      <c r="L25" s="65"/>
      <c r="M25" s="65"/>
      <c r="N25" s="65"/>
      <c r="O25" s="65"/>
      <c r="P25" s="65"/>
      <c r="Q25" s="65"/>
      <c r="R25" s="65"/>
      <c r="S25" s="65"/>
      <c r="T25" s="65"/>
      <c r="U25" s="65"/>
      <c r="V25" s="65"/>
      <c r="W25" s="65"/>
      <c r="X25" s="65"/>
    </row>
    <row r="26" spans="1:24" x14ac:dyDescent="0.25">
      <c r="A26" t="s">
        <v>2587</v>
      </c>
      <c r="B26" s="51">
        <v>43738</v>
      </c>
    </row>
    <row r="29" spans="1:24" ht="6.75" customHeight="1" x14ac:dyDescent="0.25"/>
    <row r="30" spans="1:24" hidden="1" x14ac:dyDescent="0.25"/>
    <row r="31" spans="1:24" x14ac:dyDescent="0.25">
      <c r="A31" s="65" t="s">
        <v>2588</v>
      </c>
      <c r="B31" s="66">
        <v>43738</v>
      </c>
      <c r="C31" s="65"/>
      <c r="D31" s="65"/>
      <c r="E31" s="65"/>
      <c r="F31" s="65"/>
      <c r="G31" s="65"/>
      <c r="H31" s="65"/>
      <c r="I31" s="65"/>
      <c r="J31" s="65"/>
      <c r="K31" s="65"/>
      <c r="L31" s="65"/>
      <c r="M31" s="65"/>
      <c r="N31" s="65"/>
      <c r="O31" s="65"/>
      <c r="P31" s="65"/>
      <c r="Q31" s="65"/>
      <c r="R31" s="65"/>
      <c r="S31" s="65"/>
      <c r="T31" s="65"/>
      <c r="U31" s="65"/>
      <c r="V31" s="65"/>
      <c r="W31" s="65"/>
      <c r="X31" s="65"/>
    </row>
    <row r="32" spans="1:24" x14ac:dyDescent="0.25">
      <c r="A32" t="s">
        <v>2589</v>
      </c>
      <c r="B32" s="51">
        <v>43738</v>
      </c>
    </row>
    <row r="33" spans="1:24" x14ac:dyDescent="0.25">
      <c r="A33" t="s">
        <v>2594</v>
      </c>
      <c r="B33" s="51">
        <v>43738</v>
      </c>
      <c r="C33" t="s">
        <v>495</v>
      </c>
      <c r="D33" t="s">
        <v>2609</v>
      </c>
      <c r="E33" t="s">
        <v>2648</v>
      </c>
      <c r="F33" t="s">
        <v>745</v>
      </c>
      <c r="G33" s="71">
        <v>43742</v>
      </c>
    </row>
    <row r="34" spans="1:24" x14ac:dyDescent="0.25">
      <c r="A34" t="s">
        <v>2611</v>
      </c>
      <c r="B34" s="51">
        <v>43738</v>
      </c>
      <c r="C34" t="s">
        <v>337</v>
      </c>
    </row>
    <row r="35" spans="1:24" x14ac:dyDescent="0.25">
      <c r="A35" t="s">
        <v>2825</v>
      </c>
      <c r="B35" s="51">
        <v>43777</v>
      </c>
      <c r="C35" t="s">
        <v>461</v>
      </c>
      <c r="D35" t="s">
        <v>2890</v>
      </c>
    </row>
    <row r="39" spans="1:24" x14ac:dyDescent="0.25">
      <c r="A39" s="65" t="s">
        <v>2590</v>
      </c>
      <c r="B39" s="66">
        <v>43738</v>
      </c>
      <c r="C39" s="65"/>
      <c r="D39" s="65"/>
      <c r="E39" s="65"/>
      <c r="F39" s="65"/>
      <c r="G39" s="65"/>
      <c r="H39" s="65"/>
      <c r="I39" s="65"/>
      <c r="J39" s="65"/>
      <c r="K39" s="65"/>
      <c r="L39" s="65"/>
      <c r="M39" s="65"/>
      <c r="N39" s="65"/>
      <c r="O39" s="65"/>
      <c r="P39" s="65"/>
      <c r="Q39" s="65"/>
      <c r="R39" s="65"/>
      <c r="S39" s="65"/>
      <c r="T39" s="65"/>
      <c r="U39" s="65"/>
      <c r="V39" s="65"/>
      <c r="W39" s="65"/>
      <c r="X39" s="65"/>
    </row>
    <row r="40" spans="1:24" x14ac:dyDescent="0.25">
      <c r="A40" t="s">
        <v>2591</v>
      </c>
      <c r="B40" s="51">
        <v>43738</v>
      </c>
    </row>
    <row r="41" spans="1:24" x14ac:dyDescent="0.25">
      <c r="A41" t="s">
        <v>2592</v>
      </c>
      <c r="B41" s="51">
        <v>43738</v>
      </c>
    </row>
    <row r="42" spans="1:24" x14ac:dyDescent="0.25">
      <c r="A42" t="s">
        <v>2593</v>
      </c>
      <c r="B42" s="51">
        <v>43738</v>
      </c>
    </row>
  </sheetData>
  <mergeCells count="1">
    <mergeCell ref="A1:X1"/>
  </mergeCells>
  <pageMargins left="0.7" right="0.7" top="0.75" bottom="0.75" header="0.3" footer="0.3"/>
  <pageSetup paperSize="9" orientation="portrait" verticalDpi="12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X29"/>
  <sheetViews>
    <sheetView workbookViewId="0"/>
  </sheetViews>
  <sheetFormatPr defaultRowHeight="15" x14ac:dyDescent="0.25"/>
  <cols>
    <col min="1" max="1" width="12.7109375" customWidth="1"/>
    <col min="2" max="2" width="12.140625" customWidth="1"/>
    <col min="3" max="3" width="12.5703125" customWidth="1"/>
    <col min="4" max="4" width="11.7109375" customWidth="1"/>
    <col min="5" max="5" width="11.7109375" bestFit="1" customWidth="1"/>
    <col min="6" max="6" width="10.5703125" bestFit="1" customWidth="1"/>
    <col min="7" max="7" width="9.42578125" bestFit="1" customWidth="1"/>
    <col min="8" max="8" width="10.5703125" bestFit="1" customWidth="1"/>
    <col min="9" max="9" width="16.28515625" bestFit="1" customWidth="1"/>
    <col min="11" max="11" width="10.5703125" bestFit="1" customWidth="1"/>
    <col min="15" max="15" width="14" customWidth="1"/>
    <col min="17" max="17" width="14.7109375" bestFit="1" customWidth="1"/>
    <col min="20" max="20" width="13.5703125" bestFit="1" customWidth="1"/>
    <col min="23" max="23" width="13.5703125" bestFit="1" customWidth="1"/>
  </cols>
  <sheetData>
    <row r="1" spans="1:24" ht="15.75" thickBot="1" x14ac:dyDescent="0.3">
      <c r="N1" s="458" t="s">
        <v>6280</v>
      </c>
      <c r="O1" s="459"/>
      <c r="P1" s="460"/>
    </row>
    <row r="2" spans="1:24" ht="15.75" x14ac:dyDescent="0.25">
      <c r="O2" s="145" t="s">
        <v>29</v>
      </c>
      <c r="Q2" s="19" t="s">
        <v>6272</v>
      </c>
      <c r="R2" s="19">
        <f>SUM(R3:R4)</f>
        <v>300</v>
      </c>
      <c r="T2" s="19" t="s">
        <v>6275</v>
      </c>
      <c r="U2" s="19">
        <f>SUM(U3:U9)</f>
        <v>1600</v>
      </c>
      <c r="W2" s="19" t="s">
        <v>6276</v>
      </c>
      <c r="X2" s="19">
        <f>SUM(X3)</f>
        <v>210</v>
      </c>
    </row>
    <row r="3" spans="1:24" x14ac:dyDescent="0.25">
      <c r="N3" t="s">
        <v>502</v>
      </c>
      <c r="O3" s="1">
        <v>200</v>
      </c>
      <c r="Q3" t="s">
        <v>502</v>
      </c>
      <c r="R3">
        <v>170</v>
      </c>
      <c r="T3" t="s">
        <v>504</v>
      </c>
      <c r="U3">
        <v>200</v>
      </c>
      <c r="W3" t="s">
        <v>507</v>
      </c>
      <c r="X3">
        <v>210</v>
      </c>
    </row>
    <row r="4" spans="1:24" x14ac:dyDescent="0.25">
      <c r="A4" t="s">
        <v>6098</v>
      </c>
      <c r="J4" t="s">
        <v>14</v>
      </c>
      <c r="K4">
        <v>35</v>
      </c>
      <c r="N4" t="s">
        <v>503</v>
      </c>
      <c r="O4" s="1">
        <v>150</v>
      </c>
      <c r="Q4" t="s">
        <v>503</v>
      </c>
      <c r="R4">
        <v>130</v>
      </c>
      <c r="T4" t="s">
        <v>505</v>
      </c>
      <c r="U4">
        <v>200</v>
      </c>
    </row>
    <row r="5" spans="1:24" x14ac:dyDescent="0.25">
      <c r="B5" t="s">
        <v>211</v>
      </c>
      <c r="C5" t="s">
        <v>23</v>
      </c>
      <c r="D5" t="s">
        <v>88</v>
      </c>
      <c r="E5" t="s">
        <v>18</v>
      </c>
      <c r="F5" t="s">
        <v>19</v>
      </c>
      <c r="G5" t="s">
        <v>20</v>
      </c>
      <c r="H5" t="s">
        <v>21</v>
      </c>
      <c r="I5" t="s">
        <v>22</v>
      </c>
      <c r="N5" t="s">
        <v>504</v>
      </c>
      <c r="O5" s="1">
        <v>200</v>
      </c>
      <c r="T5" t="s">
        <v>506</v>
      </c>
      <c r="U5">
        <v>280</v>
      </c>
      <c r="W5" s="19" t="s">
        <v>6277</v>
      </c>
      <c r="X5" s="19">
        <f>SUM(X6)</f>
        <v>450</v>
      </c>
    </row>
    <row r="6" spans="1:24" ht="15.75" thickBot="1" x14ac:dyDescent="0.3">
      <c r="A6" t="s">
        <v>258</v>
      </c>
      <c r="B6">
        <v>4</v>
      </c>
      <c r="C6">
        <v>7</v>
      </c>
      <c r="D6">
        <v>4</v>
      </c>
      <c r="E6">
        <v>7</v>
      </c>
      <c r="F6">
        <v>6</v>
      </c>
      <c r="G6">
        <v>1</v>
      </c>
      <c r="H6">
        <v>3</v>
      </c>
      <c r="I6">
        <v>1</v>
      </c>
      <c r="N6" t="s">
        <v>505</v>
      </c>
      <c r="O6" s="1">
        <v>200</v>
      </c>
      <c r="Q6" s="19" t="s">
        <v>6273</v>
      </c>
      <c r="R6" s="19">
        <f>SUM(R7:R8)</f>
        <v>50</v>
      </c>
      <c r="T6" t="s">
        <v>507</v>
      </c>
      <c r="U6">
        <v>390</v>
      </c>
      <c r="W6" t="s">
        <v>508</v>
      </c>
      <c r="X6">
        <v>450</v>
      </c>
    </row>
    <row r="7" spans="1:24" ht="15.75" thickBot="1" x14ac:dyDescent="0.3">
      <c r="B7">
        <f>B6*7</f>
        <v>28</v>
      </c>
      <c r="C7">
        <f>C6*14</f>
        <v>98</v>
      </c>
      <c r="D7">
        <f>D6*24</f>
        <v>96</v>
      </c>
      <c r="E7">
        <f>E6*14</f>
        <v>98</v>
      </c>
      <c r="F7">
        <f>F6*6</f>
        <v>36</v>
      </c>
      <c r="G7">
        <f>G6*7</f>
        <v>7</v>
      </c>
      <c r="H7">
        <f>H6*14</f>
        <v>42</v>
      </c>
      <c r="I7">
        <f>I6*14</f>
        <v>14</v>
      </c>
      <c r="J7" s="158">
        <f>SUM(B7:I7)</f>
        <v>419</v>
      </c>
      <c r="N7" t="s">
        <v>506</v>
      </c>
      <c r="O7" s="1">
        <v>280</v>
      </c>
      <c r="Q7" t="s">
        <v>502</v>
      </c>
      <c r="R7">
        <v>30</v>
      </c>
      <c r="T7" t="s">
        <v>508</v>
      </c>
      <c r="U7">
        <v>450</v>
      </c>
    </row>
    <row r="8" spans="1:24" ht="15.75" thickBot="1" x14ac:dyDescent="0.3">
      <c r="N8" t="s">
        <v>507</v>
      </c>
      <c r="O8" s="1">
        <v>390</v>
      </c>
      <c r="Q8" t="s">
        <v>503</v>
      </c>
      <c r="R8">
        <v>20</v>
      </c>
      <c r="T8" t="s">
        <v>1155</v>
      </c>
      <c r="U8" s="177">
        <v>40</v>
      </c>
      <c r="W8" s="19" t="s">
        <v>6278</v>
      </c>
      <c r="X8" s="19">
        <f>SUM(X9)</f>
        <v>180</v>
      </c>
    </row>
    <row r="9" spans="1:24" ht="15.75" thickBot="1" x14ac:dyDescent="0.3">
      <c r="I9" t="s">
        <v>26</v>
      </c>
      <c r="J9">
        <f>SUM(B7:D7)</f>
        <v>222</v>
      </c>
      <c r="K9" s="156">
        <f>J9/(J9+J10)</f>
        <v>0.61157024793388426</v>
      </c>
      <c r="N9" t="s">
        <v>508</v>
      </c>
      <c r="O9" s="1">
        <v>450</v>
      </c>
      <c r="T9" t="s">
        <v>1156</v>
      </c>
      <c r="U9" s="177">
        <v>40</v>
      </c>
      <c r="W9" t="s">
        <v>507</v>
      </c>
      <c r="X9">
        <v>180</v>
      </c>
    </row>
    <row r="10" spans="1:24" ht="15.75" thickBot="1" x14ac:dyDescent="0.3">
      <c r="I10" t="s">
        <v>6100</v>
      </c>
      <c r="J10">
        <f>SUM(E7:G7)</f>
        <v>141</v>
      </c>
      <c r="K10" s="156">
        <f>1-K9</f>
        <v>0.38842975206611574</v>
      </c>
      <c r="N10" t="s">
        <v>1155</v>
      </c>
      <c r="O10" s="52">
        <v>40</v>
      </c>
    </row>
    <row r="11" spans="1:24" x14ac:dyDescent="0.25">
      <c r="K11" s="157"/>
      <c r="N11" t="s">
        <v>1156</v>
      </c>
      <c r="O11" s="52">
        <v>40</v>
      </c>
      <c r="W11" s="19" t="s">
        <v>6279</v>
      </c>
      <c r="X11" s="19">
        <f>SUM(X12:X13)</f>
        <v>80</v>
      </c>
    </row>
    <row r="12" spans="1:24" x14ac:dyDescent="0.25">
      <c r="A12" t="s">
        <v>6099</v>
      </c>
      <c r="N12" t="s">
        <v>509</v>
      </c>
      <c r="O12" s="56">
        <f>SUM(O3:O11)</f>
        <v>1950</v>
      </c>
      <c r="W12" t="s">
        <v>1155</v>
      </c>
      <c r="X12">
        <v>40</v>
      </c>
    </row>
    <row r="13" spans="1:24" x14ac:dyDescent="0.25">
      <c r="B13" t="s">
        <v>211</v>
      </c>
      <c r="C13" t="s">
        <v>23</v>
      </c>
      <c r="D13" t="s">
        <v>88</v>
      </c>
      <c r="E13" t="s">
        <v>18</v>
      </c>
      <c r="F13" t="s">
        <v>19</v>
      </c>
      <c r="G13" t="s">
        <v>20</v>
      </c>
      <c r="H13" t="s">
        <v>21</v>
      </c>
      <c r="I13" t="s">
        <v>22</v>
      </c>
      <c r="W13" t="s">
        <v>1156</v>
      </c>
      <c r="X13">
        <v>40</v>
      </c>
    </row>
    <row r="14" spans="1:24" ht="15.75" thickBot="1" x14ac:dyDescent="0.3">
      <c r="A14" t="s">
        <v>258</v>
      </c>
      <c r="B14">
        <f>'LEVEL QUOTA'!B11</f>
        <v>0</v>
      </c>
      <c r="C14">
        <f>'LEVEL QUOTA'!C11</f>
        <v>3</v>
      </c>
      <c r="D14">
        <f>'LEVEL QUOTA'!D11</f>
        <v>0</v>
      </c>
      <c r="E14">
        <f>'LEVEL QUOTA'!E11</f>
        <v>1</v>
      </c>
      <c r="F14">
        <f>'LEVEL QUOTA'!F11</f>
        <v>0</v>
      </c>
      <c r="G14">
        <f>'LEVEL QUOTA'!G11</f>
        <v>0</v>
      </c>
      <c r="H14">
        <f>'LEVEL QUOTA'!H11</f>
        <v>1</v>
      </c>
      <c r="I14">
        <f>'LEVEL QUOTA'!I11</f>
        <v>1</v>
      </c>
    </row>
    <row r="15" spans="1:24" ht="15.75" thickBot="1" x14ac:dyDescent="0.3">
      <c r="B15">
        <f>B14*7</f>
        <v>0</v>
      </c>
      <c r="C15">
        <f>C14*14</f>
        <v>42</v>
      </c>
      <c r="D15">
        <f>D14*24</f>
        <v>0</v>
      </c>
      <c r="E15">
        <f>E14*14</f>
        <v>14</v>
      </c>
      <c r="F15">
        <f>F14*6</f>
        <v>0</v>
      </c>
      <c r="G15">
        <f>G14*7</f>
        <v>0</v>
      </c>
      <c r="H15">
        <f>H14*14</f>
        <v>14</v>
      </c>
      <c r="I15">
        <f>I14*14</f>
        <v>14</v>
      </c>
      <c r="J15" s="158">
        <f>SUM(B15:I15)</f>
        <v>84</v>
      </c>
      <c r="K15" s="32">
        <f>J15/450</f>
        <v>0.18666666666666668</v>
      </c>
    </row>
    <row r="16" spans="1:24" ht="15.75" thickBot="1" x14ac:dyDescent="0.3"/>
    <row r="17" spans="1:11" ht="15.75" thickBot="1" x14ac:dyDescent="0.3">
      <c r="I17" t="s">
        <v>26</v>
      </c>
      <c r="J17">
        <f>SUM(B15:D15)</f>
        <v>42</v>
      </c>
      <c r="K17" s="156">
        <f>J17/(J17+J18)</f>
        <v>0.75</v>
      </c>
    </row>
    <row r="18" spans="1:11" ht="15.75" thickBot="1" x14ac:dyDescent="0.3">
      <c r="I18" t="s">
        <v>6100</v>
      </c>
      <c r="J18">
        <f>SUM(E15:G15)</f>
        <v>14</v>
      </c>
      <c r="K18" s="156">
        <f>1-K17</f>
        <v>0.25</v>
      </c>
    </row>
    <row r="21" spans="1:11" x14ac:dyDescent="0.25">
      <c r="A21" t="s">
        <v>6102</v>
      </c>
      <c r="B21">
        <v>7</v>
      </c>
      <c r="C21">
        <v>14</v>
      </c>
      <c r="D21">
        <v>24</v>
      </c>
      <c r="E21">
        <v>14</v>
      </c>
      <c r="F21">
        <v>6</v>
      </c>
      <c r="G21">
        <v>7</v>
      </c>
      <c r="H21">
        <v>14</v>
      </c>
      <c r="I21">
        <v>10</v>
      </c>
    </row>
    <row r="22" spans="1:11" x14ac:dyDescent="0.25">
      <c r="B22" t="s">
        <v>211</v>
      </c>
      <c r="C22" t="s">
        <v>23</v>
      </c>
      <c r="D22" t="s">
        <v>88</v>
      </c>
      <c r="E22" t="s">
        <v>18</v>
      </c>
      <c r="F22" t="s">
        <v>19</v>
      </c>
      <c r="G22" t="s">
        <v>20</v>
      </c>
      <c r="H22" t="s">
        <v>21</v>
      </c>
      <c r="I22" t="s">
        <v>22</v>
      </c>
      <c r="J22">
        <v>450</v>
      </c>
    </row>
    <row r="23" spans="1:11" ht="15.75" thickBot="1" x14ac:dyDescent="0.3">
      <c r="A23" t="s">
        <v>258</v>
      </c>
      <c r="B23">
        <v>4</v>
      </c>
      <c r="C23">
        <v>9</v>
      </c>
      <c r="D23">
        <v>4</v>
      </c>
      <c r="E23">
        <v>10</v>
      </c>
      <c r="F23">
        <v>10</v>
      </c>
      <c r="G23">
        <v>1</v>
      </c>
      <c r="H23">
        <v>0</v>
      </c>
      <c r="I23">
        <v>0</v>
      </c>
    </row>
    <row r="24" spans="1:11" ht="15.75" thickBot="1" x14ac:dyDescent="0.3">
      <c r="B24">
        <f>B23*7</f>
        <v>28</v>
      </c>
      <c r="C24">
        <f>C23*14</f>
        <v>126</v>
      </c>
      <c r="D24">
        <f>D23*24</f>
        <v>96</v>
      </c>
      <c r="E24">
        <f>E23*14</f>
        <v>140</v>
      </c>
      <c r="F24">
        <f>F23*6</f>
        <v>60</v>
      </c>
      <c r="G24">
        <f>G23*7</f>
        <v>7</v>
      </c>
      <c r="H24">
        <f>H23*14</f>
        <v>0</v>
      </c>
      <c r="I24">
        <f>I23*14</f>
        <v>0</v>
      </c>
      <c r="J24" s="158">
        <f>SUM(B24:I24)</f>
        <v>457</v>
      </c>
      <c r="K24" s="32">
        <f>J24/450</f>
        <v>1.0155555555555555</v>
      </c>
    </row>
    <row r="25" spans="1:11" x14ac:dyDescent="0.25">
      <c r="B25" s="151">
        <f>(B24*$J$25)/$J$24</f>
        <v>27.571115973741794</v>
      </c>
      <c r="C25" s="151">
        <f t="shared" ref="C25:I25" si="0">(C24*$J$25)/$J$24</f>
        <v>124.07002188183807</v>
      </c>
      <c r="D25" s="151">
        <f t="shared" si="0"/>
        <v>94.529540481400431</v>
      </c>
      <c r="E25" s="151">
        <f t="shared" si="0"/>
        <v>137.85557986870896</v>
      </c>
      <c r="F25" s="151">
        <f t="shared" si="0"/>
        <v>59.080962800875277</v>
      </c>
      <c r="G25" s="151">
        <f t="shared" si="0"/>
        <v>6.8927789934354484</v>
      </c>
      <c r="H25" s="151">
        <f t="shared" si="0"/>
        <v>0</v>
      </c>
      <c r="I25" s="151">
        <f t="shared" si="0"/>
        <v>0</v>
      </c>
      <c r="J25">
        <v>450</v>
      </c>
      <c r="K25" t="s">
        <v>6101</v>
      </c>
    </row>
    <row r="26" spans="1:11" x14ac:dyDescent="0.25">
      <c r="B26" s="151">
        <f>B25/B21</f>
        <v>3.9387308533916849</v>
      </c>
      <c r="C26" s="151">
        <f t="shared" ref="C26:I26" si="1">C25/C21</f>
        <v>8.8621444201312904</v>
      </c>
      <c r="D26" s="151">
        <f t="shared" si="1"/>
        <v>3.9387308533916845</v>
      </c>
      <c r="E26" s="151">
        <f t="shared" si="1"/>
        <v>9.846827133479211</v>
      </c>
      <c r="F26" s="151">
        <f t="shared" si="1"/>
        <v>9.8468271334792128</v>
      </c>
      <c r="G26" s="151">
        <f t="shared" si="1"/>
        <v>0.98468271334792123</v>
      </c>
      <c r="H26" s="151">
        <f t="shared" si="1"/>
        <v>0</v>
      </c>
      <c r="I26" s="151">
        <f t="shared" si="1"/>
        <v>0</v>
      </c>
    </row>
    <row r="27" spans="1:11" ht="15.75" thickBot="1" x14ac:dyDescent="0.3">
      <c r="J27" s="151"/>
    </row>
    <row r="28" spans="1:11" ht="15.75" thickBot="1" x14ac:dyDescent="0.3">
      <c r="I28" t="s">
        <v>26</v>
      </c>
      <c r="J28">
        <f>SUM(B24:D24)</f>
        <v>250</v>
      </c>
      <c r="K28" s="156">
        <f>J28/(J28+J29)</f>
        <v>0.54704595185995619</v>
      </c>
    </row>
    <row r="29" spans="1:11" ht="19.5" thickBot="1" x14ac:dyDescent="0.35">
      <c r="A29" s="167" t="s">
        <v>6125</v>
      </c>
      <c r="B29" s="168">
        <f>SUM(B23:I23)</f>
        <v>38</v>
      </c>
      <c r="I29" t="s">
        <v>6100</v>
      </c>
      <c r="J29">
        <f>SUM(E24:G24)</f>
        <v>207</v>
      </c>
      <c r="K29" s="156">
        <f>1-K28</f>
        <v>0.45295404814004381</v>
      </c>
    </row>
  </sheetData>
  <mergeCells count="1">
    <mergeCell ref="N1:P1"/>
  </mergeCells>
  <printOptions gridLines="1"/>
  <pageMargins left="0.7" right="0.7" top="0.75" bottom="0.75" header="0.3" footer="0.3"/>
  <pageSetup scale="90" orientation="landscape"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FOR OMWS (2)</vt:lpstr>
      <vt:lpstr>FINAL LIST WITH REMARKS</vt:lpstr>
      <vt:lpstr>Final List</vt:lpstr>
      <vt:lpstr>For Sir ECB</vt:lpstr>
      <vt:lpstr>LIST2</vt:lpstr>
      <vt:lpstr>L11 WP PREP</vt:lpstr>
      <vt:lpstr>For Explo</vt:lpstr>
      <vt:lpstr>LEVEL QUOTA</vt:lpstr>
      <vt:lpstr>CONTROLLER</vt:lpstr>
      <vt:lpstr>SC</vt:lpstr>
      <vt:lpstr>Common Area Remarks</vt:lpstr>
      <vt:lpstr>Sheet1</vt:lpstr>
      <vt:lpstr>'For Explo'!Print_Area</vt:lpstr>
      <vt:lpstr>'For Sir ECB'!Print_Area</vt:lpstr>
      <vt:lpstr>'LEVEL QUOTA'!Print_Area</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2026-06-10T23:46:37Z</dcterms:modified>
</cp:coreProperties>
</file>